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trlProps/ctrlProp1.xml" ContentType="application/vnd.ms-excel.controlproperties+xml"/>
  <Override PartName="/xl/drawings/drawing2.xml" ContentType="application/vnd.openxmlformats-officedocument.drawing+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ctrlProps/ctrlProp7.xml" ContentType="application/vnd.ms-excel.controlproperties+xml"/>
  <Override PartName="/xl/ctrlProps/ctrlProp8.xml" ContentType="application/vnd.ms-excel.controlproperties+xml"/>
  <Override PartName="/xl/ctrlProps/ctrlProp9.xml" ContentType="application/vnd.ms-excel.controlproperties+xml"/>
  <Override PartName="/xl/ctrlProps/ctrlProp10.xml" ContentType="application/vnd.ms-excel.controlproperties+xml"/>
  <Override PartName="/xl/ctrlProps/ctrlProp11.xml" ContentType="application/vnd.ms-excel.controlproperties+xml"/>
  <Override PartName="/xl/ctrlProps/ctrlProp12.xml" ContentType="application/vnd.ms-excel.controlproperties+xml"/>
  <Override PartName="/xl/ctrlProps/ctrlProp13.xml" ContentType="application/vnd.ms-excel.controlproperties+xml"/>
  <Override PartName="/xl/ctrlProps/ctrlProp14.xml" ContentType="application/vnd.ms-excel.controlproperties+xml"/>
  <Override PartName="/xl/ctrlProps/ctrlProp15.xml" ContentType="application/vnd.ms-excel.controlproperties+xml"/>
  <Override PartName="/xl/ctrlProps/ctrlProp16.xml" ContentType="application/vnd.ms-excel.controlproperties+xml"/>
  <Override PartName="/xl/ctrlProps/ctrlProp17.xml" ContentType="application/vnd.ms-excel.controlproperties+xml"/>
  <Override PartName="/xl/ctrlProps/ctrlProp18.xml" ContentType="application/vnd.ms-excel.controlproperties+xml"/>
  <Override PartName="/xl/ctrlProps/ctrlProp19.xml" ContentType="application/vnd.ms-excel.controlproperties+xml"/>
  <Override PartName="/xl/ctrlProps/ctrlProp20.xml" ContentType="application/vnd.ms-excel.controlproperties+xml"/>
  <Override PartName="/xl/ctrlProps/ctrlProp21.xml" ContentType="application/vnd.ms-excel.controlproperties+xml"/>
  <Override PartName="/xl/ctrlProps/ctrlProp22.xml" ContentType="application/vnd.ms-excel.controlproperties+xml"/>
  <Override PartName="/xl/ctrlProps/ctrlProp23.xml" ContentType="application/vnd.ms-excel.controlproperties+xml"/>
  <Override PartName="/xl/ctrlProps/ctrlProp24.xml" ContentType="application/vnd.ms-excel.controlproperties+xml"/>
  <Override PartName="/xl/ctrlProps/ctrlProp25.xml" ContentType="application/vnd.ms-excel.controlproperties+xml"/>
  <Override PartName="/xl/ctrlProps/ctrlProp26.xml" ContentType="application/vnd.ms-excel.controlproperties+xml"/>
  <Override PartName="/xl/ctrlProps/ctrlProp27.xml" ContentType="application/vnd.ms-excel.controlproperties+xml"/>
  <Override PartName="/xl/ctrlProps/ctrlProp28.xml" ContentType="application/vnd.ms-excel.controlproperties+xml"/>
  <Override PartName="/xl/ctrlProps/ctrlProp29.xml" ContentType="application/vnd.ms-excel.controlproperties+xml"/>
  <Override PartName="/xl/ctrlProps/ctrlProp30.xml" ContentType="application/vnd.ms-excel.controlproperties+xml"/>
  <Override PartName="/xl/ctrlProps/ctrlProp31.xml" ContentType="application/vnd.ms-excel.controlproperties+xml"/>
  <Override PartName="/xl/ctrlProps/ctrlProp32.xml" ContentType="application/vnd.ms-excel.controlproperties+xml"/>
  <Override PartName="/xl/ctrlProps/ctrlProp33.xml" ContentType="application/vnd.ms-excel.controlproperties+xml"/>
  <Override PartName="/xl/ctrlProps/ctrlProp34.xml" ContentType="application/vnd.ms-excel.controlproperties+xml"/>
  <Override PartName="/xl/ctrlProps/ctrlProp35.xml" ContentType="application/vnd.ms-excel.controlproperties+xml"/>
  <Override PartName="/xl/ctrlProps/ctrlProp36.xml" ContentType="application/vnd.ms-excel.controlproperties+xml"/>
  <Override PartName="/xl/ctrlProps/ctrlProp37.xml" ContentType="application/vnd.ms-excel.controlproperties+xml"/>
  <Override PartName="/xl/ctrlProps/ctrlProp38.xml" ContentType="application/vnd.ms-excel.controlproperties+xml"/>
  <Override PartName="/xl/ctrlProps/ctrlProp39.xml" ContentType="application/vnd.ms-excel.controlproperties+xml"/>
  <Override PartName="/xl/ctrlProps/ctrlProp40.xml" ContentType="application/vnd.ms-excel.controlproperties+xml"/>
  <Override PartName="/xl/ctrlProps/ctrlProp41.xml" ContentType="application/vnd.ms-excel.controlproperties+xml"/>
  <Override PartName="/xl/ctrlProps/ctrlProp42.xml" ContentType="application/vnd.ms-excel.controlproperties+xml"/>
  <Override PartName="/xl/ctrlProps/ctrlProp43.xml" ContentType="application/vnd.ms-excel.controlproperties+xml"/>
  <Override PartName="/xl/ctrlProps/ctrlProp44.xml" ContentType="application/vnd.ms-excel.controlproperties+xml"/>
  <Override PartName="/xl/ctrlProps/ctrlProp45.xml" ContentType="application/vnd.ms-excel.controlproperties+xml"/>
  <Override PartName="/xl/ctrlProps/ctrlProp46.xml" ContentType="application/vnd.ms-excel.controlproperties+xml"/>
  <Override PartName="/xl/ctrlProps/ctrlProp47.xml" ContentType="application/vnd.ms-excel.controlproperties+xml"/>
  <Override PartName="/xl/ctrlProps/ctrlProp48.xml" ContentType="application/vnd.ms-excel.controlproperties+xml"/>
  <Override PartName="/xl/ctrlProps/ctrlProp49.xml" ContentType="application/vnd.ms-excel.controlproperties+xml"/>
  <Override PartName="/xl/ctrlProps/ctrlProp50.xml" ContentType="application/vnd.ms-excel.controlproperties+xml"/>
  <Override PartName="/xl/ctrlProps/ctrlProp51.xml" ContentType="application/vnd.ms-excel.controlproperties+xml"/>
  <Override PartName="/xl/ctrlProps/ctrlProp52.xml" ContentType="application/vnd.ms-excel.controlproperties+xml"/>
  <Override PartName="/xl/ctrlProps/ctrlProp53.xml" ContentType="application/vnd.ms-excel.controlproperties+xml"/>
  <Override PartName="/xl/ctrlProps/ctrlProp54.xml" ContentType="application/vnd.ms-excel.controlproperties+xml"/>
  <Override PartName="/xl/ctrlProps/ctrlProp55.xml" ContentType="application/vnd.ms-excel.controlproperties+xml"/>
  <Override PartName="/xl/ctrlProps/ctrlProp56.xml" ContentType="application/vnd.ms-excel.controlproperties+xml"/>
  <Override PartName="/xl/ctrlProps/ctrlProp57.xml" ContentType="application/vnd.ms-excel.controlproperties+xml"/>
  <Override PartName="/xl/ctrlProps/ctrlProp58.xml" ContentType="application/vnd.ms-excel.controlproperties+xml"/>
  <Override PartName="/xl/ctrlProps/ctrlProp59.xml" ContentType="application/vnd.ms-excel.controlproperties+xml"/>
  <Override PartName="/xl/ctrlProps/ctrlProp60.xml" ContentType="application/vnd.ms-excel.controlproperties+xml"/>
  <Override PartName="/xl/ctrlProps/ctrlProp61.xml" ContentType="application/vnd.ms-excel.controlproperties+xml"/>
  <Override PartName="/xl/ctrlProps/ctrlProp62.xml" ContentType="application/vnd.ms-excel.controlproperties+xml"/>
  <Override PartName="/xl/ctrlProps/ctrlProp63.xml" ContentType="application/vnd.ms-excel.controlproperties+xml"/>
  <Override PartName="/xl/ctrlProps/ctrlProp64.xml" ContentType="application/vnd.ms-excel.controlproperties+xml"/>
  <Override PartName="/xl/ctrlProps/ctrlProp65.xml" ContentType="application/vnd.ms-excel.controlproperties+xml"/>
  <Override PartName="/xl/ctrlProps/ctrlProp66.xml" ContentType="application/vnd.ms-excel.controlproperties+xml"/>
  <Override PartName="/xl/ctrlProps/ctrlProp67.xml" ContentType="application/vnd.ms-excel.controlproperties+xml"/>
  <Override PartName="/xl/ctrlProps/ctrlProp68.xml" ContentType="application/vnd.ms-excel.controlproperties+xml"/>
  <Override PartName="/xl/ctrlProps/ctrlProp69.xml" ContentType="application/vnd.ms-excel.controlproperties+xml"/>
  <Override PartName="/xl/ctrlProps/ctrlProp70.xml" ContentType="application/vnd.ms-excel.controlproperties+xml"/>
  <Override PartName="/xl/ctrlProps/ctrlProp71.xml" ContentType="application/vnd.ms-excel.controlproperties+xml"/>
  <Override PartName="/xl/ctrlProps/ctrlProp72.xml" ContentType="application/vnd.ms-excel.controlproperties+xml"/>
  <Override PartName="/xl/ctrlProps/ctrlProp73.xml" ContentType="application/vnd.ms-excel.controlproperties+xml"/>
  <Override PartName="/xl/ctrlProps/ctrlProp74.xml" ContentType="application/vnd.ms-excel.controlproperties+xml"/>
  <Override PartName="/xl/ctrlProps/ctrlProp75.xml" ContentType="application/vnd.ms-excel.controlproperties+xml"/>
  <Override PartName="/xl/ctrlProps/ctrlProp76.xml" ContentType="application/vnd.ms-excel.controlproperties+xml"/>
  <Override PartName="/xl/ctrlProps/ctrlProp77.xml" ContentType="application/vnd.ms-excel.controlproperties+xml"/>
  <Override PartName="/xl/ctrlProps/ctrlProp78.xml" ContentType="application/vnd.ms-excel.controlproperties+xml"/>
  <Override PartName="/xl/ctrlProps/ctrlProp79.xml" ContentType="application/vnd.ms-excel.controlproperties+xml"/>
  <Override PartName="/xl/ctrlProps/ctrlProp80.xml" ContentType="application/vnd.ms-excel.controlproperties+xml"/>
  <Override PartName="/xl/ctrlProps/ctrlProp81.xml" ContentType="application/vnd.ms-excel.controlproperties+xml"/>
  <Override PartName="/xl/comments1.xml" ContentType="application/vnd.openxmlformats-officedocument.spreadsheetml.comments+xml"/>
  <Override PartName="/xl/drawings/drawing3.xml" ContentType="application/vnd.openxmlformats-officedocument.drawing+xml"/>
  <Override PartName="/xl/ctrlProps/ctrlProp82.xml" ContentType="application/vnd.ms-excel.controlproperties+xml"/>
  <Override PartName="/xl/ctrlProps/ctrlProp83.xml" ContentType="application/vnd.ms-excel.controlproperties+xml"/>
  <Override PartName="/xl/ctrlProps/ctrlProp84.xml" ContentType="application/vnd.ms-excel.controlproperties+xml"/>
  <Override PartName="/xl/ctrlProps/ctrlProp85.xml" ContentType="application/vnd.ms-excel.controlproperties+xml"/>
  <Override PartName="/xl/ctrlProps/ctrlProp86.xml" ContentType="application/vnd.ms-excel.controlproperties+xml"/>
  <Override PartName="/xl/ctrlProps/ctrlProp87.xml" ContentType="application/vnd.ms-excel.controlproperties+xml"/>
  <Override PartName="/xl/ctrlProps/ctrlProp88.xml" ContentType="application/vnd.ms-excel.controlproperties+xml"/>
  <Override PartName="/xl/ctrlProps/ctrlProp89.xml" ContentType="application/vnd.ms-excel.controlproperties+xml"/>
  <Override PartName="/xl/ctrlProps/ctrlProp90.xml" ContentType="application/vnd.ms-excel.controlproperties+xml"/>
  <Override PartName="/xl/ctrlProps/ctrlProp91.xml" ContentType="application/vnd.ms-excel.controlproperties+xml"/>
  <Override PartName="/xl/ctrlProps/ctrlProp92.xml" ContentType="application/vnd.ms-excel.controlproperties+xml"/>
  <Override PartName="/xl/ctrlProps/ctrlProp93.xml" ContentType="application/vnd.ms-excel.controlproperties+xml"/>
  <Override PartName="/xl/ctrlProps/ctrlProp94.xml" ContentType="application/vnd.ms-excel.controlproperties+xml"/>
  <Override PartName="/xl/ctrlProps/ctrlProp95.xml" ContentType="application/vnd.ms-excel.controlproperties+xml"/>
  <Override PartName="/xl/ctrlProps/ctrlProp96.xml" ContentType="application/vnd.ms-excel.controlproperties+xml"/>
  <Override PartName="/xl/ctrlProps/ctrlProp97.xml" ContentType="application/vnd.ms-excel.controlproperties+xml"/>
  <Override PartName="/xl/ctrlProps/ctrlProp98.xml" ContentType="application/vnd.ms-excel.controlproperties+xml"/>
  <Override PartName="/xl/ctrlProps/ctrlProp99.xml" ContentType="application/vnd.ms-excel.controlproperties+xml"/>
  <Override PartName="/xl/ctrlProps/ctrlProp100.xml" ContentType="application/vnd.ms-excel.controlproperties+xml"/>
  <Override PartName="/xl/ctrlProps/ctrlProp101.xml" ContentType="application/vnd.ms-excel.controlproperties+xml"/>
  <Override PartName="/xl/ctrlProps/ctrlProp102.xml" ContentType="application/vnd.ms-excel.controlproperties+xml"/>
  <Override PartName="/xl/ctrlProps/ctrlProp103.xml" ContentType="application/vnd.ms-excel.controlproperties+xml"/>
  <Override PartName="/xl/ctrlProps/ctrlProp104.xml" ContentType="application/vnd.ms-excel.controlproperties+xml"/>
  <Override PartName="/xl/ctrlProps/ctrlProp105.xml" ContentType="application/vnd.ms-excel.controlproperties+xml"/>
  <Override PartName="/xl/ctrlProps/ctrlProp106.xml" ContentType="application/vnd.ms-excel.controlproperties+xml"/>
  <Override PartName="/xl/ctrlProps/ctrlProp107.xml" ContentType="application/vnd.ms-excel.controlproperties+xml"/>
  <Override PartName="/xl/ctrlProps/ctrlProp108.xml" ContentType="application/vnd.ms-excel.controlproperties+xml"/>
  <Override PartName="/xl/ctrlProps/ctrlProp109.xml" ContentType="application/vnd.ms-excel.controlproperties+xml"/>
  <Override PartName="/xl/ctrlProps/ctrlProp110.xml" ContentType="application/vnd.ms-excel.controlproperties+xml"/>
  <Override PartName="/xl/ctrlProps/ctrlProp111.xml" ContentType="application/vnd.ms-excel.controlproperties+xml"/>
  <Override PartName="/xl/ctrlProps/ctrlProp112.xml" ContentType="application/vnd.ms-excel.controlproperties+xml"/>
  <Override PartName="/xl/ctrlProps/ctrlProp113.xml" ContentType="application/vnd.ms-excel.controlproperties+xml"/>
  <Override PartName="/xl/ctrlProps/ctrlProp114.xml" ContentType="application/vnd.ms-excel.controlproperties+xml"/>
  <Override PartName="/xl/ctrlProps/ctrlProp115.xml" ContentType="application/vnd.ms-excel.controlproperties+xml"/>
  <Override PartName="/xl/ctrlProps/ctrlProp116.xml" ContentType="application/vnd.ms-excel.controlproperties+xml"/>
  <Override PartName="/xl/ctrlProps/ctrlProp117.xml" ContentType="application/vnd.ms-excel.controlproperties+xml"/>
  <Override PartName="/xl/ctrlProps/ctrlProp118.xml" ContentType="application/vnd.ms-excel.controlproperties+xml"/>
  <Override PartName="/xl/ctrlProps/ctrlProp119.xml" ContentType="application/vnd.ms-excel.controlproperties+xml"/>
  <Override PartName="/xl/ctrlProps/ctrlProp120.xml" ContentType="application/vnd.ms-excel.controlproperties+xml"/>
  <Override PartName="/xl/ctrlProps/ctrlProp121.xml" ContentType="application/vnd.ms-excel.controlproperties+xml"/>
  <Override PartName="/xl/ctrlProps/ctrlProp122.xml" ContentType="application/vnd.ms-excel.controlproperties+xml"/>
  <Override PartName="/xl/ctrlProps/ctrlProp123.xml" ContentType="application/vnd.ms-excel.controlproperties+xml"/>
  <Override PartName="/xl/ctrlProps/ctrlProp124.xml" ContentType="application/vnd.ms-excel.controlproperties+xml"/>
  <Override PartName="/xl/ctrlProps/ctrlProp125.xml" ContentType="application/vnd.ms-excel.controlproperties+xml"/>
  <Override PartName="/xl/ctrlProps/ctrlProp126.xml" ContentType="application/vnd.ms-excel.controlproperties+xml"/>
  <Override PartName="/xl/ctrlProps/ctrlProp127.xml" ContentType="application/vnd.ms-excel.controlproperties+xml"/>
  <Override PartName="/xl/ctrlProps/ctrlProp128.xml" ContentType="application/vnd.ms-excel.controlproperties+xml"/>
  <Override PartName="/xl/ctrlProps/ctrlProp129.xml" ContentType="application/vnd.ms-excel.controlproperties+xml"/>
  <Override PartName="/xl/ctrlProps/ctrlProp130.xml" ContentType="application/vnd.ms-excel.controlproperties+xml"/>
  <Override PartName="/xl/ctrlProps/ctrlProp131.xml" ContentType="application/vnd.ms-excel.controlproperties+xml"/>
  <Override PartName="/xl/ctrlProps/ctrlProp132.xml" ContentType="application/vnd.ms-excel.controlproperties+xml"/>
  <Override PartName="/xl/ctrlProps/ctrlProp133.xml" ContentType="application/vnd.ms-excel.controlproperties+xml"/>
  <Override PartName="/xl/ctrlProps/ctrlProp134.xml" ContentType="application/vnd.ms-excel.controlproperties+xml"/>
  <Override PartName="/xl/ctrlProps/ctrlProp135.xml" ContentType="application/vnd.ms-excel.controlproperties+xml"/>
  <Override PartName="/xl/ctrlProps/ctrlProp136.xml" ContentType="application/vnd.ms-excel.controlproperties+xml"/>
  <Override PartName="/xl/ctrlProps/ctrlProp137.xml" ContentType="application/vnd.ms-excel.controlproperties+xml"/>
  <Override PartName="/xl/ctrlProps/ctrlProp138.xml" ContentType="application/vnd.ms-excel.controlproperties+xml"/>
  <Override PartName="/xl/ctrlProps/ctrlProp139.xml" ContentType="application/vnd.ms-excel.controlproperties+xml"/>
  <Override PartName="/xl/ctrlProps/ctrlProp140.xml" ContentType="application/vnd.ms-excel.controlproperties+xml"/>
  <Override PartName="/xl/ctrlProps/ctrlProp141.xml" ContentType="application/vnd.ms-excel.controlproperties+xml"/>
  <Override PartName="/xl/ctrlProps/ctrlProp142.xml" ContentType="application/vnd.ms-excel.controlproperties+xml"/>
  <Override PartName="/xl/ctrlProps/ctrlProp143.xml" ContentType="application/vnd.ms-excel.controlproperties+xml"/>
  <Override PartName="/xl/ctrlProps/ctrlProp144.xml" ContentType="application/vnd.ms-excel.controlproperties+xml"/>
  <Override PartName="/xl/ctrlProps/ctrlProp145.xml" ContentType="application/vnd.ms-excel.controlproperties+xml"/>
  <Override PartName="/xl/ctrlProps/ctrlProp146.xml" ContentType="application/vnd.ms-excel.controlproperties+xml"/>
  <Override PartName="/xl/ctrlProps/ctrlProp147.xml" ContentType="application/vnd.ms-excel.controlproperties+xml"/>
  <Override PartName="/xl/ctrlProps/ctrlProp148.xml" ContentType="application/vnd.ms-excel.controlproperties+xml"/>
  <Override PartName="/xl/ctrlProps/ctrlProp149.xml" ContentType="application/vnd.ms-excel.controlproperties+xml"/>
  <Override PartName="/xl/ctrlProps/ctrlProp150.xml" ContentType="application/vnd.ms-excel.controlproperties+xml"/>
  <Override PartName="/xl/ctrlProps/ctrlProp151.xml" ContentType="application/vnd.ms-excel.controlproperties+xml"/>
  <Override PartName="/xl/ctrlProps/ctrlProp152.xml" ContentType="application/vnd.ms-excel.controlproperties+xml"/>
  <Override PartName="/xl/ctrlProps/ctrlProp153.xml" ContentType="application/vnd.ms-excel.controlproperties+xml"/>
  <Override PartName="/xl/ctrlProps/ctrlProp154.xml" ContentType="application/vnd.ms-excel.controlproperties+xml"/>
  <Override PartName="/xl/ctrlProps/ctrlProp155.xml" ContentType="application/vnd.ms-excel.controlproperties+xml"/>
  <Override PartName="/xl/ctrlProps/ctrlProp156.xml" ContentType="application/vnd.ms-excel.controlproperties+xml"/>
  <Override PartName="/xl/ctrlProps/ctrlProp157.xml" ContentType="application/vnd.ms-excel.controlproperties+xml"/>
  <Override PartName="/xl/ctrlProps/ctrlProp158.xml" ContentType="application/vnd.ms-excel.controlproperties+xml"/>
  <Override PartName="/xl/ctrlProps/ctrlProp159.xml" ContentType="application/vnd.ms-excel.controlproperties+xml"/>
  <Override PartName="/xl/ctrlProps/ctrlProp160.xml" ContentType="application/vnd.ms-excel.controlproperties+xml"/>
  <Override PartName="/xl/ctrlProps/ctrlProp161.xml" ContentType="application/vnd.ms-excel.controlproperties+xml"/>
  <Override PartName="/xl/ctrlProps/ctrlProp162.xml" ContentType="application/vnd.ms-excel.controlproperties+xml"/>
  <Override PartName="/xl/ctrlProps/ctrlProp163.xml" ContentType="application/vnd.ms-excel.controlproperties+xml"/>
  <Override PartName="/xl/ctrlProps/ctrlProp164.xml" ContentType="application/vnd.ms-excel.controlproperties+xml"/>
  <Override PartName="/xl/ctrlProps/ctrlProp165.xml" ContentType="application/vnd.ms-excel.controlproperties+xml"/>
  <Override PartName="/xl/comments2.xml" ContentType="application/vnd.openxmlformats-officedocument.spreadsheetml.comments+xml"/>
  <Override PartName="/xl/drawings/drawing4.xml" ContentType="application/vnd.openxmlformats-officedocument.drawing+xml"/>
  <Override PartName="/xl/ctrlProps/ctrlProp166.xml" ContentType="application/vnd.ms-excel.controlproperties+xml"/>
  <Override PartName="/xl/ctrlProps/ctrlProp167.xml" ContentType="application/vnd.ms-excel.controlproperties+xml"/>
  <Override PartName="/xl/ctrlProps/ctrlProp168.xml" ContentType="application/vnd.ms-excel.controlproperties+xml"/>
  <Override PartName="/xl/ctrlProps/ctrlProp169.xml" ContentType="application/vnd.ms-excel.controlproperties+xml"/>
  <Override PartName="/xl/ctrlProps/ctrlProp170.xml" ContentType="application/vnd.ms-excel.controlproperties+xml"/>
  <Override PartName="/xl/ctrlProps/ctrlProp171.xml" ContentType="application/vnd.ms-excel.controlproperties+xml"/>
  <Override PartName="/xl/ctrlProps/ctrlProp172.xml" ContentType="application/vnd.ms-excel.controlproperties+xml"/>
  <Override PartName="/xl/ctrlProps/ctrlProp173.xml" ContentType="application/vnd.ms-excel.controlproperties+xml"/>
  <Override PartName="/xl/ctrlProps/ctrlProp174.xml" ContentType="application/vnd.ms-excel.controlproperties+xml"/>
  <Override PartName="/xl/ctrlProps/ctrlProp175.xml" ContentType="application/vnd.ms-excel.controlproperties+xml"/>
  <Override PartName="/xl/ctrlProps/ctrlProp176.xml" ContentType="application/vnd.ms-excel.controlproperties+xml"/>
  <Override PartName="/xl/ctrlProps/ctrlProp177.xml" ContentType="application/vnd.ms-excel.controlproperties+xml"/>
  <Override PartName="/xl/ctrlProps/ctrlProp178.xml" ContentType="application/vnd.ms-excel.controlproperties+xml"/>
  <Override PartName="/xl/ctrlProps/ctrlProp179.xml" ContentType="application/vnd.ms-excel.controlproperties+xml"/>
  <Override PartName="/xl/ctrlProps/ctrlProp180.xml" ContentType="application/vnd.ms-excel.controlproperties+xml"/>
  <Override PartName="/xl/ctrlProps/ctrlProp181.xml" ContentType="application/vnd.ms-excel.controlproperties+xml"/>
  <Override PartName="/xl/ctrlProps/ctrlProp182.xml" ContentType="application/vnd.ms-excel.controlproperties+xml"/>
  <Override PartName="/xl/ctrlProps/ctrlProp183.xml" ContentType="application/vnd.ms-excel.controlproperties+xml"/>
  <Override PartName="/xl/ctrlProps/ctrlProp184.xml" ContentType="application/vnd.ms-excel.controlproperties+xml"/>
  <Override PartName="/xl/ctrlProps/ctrlProp185.xml" ContentType="application/vnd.ms-excel.controlproperties+xml"/>
  <Override PartName="/xl/ctrlProps/ctrlProp186.xml" ContentType="application/vnd.ms-excel.controlproperties+xml"/>
  <Override PartName="/xl/ctrlProps/ctrlProp187.xml" ContentType="application/vnd.ms-excel.controlproperties+xml"/>
  <Override PartName="/xl/ctrlProps/ctrlProp188.xml" ContentType="application/vnd.ms-excel.controlproperties+xml"/>
  <Override PartName="/xl/ctrlProps/ctrlProp189.xml" ContentType="application/vnd.ms-excel.controlproperties+xml"/>
  <Override PartName="/xl/ctrlProps/ctrlProp190.xml" ContentType="application/vnd.ms-excel.controlproperties+xml"/>
  <Override PartName="/xl/ctrlProps/ctrlProp191.xml" ContentType="application/vnd.ms-excel.controlproperties+xml"/>
  <Override PartName="/xl/ctrlProps/ctrlProp192.xml" ContentType="application/vnd.ms-excel.controlproperties+xml"/>
  <Override PartName="/xl/ctrlProps/ctrlProp193.xml" ContentType="application/vnd.ms-excel.controlproperties+xml"/>
  <Override PartName="/xl/ctrlProps/ctrlProp194.xml" ContentType="application/vnd.ms-excel.controlproperties+xml"/>
  <Override PartName="/xl/ctrlProps/ctrlProp195.xml" ContentType="application/vnd.ms-excel.controlproperties+xml"/>
  <Override PartName="/xl/ctrlProps/ctrlProp196.xml" ContentType="application/vnd.ms-excel.controlproperties+xml"/>
  <Override PartName="/xl/ctrlProps/ctrlProp197.xml" ContentType="application/vnd.ms-excel.controlproperties+xml"/>
  <Override PartName="/xl/ctrlProps/ctrlProp198.xml" ContentType="application/vnd.ms-excel.controlproperties+xml"/>
  <Override PartName="/xl/ctrlProps/ctrlProp199.xml" ContentType="application/vnd.ms-excel.controlproperties+xml"/>
  <Override PartName="/xl/ctrlProps/ctrlProp200.xml" ContentType="application/vnd.ms-excel.controlproperties+xml"/>
  <Override PartName="/xl/ctrlProps/ctrlProp201.xml" ContentType="application/vnd.ms-excel.controlproperties+xml"/>
  <Override PartName="/xl/ctrlProps/ctrlProp202.xml" ContentType="application/vnd.ms-excel.controlproperties+xml"/>
  <Override PartName="/xl/ctrlProps/ctrlProp203.xml" ContentType="application/vnd.ms-excel.controlproperties+xml"/>
  <Override PartName="/xl/ctrlProps/ctrlProp204.xml" ContentType="application/vnd.ms-excel.controlproperties+xml"/>
  <Override PartName="/xl/ctrlProps/ctrlProp205.xml" ContentType="application/vnd.ms-excel.controlproperties+xml"/>
  <Override PartName="/xl/ctrlProps/ctrlProp206.xml" ContentType="application/vnd.ms-excel.controlproperties+xml"/>
  <Override PartName="/xl/ctrlProps/ctrlProp207.xml" ContentType="application/vnd.ms-excel.controlproperties+xml"/>
  <Override PartName="/xl/ctrlProps/ctrlProp208.xml" ContentType="application/vnd.ms-excel.controlproperties+xml"/>
  <Override PartName="/xl/ctrlProps/ctrlProp209.xml" ContentType="application/vnd.ms-excel.controlproperties+xml"/>
  <Override PartName="/xl/ctrlProps/ctrlProp210.xml" ContentType="application/vnd.ms-excel.controlproperties+xml"/>
  <Override PartName="/xl/ctrlProps/ctrlProp211.xml" ContentType="application/vnd.ms-excel.controlproperties+xml"/>
  <Override PartName="/xl/ctrlProps/ctrlProp212.xml" ContentType="application/vnd.ms-excel.controlproperties+xml"/>
  <Override PartName="/xl/ctrlProps/ctrlProp213.xml" ContentType="application/vnd.ms-excel.controlproperties+xml"/>
  <Override PartName="/xl/ctrlProps/ctrlProp214.xml" ContentType="application/vnd.ms-excel.controlproperties+xml"/>
  <Override PartName="/xl/ctrlProps/ctrlProp215.xml" ContentType="application/vnd.ms-excel.controlproperties+xml"/>
  <Override PartName="/xl/ctrlProps/ctrlProp216.xml" ContentType="application/vnd.ms-excel.controlproperties+xml"/>
  <Override PartName="/xl/ctrlProps/ctrlProp217.xml" ContentType="application/vnd.ms-excel.controlproperties+xml"/>
  <Override PartName="/xl/ctrlProps/ctrlProp218.xml" ContentType="application/vnd.ms-excel.controlproperties+xml"/>
  <Override PartName="/xl/ctrlProps/ctrlProp219.xml" ContentType="application/vnd.ms-excel.controlproperties+xml"/>
  <Override PartName="/xl/ctrlProps/ctrlProp220.xml" ContentType="application/vnd.ms-excel.controlproperties+xml"/>
  <Override PartName="/xl/ctrlProps/ctrlProp221.xml" ContentType="application/vnd.ms-excel.controlproperties+xml"/>
  <Override PartName="/xl/ctrlProps/ctrlProp222.xml" ContentType="application/vnd.ms-excel.controlproperties+xml"/>
  <Override PartName="/xl/ctrlProps/ctrlProp223.xml" ContentType="application/vnd.ms-excel.controlproperties+xml"/>
  <Override PartName="/xl/ctrlProps/ctrlProp224.xml" ContentType="application/vnd.ms-excel.controlproperties+xml"/>
  <Override PartName="/xl/ctrlProps/ctrlProp225.xml" ContentType="application/vnd.ms-excel.controlproperties+xml"/>
  <Override PartName="/xl/ctrlProps/ctrlProp226.xml" ContentType="application/vnd.ms-excel.controlproperties+xml"/>
  <Override PartName="/xl/ctrlProps/ctrlProp227.xml" ContentType="application/vnd.ms-excel.controlproperties+xml"/>
  <Override PartName="/xl/ctrlProps/ctrlProp228.xml" ContentType="application/vnd.ms-excel.controlproperties+xml"/>
  <Override PartName="/xl/ctrlProps/ctrlProp229.xml" ContentType="application/vnd.ms-excel.controlproperties+xml"/>
  <Override PartName="/xl/ctrlProps/ctrlProp230.xml" ContentType="application/vnd.ms-excel.controlproperties+xml"/>
  <Override PartName="/xl/ctrlProps/ctrlProp231.xml" ContentType="application/vnd.ms-excel.controlproperties+xml"/>
  <Override PartName="/xl/ctrlProps/ctrlProp232.xml" ContentType="application/vnd.ms-excel.controlproperties+xml"/>
  <Override PartName="/xl/ctrlProps/ctrlProp233.xml" ContentType="application/vnd.ms-excel.controlproperties+xml"/>
  <Override PartName="/xl/ctrlProps/ctrlProp234.xml" ContentType="application/vnd.ms-excel.controlproperties+xml"/>
  <Override PartName="/xl/ctrlProps/ctrlProp235.xml" ContentType="application/vnd.ms-excel.controlproperties+xml"/>
  <Override PartName="/xl/ctrlProps/ctrlProp236.xml" ContentType="application/vnd.ms-excel.controlproperties+xml"/>
  <Override PartName="/xl/ctrlProps/ctrlProp237.xml" ContentType="application/vnd.ms-excel.controlproperties+xml"/>
  <Override PartName="/xl/ctrlProps/ctrlProp238.xml" ContentType="application/vnd.ms-excel.controlproperties+xml"/>
  <Override PartName="/xl/ctrlProps/ctrlProp239.xml" ContentType="application/vnd.ms-excel.controlproperties+xml"/>
  <Override PartName="/xl/ctrlProps/ctrlProp240.xml" ContentType="application/vnd.ms-excel.controlproperties+xml"/>
  <Override PartName="/xl/ctrlProps/ctrlProp241.xml" ContentType="application/vnd.ms-excel.controlproperties+xml"/>
  <Override PartName="/xl/ctrlProps/ctrlProp242.xml" ContentType="application/vnd.ms-excel.controlproperties+xml"/>
  <Override PartName="/xl/ctrlProps/ctrlProp243.xml" ContentType="application/vnd.ms-excel.controlproperties+xml"/>
  <Override PartName="/xl/ctrlProps/ctrlProp244.xml" ContentType="application/vnd.ms-excel.controlproperties+xml"/>
  <Override PartName="/xl/ctrlProps/ctrlProp245.xml" ContentType="application/vnd.ms-excel.controlproperties+xml"/>
  <Override PartName="/xl/ctrlProps/ctrlProp246.xml" ContentType="application/vnd.ms-excel.controlproperties+xml"/>
  <Override PartName="/xl/ctrlProps/ctrlProp247.xml" ContentType="application/vnd.ms-excel.controlproperties+xml"/>
  <Override PartName="/xl/ctrlProps/ctrlProp248.xml" ContentType="application/vnd.ms-excel.controlproperties+xml"/>
  <Override PartName="/xl/ctrlProps/ctrlProp249.xml" ContentType="application/vnd.ms-excel.controlpropertie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425"/>
  <workbookPr codeName="ThisWorkbook"/>
  <mc:AlternateContent xmlns:mc="http://schemas.openxmlformats.org/markup-compatibility/2006">
    <mc:Choice Requires="x15">
      <x15ac:absPath xmlns:x15ac="http://schemas.microsoft.com/office/spreadsheetml/2010/11/ac" url="C:\Users\Refhi\Documents\exalted sync\Travail fiches perso\"/>
    </mc:Choice>
  </mc:AlternateContent>
  <xr:revisionPtr revIDLastSave="0" documentId="13_ncr:1_{4F1D54F2-2A4B-412D-BBD0-48A22E46231D}" xr6:coauthVersionLast="43" xr6:coauthVersionMax="43" xr10:uidLastSave="{00000000-0000-0000-0000-000000000000}"/>
  <bookViews>
    <workbookView xWindow="-120" yWindow="-120" windowWidth="24240" windowHeight="13140" tabRatio="890" activeTab="3" xr2:uid="{00000000-000D-0000-FFFF-FFFF00000000}"/>
  </bookViews>
  <sheets>
    <sheet name="Welcome" sheetId="21" r:id="rId1"/>
    <sheet name="Creation_1" sheetId="1" r:id="rId2"/>
    <sheet name="Creation_BP" sheetId="19" r:id="rId3"/>
    <sheet name="Creation_XP" sheetId="20" r:id="rId4"/>
    <sheet name="Values" sheetId="2" r:id="rId5"/>
    <sheet name="Weapons" sheetId="4" r:id="rId6"/>
    <sheet name="Castes" sheetId="12" r:id="rId7"/>
    <sheet name="Points" sheetId="5" r:id="rId8"/>
    <sheet name="Armor" sheetId="3" r:id="rId9"/>
    <sheet name="Crea_Pts_xp" sheetId="6" r:id="rId10"/>
    <sheet name="Cast_Spe" sheetId="7" r:id="rId11"/>
    <sheet name="Health" sheetId="22" r:id="rId12"/>
    <sheet name="Merits" sheetId="9" r:id="rId13"/>
    <sheet name="Charms" sheetId="14" r:id="rId14"/>
    <sheet name="CharmAb" sheetId="18" r:id="rId15"/>
    <sheet name="CharmPrerequisites" sheetId="23" r:id="rId16"/>
    <sheet name="Intimacies" sheetId="15" r:id="rId17"/>
    <sheet name="CharmsId" sheetId="24" r:id="rId18"/>
  </sheets>
  <definedNames>
    <definedName name="AvAbWOMA">Creation_1!$D$13:$D$38,Creation_1!$C$43:$C$48</definedName>
    <definedName name="Database_Charms">Charms!$B:$T</definedName>
    <definedName name="Database_Charms_Names">Charms!$B:$B</definedName>
    <definedName name="Database_Charms_Values">Charms!$B$1:$T$1</definedName>
    <definedName name="Exalt_Base_Values">Crea_Pts_xp!$A$1:$N$16</definedName>
    <definedName name="Exalt_DB">Castes!$B$11:$B$15</definedName>
    <definedName name="Exalt_DBJH">Castes!$B$16:$B$20</definedName>
    <definedName name="Exalt_Lunar">Castes!$B$22:$B$25</definedName>
    <definedName name="Exalt_Mortal">Castes!$B$3</definedName>
    <definedName name="Exalt_Solar">Castes!$B$5:$B$9</definedName>
    <definedName name="Exalt_Type_Table">Castes!$B$2:$C$48</definedName>
    <definedName name="FavAb">Creation_1!$D$13:$D$38</definedName>
    <definedName name="_xlnm.Print_Titles" localSheetId="3">Creation_XP!$1:$5</definedName>
    <definedName name="List_abilities">CharmAb!$A$2:$A$29</definedName>
    <definedName name="list_merits">Merits!$A$1:$A$101</definedName>
    <definedName name="MeritHead">Merits!$B$1:$U$1</definedName>
    <definedName name="MeritList">Merits!$A$2:$A$101</definedName>
    <definedName name="MeritsMatrice">Merits!$B$2:$U$91</definedName>
    <definedName name="spe_abilities">Cast_Spe!$A$14:$A$17</definedName>
    <definedName name="Table_Essence_DB">Crea_Pts_xp!$D$35:$E$44</definedName>
    <definedName name="Table_Essence_DBJH">Crea_Pts_xp!$F$35:$G$45</definedName>
    <definedName name="Table_Essence_Regular">Crea_Pts_xp!$A$35:$B$45</definedName>
    <definedName name="weapons_types">Weapons!$A$108:$A$122</definedName>
    <definedName name="Xp_Cost">Crea_Pts_xp!$A$22:$I$33</definedName>
    <definedName name="Xp_Cost_Number">Crea_Pts_xp!$A$22:$A$33</definedName>
    <definedName name="Xp_Cost_Type">Crea_Pts_xp!$A$22:$I$22</definedName>
    <definedName name="_xlnm.Print_Area" localSheetId="1">Creation_1!$AW$2</definedName>
    <definedName name="_xlnm.Print_Area" localSheetId="2">Creation_BP!$AW$3</definedName>
    <definedName name="_xlnm.Print_Area" localSheetId="3">Creation_XP!$A$1:$AY$211</definedName>
    <definedName name="_xlnm.Print_Area" localSheetId="0">Welcome!$G$1</definedName>
  </definedNames>
  <calcPr calcId="191029"/>
  <fileRecoveryPr autoRecover="0"/>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H118" i="1" l="1"/>
  <c r="B121" i="19"/>
  <c r="H121" i="19" s="1"/>
  <c r="C100" i="18"/>
  <c r="B100" i="18"/>
  <c r="C99" i="18"/>
  <c r="B99" i="18"/>
  <c r="C98" i="18"/>
  <c r="B98" i="18"/>
  <c r="C97" i="18"/>
  <c r="B97" i="18"/>
  <c r="C96" i="18"/>
  <c r="B96" i="18"/>
  <c r="C95" i="18"/>
  <c r="B95" i="18"/>
  <c r="C94" i="18"/>
  <c r="B94" i="18"/>
  <c r="C93" i="18"/>
  <c r="B93" i="18"/>
  <c r="C92" i="18"/>
  <c r="B92" i="18"/>
  <c r="C91" i="18"/>
  <c r="B91" i="18"/>
  <c r="C90" i="18"/>
  <c r="B90" i="18"/>
  <c r="C89" i="18"/>
  <c r="B89" i="18"/>
  <c r="C88" i="18"/>
  <c r="B88" i="18"/>
  <c r="C87" i="18"/>
  <c r="B87" i="18"/>
  <c r="C86" i="18"/>
  <c r="B86" i="18"/>
  <c r="C85" i="18"/>
  <c r="B85" i="18"/>
  <c r="C84" i="18"/>
  <c r="B84" i="18"/>
  <c r="C83" i="18"/>
  <c r="B83" i="18"/>
  <c r="C82" i="18"/>
  <c r="B82" i="18"/>
  <c r="C81" i="18"/>
  <c r="B81" i="18"/>
  <c r="C80" i="18"/>
  <c r="B80" i="18"/>
  <c r="C79" i="18"/>
  <c r="B79" i="18"/>
  <c r="C78" i="18"/>
  <c r="B78" i="18"/>
  <c r="C77" i="18"/>
  <c r="B77" i="18"/>
  <c r="C76" i="18"/>
  <c r="B76" i="18"/>
  <c r="C75" i="18"/>
  <c r="B75" i="18"/>
  <c r="C74" i="18"/>
  <c r="B74" i="18"/>
  <c r="C73" i="18"/>
  <c r="B73" i="18"/>
  <c r="C72" i="18"/>
  <c r="B72" i="18"/>
  <c r="C71" i="18"/>
  <c r="B71" i="18"/>
  <c r="C70" i="18"/>
  <c r="B70" i="18"/>
  <c r="C69" i="18"/>
  <c r="B69" i="18"/>
  <c r="C68" i="18"/>
  <c r="B68" i="18"/>
  <c r="C67" i="18"/>
  <c r="B67" i="18"/>
  <c r="C66" i="18"/>
  <c r="B66" i="18"/>
  <c r="C65" i="18"/>
  <c r="B65" i="18"/>
  <c r="C64" i="18"/>
  <c r="B64" i="18"/>
  <c r="C63" i="18"/>
  <c r="B63" i="18"/>
  <c r="C62" i="18"/>
  <c r="B62" i="18"/>
  <c r="C61" i="18"/>
  <c r="B61" i="18"/>
  <c r="C60" i="18"/>
  <c r="B60" i="18"/>
  <c r="C59" i="18"/>
  <c r="B59" i="18"/>
  <c r="C58" i="18"/>
  <c r="B58" i="18"/>
  <c r="C57" i="18"/>
  <c r="B57" i="18"/>
  <c r="C56" i="18"/>
  <c r="B56" i="18"/>
  <c r="C55" i="18"/>
  <c r="B55" i="18"/>
  <c r="C54" i="18"/>
  <c r="B54" i="18"/>
  <c r="C53" i="18"/>
  <c r="B53" i="18"/>
  <c r="C52" i="18"/>
  <c r="B52" i="18"/>
  <c r="C51" i="18"/>
  <c r="B51" i="18"/>
  <c r="C50" i="18"/>
  <c r="B50" i="18"/>
  <c r="C49" i="18"/>
  <c r="B49" i="18"/>
  <c r="F45" i="18"/>
  <c r="F44" i="18"/>
  <c r="F43" i="18"/>
  <c r="F42" i="18"/>
  <c r="B42" i="18" s="1"/>
  <c r="F41" i="18"/>
  <c r="F40" i="18"/>
  <c r="F39" i="18"/>
  <c r="F38" i="18"/>
  <c r="B38" i="18" s="1"/>
  <c r="F37" i="18"/>
  <c r="F36" i="18"/>
  <c r="F35" i="18"/>
  <c r="F34" i="18"/>
  <c r="B34" i="18" s="1"/>
  <c r="F33" i="18"/>
  <c r="F32" i="18"/>
  <c r="F31" i="18"/>
  <c r="B31" i="18" s="1"/>
  <c r="F30" i="18"/>
  <c r="F29" i="18"/>
  <c r="F28" i="18"/>
  <c r="F27" i="18"/>
  <c r="K45" i="18"/>
  <c r="K44" i="18"/>
  <c r="K43" i="18"/>
  <c r="K42" i="18"/>
  <c r="K41" i="18"/>
  <c r="K40" i="18"/>
  <c r="K39" i="18"/>
  <c r="K38" i="18"/>
  <c r="K37" i="18"/>
  <c r="K36" i="18"/>
  <c r="K35" i="18"/>
  <c r="K34" i="18"/>
  <c r="K33" i="18"/>
  <c r="K32" i="18"/>
  <c r="K31" i="18"/>
  <c r="K30" i="18"/>
  <c r="K29" i="18"/>
  <c r="K28" i="18"/>
  <c r="K27" i="18"/>
  <c r="K12" i="18"/>
  <c r="K11" i="18"/>
  <c r="K10" i="18"/>
  <c r="K9" i="18"/>
  <c r="K8" i="18"/>
  <c r="K7" i="18"/>
  <c r="K6" i="18"/>
  <c r="K5" i="18"/>
  <c r="K4" i="18"/>
  <c r="K3" i="18"/>
  <c r="K2" i="18"/>
  <c r="K26" i="18"/>
  <c r="K25" i="18"/>
  <c r="K24" i="18"/>
  <c r="K23" i="18"/>
  <c r="K22" i="18"/>
  <c r="K21" i="18"/>
  <c r="K20" i="18"/>
  <c r="K19" i="18"/>
  <c r="K18" i="18"/>
  <c r="K17" i="18"/>
  <c r="K16" i="18"/>
  <c r="K15" i="18"/>
  <c r="K14" i="18"/>
  <c r="K13" i="18"/>
  <c r="B43" i="18"/>
  <c r="B30" i="18"/>
  <c r="B48" i="18"/>
  <c r="B47" i="18"/>
  <c r="B46" i="18"/>
  <c r="B45" i="18"/>
  <c r="B44" i="18"/>
  <c r="B41" i="18"/>
  <c r="B40" i="18"/>
  <c r="B39" i="18"/>
  <c r="B37" i="18"/>
  <c r="B36" i="18"/>
  <c r="B35" i="18"/>
  <c r="B33" i="18"/>
  <c r="B32" i="18"/>
  <c r="B29" i="18"/>
  <c r="B28" i="18"/>
  <c r="B27" i="18"/>
  <c r="B26" i="18"/>
  <c r="B25" i="18"/>
  <c r="B24" i="18"/>
  <c r="B23" i="18"/>
  <c r="B22" i="18"/>
  <c r="B21" i="18"/>
  <c r="B20" i="18"/>
  <c r="B19" i="18"/>
  <c r="B18" i="18"/>
  <c r="B17" i="18"/>
  <c r="B16" i="18"/>
  <c r="B15" i="18"/>
  <c r="B14" i="18"/>
  <c r="B13" i="18"/>
  <c r="B12" i="18"/>
  <c r="B11" i="18"/>
  <c r="B10" i="18"/>
  <c r="B9" i="18"/>
  <c r="B8" i="18"/>
  <c r="B7" i="18"/>
  <c r="B6" i="18"/>
  <c r="B5" i="18"/>
  <c r="B4" i="18"/>
  <c r="B3" i="18"/>
  <c r="B2" i="18"/>
  <c r="BC5" i="1" l="1"/>
  <c r="N22" i="4"/>
  <c r="E22" i="4"/>
  <c r="BB14" i="1" l="1"/>
  <c r="O660" i="23" l="1"/>
  <c r="O659" i="23"/>
  <c r="O658" i="23"/>
  <c r="O657" i="23"/>
  <c r="O656" i="23"/>
  <c r="O655" i="23"/>
  <c r="O654" i="23"/>
  <c r="O653" i="23"/>
  <c r="O652" i="23"/>
  <c r="O651" i="23"/>
  <c r="O650" i="23"/>
  <c r="O649" i="23"/>
  <c r="O648" i="23"/>
  <c r="O647" i="23"/>
  <c r="O646" i="23"/>
  <c r="O645" i="23"/>
  <c r="O644" i="23"/>
  <c r="O643" i="23"/>
  <c r="O642" i="23"/>
  <c r="O641" i="23"/>
  <c r="O640" i="23"/>
  <c r="O639" i="23"/>
  <c r="O638" i="23"/>
  <c r="O637" i="23"/>
  <c r="O636" i="23"/>
  <c r="O635" i="23"/>
  <c r="O634" i="23"/>
  <c r="O633" i="23"/>
  <c r="O632" i="23"/>
  <c r="O631" i="23"/>
  <c r="O630" i="23"/>
  <c r="O629" i="23"/>
  <c r="O628" i="23"/>
  <c r="O627" i="23"/>
  <c r="O626" i="23"/>
  <c r="O625" i="23"/>
  <c r="O624" i="23"/>
  <c r="O623" i="23"/>
  <c r="O622" i="23"/>
  <c r="O621" i="23"/>
  <c r="O620" i="23"/>
  <c r="O619" i="23"/>
  <c r="O618" i="23"/>
  <c r="O617" i="23"/>
  <c r="O616" i="23"/>
  <c r="O615" i="23"/>
  <c r="O614" i="23"/>
  <c r="O613" i="23"/>
  <c r="O612" i="23"/>
  <c r="O611" i="23"/>
  <c r="O610" i="23"/>
  <c r="O609" i="23"/>
  <c r="O608" i="23"/>
  <c r="O607" i="23"/>
  <c r="O606" i="23"/>
  <c r="O605" i="23"/>
  <c r="O604" i="23"/>
  <c r="O603" i="23"/>
  <c r="O602" i="23"/>
  <c r="O601" i="23"/>
  <c r="O600" i="23"/>
  <c r="O599" i="23"/>
  <c r="O598" i="23"/>
  <c r="O597" i="23"/>
  <c r="O596" i="23"/>
  <c r="O595" i="23"/>
  <c r="O594" i="23"/>
  <c r="O593" i="23"/>
  <c r="O592" i="23"/>
  <c r="O591" i="23"/>
  <c r="O590" i="23"/>
  <c r="O589" i="23"/>
  <c r="O588" i="23"/>
  <c r="O587" i="23"/>
  <c r="O586" i="23"/>
  <c r="O585" i="23"/>
  <c r="O584" i="23"/>
  <c r="O583" i="23"/>
  <c r="O582" i="23"/>
  <c r="O581" i="23"/>
  <c r="O580" i="23"/>
  <c r="O579" i="23"/>
  <c r="O578" i="23"/>
  <c r="O577" i="23"/>
  <c r="O576" i="23"/>
  <c r="O575" i="23"/>
  <c r="O574" i="23"/>
  <c r="O573" i="23"/>
  <c r="O572" i="23"/>
  <c r="O571" i="23"/>
  <c r="O570" i="23"/>
  <c r="O569" i="23"/>
  <c r="O568" i="23"/>
  <c r="O567" i="23"/>
  <c r="O566" i="23"/>
  <c r="O565" i="23"/>
  <c r="O564" i="23"/>
  <c r="O563" i="23"/>
  <c r="O562" i="23"/>
  <c r="O561" i="23"/>
  <c r="O560" i="23"/>
  <c r="O559" i="23"/>
  <c r="O558" i="23"/>
  <c r="O557" i="23"/>
  <c r="O556" i="23"/>
  <c r="O555" i="23"/>
  <c r="O554" i="23"/>
  <c r="O553" i="23"/>
  <c r="O552" i="23"/>
  <c r="O551" i="23"/>
  <c r="O550" i="23"/>
  <c r="O549" i="23"/>
  <c r="O548" i="23"/>
  <c r="O547" i="23"/>
  <c r="O546" i="23"/>
  <c r="O545" i="23"/>
  <c r="O544" i="23"/>
  <c r="O543" i="23"/>
  <c r="O542" i="23"/>
  <c r="O541" i="23"/>
  <c r="O540" i="23"/>
  <c r="O539" i="23"/>
  <c r="O538" i="23"/>
  <c r="O537" i="23"/>
  <c r="O536" i="23"/>
  <c r="O535" i="23"/>
  <c r="O534" i="23"/>
  <c r="O533" i="23"/>
  <c r="O532" i="23"/>
  <c r="O531" i="23"/>
  <c r="O530" i="23"/>
  <c r="O529" i="23"/>
  <c r="O528" i="23"/>
  <c r="O527" i="23"/>
  <c r="O526" i="23"/>
  <c r="O525" i="23"/>
  <c r="O524" i="23"/>
  <c r="O523" i="23"/>
  <c r="O522" i="23"/>
  <c r="O521" i="23"/>
  <c r="O520" i="23"/>
  <c r="O519" i="23"/>
  <c r="O518" i="23"/>
  <c r="O517" i="23"/>
  <c r="O516" i="23"/>
  <c r="O515" i="23"/>
  <c r="O514" i="23"/>
  <c r="O513" i="23"/>
  <c r="O512" i="23"/>
  <c r="O511" i="23"/>
  <c r="O510" i="23"/>
  <c r="O509" i="23"/>
  <c r="O508" i="23"/>
  <c r="O507" i="23"/>
  <c r="O506" i="23"/>
  <c r="O505" i="23"/>
  <c r="O504" i="23"/>
  <c r="O503" i="23"/>
  <c r="O502" i="23"/>
  <c r="O501" i="23"/>
  <c r="O500" i="23"/>
  <c r="O499" i="23"/>
  <c r="O498" i="23"/>
  <c r="O497" i="23"/>
  <c r="O496" i="23"/>
  <c r="O495" i="23"/>
  <c r="O494" i="23"/>
  <c r="O493" i="23"/>
  <c r="O492" i="23"/>
  <c r="O491" i="23"/>
  <c r="O490" i="23"/>
  <c r="O489" i="23"/>
  <c r="O488" i="23"/>
  <c r="O487" i="23"/>
  <c r="O486" i="23"/>
  <c r="O485" i="23"/>
  <c r="O484" i="23"/>
  <c r="O483" i="23"/>
  <c r="O482" i="23"/>
  <c r="O481" i="23"/>
  <c r="O480" i="23"/>
  <c r="O479" i="23"/>
  <c r="O478" i="23"/>
  <c r="O477" i="23"/>
  <c r="O476" i="23"/>
  <c r="O475" i="23"/>
  <c r="O474" i="23"/>
  <c r="O473" i="23"/>
  <c r="O472" i="23"/>
  <c r="O471" i="23"/>
  <c r="O470" i="23"/>
  <c r="O469" i="23"/>
  <c r="O468" i="23"/>
  <c r="O467" i="23"/>
  <c r="O466" i="23"/>
  <c r="O465" i="23"/>
  <c r="O464" i="23"/>
  <c r="O463" i="23"/>
  <c r="O462" i="23"/>
  <c r="O461" i="23"/>
  <c r="O460" i="23"/>
  <c r="O459" i="23"/>
  <c r="O458" i="23"/>
  <c r="O457" i="23"/>
  <c r="O456" i="23"/>
  <c r="O455" i="23"/>
  <c r="O454" i="23"/>
  <c r="O453" i="23"/>
  <c r="O452" i="23"/>
  <c r="O451" i="23"/>
  <c r="O450" i="23"/>
  <c r="O449" i="23"/>
  <c r="O448" i="23"/>
  <c r="O447" i="23"/>
  <c r="O446" i="23"/>
  <c r="O445" i="23"/>
  <c r="O444" i="23"/>
  <c r="O443" i="23"/>
  <c r="O442" i="23"/>
  <c r="O441" i="23"/>
  <c r="O440" i="23"/>
  <c r="O439" i="23"/>
  <c r="O438" i="23"/>
  <c r="O437" i="23"/>
  <c r="O436" i="23"/>
  <c r="O435" i="23"/>
  <c r="O434" i="23"/>
  <c r="O433" i="23"/>
  <c r="O432" i="23"/>
  <c r="O431" i="23"/>
  <c r="O430" i="23"/>
  <c r="O429" i="23"/>
  <c r="O428" i="23"/>
  <c r="O427" i="23"/>
  <c r="O426" i="23"/>
  <c r="O425" i="23"/>
  <c r="O424" i="23"/>
  <c r="O423" i="23"/>
  <c r="O422" i="23"/>
  <c r="O421" i="23"/>
  <c r="O420" i="23"/>
  <c r="O419" i="23"/>
  <c r="O418" i="23"/>
  <c r="O417" i="23"/>
  <c r="O416" i="23"/>
  <c r="O415" i="23"/>
  <c r="O414" i="23"/>
  <c r="O413" i="23"/>
  <c r="O412" i="23"/>
  <c r="O411" i="23"/>
  <c r="O410" i="23"/>
  <c r="O409" i="23"/>
  <c r="O408" i="23"/>
  <c r="O407" i="23"/>
  <c r="O406" i="23"/>
  <c r="O405" i="23"/>
  <c r="O404" i="23"/>
  <c r="O403" i="23"/>
  <c r="O402" i="23"/>
  <c r="O401" i="23"/>
  <c r="O400" i="23"/>
  <c r="O399" i="23"/>
  <c r="O398" i="23"/>
  <c r="O397" i="23"/>
  <c r="O396" i="23"/>
  <c r="O395" i="23"/>
  <c r="O394" i="23"/>
  <c r="O393" i="23"/>
  <c r="O392" i="23"/>
  <c r="O391" i="23"/>
  <c r="O390" i="23"/>
  <c r="O389" i="23"/>
  <c r="O388" i="23"/>
  <c r="O387" i="23"/>
  <c r="O386" i="23"/>
  <c r="O385" i="23"/>
  <c r="O384" i="23"/>
  <c r="O383" i="23"/>
  <c r="O382" i="23"/>
  <c r="O381" i="23"/>
  <c r="O380" i="23"/>
  <c r="O379" i="23"/>
  <c r="O378" i="23"/>
  <c r="O377" i="23"/>
  <c r="O376" i="23"/>
  <c r="O375" i="23"/>
  <c r="O374" i="23"/>
  <c r="O373" i="23"/>
  <c r="O372" i="23"/>
  <c r="O371" i="23"/>
  <c r="O370" i="23"/>
  <c r="O369" i="23"/>
  <c r="O368" i="23"/>
  <c r="O367" i="23"/>
  <c r="O366" i="23"/>
  <c r="O365" i="23"/>
  <c r="O364" i="23"/>
  <c r="O363" i="23"/>
  <c r="O362" i="23"/>
  <c r="O361" i="23"/>
  <c r="O360" i="23"/>
  <c r="O359" i="23"/>
  <c r="O358" i="23"/>
  <c r="O357" i="23"/>
  <c r="O356" i="23"/>
  <c r="O355" i="23"/>
  <c r="O354" i="23"/>
  <c r="O353" i="23"/>
  <c r="O352" i="23"/>
  <c r="O351" i="23"/>
  <c r="O350" i="23"/>
  <c r="O349" i="23"/>
  <c r="O348" i="23"/>
  <c r="O347" i="23"/>
  <c r="O346" i="23"/>
  <c r="O345" i="23"/>
  <c r="O344" i="23"/>
  <c r="O343" i="23"/>
  <c r="O342" i="23"/>
  <c r="O341" i="23"/>
  <c r="O340" i="23"/>
  <c r="O339" i="23"/>
  <c r="O338" i="23"/>
  <c r="O337" i="23"/>
  <c r="O336" i="23"/>
  <c r="O335" i="23"/>
  <c r="O334" i="23"/>
  <c r="O333" i="23"/>
  <c r="O332" i="23"/>
  <c r="O331" i="23"/>
  <c r="O330" i="23"/>
  <c r="O329" i="23"/>
  <c r="O328" i="23"/>
  <c r="O327" i="23"/>
  <c r="O326" i="23"/>
  <c r="O325" i="23"/>
  <c r="O324" i="23"/>
  <c r="O323" i="23"/>
  <c r="O322" i="23"/>
  <c r="O321" i="23"/>
  <c r="O320" i="23"/>
  <c r="O319" i="23"/>
  <c r="O318" i="23"/>
  <c r="O317" i="23"/>
  <c r="O316" i="23"/>
  <c r="O315" i="23"/>
  <c r="O314" i="23"/>
  <c r="O313" i="23"/>
  <c r="O312" i="23"/>
  <c r="O311" i="23"/>
  <c r="O310" i="23"/>
  <c r="O309" i="23"/>
  <c r="O308" i="23"/>
  <c r="O307" i="23"/>
  <c r="O306" i="23"/>
  <c r="O305" i="23"/>
  <c r="O304" i="23"/>
  <c r="O303" i="23"/>
  <c r="O302" i="23"/>
  <c r="O301" i="23"/>
  <c r="O300" i="23"/>
  <c r="O299" i="23"/>
  <c r="O298" i="23"/>
  <c r="O297" i="23"/>
  <c r="O296" i="23"/>
  <c r="O295" i="23"/>
  <c r="O294" i="23"/>
  <c r="O293" i="23"/>
  <c r="O292" i="23"/>
  <c r="O291" i="23"/>
  <c r="O290" i="23"/>
  <c r="O289" i="23"/>
  <c r="O288" i="23"/>
  <c r="O287" i="23"/>
  <c r="O286" i="23"/>
  <c r="O285" i="23"/>
  <c r="O284" i="23"/>
  <c r="O283" i="23"/>
  <c r="O282" i="23"/>
  <c r="O281" i="23"/>
  <c r="O280" i="23"/>
  <c r="O279" i="23"/>
  <c r="O278" i="23"/>
  <c r="O277" i="23"/>
  <c r="O276" i="23"/>
  <c r="O275" i="23"/>
  <c r="O274" i="23"/>
  <c r="O273" i="23"/>
  <c r="O272" i="23"/>
  <c r="O271" i="23"/>
  <c r="O270" i="23"/>
  <c r="O269" i="23"/>
  <c r="O268" i="23"/>
  <c r="O267" i="23"/>
  <c r="O266" i="23"/>
  <c r="O265" i="23"/>
  <c r="O264" i="23"/>
  <c r="O263" i="23"/>
  <c r="O262" i="23"/>
  <c r="O261" i="23"/>
  <c r="O260" i="23"/>
  <c r="O259" i="23"/>
  <c r="O258" i="23"/>
  <c r="O257" i="23"/>
  <c r="O256" i="23"/>
  <c r="O255" i="23"/>
  <c r="O254" i="23"/>
  <c r="O253" i="23"/>
  <c r="O252" i="23"/>
  <c r="O251" i="23"/>
  <c r="O250" i="23"/>
  <c r="O249" i="23"/>
  <c r="O248" i="23"/>
  <c r="O247" i="23"/>
  <c r="O246" i="23"/>
  <c r="O245" i="23"/>
  <c r="O244" i="23"/>
  <c r="O243" i="23"/>
  <c r="O242" i="23"/>
  <c r="O241" i="23"/>
  <c r="O240" i="23"/>
  <c r="O239" i="23"/>
  <c r="O238" i="23"/>
  <c r="O237" i="23"/>
  <c r="O236" i="23"/>
  <c r="O235" i="23"/>
  <c r="O234" i="23"/>
  <c r="O233" i="23"/>
  <c r="O232" i="23"/>
  <c r="O231" i="23"/>
  <c r="O230" i="23"/>
  <c r="O229" i="23"/>
  <c r="O228" i="23"/>
  <c r="O227" i="23"/>
  <c r="O226" i="23"/>
  <c r="O225" i="23"/>
  <c r="O224" i="23"/>
  <c r="O223" i="23"/>
  <c r="O222" i="23"/>
  <c r="O221" i="23"/>
  <c r="O220" i="23"/>
  <c r="O219" i="23"/>
  <c r="O218" i="23"/>
  <c r="O217" i="23"/>
  <c r="O216" i="23"/>
  <c r="O215" i="23"/>
  <c r="O214" i="23"/>
  <c r="O213" i="23"/>
  <c r="O212" i="23"/>
  <c r="O211" i="23"/>
  <c r="O210" i="23"/>
  <c r="O209" i="23"/>
  <c r="O208" i="23"/>
  <c r="O207" i="23"/>
  <c r="O206" i="23"/>
  <c r="O205" i="23"/>
  <c r="O204" i="23"/>
  <c r="O203" i="23"/>
  <c r="O202" i="23"/>
  <c r="O201" i="23"/>
  <c r="O200" i="23"/>
  <c r="O199" i="23"/>
  <c r="O198" i="23"/>
  <c r="O197" i="23"/>
  <c r="O196" i="23"/>
  <c r="O195" i="23"/>
  <c r="O194" i="23"/>
  <c r="O193" i="23"/>
  <c r="O192" i="23"/>
  <c r="O191" i="23"/>
  <c r="O190" i="23"/>
  <c r="O189" i="23"/>
  <c r="O188" i="23"/>
  <c r="O187" i="23"/>
  <c r="O186" i="23"/>
  <c r="O185" i="23"/>
  <c r="O184" i="23"/>
  <c r="O183" i="23"/>
  <c r="O182" i="23"/>
  <c r="O181" i="23"/>
  <c r="O180" i="23"/>
  <c r="O179" i="23"/>
  <c r="O178" i="23"/>
  <c r="O177" i="23"/>
  <c r="O176" i="23"/>
  <c r="O175" i="23"/>
  <c r="O174" i="23"/>
  <c r="O173" i="23"/>
  <c r="O172" i="23"/>
  <c r="O171" i="23"/>
  <c r="O170" i="23"/>
  <c r="O169" i="23"/>
  <c r="O168" i="23"/>
  <c r="O167" i="23"/>
  <c r="O166" i="23"/>
  <c r="O165" i="23"/>
  <c r="O164" i="23"/>
  <c r="O163" i="23"/>
  <c r="O162" i="23"/>
  <c r="O161" i="23"/>
  <c r="O160" i="23"/>
  <c r="O159" i="23"/>
  <c r="O158" i="23"/>
  <c r="O157" i="23"/>
  <c r="O156" i="23"/>
  <c r="O155" i="23"/>
  <c r="O154" i="23"/>
  <c r="O153" i="23"/>
  <c r="O152" i="23"/>
  <c r="O151" i="23"/>
  <c r="O150" i="23"/>
  <c r="O149" i="23"/>
  <c r="O148" i="23"/>
  <c r="O147" i="23"/>
  <c r="O146" i="23"/>
  <c r="O145" i="23"/>
  <c r="O144" i="23"/>
  <c r="O143" i="23"/>
  <c r="O142" i="23"/>
  <c r="O141" i="23"/>
  <c r="O140" i="23"/>
  <c r="O139" i="23"/>
  <c r="O138" i="23"/>
  <c r="O137" i="23"/>
  <c r="O136" i="23"/>
  <c r="O135" i="23"/>
  <c r="O134" i="23"/>
  <c r="O133" i="23"/>
  <c r="O132" i="23"/>
  <c r="O131" i="23"/>
  <c r="O130" i="23"/>
  <c r="O129" i="23"/>
  <c r="O128" i="23"/>
  <c r="O127" i="23"/>
  <c r="O126" i="23"/>
  <c r="O125" i="23"/>
  <c r="O124" i="23"/>
  <c r="O123" i="23"/>
  <c r="O122" i="23"/>
  <c r="O121" i="23"/>
  <c r="O120" i="23"/>
  <c r="O119" i="23"/>
  <c r="O118" i="23"/>
  <c r="O117" i="23"/>
  <c r="O116" i="23"/>
  <c r="O115" i="23"/>
  <c r="O114" i="23"/>
  <c r="O113" i="23"/>
  <c r="O112" i="23"/>
  <c r="O111" i="23"/>
  <c r="O110" i="23"/>
  <c r="O109" i="23"/>
  <c r="O108" i="23"/>
  <c r="O107" i="23"/>
  <c r="O106" i="23"/>
  <c r="O105" i="23"/>
  <c r="O104" i="23"/>
  <c r="O103" i="23"/>
  <c r="O102" i="23"/>
  <c r="O101" i="23"/>
  <c r="O100" i="23"/>
  <c r="O99" i="23"/>
  <c r="O98" i="23"/>
  <c r="O97" i="23"/>
  <c r="O96" i="23"/>
  <c r="O95" i="23"/>
  <c r="O94" i="23"/>
  <c r="O93" i="23"/>
  <c r="O92" i="23"/>
  <c r="O91" i="23"/>
  <c r="O90" i="23"/>
  <c r="O89" i="23"/>
  <c r="O88" i="23"/>
  <c r="O87" i="23"/>
  <c r="O86" i="23"/>
  <c r="O85" i="23"/>
  <c r="O84" i="23"/>
  <c r="O83" i="23"/>
  <c r="O82" i="23"/>
  <c r="O81" i="23"/>
  <c r="O80" i="23"/>
  <c r="O79" i="23"/>
  <c r="O78" i="23"/>
  <c r="O77" i="23"/>
  <c r="O76" i="23"/>
  <c r="O75" i="23"/>
  <c r="O74" i="23"/>
  <c r="O73" i="23"/>
  <c r="O72" i="23"/>
  <c r="O71" i="23"/>
  <c r="O70" i="23"/>
  <c r="O69" i="23"/>
  <c r="O68" i="23"/>
  <c r="O67" i="23"/>
  <c r="O66" i="23"/>
  <c r="O65" i="23"/>
  <c r="O64" i="23"/>
  <c r="O63" i="23"/>
  <c r="O62" i="23"/>
  <c r="O61" i="23"/>
  <c r="O60" i="23"/>
  <c r="O59" i="23"/>
  <c r="O58" i="23"/>
  <c r="O57" i="23"/>
  <c r="O56" i="23"/>
  <c r="O55" i="23"/>
  <c r="O54" i="23"/>
  <c r="O53" i="23"/>
  <c r="O52" i="23"/>
  <c r="O51" i="23"/>
  <c r="O50" i="23"/>
  <c r="O49" i="23"/>
  <c r="O48" i="23"/>
  <c r="O47" i="23"/>
  <c r="O46" i="23"/>
  <c r="O45" i="23"/>
  <c r="O44" i="23"/>
  <c r="O43" i="23"/>
  <c r="O42" i="23"/>
  <c r="O41" i="23"/>
  <c r="O40" i="23"/>
  <c r="O39" i="23"/>
  <c r="O38" i="23"/>
  <c r="O37" i="23"/>
  <c r="O36" i="23"/>
  <c r="O35" i="23"/>
  <c r="O34" i="23"/>
  <c r="O33" i="23"/>
  <c r="O32" i="23"/>
  <c r="O31" i="23"/>
  <c r="O30" i="23"/>
  <c r="O29" i="23"/>
  <c r="O28" i="23"/>
  <c r="O27" i="23"/>
  <c r="O26" i="23"/>
  <c r="O25" i="23"/>
  <c r="O24" i="23"/>
  <c r="O23" i="23"/>
  <c r="O22" i="23"/>
  <c r="O21" i="23"/>
  <c r="O20" i="23"/>
  <c r="O19" i="23"/>
  <c r="O18" i="23"/>
  <c r="O17" i="23"/>
  <c r="O16" i="23"/>
  <c r="O15" i="23"/>
  <c r="O14" i="23"/>
  <c r="O13" i="23"/>
  <c r="O12" i="23"/>
  <c r="O11" i="23"/>
  <c r="O10" i="23"/>
  <c r="O9" i="23"/>
  <c r="O8" i="23"/>
  <c r="O7" i="23"/>
  <c r="O6" i="23"/>
  <c r="O5" i="23"/>
  <c r="O4" i="23"/>
  <c r="O3" i="23"/>
  <c r="O2" i="23"/>
  <c r="H121" i="1"/>
  <c r="D5000" i="23"/>
  <c r="D4999" i="23"/>
  <c r="D4998" i="23"/>
  <c r="D4997" i="23"/>
  <c r="D4996" i="23"/>
  <c r="D4995" i="23"/>
  <c r="D4994" i="23"/>
  <c r="D4993" i="23"/>
  <c r="D4992" i="23"/>
  <c r="D4991" i="23"/>
  <c r="D4990" i="23"/>
  <c r="D4989" i="23"/>
  <c r="D4988" i="23"/>
  <c r="D4987" i="23"/>
  <c r="D4986" i="23"/>
  <c r="D4985" i="23"/>
  <c r="D4984" i="23"/>
  <c r="D4983" i="23"/>
  <c r="D4982" i="23"/>
  <c r="D4981" i="23"/>
  <c r="D4980" i="23"/>
  <c r="D4979" i="23"/>
  <c r="D4978" i="23"/>
  <c r="D4977" i="23"/>
  <c r="D4976" i="23"/>
  <c r="D4975" i="23"/>
  <c r="D4974" i="23"/>
  <c r="D4973" i="23"/>
  <c r="D4972" i="23"/>
  <c r="D4971" i="23"/>
  <c r="D4970" i="23"/>
  <c r="D4969" i="23"/>
  <c r="D4968" i="23"/>
  <c r="D4967" i="23"/>
  <c r="D4966" i="23"/>
  <c r="D4965" i="23"/>
  <c r="D4964" i="23"/>
  <c r="D4963" i="23"/>
  <c r="D4962" i="23"/>
  <c r="D4961" i="23"/>
  <c r="D4960" i="23"/>
  <c r="D4959" i="23"/>
  <c r="D4958" i="23"/>
  <c r="D4957" i="23"/>
  <c r="D4956" i="23"/>
  <c r="D4955" i="23"/>
  <c r="D4954" i="23"/>
  <c r="D4953" i="23"/>
  <c r="D4952" i="23"/>
  <c r="D4951" i="23"/>
  <c r="D4950" i="23"/>
  <c r="D4949" i="23"/>
  <c r="D4948" i="23"/>
  <c r="D4947" i="23"/>
  <c r="D4946" i="23"/>
  <c r="D4945" i="23"/>
  <c r="D4944" i="23"/>
  <c r="D4943" i="23"/>
  <c r="D4942" i="23"/>
  <c r="D4941" i="23"/>
  <c r="D4940" i="23"/>
  <c r="D4939" i="23"/>
  <c r="D4938" i="23"/>
  <c r="D4937" i="23"/>
  <c r="D4936" i="23"/>
  <c r="D4935" i="23"/>
  <c r="D4934" i="23"/>
  <c r="D4933" i="23"/>
  <c r="D4932" i="23"/>
  <c r="D4931" i="23"/>
  <c r="D4930" i="23"/>
  <c r="D4929" i="23"/>
  <c r="D4928" i="23"/>
  <c r="D4927" i="23"/>
  <c r="D4926" i="23"/>
  <c r="D4925" i="23"/>
  <c r="D4924" i="23"/>
  <c r="D4923" i="23"/>
  <c r="D4922" i="23"/>
  <c r="D4921" i="23"/>
  <c r="D4920" i="23"/>
  <c r="D4919" i="23"/>
  <c r="D4918" i="23"/>
  <c r="D4917" i="23"/>
  <c r="D4916" i="23"/>
  <c r="D4915" i="23"/>
  <c r="D4914" i="23"/>
  <c r="D4913" i="23"/>
  <c r="D4912" i="23"/>
  <c r="D4911" i="23"/>
  <c r="D4910" i="23"/>
  <c r="D4909" i="23"/>
  <c r="D4908" i="23"/>
  <c r="D4907" i="23"/>
  <c r="D4906" i="23"/>
  <c r="D4905" i="23"/>
  <c r="D4904" i="23"/>
  <c r="D4903" i="23"/>
  <c r="D4902" i="23"/>
  <c r="D4901" i="23"/>
  <c r="D4900" i="23"/>
  <c r="D4899" i="23"/>
  <c r="D4898" i="23"/>
  <c r="D4897" i="23"/>
  <c r="D4896" i="23"/>
  <c r="D4895" i="23"/>
  <c r="D4894" i="23"/>
  <c r="D4893" i="23"/>
  <c r="D4892" i="23"/>
  <c r="D4891" i="23"/>
  <c r="D4890" i="23"/>
  <c r="D4889" i="23"/>
  <c r="D4888" i="23"/>
  <c r="D4887" i="23"/>
  <c r="D4886" i="23"/>
  <c r="D4885" i="23"/>
  <c r="D4884" i="23"/>
  <c r="D4883" i="23"/>
  <c r="D4882" i="23"/>
  <c r="D4881" i="23"/>
  <c r="D4880" i="23"/>
  <c r="D4879" i="23"/>
  <c r="D4878" i="23"/>
  <c r="D4877" i="23"/>
  <c r="D4876" i="23"/>
  <c r="D4875" i="23"/>
  <c r="D4874" i="23"/>
  <c r="D4873" i="23"/>
  <c r="D4872" i="23"/>
  <c r="D4871" i="23"/>
  <c r="D4870" i="23"/>
  <c r="D4869" i="23"/>
  <c r="D4868" i="23"/>
  <c r="D4867" i="23"/>
  <c r="D4866" i="23"/>
  <c r="D4865" i="23"/>
  <c r="D4864" i="23"/>
  <c r="D4863" i="23"/>
  <c r="D4862" i="23"/>
  <c r="D4861" i="23"/>
  <c r="D4860" i="23"/>
  <c r="D4859" i="23"/>
  <c r="D4858" i="23"/>
  <c r="D4857" i="23"/>
  <c r="D4856" i="23"/>
  <c r="D4855" i="23"/>
  <c r="D4854" i="23"/>
  <c r="D4853" i="23"/>
  <c r="D4852" i="23"/>
  <c r="D4851" i="23"/>
  <c r="D4850" i="23"/>
  <c r="D4849" i="23"/>
  <c r="D4848" i="23"/>
  <c r="D4847" i="23"/>
  <c r="D4846" i="23"/>
  <c r="D4845" i="23"/>
  <c r="D4844" i="23"/>
  <c r="D4843" i="23"/>
  <c r="D4842" i="23"/>
  <c r="D4841" i="23"/>
  <c r="D4840" i="23"/>
  <c r="D4839" i="23"/>
  <c r="D4838" i="23"/>
  <c r="D4837" i="23"/>
  <c r="D4836" i="23"/>
  <c r="D4835" i="23"/>
  <c r="D4834" i="23"/>
  <c r="D4833" i="23"/>
  <c r="D4832" i="23"/>
  <c r="D4831" i="23"/>
  <c r="D4830" i="23"/>
  <c r="D4829" i="23"/>
  <c r="D4828" i="23"/>
  <c r="D4827" i="23"/>
  <c r="D4826" i="23"/>
  <c r="D4825" i="23"/>
  <c r="D4824" i="23"/>
  <c r="D4823" i="23"/>
  <c r="D4822" i="23"/>
  <c r="D4821" i="23"/>
  <c r="D4820" i="23"/>
  <c r="D4819" i="23"/>
  <c r="D4818" i="23"/>
  <c r="D4817" i="23"/>
  <c r="D4816" i="23"/>
  <c r="D4815" i="23"/>
  <c r="D4814" i="23"/>
  <c r="D4813" i="23"/>
  <c r="D4812" i="23"/>
  <c r="D4811" i="23"/>
  <c r="D4810" i="23"/>
  <c r="D4809" i="23"/>
  <c r="D4808" i="23"/>
  <c r="D4807" i="23"/>
  <c r="D4806" i="23"/>
  <c r="D4805" i="23"/>
  <c r="D4804" i="23"/>
  <c r="D4803" i="23"/>
  <c r="D4802" i="23"/>
  <c r="D4801" i="23"/>
  <c r="D4800" i="23"/>
  <c r="D4799" i="23"/>
  <c r="D4798" i="23"/>
  <c r="D4797" i="23"/>
  <c r="D4796" i="23"/>
  <c r="D4795" i="23"/>
  <c r="D4794" i="23"/>
  <c r="D4793" i="23"/>
  <c r="D4792" i="23"/>
  <c r="D4791" i="23"/>
  <c r="D4790" i="23"/>
  <c r="D4789" i="23"/>
  <c r="D4788" i="23"/>
  <c r="D4787" i="23"/>
  <c r="D4786" i="23"/>
  <c r="D4785" i="23"/>
  <c r="D4784" i="23"/>
  <c r="D4783" i="23"/>
  <c r="D4782" i="23"/>
  <c r="D4781" i="23"/>
  <c r="D4780" i="23"/>
  <c r="D4779" i="23"/>
  <c r="D4778" i="23"/>
  <c r="D4777" i="23"/>
  <c r="D4776" i="23"/>
  <c r="D4775" i="23"/>
  <c r="D4774" i="23"/>
  <c r="D4773" i="23"/>
  <c r="D4772" i="23"/>
  <c r="D4771" i="23"/>
  <c r="D4770" i="23"/>
  <c r="D4769" i="23"/>
  <c r="D4768" i="23"/>
  <c r="D4767" i="23"/>
  <c r="D4766" i="23"/>
  <c r="D4765" i="23"/>
  <c r="D4764" i="23"/>
  <c r="D4763" i="23"/>
  <c r="D4762" i="23"/>
  <c r="D4761" i="23"/>
  <c r="D4760" i="23"/>
  <c r="D4759" i="23"/>
  <c r="D4758" i="23"/>
  <c r="D4757" i="23"/>
  <c r="D4756" i="23"/>
  <c r="D4755" i="23"/>
  <c r="D4754" i="23"/>
  <c r="D4753" i="23"/>
  <c r="D4752" i="23"/>
  <c r="D4751" i="23"/>
  <c r="D4750" i="23"/>
  <c r="D4749" i="23"/>
  <c r="D4748" i="23"/>
  <c r="D4747" i="23"/>
  <c r="D4746" i="23"/>
  <c r="D4745" i="23"/>
  <c r="D4744" i="23"/>
  <c r="D4743" i="23"/>
  <c r="D4742" i="23"/>
  <c r="D4741" i="23"/>
  <c r="D4740" i="23"/>
  <c r="D4739" i="23"/>
  <c r="D4738" i="23"/>
  <c r="D4737" i="23"/>
  <c r="D4736" i="23"/>
  <c r="D4735" i="23"/>
  <c r="D4734" i="23"/>
  <c r="D4733" i="23"/>
  <c r="D4732" i="23"/>
  <c r="D4731" i="23"/>
  <c r="D4730" i="23"/>
  <c r="D4729" i="23"/>
  <c r="D4728" i="23"/>
  <c r="D4727" i="23"/>
  <c r="D4726" i="23"/>
  <c r="D4725" i="23"/>
  <c r="D4724" i="23"/>
  <c r="D4723" i="23"/>
  <c r="D4722" i="23"/>
  <c r="D4721" i="23"/>
  <c r="D4720" i="23"/>
  <c r="D4719" i="23"/>
  <c r="D4718" i="23"/>
  <c r="D4717" i="23"/>
  <c r="D4716" i="23"/>
  <c r="D4715" i="23"/>
  <c r="D4714" i="23"/>
  <c r="D4713" i="23"/>
  <c r="D4712" i="23"/>
  <c r="D4711" i="23"/>
  <c r="D4710" i="23"/>
  <c r="D4709" i="23"/>
  <c r="D4708" i="23"/>
  <c r="D4707" i="23"/>
  <c r="D4706" i="23"/>
  <c r="D4705" i="23"/>
  <c r="D4704" i="23"/>
  <c r="D4703" i="23"/>
  <c r="D4702" i="23"/>
  <c r="D4701" i="23"/>
  <c r="D4700" i="23"/>
  <c r="D4699" i="23"/>
  <c r="D4698" i="23"/>
  <c r="D4697" i="23"/>
  <c r="D4696" i="23"/>
  <c r="D4695" i="23"/>
  <c r="D4694" i="23"/>
  <c r="D4693" i="23"/>
  <c r="D4692" i="23"/>
  <c r="D4691" i="23"/>
  <c r="D4690" i="23"/>
  <c r="D4689" i="23"/>
  <c r="D4688" i="23"/>
  <c r="D4687" i="23"/>
  <c r="D4686" i="23"/>
  <c r="D4685" i="23"/>
  <c r="D4684" i="23"/>
  <c r="D4683" i="23"/>
  <c r="D4682" i="23"/>
  <c r="D4681" i="23"/>
  <c r="D4680" i="23"/>
  <c r="D4679" i="23"/>
  <c r="D4678" i="23"/>
  <c r="D4677" i="23"/>
  <c r="D4676" i="23"/>
  <c r="D4675" i="23"/>
  <c r="D4674" i="23"/>
  <c r="D4673" i="23"/>
  <c r="D4672" i="23"/>
  <c r="D4671" i="23"/>
  <c r="D4670" i="23"/>
  <c r="D4669" i="23"/>
  <c r="D4668" i="23"/>
  <c r="D4667" i="23"/>
  <c r="D4666" i="23"/>
  <c r="D4665" i="23"/>
  <c r="D4664" i="23"/>
  <c r="D4663" i="23"/>
  <c r="D4662" i="23"/>
  <c r="D4661" i="23"/>
  <c r="D4660" i="23"/>
  <c r="D4659" i="23"/>
  <c r="D4658" i="23"/>
  <c r="D4657" i="23"/>
  <c r="D4656" i="23"/>
  <c r="D4655" i="23"/>
  <c r="D4654" i="23"/>
  <c r="D4653" i="23"/>
  <c r="D4652" i="23"/>
  <c r="D4651" i="23"/>
  <c r="D4650" i="23"/>
  <c r="D4649" i="23"/>
  <c r="D4648" i="23"/>
  <c r="D4647" i="23"/>
  <c r="D4646" i="23"/>
  <c r="D4645" i="23"/>
  <c r="D4644" i="23"/>
  <c r="D4643" i="23"/>
  <c r="D4642" i="23"/>
  <c r="D4641" i="23"/>
  <c r="D4640" i="23"/>
  <c r="D4639" i="23"/>
  <c r="D4638" i="23"/>
  <c r="D4637" i="23"/>
  <c r="D4636" i="23"/>
  <c r="D4635" i="23"/>
  <c r="D4634" i="23"/>
  <c r="D4633" i="23"/>
  <c r="D4632" i="23"/>
  <c r="D4631" i="23"/>
  <c r="D4630" i="23"/>
  <c r="D4629" i="23"/>
  <c r="D4628" i="23"/>
  <c r="D4627" i="23"/>
  <c r="D4626" i="23"/>
  <c r="D4625" i="23"/>
  <c r="D4624" i="23"/>
  <c r="D4623" i="23"/>
  <c r="D4622" i="23"/>
  <c r="D4621" i="23"/>
  <c r="D4620" i="23"/>
  <c r="D4619" i="23"/>
  <c r="D4618" i="23"/>
  <c r="D4617" i="23"/>
  <c r="D4616" i="23"/>
  <c r="D4615" i="23"/>
  <c r="D4614" i="23"/>
  <c r="D4613" i="23"/>
  <c r="D4612" i="23"/>
  <c r="D4611" i="23"/>
  <c r="D4610" i="23"/>
  <c r="D4609" i="23"/>
  <c r="D4608" i="23"/>
  <c r="D4607" i="23"/>
  <c r="D4606" i="23"/>
  <c r="D4605" i="23"/>
  <c r="D4604" i="23"/>
  <c r="D4603" i="23"/>
  <c r="D4602" i="23"/>
  <c r="D4601" i="23"/>
  <c r="D4600" i="23"/>
  <c r="D4599" i="23"/>
  <c r="D4598" i="23"/>
  <c r="D4597" i="23"/>
  <c r="D4596" i="23"/>
  <c r="D4595" i="23"/>
  <c r="D4594" i="23"/>
  <c r="D4593" i="23"/>
  <c r="D4592" i="23"/>
  <c r="D4591" i="23"/>
  <c r="D4590" i="23"/>
  <c r="D4589" i="23"/>
  <c r="D4588" i="23"/>
  <c r="D4587" i="23"/>
  <c r="D4586" i="23"/>
  <c r="D4585" i="23"/>
  <c r="D4584" i="23"/>
  <c r="D4583" i="23"/>
  <c r="D4582" i="23"/>
  <c r="D4581" i="23"/>
  <c r="D4580" i="23"/>
  <c r="D4579" i="23"/>
  <c r="D4578" i="23"/>
  <c r="D4577" i="23"/>
  <c r="D4576" i="23"/>
  <c r="D4575" i="23"/>
  <c r="D4574" i="23"/>
  <c r="D4573" i="23"/>
  <c r="D4572" i="23"/>
  <c r="D4571" i="23"/>
  <c r="D4570" i="23"/>
  <c r="D4569" i="23"/>
  <c r="D4568" i="23"/>
  <c r="D4567" i="23"/>
  <c r="D4566" i="23"/>
  <c r="D4565" i="23"/>
  <c r="D4564" i="23"/>
  <c r="D4563" i="23"/>
  <c r="D4562" i="23"/>
  <c r="D4561" i="23"/>
  <c r="D4560" i="23"/>
  <c r="D4559" i="23"/>
  <c r="D4558" i="23"/>
  <c r="D4557" i="23"/>
  <c r="D4556" i="23"/>
  <c r="D4555" i="23"/>
  <c r="D4554" i="23"/>
  <c r="D4553" i="23"/>
  <c r="D4552" i="23"/>
  <c r="D4551" i="23"/>
  <c r="D4550" i="23"/>
  <c r="D4549" i="23"/>
  <c r="D4548" i="23"/>
  <c r="D4547" i="23"/>
  <c r="D4546" i="23"/>
  <c r="D4545" i="23"/>
  <c r="D4544" i="23"/>
  <c r="D4543" i="23"/>
  <c r="D4542" i="23"/>
  <c r="D4541" i="23"/>
  <c r="D4540" i="23"/>
  <c r="D4539" i="23"/>
  <c r="D4538" i="23"/>
  <c r="D4537" i="23"/>
  <c r="D4536" i="23"/>
  <c r="D4535" i="23"/>
  <c r="D4534" i="23"/>
  <c r="D4533" i="23"/>
  <c r="D4532" i="23"/>
  <c r="D4531" i="23"/>
  <c r="D4530" i="23"/>
  <c r="D4529" i="23"/>
  <c r="D4528" i="23"/>
  <c r="D4527" i="23"/>
  <c r="D4526" i="23"/>
  <c r="D4525" i="23"/>
  <c r="D4524" i="23"/>
  <c r="D4523" i="23"/>
  <c r="D4522" i="23"/>
  <c r="D4521" i="23"/>
  <c r="D4520" i="23"/>
  <c r="D4519" i="23"/>
  <c r="D4518" i="23"/>
  <c r="D4517" i="23"/>
  <c r="D4516" i="23"/>
  <c r="D4515" i="23"/>
  <c r="D4514" i="23"/>
  <c r="D4513" i="23"/>
  <c r="D4512" i="23"/>
  <c r="D4511" i="23"/>
  <c r="D4510" i="23"/>
  <c r="D4509" i="23"/>
  <c r="D4508" i="23"/>
  <c r="D4507" i="23"/>
  <c r="D4506" i="23"/>
  <c r="D4505" i="23"/>
  <c r="D4504" i="23"/>
  <c r="D4503" i="23"/>
  <c r="D4502" i="23"/>
  <c r="D4501" i="23"/>
  <c r="D4500" i="23"/>
  <c r="D4499" i="23"/>
  <c r="D4498" i="23"/>
  <c r="D4497" i="23"/>
  <c r="D4496" i="23"/>
  <c r="D4495" i="23"/>
  <c r="D4494" i="23"/>
  <c r="D4493" i="23"/>
  <c r="D4492" i="23"/>
  <c r="D4491" i="23"/>
  <c r="D4490" i="23"/>
  <c r="D4489" i="23"/>
  <c r="D4488" i="23"/>
  <c r="D4487" i="23"/>
  <c r="D4486" i="23"/>
  <c r="D4485" i="23"/>
  <c r="D4484" i="23"/>
  <c r="D4483" i="23"/>
  <c r="D4482" i="23"/>
  <c r="D4481" i="23"/>
  <c r="D4480" i="23"/>
  <c r="D4479" i="23"/>
  <c r="D4478" i="23"/>
  <c r="D4477" i="23"/>
  <c r="D4476" i="23"/>
  <c r="D4475" i="23"/>
  <c r="D4474" i="23"/>
  <c r="D4473" i="23"/>
  <c r="D4472" i="23"/>
  <c r="D4471" i="23"/>
  <c r="D4470" i="23"/>
  <c r="D4469" i="23"/>
  <c r="D4468" i="23"/>
  <c r="D4467" i="23"/>
  <c r="D4466" i="23"/>
  <c r="D4465" i="23"/>
  <c r="D4464" i="23"/>
  <c r="D4463" i="23"/>
  <c r="D4462" i="23"/>
  <c r="D4461" i="23"/>
  <c r="D4460" i="23"/>
  <c r="D4459" i="23"/>
  <c r="D4458" i="23"/>
  <c r="D4457" i="23"/>
  <c r="D4456" i="23"/>
  <c r="D4455" i="23"/>
  <c r="D4454" i="23"/>
  <c r="D4453" i="23"/>
  <c r="D4452" i="23"/>
  <c r="D4451" i="23"/>
  <c r="D4450" i="23"/>
  <c r="D4449" i="23"/>
  <c r="D4448" i="23"/>
  <c r="D4447" i="23"/>
  <c r="D4446" i="23"/>
  <c r="D4445" i="23"/>
  <c r="D4444" i="23"/>
  <c r="D4443" i="23"/>
  <c r="D4442" i="23"/>
  <c r="D4441" i="23"/>
  <c r="D4440" i="23"/>
  <c r="D4439" i="23"/>
  <c r="D4438" i="23"/>
  <c r="D4437" i="23"/>
  <c r="D4436" i="23"/>
  <c r="D4435" i="23"/>
  <c r="D4434" i="23"/>
  <c r="D4433" i="23"/>
  <c r="D4432" i="23"/>
  <c r="D4431" i="23"/>
  <c r="D4430" i="23"/>
  <c r="D4429" i="23"/>
  <c r="D4428" i="23"/>
  <c r="D4427" i="23"/>
  <c r="D4426" i="23"/>
  <c r="D4425" i="23"/>
  <c r="D4424" i="23"/>
  <c r="D4423" i="23"/>
  <c r="D4422" i="23"/>
  <c r="D4421" i="23"/>
  <c r="D4420" i="23"/>
  <c r="D4419" i="23"/>
  <c r="D4418" i="23"/>
  <c r="D4417" i="23"/>
  <c r="D4416" i="23"/>
  <c r="D4415" i="23"/>
  <c r="D4414" i="23"/>
  <c r="D4413" i="23"/>
  <c r="D4412" i="23"/>
  <c r="D4411" i="23"/>
  <c r="D4410" i="23"/>
  <c r="D4409" i="23"/>
  <c r="D4408" i="23"/>
  <c r="D4407" i="23"/>
  <c r="D4406" i="23"/>
  <c r="D4405" i="23"/>
  <c r="D4404" i="23"/>
  <c r="D4403" i="23"/>
  <c r="D4402" i="23"/>
  <c r="D4401" i="23"/>
  <c r="D4400" i="23"/>
  <c r="D4399" i="23"/>
  <c r="D4398" i="23"/>
  <c r="D4397" i="23"/>
  <c r="D4396" i="23"/>
  <c r="D4395" i="23"/>
  <c r="D4394" i="23"/>
  <c r="D4393" i="23"/>
  <c r="D4392" i="23"/>
  <c r="D4391" i="23"/>
  <c r="D4390" i="23"/>
  <c r="D4389" i="23"/>
  <c r="D4388" i="23"/>
  <c r="D4387" i="23"/>
  <c r="D4386" i="23"/>
  <c r="D4385" i="23"/>
  <c r="D4384" i="23"/>
  <c r="D4383" i="23"/>
  <c r="D4382" i="23"/>
  <c r="D4381" i="23"/>
  <c r="D4380" i="23"/>
  <c r="D4379" i="23"/>
  <c r="D4378" i="23"/>
  <c r="D4377" i="23"/>
  <c r="D4376" i="23"/>
  <c r="D4375" i="23"/>
  <c r="D4374" i="23"/>
  <c r="D4373" i="23"/>
  <c r="D4372" i="23"/>
  <c r="D4371" i="23"/>
  <c r="D4370" i="23"/>
  <c r="D4369" i="23"/>
  <c r="D4368" i="23"/>
  <c r="D4367" i="23"/>
  <c r="D4366" i="23"/>
  <c r="D4365" i="23"/>
  <c r="D4364" i="23"/>
  <c r="D4363" i="23"/>
  <c r="D4362" i="23"/>
  <c r="D4361" i="23"/>
  <c r="D4360" i="23"/>
  <c r="D4359" i="23"/>
  <c r="D4358" i="23"/>
  <c r="D4357" i="23"/>
  <c r="D4356" i="23"/>
  <c r="D4355" i="23"/>
  <c r="D4354" i="23"/>
  <c r="D4353" i="23"/>
  <c r="D4352" i="23"/>
  <c r="D4351" i="23"/>
  <c r="D4350" i="23"/>
  <c r="D4349" i="23"/>
  <c r="D4348" i="23"/>
  <c r="D4347" i="23"/>
  <c r="D4346" i="23"/>
  <c r="D4345" i="23"/>
  <c r="D4344" i="23"/>
  <c r="D4343" i="23"/>
  <c r="D4342" i="23"/>
  <c r="D4341" i="23"/>
  <c r="D4340" i="23"/>
  <c r="D4339" i="23"/>
  <c r="D4338" i="23"/>
  <c r="D4337" i="23"/>
  <c r="D4336" i="23"/>
  <c r="D4335" i="23"/>
  <c r="D4334" i="23"/>
  <c r="D4333" i="23"/>
  <c r="D4332" i="23"/>
  <c r="D4331" i="23"/>
  <c r="D4330" i="23"/>
  <c r="D4329" i="23"/>
  <c r="D4328" i="23"/>
  <c r="D4327" i="23"/>
  <c r="D4326" i="23"/>
  <c r="D4325" i="23"/>
  <c r="D4324" i="23"/>
  <c r="D4323" i="23"/>
  <c r="D4322" i="23"/>
  <c r="D4321" i="23"/>
  <c r="D4320" i="23"/>
  <c r="D4319" i="23"/>
  <c r="D4318" i="23"/>
  <c r="D4317" i="23"/>
  <c r="D4316" i="23"/>
  <c r="D4315" i="23"/>
  <c r="D4314" i="23"/>
  <c r="D4313" i="23"/>
  <c r="D4312" i="23"/>
  <c r="D4311" i="23"/>
  <c r="D4310" i="23"/>
  <c r="D4309" i="23"/>
  <c r="D4308" i="23"/>
  <c r="D4307" i="23"/>
  <c r="D4306" i="23"/>
  <c r="D4305" i="23"/>
  <c r="D4304" i="23"/>
  <c r="D4303" i="23"/>
  <c r="D4302" i="23"/>
  <c r="D4301" i="23"/>
  <c r="D4300" i="23"/>
  <c r="D4299" i="23"/>
  <c r="D4298" i="23"/>
  <c r="D4297" i="23"/>
  <c r="D4296" i="23"/>
  <c r="D4295" i="23"/>
  <c r="D4294" i="23"/>
  <c r="D4293" i="23"/>
  <c r="D4292" i="23"/>
  <c r="D4291" i="23"/>
  <c r="D4290" i="23"/>
  <c r="D4289" i="23"/>
  <c r="D4288" i="23"/>
  <c r="D4287" i="23"/>
  <c r="D4286" i="23"/>
  <c r="D4285" i="23"/>
  <c r="D4284" i="23"/>
  <c r="D4283" i="23"/>
  <c r="D4282" i="23"/>
  <c r="D4281" i="23"/>
  <c r="D4280" i="23"/>
  <c r="D4279" i="23"/>
  <c r="D4278" i="23"/>
  <c r="D4277" i="23"/>
  <c r="D4276" i="23"/>
  <c r="D4275" i="23"/>
  <c r="D4274" i="23"/>
  <c r="D4273" i="23"/>
  <c r="D4272" i="23"/>
  <c r="D4271" i="23"/>
  <c r="D4270" i="23"/>
  <c r="D4269" i="23"/>
  <c r="D4268" i="23"/>
  <c r="D4267" i="23"/>
  <c r="D4266" i="23"/>
  <c r="D4265" i="23"/>
  <c r="D4264" i="23"/>
  <c r="D4263" i="23"/>
  <c r="D4262" i="23"/>
  <c r="D4261" i="23"/>
  <c r="D4260" i="23"/>
  <c r="D4259" i="23"/>
  <c r="D4258" i="23"/>
  <c r="D4257" i="23"/>
  <c r="D4256" i="23"/>
  <c r="D4255" i="23"/>
  <c r="D4254" i="23"/>
  <c r="D4253" i="23"/>
  <c r="D4252" i="23"/>
  <c r="D4251" i="23"/>
  <c r="D4250" i="23"/>
  <c r="D4249" i="23"/>
  <c r="D4248" i="23"/>
  <c r="D4247" i="23"/>
  <c r="D4246" i="23"/>
  <c r="D4245" i="23"/>
  <c r="D4244" i="23"/>
  <c r="D4243" i="23"/>
  <c r="D4242" i="23"/>
  <c r="D4241" i="23"/>
  <c r="D4240" i="23"/>
  <c r="D4239" i="23"/>
  <c r="D4238" i="23"/>
  <c r="D4237" i="23"/>
  <c r="D4236" i="23"/>
  <c r="D4235" i="23"/>
  <c r="D4234" i="23"/>
  <c r="D4233" i="23"/>
  <c r="D4232" i="23"/>
  <c r="D4231" i="23"/>
  <c r="D4230" i="23"/>
  <c r="D4229" i="23"/>
  <c r="D4228" i="23"/>
  <c r="D4227" i="23"/>
  <c r="D4226" i="23"/>
  <c r="D4225" i="23"/>
  <c r="D4224" i="23"/>
  <c r="D4223" i="23"/>
  <c r="D4222" i="23"/>
  <c r="D4221" i="23"/>
  <c r="D4220" i="23"/>
  <c r="D4219" i="23"/>
  <c r="D4218" i="23"/>
  <c r="D4217" i="23"/>
  <c r="D4216" i="23"/>
  <c r="D4215" i="23"/>
  <c r="D4214" i="23"/>
  <c r="D4213" i="23"/>
  <c r="D4212" i="23"/>
  <c r="D4211" i="23"/>
  <c r="D4210" i="23"/>
  <c r="D4209" i="23"/>
  <c r="D4208" i="23"/>
  <c r="D4207" i="23"/>
  <c r="D4206" i="23"/>
  <c r="D4205" i="23"/>
  <c r="D4204" i="23"/>
  <c r="D4203" i="23"/>
  <c r="D4202" i="23"/>
  <c r="D4201" i="23"/>
  <c r="D4200" i="23"/>
  <c r="D4199" i="23"/>
  <c r="D4198" i="23"/>
  <c r="D4197" i="23"/>
  <c r="D4196" i="23"/>
  <c r="D4195" i="23"/>
  <c r="D4194" i="23"/>
  <c r="D4193" i="23"/>
  <c r="D4192" i="23"/>
  <c r="D4191" i="23"/>
  <c r="D4190" i="23"/>
  <c r="D4189" i="23"/>
  <c r="D4188" i="23"/>
  <c r="D4187" i="23"/>
  <c r="D4186" i="23"/>
  <c r="D4185" i="23"/>
  <c r="D4184" i="23"/>
  <c r="D4183" i="23"/>
  <c r="D4182" i="23"/>
  <c r="D4181" i="23"/>
  <c r="D4180" i="23"/>
  <c r="D4179" i="23"/>
  <c r="D4178" i="23"/>
  <c r="D4177" i="23"/>
  <c r="D4176" i="23"/>
  <c r="D4175" i="23"/>
  <c r="D4174" i="23"/>
  <c r="D4173" i="23"/>
  <c r="D4172" i="23"/>
  <c r="D4171" i="23"/>
  <c r="D4170" i="23"/>
  <c r="D4169" i="23"/>
  <c r="D4168" i="23"/>
  <c r="D4167" i="23"/>
  <c r="D4166" i="23"/>
  <c r="D4165" i="23"/>
  <c r="D4164" i="23"/>
  <c r="D4163" i="23"/>
  <c r="D4162" i="23"/>
  <c r="D4161" i="23"/>
  <c r="D4160" i="23"/>
  <c r="D4159" i="23"/>
  <c r="D4158" i="23"/>
  <c r="D4157" i="23"/>
  <c r="D4156" i="23"/>
  <c r="D4155" i="23"/>
  <c r="D4154" i="23"/>
  <c r="D4153" i="23"/>
  <c r="D4152" i="23"/>
  <c r="D4151" i="23"/>
  <c r="D4150" i="23"/>
  <c r="D4149" i="23"/>
  <c r="D4148" i="23"/>
  <c r="D4147" i="23"/>
  <c r="D4146" i="23"/>
  <c r="D4145" i="23"/>
  <c r="D4144" i="23"/>
  <c r="D4143" i="23"/>
  <c r="D4142" i="23"/>
  <c r="D4141" i="23"/>
  <c r="D4140" i="23"/>
  <c r="D4139" i="23"/>
  <c r="D4138" i="23"/>
  <c r="D4137" i="23"/>
  <c r="D4136" i="23"/>
  <c r="D4135" i="23"/>
  <c r="D4134" i="23"/>
  <c r="D4133" i="23"/>
  <c r="D4132" i="23"/>
  <c r="D4131" i="23"/>
  <c r="D4130" i="23"/>
  <c r="D4129" i="23"/>
  <c r="D4128" i="23"/>
  <c r="D4127" i="23"/>
  <c r="D4126" i="23"/>
  <c r="D4125" i="23"/>
  <c r="D4124" i="23"/>
  <c r="D4123" i="23"/>
  <c r="D4122" i="23"/>
  <c r="D4121" i="23"/>
  <c r="D4120" i="23"/>
  <c r="D4119" i="23"/>
  <c r="D4118" i="23"/>
  <c r="D4117" i="23"/>
  <c r="D4116" i="23"/>
  <c r="D4115" i="23"/>
  <c r="D4114" i="23"/>
  <c r="D4113" i="23"/>
  <c r="D4112" i="23"/>
  <c r="D4111" i="23"/>
  <c r="D4110" i="23"/>
  <c r="D4109" i="23"/>
  <c r="D4108" i="23"/>
  <c r="D4107" i="23"/>
  <c r="D4106" i="23"/>
  <c r="D4105" i="23"/>
  <c r="D4104" i="23"/>
  <c r="D4103" i="23"/>
  <c r="D4102" i="23"/>
  <c r="D4101" i="23"/>
  <c r="D4100" i="23"/>
  <c r="D4099" i="23"/>
  <c r="D4098" i="23"/>
  <c r="D4097" i="23"/>
  <c r="D4096" i="23"/>
  <c r="D4095" i="23"/>
  <c r="D4094" i="23"/>
  <c r="D4093" i="23"/>
  <c r="D4092" i="23"/>
  <c r="D4091" i="23"/>
  <c r="D4090" i="23"/>
  <c r="D4089" i="23"/>
  <c r="D4088" i="23"/>
  <c r="D4087" i="23"/>
  <c r="D4086" i="23"/>
  <c r="D4085" i="23"/>
  <c r="D4084" i="23"/>
  <c r="D4083" i="23"/>
  <c r="D4082" i="23"/>
  <c r="D4081" i="23"/>
  <c r="D4080" i="23"/>
  <c r="D4079" i="23"/>
  <c r="D4078" i="23"/>
  <c r="D4077" i="23"/>
  <c r="D4076" i="23"/>
  <c r="D4075" i="23"/>
  <c r="D4074" i="23"/>
  <c r="D4073" i="23"/>
  <c r="D4072" i="23"/>
  <c r="D4071" i="23"/>
  <c r="D4070" i="23"/>
  <c r="D4069" i="23"/>
  <c r="D4068" i="23"/>
  <c r="D4067" i="23"/>
  <c r="D4066" i="23"/>
  <c r="D4065" i="23"/>
  <c r="D4064" i="23"/>
  <c r="D4063" i="23"/>
  <c r="D4062" i="23"/>
  <c r="D4061" i="23"/>
  <c r="D4060" i="23"/>
  <c r="D4059" i="23"/>
  <c r="D4058" i="23"/>
  <c r="D4057" i="23"/>
  <c r="D4056" i="23"/>
  <c r="D4055" i="23"/>
  <c r="D4054" i="23"/>
  <c r="D4053" i="23"/>
  <c r="D4052" i="23"/>
  <c r="D4051" i="23"/>
  <c r="D4050" i="23"/>
  <c r="D4049" i="23"/>
  <c r="D4048" i="23"/>
  <c r="D4047" i="23"/>
  <c r="D4046" i="23"/>
  <c r="D4045" i="23"/>
  <c r="D4044" i="23"/>
  <c r="D4043" i="23"/>
  <c r="D4042" i="23"/>
  <c r="D4041" i="23"/>
  <c r="D4040" i="23"/>
  <c r="D4039" i="23"/>
  <c r="D4038" i="23"/>
  <c r="D4037" i="23"/>
  <c r="D4036" i="23"/>
  <c r="D4035" i="23"/>
  <c r="D4034" i="23"/>
  <c r="D4033" i="23"/>
  <c r="D4032" i="23"/>
  <c r="D4031" i="23"/>
  <c r="D4030" i="23"/>
  <c r="D4029" i="23"/>
  <c r="D4028" i="23"/>
  <c r="D4027" i="23"/>
  <c r="D4026" i="23"/>
  <c r="D4025" i="23"/>
  <c r="D4024" i="23"/>
  <c r="D4023" i="23"/>
  <c r="D4022" i="23"/>
  <c r="D4021" i="23"/>
  <c r="D4020" i="23"/>
  <c r="D4019" i="23"/>
  <c r="D4018" i="23"/>
  <c r="D4017" i="23"/>
  <c r="D4016" i="23"/>
  <c r="D4015" i="23"/>
  <c r="D4014" i="23"/>
  <c r="D4013" i="23"/>
  <c r="D4012" i="23"/>
  <c r="D4011" i="23"/>
  <c r="D4010" i="23"/>
  <c r="D4009" i="23"/>
  <c r="D4008" i="23"/>
  <c r="D4007" i="23"/>
  <c r="D4006" i="23"/>
  <c r="D4005" i="23"/>
  <c r="D4004" i="23"/>
  <c r="D4003" i="23"/>
  <c r="D4002" i="23"/>
  <c r="D4001" i="23"/>
  <c r="D4000" i="23"/>
  <c r="D3999" i="23"/>
  <c r="D3998" i="23"/>
  <c r="D3997" i="23"/>
  <c r="D3996" i="23"/>
  <c r="D3995" i="23"/>
  <c r="D3994" i="23"/>
  <c r="D3993" i="23"/>
  <c r="D3992" i="23"/>
  <c r="D3991" i="23"/>
  <c r="D3990" i="23"/>
  <c r="D3989" i="23"/>
  <c r="D3988" i="23"/>
  <c r="D3987" i="23"/>
  <c r="D3986" i="23"/>
  <c r="D3985" i="23"/>
  <c r="D3984" i="23"/>
  <c r="D3983" i="23"/>
  <c r="D3982" i="23"/>
  <c r="D3981" i="23"/>
  <c r="D3980" i="23"/>
  <c r="D3979" i="23"/>
  <c r="D3978" i="23"/>
  <c r="D3977" i="23"/>
  <c r="D3976" i="23"/>
  <c r="D3975" i="23"/>
  <c r="D3974" i="23"/>
  <c r="D3973" i="23"/>
  <c r="D3972" i="23"/>
  <c r="D3971" i="23"/>
  <c r="D3970" i="23"/>
  <c r="D3969" i="23"/>
  <c r="D3968" i="23"/>
  <c r="D3967" i="23"/>
  <c r="D3966" i="23"/>
  <c r="D3965" i="23"/>
  <c r="D3964" i="23"/>
  <c r="D3963" i="23"/>
  <c r="D3962" i="23"/>
  <c r="D3961" i="23"/>
  <c r="D3960" i="23"/>
  <c r="D3959" i="23"/>
  <c r="D3958" i="23"/>
  <c r="D3957" i="23"/>
  <c r="D3956" i="23"/>
  <c r="D3955" i="23"/>
  <c r="D3954" i="23"/>
  <c r="D3953" i="23"/>
  <c r="D3952" i="23"/>
  <c r="D3951" i="23"/>
  <c r="D3950" i="23"/>
  <c r="D3949" i="23"/>
  <c r="D3948" i="23"/>
  <c r="D3947" i="23"/>
  <c r="D3946" i="23"/>
  <c r="D3945" i="23"/>
  <c r="D3944" i="23"/>
  <c r="D3943" i="23"/>
  <c r="D3942" i="23"/>
  <c r="D3941" i="23"/>
  <c r="D3940" i="23"/>
  <c r="D3939" i="23"/>
  <c r="D3938" i="23"/>
  <c r="D3937" i="23"/>
  <c r="D3936" i="23"/>
  <c r="D3935" i="23"/>
  <c r="D3934" i="23"/>
  <c r="D3933" i="23"/>
  <c r="D3932" i="23"/>
  <c r="D3931" i="23"/>
  <c r="D3930" i="23"/>
  <c r="D3929" i="23"/>
  <c r="D3928" i="23"/>
  <c r="D3927" i="23"/>
  <c r="D3926" i="23"/>
  <c r="D3925" i="23"/>
  <c r="D3924" i="23"/>
  <c r="D3923" i="23"/>
  <c r="D3922" i="23"/>
  <c r="D3921" i="23"/>
  <c r="D3920" i="23"/>
  <c r="D3919" i="23"/>
  <c r="D3918" i="23"/>
  <c r="D3917" i="23"/>
  <c r="D3916" i="23"/>
  <c r="D3915" i="23"/>
  <c r="D3914" i="23"/>
  <c r="D3913" i="23"/>
  <c r="D3912" i="23"/>
  <c r="D3911" i="23"/>
  <c r="D3910" i="23"/>
  <c r="D3909" i="23"/>
  <c r="D3908" i="23"/>
  <c r="D3907" i="23"/>
  <c r="D3906" i="23"/>
  <c r="D3905" i="23"/>
  <c r="D3904" i="23"/>
  <c r="D3903" i="23"/>
  <c r="D3902" i="23"/>
  <c r="D3901" i="23"/>
  <c r="D3900" i="23"/>
  <c r="D3899" i="23"/>
  <c r="D3898" i="23"/>
  <c r="D3897" i="23"/>
  <c r="D3896" i="23"/>
  <c r="D3895" i="23"/>
  <c r="D3894" i="23"/>
  <c r="D3893" i="23"/>
  <c r="D3892" i="23"/>
  <c r="D3891" i="23"/>
  <c r="D3890" i="23"/>
  <c r="D3889" i="23"/>
  <c r="D3888" i="23"/>
  <c r="D3887" i="23"/>
  <c r="D3886" i="23"/>
  <c r="D3885" i="23"/>
  <c r="D3884" i="23"/>
  <c r="D3883" i="23"/>
  <c r="D3882" i="23"/>
  <c r="D3881" i="23"/>
  <c r="D3880" i="23"/>
  <c r="D3879" i="23"/>
  <c r="D3878" i="23"/>
  <c r="D3877" i="23"/>
  <c r="D3876" i="23"/>
  <c r="D3875" i="23"/>
  <c r="D3874" i="23"/>
  <c r="D3873" i="23"/>
  <c r="D3872" i="23"/>
  <c r="D3871" i="23"/>
  <c r="D3870" i="23"/>
  <c r="D3869" i="23"/>
  <c r="D3868" i="23"/>
  <c r="D3867" i="23"/>
  <c r="D3866" i="23"/>
  <c r="D3865" i="23"/>
  <c r="D3864" i="23"/>
  <c r="D3863" i="23"/>
  <c r="D3862" i="23"/>
  <c r="D3861" i="23"/>
  <c r="D3860" i="23"/>
  <c r="D3859" i="23"/>
  <c r="D3858" i="23"/>
  <c r="D3857" i="23"/>
  <c r="D3856" i="23"/>
  <c r="D3855" i="23"/>
  <c r="D3854" i="23"/>
  <c r="D3853" i="23"/>
  <c r="D3852" i="23"/>
  <c r="D3851" i="23"/>
  <c r="D3850" i="23"/>
  <c r="D3849" i="23"/>
  <c r="D3848" i="23"/>
  <c r="D3847" i="23"/>
  <c r="D3846" i="23"/>
  <c r="D3845" i="23"/>
  <c r="D3844" i="23"/>
  <c r="D3843" i="23"/>
  <c r="D3842" i="23"/>
  <c r="D3841" i="23"/>
  <c r="D3840" i="23"/>
  <c r="D3839" i="23"/>
  <c r="D3838" i="23"/>
  <c r="D3837" i="23"/>
  <c r="D3836" i="23"/>
  <c r="D3835" i="23"/>
  <c r="D3834" i="23"/>
  <c r="D3833" i="23"/>
  <c r="D3832" i="23"/>
  <c r="D3831" i="23"/>
  <c r="D3830" i="23"/>
  <c r="D3829" i="23"/>
  <c r="D3828" i="23"/>
  <c r="D3827" i="23"/>
  <c r="D3826" i="23"/>
  <c r="D3825" i="23"/>
  <c r="D3824" i="23"/>
  <c r="D3823" i="23"/>
  <c r="D3822" i="23"/>
  <c r="D3821" i="23"/>
  <c r="D3820" i="23"/>
  <c r="D3819" i="23"/>
  <c r="D3818" i="23"/>
  <c r="D3817" i="23"/>
  <c r="D3816" i="23"/>
  <c r="D3815" i="23"/>
  <c r="D3814" i="23"/>
  <c r="D3813" i="23"/>
  <c r="D3812" i="23"/>
  <c r="D3811" i="23"/>
  <c r="D3810" i="23"/>
  <c r="D3809" i="23"/>
  <c r="D3808" i="23"/>
  <c r="D3807" i="23"/>
  <c r="D3806" i="23"/>
  <c r="D3805" i="23"/>
  <c r="D3804" i="23"/>
  <c r="D3803" i="23"/>
  <c r="D3802" i="23"/>
  <c r="D3801" i="23"/>
  <c r="D3800" i="23"/>
  <c r="D3799" i="23"/>
  <c r="D3798" i="23"/>
  <c r="D3797" i="23"/>
  <c r="D3796" i="23"/>
  <c r="D3795" i="23"/>
  <c r="D3794" i="23"/>
  <c r="D3793" i="23"/>
  <c r="D3792" i="23"/>
  <c r="D3791" i="23"/>
  <c r="D3790" i="23"/>
  <c r="D3789" i="23"/>
  <c r="D3788" i="23"/>
  <c r="D3787" i="23"/>
  <c r="D3786" i="23"/>
  <c r="D3785" i="23"/>
  <c r="D3784" i="23"/>
  <c r="D3783" i="23"/>
  <c r="D3782" i="23"/>
  <c r="D3781" i="23"/>
  <c r="D3780" i="23"/>
  <c r="D3779" i="23"/>
  <c r="D3778" i="23"/>
  <c r="D3777" i="23"/>
  <c r="D3776" i="23"/>
  <c r="D3775" i="23"/>
  <c r="D3774" i="23"/>
  <c r="D3773" i="23"/>
  <c r="D3772" i="23"/>
  <c r="D3771" i="23"/>
  <c r="D3770" i="23"/>
  <c r="D3769" i="23"/>
  <c r="D3768" i="23"/>
  <c r="D3767" i="23"/>
  <c r="D3766" i="23"/>
  <c r="D3765" i="23"/>
  <c r="D3764" i="23"/>
  <c r="D3763" i="23"/>
  <c r="D3762" i="23"/>
  <c r="D3761" i="23"/>
  <c r="D3760" i="23"/>
  <c r="D3759" i="23"/>
  <c r="D3758" i="23"/>
  <c r="D3757" i="23"/>
  <c r="D3756" i="23"/>
  <c r="D3755" i="23"/>
  <c r="D3754" i="23"/>
  <c r="D3753" i="23"/>
  <c r="D3752" i="23"/>
  <c r="D3751" i="23"/>
  <c r="D3750" i="23"/>
  <c r="D3749" i="23"/>
  <c r="D3748" i="23"/>
  <c r="D3747" i="23"/>
  <c r="D3746" i="23"/>
  <c r="D3745" i="23"/>
  <c r="D3744" i="23"/>
  <c r="D3743" i="23"/>
  <c r="D3742" i="23"/>
  <c r="D3741" i="23"/>
  <c r="D3740" i="23"/>
  <c r="D3739" i="23"/>
  <c r="D3738" i="23"/>
  <c r="D3737" i="23"/>
  <c r="D3736" i="23"/>
  <c r="D3735" i="23"/>
  <c r="D3734" i="23"/>
  <c r="D3733" i="23"/>
  <c r="D3732" i="23"/>
  <c r="D3731" i="23"/>
  <c r="D3730" i="23"/>
  <c r="D3729" i="23"/>
  <c r="D3728" i="23"/>
  <c r="D3727" i="23"/>
  <c r="D3726" i="23"/>
  <c r="D3725" i="23"/>
  <c r="D3724" i="23"/>
  <c r="D3723" i="23"/>
  <c r="D3722" i="23"/>
  <c r="D3721" i="23"/>
  <c r="D3720" i="23"/>
  <c r="D3719" i="23"/>
  <c r="D3718" i="23"/>
  <c r="D3717" i="23"/>
  <c r="D3716" i="23"/>
  <c r="D3715" i="23"/>
  <c r="D3714" i="23"/>
  <c r="D3713" i="23"/>
  <c r="D3712" i="23"/>
  <c r="D3711" i="23"/>
  <c r="D3710" i="23"/>
  <c r="D3709" i="23"/>
  <c r="D3708" i="23"/>
  <c r="D3707" i="23"/>
  <c r="D3706" i="23"/>
  <c r="D3705" i="23"/>
  <c r="D3704" i="23"/>
  <c r="D3703" i="23"/>
  <c r="D3702" i="23"/>
  <c r="D3701" i="23"/>
  <c r="D3700" i="23"/>
  <c r="D3699" i="23"/>
  <c r="D3698" i="23"/>
  <c r="D3697" i="23"/>
  <c r="D3696" i="23"/>
  <c r="D3695" i="23"/>
  <c r="D3694" i="23"/>
  <c r="D3693" i="23"/>
  <c r="D3692" i="23"/>
  <c r="D3691" i="23"/>
  <c r="D3690" i="23"/>
  <c r="D3689" i="23"/>
  <c r="D3688" i="23"/>
  <c r="D3687" i="23"/>
  <c r="D3686" i="23"/>
  <c r="D3685" i="23"/>
  <c r="D3684" i="23"/>
  <c r="D3683" i="23"/>
  <c r="D3682" i="23"/>
  <c r="D3681" i="23"/>
  <c r="D3680" i="23"/>
  <c r="D3679" i="23"/>
  <c r="D3678" i="23"/>
  <c r="D3677" i="23"/>
  <c r="D3676" i="23"/>
  <c r="D3675" i="23"/>
  <c r="D3674" i="23"/>
  <c r="D3673" i="23"/>
  <c r="D3672" i="23"/>
  <c r="D3671" i="23"/>
  <c r="D3670" i="23"/>
  <c r="D3669" i="23"/>
  <c r="D3668" i="23"/>
  <c r="D3667" i="23"/>
  <c r="D3666" i="23"/>
  <c r="D3665" i="23"/>
  <c r="D3664" i="23"/>
  <c r="D3663" i="23"/>
  <c r="D3662" i="23"/>
  <c r="D3661" i="23"/>
  <c r="D3660" i="23"/>
  <c r="D3659" i="23"/>
  <c r="D3658" i="23"/>
  <c r="D3657" i="23"/>
  <c r="D3656" i="23"/>
  <c r="D3655" i="23"/>
  <c r="D3654" i="23"/>
  <c r="D3653" i="23"/>
  <c r="D3652" i="23"/>
  <c r="D3651" i="23"/>
  <c r="D3650" i="23"/>
  <c r="D3649" i="23"/>
  <c r="D3648" i="23"/>
  <c r="D3647" i="23"/>
  <c r="D3646" i="23"/>
  <c r="D3645" i="23"/>
  <c r="D3644" i="23"/>
  <c r="D3643" i="23"/>
  <c r="D3642" i="23"/>
  <c r="D3641" i="23"/>
  <c r="D3640" i="23"/>
  <c r="D3639" i="23"/>
  <c r="D3638" i="23"/>
  <c r="D3637" i="23"/>
  <c r="D3636" i="23"/>
  <c r="D3635" i="23"/>
  <c r="D3634" i="23"/>
  <c r="D3633" i="23"/>
  <c r="D3632" i="23"/>
  <c r="D3631" i="23"/>
  <c r="D3630" i="23"/>
  <c r="D3629" i="23"/>
  <c r="D3628" i="23"/>
  <c r="D3627" i="23"/>
  <c r="D3626" i="23"/>
  <c r="D3625" i="23"/>
  <c r="D3624" i="23"/>
  <c r="D3623" i="23"/>
  <c r="D3622" i="23"/>
  <c r="D3621" i="23"/>
  <c r="D3620" i="23"/>
  <c r="D3619" i="23"/>
  <c r="D3618" i="23"/>
  <c r="D3617" i="23"/>
  <c r="D3616" i="23"/>
  <c r="D3615" i="23"/>
  <c r="D3614" i="23"/>
  <c r="D3613" i="23"/>
  <c r="D3612" i="23"/>
  <c r="D3611" i="23"/>
  <c r="D3610" i="23"/>
  <c r="D3609" i="23"/>
  <c r="D3608" i="23"/>
  <c r="D3607" i="23"/>
  <c r="D3606" i="23"/>
  <c r="D3605" i="23"/>
  <c r="D3604" i="23"/>
  <c r="D3603" i="23"/>
  <c r="D3602" i="23"/>
  <c r="D3601" i="23"/>
  <c r="D3600" i="23"/>
  <c r="D3599" i="23"/>
  <c r="D3598" i="23"/>
  <c r="D3597" i="23"/>
  <c r="D3596" i="23"/>
  <c r="D3595" i="23"/>
  <c r="D3594" i="23"/>
  <c r="D3593" i="23"/>
  <c r="D3592" i="23"/>
  <c r="D3591" i="23"/>
  <c r="D3590" i="23"/>
  <c r="D3589" i="23"/>
  <c r="D3588" i="23"/>
  <c r="D3587" i="23"/>
  <c r="D3586" i="23"/>
  <c r="D3585" i="23"/>
  <c r="D3584" i="23"/>
  <c r="D3583" i="23"/>
  <c r="D3582" i="23"/>
  <c r="D3581" i="23"/>
  <c r="D3580" i="23"/>
  <c r="D3579" i="23"/>
  <c r="D3578" i="23"/>
  <c r="D3577" i="23"/>
  <c r="D3576" i="23"/>
  <c r="D3575" i="23"/>
  <c r="D3574" i="23"/>
  <c r="D3573" i="23"/>
  <c r="D3572" i="23"/>
  <c r="D3571" i="23"/>
  <c r="D3570" i="23"/>
  <c r="D3569" i="23"/>
  <c r="D3568" i="23"/>
  <c r="D3567" i="23"/>
  <c r="D3566" i="23"/>
  <c r="D3565" i="23"/>
  <c r="D3564" i="23"/>
  <c r="D3563" i="23"/>
  <c r="D3562" i="23"/>
  <c r="D3561" i="23"/>
  <c r="D3560" i="23"/>
  <c r="D3559" i="23"/>
  <c r="D3558" i="23"/>
  <c r="D3557" i="23"/>
  <c r="D3556" i="23"/>
  <c r="D3555" i="23"/>
  <c r="D3554" i="23"/>
  <c r="D3553" i="23"/>
  <c r="D3552" i="23"/>
  <c r="D3551" i="23"/>
  <c r="D3550" i="23"/>
  <c r="D3549" i="23"/>
  <c r="D3548" i="23"/>
  <c r="D3547" i="23"/>
  <c r="D3546" i="23"/>
  <c r="D3545" i="23"/>
  <c r="D3544" i="23"/>
  <c r="D3543" i="23"/>
  <c r="D3542" i="23"/>
  <c r="D3541" i="23"/>
  <c r="D3540" i="23"/>
  <c r="D3539" i="23"/>
  <c r="D3538" i="23"/>
  <c r="D3537" i="23"/>
  <c r="D3536" i="23"/>
  <c r="D3535" i="23"/>
  <c r="D3534" i="23"/>
  <c r="D3533" i="23"/>
  <c r="D3532" i="23"/>
  <c r="D3531" i="23"/>
  <c r="D3530" i="23"/>
  <c r="D3529" i="23"/>
  <c r="D3528" i="23"/>
  <c r="D3527" i="23"/>
  <c r="D3526" i="23"/>
  <c r="D3525" i="23"/>
  <c r="D3524" i="23"/>
  <c r="D3523" i="23"/>
  <c r="D3522" i="23"/>
  <c r="D3521" i="23"/>
  <c r="D3520" i="23"/>
  <c r="D3519" i="23"/>
  <c r="D3518" i="23"/>
  <c r="D3517" i="23"/>
  <c r="D3516" i="23"/>
  <c r="D3515" i="23"/>
  <c r="D3514" i="23"/>
  <c r="D3513" i="23"/>
  <c r="D3512" i="23"/>
  <c r="D3511" i="23"/>
  <c r="D3510" i="23"/>
  <c r="D3509" i="23"/>
  <c r="D3508" i="23"/>
  <c r="D3507" i="23"/>
  <c r="D3506" i="23"/>
  <c r="D3505" i="23"/>
  <c r="D3504" i="23"/>
  <c r="D3503" i="23"/>
  <c r="D3502" i="23"/>
  <c r="D3501" i="23"/>
  <c r="D3500" i="23"/>
  <c r="D3499" i="23"/>
  <c r="D3498" i="23"/>
  <c r="D3497" i="23"/>
  <c r="D3496" i="23"/>
  <c r="D3495" i="23"/>
  <c r="D3494" i="23"/>
  <c r="D3493" i="23"/>
  <c r="D3492" i="23"/>
  <c r="D3491" i="23"/>
  <c r="D3490" i="23"/>
  <c r="D3489" i="23"/>
  <c r="D3488" i="23"/>
  <c r="D3487" i="23"/>
  <c r="D3486" i="23"/>
  <c r="D3485" i="23"/>
  <c r="D3484" i="23"/>
  <c r="D3483" i="23"/>
  <c r="D3482" i="23"/>
  <c r="D3481" i="23"/>
  <c r="D3480" i="23"/>
  <c r="D3479" i="23"/>
  <c r="D3478" i="23"/>
  <c r="D3477" i="23"/>
  <c r="D3476" i="23"/>
  <c r="D3475" i="23"/>
  <c r="D3474" i="23"/>
  <c r="D3473" i="23"/>
  <c r="D3472" i="23"/>
  <c r="D3471" i="23"/>
  <c r="D3470" i="23"/>
  <c r="D3469" i="23"/>
  <c r="D3468" i="23"/>
  <c r="D3467" i="23"/>
  <c r="D3466" i="23"/>
  <c r="D3465" i="23"/>
  <c r="D3464" i="23"/>
  <c r="D3463" i="23"/>
  <c r="D3462" i="23"/>
  <c r="D3461" i="23"/>
  <c r="D3460" i="23"/>
  <c r="D3459" i="23"/>
  <c r="D3458" i="23"/>
  <c r="D3457" i="23"/>
  <c r="D3456" i="23"/>
  <c r="D3455" i="23"/>
  <c r="D3454" i="23"/>
  <c r="D3453" i="23"/>
  <c r="D3452" i="23"/>
  <c r="D3451" i="23"/>
  <c r="D3450" i="23"/>
  <c r="D3449" i="23"/>
  <c r="D3448" i="23"/>
  <c r="D3447" i="23"/>
  <c r="D3446" i="23"/>
  <c r="D3445" i="23"/>
  <c r="D3444" i="23"/>
  <c r="D3443" i="23"/>
  <c r="D3442" i="23"/>
  <c r="D3441" i="23"/>
  <c r="D3440" i="23"/>
  <c r="D3439" i="23"/>
  <c r="D3438" i="23"/>
  <c r="D3437" i="23"/>
  <c r="D3436" i="23"/>
  <c r="D3435" i="23"/>
  <c r="D3434" i="23"/>
  <c r="D3433" i="23"/>
  <c r="D3432" i="23"/>
  <c r="D3431" i="23"/>
  <c r="D3430" i="23"/>
  <c r="D3429" i="23"/>
  <c r="D3428" i="23"/>
  <c r="D3427" i="23"/>
  <c r="D3426" i="23"/>
  <c r="D3425" i="23"/>
  <c r="D3424" i="23"/>
  <c r="D3423" i="23"/>
  <c r="D3422" i="23"/>
  <c r="D3421" i="23"/>
  <c r="D3420" i="23"/>
  <c r="D3419" i="23"/>
  <c r="D3418" i="23"/>
  <c r="D3417" i="23"/>
  <c r="D3416" i="23"/>
  <c r="D3415" i="23"/>
  <c r="D3414" i="23"/>
  <c r="D3413" i="23"/>
  <c r="D3412" i="23"/>
  <c r="D3411" i="23"/>
  <c r="D3410" i="23"/>
  <c r="D3409" i="23"/>
  <c r="D3408" i="23"/>
  <c r="D3407" i="23"/>
  <c r="D3406" i="23"/>
  <c r="D3405" i="23"/>
  <c r="D3404" i="23"/>
  <c r="D3403" i="23"/>
  <c r="D3402" i="23"/>
  <c r="D3401" i="23"/>
  <c r="D3400" i="23"/>
  <c r="D3399" i="23"/>
  <c r="D3398" i="23"/>
  <c r="D3397" i="23"/>
  <c r="D3396" i="23"/>
  <c r="D3395" i="23"/>
  <c r="D3394" i="23"/>
  <c r="D3393" i="23"/>
  <c r="D3392" i="23"/>
  <c r="D3391" i="23"/>
  <c r="D3390" i="23"/>
  <c r="D3389" i="23"/>
  <c r="D3388" i="23"/>
  <c r="D3387" i="23"/>
  <c r="D3386" i="23"/>
  <c r="D3385" i="23"/>
  <c r="D3384" i="23"/>
  <c r="D3383" i="23"/>
  <c r="D3382" i="23"/>
  <c r="D3381" i="23"/>
  <c r="D3380" i="23"/>
  <c r="D3379" i="23"/>
  <c r="D3378" i="23"/>
  <c r="D3377" i="23"/>
  <c r="D3376" i="23"/>
  <c r="D3375" i="23"/>
  <c r="D3374" i="23"/>
  <c r="D3373" i="23"/>
  <c r="D3372" i="23"/>
  <c r="D3371" i="23"/>
  <c r="D3370" i="23"/>
  <c r="D3369" i="23"/>
  <c r="D3368" i="23"/>
  <c r="D3367" i="23"/>
  <c r="D3366" i="23"/>
  <c r="D3365" i="23"/>
  <c r="D3364" i="23"/>
  <c r="D3363" i="23"/>
  <c r="D3362" i="23"/>
  <c r="D3361" i="23"/>
  <c r="D3360" i="23"/>
  <c r="D3359" i="23"/>
  <c r="D3358" i="23"/>
  <c r="D3357" i="23"/>
  <c r="D3356" i="23"/>
  <c r="D3355" i="23"/>
  <c r="D3354" i="23"/>
  <c r="D3353" i="23"/>
  <c r="D3352" i="23"/>
  <c r="D3351" i="23"/>
  <c r="D3350" i="23"/>
  <c r="D3349" i="23"/>
  <c r="D3348" i="23"/>
  <c r="D3347" i="23"/>
  <c r="D3346" i="23"/>
  <c r="D3345" i="23"/>
  <c r="D3344" i="23"/>
  <c r="D3343" i="23"/>
  <c r="D3342" i="23"/>
  <c r="D3341" i="23"/>
  <c r="D3340" i="23"/>
  <c r="D3339" i="23"/>
  <c r="D3338" i="23"/>
  <c r="D3337" i="23"/>
  <c r="D3336" i="23"/>
  <c r="D3335" i="23"/>
  <c r="D3334" i="23"/>
  <c r="D3333" i="23"/>
  <c r="D3332" i="23"/>
  <c r="D3331" i="23"/>
  <c r="D3330" i="23"/>
  <c r="D3329" i="23"/>
  <c r="D3328" i="23"/>
  <c r="D3327" i="23"/>
  <c r="D3326" i="23"/>
  <c r="D3325" i="23"/>
  <c r="D3324" i="23"/>
  <c r="D3323" i="23"/>
  <c r="D3322" i="23"/>
  <c r="D3321" i="23"/>
  <c r="D3320" i="23"/>
  <c r="D3319" i="23"/>
  <c r="D3318" i="23"/>
  <c r="D3317" i="23"/>
  <c r="D3316" i="23"/>
  <c r="D3315" i="23"/>
  <c r="D3314" i="23"/>
  <c r="D3313" i="23"/>
  <c r="D3312" i="23"/>
  <c r="D3311" i="23"/>
  <c r="D3310" i="23"/>
  <c r="D3309" i="23"/>
  <c r="D3308" i="23"/>
  <c r="D3307" i="23"/>
  <c r="D3306" i="23"/>
  <c r="D3305" i="23"/>
  <c r="D3304" i="23"/>
  <c r="D3303" i="23"/>
  <c r="D3302" i="23"/>
  <c r="D3301" i="23"/>
  <c r="D3300" i="23"/>
  <c r="D3299" i="23"/>
  <c r="D3298" i="23"/>
  <c r="D3297" i="23"/>
  <c r="D3296" i="23"/>
  <c r="D3295" i="23"/>
  <c r="D3294" i="23"/>
  <c r="D3293" i="23"/>
  <c r="D3292" i="23"/>
  <c r="D3291" i="23"/>
  <c r="D3290" i="23"/>
  <c r="D3289" i="23"/>
  <c r="D3288" i="23"/>
  <c r="D3287" i="23"/>
  <c r="D3286" i="23"/>
  <c r="D3285" i="23"/>
  <c r="D3284" i="23"/>
  <c r="D3283" i="23"/>
  <c r="D3282" i="23"/>
  <c r="D3281" i="23"/>
  <c r="D3280" i="23"/>
  <c r="D3279" i="23"/>
  <c r="D3278" i="23"/>
  <c r="D3277" i="23"/>
  <c r="D3276" i="23"/>
  <c r="D3275" i="23"/>
  <c r="D3274" i="23"/>
  <c r="D3273" i="23"/>
  <c r="D3272" i="23"/>
  <c r="D3271" i="23"/>
  <c r="D3270" i="23"/>
  <c r="D3269" i="23"/>
  <c r="D3268" i="23"/>
  <c r="D3267" i="23"/>
  <c r="D3266" i="23"/>
  <c r="D3265" i="23"/>
  <c r="D3264" i="23"/>
  <c r="D3263" i="23"/>
  <c r="D3262" i="23"/>
  <c r="D3261" i="23"/>
  <c r="D3260" i="23"/>
  <c r="D3259" i="23"/>
  <c r="D3258" i="23"/>
  <c r="D3257" i="23"/>
  <c r="D3256" i="23"/>
  <c r="D3255" i="23"/>
  <c r="D3254" i="23"/>
  <c r="D3253" i="23"/>
  <c r="D3252" i="23"/>
  <c r="D3251" i="23"/>
  <c r="D3250" i="23"/>
  <c r="D3249" i="23"/>
  <c r="D3248" i="23"/>
  <c r="D3247" i="23"/>
  <c r="D3246" i="23"/>
  <c r="D3245" i="23"/>
  <c r="D3244" i="23"/>
  <c r="D3243" i="23"/>
  <c r="D3242" i="23"/>
  <c r="D3241" i="23"/>
  <c r="D3240" i="23"/>
  <c r="D3239" i="23"/>
  <c r="D3238" i="23"/>
  <c r="D3237" i="23"/>
  <c r="D3236" i="23"/>
  <c r="D3235" i="23"/>
  <c r="D3234" i="23"/>
  <c r="D3233" i="23"/>
  <c r="D3232" i="23"/>
  <c r="D3231" i="23"/>
  <c r="D3230" i="23"/>
  <c r="D3229" i="23"/>
  <c r="D3228" i="23"/>
  <c r="D3227" i="23"/>
  <c r="D3226" i="23"/>
  <c r="D3225" i="23"/>
  <c r="D3224" i="23"/>
  <c r="D3223" i="23"/>
  <c r="D3222" i="23"/>
  <c r="D3221" i="23"/>
  <c r="D3220" i="23"/>
  <c r="D3219" i="23"/>
  <c r="D3218" i="23"/>
  <c r="D3217" i="23"/>
  <c r="D3216" i="23"/>
  <c r="D3215" i="23"/>
  <c r="D3214" i="23"/>
  <c r="D3213" i="23"/>
  <c r="D3212" i="23"/>
  <c r="D3211" i="23"/>
  <c r="D3210" i="23"/>
  <c r="D3209" i="23"/>
  <c r="D3208" i="23"/>
  <c r="D3207" i="23"/>
  <c r="D3206" i="23"/>
  <c r="D3205" i="23"/>
  <c r="D3204" i="23"/>
  <c r="D3203" i="23"/>
  <c r="D3202" i="23"/>
  <c r="D3201" i="23"/>
  <c r="D3200" i="23"/>
  <c r="D3199" i="23"/>
  <c r="D3198" i="23"/>
  <c r="D3197" i="23"/>
  <c r="D3196" i="23"/>
  <c r="D3195" i="23"/>
  <c r="D3194" i="23"/>
  <c r="D3193" i="23"/>
  <c r="D3192" i="23"/>
  <c r="D3191" i="23"/>
  <c r="D3190" i="23"/>
  <c r="D3189" i="23"/>
  <c r="D3188" i="23"/>
  <c r="D3187" i="23"/>
  <c r="D3186" i="23"/>
  <c r="D3185" i="23"/>
  <c r="D3184" i="23"/>
  <c r="D3183" i="23"/>
  <c r="D3182" i="23"/>
  <c r="D3181" i="23"/>
  <c r="D3180" i="23"/>
  <c r="D3179" i="23"/>
  <c r="D3178" i="23"/>
  <c r="D3177" i="23"/>
  <c r="D3176" i="23"/>
  <c r="D3175" i="23"/>
  <c r="D3174" i="23"/>
  <c r="D3173" i="23"/>
  <c r="D3172" i="23"/>
  <c r="D3171" i="23"/>
  <c r="D3170" i="23"/>
  <c r="D3169" i="23"/>
  <c r="D3168" i="23"/>
  <c r="D3167" i="23"/>
  <c r="D3166" i="23"/>
  <c r="D3165" i="23"/>
  <c r="D3164" i="23"/>
  <c r="D3163" i="23"/>
  <c r="D3162" i="23"/>
  <c r="D3161" i="23"/>
  <c r="D3160" i="23"/>
  <c r="D3159" i="23"/>
  <c r="D3158" i="23"/>
  <c r="D3157" i="23"/>
  <c r="D3156" i="23"/>
  <c r="D3155" i="23"/>
  <c r="D3154" i="23"/>
  <c r="D3153" i="23"/>
  <c r="D3152" i="23"/>
  <c r="D3151" i="23"/>
  <c r="D3150" i="23"/>
  <c r="D3149" i="23"/>
  <c r="D3148" i="23"/>
  <c r="D3147" i="23"/>
  <c r="D3146" i="23"/>
  <c r="D3145" i="23"/>
  <c r="D3144" i="23"/>
  <c r="D3143" i="23"/>
  <c r="D3142" i="23"/>
  <c r="D3141" i="23"/>
  <c r="D3140" i="23"/>
  <c r="D3139" i="23"/>
  <c r="D3138" i="23"/>
  <c r="D3137" i="23"/>
  <c r="D3136" i="23"/>
  <c r="D3135" i="23"/>
  <c r="D3134" i="23"/>
  <c r="D3133" i="23"/>
  <c r="D3132" i="23"/>
  <c r="D3131" i="23"/>
  <c r="D3130" i="23"/>
  <c r="D3129" i="23"/>
  <c r="D3128" i="23"/>
  <c r="D3127" i="23"/>
  <c r="D3126" i="23"/>
  <c r="D3125" i="23"/>
  <c r="D3124" i="23"/>
  <c r="D3123" i="23"/>
  <c r="D3122" i="23"/>
  <c r="D3121" i="23"/>
  <c r="D3120" i="23"/>
  <c r="D3119" i="23"/>
  <c r="D3118" i="23"/>
  <c r="D3117" i="23"/>
  <c r="D3116" i="23"/>
  <c r="D3115" i="23"/>
  <c r="D3114" i="23"/>
  <c r="D3113" i="23"/>
  <c r="D3112" i="23"/>
  <c r="D3111" i="23"/>
  <c r="D3110" i="23"/>
  <c r="D3109" i="23"/>
  <c r="D3108" i="23"/>
  <c r="D3107" i="23"/>
  <c r="D3106" i="23"/>
  <c r="D3105" i="23"/>
  <c r="D3104" i="23"/>
  <c r="D3103" i="23"/>
  <c r="D3102" i="23"/>
  <c r="D3101" i="23"/>
  <c r="D3100" i="23"/>
  <c r="D3099" i="23"/>
  <c r="D3098" i="23"/>
  <c r="D3097" i="23"/>
  <c r="D3096" i="23"/>
  <c r="D3095" i="23"/>
  <c r="D3094" i="23"/>
  <c r="D3093" i="23"/>
  <c r="D3092" i="23"/>
  <c r="D3091" i="23"/>
  <c r="D3090" i="23"/>
  <c r="D3089" i="23"/>
  <c r="D3088" i="23"/>
  <c r="D3087" i="23"/>
  <c r="D3086" i="23"/>
  <c r="D3085" i="23"/>
  <c r="D3084" i="23"/>
  <c r="D3083" i="23"/>
  <c r="D3082" i="23"/>
  <c r="D3081" i="23"/>
  <c r="D3080" i="23"/>
  <c r="D3079" i="23"/>
  <c r="D3078" i="23"/>
  <c r="D3077" i="23"/>
  <c r="D3076" i="23"/>
  <c r="D3075" i="23"/>
  <c r="D3074" i="23"/>
  <c r="D3073" i="23"/>
  <c r="D3072" i="23"/>
  <c r="D3071" i="23"/>
  <c r="D3070" i="23"/>
  <c r="D3069" i="23"/>
  <c r="D3068" i="23"/>
  <c r="D3067" i="23"/>
  <c r="D3066" i="23"/>
  <c r="D3065" i="23"/>
  <c r="D3064" i="23"/>
  <c r="D3063" i="23"/>
  <c r="D3062" i="23"/>
  <c r="D3061" i="23"/>
  <c r="D3060" i="23"/>
  <c r="D3059" i="23"/>
  <c r="D3058" i="23"/>
  <c r="D3057" i="23"/>
  <c r="D3056" i="23"/>
  <c r="D3055" i="23"/>
  <c r="D3054" i="23"/>
  <c r="D3053" i="23"/>
  <c r="D3052" i="23"/>
  <c r="D3051" i="23"/>
  <c r="D3050" i="23"/>
  <c r="D3049" i="23"/>
  <c r="D3048" i="23"/>
  <c r="D3047" i="23"/>
  <c r="D3046" i="23"/>
  <c r="D3045" i="23"/>
  <c r="D3044" i="23"/>
  <c r="D3043" i="23"/>
  <c r="D3042" i="23"/>
  <c r="D3041" i="23"/>
  <c r="D3040" i="23"/>
  <c r="D3039" i="23"/>
  <c r="D3038" i="23"/>
  <c r="D3037" i="23"/>
  <c r="D3036" i="23"/>
  <c r="D3035" i="23"/>
  <c r="D3034" i="23"/>
  <c r="D3033" i="23"/>
  <c r="D3032" i="23"/>
  <c r="D3031" i="23"/>
  <c r="D3030" i="23"/>
  <c r="D3029" i="23"/>
  <c r="D3028" i="23"/>
  <c r="D3027" i="23"/>
  <c r="D3026" i="23"/>
  <c r="D3025" i="23"/>
  <c r="D3024" i="23"/>
  <c r="D3023" i="23"/>
  <c r="D3022" i="23"/>
  <c r="D3021" i="23"/>
  <c r="D3020" i="23"/>
  <c r="D3019" i="23"/>
  <c r="D3018" i="23"/>
  <c r="D3017" i="23"/>
  <c r="D3016" i="23"/>
  <c r="D3015" i="23"/>
  <c r="D3014" i="23"/>
  <c r="D3013" i="23"/>
  <c r="D3012" i="23"/>
  <c r="D3011" i="23"/>
  <c r="D3010" i="23"/>
  <c r="D3009" i="23"/>
  <c r="D3008" i="23"/>
  <c r="D3007" i="23"/>
  <c r="D3006" i="23"/>
  <c r="D3005" i="23"/>
  <c r="D3004" i="23"/>
  <c r="D3003" i="23"/>
  <c r="D3002" i="23"/>
  <c r="D3001" i="23"/>
  <c r="D3000" i="23"/>
  <c r="D2999" i="23"/>
  <c r="D2998" i="23"/>
  <c r="D2997" i="23"/>
  <c r="D2996" i="23"/>
  <c r="D2995" i="23"/>
  <c r="D2994" i="23"/>
  <c r="D2993" i="23"/>
  <c r="D2992" i="23"/>
  <c r="D2991" i="23"/>
  <c r="D2990" i="23"/>
  <c r="D2989" i="23"/>
  <c r="D2988" i="23"/>
  <c r="D2987" i="23"/>
  <c r="D2986" i="23"/>
  <c r="D2985" i="23"/>
  <c r="D2984" i="23"/>
  <c r="D2983" i="23"/>
  <c r="D2982" i="23"/>
  <c r="D2981" i="23"/>
  <c r="D2980" i="23"/>
  <c r="D2979" i="23"/>
  <c r="D2978" i="23"/>
  <c r="D2977" i="23"/>
  <c r="D2976" i="23"/>
  <c r="D2975" i="23"/>
  <c r="D2974" i="23"/>
  <c r="D2973" i="23"/>
  <c r="D2972" i="23"/>
  <c r="D2971" i="23"/>
  <c r="D2970" i="23"/>
  <c r="D2969" i="23"/>
  <c r="D2968" i="23"/>
  <c r="D2967" i="23"/>
  <c r="D2966" i="23"/>
  <c r="D2965" i="23"/>
  <c r="D2964" i="23"/>
  <c r="D2963" i="23"/>
  <c r="D2962" i="23"/>
  <c r="D2961" i="23"/>
  <c r="D2960" i="23"/>
  <c r="D2959" i="23"/>
  <c r="D2958" i="23"/>
  <c r="D2957" i="23"/>
  <c r="D2956" i="23"/>
  <c r="D2955" i="23"/>
  <c r="D2954" i="23"/>
  <c r="D2953" i="23"/>
  <c r="D2952" i="23"/>
  <c r="D2951" i="23"/>
  <c r="D2950" i="23"/>
  <c r="D2949" i="23"/>
  <c r="D2948" i="23"/>
  <c r="D2947" i="23"/>
  <c r="D2946" i="23"/>
  <c r="D2945" i="23"/>
  <c r="D2944" i="23"/>
  <c r="D2943" i="23"/>
  <c r="D2942" i="23"/>
  <c r="D2941" i="23"/>
  <c r="D2940" i="23"/>
  <c r="D2939" i="23"/>
  <c r="D2938" i="23"/>
  <c r="D2937" i="23"/>
  <c r="D2936" i="23"/>
  <c r="D2935" i="23"/>
  <c r="D2934" i="23"/>
  <c r="D2933" i="23"/>
  <c r="D2932" i="23"/>
  <c r="D2931" i="23"/>
  <c r="D2930" i="23"/>
  <c r="D2929" i="23"/>
  <c r="D2928" i="23"/>
  <c r="D2927" i="23"/>
  <c r="D2926" i="23"/>
  <c r="D2925" i="23"/>
  <c r="D2924" i="23"/>
  <c r="D2923" i="23"/>
  <c r="D2922" i="23"/>
  <c r="D2921" i="23"/>
  <c r="D2920" i="23"/>
  <c r="D2919" i="23"/>
  <c r="D2918" i="23"/>
  <c r="D2917" i="23"/>
  <c r="D2916" i="23"/>
  <c r="D2915" i="23"/>
  <c r="D2914" i="23"/>
  <c r="D2913" i="23"/>
  <c r="D2912" i="23"/>
  <c r="D2911" i="23"/>
  <c r="D2910" i="23"/>
  <c r="D2909" i="23"/>
  <c r="D2908" i="23"/>
  <c r="D2907" i="23"/>
  <c r="D2906" i="23"/>
  <c r="D2905" i="23"/>
  <c r="D2904" i="23"/>
  <c r="D2903" i="23"/>
  <c r="D2902" i="23"/>
  <c r="D2901" i="23"/>
  <c r="D2900" i="23"/>
  <c r="D2899" i="23"/>
  <c r="D2898" i="23"/>
  <c r="D2897" i="23"/>
  <c r="D2896" i="23"/>
  <c r="D2895" i="23"/>
  <c r="D2894" i="23"/>
  <c r="D2893" i="23"/>
  <c r="D2892" i="23"/>
  <c r="D2891" i="23"/>
  <c r="D2890" i="23"/>
  <c r="D2889" i="23"/>
  <c r="D2888" i="23"/>
  <c r="D2887" i="23"/>
  <c r="D2886" i="23"/>
  <c r="D2885" i="23"/>
  <c r="D2884" i="23"/>
  <c r="D2883" i="23"/>
  <c r="D2882" i="23"/>
  <c r="D2881" i="23"/>
  <c r="D2880" i="23"/>
  <c r="D2879" i="23"/>
  <c r="D2878" i="23"/>
  <c r="D2877" i="23"/>
  <c r="D2876" i="23"/>
  <c r="D2875" i="23"/>
  <c r="D2874" i="23"/>
  <c r="D2873" i="23"/>
  <c r="D2872" i="23"/>
  <c r="D2871" i="23"/>
  <c r="D2870" i="23"/>
  <c r="D2869" i="23"/>
  <c r="D2868" i="23"/>
  <c r="D2867" i="23"/>
  <c r="D2866" i="23"/>
  <c r="D2865" i="23"/>
  <c r="D2864" i="23"/>
  <c r="D2863" i="23"/>
  <c r="D2862" i="23"/>
  <c r="D2861" i="23"/>
  <c r="D2860" i="23"/>
  <c r="D2859" i="23"/>
  <c r="D2858" i="23"/>
  <c r="D2857" i="23"/>
  <c r="D2856" i="23"/>
  <c r="D2855" i="23"/>
  <c r="D2854" i="23"/>
  <c r="D2853" i="23"/>
  <c r="D2852" i="23"/>
  <c r="D2851" i="23"/>
  <c r="D2850" i="23"/>
  <c r="D2849" i="23"/>
  <c r="D2848" i="23"/>
  <c r="D2847" i="23"/>
  <c r="D2846" i="23"/>
  <c r="D2845" i="23"/>
  <c r="D2844" i="23"/>
  <c r="D2843" i="23"/>
  <c r="D2842" i="23"/>
  <c r="D2841" i="23"/>
  <c r="D2840" i="23"/>
  <c r="D2839" i="23"/>
  <c r="D2838" i="23"/>
  <c r="D2837" i="23"/>
  <c r="D2836" i="23"/>
  <c r="D2835" i="23"/>
  <c r="D2834" i="23"/>
  <c r="D2833" i="23"/>
  <c r="D2832" i="23"/>
  <c r="D2831" i="23"/>
  <c r="D2830" i="23"/>
  <c r="D2829" i="23"/>
  <c r="D2828" i="23"/>
  <c r="D2827" i="23"/>
  <c r="D2826" i="23"/>
  <c r="D2825" i="23"/>
  <c r="D2824" i="23"/>
  <c r="D2823" i="23"/>
  <c r="D2822" i="23"/>
  <c r="D2821" i="23"/>
  <c r="D2820" i="23"/>
  <c r="D2819" i="23"/>
  <c r="D2818" i="23"/>
  <c r="D2817" i="23"/>
  <c r="D2816" i="23"/>
  <c r="D2815" i="23"/>
  <c r="D2814" i="23"/>
  <c r="D2813" i="23"/>
  <c r="D2812" i="23"/>
  <c r="D2811" i="23"/>
  <c r="D2810" i="23"/>
  <c r="D2809" i="23"/>
  <c r="D2808" i="23"/>
  <c r="D2807" i="23"/>
  <c r="D2806" i="23"/>
  <c r="D2805" i="23"/>
  <c r="D2804" i="23"/>
  <c r="D2803" i="23"/>
  <c r="D2802" i="23"/>
  <c r="D2801" i="23"/>
  <c r="D2800" i="23"/>
  <c r="D2799" i="23"/>
  <c r="D2798" i="23"/>
  <c r="D2797" i="23"/>
  <c r="D2796" i="23"/>
  <c r="D2795" i="23"/>
  <c r="D2794" i="23"/>
  <c r="D2793" i="23"/>
  <c r="D2792" i="23"/>
  <c r="D2791" i="23"/>
  <c r="D2790" i="23"/>
  <c r="D2789" i="23"/>
  <c r="D2788" i="23"/>
  <c r="D2787" i="23"/>
  <c r="D2786" i="23"/>
  <c r="D2785" i="23"/>
  <c r="D2784" i="23"/>
  <c r="D2783" i="23"/>
  <c r="D2782" i="23"/>
  <c r="D2781" i="23"/>
  <c r="D2780" i="23"/>
  <c r="D2779" i="23"/>
  <c r="D2778" i="23"/>
  <c r="D2777" i="23"/>
  <c r="D2776" i="23"/>
  <c r="D2775" i="23"/>
  <c r="D2774" i="23"/>
  <c r="D2773" i="23"/>
  <c r="D2772" i="23"/>
  <c r="D2771" i="23"/>
  <c r="D2770" i="23"/>
  <c r="D2769" i="23"/>
  <c r="D2768" i="23"/>
  <c r="D2767" i="23"/>
  <c r="D2766" i="23"/>
  <c r="D2765" i="23"/>
  <c r="D2764" i="23"/>
  <c r="D2763" i="23"/>
  <c r="D2762" i="23"/>
  <c r="D2761" i="23"/>
  <c r="D2760" i="23"/>
  <c r="D2759" i="23"/>
  <c r="D2758" i="23"/>
  <c r="D2757" i="23"/>
  <c r="D2756" i="23"/>
  <c r="D2755" i="23"/>
  <c r="D2754" i="23"/>
  <c r="D2753" i="23"/>
  <c r="D2752" i="23"/>
  <c r="D2751" i="23"/>
  <c r="D2750" i="23"/>
  <c r="D2749" i="23"/>
  <c r="D2748" i="23"/>
  <c r="D2747" i="23"/>
  <c r="D2746" i="23"/>
  <c r="D2745" i="23"/>
  <c r="D2744" i="23"/>
  <c r="D2743" i="23"/>
  <c r="D2742" i="23"/>
  <c r="D2741" i="23"/>
  <c r="D2740" i="23"/>
  <c r="D2739" i="23"/>
  <c r="D2738" i="23"/>
  <c r="D2737" i="23"/>
  <c r="D2736" i="23"/>
  <c r="D2735" i="23"/>
  <c r="D2734" i="23"/>
  <c r="D2733" i="23"/>
  <c r="D2732" i="23"/>
  <c r="D2731" i="23"/>
  <c r="D2730" i="23"/>
  <c r="D2729" i="23"/>
  <c r="D2728" i="23"/>
  <c r="D2727" i="23"/>
  <c r="D2726" i="23"/>
  <c r="D2725" i="23"/>
  <c r="D2724" i="23"/>
  <c r="D2723" i="23"/>
  <c r="D2722" i="23"/>
  <c r="D2721" i="23"/>
  <c r="D2720" i="23"/>
  <c r="D2719" i="23"/>
  <c r="D2718" i="23"/>
  <c r="D2717" i="23"/>
  <c r="D2716" i="23"/>
  <c r="D2715" i="23"/>
  <c r="D2714" i="23"/>
  <c r="D2713" i="23"/>
  <c r="D2712" i="23"/>
  <c r="D2711" i="23"/>
  <c r="D2710" i="23"/>
  <c r="D2709" i="23"/>
  <c r="D2708" i="23"/>
  <c r="D2707" i="23"/>
  <c r="D2706" i="23"/>
  <c r="D2705" i="23"/>
  <c r="D2704" i="23"/>
  <c r="D2703" i="23"/>
  <c r="D2702" i="23"/>
  <c r="D2701" i="23"/>
  <c r="D2700" i="23"/>
  <c r="D2699" i="23"/>
  <c r="D2698" i="23"/>
  <c r="D2697" i="23"/>
  <c r="D2696" i="23"/>
  <c r="D2695" i="23"/>
  <c r="D2694" i="23"/>
  <c r="D2693" i="23"/>
  <c r="D2692" i="23"/>
  <c r="D2691" i="23"/>
  <c r="D2690" i="23"/>
  <c r="D2689" i="23"/>
  <c r="D2688" i="23"/>
  <c r="D2687" i="23"/>
  <c r="D2686" i="23"/>
  <c r="D2685" i="23"/>
  <c r="D2684" i="23"/>
  <c r="D2683" i="23"/>
  <c r="D2682" i="23"/>
  <c r="D2681" i="23"/>
  <c r="D2680" i="23"/>
  <c r="D2679" i="23"/>
  <c r="D2678" i="23"/>
  <c r="D2677" i="23"/>
  <c r="D2676" i="23"/>
  <c r="D2675" i="23"/>
  <c r="D2674" i="23"/>
  <c r="D2673" i="23"/>
  <c r="D2672" i="23"/>
  <c r="D2671" i="23"/>
  <c r="D2670" i="23"/>
  <c r="D2669" i="23"/>
  <c r="D2668" i="23"/>
  <c r="D2667" i="23"/>
  <c r="D2666" i="23"/>
  <c r="D2665" i="23"/>
  <c r="D2664" i="23"/>
  <c r="D2663" i="23"/>
  <c r="D2662" i="23"/>
  <c r="D2661" i="23"/>
  <c r="D2660" i="23"/>
  <c r="D2659" i="23"/>
  <c r="D2658" i="23"/>
  <c r="D2657" i="23"/>
  <c r="D2656" i="23"/>
  <c r="D2655" i="23"/>
  <c r="D2654" i="23"/>
  <c r="D2653" i="23"/>
  <c r="D2652" i="23"/>
  <c r="D2651" i="23"/>
  <c r="D2650" i="23"/>
  <c r="D2649" i="23"/>
  <c r="D2648" i="23"/>
  <c r="D2647" i="23"/>
  <c r="D2646" i="23"/>
  <c r="D2645" i="23"/>
  <c r="D2644" i="23"/>
  <c r="D2643" i="23"/>
  <c r="D2642" i="23"/>
  <c r="D2641" i="23"/>
  <c r="D2640" i="23"/>
  <c r="D2639" i="23"/>
  <c r="D2638" i="23"/>
  <c r="D2637" i="23"/>
  <c r="D2636" i="23"/>
  <c r="D2635" i="23"/>
  <c r="D2634" i="23"/>
  <c r="D2633" i="23"/>
  <c r="D2632" i="23"/>
  <c r="D2631" i="23"/>
  <c r="D2630" i="23"/>
  <c r="D2629" i="23"/>
  <c r="D2628" i="23"/>
  <c r="D2627" i="23"/>
  <c r="D2626" i="23"/>
  <c r="D2625" i="23"/>
  <c r="D2624" i="23"/>
  <c r="D2623" i="23"/>
  <c r="D2622" i="23"/>
  <c r="D2621" i="23"/>
  <c r="D2620" i="23"/>
  <c r="D2619" i="23"/>
  <c r="D2618" i="23"/>
  <c r="D2617" i="23"/>
  <c r="D2616" i="23"/>
  <c r="D2615" i="23"/>
  <c r="D2614" i="23"/>
  <c r="D2613" i="23"/>
  <c r="D2612" i="23"/>
  <c r="D2611" i="23"/>
  <c r="D2610" i="23"/>
  <c r="D2609" i="23"/>
  <c r="D2608" i="23"/>
  <c r="D2607" i="23"/>
  <c r="D2606" i="23"/>
  <c r="D2605" i="23"/>
  <c r="D2604" i="23"/>
  <c r="D2603" i="23"/>
  <c r="D2602" i="23"/>
  <c r="D2601" i="23"/>
  <c r="D2600" i="23"/>
  <c r="D2599" i="23"/>
  <c r="D2598" i="23"/>
  <c r="D2597" i="23"/>
  <c r="D2596" i="23"/>
  <c r="D2595" i="23"/>
  <c r="D2594" i="23"/>
  <c r="D2593" i="23"/>
  <c r="D2592" i="23"/>
  <c r="D2591" i="23"/>
  <c r="D2590" i="23"/>
  <c r="D2589" i="23"/>
  <c r="D2588" i="23"/>
  <c r="D2587" i="23"/>
  <c r="D2586" i="23"/>
  <c r="D2585" i="23"/>
  <c r="D2584" i="23"/>
  <c r="D2583" i="23"/>
  <c r="D2582" i="23"/>
  <c r="D2581" i="23"/>
  <c r="D2580" i="23"/>
  <c r="D2579" i="23"/>
  <c r="D2578" i="23"/>
  <c r="D2577" i="23"/>
  <c r="D2576" i="23"/>
  <c r="D2575" i="23"/>
  <c r="D2574" i="23"/>
  <c r="D2573" i="23"/>
  <c r="D2572" i="23"/>
  <c r="D2571" i="23"/>
  <c r="D2570" i="23"/>
  <c r="D2569" i="23"/>
  <c r="D2568" i="23"/>
  <c r="D2567" i="23"/>
  <c r="D2566" i="23"/>
  <c r="D2565" i="23"/>
  <c r="D2564" i="23"/>
  <c r="D2563" i="23"/>
  <c r="D2562" i="23"/>
  <c r="D2561" i="23"/>
  <c r="D2560" i="23"/>
  <c r="D2559" i="23"/>
  <c r="D2558" i="23"/>
  <c r="D2557" i="23"/>
  <c r="D2556" i="23"/>
  <c r="D2555" i="23"/>
  <c r="D2554" i="23"/>
  <c r="D2553" i="23"/>
  <c r="D2552" i="23"/>
  <c r="D2551" i="23"/>
  <c r="D2550" i="23"/>
  <c r="D2549" i="23"/>
  <c r="D2548" i="23"/>
  <c r="D2547" i="23"/>
  <c r="D2546" i="23"/>
  <c r="D2545" i="23"/>
  <c r="D2544" i="23"/>
  <c r="D2543" i="23"/>
  <c r="D2542" i="23"/>
  <c r="D2541" i="23"/>
  <c r="D2540" i="23"/>
  <c r="D2539" i="23"/>
  <c r="D2538" i="23"/>
  <c r="D2537" i="23"/>
  <c r="D2536" i="23"/>
  <c r="D2535" i="23"/>
  <c r="D2534" i="23"/>
  <c r="D2533" i="23"/>
  <c r="D2532" i="23"/>
  <c r="D2531" i="23"/>
  <c r="D2530" i="23"/>
  <c r="D2529" i="23"/>
  <c r="D2528" i="23"/>
  <c r="D2527" i="23"/>
  <c r="D2526" i="23"/>
  <c r="D2525" i="23"/>
  <c r="D2524" i="23"/>
  <c r="D2523" i="23"/>
  <c r="D2522" i="23"/>
  <c r="D2521" i="23"/>
  <c r="D2520" i="23"/>
  <c r="D2519" i="23"/>
  <c r="D2518" i="23"/>
  <c r="D2517" i="23"/>
  <c r="D2516" i="23"/>
  <c r="D2515" i="23"/>
  <c r="D2514" i="23"/>
  <c r="D2513" i="23"/>
  <c r="D2512" i="23"/>
  <c r="D2511" i="23"/>
  <c r="D2510" i="23"/>
  <c r="D2509" i="23"/>
  <c r="D2508" i="23"/>
  <c r="D2507" i="23"/>
  <c r="D2506" i="23"/>
  <c r="D2505" i="23"/>
  <c r="D2504" i="23"/>
  <c r="D2503" i="23"/>
  <c r="D2502" i="23"/>
  <c r="D2501" i="23"/>
  <c r="D2500" i="23"/>
  <c r="D2499" i="23"/>
  <c r="D2498" i="23"/>
  <c r="D2497" i="23"/>
  <c r="D2496" i="23"/>
  <c r="D2495" i="23"/>
  <c r="D2494" i="23"/>
  <c r="D2493" i="23"/>
  <c r="D2492" i="23"/>
  <c r="D2491" i="23"/>
  <c r="D2490" i="23"/>
  <c r="D2489" i="23"/>
  <c r="D2488" i="23"/>
  <c r="D2487" i="23"/>
  <c r="D2486" i="23"/>
  <c r="D2485" i="23"/>
  <c r="D2484" i="23"/>
  <c r="D2483" i="23"/>
  <c r="D2482" i="23"/>
  <c r="D2481" i="23"/>
  <c r="D2480" i="23"/>
  <c r="D2479" i="23"/>
  <c r="D2478" i="23"/>
  <c r="D2477" i="23"/>
  <c r="D2476" i="23"/>
  <c r="D2475" i="23"/>
  <c r="D2474" i="23"/>
  <c r="D2473" i="23"/>
  <c r="D2472" i="23"/>
  <c r="D2471" i="23"/>
  <c r="D2470" i="23"/>
  <c r="D2469" i="23"/>
  <c r="D2468" i="23"/>
  <c r="D2467" i="23"/>
  <c r="D2466" i="23"/>
  <c r="D2465" i="23"/>
  <c r="D2464" i="23"/>
  <c r="D2463" i="23"/>
  <c r="D2462" i="23"/>
  <c r="D2461" i="23"/>
  <c r="D2460" i="23"/>
  <c r="D2459" i="23"/>
  <c r="D2458" i="23"/>
  <c r="D2457" i="23"/>
  <c r="D2456" i="23"/>
  <c r="D2455" i="23"/>
  <c r="D2454" i="23"/>
  <c r="D2453" i="23"/>
  <c r="D2452" i="23"/>
  <c r="D2451" i="23"/>
  <c r="D2450" i="23"/>
  <c r="D2449" i="23"/>
  <c r="D2448" i="23"/>
  <c r="D2447" i="23"/>
  <c r="D2446" i="23"/>
  <c r="D2445" i="23"/>
  <c r="D2444" i="23"/>
  <c r="D2443" i="23"/>
  <c r="D2442" i="23"/>
  <c r="D2441" i="23"/>
  <c r="D2440" i="23"/>
  <c r="D2439" i="23"/>
  <c r="D2438" i="23"/>
  <c r="D2437" i="23"/>
  <c r="D2436" i="23"/>
  <c r="D2435" i="23"/>
  <c r="D2434" i="23"/>
  <c r="D2433" i="23"/>
  <c r="D2432" i="23"/>
  <c r="D2431" i="23"/>
  <c r="D2430" i="23"/>
  <c r="D2429" i="23"/>
  <c r="D2428" i="23"/>
  <c r="D2427" i="23"/>
  <c r="D2426" i="23"/>
  <c r="D2425" i="23"/>
  <c r="D2424" i="23"/>
  <c r="D2423" i="23"/>
  <c r="D2422" i="23"/>
  <c r="D2421" i="23"/>
  <c r="D2420" i="23"/>
  <c r="D2419" i="23"/>
  <c r="D2418" i="23"/>
  <c r="D2417" i="23"/>
  <c r="D2416" i="23"/>
  <c r="D2415" i="23"/>
  <c r="D2414" i="23"/>
  <c r="D2413" i="23"/>
  <c r="D2412" i="23"/>
  <c r="D2411" i="23"/>
  <c r="D2410" i="23"/>
  <c r="D2409" i="23"/>
  <c r="D2408" i="23"/>
  <c r="D2407" i="23"/>
  <c r="D2406" i="23"/>
  <c r="D2405" i="23"/>
  <c r="D2404" i="23"/>
  <c r="D2403" i="23"/>
  <c r="D2402" i="23"/>
  <c r="D2401" i="23"/>
  <c r="D2400" i="23"/>
  <c r="D2399" i="23"/>
  <c r="D2398" i="23"/>
  <c r="D2397" i="23"/>
  <c r="D2396" i="23"/>
  <c r="D2395" i="23"/>
  <c r="D2394" i="23"/>
  <c r="D2393" i="23"/>
  <c r="D2392" i="23"/>
  <c r="D2391" i="23"/>
  <c r="D2390" i="23"/>
  <c r="D2389" i="23"/>
  <c r="D2388" i="23"/>
  <c r="D2387" i="23"/>
  <c r="D2386" i="23"/>
  <c r="D2385" i="23"/>
  <c r="D2384" i="23"/>
  <c r="D2383" i="23"/>
  <c r="D2382" i="23"/>
  <c r="D2381" i="23"/>
  <c r="D2380" i="23"/>
  <c r="D2379" i="23"/>
  <c r="D2378" i="23"/>
  <c r="D2377" i="23"/>
  <c r="D2376" i="23"/>
  <c r="D2375" i="23"/>
  <c r="D2374" i="23"/>
  <c r="D2373" i="23"/>
  <c r="D2372" i="23"/>
  <c r="D2371" i="23"/>
  <c r="D2370" i="23"/>
  <c r="D2369" i="23"/>
  <c r="D2368" i="23"/>
  <c r="D2367" i="23"/>
  <c r="D2366" i="23"/>
  <c r="D2365" i="23"/>
  <c r="D2364" i="23"/>
  <c r="D2363" i="23"/>
  <c r="D2362" i="23"/>
  <c r="D2361" i="23"/>
  <c r="D2360" i="23"/>
  <c r="D2359" i="23"/>
  <c r="D2358" i="23"/>
  <c r="D2357" i="23"/>
  <c r="D2356" i="23"/>
  <c r="D2355" i="23"/>
  <c r="D2354" i="23"/>
  <c r="D2353" i="23"/>
  <c r="D2352" i="23"/>
  <c r="D2351" i="23"/>
  <c r="D2350" i="23"/>
  <c r="D2349" i="23"/>
  <c r="D2348" i="23"/>
  <c r="D2347" i="23"/>
  <c r="D2346" i="23"/>
  <c r="D2345" i="23"/>
  <c r="D2344" i="23"/>
  <c r="D2343" i="23"/>
  <c r="D2342" i="23"/>
  <c r="D2341" i="23"/>
  <c r="D2340" i="23"/>
  <c r="D2339" i="23"/>
  <c r="D2338" i="23"/>
  <c r="D2337" i="23"/>
  <c r="D2336" i="23"/>
  <c r="D2335" i="23"/>
  <c r="D2334" i="23"/>
  <c r="D2333" i="23"/>
  <c r="D2332" i="23"/>
  <c r="D2331" i="23"/>
  <c r="D2330" i="23"/>
  <c r="D2329" i="23"/>
  <c r="D2328" i="23"/>
  <c r="D2327" i="23"/>
  <c r="D2326" i="23"/>
  <c r="D2325" i="23"/>
  <c r="D2324" i="23"/>
  <c r="D2323" i="23"/>
  <c r="D2322" i="23"/>
  <c r="D2321" i="23"/>
  <c r="D2320" i="23"/>
  <c r="D2319" i="23"/>
  <c r="D2318" i="23"/>
  <c r="D2317" i="23"/>
  <c r="D2316" i="23"/>
  <c r="D2315" i="23"/>
  <c r="D2314" i="23"/>
  <c r="D2313" i="23"/>
  <c r="D2312" i="23"/>
  <c r="D2311" i="23"/>
  <c r="D2310" i="23"/>
  <c r="D2309" i="23"/>
  <c r="D2308" i="23"/>
  <c r="D2307" i="23"/>
  <c r="D2306" i="23"/>
  <c r="D2305" i="23"/>
  <c r="D2304" i="23"/>
  <c r="D2303" i="23"/>
  <c r="D2302" i="23"/>
  <c r="D2301" i="23"/>
  <c r="D2300" i="23"/>
  <c r="D2299" i="23"/>
  <c r="D2298" i="23"/>
  <c r="D2297" i="23"/>
  <c r="D2296" i="23"/>
  <c r="D2295" i="23"/>
  <c r="D2294" i="23"/>
  <c r="D2293" i="23"/>
  <c r="D2292" i="23"/>
  <c r="D2291" i="23"/>
  <c r="D2290" i="23"/>
  <c r="D2289" i="23"/>
  <c r="D2288" i="23"/>
  <c r="D2287" i="23"/>
  <c r="D2286" i="23"/>
  <c r="D2285" i="23"/>
  <c r="D2284" i="23"/>
  <c r="D2283" i="23"/>
  <c r="D2282" i="23"/>
  <c r="D2281" i="23"/>
  <c r="D2280" i="23"/>
  <c r="D2279" i="23"/>
  <c r="D2278" i="23"/>
  <c r="D2277" i="23"/>
  <c r="D2276" i="23"/>
  <c r="D2275" i="23"/>
  <c r="D2274" i="23"/>
  <c r="D2273" i="23"/>
  <c r="D2272" i="23"/>
  <c r="D2271" i="23"/>
  <c r="D2270" i="23"/>
  <c r="D2269" i="23"/>
  <c r="D2268" i="23"/>
  <c r="D2267" i="23"/>
  <c r="D2266" i="23"/>
  <c r="D2265" i="23"/>
  <c r="D2264" i="23"/>
  <c r="D2263" i="23"/>
  <c r="D2262" i="23"/>
  <c r="D2261" i="23"/>
  <c r="D2260" i="23"/>
  <c r="D2259" i="23"/>
  <c r="D2258" i="23"/>
  <c r="D2257" i="23"/>
  <c r="D2256" i="23"/>
  <c r="D2255" i="23"/>
  <c r="D2254" i="23"/>
  <c r="D2253" i="23"/>
  <c r="D2252" i="23"/>
  <c r="D2251" i="23"/>
  <c r="D2250" i="23"/>
  <c r="D2249" i="23"/>
  <c r="D2248" i="23"/>
  <c r="D2247" i="23"/>
  <c r="D2246" i="23"/>
  <c r="D2245" i="23"/>
  <c r="D2244" i="23"/>
  <c r="D2243" i="23"/>
  <c r="D2242" i="23"/>
  <c r="D2241" i="23"/>
  <c r="D2240" i="23"/>
  <c r="D2239" i="23"/>
  <c r="D2238" i="23"/>
  <c r="D2237" i="23"/>
  <c r="D2236" i="23"/>
  <c r="D2235" i="23"/>
  <c r="D2234" i="23"/>
  <c r="D2233" i="23"/>
  <c r="D2232" i="23"/>
  <c r="D2231" i="23"/>
  <c r="D2230" i="23"/>
  <c r="D2229" i="23"/>
  <c r="D2228" i="23"/>
  <c r="D2227" i="23"/>
  <c r="D2226" i="23"/>
  <c r="D2225" i="23"/>
  <c r="D2224" i="23"/>
  <c r="D2223" i="23"/>
  <c r="D2222" i="23"/>
  <c r="D2221" i="23"/>
  <c r="D2220" i="23"/>
  <c r="D2219" i="23"/>
  <c r="D2218" i="23"/>
  <c r="D2217" i="23"/>
  <c r="D2216" i="23"/>
  <c r="D2215" i="23"/>
  <c r="D2214" i="23"/>
  <c r="D2213" i="23"/>
  <c r="D2212" i="23"/>
  <c r="D2211" i="23"/>
  <c r="D2210" i="23"/>
  <c r="D2209" i="23"/>
  <c r="D2208" i="23"/>
  <c r="D2207" i="23"/>
  <c r="D2206" i="23"/>
  <c r="D2205" i="23"/>
  <c r="D2204" i="23"/>
  <c r="D2203" i="23"/>
  <c r="D2202" i="23"/>
  <c r="D2201" i="23"/>
  <c r="D2200" i="23"/>
  <c r="D2199" i="23"/>
  <c r="D2198" i="23"/>
  <c r="D2197" i="23"/>
  <c r="D2196" i="23"/>
  <c r="D2195" i="23"/>
  <c r="D2194" i="23"/>
  <c r="D2193" i="23"/>
  <c r="D2192" i="23"/>
  <c r="D2191" i="23"/>
  <c r="D2190" i="23"/>
  <c r="D2189" i="23"/>
  <c r="D2188" i="23"/>
  <c r="D2187" i="23"/>
  <c r="D2186" i="23"/>
  <c r="D2185" i="23"/>
  <c r="D2184" i="23"/>
  <c r="D2183" i="23"/>
  <c r="D2182" i="23"/>
  <c r="D2181" i="23"/>
  <c r="D2180" i="23"/>
  <c r="D2179" i="23"/>
  <c r="D2178" i="23"/>
  <c r="D2177" i="23"/>
  <c r="D2176" i="23"/>
  <c r="D2175" i="23"/>
  <c r="D2174" i="23"/>
  <c r="D2173" i="23"/>
  <c r="D2172" i="23"/>
  <c r="D2171" i="23"/>
  <c r="D2170" i="23"/>
  <c r="D2169" i="23"/>
  <c r="D2168" i="23"/>
  <c r="D2167" i="23"/>
  <c r="D2166" i="23"/>
  <c r="D2165" i="23"/>
  <c r="D2164" i="23"/>
  <c r="D2163" i="23"/>
  <c r="D2162" i="23"/>
  <c r="D2161" i="23"/>
  <c r="D2160" i="23"/>
  <c r="D2159" i="23"/>
  <c r="D2158" i="23"/>
  <c r="D2157" i="23"/>
  <c r="D2156" i="23"/>
  <c r="D2155" i="23"/>
  <c r="D2154" i="23"/>
  <c r="D2153" i="23"/>
  <c r="D2152" i="23"/>
  <c r="D2151" i="23"/>
  <c r="D2150" i="23"/>
  <c r="D2149" i="23"/>
  <c r="D2148" i="23"/>
  <c r="D2147" i="23"/>
  <c r="D2146" i="23"/>
  <c r="D2145" i="23"/>
  <c r="D2144" i="23"/>
  <c r="D2143" i="23"/>
  <c r="D2142" i="23"/>
  <c r="D2141" i="23"/>
  <c r="D2140" i="23"/>
  <c r="D2139" i="23"/>
  <c r="D2138" i="23"/>
  <c r="D2137" i="23"/>
  <c r="D2136" i="23"/>
  <c r="D2135" i="23"/>
  <c r="D2134" i="23"/>
  <c r="D2133" i="23"/>
  <c r="D2132" i="23"/>
  <c r="D2131" i="23"/>
  <c r="D2130" i="23"/>
  <c r="D2129" i="23"/>
  <c r="D2128" i="23"/>
  <c r="D2127" i="23"/>
  <c r="D2126" i="23"/>
  <c r="D2125" i="23"/>
  <c r="D2124" i="23"/>
  <c r="D2123" i="23"/>
  <c r="D2122" i="23"/>
  <c r="D2121" i="23"/>
  <c r="D2120" i="23"/>
  <c r="D2119" i="23"/>
  <c r="D2118" i="23"/>
  <c r="D2117" i="23"/>
  <c r="D2116" i="23"/>
  <c r="D2115" i="23"/>
  <c r="D2114" i="23"/>
  <c r="D2113" i="23"/>
  <c r="D2112" i="23"/>
  <c r="D2111" i="23"/>
  <c r="D2110" i="23"/>
  <c r="D2109" i="23"/>
  <c r="D2108" i="23"/>
  <c r="D2107" i="23"/>
  <c r="D2106" i="23"/>
  <c r="D2105" i="23"/>
  <c r="D2104" i="23"/>
  <c r="D2103" i="23"/>
  <c r="D2102" i="23"/>
  <c r="D2101" i="23"/>
  <c r="D2100" i="23"/>
  <c r="D2099" i="23"/>
  <c r="D2098" i="23"/>
  <c r="D2097" i="23"/>
  <c r="D2096" i="23"/>
  <c r="D2095" i="23"/>
  <c r="D2094" i="23"/>
  <c r="D2093" i="23"/>
  <c r="D2092" i="23"/>
  <c r="D2091" i="23"/>
  <c r="D2090" i="23"/>
  <c r="D2089" i="23"/>
  <c r="D2088" i="23"/>
  <c r="D2087" i="23"/>
  <c r="D2086" i="23"/>
  <c r="D2085" i="23"/>
  <c r="D2084" i="23"/>
  <c r="D2083" i="23"/>
  <c r="D2082" i="23"/>
  <c r="D2081" i="23"/>
  <c r="D2080" i="23"/>
  <c r="D2079" i="23"/>
  <c r="D2078" i="23"/>
  <c r="D2077" i="23"/>
  <c r="D2076" i="23"/>
  <c r="D2075" i="23"/>
  <c r="D2074" i="23"/>
  <c r="D2073" i="23"/>
  <c r="D2072" i="23"/>
  <c r="D2071" i="23"/>
  <c r="D2070" i="23"/>
  <c r="D2069" i="23"/>
  <c r="D2068" i="23"/>
  <c r="D2067" i="23"/>
  <c r="D2066" i="23"/>
  <c r="D2065" i="23"/>
  <c r="D2064" i="23"/>
  <c r="D2063" i="23"/>
  <c r="D2062" i="23"/>
  <c r="D2061" i="23"/>
  <c r="D2060" i="23"/>
  <c r="D2059" i="23"/>
  <c r="D2058" i="23"/>
  <c r="D2057" i="23"/>
  <c r="D2056" i="23"/>
  <c r="D2055" i="23"/>
  <c r="D2054" i="23"/>
  <c r="D2053" i="23"/>
  <c r="D2052" i="23"/>
  <c r="D2051" i="23"/>
  <c r="D2050" i="23"/>
  <c r="D2049" i="23"/>
  <c r="D2048" i="23"/>
  <c r="D2047" i="23"/>
  <c r="D2046" i="23"/>
  <c r="D2045" i="23"/>
  <c r="D2044" i="23"/>
  <c r="D2043" i="23"/>
  <c r="D2042" i="23"/>
  <c r="D2041" i="23"/>
  <c r="D2040" i="23"/>
  <c r="D2039" i="23"/>
  <c r="D2038" i="23"/>
  <c r="D2037" i="23"/>
  <c r="D2036" i="23"/>
  <c r="D2035" i="23"/>
  <c r="D2034" i="23"/>
  <c r="D2033" i="23"/>
  <c r="D2032" i="23"/>
  <c r="D2031" i="23"/>
  <c r="D2030" i="23"/>
  <c r="D2029" i="23"/>
  <c r="D2028" i="23"/>
  <c r="D2027" i="23"/>
  <c r="D2026" i="23"/>
  <c r="D2025" i="23"/>
  <c r="D2024" i="23"/>
  <c r="D2023" i="23"/>
  <c r="D2022" i="23"/>
  <c r="D2021" i="23"/>
  <c r="D2020" i="23"/>
  <c r="D2019" i="23"/>
  <c r="D2018" i="23"/>
  <c r="D2017" i="23"/>
  <c r="D2016" i="23"/>
  <c r="D2015" i="23"/>
  <c r="D2014" i="23"/>
  <c r="D2013" i="23"/>
  <c r="D2012" i="23"/>
  <c r="D2011" i="23"/>
  <c r="D2010" i="23"/>
  <c r="D2009" i="23"/>
  <c r="D2008" i="23"/>
  <c r="D2007" i="23"/>
  <c r="D2006" i="23"/>
  <c r="D2005" i="23"/>
  <c r="D2004" i="23"/>
  <c r="D2003" i="23"/>
  <c r="D2002" i="23"/>
  <c r="D2001" i="23"/>
  <c r="D2000" i="23"/>
  <c r="D1999" i="23"/>
  <c r="D1998" i="23"/>
  <c r="D1997" i="23"/>
  <c r="D1996" i="23"/>
  <c r="D1995" i="23"/>
  <c r="D1994" i="23"/>
  <c r="D1993" i="23"/>
  <c r="D1992" i="23"/>
  <c r="D1991" i="23"/>
  <c r="D1990" i="23"/>
  <c r="D1989" i="23"/>
  <c r="D1988" i="23"/>
  <c r="D1987" i="23"/>
  <c r="D1986" i="23"/>
  <c r="D1985" i="23"/>
  <c r="D1984" i="23"/>
  <c r="D1983" i="23"/>
  <c r="D1982" i="23"/>
  <c r="D1981" i="23"/>
  <c r="D1980" i="23"/>
  <c r="D1979" i="23"/>
  <c r="D1978" i="23"/>
  <c r="D1977" i="23"/>
  <c r="D1976" i="23"/>
  <c r="D1975" i="23"/>
  <c r="D1974" i="23"/>
  <c r="D1973" i="23"/>
  <c r="D1972" i="23"/>
  <c r="D1971" i="23"/>
  <c r="D1970" i="23"/>
  <c r="D1969" i="23"/>
  <c r="D1968" i="23"/>
  <c r="D1967" i="23"/>
  <c r="D1966" i="23"/>
  <c r="D1965" i="23"/>
  <c r="D1964" i="23"/>
  <c r="D1963" i="23"/>
  <c r="D1962" i="23"/>
  <c r="D1961" i="23"/>
  <c r="D1960" i="23"/>
  <c r="D1959" i="23"/>
  <c r="D1958" i="23"/>
  <c r="D1957" i="23"/>
  <c r="D1956" i="23"/>
  <c r="D1955" i="23"/>
  <c r="D1954" i="23"/>
  <c r="D1953" i="23"/>
  <c r="D1952" i="23"/>
  <c r="D1951" i="23"/>
  <c r="D1950" i="23"/>
  <c r="D1949" i="23"/>
  <c r="D1948" i="23"/>
  <c r="D1947" i="23"/>
  <c r="D1946" i="23"/>
  <c r="D1945" i="23"/>
  <c r="D1944" i="23"/>
  <c r="D1943" i="23"/>
  <c r="D1942" i="23"/>
  <c r="D1941" i="23"/>
  <c r="D1940" i="23"/>
  <c r="D1939" i="23"/>
  <c r="D1938" i="23"/>
  <c r="D1937" i="23"/>
  <c r="D1936" i="23"/>
  <c r="D1935" i="23"/>
  <c r="D1934" i="23"/>
  <c r="D1933" i="23"/>
  <c r="D1932" i="23"/>
  <c r="D1931" i="23"/>
  <c r="D1930" i="23"/>
  <c r="D1929" i="23"/>
  <c r="D1928" i="23"/>
  <c r="D1927" i="23"/>
  <c r="D1926" i="23"/>
  <c r="D1925" i="23"/>
  <c r="D1924" i="23"/>
  <c r="D1923" i="23"/>
  <c r="D1922" i="23"/>
  <c r="D1921" i="23"/>
  <c r="D1920" i="23"/>
  <c r="D1919" i="23"/>
  <c r="D1918" i="23"/>
  <c r="D1917" i="23"/>
  <c r="D1916" i="23"/>
  <c r="D1915" i="23"/>
  <c r="D1914" i="23"/>
  <c r="D1913" i="23"/>
  <c r="D1912" i="23"/>
  <c r="D1911" i="23"/>
  <c r="D1910" i="23"/>
  <c r="D1909" i="23"/>
  <c r="D1908" i="23"/>
  <c r="D1907" i="23"/>
  <c r="D1906" i="23"/>
  <c r="D1905" i="23"/>
  <c r="D1904" i="23"/>
  <c r="D1903" i="23"/>
  <c r="D1902" i="23"/>
  <c r="D1901" i="23"/>
  <c r="D1900" i="23"/>
  <c r="D1899" i="23"/>
  <c r="D1898" i="23"/>
  <c r="D1897" i="23"/>
  <c r="D1896" i="23"/>
  <c r="D1895" i="23"/>
  <c r="D1894" i="23"/>
  <c r="D1893" i="23"/>
  <c r="D1892" i="23"/>
  <c r="D1891" i="23"/>
  <c r="D1890" i="23"/>
  <c r="D1889" i="23"/>
  <c r="D1888" i="23"/>
  <c r="D1887" i="23"/>
  <c r="D1886" i="23"/>
  <c r="D1885" i="23"/>
  <c r="D1884" i="23"/>
  <c r="D1883" i="23"/>
  <c r="D1882" i="23"/>
  <c r="D1881" i="23"/>
  <c r="D1880" i="23"/>
  <c r="D1879" i="23"/>
  <c r="D1878" i="23"/>
  <c r="D1877" i="23"/>
  <c r="D1876" i="23"/>
  <c r="D1875" i="23"/>
  <c r="D1874" i="23"/>
  <c r="D1873" i="23"/>
  <c r="D1872" i="23"/>
  <c r="D1871" i="23"/>
  <c r="D1870" i="23"/>
  <c r="D1869" i="23"/>
  <c r="D1868" i="23"/>
  <c r="D1867" i="23"/>
  <c r="D1866" i="23"/>
  <c r="D1865" i="23"/>
  <c r="D1864" i="23"/>
  <c r="D1863" i="23"/>
  <c r="D1862" i="23"/>
  <c r="D1861" i="23"/>
  <c r="D1860" i="23"/>
  <c r="D1859" i="23"/>
  <c r="D1858" i="23"/>
  <c r="D1857" i="23"/>
  <c r="D1856" i="23"/>
  <c r="D1855" i="23"/>
  <c r="D1854" i="23"/>
  <c r="D1853" i="23"/>
  <c r="D1852" i="23"/>
  <c r="D1851" i="23"/>
  <c r="D1850" i="23"/>
  <c r="D1849" i="23"/>
  <c r="D1848" i="23"/>
  <c r="D1847" i="23"/>
  <c r="D1846" i="23"/>
  <c r="D1845" i="23"/>
  <c r="D1844" i="23"/>
  <c r="D1843" i="23"/>
  <c r="D1842" i="23"/>
  <c r="D1841" i="23"/>
  <c r="D1840" i="23"/>
  <c r="D1839" i="23"/>
  <c r="D1838" i="23"/>
  <c r="D1837" i="23"/>
  <c r="D1836" i="23"/>
  <c r="D1835" i="23"/>
  <c r="D1834" i="23"/>
  <c r="D1833" i="23"/>
  <c r="D1832" i="23"/>
  <c r="D1831" i="23"/>
  <c r="D1830" i="23"/>
  <c r="D1829" i="23"/>
  <c r="D1828" i="23"/>
  <c r="D1827" i="23"/>
  <c r="D1826" i="23"/>
  <c r="D1825" i="23"/>
  <c r="D1824" i="23"/>
  <c r="D1823" i="23"/>
  <c r="D1822" i="23"/>
  <c r="D1821" i="23"/>
  <c r="D1820" i="23"/>
  <c r="D1819" i="23"/>
  <c r="D1818" i="23"/>
  <c r="D1817" i="23"/>
  <c r="D1816" i="23"/>
  <c r="D1815" i="23"/>
  <c r="D1814" i="23"/>
  <c r="D1813" i="23"/>
  <c r="D1812" i="23"/>
  <c r="D1811" i="23"/>
  <c r="D1810" i="23"/>
  <c r="D1809" i="23"/>
  <c r="D1808" i="23"/>
  <c r="D1807" i="23"/>
  <c r="D1806" i="23"/>
  <c r="D1805" i="23"/>
  <c r="D1804" i="23"/>
  <c r="D1803" i="23"/>
  <c r="D1802" i="23"/>
  <c r="D1801" i="23"/>
  <c r="D1800" i="23"/>
  <c r="D1799" i="23"/>
  <c r="D1798" i="23"/>
  <c r="D1797" i="23"/>
  <c r="D1796" i="23"/>
  <c r="D1795" i="23"/>
  <c r="D1794" i="23"/>
  <c r="D1793" i="23"/>
  <c r="D1792" i="23"/>
  <c r="D1791" i="23"/>
  <c r="D1790" i="23"/>
  <c r="D1789" i="23"/>
  <c r="D1788" i="23"/>
  <c r="D1787" i="23"/>
  <c r="D1786" i="23"/>
  <c r="D1785" i="23"/>
  <c r="D1784" i="23"/>
  <c r="D1783" i="23"/>
  <c r="D1782" i="23"/>
  <c r="D1781" i="23"/>
  <c r="D1780" i="23"/>
  <c r="D1779" i="23"/>
  <c r="D1778" i="23"/>
  <c r="D1777" i="23"/>
  <c r="D1776" i="23"/>
  <c r="D1775" i="23"/>
  <c r="D1774" i="23"/>
  <c r="D1773" i="23"/>
  <c r="D1772" i="23"/>
  <c r="D1771" i="23"/>
  <c r="D1770" i="23"/>
  <c r="D1769" i="23"/>
  <c r="D1768" i="23"/>
  <c r="D1767" i="23"/>
  <c r="D1766" i="23"/>
  <c r="D1765" i="23"/>
  <c r="D1764" i="23"/>
  <c r="D1763" i="23"/>
  <c r="D1762" i="23"/>
  <c r="D1761" i="23"/>
  <c r="D1760" i="23"/>
  <c r="D1759" i="23"/>
  <c r="D1758" i="23"/>
  <c r="D1757" i="23"/>
  <c r="D1756" i="23"/>
  <c r="D1755" i="23"/>
  <c r="D1754" i="23"/>
  <c r="D1753" i="23"/>
  <c r="D1752" i="23"/>
  <c r="D1751" i="23"/>
  <c r="D1750" i="23"/>
  <c r="D1749" i="23"/>
  <c r="D1748" i="23"/>
  <c r="D1747" i="23"/>
  <c r="D1746" i="23"/>
  <c r="D1745" i="23"/>
  <c r="D1744" i="23"/>
  <c r="D1743" i="23"/>
  <c r="D1742" i="23"/>
  <c r="D1741" i="23"/>
  <c r="D1740" i="23"/>
  <c r="D1739" i="23"/>
  <c r="D1738" i="23"/>
  <c r="D1737" i="23"/>
  <c r="D1736" i="23"/>
  <c r="D1735" i="23"/>
  <c r="D1734" i="23"/>
  <c r="D1733" i="23"/>
  <c r="D1732" i="23"/>
  <c r="D1731" i="23"/>
  <c r="D1730" i="23"/>
  <c r="D1729" i="23"/>
  <c r="D1728" i="23"/>
  <c r="D1727" i="23"/>
  <c r="D1726" i="23"/>
  <c r="D1725" i="23"/>
  <c r="D1724" i="23"/>
  <c r="D1723" i="23"/>
  <c r="D1722" i="23"/>
  <c r="D1721" i="23"/>
  <c r="D1720" i="23"/>
  <c r="D1719" i="23"/>
  <c r="D1718" i="23"/>
  <c r="D1717" i="23"/>
  <c r="D1716" i="23"/>
  <c r="D1715" i="23"/>
  <c r="D1714" i="23"/>
  <c r="D1713" i="23"/>
  <c r="D1712" i="23"/>
  <c r="D1711" i="23"/>
  <c r="D1710" i="23"/>
  <c r="D1709" i="23"/>
  <c r="D1708" i="23"/>
  <c r="D1707" i="23"/>
  <c r="D1706" i="23"/>
  <c r="D1705" i="23"/>
  <c r="D1704" i="23"/>
  <c r="D1703" i="23"/>
  <c r="D1702" i="23"/>
  <c r="D1701" i="23"/>
  <c r="D1700" i="23"/>
  <c r="D1699" i="23"/>
  <c r="D1698" i="23"/>
  <c r="D1697" i="23"/>
  <c r="D1696" i="23"/>
  <c r="D1695" i="23"/>
  <c r="D1694" i="23"/>
  <c r="D1693" i="23"/>
  <c r="D1692" i="23"/>
  <c r="D1691" i="23"/>
  <c r="D1690" i="23"/>
  <c r="D1689" i="23"/>
  <c r="D1688" i="23"/>
  <c r="D1687" i="23"/>
  <c r="D1686" i="23"/>
  <c r="D1685" i="23"/>
  <c r="D1684" i="23"/>
  <c r="D1683" i="23"/>
  <c r="D1682" i="23"/>
  <c r="D1681" i="23"/>
  <c r="D1680" i="23"/>
  <c r="D1679" i="23"/>
  <c r="D1678" i="23"/>
  <c r="D1677" i="23"/>
  <c r="D1676" i="23"/>
  <c r="D1675" i="23"/>
  <c r="D1674" i="23"/>
  <c r="D1673" i="23"/>
  <c r="D1672" i="23"/>
  <c r="D1671" i="23"/>
  <c r="D1670" i="23"/>
  <c r="D1669" i="23"/>
  <c r="D1668" i="23"/>
  <c r="D1667" i="23"/>
  <c r="D1666" i="23"/>
  <c r="D1665" i="23"/>
  <c r="D1664" i="23"/>
  <c r="D1663" i="23"/>
  <c r="D1662" i="23"/>
  <c r="D1661" i="23"/>
  <c r="D1660" i="23"/>
  <c r="D1659" i="23"/>
  <c r="D1658" i="23"/>
  <c r="D1657" i="23"/>
  <c r="D1656" i="23"/>
  <c r="D1655" i="23"/>
  <c r="D1654" i="23"/>
  <c r="D1653" i="23"/>
  <c r="D1652" i="23"/>
  <c r="D1651" i="23"/>
  <c r="D1650" i="23"/>
  <c r="D1649" i="23"/>
  <c r="D1648" i="23"/>
  <c r="D1647" i="23"/>
  <c r="D1646" i="23"/>
  <c r="D1645" i="23"/>
  <c r="D1644" i="23"/>
  <c r="D1643" i="23"/>
  <c r="D1642" i="23"/>
  <c r="D1641" i="23"/>
  <c r="D1640" i="23"/>
  <c r="D1639" i="23"/>
  <c r="D1638" i="23"/>
  <c r="D1637" i="23"/>
  <c r="D1636" i="23"/>
  <c r="D1635" i="23"/>
  <c r="D1634" i="23"/>
  <c r="D1633" i="23"/>
  <c r="D1632" i="23"/>
  <c r="D1631" i="23"/>
  <c r="D1630" i="23"/>
  <c r="D1629" i="23"/>
  <c r="D1628" i="23"/>
  <c r="D1627" i="23"/>
  <c r="D1626" i="23"/>
  <c r="D1625" i="23"/>
  <c r="D1624" i="23"/>
  <c r="D1623" i="23"/>
  <c r="D1622" i="23"/>
  <c r="D2" i="23"/>
  <c r="A5000" i="23" l="1"/>
  <c r="A4999" i="23"/>
  <c r="A4998" i="23"/>
  <c r="A4997" i="23"/>
  <c r="A4996" i="23"/>
  <c r="A4995" i="23"/>
  <c r="A4994" i="23"/>
  <c r="A4993" i="23"/>
  <c r="A4992" i="23"/>
  <c r="A4991" i="23"/>
  <c r="A4990" i="23"/>
  <c r="A4989" i="23"/>
  <c r="A4988" i="23"/>
  <c r="A4987" i="23"/>
  <c r="A4986" i="23"/>
  <c r="A4985" i="23"/>
  <c r="A4984" i="23"/>
  <c r="A4983" i="23"/>
  <c r="A4982" i="23"/>
  <c r="A4981" i="23"/>
  <c r="A4980" i="23"/>
  <c r="A4979" i="23"/>
  <c r="A4978" i="23"/>
  <c r="A4977" i="23"/>
  <c r="A4976" i="23"/>
  <c r="A4975" i="23"/>
  <c r="A4974" i="23"/>
  <c r="A4973" i="23"/>
  <c r="A4972" i="23"/>
  <c r="A4971" i="23"/>
  <c r="A4970" i="23"/>
  <c r="A4969" i="23"/>
  <c r="A4968" i="23"/>
  <c r="A4967" i="23"/>
  <c r="A4966" i="23"/>
  <c r="A4965" i="23"/>
  <c r="A4964" i="23"/>
  <c r="A4963" i="23"/>
  <c r="A4962" i="23"/>
  <c r="A4961" i="23"/>
  <c r="A4960" i="23"/>
  <c r="A4959" i="23"/>
  <c r="A4958" i="23"/>
  <c r="A4957" i="23"/>
  <c r="A4956" i="23"/>
  <c r="A4955" i="23"/>
  <c r="A4954" i="23"/>
  <c r="A4953" i="23"/>
  <c r="A4952" i="23"/>
  <c r="A4951" i="23"/>
  <c r="A4950" i="23"/>
  <c r="A4949" i="23"/>
  <c r="A4948" i="23"/>
  <c r="A4947" i="23"/>
  <c r="A4946" i="23"/>
  <c r="A4945" i="23"/>
  <c r="A4944" i="23"/>
  <c r="A4943" i="23"/>
  <c r="A4942" i="23"/>
  <c r="A4941" i="23"/>
  <c r="A4940" i="23"/>
  <c r="A4939" i="23"/>
  <c r="A4938" i="23"/>
  <c r="A4937" i="23"/>
  <c r="A4936" i="23"/>
  <c r="A4935" i="23"/>
  <c r="A4934" i="23"/>
  <c r="A4933" i="23"/>
  <c r="A4932" i="23"/>
  <c r="A4931" i="23"/>
  <c r="A4930" i="23"/>
  <c r="A4929" i="23"/>
  <c r="A4928" i="23"/>
  <c r="A4927" i="23"/>
  <c r="A4926" i="23"/>
  <c r="A4925" i="23"/>
  <c r="A4924" i="23"/>
  <c r="A4923" i="23"/>
  <c r="A4922" i="23"/>
  <c r="A4921" i="23"/>
  <c r="A4920" i="23"/>
  <c r="A4919" i="23"/>
  <c r="A4918" i="23"/>
  <c r="A4917" i="23"/>
  <c r="A4916" i="23"/>
  <c r="A4915" i="23"/>
  <c r="A4914" i="23"/>
  <c r="A4913" i="23"/>
  <c r="A4912" i="23"/>
  <c r="A4911" i="23"/>
  <c r="A4910" i="23"/>
  <c r="A4909" i="23"/>
  <c r="A4908" i="23"/>
  <c r="A4907" i="23"/>
  <c r="A4906" i="23"/>
  <c r="A4905" i="23"/>
  <c r="A4904" i="23"/>
  <c r="A4903" i="23"/>
  <c r="A4902" i="23"/>
  <c r="A4901" i="23"/>
  <c r="A4900" i="23"/>
  <c r="A4899" i="23"/>
  <c r="A4898" i="23"/>
  <c r="A4897" i="23"/>
  <c r="A4896" i="23"/>
  <c r="A4895" i="23"/>
  <c r="A4894" i="23"/>
  <c r="A4893" i="23"/>
  <c r="A4892" i="23"/>
  <c r="A4891" i="23"/>
  <c r="A4890" i="23"/>
  <c r="A4889" i="23"/>
  <c r="A4888" i="23"/>
  <c r="A4887" i="23"/>
  <c r="A4886" i="23"/>
  <c r="A4885" i="23"/>
  <c r="A4884" i="23"/>
  <c r="A4883" i="23"/>
  <c r="A4882" i="23"/>
  <c r="A4881" i="23"/>
  <c r="A4880" i="23"/>
  <c r="A4879" i="23"/>
  <c r="A4878" i="23"/>
  <c r="A4877" i="23"/>
  <c r="A4876" i="23"/>
  <c r="A4875" i="23"/>
  <c r="A4874" i="23"/>
  <c r="A4873" i="23"/>
  <c r="A4872" i="23"/>
  <c r="A4871" i="23"/>
  <c r="A4870" i="23"/>
  <c r="A4869" i="23"/>
  <c r="A4868" i="23"/>
  <c r="A4867" i="23"/>
  <c r="A4866" i="23"/>
  <c r="A4865" i="23"/>
  <c r="A4864" i="23"/>
  <c r="A4863" i="23"/>
  <c r="A4862" i="23"/>
  <c r="A4861" i="23"/>
  <c r="A4860" i="23"/>
  <c r="A4859" i="23"/>
  <c r="A4858" i="23"/>
  <c r="A4857" i="23"/>
  <c r="A4856" i="23"/>
  <c r="A4855" i="23"/>
  <c r="A4854" i="23"/>
  <c r="A4853" i="23"/>
  <c r="A4852" i="23"/>
  <c r="A4851" i="23"/>
  <c r="A4850" i="23"/>
  <c r="A4849" i="23"/>
  <c r="A4848" i="23"/>
  <c r="A4847" i="23"/>
  <c r="A4846" i="23"/>
  <c r="A4845" i="23"/>
  <c r="A4844" i="23"/>
  <c r="A4843" i="23"/>
  <c r="A4842" i="23"/>
  <c r="A4841" i="23"/>
  <c r="A4840" i="23"/>
  <c r="A4839" i="23"/>
  <c r="A4838" i="23"/>
  <c r="A4837" i="23"/>
  <c r="A4836" i="23"/>
  <c r="A4835" i="23"/>
  <c r="A4834" i="23"/>
  <c r="A4833" i="23"/>
  <c r="A4832" i="23"/>
  <c r="A4831" i="23"/>
  <c r="A4830" i="23"/>
  <c r="A4829" i="23"/>
  <c r="A4828" i="23"/>
  <c r="A4827" i="23"/>
  <c r="A4826" i="23"/>
  <c r="A4825" i="23"/>
  <c r="A4824" i="23"/>
  <c r="A4823" i="23"/>
  <c r="A4822" i="23"/>
  <c r="A4821" i="23"/>
  <c r="A4820" i="23"/>
  <c r="A4819" i="23"/>
  <c r="A4818" i="23"/>
  <c r="A4817" i="23"/>
  <c r="A4816" i="23"/>
  <c r="A4815" i="23"/>
  <c r="A4814" i="23"/>
  <c r="A4813" i="23"/>
  <c r="A4812" i="23"/>
  <c r="A4811" i="23"/>
  <c r="A4810" i="23"/>
  <c r="A4809" i="23"/>
  <c r="A4808" i="23"/>
  <c r="A4807" i="23"/>
  <c r="A4806" i="23"/>
  <c r="A4805" i="23"/>
  <c r="A4804" i="23"/>
  <c r="A4803" i="23"/>
  <c r="A4802" i="23"/>
  <c r="A4801" i="23"/>
  <c r="A4800" i="23"/>
  <c r="A4799" i="23"/>
  <c r="A4798" i="23"/>
  <c r="A4797" i="23"/>
  <c r="A4796" i="23"/>
  <c r="A4795" i="23"/>
  <c r="A4794" i="23"/>
  <c r="A4793" i="23"/>
  <c r="A4792" i="23"/>
  <c r="A4791" i="23"/>
  <c r="A4790" i="23"/>
  <c r="A4789" i="23"/>
  <c r="A4788" i="23"/>
  <c r="A4787" i="23"/>
  <c r="A4786" i="23"/>
  <c r="A4785" i="23"/>
  <c r="A4784" i="23"/>
  <c r="A4783" i="23"/>
  <c r="A4782" i="23"/>
  <c r="A4781" i="23"/>
  <c r="A4780" i="23"/>
  <c r="A4779" i="23"/>
  <c r="A4778" i="23"/>
  <c r="A4777" i="23"/>
  <c r="A4776" i="23"/>
  <c r="A4775" i="23"/>
  <c r="A4774" i="23"/>
  <c r="A4773" i="23"/>
  <c r="A4772" i="23"/>
  <c r="A4771" i="23"/>
  <c r="A4770" i="23"/>
  <c r="A4769" i="23"/>
  <c r="A4768" i="23"/>
  <c r="A4767" i="23"/>
  <c r="A4766" i="23"/>
  <c r="A4765" i="23"/>
  <c r="A4764" i="23"/>
  <c r="A4763" i="23"/>
  <c r="A4762" i="23"/>
  <c r="A4761" i="23"/>
  <c r="A4760" i="23"/>
  <c r="A4759" i="23"/>
  <c r="A4758" i="23"/>
  <c r="A4757" i="23"/>
  <c r="A4756" i="23"/>
  <c r="A4755" i="23"/>
  <c r="A4754" i="23"/>
  <c r="A4753" i="23"/>
  <c r="A4752" i="23"/>
  <c r="A4751" i="23"/>
  <c r="A4750" i="23"/>
  <c r="A4749" i="23"/>
  <c r="A4748" i="23"/>
  <c r="A4747" i="23"/>
  <c r="A4746" i="23"/>
  <c r="A4745" i="23"/>
  <c r="A4744" i="23"/>
  <c r="A4743" i="23"/>
  <c r="A4742" i="23"/>
  <c r="A4741" i="23"/>
  <c r="A4740" i="23"/>
  <c r="A4739" i="23"/>
  <c r="A4738" i="23"/>
  <c r="A4737" i="23"/>
  <c r="A4736" i="23"/>
  <c r="A4735" i="23"/>
  <c r="A4734" i="23"/>
  <c r="A4733" i="23"/>
  <c r="A4732" i="23"/>
  <c r="A4731" i="23"/>
  <c r="A4730" i="23"/>
  <c r="A4729" i="23"/>
  <c r="A4728" i="23"/>
  <c r="A4727" i="23"/>
  <c r="A4726" i="23"/>
  <c r="A4725" i="23"/>
  <c r="A4724" i="23"/>
  <c r="A4723" i="23"/>
  <c r="A4722" i="23"/>
  <c r="A4721" i="23"/>
  <c r="A4720" i="23"/>
  <c r="A4719" i="23"/>
  <c r="A4718" i="23"/>
  <c r="A4717" i="23"/>
  <c r="A4716" i="23"/>
  <c r="A4715" i="23"/>
  <c r="A4714" i="23"/>
  <c r="A4713" i="23"/>
  <c r="A4712" i="23"/>
  <c r="A4711" i="23"/>
  <c r="A4710" i="23"/>
  <c r="A4709" i="23"/>
  <c r="A4708" i="23"/>
  <c r="A4707" i="23"/>
  <c r="A4706" i="23"/>
  <c r="A4705" i="23"/>
  <c r="A4704" i="23"/>
  <c r="A4703" i="23"/>
  <c r="A4702" i="23"/>
  <c r="A4701" i="23"/>
  <c r="A4700" i="23"/>
  <c r="A4699" i="23"/>
  <c r="A4698" i="23"/>
  <c r="A4697" i="23"/>
  <c r="A4696" i="23"/>
  <c r="A4695" i="23"/>
  <c r="A4694" i="23"/>
  <c r="A4693" i="23"/>
  <c r="A4692" i="23"/>
  <c r="A4691" i="23"/>
  <c r="A4690" i="23"/>
  <c r="A4689" i="23"/>
  <c r="A4688" i="23"/>
  <c r="A4687" i="23"/>
  <c r="A4686" i="23"/>
  <c r="A4685" i="23"/>
  <c r="A4684" i="23"/>
  <c r="A4683" i="23"/>
  <c r="A4682" i="23"/>
  <c r="A4681" i="23"/>
  <c r="A4680" i="23"/>
  <c r="A4679" i="23"/>
  <c r="A4678" i="23"/>
  <c r="A4677" i="23"/>
  <c r="A4676" i="23"/>
  <c r="A4675" i="23"/>
  <c r="A4674" i="23"/>
  <c r="A4673" i="23"/>
  <c r="A4672" i="23"/>
  <c r="A4671" i="23"/>
  <c r="A4670" i="23"/>
  <c r="A4669" i="23"/>
  <c r="A4668" i="23"/>
  <c r="A4667" i="23"/>
  <c r="A4666" i="23"/>
  <c r="A4665" i="23"/>
  <c r="A4664" i="23"/>
  <c r="A4663" i="23"/>
  <c r="A4662" i="23"/>
  <c r="A4661" i="23"/>
  <c r="A4660" i="23"/>
  <c r="A4659" i="23"/>
  <c r="A4658" i="23"/>
  <c r="A4657" i="23"/>
  <c r="A4656" i="23"/>
  <c r="A4655" i="23"/>
  <c r="A4654" i="23"/>
  <c r="A4653" i="23"/>
  <c r="A4652" i="23"/>
  <c r="A4651" i="23"/>
  <c r="A4650" i="23"/>
  <c r="A4649" i="23"/>
  <c r="A4648" i="23"/>
  <c r="A4647" i="23"/>
  <c r="A4646" i="23"/>
  <c r="A4645" i="23"/>
  <c r="A4644" i="23"/>
  <c r="A4643" i="23"/>
  <c r="A4642" i="23"/>
  <c r="A4641" i="23"/>
  <c r="A4640" i="23"/>
  <c r="A4639" i="23"/>
  <c r="A4638" i="23"/>
  <c r="A4637" i="23"/>
  <c r="A4636" i="23"/>
  <c r="A4635" i="23"/>
  <c r="A4634" i="23"/>
  <c r="A4633" i="23"/>
  <c r="A4632" i="23"/>
  <c r="A4631" i="23"/>
  <c r="A4630" i="23"/>
  <c r="A4629" i="23"/>
  <c r="A4628" i="23"/>
  <c r="A4627" i="23"/>
  <c r="A4626" i="23"/>
  <c r="A4625" i="23"/>
  <c r="A4624" i="23"/>
  <c r="A4623" i="23"/>
  <c r="A4622" i="23"/>
  <c r="A4621" i="23"/>
  <c r="A4620" i="23"/>
  <c r="A4619" i="23"/>
  <c r="A4618" i="23"/>
  <c r="A4617" i="23"/>
  <c r="A4616" i="23"/>
  <c r="A4615" i="23"/>
  <c r="A4614" i="23"/>
  <c r="A4613" i="23"/>
  <c r="A4612" i="23"/>
  <c r="A4611" i="23"/>
  <c r="A4610" i="23"/>
  <c r="A4609" i="23"/>
  <c r="A4608" i="23"/>
  <c r="A4607" i="23"/>
  <c r="A4606" i="23"/>
  <c r="A4605" i="23"/>
  <c r="A4604" i="23"/>
  <c r="A4603" i="23"/>
  <c r="A4602" i="23"/>
  <c r="A4601" i="23"/>
  <c r="A4600" i="23"/>
  <c r="A4599" i="23"/>
  <c r="A4598" i="23"/>
  <c r="A4597" i="23"/>
  <c r="A4596" i="23"/>
  <c r="A4595" i="23"/>
  <c r="A4594" i="23"/>
  <c r="A4593" i="23"/>
  <c r="A4592" i="23"/>
  <c r="A4591" i="23"/>
  <c r="A4590" i="23"/>
  <c r="A4589" i="23"/>
  <c r="A4588" i="23"/>
  <c r="A4587" i="23"/>
  <c r="A4586" i="23"/>
  <c r="A4585" i="23"/>
  <c r="A4584" i="23"/>
  <c r="A4583" i="23"/>
  <c r="A4582" i="23"/>
  <c r="A4581" i="23"/>
  <c r="A4580" i="23"/>
  <c r="A4579" i="23"/>
  <c r="A4578" i="23"/>
  <c r="A4577" i="23"/>
  <c r="A4576" i="23"/>
  <c r="A4575" i="23"/>
  <c r="A4574" i="23"/>
  <c r="A4573" i="23"/>
  <c r="A4572" i="23"/>
  <c r="A4571" i="23"/>
  <c r="A4570" i="23"/>
  <c r="A4569" i="23"/>
  <c r="A4568" i="23"/>
  <c r="A4567" i="23"/>
  <c r="A4566" i="23"/>
  <c r="A4565" i="23"/>
  <c r="A4564" i="23"/>
  <c r="A4563" i="23"/>
  <c r="A4562" i="23"/>
  <c r="A4561" i="23"/>
  <c r="A4560" i="23"/>
  <c r="A4559" i="23"/>
  <c r="A4558" i="23"/>
  <c r="A4557" i="23"/>
  <c r="A4556" i="23"/>
  <c r="A4555" i="23"/>
  <c r="A4554" i="23"/>
  <c r="A4553" i="23"/>
  <c r="A4552" i="23"/>
  <c r="A4551" i="23"/>
  <c r="A4550" i="23"/>
  <c r="A4549" i="23"/>
  <c r="A4548" i="23"/>
  <c r="A4547" i="23"/>
  <c r="A4546" i="23"/>
  <c r="A4545" i="23"/>
  <c r="A4544" i="23"/>
  <c r="A4543" i="23"/>
  <c r="A4542" i="23"/>
  <c r="A4541" i="23"/>
  <c r="A4540" i="23"/>
  <c r="A4539" i="23"/>
  <c r="A4538" i="23"/>
  <c r="A4537" i="23"/>
  <c r="A4536" i="23"/>
  <c r="A4535" i="23"/>
  <c r="A4534" i="23"/>
  <c r="A4533" i="23"/>
  <c r="A4532" i="23"/>
  <c r="A4531" i="23"/>
  <c r="A4530" i="23"/>
  <c r="A4529" i="23"/>
  <c r="A4528" i="23"/>
  <c r="A4527" i="23"/>
  <c r="A4526" i="23"/>
  <c r="A4525" i="23"/>
  <c r="A4524" i="23"/>
  <c r="A4523" i="23"/>
  <c r="A4522" i="23"/>
  <c r="A4521" i="23"/>
  <c r="A4520" i="23"/>
  <c r="A4519" i="23"/>
  <c r="A4518" i="23"/>
  <c r="A4517" i="23"/>
  <c r="A4516" i="23"/>
  <c r="A4515" i="23"/>
  <c r="A4514" i="23"/>
  <c r="A4513" i="23"/>
  <c r="A4512" i="23"/>
  <c r="A4511" i="23"/>
  <c r="A4510" i="23"/>
  <c r="A4509" i="23"/>
  <c r="A4508" i="23"/>
  <c r="A4507" i="23"/>
  <c r="A4506" i="23"/>
  <c r="A4505" i="23"/>
  <c r="A4504" i="23"/>
  <c r="A4503" i="23"/>
  <c r="A4502" i="23"/>
  <c r="A4501" i="23"/>
  <c r="A4500" i="23"/>
  <c r="A4499" i="23"/>
  <c r="A4498" i="23"/>
  <c r="A4497" i="23"/>
  <c r="A4496" i="23"/>
  <c r="A4495" i="23"/>
  <c r="A4494" i="23"/>
  <c r="A4493" i="23"/>
  <c r="A4492" i="23"/>
  <c r="A4491" i="23"/>
  <c r="A4490" i="23"/>
  <c r="A4489" i="23"/>
  <c r="A4488" i="23"/>
  <c r="A4487" i="23"/>
  <c r="A4486" i="23"/>
  <c r="A4485" i="23"/>
  <c r="A4484" i="23"/>
  <c r="A4483" i="23"/>
  <c r="A4482" i="23"/>
  <c r="A4481" i="23"/>
  <c r="A4480" i="23"/>
  <c r="A4479" i="23"/>
  <c r="A4478" i="23"/>
  <c r="A4477" i="23"/>
  <c r="A4476" i="23"/>
  <c r="A4475" i="23"/>
  <c r="A4474" i="23"/>
  <c r="A4473" i="23"/>
  <c r="A4472" i="23"/>
  <c r="A4471" i="23"/>
  <c r="A4470" i="23"/>
  <c r="A4469" i="23"/>
  <c r="A4468" i="23"/>
  <c r="A4467" i="23"/>
  <c r="A4466" i="23"/>
  <c r="A4465" i="23"/>
  <c r="A4464" i="23"/>
  <c r="A4463" i="23"/>
  <c r="A4462" i="23"/>
  <c r="A4461" i="23"/>
  <c r="A4460" i="23"/>
  <c r="A4459" i="23"/>
  <c r="A4458" i="23"/>
  <c r="A4457" i="23"/>
  <c r="A4456" i="23"/>
  <c r="A4455" i="23"/>
  <c r="A4454" i="23"/>
  <c r="A4453" i="23"/>
  <c r="A4452" i="23"/>
  <c r="A4451" i="23"/>
  <c r="A4450" i="23"/>
  <c r="A4449" i="23"/>
  <c r="A4448" i="23"/>
  <c r="A4447" i="23"/>
  <c r="A4446" i="23"/>
  <c r="A4445" i="23"/>
  <c r="A4444" i="23"/>
  <c r="A4443" i="23"/>
  <c r="A4442" i="23"/>
  <c r="A4441" i="23"/>
  <c r="A4440" i="23"/>
  <c r="A4439" i="23"/>
  <c r="A4438" i="23"/>
  <c r="A4437" i="23"/>
  <c r="A4436" i="23"/>
  <c r="A4435" i="23"/>
  <c r="A4434" i="23"/>
  <c r="A4433" i="23"/>
  <c r="A4432" i="23"/>
  <c r="A4431" i="23"/>
  <c r="A4430" i="23"/>
  <c r="A4429" i="23"/>
  <c r="A4428" i="23"/>
  <c r="A4427" i="23"/>
  <c r="A4426" i="23"/>
  <c r="A4425" i="23"/>
  <c r="A4424" i="23"/>
  <c r="A4423" i="23"/>
  <c r="A4422" i="23"/>
  <c r="A4421" i="23"/>
  <c r="A4420" i="23"/>
  <c r="A4419" i="23"/>
  <c r="A4418" i="23"/>
  <c r="A4417" i="23"/>
  <c r="A4416" i="23"/>
  <c r="A4415" i="23"/>
  <c r="A4414" i="23"/>
  <c r="A4413" i="23"/>
  <c r="A4412" i="23"/>
  <c r="A4411" i="23"/>
  <c r="A4410" i="23"/>
  <c r="A4409" i="23"/>
  <c r="A4408" i="23"/>
  <c r="A4407" i="23"/>
  <c r="A4406" i="23"/>
  <c r="A4405" i="23"/>
  <c r="A4404" i="23"/>
  <c r="A4403" i="23"/>
  <c r="A4402" i="23"/>
  <c r="A4401" i="23"/>
  <c r="A4400" i="23"/>
  <c r="A4399" i="23"/>
  <c r="A4398" i="23"/>
  <c r="A4397" i="23"/>
  <c r="A4396" i="23"/>
  <c r="A4395" i="23"/>
  <c r="A4394" i="23"/>
  <c r="A4393" i="23"/>
  <c r="A4392" i="23"/>
  <c r="A4391" i="23"/>
  <c r="A4390" i="23"/>
  <c r="A4389" i="23"/>
  <c r="A4388" i="23"/>
  <c r="A4387" i="23"/>
  <c r="A4386" i="23"/>
  <c r="A4385" i="23"/>
  <c r="A4384" i="23"/>
  <c r="A4383" i="23"/>
  <c r="A4382" i="23"/>
  <c r="A4381" i="23"/>
  <c r="A4380" i="23"/>
  <c r="A4379" i="23"/>
  <c r="A4378" i="23"/>
  <c r="A4377" i="23"/>
  <c r="A4376" i="23"/>
  <c r="A4375" i="23"/>
  <c r="A4374" i="23"/>
  <c r="A4373" i="23"/>
  <c r="A4372" i="23"/>
  <c r="A4371" i="23"/>
  <c r="A4370" i="23"/>
  <c r="A4369" i="23"/>
  <c r="A4368" i="23"/>
  <c r="A4367" i="23"/>
  <c r="A4366" i="23"/>
  <c r="A4365" i="23"/>
  <c r="A4364" i="23"/>
  <c r="A4363" i="23"/>
  <c r="A4362" i="23"/>
  <c r="A4361" i="23"/>
  <c r="A4360" i="23"/>
  <c r="A4359" i="23"/>
  <c r="A4358" i="23"/>
  <c r="A4357" i="23"/>
  <c r="A4356" i="23"/>
  <c r="A4355" i="23"/>
  <c r="A4354" i="23"/>
  <c r="A4353" i="23"/>
  <c r="A4352" i="23"/>
  <c r="A4351" i="23"/>
  <c r="A4350" i="23"/>
  <c r="A4349" i="23"/>
  <c r="A4348" i="23"/>
  <c r="A4347" i="23"/>
  <c r="A4346" i="23"/>
  <c r="A4345" i="23"/>
  <c r="A4344" i="23"/>
  <c r="A4343" i="23"/>
  <c r="A4342" i="23"/>
  <c r="A4341" i="23"/>
  <c r="A4340" i="23"/>
  <c r="A4339" i="23"/>
  <c r="A4338" i="23"/>
  <c r="A4337" i="23"/>
  <c r="A4336" i="23"/>
  <c r="A4335" i="23"/>
  <c r="A4334" i="23"/>
  <c r="A4333" i="23"/>
  <c r="A4332" i="23"/>
  <c r="A4331" i="23"/>
  <c r="A4330" i="23"/>
  <c r="A4329" i="23"/>
  <c r="A4328" i="23"/>
  <c r="A4327" i="23"/>
  <c r="A4326" i="23"/>
  <c r="A4325" i="23"/>
  <c r="A4324" i="23"/>
  <c r="A4323" i="23"/>
  <c r="A4322" i="23"/>
  <c r="A4321" i="23"/>
  <c r="A4320" i="23"/>
  <c r="A4319" i="23"/>
  <c r="A4318" i="23"/>
  <c r="A4317" i="23"/>
  <c r="A4316" i="23"/>
  <c r="A4315" i="23"/>
  <c r="A4314" i="23"/>
  <c r="A4313" i="23"/>
  <c r="A4312" i="23"/>
  <c r="A4311" i="23"/>
  <c r="A4310" i="23"/>
  <c r="A4309" i="23"/>
  <c r="A4308" i="23"/>
  <c r="A4307" i="23"/>
  <c r="A4306" i="23"/>
  <c r="A4305" i="23"/>
  <c r="A4304" i="23"/>
  <c r="A4303" i="23"/>
  <c r="A4302" i="23"/>
  <c r="A4301" i="23"/>
  <c r="A4300" i="23"/>
  <c r="A4299" i="23"/>
  <c r="A4298" i="23"/>
  <c r="A4297" i="23"/>
  <c r="A4296" i="23"/>
  <c r="A4295" i="23"/>
  <c r="A4294" i="23"/>
  <c r="A4293" i="23"/>
  <c r="A4292" i="23"/>
  <c r="A4291" i="23"/>
  <c r="A4290" i="23"/>
  <c r="A4289" i="23"/>
  <c r="A4288" i="23"/>
  <c r="A4287" i="23"/>
  <c r="A4286" i="23"/>
  <c r="A4285" i="23"/>
  <c r="A4284" i="23"/>
  <c r="A4283" i="23"/>
  <c r="A4282" i="23"/>
  <c r="A4281" i="23"/>
  <c r="A4280" i="23"/>
  <c r="A4279" i="23"/>
  <c r="A4278" i="23"/>
  <c r="A4277" i="23"/>
  <c r="A4276" i="23"/>
  <c r="A4275" i="23"/>
  <c r="A4274" i="23"/>
  <c r="A4273" i="23"/>
  <c r="A4272" i="23"/>
  <c r="A4271" i="23"/>
  <c r="A4270" i="23"/>
  <c r="A4269" i="23"/>
  <c r="A4268" i="23"/>
  <c r="A4267" i="23"/>
  <c r="A4266" i="23"/>
  <c r="A4265" i="23"/>
  <c r="A4264" i="23"/>
  <c r="A4263" i="23"/>
  <c r="A4262" i="23"/>
  <c r="A4261" i="23"/>
  <c r="A4260" i="23"/>
  <c r="A4259" i="23"/>
  <c r="A4258" i="23"/>
  <c r="A4257" i="23"/>
  <c r="A4256" i="23"/>
  <c r="A4255" i="23"/>
  <c r="A4254" i="23"/>
  <c r="A4253" i="23"/>
  <c r="A4252" i="23"/>
  <c r="A4251" i="23"/>
  <c r="A4250" i="23"/>
  <c r="A4249" i="23"/>
  <c r="A4248" i="23"/>
  <c r="A4247" i="23"/>
  <c r="A4246" i="23"/>
  <c r="A4245" i="23"/>
  <c r="A4244" i="23"/>
  <c r="A4243" i="23"/>
  <c r="A4242" i="23"/>
  <c r="A4241" i="23"/>
  <c r="A4240" i="23"/>
  <c r="A4239" i="23"/>
  <c r="A4238" i="23"/>
  <c r="A4237" i="23"/>
  <c r="A4236" i="23"/>
  <c r="A4235" i="23"/>
  <c r="A4234" i="23"/>
  <c r="A4233" i="23"/>
  <c r="A4232" i="23"/>
  <c r="A4231" i="23"/>
  <c r="A4230" i="23"/>
  <c r="A4229" i="23"/>
  <c r="A4228" i="23"/>
  <c r="A4227" i="23"/>
  <c r="A4226" i="23"/>
  <c r="A4225" i="23"/>
  <c r="A4224" i="23"/>
  <c r="A4223" i="23"/>
  <c r="A4222" i="23"/>
  <c r="A4221" i="23"/>
  <c r="A4220" i="23"/>
  <c r="A4219" i="23"/>
  <c r="A4218" i="23"/>
  <c r="A4217" i="23"/>
  <c r="A4216" i="23"/>
  <c r="A4215" i="23"/>
  <c r="A4214" i="23"/>
  <c r="A4213" i="23"/>
  <c r="A4212" i="23"/>
  <c r="A4211" i="23"/>
  <c r="A4210" i="23"/>
  <c r="A4209" i="23"/>
  <c r="A4208" i="23"/>
  <c r="A4207" i="23"/>
  <c r="A4206" i="23"/>
  <c r="A4205" i="23"/>
  <c r="A4204" i="23"/>
  <c r="A4203" i="23"/>
  <c r="A4202" i="23"/>
  <c r="A4201" i="23"/>
  <c r="A4200" i="23"/>
  <c r="A4199" i="23"/>
  <c r="A4198" i="23"/>
  <c r="A4197" i="23"/>
  <c r="A4196" i="23"/>
  <c r="A4195" i="23"/>
  <c r="A4194" i="23"/>
  <c r="A4193" i="23"/>
  <c r="A4192" i="23"/>
  <c r="A4191" i="23"/>
  <c r="A4190" i="23"/>
  <c r="A4189" i="23"/>
  <c r="A4188" i="23"/>
  <c r="A4187" i="23"/>
  <c r="A4186" i="23"/>
  <c r="A4185" i="23"/>
  <c r="A4184" i="23"/>
  <c r="A4183" i="23"/>
  <c r="A4182" i="23"/>
  <c r="A4181" i="23"/>
  <c r="A4180" i="23"/>
  <c r="A4179" i="23"/>
  <c r="A4178" i="23"/>
  <c r="A4177" i="23"/>
  <c r="A4176" i="23"/>
  <c r="A4175" i="23"/>
  <c r="A4174" i="23"/>
  <c r="A4173" i="23"/>
  <c r="A4172" i="23"/>
  <c r="A4171" i="23"/>
  <c r="A4170" i="23"/>
  <c r="A4169" i="23"/>
  <c r="A4168" i="23"/>
  <c r="A4167" i="23"/>
  <c r="A4166" i="23"/>
  <c r="A4165" i="23"/>
  <c r="A4164" i="23"/>
  <c r="A4163" i="23"/>
  <c r="A4162" i="23"/>
  <c r="A4161" i="23"/>
  <c r="A4160" i="23"/>
  <c r="A4159" i="23"/>
  <c r="A4158" i="23"/>
  <c r="A4157" i="23"/>
  <c r="A4156" i="23"/>
  <c r="A4155" i="23"/>
  <c r="A4154" i="23"/>
  <c r="A4153" i="23"/>
  <c r="A4152" i="23"/>
  <c r="A4151" i="23"/>
  <c r="A4150" i="23"/>
  <c r="A4149" i="23"/>
  <c r="A4148" i="23"/>
  <c r="A4147" i="23"/>
  <c r="A4146" i="23"/>
  <c r="A4145" i="23"/>
  <c r="A4144" i="23"/>
  <c r="A4143" i="23"/>
  <c r="A4142" i="23"/>
  <c r="A4141" i="23"/>
  <c r="A4140" i="23"/>
  <c r="A4139" i="23"/>
  <c r="A4138" i="23"/>
  <c r="A4137" i="23"/>
  <c r="A4136" i="23"/>
  <c r="A4135" i="23"/>
  <c r="A4134" i="23"/>
  <c r="A4133" i="23"/>
  <c r="A4132" i="23"/>
  <c r="A4131" i="23"/>
  <c r="A4130" i="23"/>
  <c r="A4129" i="23"/>
  <c r="A4128" i="23"/>
  <c r="A4127" i="23"/>
  <c r="A4126" i="23"/>
  <c r="A4125" i="23"/>
  <c r="A4124" i="23"/>
  <c r="A4123" i="23"/>
  <c r="A4122" i="23"/>
  <c r="A4121" i="23"/>
  <c r="A4120" i="23"/>
  <c r="A4119" i="23"/>
  <c r="A4118" i="23"/>
  <c r="A4117" i="23"/>
  <c r="A4116" i="23"/>
  <c r="A4115" i="23"/>
  <c r="A4114" i="23"/>
  <c r="A4113" i="23"/>
  <c r="A4112" i="23"/>
  <c r="A4111" i="23"/>
  <c r="A4110" i="23"/>
  <c r="A4109" i="23"/>
  <c r="A4108" i="23"/>
  <c r="A4107" i="23"/>
  <c r="A4106" i="23"/>
  <c r="A4105" i="23"/>
  <c r="A4104" i="23"/>
  <c r="A4103" i="23"/>
  <c r="A4102" i="23"/>
  <c r="A4101" i="23"/>
  <c r="A4100" i="23"/>
  <c r="A4099" i="23"/>
  <c r="A4098" i="23"/>
  <c r="A4097" i="23"/>
  <c r="A4096" i="23"/>
  <c r="A4095" i="23"/>
  <c r="A4094" i="23"/>
  <c r="A4093" i="23"/>
  <c r="A4092" i="23"/>
  <c r="A4091" i="23"/>
  <c r="A4090" i="23"/>
  <c r="A4089" i="23"/>
  <c r="A4088" i="23"/>
  <c r="A4087" i="23"/>
  <c r="A4086" i="23"/>
  <c r="A4085" i="23"/>
  <c r="A4084" i="23"/>
  <c r="A4083" i="23"/>
  <c r="A4082" i="23"/>
  <c r="A4081" i="23"/>
  <c r="A4080" i="23"/>
  <c r="A4079" i="23"/>
  <c r="A4078" i="23"/>
  <c r="A4077" i="23"/>
  <c r="A4076" i="23"/>
  <c r="A4075" i="23"/>
  <c r="A4074" i="23"/>
  <c r="A4073" i="23"/>
  <c r="A4072" i="23"/>
  <c r="A4071" i="23"/>
  <c r="A4070" i="23"/>
  <c r="A4069" i="23"/>
  <c r="A4068" i="23"/>
  <c r="A4067" i="23"/>
  <c r="A4066" i="23"/>
  <c r="A4065" i="23"/>
  <c r="A4064" i="23"/>
  <c r="A4063" i="23"/>
  <c r="A4062" i="23"/>
  <c r="A4061" i="23"/>
  <c r="A4060" i="23"/>
  <c r="A4059" i="23"/>
  <c r="A4058" i="23"/>
  <c r="A4057" i="23"/>
  <c r="A4056" i="23"/>
  <c r="A4055" i="23"/>
  <c r="A4054" i="23"/>
  <c r="A4053" i="23"/>
  <c r="A4052" i="23"/>
  <c r="A4051" i="23"/>
  <c r="A4050" i="23"/>
  <c r="A4049" i="23"/>
  <c r="A4048" i="23"/>
  <c r="A4047" i="23"/>
  <c r="A4046" i="23"/>
  <c r="A4045" i="23"/>
  <c r="A4044" i="23"/>
  <c r="A4043" i="23"/>
  <c r="A4042" i="23"/>
  <c r="A4041" i="23"/>
  <c r="A4040" i="23"/>
  <c r="A4039" i="23"/>
  <c r="A4038" i="23"/>
  <c r="A4037" i="23"/>
  <c r="A4036" i="23"/>
  <c r="A4035" i="23"/>
  <c r="A4034" i="23"/>
  <c r="A4033" i="23"/>
  <c r="A4032" i="23"/>
  <c r="A4031" i="23"/>
  <c r="A4030" i="23"/>
  <c r="A4029" i="23"/>
  <c r="A4028" i="23"/>
  <c r="A4027" i="23"/>
  <c r="A4026" i="23"/>
  <c r="A4025" i="23"/>
  <c r="A4024" i="23"/>
  <c r="A4023" i="23"/>
  <c r="A4022" i="23"/>
  <c r="A4021" i="23"/>
  <c r="A4020" i="23"/>
  <c r="A4019" i="23"/>
  <c r="A4018" i="23"/>
  <c r="A4017" i="23"/>
  <c r="A4016" i="23"/>
  <c r="A4015" i="23"/>
  <c r="A4014" i="23"/>
  <c r="A4013" i="23"/>
  <c r="A4012" i="23"/>
  <c r="A4011" i="23"/>
  <c r="A4010" i="23"/>
  <c r="A4009" i="23"/>
  <c r="A4008" i="23"/>
  <c r="A4007" i="23"/>
  <c r="A4006" i="23"/>
  <c r="A4005" i="23"/>
  <c r="A4004" i="23"/>
  <c r="A4003" i="23"/>
  <c r="A4002" i="23"/>
  <c r="A4001" i="23"/>
  <c r="A4000" i="23"/>
  <c r="A3999" i="23"/>
  <c r="A3998" i="23"/>
  <c r="A3997" i="23"/>
  <c r="A3996" i="23"/>
  <c r="A3995" i="23"/>
  <c r="A3994" i="23"/>
  <c r="A3993" i="23"/>
  <c r="A3992" i="23"/>
  <c r="A3991" i="23"/>
  <c r="A3990" i="23"/>
  <c r="A3989" i="23"/>
  <c r="A3988" i="23"/>
  <c r="A3987" i="23"/>
  <c r="A3986" i="23"/>
  <c r="A3985" i="23"/>
  <c r="A3984" i="23"/>
  <c r="A3983" i="23"/>
  <c r="A3982" i="23"/>
  <c r="A3981" i="23"/>
  <c r="A3980" i="23"/>
  <c r="A3979" i="23"/>
  <c r="A3978" i="23"/>
  <c r="A3977" i="23"/>
  <c r="A3976" i="23"/>
  <c r="A3975" i="23"/>
  <c r="A3974" i="23"/>
  <c r="A3973" i="23"/>
  <c r="A3972" i="23"/>
  <c r="A3971" i="23"/>
  <c r="A3970" i="23"/>
  <c r="A3969" i="23"/>
  <c r="A3968" i="23"/>
  <c r="A3967" i="23"/>
  <c r="A3966" i="23"/>
  <c r="A3965" i="23"/>
  <c r="A3964" i="23"/>
  <c r="A3963" i="23"/>
  <c r="A3962" i="23"/>
  <c r="A3961" i="23"/>
  <c r="A3960" i="23"/>
  <c r="A3959" i="23"/>
  <c r="A3958" i="23"/>
  <c r="A3957" i="23"/>
  <c r="A3956" i="23"/>
  <c r="A3955" i="23"/>
  <c r="A3954" i="23"/>
  <c r="A3953" i="23"/>
  <c r="A3952" i="23"/>
  <c r="A3951" i="23"/>
  <c r="A3950" i="23"/>
  <c r="A3949" i="23"/>
  <c r="A3948" i="23"/>
  <c r="A3947" i="23"/>
  <c r="A3946" i="23"/>
  <c r="A3945" i="23"/>
  <c r="A3944" i="23"/>
  <c r="A3943" i="23"/>
  <c r="A3942" i="23"/>
  <c r="A3941" i="23"/>
  <c r="A3940" i="23"/>
  <c r="A3939" i="23"/>
  <c r="A3938" i="23"/>
  <c r="A3937" i="23"/>
  <c r="A3936" i="23"/>
  <c r="A3935" i="23"/>
  <c r="A3934" i="23"/>
  <c r="A3933" i="23"/>
  <c r="A3932" i="23"/>
  <c r="A3931" i="23"/>
  <c r="A3930" i="23"/>
  <c r="A3929" i="23"/>
  <c r="A3928" i="23"/>
  <c r="A3927" i="23"/>
  <c r="A3926" i="23"/>
  <c r="A3925" i="23"/>
  <c r="A3924" i="23"/>
  <c r="A3923" i="23"/>
  <c r="A3922" i="23"/>
  <c r="A3921" i="23"/>
  <c r="A3920" i="23"/>
  <c r="A3919" i="23"/>
  <c r="A3918" i="23"/>
  <c r="A3917" i="23"/>
  <c r="A3916" i="23"/>
  <c r="A3915" i="23"/>
  <c r="A3914" i="23"/>
  <c r="A3913" i="23"/>
  <c r="A3912" i="23"/>
  <c r="A3911" i="23"/>
  <c r="A3910" i="23"/>
  <c r="A3909" i="23"/>
  <c r="A3908" i="23"/>
  <c r="A3907" i="23"/>
  <c r="A3906" i="23"/>
  <c r="A3905" i="23"/>
  <c r="A3904" i="23"/>
  <c r="A3903" i="23"/>
  <c r="A3902" i="23"/>
  <c r="A3901" i="23"/>
  <c r="A3900" i="23"/>
  <c r="A3899" i="23"/>
  <c r="A3898" i="23"/>
  <c r="A3897" i="23"/>
  <c r="A3896" i="23"/>
  <c r="A3895" i="23"/>
  <c r="A3894" i="23"/>
  <c r="A3893" i="23"/>
  <c r="A3892" i="23"/>
  <c r="A3891" i="23"/>
  <c r="A3890" i="23"/>
  <c r="A3889" i="23"/>
  <c r="A3888" i="23"/>
  <c r="A3887" i="23"/>
  <c r="A3886" i="23"/>
  <c r="A3885" i="23"/>
  <c r="A3884" i="23"/>
  <c r="A3883" i="23"/>
  <c r="A3882" i="23"/>
  <c r="A3881" i="23"/>
  <c r="A3880" i="23"/>
  <c r="A3879" i="23"/>
  <c r="A3878" i="23"/>
  <c r="A3877" i="23"/>
  <c r="A3876" i="23"/>
  <c r="A3875" i="23"/>
  <c r="A3874" i="23"/>
  <c r="A3873" i="23"/>
  <c r="A3872" i="23"/>
  <c r="A3871" i="23"/>
  <c r="A3870" i="23"/>
  <c r="A3869" i="23"/>
  <c r="A3868" i="23"/>
  <c r="A3867" i="23"/>
  <c r="A3866" i="23"/>
  <c r="A3865" i="23"/>
  <c r="A3864" i="23"/>
  <c r="A3863" i="23"/>
  <c r="A3862" i="23"/>
  <c r="A3861" i="23"/>
  <c r="A3860" i="23"/>
  <c r="A3859" i="23"/>
  <c r="A3858" i="23"/>
  <c r="A3857" i="23"/>
  <c r="A3856" i="23"/>
  <c r="A3855" i="23"/>
  <c r="A3854" i="23"/>
  <c r="A3853" i="23"/>
  <c r="A3852" i="23"/>
  <c r="A3851" i="23"/>
  <c r="A3850" i="23"/>
  <c r="A3849" i="23"/>
  <c r="A3848" i="23"/>
  <c r="A3847" i="23"/>
  <c r="A3846" i="23"/>
  <c r="A3845" i="23"/>
  <c r="A3844" i="23"/>
  <c r="A3843" i="23"/>
  <c r="A3842" i="23"/>
  <c r="A3841" i="23"/>
  <c r="A3840" i="23"/>
  <c r="A3839" i="23"/>
  <c r="A3838" i="23"/>
  <c r="A3837" i="23"/>
  <c r="A3836" i="23"/>
  <c r="A3835" i="23"/>
  <c r="A3834" i="23"/>
  <c r="A3833" i="23"/>
  <c r="A3832" i="23"/>
  <c r="A3831" i="23"/>
  <c r="A3830" i="23"/>
  <c r="A3829" i="23"/>
  <c r="A3828" i="23"/>
  <c r="A3827" i="23"/>
  <c r="A3826" i="23"/>
  <c r="A3825" i="23"/>
  <c r="A3824" i="23"/>
  <c r="A3823" i="23"/>
  <c r="A3822" i="23"/>
  <c r="A3821" i="23"/>
  <c r="A3820" i="23"/>
  <c r="A3819" i="23"/>
  <c r="A3818" i="23"/>
  <c r="A3817" i="23"/>
  <c r="A3816" i="23"/>
  <c r="A3815" i="23"/>
  <c r="A3814" i="23"/>
  <c r="A3813" i="23"/>
  <c r="A3812" i="23"/>
  <c r="A3811" i="23"/>
  <c r="A3810" i="23"/>
  <c r="A3809" i="23"/>
  <c r="A3808" i="23"/>
  <c r="A3807" i="23"/>
  <c r="A3806" i="23"/>
  <c r="A3805" i="23"/>
  <c r="A3804" i="23"/>
  <c r="A3803" i="23"/>
  <c r="A3802" i="23"/>
  <c r="A3801" i="23"/>
  <c r="A3800" i="23"/>
  <c r="A3799" i="23"/>
  <c r="A3798" i="23"/>
  <c r="A3797" i="23"/>
  <c r="A3796" i="23"/>
  <c r="A3795" i="23"/>
  <c r="A3794" i="23"/>
  <c r="A3793" i="23"/>
  <c r="A3792" i="23"/>
  <c r="A3791" i="23"/>
  <c r="A3790" i="23"/>
  <c r="A3789" i="23"/>
  <c r="A3788" i="23"/>
  <c r="A3787" i="23"/>
  <c r="A3786" i="23"/>
  <c r="A3785" i="23"/>
  <c r="A3784" i="23"/>
  <c r="A3783" i="23"/>
  <c r="A3782" i="23"/>
  <c r="A3781" i="23"/>
  <c r="A3780" i="23"/>
  <c r="A3779" i="23"/>
  <c r="A3778" i="23"/>
  <c r="A3777" i="23"/>
  <c r="A3776" i="23"/>
  <c r="A3775" i="23"/>
  <c r="A3774" i="23"/>
  <c r="A3773" i="23"/>
  <c r="A3772" i="23"/>
  <c r="A3771" i="23"/>
  <c r="A3770" i="23"/>
  <c r="A3769" i="23"/>
  <c r="A3768" i="23"/>
  <c r="A3767" i="23"/>
  <c r="A3766" i="23"/>
  <c r="A3765" i="23"/>
  <c r="A3764" i="23"/>
  <c r="A3763" i="23"/>
  <c r="A3762" i="23"/>
  <c r="A3761" i="23"/>
  <c r="A3760" i="23"/>
  <c r="A3759" i="23"/>
  <c r="A3758" i="23"/>
  <c r="A3757" i="23"/>
  <c r="A3756" i="23"/>
  <c r="A3755" i="23"/>
  <c r="A3754" i="23"/>
  <c r="A3753" i="23"/>
  <c r="A3752" i="23"/>
  <c r="A3751" i="23"/>
  <c r="A3750" i="23"/>
  <c r="A3749" i="23"/>
  <c r="A3748" i="23"/>
  <c r="A3747" i="23"/>
  <c r="A3746" i="23"/>
  <c r="A3745" i="23"/>
  <c r="A3744" i="23"/>
  <c r="A3743" i="23"/>
  <c r="A3742" i="23"/>
  <c r="A3741" i="23"/>
  <c r="A3740" i="23"/>
  <c r="A3739" i="23"/>
  <c r="A3738" i="23"/>
  <c r="A3737" i="23"/>
  <c r="A3736" i="23"/>
  <c r="A3735" i="23"/>
  <c r="A3734" i="23"/>
  <c r="A3733" i="23"/>
  <c r="A3732" i="23"/>
  <c r="A3731" i="23"/>
  <c r="A3730" i="23"/>
  <c r="A3729" i="23"/>
  <c r="A3728" i="23"/>
  <c r="A3727" i="23"/>
  <c r="A3726" i="23"/>
  <c r="A3725" i="23"/>
  <c r="A3724" i="23"/>
  <c r="A3723" i="23"/>
  <c r="A3722" i="23"/>
  <c r="A3721" i="23"/>
  <c r="A3720" i="23"/>
  <c r="A3719" i="23"/>
  <c r="A3718" i="23"/>
  <c r="A3717" i="23"/>
  <c r="A3716" i="23"/>
  <c r="A3715" i="23"/>
  <c r="A3714" i="23"/>
  <c r="A3713" i="23"/>
  <c r="A3712" i="23"/>
  <c r="A3711" i="23"/>
  <c r="A3710" i="23"/>
  <c r="A3709" i="23"/>
  <c r="A3708" i="23"/>
  <c r="A3707" i="23"/>
  <c r="A3706" i="23"/>
  <c r="A3705" i="23"/>
  <c r="A3704" i="23"/>
  <c r="A3703" i="23"/>
  <c r="A3702" i="23"/>
  <c r="A3701" i="23"/>
  <c r="A3700" i="23"/>
  <c r="A3699" i="23"/>
  <c r="A3698" i="23"/>
  <c r="A3697" i="23"/>
  <c r="A3696" i="23"/>
  <c r="A3695" i="23"/>
  <c r="A3694" i="23"/>
  <c r="A3693" i="23"/>
  <c r="A3692" i="23"/>
  <c r="A3691" i="23"/>
  <c r="A3690" i="23"/>
  <c r="A3689" i="23"/>
  <c r="A3688" i="23"/>
  <c r="A3687" i="23"/>
  <c r="A3686" i="23"/>
  <c r="A3685" i="23"/>
  <c r="A3684" i="23"/>
  <c r="A3683" i="23"/>
  <c r="A3682" i="23"/>
  <c r="A3681" i="23"/>
  <c r="A3680" i="23"/>
  <c r="A3679" i="23"/>
  <c r="A3678" i="23"/>
  <c r="A3677" i="23"/>
  <c r="A3676" i="23"/>
  <c r="A3675" i="23"/>
  <c r="A3674" i="23"/>
  <c r="A3673" i="23"/>
  <c r="A3672" i="23"/>
  <c r="A3671" i="23"/>
  <c r="A3670" i="23"/>
  <c r="A3669" i="23"/>
  <c r="A3668" i="23"/>
  <c r="A3667" i="23"/>
  <c r="A3666" i="23"/>
  <c r="A3665" i="23"/>
  <c r="A3664" i="23"/>
  <c r="A3663" i="23"/>
  <c r="A3662" i="23"/>
  <c r="A3661" i="23"/>
  <c r="A3660" i="23"/>
  <c r="A3659" i="23"/>
  <c r="A3658" i="23"/>
  <c r="A3657" i="23"/>
  <c r="A3656" i="23"/>
  <c r="A3655" i="23"/>
  <c r="A3654" i="23"/>
  <c r="A3653" i="23"/>
  <c r="A3652" i="23"/>
  <c r="A3651" i="23"/>
  <c r="A3650" i="23"/>
  <c r="A3649" i="23"/>
  <c r="A3648" i="23"/>
  <c r="A3647" i="23"/>
  <c r="A3646" i="23"/>
  <c r="A3645" i="23"/>
  <c r="A3644" i="23"/>
  <c r="A3643" i="23"/>
  <c r="A3642" i="23"/>
  <c r="A3641" i="23"/>
  <c r="A3640" i="23"/>
  <c r="A3639" i="23"/>
  <c r="A3638" i="23"/>
  <c r="A3637" i="23"/>
  <c r="A3636" i="23"/>
  <c r="A3635" i="23"/>
  <c r="A3634" i="23"/>
  <c r="A3633" i="23"/>
  <c r="A3632" i="23"/>
  <c r="A3631" i="23"/>
  <c r="A3630" i="23"/>
  <c r="A3629" i="23"/>
  <c r="A3628" i="23"/>
  <c r="A3627" i="23"/>
  <c r="A3626" i="23"/>
  <c r="A3625" i="23"/>
  <c r="A3624" i="23"/>
  <c r="A3623" i="23"/>
  <c r="A3622" i="23"/>
  <c r="A3621" i="23"/>
  <c r="A3620" i="23"/>
  <c r="A3619" i="23"/>
  <c r="A3618" i="23"/>
  <c r="A3617" i="23"/>
  <c r="A3616" i="23"/>
  <c r="A3615" i="23"/>
  <c r="A3614" i="23"/>
  <c r="A3613" i="23"/>
  <c r="A3612" i="23"/>
  <c r="A3611" i="23"/>
  <c r="A3610" i="23"/>
  <c r="A3609" i="23"/>
  <c r="A3608" i="23"/>
  <c r="A3607" i="23"/>
  <c r="A3606" i="23"/>
  <c r="A3605" i="23"/>
  <c r="A3604" i="23"/>
  <c r="A3603" i="23"/>
  <c r="A3602" i="23"/>
  <c r="A3601" i="23"/>
  <c r="A3600" i="23"/>
  <c r="A3599" i="23"/>
  <c r="A3598" i="23"/>
  <c r="A3597" i="23"/>
  <c r="A3596" i="23"/>
  <c r="A3595" i="23"/>
  <c r="A3594" i="23"/>
  <c r="A3593" i="23"/>
  <c r="A3592" i="23"/>
  <c r="A3591" i="23"/>
  <c r="A3590" i="23"/>
  <c r="A3589" i="23"/>
  <c r="A3588" i="23"/>
  <c r="A3587" i="23"/>
  <c r="A3586" i="23"/>
  <c r="A3585" i="23"/>
  <c r="A3584" i="23"/>
  <c r="A3583" i="23"/>
  <c r="A3582" i="23"/>
  <c r="A3581" i="23"/>
  <c r="A3580" i="23"/>
  <c r="A3579" i="23"/>
  <c r="A3578" i="23"/>
  <c r="A3577" i="23"/>
  <c r="A3576" i="23"/>
  <c r="A3575" i="23"/>
  <c r="A3574" i="23"/>
  <c r="A3573" i="23"/>
  <c r="A3572" i="23"/>
  <c r="A3571" i="23"/>
  <c r="A3570" i="23"/>
  <c r="A3569" i="23"/>
  <c r="A3568" i="23"/>
  <c r="A3567" i="23"/>
  <c r="A3566" i="23"/>
  <c r="A3565" i="23"/>
  <c r="A3564" i="23"/>
  <c r="A3563" i="23"/>
  <c r="A3562" i="23"/>
  <c r="A3561" i="23"/>
  <c r="A3560" i="23"/>
  <c r="A3559" i="23"/>
  <c r="A3558" i="23"/>
  <c r="A3557" i="23"/>
  <c r="A3556" i="23"/>
  <c r="A3555" i="23"/>
  <c r="A3554" i="23"/>
  <c r="A3553" i="23"/>
  <c r="A3552" i="23"/>
  <c r="A3551" i="23"/>
  <c r="A3550" i="23"/>
  <c r="A3549" i="23"/>
  <c r="A3548" i="23"/>
  <c r="A3547" i="23"/>
  <c r="A3546" i="23"/>
  <c r="A3545" i="23"/>
  <c r="A3544" i="23"/>
  <c r="A3543" i="23"/>
  <c r="A3542" i="23"/>
  <c r="A3541" i="23"/>
  <c r="A3540" i="23"/>
  <c r="A3539" i="23"/>
  <c r="A3538" i="23"/>
  <c r="A3537" i="23"/>
  <c r="A3536" i="23"/>
  <c r="A3535" i="23"/>
  <c r="A3534" i="23"/>
  <c r="A3533" i="23"/>
  <c r="A3532" i="23"/>
  <c r="A3531" i="23"/>
  <c r="A3530" i="23"/>
  <c r="A3529" i="23"/>
  <c r="A3528" i="23"/>
  <c r="A3527" i="23"/>
  <c r="A3526" i="23"/>
  <c r="A3525" i="23"/>
  <c r="A3524" i="23"/>
  <c r="A3523" i="23"/>
  <c r="A3522" i="23"/>
  <c r="A3521" i="23"/>
  <c r="A3520" i="23"/>
  <c r="A3519" i="23"/>
  <c r="A3518" i="23"/>
  <c r="A3517" i="23"/>
  <c r="A3516" i="23"/>
  <c r="A3515" i="23"/>
  <c r="A3514" i="23"/>
  <c r="A3513" i="23"/>
  <c r="A3512" i="23"/>
  <c r="A3511" i="23"/>
  <c r="A3510" i="23"/>
  <c r="A3509" i="23"/>
  <c r="A3508" i="23"/>
  <c r="A3507" i="23"/>
  <c r="A3506" i="23"/>
  <c r="A3505" i="23"/>
  <c r="A3504" i="23"/>
  <c r="A3503" i="23"/>
  <c r="A3502" i="23"/>
  <c r="A3501" i="23"/>
  <c r="A3500" i="23"/>
  <c r="A3499" i="23"/>
  <c r="A3498" i="23"/>
  <c r="A3497" i="23"/>
  <c r="A3496" i="23"/>
  <c r="A3495" i="23"/>
  <c r="A3494" i="23"/>
  <c r="A3493" i="23"/>
  <c r="A3492" i="23"/>
  <c r="A3491" i="23"/>
  <c r="A3490" i="23"/>
  <c r="A3489" i="23"/>
  <c r="A3488" i="23"/>
  <c r="A3487" i="23"/>
  <c r="A3486" i="23"/>
  <c r="A3485" i="23"/>
  <c r="A3484" i="23"/>
  <c r="A3483" i="23"/>
  <c r="A3482" i="23"/>
  <c r="A3481" i="23"/>
  <c r="A3480" i="23"/>
  <c r="A3479" i="23"/>
  <c r="A3478" i="23"/>
  <c r="A3477" i="23"/>
  <c r="A3476" i="23"/>
  <c r="A3475" i="23"/>
  <c r="A3474" i="23"/>
  <c r="A3473" i="23"/>
  <c r="A3472" i="23"/>
  <c r="A3471" i="23"/>
  <c r="A3470" i="23"/>
  <c r="A3469" i="23"/>
  <c r="A3468" i="23"/>
  <c r="A3467" i="23"/>
  <c r="A3466" i="23"/>
  <c r="A3465" i="23"/>
  <c r="A3464" i="23"/>
  <c r="A3463" i="23"/>
  <c r="A3462" i="23"/>
  <c r="A3461" i="23"/>
  <c r="A3460" i="23"/>
  <c r="A3459" i="23"/>
  <c r="A3458" i="23"/>
  <c r="A3457" i="23"/>
  <c r="A3456" i="23"/>
  <c r="A3455" i="23"/>
  <c r="A3454" i="23"/>
  <c r="A3453" i="23"/>
  <c r="A3452" i="23"/>
  <c r="A3451" i="23"/>
  <c r="A3450" i="23"/>
  <c r="A3449" i="23"/>
  <c r="A3448" i="23"/>
  <c r="A3447" i="23"/>
  <c r="A3446" i="23"/>
  <c r="A3445" i="23"/>
  <c r="A3444" i="23"/>
  <c r="A3443" i="23"/>
  <c r="A3442" i="23"/>
  <c r="A3441" i="23"/>
  <c r="A3440" i="23"/>
  <c r="A3439" i="23"/>
  <c r="A3438" i="23"/>
  <c r="A3437" i="23"/>
  <c r="A3436" i="23"/>
  <c r="A3435" i="23"/>
  <c r="A3434" i="23"/>
  <c r="A3433" i="23"/>
  <c r="A3432" i="23"/>
  <c r="A3431" i="23"/>
  <c r="A3430" i="23"/>
  <c r="A3429" i="23"/>
  <c r="A3428" i="23"/>
  <c r="A3427" i="23"/>
  <c r="A3426" i="23"/>
  <c r="A3425" i="23"/>
  <c r="A3424" i="23"/>
  <c r="A3423" i="23"/>
  <c r="A3422" i="23"/>
  <c r="A3421" i="23"/>
  <c r="A3420" i="23"/>
  <c r="A3419" i="23"/>
  <c r="A3418" i="23"/>
  <c r="A3417" i="23"/>
  <c r="A3416" i="23"/>
  <c r="A3415" i="23"/>
  <c r="A3414" i="23"/>
  <c r="A3413" i="23"/>
  <c r="A3412" i="23"/>
  <c r="A3411" i="23"/>
  <c r="A3410" i="23"/>
  <c r="A3409" i="23"/>
  <c r="A3408" i="23"/>
  <c r="A3407" i="23"/>
  <c r="A3406" i="23"/>
  <c r="A3405" i="23"/>
  <c r="A3404" i="23"/>
  <c r="A3403" i="23"/>
  <c r="A3402" i="23"/>
  <c r="A3401" i="23"/>
  <c r="A3400" i="23"/>
  <c r="A3399" i="23"/>
  <c r="A3398" i="23"/>
  <c r="A3397" i="23"/>
  <c r="A3396" i="23"/>
  <c r="A3395" i="23"/>
  <c r="A3394" i="23"/>
  <c r="A3393" i="23"/>
  <c r="A3392" i="23"/>
  <c r="A3391" i="23"/>
  <c r="A3390" i="23"/>
  <c r="A3389" i="23"/>
  <c r="A3388" i="23"/>
  <c r="A3387" i="23"/>
  <c r="A3386" i="23"/>
  <c r="A3385" i="23"/>
  <c r="A3384" i="23"/>
  <c r="A3383" i="23"/>
  <c r="A3382" i="23"/>
  <c r="A3381" i="23"/>
  <c r="A3380" i="23"/>
  <c r="A3379" i="23"/>
  <c r="A3378" i="23"/>
  <c r="A3377" i="23"/>
  <c r="A3376" i="23"/>
  <c r="A3375" i="23"/>
  <c r="A3374" i="23"/>
  <c r="A3373" i="23"/>
  <c r="A3372" i="23"/>
  <c r="A3371" i="23"/>
  <c r="A3370" i="23"/>
  <c r="A3369" i="23"/>
  <c r="A3368" i="23"/>
  <c r="A3367" i="23"/>
  <c r="A3366" i="23"/>
  <c r="A3365" i="23"/>
  <c r="A3364" i="23"/>
  <c r="A3363" i="23"/>
  <c r="A3362" i="23"/>
  <c r="A3361" i="23"/>
  <c r="A3360" i="23"/>
  <c r="A3359" i="23"/>
  <c r="A3358" i="23"/>
  <c r="A3357" i="23"/>
  <c r="A3356" i="23"/>
  <c r="A3355" i="23"/>
  <c r="A3354" i="23"/>
  <c r="A3353" i="23"/>
  <c r="A3352" i="23"/>
  <c r="A3351" i="23"/>
  <c r="A3350" i="23"/>
  <c r="A3349" i="23"/>
  <c r="A3348" i="23"/>
  <c r="A3347" i="23"/>
  <c r="A3346" i="23"/>
  <c r="A3345" i="23"/>
  <c r="A3344" i="23"/>
  <c r="A3343" i="23"/>
  <c r="A3342" i="23"/>
  <c r="A3341" i="23"/>
  <c r="A3340" i="23"/>
  <c r="A3339" i="23"/>
  <c r="A3338" i="23"/>
  <c r="A3337" i="23"/>
  <c r="A3336" i="23"/>
  <c r="A3335" i="23"/>
  <c r="A3334" i="23"/>
  <c r="A3333" i="23"/>
  <c r="A3332" i="23"/>
  <c r="A3331" i="23"/>
  <c r="A3330" i="23"/>
  <c r="A3329" i="23"/>
  <c r="A3328" i="23"/>
  <c r="A3327" i="23"/>
  <c r="A3326" i="23"/>
  <c r="A3325" i="23"/>
  <c r="A3324" i="23"/>
  <c r="A3323" i="23"/>
  <c r="A3322" i="23"/>
  <c r="A3321" i="23"/>
  <c r="A3320" i="23"/>
  <c r="A3319" i="23"/>
  <c r="A3318" i="23"/>
  <c r="A3317" i="23"/>
  <c r="A3316" i="23"/>
  <c r="A3315" i="23"/>
  <c r="A3314" i="23"/>
  <c r="A3313" i="23"/>
  <c r="A3312" i="23"/>
  <c r="A3311" i="23"/>
  <c r="A3310" i="23"/>
  <c r="A3309" i="23"/>
  <c r="A3308" i="23"/>
  <c r="A3307" i="23"/>
  <c r="A3306" i="23"/>
  <c r="A3305" i="23"/>
  <c r="A3304" i="23"/>
  <c r="A3303" i="23"/>
  <c r="A3302" i="23"/>
  <c r="A3301" i="23"/>
  <c r="A3300" i="23"/>
  <c r="A3299" i="23"/>
  <c r="A3298" i="23"/>
  <c r="A3297" i="23"/>
  <c r="A3296" i="23"/>
  <c r="A3295" i="23"/>
  <c r="A3294" i="23"/>
  <c r="A3293" i="23"/>
  <c r="A3292" i="23"/>
  <c r="A3291" i="23"/>
  <c r="A3290" i="23"/>
  <c r="A3289" i="23"/>
  <c r="A3288" i="23"/>
  <c r="A3287" i="23"/>
  <c r="A3286" i="23"/>
  <c r="A3285" i="23"/>
  <c r="A3284" i="23"/>
  <c r="A3283" i="23"/>
  <c r="A3282" i="23"/>
  <c r="A3281" i="23"/>
  <c r="A3280" i="23"/>
  <c r="A3279" i="23"/>
  <c r="A3278" i="23"/>
  <c r="A3277" i="23"/>
  <c r="A3276" i="23"/>
  <c r="A3275" i="23"/>
  <c r="A3274" i="23"/>
  <c r="A3273" i="23"/>
  <c r="A3272" i="23"/>
  <c r="A3271" i="23"/>
  <c r="A3270" i="23"/>
  <c r="A3269" i="23"/>
  <c r="A3268" i="23"/>
  <c r="A3267" i="23"/>
  <c r="A3266" i="23"/>
  <c r="A3265" i="23"/>
  <c r="A3264" i="23"/>
  <c r="A3263" i="23"/>
  <c r="A3262" i="23"/>
  <c r="A3261" i="23"/>
  <c r="A3260" i="23"/>
  <c r="A3259" i="23"/>
  <c r="A3258" i="23"/>
  <c r="A3257" i="23"/>
  <c r="A3256" i="23"/>
  <c r="A3255" i="23"/>
  <c r="A3254" i="23"/>
  <c r="A3253" i="23"/>
  <c r="A3252" i="23"/>
  <c r="A3251" i="23"/>
  <c r="A3250" i="23"/>
  <c r="A3249" i="23"/>
  <c r="A3248" i="23"/>
  <c r="A3247" i="23"/>
  <c r="A3246" i="23"/>
  <c r="A3245" i="23"/>
  <c r="A3244" i="23"/>
  <c r="A3243" i="23"/>
  <c r="A3242" i="23"/>
  <c r="A3241" i="23"/>
  <c r="A3240" i="23"/>
  <c r="A3239" i="23"/>
  <c r="A3238" i="23"/>
  <c r="A3237" i="23"/>
  <c r="A3236" i="23"/>
  <c r="A3235" i="23"/>
  <c r="A3234" i="23"/>
  <c r="A3233" i="23"/>
  <c r="A3232" i="23"/>
  <c r="A3231" i="23"/>
  <c r="A3230" i="23"/>
  <c r="A3229" i="23"/>
  <c r="A3228" i="23"/>
  <c r="A3227" i="23"/>
  <c r="A3226" i="23"/>
  <c r="A3225" i="23"/>
  <c r="A3224" i="23"/>
  <c r="A3223" i="23"/>
  <c r="A3222" i="23"/>
  <c r="A3221" i="23"/>
  <c r="A3220" i="23"/>
  <c r="A3219" i="23"/>
  <c r="A3218" i="23"/>
  <c r="A3217" i="23"/>
  <c r="A3216" i="23"/>
  <c r="A3215" i="23"/>
  <c r="A3214" i="23"/>
  <c r="A3213" i="23"/>
  <c r="A3212" i="23"/>
  <c r="A3211" i="23"/>
  <c r="A3210" i="23"/>
  <c r="A3209" i="23"/>
  <c r="A3208" i="23"/>
  <c r="A3207" i="23"/>
  <c r="A3206" i="23"/>
  <c r="A3205" i="23"/>
  <c r="A3204" i="23"/>
  <c r="A3203" i="23"/>
  <c r="A3202" i="23"/>
  <c r="A3201" i="23"/>
  <c r="A3200" i="23"/>
  <c r="A3199" i="23"/>
  <c r="A3198" i="23"/>
  <c r="A3197" i="23"/>
  <c r="A3196" i="23"/>
  <c r="A3195" i="23"/>
  <c r="A3194" i="23"/>
  <c r="A3193" i="23"/>
  <c r="A3192" i="23"/>
  <c r="A3191" i="23"/>
  <c r="A3190" i="23"/>
  <c r="A3189" i="23"/>
  <c r="A3188" i="23"/>
  <c r="A3187" i="23"/>
  <c r="A3186" i="23"/>
  <c r="A3185" i="23"/>
  <c r="A3184" i="23"/>
  <c r="A3183" i="23"/>
  <c r="A3182" i="23"/>
  <c r="A3181" i="23"/>
  <c r="A3180" i="23"/>
  <c r="A3179" i="23"/>
  <c r="A3178" i="23"/>
  <c r="A3177" i="23"/>
  <c r="A3176" i="23"/>
  <c r="A3175" i="23"/>
  <c r="A3174" i="23"/>
  <c r="A3173" i="23"/>
  <c r="A3172" i="23"/>
  <c r="A3171" i="23"/>
  <c r="A3170" i="23"/>
  <c r="A3169" i="23"/>
  <c r="A3168" i="23"/>
  <c r="A3167" i="23"/>
  <c r="A3166" i="23"/>
  <c r="A3165" i="23"/>
  <c r="A3164" i="23"/>
  <c r="A3163" i="23"/>
  <c r="A3162" i="23"/>
  <c r="A3161" i="23"/>
  <c r="A3160" i="23"/>
  <c r="A3159" i="23"/>
  <c r="A3158" i="23"/>
  <c r="A3157" i="23"/>
  <c r="A3156" i="23"/>
  <c r="A3155" i="23"/>
  <c r="A3154" i="23"/>
  <c r="A3153" i="23"/>
  <c r="A3152" i="23"/>
  <c r="A3151" i="23"/>
  <c r="A3150" i="23"/>
  <c r="A3149" i="23"/>
  <c r="A3148" i="23"/>
  <c r="A3147" i="23"/>
  <c r="A3146" i="23"/>
  <c r="A3145" i="23"/>
  <c r="A3144" i="23"/>
  <c r="A3143" i="23"/>
  <c r="A3142" i="23"/>
  <c r="A3141" i="23"/>
  <c r="A3140" i="23"/>
  <c r="A3139" i="23"/>
  <c r="A3138" i="23"/>
  <c r="A3137" i="23"/>
  <c r="A3136" i="23"/>
  <c r="A3135" i="23"/>
  <c r="A3134" i="23"/>
  <c r="A3133" i="23"/>
  <c r="A3132" i="23"/>
  <c r="A3131" i="23"/>
  <c r="A3130" i="23"/>
  <c r="A3129" i="23"/>
  <c r="A3128" i="23"/>
  <c r="A3127" i="23"/>
  <c r="A3126" i="23"/>
  <c r="A3125" i="23"/>
  <c r="A3124" i="23"/>
  <c r="A3123" i="23"/>
  <c r="A3122" i="23"/>
  <c r="A3121" i="23"/>
  <c r="A3120" i="23"/>
  <c r="A3119" i="23"/>
  <c r="A3118" i="23"/>
  <c r="A3117" i="23"/>
  <c r="A3116" i="23"/>
  <c r="A3115" i="23"/>
  <c r="A3114" i="23"/>
  <c r="A3113" i="23"/>
  <c r="A3112" i="23"/>
  <c r="A3111" i="23"/>
  <c r="A3110" i="23"/>
  <c r="A3109" i="23"/>
  <c r="A3108" i="23"/>
  <c r="A3107" i="23"/>
  <c r="A3106" i="23"/>
  <c r="A3105" i="23"/>
  <c r="A3104" i="23"/>
  <c r="A3103" i="23"/>
  <c r="A3102" i="23"/>
  <c r="A3101" i="23"/>
  <c r="A3100" i="23"/>
  <c r="A3099" i="23"/>
  <c r="A3098" i="23"/>
  <c r="A3097" i="23"/>
  <c r="A3096" i="23"/>
  <c r="A3095" i="23"/>
  <c r="A3094" i="23"/>
  <c r="A3093" i="23"/>
  <c r="A3092" i="23"/>
  <c r="A3091" i="23"/>
  <c r="A3090" i="23"/>
  <c r="A3089" i="23"/>
  <c r="A3088" i="23"/>
  <c r="A3087" i="23"/>
  <c r="A3086" i="23"/>
  <c r="A3085" i="23"/>
  <c r="A3084" i="23"/>
  <c r="A3083" i="23"/>
  <c r="A3082" i="23"/>
  <c r="A3081" i="23"/>
  <c r="A3080" i="23"/>
  <c r="A3079" i="23"/>
  <c r="A3078" i="23"/>
  <c r="A3077" i="23"/>
  <c r="A3076" i="23"/>
  <c r="A3075" i="23"/>
  <c r="A3074" i="23"/>
  <c r="A3073" i="23"/>
  <c r="A3072" i="23"/>
  <c r="A3071" i="23"/>
  <c r="A3070" i="23"/>
  <c r="A3069" i="23"/>
  <c r="A3068" i="23"/>
  <c r="A3067" i="23"/>
  <c r="A3066" i="23"/>
  <c r="A3065" i="23"/>
  <c r="A3064" i="23"/>
  <c r="A3063" i="23"/>
  <c r="A3062" i="23"/>
  <c r="A3061" i="23"/>
  <c r="A3060" i="23"/>
  <c r="A3059" i="23"/>
  <c r="A3058" i="23"/>
  <c r="A3057" i="23"/>
  <c r="A3056" i="23"/>
  <c r="A3055" i="23"/>
  <c r="A3054" i="23"/>
  <c r="A3053" i="23"/>
  <c r="A3052" i="23"/>
  <c r="A3051" i="23"/>
  <c r="A3050" i="23"/>
  <c r="A3049" i="23"/>
  <c r="A3048" i="23"/>
  <c r="A3047" i="23"/>
  <c r="A3046" i="23"/>
  <c r="A3045" i="23"/>
  <c r="A3044" i="23"/>
  <c r="A3043" i="23"/>
  <c r="A3042" i="23"/>
  <c r="A3041" i="23"/>
  <c r="A3040" i="23"/>
  <c r="A3039" i="23"/>
  <c r="A3038" i="23"/>
  <c r="A3037" i="23"/>
  <c r="A3036" i="23"/>
  <c r="A3035" i="23"/>
  <c r="A3034" i="23"/>
  <c r="A3033" i="23"/>
  <c r="A3032" i="23"/>
  <c r="A3031" i="23"/>
  <c r="A3030" i="23"/>
  <c r="A3029" i="23"/>
  <c r="A3028" i="23"/>
  <c r="A3027" i="23"/>
  <c r="A3026" i="23"/>
  <c r="A3025" i="23"/>
  <c r="A3024" i="23"/>
  <c r="A3023" i="23"/>
  <c r="A3022" i="23"/>
  <c r="A3021" i="23"/>
  <c r="A3020" i="23"/>
  <c r="A3019" i="23"/>
  <c r="A3018" i="23"/>
  <c r="A3017" i="23"/>
  <c r="A3016" i="23"/>
  <c r="A3015" i="23"/>
  <c r="A3014" i="23"/>
  <c r="A3013" i="23"/>
  <c r="A3012" i="23"/>
  <c r="A3011" i="23"/>
  <c r="A3010" i="23"/>
  <c r="A3009" i="23"/>
  <c r="A3008" i="23"/>
  <c r="A3007" i="23"/>
  <c r="A3006" i="23"/>
  <c r="A3005" i="23"/>
  <c r="A3004" i="23"/>
  <c r="A3003" i="23"/>
  <c r="A3002" i="23"/>
  <c r="A3001" i="23"/>
  <c r="A3000" i="23"/>
  <c r="A2999" i="23"/>
  <c r="A2998" i="23"/>
  <c r="A2997" i="23"/>
  <c r="A2996" i="23"/>
  <c r="A2995" i="23"/>
  <c r="A2994" i="23"/>
  <c r="A2993" i="23"/>
  <c r="A2992" i="23"/>
  <c r="A2991" i="23"/>
  <c r="A2990" i="23"/>
  <c r="A2989" i="23"/>
  <c r="A2988" i="23"/>
  <c r="A2987" i="23"/>
  <c r="A2986" i="23"/>
  <c r="A2985" i="23"/>
  <c r="A2984" i="23"/>
  <c r="A2983" i="23"/>
  <c r="A2982" i="23"/>
  <c r="A2981" i="23"/>
  <c r="A2980" i="23"/>
  <c r="A2979" i="23"/>
  <c r="A2978" i="23"/>
  <c r="A2977" i="23"/>
  <c r="A2976" i="23"/>
  <c r="A2975" i="23"/>
  <c r="A2974" i="23"/>
  <c r="A2973" i="23"/>
  <c r="A2972" i="23"/>
  <c r="A2971" i="23"/>
  <c r="A2970" i="23"/>
  <c r="A2969" i="23"/>
  <c r="A2968" i="23"/>
  <c r="A2967" i="23"/>
  <c r="A2966" i="23"/>
  <c r="A2965" i="23"/>
  <c r="A2964" i="23"/>
  <c r="A2963" i="23"/>
  <c r="A2962" i="23"/>
  <c r="A2961" i="23"/>
  <c r="A2960" i="23"/>
  <c r="A2959" i="23"/>
  <c r="A2958" i="23"/>
  <c r="A2957" i="23"/>
  <c r="A2956" i="23"/>
  <c r="A2955" i="23"/>
  <c r="A2954" i="23"/>
  <c r="A2953" i="23"/>
  <c r="A2952" i="23"/>
  <c r="A2951" i="23"/>
  <c r="A2950" i="23"/>
  <c r="A2949" i="23"/>
  <c r="A2948" i="23"/>
  <c r="A2947" i="23"/>
  <c r="A2946" i="23"/>
  <c r="A2945" i="23"/>
  <c r="A2944" i="23"/>
  <c r="A2943" i="23"/>
  <c r="A2942" i="23"/>
  <c r="A2941" i="23"/>
  <c r="A2940" i="23"/>
  <c r="A2939" i="23"/>
  <c r="A2938" i="23"/>
  <c r="A2937" i="23"/>
  <c r="A2936" i="23"/>
  <c r="A2935" i="23"/>
  <c r="A2934" i="23"/>
  <c r="A2933" i="23"/>
  <c r="A2932" i="23"/>
  <c r="A2931" i="23"/>
  <c r="A2930" i="23"/>
  <c r="A2929" i="23"/>
  <c r="A2928" i="23"/>
  <c r="A2927" i="23"/>
  <c r="A2926" i="23"/>
  <c r="A2925" i="23"/>
  <c r="A2924" i="23"/>
  <c r="A2923" i="23"/>
  <c r="A2922" i="23"/>
  <c r="A2921" i="23"/>
  <c r="A2920" i="23"/>
  <c r="A2919" i="23"/>
  <c r="A2918" i="23"/>
  <c r="A2917" i="23"/>
  <c r="A2916" i="23"/>
  <c r="A2915" i="23"/>
  <c r="A2914" i="23"/>
  <c r="A2913" i="23"/>
  <c r="A2912" i="23"/>
  <c r="A2911" i="23"/>
  <c r="A2910" i="23"/>
  <c r="A2909" i="23"/>
  <c r="A2908" i="23"/>
  <c r="A2907" i="23"/>
  <c r="A2906" i="23"/>
  <c r="A2905" i="23"/>
  <c r="A2904" i="23"/>
  <c r="A2903" i="23"/>
  <c r="A2902" i="23"/>
  <c r="A2901" i="23"/>
  <c r="A2900" i="23"/>
  <c r="A2899" i="23"/>
  <c r="A2898" i="23"/>
  <c r="A2897" i="23"/>
  <c r="A2896" i="23"/>
  <c r="A2895" i="23"/>
  <c r="A2894" i="23"/>
  <c r="A2893" i="23"/>
  <c r="A2892" i="23"/>
  <c r="A2891" i="23"/>
  <c r="A2890" i="23"/>
  <c r="A2889" i="23"/>
  <c r="A2888" i="23"/>
  <c r="A2887" i="23"/>
  <c r="A2886" i="23"/>
  <c r="A2885" i="23"/>
  <c r="A2884" i="23"/>
  <c r="A2883" i="23"/>
  <c r="A2882" i="23"/>
  <c r="A2881" i="23"/>
  <c r="A2880" i="23"/>
  <c r="A2879" i="23"/>
  <c r="A2878" i="23"/>
  <c r="A2877" i="23"/>
  <c r="A2876" i="23"/>
  <c r="A2875" i="23"/>
  <c r="A2874" i="23"/>
  <c r="A2873" i="23"/>
  <c r="A2872" i="23"/>
  <c r="A2871" i="23"/>
  <c r="A2870" i="23"/>
  <c r="A2869" i="23"/>
  <c r="A2868" i="23"/>
  <c r="A2867" i="23"/>
  <c r="A2866" i="23"/>
  <c r="A2865" i="23"/>
  <c r="A2864" i="23"/>
  <c r="A2863" i="23"/>
  <c r="A2862" i="23"/>
  <c r="A2861" i="23"/>
  <c r="A2860" i="23"/>
  <c r="A2859" i="23"/>
  <c r="A2858" i="23"/>
  <c r="A2857" i="23"/>
  <c r="A2856" i="23"/>
  <c r="A2855" i="23"/>
  <c r="A2854" i="23"/>
  <c r="A2853" i="23"/>
  <c r="A2852" i="23"/>
  <c r="A2851" i="23"/>
  <c r="A2850" i="23"/>
  <c r="A2849" i="23"/>
  <c r="A2848" i="23"/>
  <c r="A2847" i="23"/>
  <c r="A2846" i="23"/>
  <c r="A2845" i="23"/>
  <c r="A2844" i="23"/>
  <c r="A2843" i="23"/>
  <c r="A2842" i="23"/>
  <c r="A2841" i="23"/>
  <c r="A2840" i="23"/>
  <c r="A2839" i="23"/>
  <c r="A2838" i="23"/>
  <c r="A2837" i="23"/>
  <c r="A2836" i="23"/>
  <c r="A2835" i="23"/>
  <c r="A2834" i="23"/>
  <c r="A2833" i="23"/>
  <c r="A2832" i="23"/>
  <c r="A2831" i="23"/>
  <c r="A2830" i="23"/>
  <c r="A2829" i="23"/>
  <c r="A2828" i="23"/>
  <c r="A2827" i="23"/>
  <c r="A2826" i="23"/>
  <c r="A2825" i="23"/>
  <c r="A2824" i="23"/>
  <c r="A2823" i="23"/>
  <c r="A2822" i="23"/>
  <c r="A2821" i="23"/>
  <c r="A2820" i="23"/>
  <c r="A2819" i="23"/>
  <c r="A2818" i="23"/>
  <c r="A2817" i="23"/>
  <c r="A2816" i="23"/>
  <c r="A2815" i="23"/>
  <c r="A2814" i="23"/>
  <c r="A2813" i="23"/>
  <c r="A2812" i="23"/>
  <c r="A2811" i="23"/>
  <c r="A2810" i="23"/>
  <c r="A2809" i="23"/>
  <c r="A2808" i="23"/>
  <c r="A2807" i="23"/>
  <c r="A2806" i="23"/>
  <c r="A2805" i="23"/>
  <c r="A2804" i="23"/>
  <c r="A2803" i="23"/>
  <c r="A2802" i="23"/>
  <c r="A2801" i="23"/>
  <c r="A2800" i="23"/>
  <c r="A2799" i="23"/>
  <c r="A2798" i="23"/>
  <c r="A2797" i="23"/>
  <c r="A2796" i="23"/>
  <c r="A2795" i="23"/>
  <c r="A2794" i="23"/>
  <c r="A2793" i="23"/>
  <c r="A2792" i="23"/>
  <c r="A2791" i="23"/>
  <c r="A2790" i="23"/>
  <c r="A2789" i="23"/>
  <c r="A2788" i="23"/>
  <c r="A2787" i="23"/>
  <c r="A2786" i="23"/>
  <c r="A2785" i="23"/>
  <c r="A2784" i="23"/>
  <c r="A2783" i="23"/>
  <c r="A2782" i="23"/>
  <c r="A2781" i="23"/>
  <c r="A2780" i="23"/>
  <c r="A2779" i="23"/>
  <c r="A2778" i="23"/>
  <c r="A2777" i="23"/>
  <c r="A2776" i="23"/>
  <c r="A2775" i="23"/>
  <c r="A2774" i="23"/>
  <c r="A2773" i="23"/>
  <c r="A2772" i="23"/>
  <c r="A2771" i="23"/>
  <c r="A2770" i="23"/>
  <c r="A2769" i="23"/>
  <c r="A2768" i="23"/>
  <c r="A2767" i="23"/>
  <c r="A2766" i="23"/>
  <c r="A2765" i="23"/>
  <c r="A2764" i="23"/>
  <c r="A2763" i="23"/>
  <c r="A2762" i="23"/>
  <c r="A2761" i="23"/>
  <c r="A2760" i="23"/>
  <c r="A2759" i="23"/>
  <c r="A2758" i="23"/>
  <c r="A2757" i="23"/>
  <c r="A2756" i="23"/>
  <c r="A2755" i="23"/>
  <c r="A2754" i="23"/>
  <c r="A2753" i="23"/>
  <c r="A2752" i="23"/>
  <c r="A2751" i="23"/>
  <c r="A2750" i="23"/>
  <c r="A2749" i="23"/>
  <c r="A2748" i="23"/>
  <c r="A2747" i="23"/>
  <c r="A2746" i="23"/>
  <c r="A2745" i="23"/>
  <c r="A2744" i="23"/>
  <c r="A2743" i="23"/>
  <c r="A2742" i="23"/>
  <c r="A2741" i="23"/>
  <c r="A2740" i="23"/>
  <c r="A2739" i="23"/>
  <c r="A2738" i="23"/>
  <c r="A2737" i="23"/>
  <c r="A2736" i="23"/>
  <c r="A2735" i="23"/>
  <c r="A2734" i="23"/>
  <c r="A2733" i="23"/>
  <c r="A2732" i="23"/>
  <c r="A2731" i="23"/>
  <c r="A2730" i="23"/>
  <c r="A2729" i="23"/>
  <c r="A2728" i="23"/>
  <c r="A2727" i="23"/>
  <c r="A2726" i="23"/>
  <c r="A2725" i="23"/>
  <c r="A2724" i="23"/>
  <c r="A2723" i="23"/>
  <c r="A2722" i="23"/>
  <c r="A2721" i="23"/>
  <c r="A2720" i="23"/>
  <c r="A2719" i="23"/>
  <c r="A2718" i="23"/>
  <c r="A2717" i="23"/>
  <c r="A2716" i="23"/>
  <c r="A2715" i="23"/>
  <c r="A2714" i="23"/>
  <c r="A2713" i="23"/>
  <c r="A2712" i="23"/>
  <c r="A2711" i="23"/>
  <c r="A2710" i="23"/>
  <c r="A2709" i="23"/>
  <c r="A2708" i="23"/>
  <c r="A2707" i="23"/>
  <c r="A2706" i="23"/>
  <c r="A2705" i="23"/>
  <c r="A2704" i="23"/>
  <c r="A2703" i="23"/>
  <c r="A2702" i="23"/>
  <c r="A2701" i="23"/>
  <c r="A2700" i="23"/>
  <c r="A2699" i="23"/>
  <c r="A2698" i="23"/>
  <c r="A2697" i="23"/>
  <c r="A2696" i="23"/>
  <c r="A2695" i="23"/>
  <c r="A2694" i="23"/>
  <c r="A2693" i="23"/>
  <c r="A2692" i="23"/>
  <c r="A2691" i="23"/>
  <c r="A2690" i="23"/>
  <c r="A2689" i="23"/>
  <c r="A2688" i="23"/>
  <c r="A2687" i="23"/>
  <c r="A2686" i="23"/>
  <c r="A2685" i="23"/>
  <c r="A2684" i="23"/>
  <c r="A2683" i="23"/>
  <c r="A2682" i="23"/>
  <c r="A2681" i="23"/>
  <c r="A2680" i="23"/>
  <c r="A2679" i="23"/>
  <c r="A2678" i="23"/>
  <c r="A2677" i="23"/>
  <c r="A2676" i="23"/>
  <c r="A2675" i="23"/>
  <c r="A2674" i="23"/>
  <c r="A2673" i="23"/>
  <c r="A2672" i="23"/>
  <c r="A2671" i="23"/>
  <c r="A2670" i="23"/>
  <c r="A2669" i="23"/>
  <c r="A2668" i="23"/>
  <c r="A2667" i="23"/>
  <c r="A2666" i="23"/>
  <c r="A2665" i="23"/>
  <c r="A2664" i="23"/>
  <c r="A2663" i="23"/>
  <c r="A2662" i="23"/>
  <c r="A2661" i="23"/>
  <c r="A2660" i="23"/>
  <c r="A2659" i="23"/>
  <c r="A2658" i="23"/>
  <c r="A2657" i="23"/>
  <c r="A2656" i="23"/>
  <c r="A2655" i="23"/>
  <c r="A2654" i="23"/>
  <c r="A2653" i="23"/>
  <c r="A2652" i="23"/>
  <c r="A2651" i="23"/>
  <c r="A2650" i="23"/>
  <c r="A2649" i="23"/>
  <c r="A2648" i="23"/>
  <c r="A2647" i="23"/>
  <c r="A2646" i="23"/>
  <c r="A2645" i="23"/>
  <c r="A2644" i="23"/>
  <c r="A2643" i="23"/>
  <c r="A2642" i="23"/>
  <c r="A2641" i="23"/>
  <c r="A2640" i="23"/>
  <c r="A2639" i="23"/>
  <c r="A2638" i="23"/>
  <c r="A2637" i="23"/>
  <c r="A2636" i="23"/>
  <c r="A2635" i="23"/>
  <c r="A2634" i="23"/>
  <c r="A2633" i="23"/>
  <c r="A2632" i="23"/>
  <c r="A2631" i="23"/>
  <c r="A2630" i="23"/>
  <c r="A2629" i="23"/>
  <c r="A2628" i="23"/>
  <c r="A2627" i="23"/>
  <c r="A2626" i="23"/>
  <c r="A2625" i="23"/>
  <c r="A2624" i="23"/>
  <c r="A2623" i="23"/>
  <c r="A2622" i="23"/>
  <c r="A2621" i="23"/>
  <c r="A2620" i="23"/>
  <c r="A2619" i="23"/>
  <c r="A2618" i="23"/>
  <c r="A2617" i="23"/>
  <c r="A2616" i="23"/>
  <c r="A2615" i="23"/>
  <c r="A2614" i="23"/>
  <c r="A2613" i="23"/>
  <c r="A2612" i="23"/>
  <c r="A2611" i="23"/>
  <c r="A2610" i="23"/>
  <c r="A2609" i="23"/>
  <c r="A2608" i="23"/>
  <c r="A2607" i="23"/>
  <c r="A2606" i="23"/>
  <c r="A2605" i="23"/>
  <c r="A2604" i="23"/>
  <c r="A2603" i="23"/>
  <c r="A2602" i="23"/>
  <c r="A2601" i="23"/>
  <c r="A2600" i="23"/>
  <c r="A2599" i="23"/>
  <c r="A2598" i="23"/>
  <c r="A2597" i="23"/>
  <c r="A2596" i="23"/>
  <c r="A2595" i="23"/>
  <c r="A2594" i="23"/>
  <c r="A2593" i="23"/>
  <c r="A2592" i="23"/>
  <c r="A2591" i="23"/>
  <c r="A2590" i="23"/>
  <c r="A2589" i="23"/>
  <c r="A2588" i="23"/>
  <c r="A2587" i="23"/>
  <c r="A2586" i="23"/>
  <c r="A2585" i="23"/>
  <c r="A2584" i="23"/>
  <c r="A2583" i="23"/>
  <c r="A2582" i="23"/>
  <c r="A2581" i="23"/>
  <c r="A2580" i="23"/>
  <c r="A2579" i="23"/>
  <c r="A2578" i="23"/>
  <c r="A2577" i="23"/>
  <c r="A2576" i="23"/>
  <c r="A2575" i="23"/>
  <c r="A2574" i="23"/>
  <c r="A2573" i="23"/>
  <c r="A2572" i="23"/>
  <c r="A2571" i="23"/>
  <c r="A2570" i="23"/>
  <c r="A2569" i="23"/>
  <c r="A2568" i="23"/>
  <c r="A2567" i="23"/>
  <c r="A2566" i="23"/>
  <c r="A2565" i="23"/>
  <c r="A2564" i="23"/>
  <c r="A2563" i="23"/>
  <c r="A2562" i="23"/>
  <c r="A2561" i="23"/>
  <c r="A2560" i="23"/>
  <c r="A2559" i="23"/>
  <c r="A2558" i="23"/>
  <c r="A2557" i="23"/>
  <c r="A2556" i="23"/>
  <c r="A2555" i="23"/>
  <c r="A2554" i="23"/>
  <c r="A2553" i="23"/>
  <c r="A2552" i="23"/>
  <c r="A2551" i="23"/>
  <c r="A2550" i="23"/>
  <c r="A2549" i="23"/>
  <c r="A2548" i="23"/>
  <c r="A2547" i="23"/>
  <c r="A2546" i="23"/>
  <c r="A2545" i="23"/>
  <c r="A2544" i="23"/>
  <c r="A2543" i="23"/>
  <c r="A2542" i="23"/>
  <c r="A2541" i="23"/>
  <c r="A2540" i="23"/>
  <c r="A2539" i="23"/>
  <c r="A2538" i="23"/>
  <c r="A2537" i="23"/>
  <c r="A2536" i="23"/>
  <c r="A2535" i="23"/>
  <c r="A2534" i="23"/>
  <c r="A2533" i="23"/>
  <c r="A2532" i="23"/>
  <c r="A2531" i="23"/>
  <c r="A2530" i="23"/>
  <c r="A2529" i="23"/>
  <c r="A2528" i="23"/>
  <c r="A2527" i="23"/>
  <c r="A2526" i="23"/>
  <c r="A2525" i="23"/>
  <c r="A2524" i="23"/>
  <c r="A2523" i="23"/>
  <c r="A2522" i="23"/>
  <c r="A2521" i="23"/>
  <c r="A2520" i="23"/>
  <c r="A2519" i="23"/>
  <c r="A2518" i="23"/>
  <c r="A2517" i="23"/>
  <c r="A2516" i="23"/>
  <c r="A2515" i="23"/>
  <c r="A2514" i="23"/>
  <c r="A2513" i="23"/>
  <c r="A2512" i="23"/>
  <c r="A2511" i="23"/>
  <c r="A2510" i="23"/>
  <c r="A2509" i="23"/>
  <c r="A2508" i="23"/>
  <c r="A2507" i="23"/>
  <c r="A2506" i="23"/>
  <c r="A2505" i="23"/>
  <c r="A2504" i="23"/>
  <c r="A2503" i="23"/>
  <c r="A2502" i="23"/>
  <c r="A2501" i="23"/>
  <c r="A2500" i="23"/>
  <c r="A2499" i="23"/>
  <c r="A2498" i="23"/>
  <c r="A2497" i="23"/>
  <c r="A2496" i="23"/>
  <c r="A2495" i="23"/>
  <c r="A2494" i="23"/>
  <c r="A2493" i="23"/>
  <c r="A2492" i="23"/>
  <c r="A2491" i="23"/>
  <c r="A2490" i="23"/>
  <c r="A2489" i="23"/>
  <c r="A2488" i="23"/>
  <c r="A2487" i="23"/>
  <c r="A2486" i="23"/>
  <c r="A2485" i="23"/>
  <c r="A2484" i="23"/>
  <c r="A2483" i="23"/>
  <c r="A2482" i="23"/>
  <c r="A2481" i="23"/>
  <c r="A2480" i="23"/>
  <c r="A2479" i="23"/>
  <c r="A2478" i="23"/>
  <c r="A2477" i="23"/>
  <c r="A2476" i="23"/>
  <c r="A2475" i="23"/>
  <c r="A2474" i="23"/>
  <c r="A2473" i="23"/>
  <c r="A2472" i="23"/>
  <c r="A2471" i="23"/>
  <c r="A2470" i="23"/>
  <c r="A2469" i="23"/>
  <c r="A2468" i="23"/>
  <c r="A2467" i="23"/>
  <c r="A2466" i="23"/>
  <c r="A2465" i="23"/>
  <c r="A2464" i="23"/>
  <c r="A2463" i="23"/>
  <c r="A2462" i="23"/>
  <c r="A2461" i="23"/>
  <c r="A2460" i="23"/>
  <c r="A2459" i="23"/>
  <c r="A2458" i="23"/>
  <c r="A2457" i="23"/>
  <c r="A2456" i="23"/>
  <c r="A2455" i="23"/>
  <c r="A2454" i="23"/>
  <c r="A2453" i="23"/>
  <c r="A2452" i="23"/>
  <c r="A2451" i="23"/>
  <c r="A2450" i="23"/>
  <c r="A2449" i="23"/>
  <c r="A2448" i="23"/>
  <c r="A2447" i="23"/>
  <c r="A2446" i="23"/>
  <c r="A2445" i="23"/>
  <c r="A2444" i="23"/>
  <c r="A2443" i="23"/>
  <c r="A2442" i="23"/>
  <c r="A2441" i="23"/>
  <c r="A2440" i="23"/>
  <c r="A2439" i="23"/>
  <c r="A2438" i="23"/>
  <c r="A2437" i="23"/>
  <c r="A2436" i="23"/>
  <c r="A2435" i="23"/>
  <c r="A2434" i="23"/>
  <c r="A2433" i="23"/>
  <c r="A2432" i="23"/>
  <c r="A2431" i="23"/>
  <c r="A2430" i="23"/>
  <c r="A2429" i="23"/>
  <c r="A2428" i="23"/>
  <c r="A2427" i="23"/>
  <c r="A2426" i="23"/>
  <c r="A2425" i="23"/>
  <c r="A2424" i="23"/>
  <c r="A2423" i="23"/>
  <c r="A2422" i="23"/>
  <c r="A2421" i="23"/>
  <c r="A2420" i="23"/>
  <c r="A2419" i="23"/>
  <c r="A2418" i="23"/>
  <c r="A2417" i="23"/>
  <c r="A2416" i="23"/>
  <c r="A2415" i="23"/>
  <c r="A2414" i="23"/>
  <c r="A2413" i="23"/>
  <c r="A2412" i="23"/>
  <c r="A2411" i="23"/>
  <c r="A2410" i="23"/>
  <c r="A2409" i="23"/>
  <c r="A2408" i="23"/>
  <c r="A2407" i="23"/>
  <c r="A2406" i="23"/>
  <c r="A2405" i="23"/>
  <c r="A2404" i="23"/>
  <c r="A2403" i="23"/>
  <c r="A2402" i="23"/>
  <c r="A2401" i="23"/>
  <c r="A2400" i="23"/>
  <c r="A2399" i="23"/>
  <c r="A2398" i="23"/>
  <c r="A2397" i="23"/>
  <c r="A2396" i="23"/>
  <c r="A2395" i="23"/>
  <c r="A2394" i="23"/>
  <c r="A2393" i="23"/>
  <c r="A2392" i="23"/>
  <c r="A2391" i="23"/>
  <c r="A2390" i="23"/>
  <c r="A2389" i="23"/>
  <c r="A2388" i="23"/>
  <c r="A2387" i="23"/>
  <c r="A2386" i="23"/>
  <c r="A2385" i="23"/>
  <c r="A2384" i="23"/>
  <c r="A2383" i="23"/>
  <c r="A2382" i="23"/>
  <c r="A2381" i="23"/>
  <c r="A2380" i="23"/>
  <c r="A2379" i="23"/>
  <c r="A2378" i="23"/>
  <c r="A2377" i="23"/>
  <c r="A2376" i="23"/>
  <c r="A2375" i="23"/>
  <c r="A2374" i="23"/>
  <c r="A2373" i="23"/>
  <c r="A2372" i="23"/>
  <c r="A2371" i="23"/>
  <c r="A2370" i="23"/>
  <c r="A2369" i="23"/>
  <c r="A2368" i="23"/>
  <c r="A2367" i="23"/>
  <c r="A2366" i="23"/>
  <c r="A2365" i="23"/>
  <c r="A2364" i="23"/>
  <c r="A2363" i="23"/>
  <c r="A2362" i="23"/>
  <c r="A2361" i="23"/>
  <c r="A2360" i="23"/>
  <c r="A2359" i="23"/>
  <c r="A2358" i="23"/>
  <c r="A2357" i="23"/>
  <c r="A2356" i="23"/>
  <c r="A2355" i="23"/>
  <c r="A2354" i="23"/>
  <c r="A2353" i="23"/>
  <c r="A2352" i="23"/>
  <c r="A2351" i="23"/>
  <c r="A2350" i="23"/>
  <c r="A2349" i="23"/>
  <c r="A2348" i="23"/>
  <c r="A2347" i="23"/>
  <c r="A2346" i="23"/>
  <c r="A2345" i="23"/>
  <c r="A2344" i="23"/>
  <c r="A2343" i="23"/>
  <c r="A2342" i="23"/>
  <c r="A2341" i="23"/>
  <c r="A2340" i="23"/>
  <c r="A2339" i="23"/>
  <c r="A2338" i="23"/>
  <c r="A2337" i="23"/>
  <c r="A2336" i="23"/>
  <c r="A2335" i="23"/>
  <c r="A2334" i="23"/>
  <c r="A2333" i="23"/>
  <c r="A2332" i="23"/>
  <c r="A2331" i="23"/>
  <c r="A2330" i="23"/>
  <c r="A2329" i="23"/>
  <c r="A2328" i="23"/>
  <c r="A2327" i="23"/>
  <c r="A2326" i="23"/>
  <c r="A2325" i="23"/>
  <c r="A2324" i="23"/>
  <c r="A2323" i="23"/>
  <c r="A2322" i="23"/>
  <c r="A2321" i="23"/>
  <c r="A2320" i="23"/>
  <c r="A2319" i="23"/>
  <c r="A2318" i="23"/>
  <c r="A2317" i="23"/>
  <c r="A2316" i="23"/>
  <c r="A2315" i="23"/>
  <c r="A2314" i="23"/>
  <c r="A2313" i="23"/>
  <c r="A2312" i="23"/>
  <c r="A2311" i="23"/>
  <c r="A2310" i="23"/>
  <c r="A2309" i="23"/>
  <c r="A2308" i="23"/>
  <c r="A2307" i="23"/>
  <c r="A2306" i="23"/>
  <c r="A2305" i="23"/>
  <c r="A2304" i="23"/>
  <c r="A2303" i="23"/>
  <c r="A2302" i="23"/>
  <c r="A2301" i="23"/>
  <c r="A2300" i="23"/>
  <c r="A2299" i="23"/>
  <c r="A2298" i="23"/>
  <c r="A2297" i="23"/>
  <c r="A2296" i="23"/>
  <c r="A2295" i="23"/>
  <c r="A2294" i="23"/>
  <c r="A2293" i="23"/>
  <c r="A2292" i="23"/>
  <c r="A2291" i="23"/>
  <c r="A2290" i="23"/>
  <c r="A2289" i="23"/>
  <c r="A2288" i="23"/>
  <c r="A2287" i="23"/>
  <c r="A2286" i="23"/>
  <c r="A2285" i="23"/>
  <c r="A2284" i="23"/>
  <c r="A2283" i="23"/>
  <c r="A2282" i="23"/>
  <c r="A2281" i="23"/>
  <c r="A2280" i="23"/>
  <c r="A2279" i="23"/>
  <c r="A2278" i="23"/>
  <c r="A2277" i="23"/>
  <c r="A2276" i="23"/>
  <c r="A2275" i="23"/>
  <c r="A2274" i="23"/>
  <c r="A2273" i="23"/>
  <c r="A2272" i="23"/>
  <c r="A2271" i="23"/>
  <c r="A2270" i="23"/>
  <c r="A2269" i="23"/>
  <c r="A2268" i="23"/>
  <c r="A2267" i="23"/>
  <c r="A2266" i="23"/>
  <c r="A2265" i="23"/>
  <c r="A2264" i="23"/>
  <c r="A2263" i="23"/>
  <c r="A2262" i="23"/>
  <c r="A2261" i="23"/>
  <c r="A2260" i="23"/>
  <c r="A2259" i="23"/>
  <c r="A2258" i="23"/>
  <c r="A2257" i="23"/>
  <c r="A2256" i="23"/>
  <c r="A2255" i="23"/>
  <c r="A2254" i="23"/>
  <c r="A2253" i="23"/>
  <c r="A2252" i="23"/>
  <c r="A2251" i="23"/>
  <c r="A2250" i="23"/>
  <c r="A2249" i="23"/>
  <c r="A2248" i="23"/>
  <c r="A2247" i="23"/>
  <c r="A2246" i="23"/>
  <c r="A2245" i="23"/>
  <c r="A2244" i="23"/>
  <c r="A2243" i="23"/>
  <c r="A2242" i="23"/>
  <c r="A2241" i="23"/>
  <c r="A2240" i="23"/>
  <c r="A2239" i="23"/>
  <c r="A2238" i="23"/>
  <c r="A2237" i="23"/>
  <c r="A2236" i="23"/>
  <c r="A2235" i="23"/>
  <c r="A2234" i="23"/>
  <c r="A2233" i="23"/>
  <c r="A2232" i="23"/>
  <c r="A2231" i="23"/>
  <c r="A2230" i="23"/>
  <c r="A2229" i="23"/>
  <c r="A2228" i="23"/>
  <c r="A2227" i="23"/>
  <c r="A2226" i="23"/>
  <c r="A2225" i="23"/>
  <c r="A2224" i="23"/>
  <c r="A2223" i="23"/>
  <c r="A2222" i="23"/>
  <c r="A2221" i="23"/>
  <c r="A2220" i="23"/>
  <c r="A2219" i="23"/>
  <c r="A2218" i="23"/>
  <c r="A2217" i="23"/>
  <c r="A2216" i="23"/>
  <c r="A2215" i="23"/>
  <c r="A2214" i="23"/>
  <c r="A2213" i="23"/>
  <c r="A2212" i="23"/>
  <c r="A2211" i="23"/>
  <c r="A2210" i="23"/>
  <c r="A2209" i="23"/>
  <c r="A2208" i="23"/>
  <c r="A2207" i="23"/>
  <c r="A2206" i="23"/>
  <c r="A2205" i="23"/>
  <c r="A2204" i="23"/>
  <c r="A2203" i="23"/>
  <c r="A2202" i="23"/>
  <c r="A2201" i="23"/>
  <c r="A2200" i="23"/>
  <c r="A2199" i="23"/>
  <c r="A2198" i="23"/>
  <c r="A2197" i="23"/>
  <c r="A2196" i="23"/>
  <c r="A2195" i="23"/>
  <c r="A2194" i="23"/>
  <c r="A2193" i="23"/>
  <c r="A2192" i="23"/>
  <c r="A2191" i="23"/>
  <c r="A2190" i="23"/>
  <c r="A2189" i="23"/>
  <c r="A2188" i="23"/>
  <c r="A2187" i="23"/>
  <c r="A2186" i="23"/>
  <c r="A2185" i="23"/>
  <c r="A2184" i="23"/>
  <c r="A2183" i="23"/>
  <c r="A2182" i="23"/>
  <c r="A2181" i="23"/>
  <c r="A2180" i="23"/>
  <c r="A2179" i="23"/>
  <c r="A2178" i="23"/>
  <c r="A2177" i="23"/>
  <c r="A2176" i="23"/>
  <c r="A2175" i="23"/>
  <c r="A2174" i="23"/>
  <c r="A2173" i="23"/>
  <c r="A2172" i="23"/>
  <c r="A2171" i="23"/>
  <c r="A2170" i="23"/>
  <c r="A2169" i="23"/>
  <c r="A2168" i="23"/>
  <c r="A2167" i="23"/>
  <c r="A2166" i="23"/>
  <c r="A2165" i="23"/>
  <c r="A2164" i="23"/>
  <c r="A2163" i="23"/>
  <c r="A2162" i="23"/>
  <c r="A2161" i="23"/>
  <c r="A2160" i="23"/>
  <c r="A2159" i="23"/>
  <c r="A2158" i="23"/>
  <c r="A2157" i="23"/>
  <c r="A2156" i="23"/>
  <c r="A2155" i="23"/>
  <c r="A2154" i="23"/>
  <c r="A2153" i="23"/>
  <c r="A2152" i="23"/>
  <c r="A2151" i="23"/>
  <c r="A2150" i="23"/>
  <c r="A2149" i="23"/>
  <c r="A2148" i="23"/>
  <c r="A2147" i="23"/>
  <c r="A2146" i="23"/>
  <c r="A2145" i="23"/>
  <c r="A2144" i="23"/>
  <c r="A2143" i="23"/>
  <c r="A2142" i="23"/>
  <c r="A2141" i="23"/>
  <c r="A2140" i="23"/>
  <c r="A2139" i="23"/>
  <c r="A2138" i="23"/>
  <c r="A2137" i="23"/>
  <c r="A2136" i="23"/>
  <c r="A2135" i="23"/>
  <c r="A2134" i="23"/>
  <c r="A2133" i="23"/>
  <c r="A2132" i="23"/>
  <c r="A2131" i="23"/>
  <c r="A2130" i="23"/>
  <c r="A2129" i="23"/>
  <c r="A2128" i="23"/>
  <c r="A2127" i="23"/>
  <c r="A2126" i="23"/>
  <c r="A2125" i="23"/>
  <c r="A2124" i="23"/>
  <c r="A2123" i="23"/>
  <c r="A2122" i="23"/>
  <c r="A2121" i="23"/>
  <c r="A2120" i="23"/>
  <c r="A2119" i="23"/>
  <c r="A2118" i="23"/>
  <c r="A2117" i="23"/>
  <c r="A2116" i="23"/>
  <c r="A2115" i="23"/>
  <c r="A2114" i="23"/>
  <c r="A2113" i="23"/>
  <c r="A2112" i="23"/>
  <c r="A2111" i="23"/>
  <c r="A2110" i="23"/>
  <c r="A2109" i="23"/>
  <c r="A2108" i="23"/>
  <c r="A2107" i="23"/>
  <c r="A2106" i="23"/>
  <c r="A2105" i="23"/>
  <c r="A2104" i="23"/>
  <c r="A2103" i="23"/>
  <c r="A2102" i="23"/>
  <c r="A2101" i="23"/>
  <c r="A2100" i="23"/>
  <c r="A2099" i="23"/>
  <c r="A2098" i="23"/>
  <c r="A2097" i="23"/>
  <c r="A2096" i="23"/>
  <c r="A2095" i="23"/>
  <c r="A2094" i="23"/>
  <c r="A2093" i="23"/>
  <c r="A2092" i="23"/>
  <c r="A2091" i="23"/>
  <c r="A2090" i="23"/>
  <c r="A2089" i="23"/>
  <c r="A2088" i="23"/>
  <c r="A2087" i="23"/>
  <c r="A2086" i="23"/>
  <c r="A2085" i="23"/>
  <c r="A2084" i="23"/>
  <c r="A2083" i="23"/>
  <c r="A2082" i="23"/>
  <c r="A2081" i="23"/>
  <c r="A2080" i="23"/>
  <c r="A2079" i="23"/>
  <c r="A2078" i="23"/>
  <c r="A2077" i="23"/>
  <c r="A2076" i="23"/>
  <c r="A2075" i="23"/>
  <c r="A2074" i="23"/>
  <c r="A2073" i="23"/>
  <c r="A2072" i="23"/>
  <c r="A2071" i="23"/>
  <c r="A2070" i="23"/>
  <c r="A2069" i="23"/>
  <c r="A2068" i="23"/>
  <c r="A2067" i="23"/>
  <c r="A2066" i="23"/>
  <c r="A2065" i="23"/>
  <c r="A2064" i="23"/>
  <c r="A2063" i="23"/>
  <c r="A2062" i="23"/>
  <c r="A2061" i="23"/>
  <c r="A2060" i="23"/>
  <c r="A2059" i="23"/>
  <c r="A2058" i="23"/>
  <c r="A2057" i="23"/>
  <c r="A2056" i="23"/>
  <c r="A2055" i="23"/>
  <c r="A2054" i="23"/>
  <c r="A2053" i="23"/>
  <c r="A2052" i="23"/>
  <c r="A2051" i="23"/>
  <c r="A2050" i="23"/>
  <c r="A2049" i="23"/>
  <c r="A2048" i="23"/>
  <c r="A2047" i="23"/>
  <c r="A2046" i="23"/>
  <c r="A2045" i="23"/>
  <c r="A2044" i="23"/>
  <c r="A2043" i="23"/>
  <c r="A2042" i="23"/>
  <c r="A2041" i="23"/>
  <c r="A2040" i="23"/>
  <c r="A2039" i="23"/>
  <c r="A2038" i="23"/>
  <c r="A2037" i="23"/>
  <c r="A2036" i="23"/>
  <c r="A2035" i="23"/>
  <c r="A2034" i="23"/>
  <c r="A2033" i="23"/>
  <c r="A2032" i="23"/>
  <c r="A2031" i="23"/>
  <c r="A2030" i="23"/>
  <c r="A2029" i="23"/>
  <c r="A2028" i="23"/>
  <c r="A2027" i="23"/>
  <c r="A2026" i="23"/>
  <c r="A2025" i="23"/>
  <c r="A2024" i="23"/>
  <c r="A2023" i="23"/>
  <c r="A2022" i="23"/>
  <c r="A2021" i="23"/>
  <c r="A2020" i="23"/>
  <c r="A2019" i="23"/>
  <c r="A2018" i="23"/>
  <c r="A2017" i="23"/>
  <c r="A2016" i="23"/>
  <c r="A2015" i="23"/>
  <c r="A2014" i="23"/>
  <c r="A2013" i="23"/>
  <c r="A2012" i="23"/>
  <c r="A2011" i="23"/>
  <c r="A2010" i="23"/>
  <c r="A2009" i="23"/>
  <c r="A2008" i="23"/>
  <c r="A2007" i="23"/>
  <c r="A2006" i="23"/>
  <c r="A2005" i="23"/>
  <c r="A2004" i="23"/>
  <c r="A2003" i="23"/>
  <c r="A2002" i="23"/>
  <c r="A2001" i="23"/>
  <c r="A2000" i="23"/>
  <c r="A1999" i="23"/>
  <c r="A1998" i="23"/>
  <c r="A1997" i="23"/>
  <c r="A1996" i="23"/>
  <c r="A1995" i="23"/>
  <c r="A1994" i="23"/>
  <c r="A1993" i="23"/>
  <c r="A1992" i="23"/>
  <c r="A1991" i="23"/>
  <c r="A1990" i="23"/>
  <c r="A1989" i="23"/>
  <c r="A1988" i="23"/>
  <c r="A1987" i="23"/>
  <c r="A1986" i="23"/>
  <c r="A1985" i="23"/>
  <c r="A1984" i="23"/>
  <c r="A1983" i="23"/>
  <c r="A1982" i="23"/>
  <c r="A1981" i="23"/>
  <c r="A1980" i="23"/>
  <c r="A1979" i="23"/>
  <c r="A1978" i="23"/>
  <c r="A1977" i="23"/>
  <c r="A1976" i="23"/>
  <c r="A1975" i="23"/>
  <c r="A1974" i="23"/>
  <c r="A1973" i="23"/>
  <c r="A1972" i="23"/>
  <c r="A1971" i="23"/>
  <c r="A1970" i="23"/>
  <c r="A1969" i="23"/>
  <c r="A1968" i="23"/>
  <c r="A1967" i="23"/>
  <c r="A1966" i="23"/>
  <c r="A1965" i="23"/>
  <c r="A1964" i="23"/>
  <c r="A1963" i="23"/>
  <c r="A1962" i="23"/>
  <c r="A1961" i="23"/>
  <c r="A1960" i="23"/>
  <c r="A1959" i="23"/>
  <c r="A1958" i="23"/>
  <c r="A1957" i="23"/>
  <c r="A1956" i="23"/>
  <c r="A1955" i="23"/>
  <c r="A1954" i="23"/>
  <c r="A1953" i="23"/>
  <c r="A1952" i="23"/>
  <c r="A1951" i="23"/>
  <c r="A1950" i="23"/>
  <c r="A1949" i="23"/>
  <c r="A1948" i="23"/>
  <c r="A1947" i="23"/>
  <c r="A1946" i="23"/>
  <c r="A1945" i="23"/>
  <c r="A1944" i="23"/>
  <c r="A1943" i="23"/>
  <c r="A1942" i="23"/>
  <c r="A1941" i="23"/>
  <c r="A1940" i="23"/>
  <c r="A1939" i="23"/>
  <c r="A1938" i="23"/>
  <c r="A1937" i="23"/>
  <c r="A1936" i="23"/>
  <c r="A1935" i="23"/>
  <c r="A1934" i="23"/>
  <c r="A1933" i="23"/>
  <c r="A1932" i="23"/>
  <c r="A1931" i="23"/>
  <c r="A1930" i="23"/>
  <c r="A1929" i="23"/>
  <c r="A1928" i="23"/>
  <c r="A1927" i="23"/>
  <c r="A1926" i="23"/>
  <c r="A1925" i="23"/>
  <c r="A1924" i="23"/>
  <c r="A1923" i="23"/>
  <c r="A1922" i="23"/>
  <c r="A1921" i="23"/>
  <c r="A1920" i="23"/>
  <c r="A1919" i="23"/>
  <c r="A1918" i="23"/>
  <c r="A1917" i="23"/>
  <c r="A1916" i="23"/>
  <c r="A1915" i="23"/>
  <c r="A1914" i="23"/>
  <c r="A1913" i="23"/>
  <c r="A1912" i="23"/>
  <c r="A1911" i="23"/>
  <c r="A1910" i="23"/>
  <c r="A1909" i="23"/>
  <c r="A1908" i="23"/>
  <c r="A1907" i="23"/>
  <c r="A1906" i="23"/>
  <c r="A1905" i="23"/>
  <c r="A1904" i="23"/>
  <c r="A1903" i="23"/>
  <c r="A1902" i="23"/>
  <c r="A1901" i="23"/>
  <c r="A1900" i="23"/>
  <c r="A1899" i="23"/>
  <c r="A1898" i="23"/>
  <c r="A1897" i="23"/>
  <c r="A1896" i="23"/>
  <c r="A1895" i="23"/>
  <c r="A1894" i="23"/>
  <c r="A1893" i="23"/>
  <c r="A1892" i="23"/>
  <c r="A1891" i="23"/>
  <c r="A1890" i="23"/>
  <c r="A1889" i="23"/>
  <c r="A1888" i="23"/>
  <c r="A1887" i="23"/>
  <c r="A1886" i="23"/>
  <c r="A1885" i="23"/>
  <c r="A1884" i="23"/>
  <c r="A1883" i="23"/>
  <c r="A1882" i="23"/>
  <c r="A1881" i="23"/>
  <c r="A1880" i="23"/>
  <c r="A1879" i="23"/>
  <c r="A1878" i="23"/>
  <c r="A1877" i="23"/>
  <c r="A1876" i="23"/>
  <c r="A1875" i="23"/>
  <c r="A1874" i="23"/>
  <c r="A1873" i="23"/>
  <c r="A1872" i="23"/>
  <c r="A1871" i="23"/>
  <c r="A1870" i="23"/>
  <c r="A1869" i="23"/>
  <c r="A1868" i="23"/>
  <c r="A1867" i="23"/>
  <c r="A1866" i="23"/>
  <c r="A1865" i="23"/>
  <c r="A1864" i="23"/>
  <c r="A1863" i="23"/>
  <c r="A1862" i="23"/>
  <c r="A1861" i="23"/>
  <c r="A1860" i="23"/>
  <c r="A1859" i="23"/>
  <c r="A1858" i="23"/>
  <c r="A1857" i="23"/>
  <c r="A1856" i="23"/>
  <c r="A1855" i="23"/>
  <c r="A1854" i="23"/>
  <c r="A1853" i="23"/>
  <c r="A1852" i="23"/>
  <c r="A1851" i="23"/>
  <c r="A1850" i="23"/>
  <c r="A1849" i="23"/>
  <c r="A1848" i="23"/>
  <c r="A1847" i="23"/>
  <c r="A1846" i="23"/>
  <c r="A1845" i="23"/>
  <c r="A1844" i="23"/>
  <c r="A1843" i="23"/>
  <c r="A1842" i="23"/>
  <c r="A1841" i="23"/>
  <c r="A1840" i="23"/>
  <c r="A1839" i="23"/>
  <c r="A1838" i="23"/>
  <c r="A1837" i="23"/>
  <c r="A1836" i="23"/>
  <c r="A1835" i="23"/>
  <c r="A1834" i="23"/>
  <c r="A1833" i="23"/>
  <c r="A1832" i="23"/>
  <c r="A1831" i="23"/>
  <c r="A1830" i="23"/>
  <c r="A1829" i="23"/>
  <c r="A1828" i="23"/>
  <c r="A1827" i="23"/>
  <c r="A1826" i="23"/>
  <c r="A1825" i="23"/>
  <c r="A1824" i="23"/>
  <c r="A1823" i="23"/>
  <c r="A1822" i="23"/>
  <c r="A1821" i="23"/>
  <c r="A1820" i="23"/>
  <c r="A1819" i="23"/>
  <c r="A1818" i="23"/>
  <c r="A1817" i="23"/>
  <c r="A1816" i="23"/>
  <c r="A1815" i="23"/>
  <c r="A1814" i="23"/>
  <c r="A1813" i="23"/>
  <c r="A1812" i="23"/>
  <c r="A1811" i="23"/>
  <c r="A1810" i="23"/>
  <c r="A1809" i="23"/>
  <c r="A1808" i="23"/>
  <c r="A1807" i="23"/>
  <c r="A1806" i="23"/>
  <c r="A1805" i="23"/>
  <c r="A1804" i="23"/>
  <c r="A1803" i="23"/>
  <c r="A1802" i="23"/>
  <c r="A1801" i="23"/>
  <c r="A1800" i="23"/>
  <c r="A1799" i="23"/>
  <c r="A1798" i="23"/>
  <c r="A1797" i="23"/>
  <c r="A1796" i="23"/>
  <c r="A1795" i="23"/>
  <c r="A1794" i="23"/>
  <c r="A1793" i="23"/>
  <c r="A1792" i="23"/>
  <c r="A1791" i="23"/>
  <c r="A1790" i="23"/>
  <c r="A1789" i="23"/>
  <c r="A1788" i="23"/>
  <c r="A1787" i="23"/>
  <c r="A1786" i="23"/>
  <c r="A1785" i="23"/>
  <c r="A1784" i="23"/>
  <c r="A1783" i="23"/>
  <c r="A1782" i="23"/>
  <c r="A1781" i="23"/>
  <c r="A1780" i="23"/>
  <c r="A1779" i="23"/>
  <c r="A1778" i="23"/>
  <c r="A1777" i="23"/>
  <c r="A1776" i="23"/>
  <c r="A1775" i="23"/>
  <c r="A1774" i="23"/>
  <c r="A1773" i="23"/>
  <c r="A1772" i="23"/>
  <c r="A1771" i="23"/>
  <c r="A1770" i="23"/>
  <c r="A1769" i="23"/>
  <c r="A1768" i="23"/>
  <c r="A1767" i="23"/>
  <c r="A1766" i="23"/>
  <c r="A1765" i="23"/>
  <c r="A1764" i="23"/>
  <c r="A1763" i="23"/>
  <c r="A1762" i="23"/>
  <c r="A1761" i="23"/>
  <c r="A1760" i="23"/>
  <c r="A1759" i="23"/>
  <c r="A1758" i="23"/>
  <c r="A1757" i="23"/>
  <c r="A1756" i="23"/>
  <c r="A1755" i="23"/>
  <c r="A1754" i="23"/>
  <c r="A1753" i="23"/>
  <c r="A1752" i="23"/>
  <c r="A1751" i="23"/>
  <c r="A1750" i="23"/>
  <c r="A1749" i="23"/>
  <c r="A1748" i="23"/>
  <c r="A1747" i="23"/>
  <c r="A1746" i="23"/>
  <c r="A1745" i="23"/>
  <c r="A1744" i="23"/>
  <c r="A1743" i="23"/>
  <c r="A1742" i="23"/>
  <c r="A1741" i="23"/>
  <c r="A1740" i="23"/>
  <c r="A1739" i="23"/>
  <c r="A1738" i="23"/>
  <c r="A1737" i="23"/>
  <c r="A1736" i="23"/>
  <c r="A1735" i="23"/>
  <c r="A1734" i="23"/>
  <c r="A1733" i="23"/>
  <c r="A1732" i="23"/>
  <c r="A1731" i="23"/>
  <c r="A1730" i="23"/>
  <c r="A1729" i="23"/>
  <c r="A1728" i="23"/>
  <c r="A1727" i="23"/>
  <c r="A1726" i="23"/>
  <c r="A1725" i="23"/>
  <c r="A1724" i="23"/>
  <c r="A1723" i="23"/>
  <c r="A1722" i="23"/>
  <c r="A1721" i="23"/>
  <c r="A1720" i="23"/>
  <c r="A1719" i="23"/>
  <c r="A1718" i="23"/>
  <c r="A1717" i="23"/>
  <c r="A1716" i="23"/>
  <c r="A1715" i="23"/>
  <c r="A1714" i="23"/>
  <c r="A1713" i="23"/>
  <c r="A1712" i="23"/>
  <c r="A1711" i="23"/>
  <c r="A1710" i="23"/>
  <c r="A1709" i="23"/>
  <c r="A1708" i="23"/>
  <c r="A1707" i="23"/>
  <c r="A1706" i="23"/>
  <c r="A1705" i="23"/>
  <c r="A1704" i="23"/>
  <c r="A1703" i="23"/>
  <c r="A1702" i="23"/>
  <c r="A1701" i="23"/>
  <c r="A1700" i="23"/>
  <c r="A1699" i="23"/>
  <c r="A1698" i="23"/>
  <c r="A1697" i="23"/>
  <c r="A1696" i="23"/>
  <c r="A1695" i="23"/>
  <c r="A1694" i="23"/>
  <c r="A1693" i="23"/>
  <c r="A1692" i="23"/>
  <c r="A1691" i="23"/>
  <c r="A1690" i="23"/>
  <c r="A1689" i="23"/>
  <c r="A1688" i="23"/>
  <c r="A1687" i="23"/>
  <c r="A1686" i="23"/>
  <c r="A1685" i="23"/>
  <c r="A1684" i="23"/>
  <c r="A1683" i="23"/>
  <c r="A1682" i="23"/>
  <c r="A1681" i="23"/>
  <c r="A1680" i="23"/>
  <c r="A1679" i="23"/>
  <c r="A1678" i="23"/>
  <c r="A1677" i="23"/>
  <c r="A1676" i="23"/>
  <c r="A1675" i="23"/>
  <c r="A1674" i="23"/>
  <c r="A1673" i="23"/>
  <c r="A1672" i="23"/>
  <c r="A1671" i="23"/>
  <c r="A1670" i="23"/>
  <c r="A1669" i="23"/>
  <c r="A1668" i="23"/>
  <c r="A1667" i="23"/>
  <c r="A1666" i="23"/>
  <c r="A1665" i="23"/>
  <c r="A1664" i="23"/>
  <c r="A1663" i="23"/>
  <c r="A1662" i="23"/>
  <c r="A1661" i="23"/>
  <c r="A1660" i="23"/>
  <c r="A1659" i="23"/>
  <c r="A1658" i="23"/>
  <c r="A1657" i="23"/>
  <c r="A1656" i="23"/>
  <c r="A1655" i="23"/>
  <c r="A1654" i="23"/>
  <c r="A1653" i="23"/>
  <c r="A1652" i="23"/>
  <c r="A1651" i="23"/>
  <c r="A1650" i="23"/>
  <c r="A1649" i="23"/>
  <c r="A1648" i="23"/>
  <c r="A1647" i="23"/>
  <c r="A1646" i="23"/>
  <c r="A1645" i="23"/>
  <c r="A1644" i="23"/>
  <c r="A1643" i="23"/>
  <c r="A1642" i="23"/>
  <c r="A1641" i="23"/>
  <c r="A1640" i="23"/>
  <c r="A1639" i="23"/>
  <c r="A1638" i="23"/>
  <c r="A1637" i="23"/>
  <c r="A1636" i="23"/>
  <c r="A1635" i="23"/>
  <c r="A1634" i="23"/>
  <c r="A1633" i="23"/>
  <c r="A1632" i="23"/>
  <c r="A1631" i="23"/>
  <c r="A1630" i="23"/>
  <c r="A1629" i="23"/>
  <c r="A1628" i="23"/>
  <c r="A1627" i="23"/>
  <c r="A1626" i="23"/>
  <c r="A1625" i="23"/>
  <c r="A1624" i="23"/>
  <c r="A1623" i="23"/>
  <c r="A1622" i="23"/>
  <c r="A1621" i="23"/>
  <c r="A1620" i="23"/>
  <c r="A1619" i="23"/>
  <c r="A1618" i="23"/>
  <c r="A1617" i="23"/>
  <c r="A1616" i="23"/>
  <c r="A1615" i="23"/>
  <c r="A1614" i="23"/>
  <c r="A1613" i="23"/>
  <c r="A1612" i="23"/>
  <c r="A1611" i="23"/>
  <c r="A1610" i="23"/>
  <c r="A1609" i="23"/>
  <c r="A1608" i="23"/>
  <c r="A1607" i="23"/>
  <c r="A1606" i="23"/>
  <c r="A1605" i="23"/>
  <c r="A1604" i="23"/>
  <c r="A1603" i="23"/>
  <c r="A1602" i="23"/>
  <c r="A1601" i="23"/>
  <c r="A1600" i="23"/>
  <c r="A1599" i="23"/>
  <c r="A1598" i="23"/>
  <c r="A1597" i="23"/>
  <c r="A1596" i="23"/>
  <c r="A1595" i="23"/>
  <c r="A1594" i="23"/>
  <c r="A1593" i="23"/>
  <c r="A1592" i="23"/>
  <c r="A1591" i="23"/>
  <c r="A1590" i="23"/>
  <c r="A1589" i="23"/>
  <c r="A1588" i="23"/>
  <c r="A1587" i="23"/>
  <c r="A1586" i="23"/>
  <c r="A1585" i="23"/>
  <c r="A1584" i="23"/>
  <c r="A1583" i="23"/>
  <c r="A1582" i="23"/>
  <c r="A1581" i="23"/>
  <c r="A1580" i="23"/>
  <c r="A1579" i="23"/>
  <c r="A1578" i="23"/>
  <c r="A1577" i="23"/>
  <c r="A1576" i="23"/>
  <c r="A1575" i="23"/>
  <c r="A1574" i="23"/>
  <c r="A1573" i="23"/>
  <c r="A1572" i="23"/>
  <c r="A1571" i="23"/>
  <c r="A1570" i="23"/>
  <c r="A1569" i="23"/>
  <c r="A1568" i="23"/>
  <c r="A1567" i="23"/>
  <c r="A1566" i="23"/>
  <c r="A1565" i="23"/>
  <c r="A1564" i="23"/>
  <c r="A1563" i="23"/>
  <c r="A1562" i="23"/>
  <c r="A1561" i="23"/>
  <c r="A1560" i="23"/>
  <c r="A1559" i="23"/>
  <c r="A1558" i="23"/>
  <c r="A1557" i="23"/>
  <c r="A1556" i="23"/>
  <c r="A1555" i="23"/>
  <c r="A1554" i="23"/>
  <c r="A1553" i="23"/>
  <c r="A1552" i="23"/>
  <c r="A1551" i="23"/>
  <c r="A1550" i="23"/>
  <c r="A1549" i="23"/>
  <c r="A1548" i="23"/>
  <c r="A1547" i="23"/>
  <c r="A1546" i="23"/>
  <c r="A1545" i="23"/>
  <c r="A1544" i="23"/>
  <c r="A1543" i="23"/>
  <c r="A1542" i="23"/>
  <c r="A1541" i="23"/>
  <c r="A1540" i="23"/>
  <c r="A1539" i="23"/>
  <c r="A1538" i="23"/>
  <c r="A1537" i="23"/>
  <c r="A1536" i="23"/>
  <c r="A1535" i="23"/>
  <c r="A1534" i="23"/>
  <c r="A1533" i="23"/>
  <c r="A1532" i="23"/>
  <c r="A1531" i="23"/>
  <c r="A1530" i="23"/>
  <c r="A1529" i="23"/>
  <c r="A1528" i="23"/>
  <c r="A1527" i="23"/>
  <c r="A1526" i="23"/>
  <c r="A1525" i="23"/>
  <c r="A1524" i="23"/>
  <c r="A1523" i="23"/>
  <c r="A1522" i="23"/>
  <c r="A1521" i="23"/>
  <c r="A1520" i="23"/>
  <c r="A1519" i="23"/>
  <c r="A1518" i="23"/>
  <c r="A1517" i="23"/>
  <c r="A1516" i="23"/>
  <c r="A1515" i="23"/>
  <c r="A1514" i="23"/>
  <c r="A1513" i="23"/>
  <c r="A1512" i="23"/>
  <c r="A1511" i="23"/>
  <c r="A1510" i="23"/>
  <c r="A1509" i="23"/>
  <c r="A1508" i="23"/>
  <c r="A1507" i="23"/>
  <c r="A1506" i="23"/>
  <c r="A1505" i="23"/>
  <c r="A1504" i="23"/>
  <c r="A1503" i="23"/>
  <c r="A1502" i="23"/>
  <c r="A1501" i="23"/>
  <c r="A1500" i="23"/>
  <c r="A1499" i="23"/>
  <c r="A1498" i="23"/>
  <c r="A1497" i="23"/>
  <c r="A1496" i="23"/>
  <c r="A1495" i="23"/>
  <c r="A1494" i="23"/>
  <c r="A1493" i="23"/>
  <c r="A1492" i="23"/>
  <c r="A1491" i="23"/>
  <c r="A1490" i="23"/>
  <c r="A1489" i="23"/>
  <c r="A1488" i="23"/>
  <c r="A1487" i="23"/>
  <c r="A1486" i="23"/>
  <c r="A1485" i="23"/>
  <c r="A1484" i="23"/>
  <c r="A1483" i="23"/>
  <c r="A1482" i="23"/>
  <c r="A1481" i="23"/>
  <c r="A1480" i="23"/>
  <c r="A1479" i="23"/>
  <c r="A1478" i="23"/>
  <c r="A1477" i="23"/>
  <c r="A1476" i="23"/>
  <c r="A1475" i="23"/>
  <c r="A1474" i="23"/>
  <c r="A1473" i="23"/>
  <c r="A1472" i="23"/>
  <c r="A1471" i="23"/>
  <c r="A1470" i="23"/>
  <c r="A1469" i="23"/>
  <c r="A1468" i="23"/>
  <c r="A1467" i="23"/>
  <c r="A1466" i="23"/>
  <c r="A1465" i="23"/>
  <c r="A1464" i="23"/>
  <c r="A1463" i="23"/>
  <c r="A1462" i="23"/>
  <c r="A1461" i="23"/>
  <c r="A1460" i="23"/>
  <c r="A1459" i="23"/>
  <c r="A1458" i="23"/>
  <c r="A1457" i="23"/>
  <c r="A1456" i="23"/>
  <c r="A1455" i="23"/>
  <c r="A1454" i="23"/>
  <c r="A1453" i="23"/>
  <c r="A1452" i="23"/>
  <c r="A1451" i="23"/>
  <c r="A1450" i="23"/>
  <c r="A1449" i="23"/>
  <c r="A1448" i="23"/>
  <c r="A1447" i="23"/>
  <c r="A1446" i="23"/>
  <c r="A1445" i="23"/>
  <c r="A1444" i="23"/>
  <c r="A1443" i="23"/>
  <c r="A1442" i="23"/>
  <c r="A1441" i="23"/>
  <c r="A1440" i="23"/>
  <c r="A1439" i="23"/>
  <c r="A1438" i="23"/>
  <c r="A1437" i="23"/>
  <c r="A1436" i="23"/>
  <c r="A1435" i="23"/>
  <c r="A1434" i="23"/>
  <c r="A1433" i="23"/>
  <c r="A1432" i="23"/>
  <c r="A1431" i="23"/>
  <c r="A1430" i="23"/>
  <c r="A1429" i="23"/>
  <c r="A1428" i="23"/>
  <c r="A1427" i="23"/>
  <c r="A1426" i="23"/>
  <c r="A1425" i="23"/>
  <c r="A1424" i="23"/>
  <c r="A1423" i="23"/>
  <c r="A1422" i="23"/>
  <c r="A1421" i="23"/>
  <c r="A1420" i="23"/>
  <c r="A1419" i="23"/>
  <c r="A1418" i="23"/>
  <c r="A1417" i="23"/>
  <c r="A1416" i="23"/>
  <c r="A1415" i="23"/>
  <c r="A1414" i="23"/>
  <c r="A1413" i="23"/>
  <c r="A1412" i="23"/>
  <c r="A1411" i="23"/>
  <c r="A1410" i="23"/>
  <c r="A1409" i="23"/>
  <c r="A1408" i="23"/>
  <c r="A1407" i="23"/>
  <c r="A1406" i="23"/>
  <c r="A1405" i="23"/>
  <c r="A1404" i="23"/>
  <c r="A1403" i="23"/>
  <c r="A1402" i="23"/>
  <c r="A1401" i="23"/>
  <c r="A1400" i="23"/>
  <c r="A1399" i="23"/>
  <c r="A1398" i="23"/>
  <c r="A1397" i="23"/>
  <c r="A1396" i="23"/>
  <c r="A1395" i="23"/>
  <c r="A1394" i="23"/>
  <c r="A1393" i="23"/>
  <c r="A1392" i="23"/>
  <c r="A1391" i="23"/>
  <c r="A1390" i="23"/>
  <c r="A1389" i="23"/>
  <c r="A1388" i="23"/>
  <c r="A1387" i="23"/>
  <c r="A1386" i="23"/>
  <c r="A1385" i="23"/>
  <c r="A1384" i="23"/>
  <c r="A1383" i="23"/>
  <c r="A1382" i="23"/>
  <c r="A1381" i="23"/>
  <c r="A1380" i="23"/>
  <c r="A1379" i="23"/>
  <c r="A1378" i="23"/>
  <c r="A1377" i="23"/>
  <c r="A1376" i="23"/>
  <c r="A1375" i="23"/>
  <c r="A1374" i="23"/>
  <c r="A1373" i="23"/>
  <c r="A1372" i="23"/>
  <c r="A1371" i="23"/>
  <c r="A1370" i="23"/>
  <c r="A1369" i="23"/>
  <c r="A1368" i="23"/>
  <c r="A1367" i="23"/>
  <c r="A1366" i="23"/>
  <c r="A1365" i="23"/>
  <c r="A1364" i="23"/>
  <c r="A1363" i="23"/>
  <c r="A1362" i="23"/>
  <c r="A1361" i="23"/>
  <c r="A1360" i="23"/>
  <c r="A1359" i="23"/>
  <c r="A1358" i="23"/>
  <c r="A1357" i="23"/>
  <c r="A1356" i="23"/>
  <c r="A1355" i="23"/>
  <c r="A1354" i="23"/>
  <c r="A1353" i="23"/>
  <c r="A1352" i="23"/>
  <c r="A1351" i="23"/>
  <c r="A1350" i="23"/>
  <c r="A1349" i="23"/>
  <c r="A1348" i="23"/>
  <c r="A1347" i="23"/>
  <c r="A1346" i="23"/>
  <c r="A1345" i="23"/>
  <c r="A1344" i="23"/>
  <c r="A1343" i="23"/>
  <c r="A1342" i="23"/>
  <c r="A1341" i="23"/>
  <c r="A1340" i="23"/>
  <c r="A1339" i="23"/>
  <c r="A1338" i="23"/>
  <c r="A1337" i="23"/>
  <c r="A1336" i="23"/>
  <c r="A1335" i="23"/>
  <c r="A1334" i="23"/>
  <c r="A1333" i="23"/>
  <c r="A1332" i="23"/>
  <c r="A1331" i="23"/>
  <c r="A1330" i="23"/>
  <c r="A1329" i="23"/>
  <c r="A1328" i="23"/>
  <c r="A1327" i="23"/>
  <c r="A1326" i="23"/>
  <c r="A1325" i="23"/>
  <c r="A1324" i="23"/>
  <c r="A1323" i="23"/>
  <c r="A1322" i="23"/>
  <c r="A1321" i="23"/>
  <c r="A1320" i="23"/>
  <c r="A1319" i="23"/>
  <c r="A1318" i="23"/>
  <c r="A1317" i="23"/>
  <c r="A1316" i="23"/>
  <c r="A1315" i="23"/>
  <c r="A1314" i="23"/>
  <c r="A1313" i="23"/>
  <c r="A1312" i="23"/>
  <c r="A1311" i="23"/>
  <c r="A1310" i="23"/>
  <c r="A1309" i="23"/>
  <c r="A1308" i="23"/>
  <c r="A1307" i="23"/>
  <c r="A1306" i="23"/>
  <c r="A1305" i="23"/>
  <c r="A1304" i="23"/>
  <c r="A1303" i="23"/>
  <c r="A1302" i="23"/>
  <c r="A1301" i="23"/>
  <c r="A1300" i="23"/>
  <c r="A1299" i="23"/>
  <c r="A1298" i="23"/>
  <c r="A1297" i="23"/>
  <c r="A1296" i="23"/>
  <c r="A1295" i="23"/>
  <c r="A1294" i="23"/>
  <c r="A1293" i="23"/>
  <c r="A1292" i="23"/>
  <c r="A1291" i="23"/>
  <c r="A1290" i="23"/>
  <c r="A1289" i="23"/>
  <c r="A1288" i="23"/>
  <c r="A1287" i="23"/>
  <c r="A1286" i="23"/>
  <c r="A1285" i="23"/>
  <c r="A1284" i="23"/>
  <c r="A1283" i="23"/>
  <c r="A1282" i="23"/>
  <c r="A1281" i="23"/>
  <c r="A1280" i="23"/>
  <c r="A1279" i="23"/>
  <c r="A1278" i="23"/>
  <c r="A1277" i="23"/>
  <c r="A1276" i="23"/>
  <c r="A1275" i="23"/>
  <c r="A1274" i="23"/>
  <c r="A1273" i="23"/>
  <c r="A1272" i="23"/>
  <c r="A1271" i="23"/>
  <c r="A1270" i="23"/>
  <c r="A1269" i="23"/>
  <c r="A1268" i="23"/>
  <c r="A1267" i="23"/>
  <c r="A1266" i="23"/>
  <c r="A1265" i="23"/>
  <c r="A1264" i="23"/>
  <c r="A1263" i="23"/>
  <c r="A1262" i="23"/>
  <c r="A1261" i="23"/>
  <c r="A1260" i="23"/>
  <c r="A1259" i="23"/>
  <c r="A1258" i="23"/>
  <c r="A1257" i="23"/>
  <c r="A1256" i="23"/>
  <c r="A1255" i="23"/>
  <c r="A1254" i="23"/>
  <c r="A1253" i="23"/>
  <c r="A1252" i="23"/>
  <c r="A1251" i="23"/>
  <c r="A1250" i="23"/>
  <c r="A1249" i="23"/>
  <c r="A1248" i="23"/>
  <c r="A1247" i="23"/>
  <c r="A1246" i="23"/>
  <c r="A1245" i="23"/>
  <c r="A1244" i="23"/>
  <c r="A1243" i="23"/>
  <c r="A1242" i="23"/>
  <c r="A1241" i="23"/>
  <c r="A1240" i="23"/>
  <c r="A1239" i="23"/>
  <c r="A1238" i="23"/>
  <c r="A1237" i="23"/>
  <c r="A1236" i="23"/>
  <c r="A1235" i="23"/>
  <c r="A1234" i="23"/>
  <c r="A1233" i="23"/>
  <c r="A1232" i="23"/>
  <c r="A1231" i="23"/>
  <c r="A1230" i="23"/>
  <c r="A1229" i="23"/>
  <c r="A1228" i="23"/>
  <c r="A1227" i="23"/>
  <c r="A1226" i="23"/>
  <c r="A1225" i="23"/>
  <c r="A1224" i="23"/>
  <c r="A1223" i="23"/>
  <c r="A1222" i="23"/>
  <c r="A1221" i="23"/>
  <c r="A1220" i="23"/>
  <c r="A1219" i="23"/>
  <c r="A1218" i="23"/>
  <c r="A1217" i="23"/>
  <c r="A1216" i="23"/>
  <c r="A1215" i="23"/>
  <c r="A1214" i="23"/>
  <c r="A1213" i="23"/>
  <c r="A1212" i="23"/>
  <c r="A1211" i="23"/>
  <c r="A1210" i="23"/>
  <c r="A1209" i="23"/>
  <c r="A1208" i="23"/>
  <c r="A1207" i="23"/>
  <c r="A1206" i="23"/>
  <c r="A1205" i="23"/>
  <c r="A1204" i="23"/>
  <c r="A1203" i="23"/>
  <c r="A1202" i="23"/>
  <c r="A1201" i="23"/>
  <c r="A1200" i="23"/>
  <c r="A1199" i="23"/>
  <c r="A1198" i="23"/>
  <c r="A1197" i="23"/>
  <c r="A1196" i="23"/>
  <c r="A1195" i="23"/>
  <c r="A1194" i="23"/>
  <c r="A1193" i="23"/>
  <c r="A1192" i="23"/>
  <c r="A1191" i="23"/>
  <c r="A1190" i="23"/>
  <c r="A1189" i="23"/>
  <c r="A1188" i="23"/>
  <c r="A1187" i="23"/>
  <c r="A1186" i="23"/>
  <c r="A1185" i="23"/>
  <c r="A1184" i="23"/>
  <c r="A1183" i="23"/>
  <c r="A1182" i="23"/>
  <c r="A1181" i="23"/>
  <c r="A1180" i="23"/>
  <c r="A1179" i="23"/>
  <c r="A1178" i="23"/>
  <c r="A1177" i="23"/>
  <c r="A1176" i="23"/>
  <c r="A1175" i="23"/>
  <c r="A1174" i="23"/>
  <c r="A1173" i="23"/>
  <c r="A1172" i="23"/>
  <c r="A1171" i="23"/>
  <c r="A1170" i="23"/>
  <c r="A1169" i="23"/>
  <c r="A1168" i="23"/>
  <c r="A1167" i="23"/>
  <c r="A1166" i="23"/>
  <c r="A1165" i="23"/>
  <c r="A1164" i="23"/>
  <c r="A1163" i="23"/>
  <c r="A1162" i="23"/>
  <c r="A1161" i="23"/>
  <c r="A1160" i="23"/>
  <c r="A1159" i="23"/>
  <c r="A1158" i="23"/>
  <c r="A1157" i="23"/>
  <c r="A1156" i="23"/>
  <c r="A1155" i="23"/>
  <c r="A1154" i="23"/>
  <c r="A1153" i="23"/>
  <c r="A1152" i="23"/>
  <c r="A1151" i="23"/>
  <c r="A1150" i="23"/>
  <c r="A1149" i="23"/>
  <c r="A1148" i="23"/>
  <c r="A1147" i="23"/>
  <c r="A1146" i="23"/>
  <c r="A1145" i="23"/>
  <c r="A1144" i="23"/>
  <c r="A1143" i="23"/>
  <c r="A1142" i="23"/>
  <c r="A1141" i="23"/>
  <c r="A1140" i="23"/>
  <c r="A1139" i="23"/>
  <c r="A1138" i="23"/>
  <c r="A1137" i="23"/>
  <c r="A1136" i="23"/>
  <c r="A1135" i="23"/>
  <c r="A1134" i="23"/>
  <c r="A1133" i="23"/>
  <c r="A1132" i="23"/>
  <c r="A1131" i="23"/>
  <c r="A1130" i="23"/>
  <c r="A1129" i="23"/>
  <c r="A1128" i="23"/>
  <c r="A1127" i="23"/>
  <c r="A1126" i="23"/>
  <c r="A1125" i="23"/>
  <c r="A1124" i="23"/>
  <c r="A1123" i="23"/>
  <c r="A1122" i="23"/>
  <c r="A1121" i="23"/>
  <c r="A1120" i="23"/>
  <c r="A1119" i="23"/>
  <c r="A1118" i="23"/>
  <c r="A1117" i="23"/>
  <c r="A1116" i="23"/>
  <c r="A1115" i="23"/>
  <c r="A1114" i="23"/>
  <c r="A1113" i="23"/>
  <c r="A1112" i="23"/>
  <c r="A1111" i="23"/>
  <c r="A1110" i="23"/>
  <c r="A1109" i="23"/>
  <c r="A1108" i="23"/>
  <c r="A1107" i="23"/>
  <c r="A1106" i="23"/>
  <c r="A1105" i="23"/>
  <c r="A1104" i="23"/>
  <c r="A1103" i="23"/>
  <c r="A1102" i="23"/>
  <c r="A1101" i="23"/>
  <c r="A1100" i="23"/>
  <c r="A1099" i="23"/>
  <c r="A1098" i="23"/>
  <c r="A1097" i="23"/>
  <c r="A1096" i="23"/>
  <c r="A1095" i="23"/>
  <c r="A1094" i="23"/>
  <c r="A1093" i="23"/>
  <c r="A1092" i="23"/>
  <c r="A1091" i="23"/>
  <c r="A1090" i="23"/>
  <c r="A1089" i="23"/>
  <c r="A1088" i="23"/>
  <c r="A1087" i="23"/>
  <c r="A1086" i="23"/>
  <c r="A1085" i="23"/>
  <c r="A1084" i="23"/>
  <c r="A1083" i="23"/>
  <c r="A1082" i="23"/>
  <c r="A1081" i="23"/>
  <c r="A1080" i="23"/>
  <c r="A1079" i="23"/>
  <c r="A1078" i="23"/>
  <c r="A1077" i="23"/>
  <c r="A1076" i="23"/>
  <c r="A1075" i="23"/>
  <c r="A1074" i="23"/>
  <c r="A1073" i="23"/>
  <c r="A1072" i="23"/>
  <c r="A1071" i="23"/>
  <c r="A1070" i="23"/>
  <c r="A1069" i="23"/>
  <c r="A1068" i="23"/>
  <c r="A1067" i="23"/>
  <c r="A1066" i="23"/>
  <c r="A1065" i="23"/>
  <c r="A1064" i="23"/>
  <c r="A1063" i="23"/>
  <c r="A1062" i="23"/>
  <c r="A1061" i="23"/>
  <c r="A1060" i="23"/>
  <c r="A1059" i="23"/>
  <c r="A1058" i="23"/>
  <c r="A1057" i="23"/>
  <c r="A1056" i="23"/>
  <c r="A1055" i="23"/>
  <c r="A1054" i="23"/>
  <c r="A1053" i="23"/>
  <c r="A1052" i="23"/>
  <c r="A1051" i="23"/>
  <c r="A1050" i="23"/>
  <c r="A1049" i="23"/>
  <c r="A1048" i="23"/>
  <c r="A1047" i="23"/>
  <c r="A1046" i="23"/>
  <c r="A1045" i="23"/>
  <c r="A1044" i="23"/>
  <c r="A1043" i="23"/>
  <c r="A1042" i="23"/>
  <c r="A1041" i="23"/>
  <c r="A1040" i="23"/>
  <c r="A1039" i="23"/>
  <c r="A1038" i="23"/>
  <c r="A1037" i="23"/>
  <c r="A1036" i="23"/>
  <c r="A1035" i="23"/>
  <c r="A1034" i="23"/>
  <c r="A1033" i="23"/>
  <c r="A1032" i="23"/>
  <c r="A1031" i="23"/>
  <c r="A1030" i="23"/>
  <c r="A1029" i="23"/>
  <c r="A1028" i="23"/>
  <c r="A1027" i="23"/>
  <c r="A1026" i="23"/>
  <c r="A1025" i="23"/>
  <c r="A1024" i="23"/>
  <c r="A1023" i="23"/>
  <c r="A1022" i="23"/>
  <c r="A1021" i="23"/>
  <c r="A1020" i="23"/>
  <c r="A1019" i="23"/>
  <c r="A1018" i="23"/>
  <c r="A1017" i="23"/>
  <c r="A1016" i="23"/>
  <c r="A1015" i="23"/>
  <c r="A1014" i="23"/>
  <c r="A1013" i="23"/>
  <c r="A1012" i="23"/>
  <c r="A1011" i="23"/>
  <c r="A1010" i="23"/>
  <c r="A1009" i="23"/>
  <c r="A1008" i="23"/>
  <c r="A1007" i="23"/>
  <c r="A1006" i="23"/>
  <c r="A1005" i="23"/>
  <c r="A1004" i="23"/>
  <c r="A1003" i="23"/>
  <c r="A1002" i="23"/>
  <c r="A1001" i="23"/>
  <c r="A1000" i="23"/>
  <c r="A999" i="23"/>
  <c r="A998" i="23"/>
  <c r="A997" i="23"/>
  <c r="A996" i="23"/>
  <c r="A995" i="23"/>
  <c r="A994" i="23"/>
  <c r="A993" i="23"/>
  <c r="A992" i="23"/>
  <c r="A991" i="23"/>
  <c r="A990" i="23"/>
  <c r="A989" i="23"/>
  <c r="A988" i="23"/>
  <c r="A987" i="23"/>
  <c r="A986" i="23"/>
  <c r="A985" i="23"/>
  <c r="A984" i="23"/>
  <c r="A983" i="23"/>
  <c r="A982" i="23"/>
  <c r="A981" i="23"/>
  <c r="A980" i="23"/>
  <c r="A979" i="23"/>
  <c r="A978" i="23"/>
  <c r="A977" i="23"/>
  <c r="A976" i="23"/>
  <c r="A975" i="23"/>
  <c r="A974" i="23"/>
  <c r="A973" i="23"/>
  <c r="A972" i="23"/>
  <c r="A971" i="23"/>
  <c r="A970" i="23"/>
  <c r="A969" i="23"/>
  <c r="A968" i="23"/>
  <c r="A967" i="23"/>
  <c r="A966" i="23"/>
  <c r="A965" i="23"/>
  <c r="A964" i="23"/>
  <c r="A963" i="23"/>
  <c r="A962" i="23"/>
  <c r="A961" i="23"/>
  <c r="A960" i="23"/>
  <c r="A959" i="23"/>
  <c r="A958" i="23"/>
  <c r="A957" i="23"/>
  <c r="A956" i="23"/>
  <c r="A955" i="23"/>
  <c r="A954" i="23"/>
  <c r="A953" i="23"/>
  <c r="A952" i="23"/>
  <c r="A951" i="23"/>
  <c r="A950" i="23"/>
  <c r="A949" i="23"/>
  <c r="A948" i="23"/>
  <c r="A947" i="23"/>
  <c r="A946" i="23"/>
  <c r="A945" i="23"/>
  <c r="A944" i="23"/>
  <c r="A943" i="23"/>
  <c r="A942" i="23"/>
  <c r="A941" i="23"/>
  <c r="A940" i="23"/>
  <c r="A939" i="23"/>
  <c r="A938" i="23"/>
  <c r="A937" i="23"/>
  <c r="A936" i="23"/>
  <c r="A935" i="23"/>
  <c r="A934" i="23"/>
  <c r="A933" i="23"/>
  <c r="A932" i="23"/>
  <c r="A931" i="23"/>
  <c r="A930" i="23"/>
  <c r="A929" i="23"/>
  <c r="A928" i="23"/>
  <c r="A927" i="23"/>
  <c r="A926" i="23"/>
  <c r="A925" i="23"/>
  <c r="A924" i="23"/>
  <c r="A923" i="23"/>
  <c r="A922" i="23"/>
  <c r="A921" i="23"/>
  <c r="A920" i="23"/>
  <c r="A919" i="23"/>
  <c r="A918" i="23"/>
  <c r="A917" i="23"/>
  <c r="A916" i="23"/>
  <c r="A915" i="23"/>
  <c r="A914" i="23"/>
  <c r="A913" i="23"/>
  <c r="A912" i="23"/>
  <c r="A911" i="23"/>
  <c r="A910" i="23"/>
  <c r="A909" i="23"/>
  <c r="A908" i="23"/>
  <c r="A907" i="23"/>
  <c r="A906" i="23"/>
  <c r="A905" i="23"/>
  <c r="A904" i="23"/>
  <c r="A903" i="23"/>
  <c r="A902" i="23"/>
  <c r="A901" i="23"/>
  <c r="A900" i="23"/>
  <c r="A899" i="23"/>
  <c r="A898" i="23"/>
  <c r="A897" i="23"/>
  <c r="A896" i="23"/>
  <c r="A895" i="23"/>
  <c r="A894" i="23"/>
  <c r="A893" i="23"/>
  <c r="A892" i="23"/>
  <c r="A891" i="23"/>
  <c r="A890" i="23"/>
  <c r="A889" i="23"/>
  <c r="A888" i="23"/>
  <c r="A887" i="23"/>
  <c r="A886" i="23"/>
  <c r="A885" i="23"/>
  <c r="A884" i="23"/>
  <c r="A883" i="23"/>
  <c r="A882" i="23"/>
  <c r="A881" i="23"/>
  <c r="A880" i="23"/>
  <c r="A879" i="23"/>
  <c r="A878" i="23"/>
  <c r="A877" i="23"/>
  <c r="A876" i="23"/>
  <c r="A875" i="23"/>
  <c r="A874" i="23"/>
  <c r="A873" i="23"/>
  <c r="A872" i="23"/>
  <c r="A871" i="23"/>
  <c r="A870" i="23"/>
  <c r="A869" i="23"/>
  <c r="A868" i="23"/>
  <c r="A867" i="23"/>
  <c r="A866" i="23"/>
  <c r="A865" i="23"/>
  <c r="A864" i="23"/>
  <c r="A863" i="23"/>
  <c r="A862" i="23"/>
  <c r="A861" i="23"/>
  <c r="A860" i="23"/>
  <c r="A859" i="23"/>
  <c r="A858" i="23"/>
  <c r="A857" i="23"/>
  <c r="A856" i="23"/>
  <c r="A855" i="23"/>
  <c r="A854" i="23"/>
  <c r="A853" i="23"/>
  <c r="A852" i="23"/>
  <c r="A851" i="23"/>
  <c r="A850" i="23"/>
  <c r="A849" i="23"/>
  <c r="A848" i="23"/>
  <c r="A847" i="23"/>
  <c r="A846" i="23"/>
  <c r="A845" i="23"/>
  <c r="A844" i="23"/>
  <c r="A843" i="23"/>
  <c r="A842" i="23"/>
  <c r="A841" i="23"/>
  <c r="A840" i="23"/>
  <c r="A839" i="23"/>
  <c r="A838" i="23"/>
  <c r="A837" i="23"/>
  <c r="A836" i="23"/>
  <c r="A835" i="23"/>
  <c r="A834" i="23"/>
  <c r="A833" i="23"/>
  <c r="A832" i="23"/>
  <c r="A831" i="23"/>
  <c r="A830" i="23"/>
  <c r="A829" i="23"/>
  <c r="A828" i="23"/>
  <c r="A827" i="23"/>
  <c r="A826" i="23"/>
  <c r="A825" i="23"/>
  <c r="A824" i="23"/>
  <c r="A823" i="23"/>
  <c r="A822" i="23"/>
  <c r="A821" i="23"/>
  <c r="A820" i="23"/>
  <c r="A819" i="23"/>
  <c r="A818" i="23"/>
  <c r="A817" i="23"/>
  <c r="A816" i="23"/>
  <c r="A815" i="23"/>
  <c r="A814" i="23"/>
  <c r="A813" i="23"/>
  <c r="A812" i="23"/>
  <c r="A811" i="23"/>
  <c r="A810" i="23"/>
  <c r="A809" i="23"/>
  <c r="A808" i="23"/>
  <c r="A807" i="23"/>
  <c r="A806" i="23"/>
  <c r="A805" i="23"/>
  <c r="A804" i="23"/>
  <c r="A803" i="23"/>
  <c r="A802" i="23"/>
  <c r="A801" i="23"/>
  <c r="A800" i="23"/>
  <c r="A799" i="23"/>
  <c r="A798" i="23"/>
  <c r="A797" i="23"/>
  <c r="A796" i="23"/>
  <c r="A795" i="23"/>
  <c r="A794" i="23"/>
  <c r="A793" i="23"/>
  <c r="A792" i="23"/>
  <c r="A791" i="23"/>
  <c r="A790" i="23"/>
  <c r="A789" i="23"/>
  <c r="A788" i="23"/>
  <c r="A787" i="23"/>
  <c r="A786" i="23"/>
  <c r="A785" i="23"/>
  <c r="A784" i="23"/>
  <c r="A783" i="23"/>
  <c r="A782" i="23"/>
  <c r="A781" i="23"/>
  <c r="A780" i="23"/>
  <c r="A779" i="23"/>
  <c r="A778" i="23"/>
  <c r="A777" i="23"/>
  <c r="A776" i="23"/>
  <c r="A775" i="23"/>
  <c r="A774" i="23"/>
  <c r="A773" i="23"/>
  <c r="A772" i="23"/>
  <c r="A771" i="23"/>
  <c r="A770" i="23"/>
  <c r="A769" i="23"/>
  <c r="A768" i="23"/>
  <c r="A767" i="23"/>
  <c r="A766" i="23"/>
  <c r="A765" i="23"/>
  <c r="A764" i="23"/>
  <c r="A763" i="23"/>
  <c r="A762" i="23"/>
  <c r="A761" i="23"/>
  <c r="A760" i="23"/>
  <c r="A759" i="23"/>
  <c r="A758" i="23"/>
  <c r="A757" i="23"/>
  <c r="A756" i="23"/>
  <c r="A755" i="23"/>
  <c r="A754" i="23"/>
  <c r="A753" i="23"/>
  <c r="A752" i="23"/>
  <c r="A751" i="23"/>
  <c r="A750" i="23"/>
  <c r="A749" i="23"/>
  <c r="A748" i="23"/>
  <c r="A747" i="23"/>
  <c r="A746" i="23"/>
  <c r="A745" i="23"/>
  <c r="A744" i="23"/>
  <c r="A743" i="23"/>
  <c r="A742" i="23"/>
  <c r="A741" i="23"/>
  <c r="A740" i="23"/>
  <c r="A739" i="23"/>
  <c r="A738" i="23"/>
  <c r="A737" i="23"/>
  <c r="A736" i="23"/>
  <c r="A735" i="23"/>
  <c r="A734" i="23"/>
  <c r="A733" i="23"/>
  <c r="A732" i="23"/>
  <c r="A731" i="23"/>
  <c r="A730" i="23"/>
  <c r="A729" i="23"/>
  <c r="A728" i="23"/>
  <c r="A727" i="23"/>
  <c r="A726" i="23"/>
  <c r="A725" i="23"/>
  <c r="A724" i="23"/>
  <c r="A723" i="23"/>
  <c r="A722" i="23"/>
  <c r="A721" i="23"/>
  <c r="A720" i="23"/>
  <c r="A719" i="23"/>
  <c r="A718" i="23"/>
  <c r="A717" i="23"/>
  <c r="A716" i="23"/>
  <c r="A715" i="23"/>
  <c r="A714" i="23"/>
  <c r="A713" i="23"/>
  <c r="A712" i="23"/>
  <c r="A711" i="23"/>
  <c r="A710" i="23"/>
  <c r="A709" i="23"/>
  <c r="A708" i="23"/>
  <c r="A707" i="23"/>
  <c r="A706" i="23"/>
  <c r="A705" i="23"/>
  <c r="A704" i="23"/>
  <c r="A703" i="23"/>
  <c r="A702" i="23"/>
  <c r="A701" i="23"/>
  <c r="A700" i="23"/>
  <c r="A699" i="23"/>
  <c r="A698" i="23"/>
  <c r="A697" i="23"/>
  <c r="A696" i="23"/>
  <c r="A695" i="23"/>
  <c r="A694" i="23"/>
  <c r="A693" i="23"/>
  <c r="A692" i="23"/>
  <c r="A691" i="23"/>
  <c r="A690" i="23"/>
  <c r="A689" i="23"/>
  <c r="A688" i="23"/>
  <c r="A687" i="23"/>
  <c r="A686" i="23"/>
  <c r="A685" i="23"/>
  <c r="A684" i="23"/>
  <c r="A683" i="23"/>
  <c r="A682" i="23"/>
  <c r="A681" i="23"/>
  <c r="A680" i="23"/>
  <c r="A679" i="23"/>
  <c r="A678" i="23"/>
  <c r="A677" i="23"/>
  <c r="A676" i="23"/>
  <c r="A675" i="23"/>
  <c r="A674" i="23"/>
  <c r="A673" i="23"/>
  <c r="A672" i="23"/>
  <c r="A671" i="23"/>
  <c r="A670" i="23"/>
  <c r="A669" i="23"/>
  <c r="A668" i="23"/>
  <c r="A667" i="23"/>
  <c r="A666" i="23"/>
  <c r="A665" i="23"/>
  <c r="A664" i="23"/>
  <c r="A663" i="23"/>
  <c r="A662" i="23"/>
  <c r="A661" i="23"/>
  <c r="A660" i="23"/>
  <c r="A659" i="23"/>
  <c r="A658" i="23"/>
  <c r="A657" i="23"/>
  <c r="A656" i="23"/>
  <c r="A655" i="23"/>
  <c r="A654" i="23"/>
  <c r="A653" i="23"/>
  <c r="A652" i="23"/>
  <c r="A651" i="23"/>
  <c r="A650" i="23"/>
  <c r="A649" i="23"/>
  <c r="A648" i="23"/>
  <c r="A647" i="23"/>
  <c r="A646" i="23"/>
  <c r="A645" i="23"/>
  <c r="A644" i="23"/>
  <c r="A643" i="23"/>
  <c r="A642" i="23"/>
  <c r="A641" i="23"/>
  <c r="A640" i="23"/>
  <c r="A639" i="23"/>
  <c r="A638" i="23"/>
  <c r="A637" i="23"/>
  <c r="A636" i="23"/>
  <c r="A635" i="23"/>
  <c r="A634" i="23"/>
  <c r="A633" i="23"/>
  <c r="A632" i="23"/>
  <c r="A631" i="23"/>
  <c r="A630" i="23"/>
  <c r="A629" i="23"/>
  <c r="A628" i="23"/>
  <c r="A627" i="23"/>
  <c r="A626" i="23"/>
  <c r="A625" i="23"/>
  <c r="A624" i="23"/>
  <c r="A623" i="23"/>
  <c r="A622" i="23"/>
  <c r="A621" i="23"/>
  <c r="A620" i="23"/>
  <c r="A619" i="23"/>
  <c r="A618" i="23"/>
  <c r="A617" i="23"/>
  <c r="A616" i="23"/>
  <c r="A615" i="23"/>
  <c r="A614" i="23"/>
  <c r="A613" i="23"/>
  <c r="A612" i="23"/>
  <c r="A611" i="23"/>
  <c r="A610" i="23"/>
  <c r="A609" i="23"/>
  <c r="A608" i="23"/>
  <c r="A607" i="23"/>
  <c r="A606" i="23"/>
  <c r="A605" i="23"/>
  <c r="A604" i="23"/>
  <c r="A603" i="23"/>
  <c r="A602" i="23"/>
  <c r="A601" i="23"/>
  <c r="A600" i="23"/>
  <c r="A599" i="23"/>
  <c r="A598" i="23"/>
  <c r="A597" i="23"/>
  <c r="A596" i="23"/>
  <c r="A595" i="23"/>
  <c r="A594" i="23"/>
  <c r="A593" i="23"/>
  <c r="A592" i="23"/>
  <c r="A591" i="23"/>
  <c r="A590" i="23"/>
  <c r="A589" i="23"/>
  <c r="A588" i="23"/>
  <c r="A587" i="23"/>
  <c r="A586" i="23"/>
  <c r="A585" i="23"/>
  <c r="A584" i="23"/>
  <c r="A583" i="23"/>
  <c r="A582" i="23"/>
  <c r="A581" i="23"/>
  <c r="A580" i="23"/>
  <c r="A579" i="23"/>
  <c r="A578" i="23"/>
  <c r="A577" i="23"/>
  <c r="A576" i="23"/>
  <c r="A575" i="23"/>
  <c r="A574" i="23"/>
  <c r="A573" i="23"/>
  <c r="A572" i="23"/>
  <c r="A571" i="23"/>
  <c r="A570" i="23"/>
  <c r="A569" i="23"/>
  <c r="A568" i="23"/>
  <c r="A567" i="23"/>
  <c r="A566" i="23"/>
  <c r="A565" i="23"/>
  <c r="A564" i="23"/>
  <c r="A563" i="23"/>
  <c r="A562" i="23"/>
  <c r="A561" i="23"/>
  <c r="A560" i="23"/>
  <c r="A559" i="23"/>
  <c r="A558" i="23"/>
  <c r="A557" i="23"/>
  <c r="A556" i="23"/>
  <c r="A555" i="23"/>
  <c r="A554" i="23"/>
  <c r="A553" i="23"/>
  <c r="A552" i="23"/>
  <c r="A551" i="23"/>
  <c r="A550" i="23"/>
  <c r="A549" i="23"/>
  <c r="A548" i="23"/>
  <c r="A547" i="23"/>
  <c r="A546" i="23"/>
  <c r="A545" i="23"/>
  <c r="A544" i="23"/>
  <c r="A543" i="23"/>
  <c r="A542" i="23"/>
  <c r="A541" i="23"/>
  <c r="A540" i="23"/>
  <c r="A539" i="23"/>
  <c r="A538" i="23"/>
  <c r="A537" i="23"/>
  <c r="A536" i="23"/>
  <c r="A535" i="23"/>
  <c r="A534" i="23"/>
  <c r="A533" i="23"/>
  <c r="A532" i="23"/>
  <c r="A531" i="23"/>
  <c r="A530" i="23"/>
  <c r="A529" i="23"/>
  <c r="A528" i="23"/>
  <c r="A527" i="23"/>
  <c r="A526" i="23"/>
  <c r="A525" i="23"/>
  <c r="A524" i="23"/>
  <c r="A523" i="23"/>
  <c r="A522" i="23"/>
  <c r="A521" i="23"/>
  <c r="A520" i="23"/>
  <c r="A519" i="23"/>
  <c r="A518" i="23"/>
  <c r="A517" i="23"/>
  <c r="A516" i="23"/>
  <c r="A515" i="23"/>
  <c r="A514" i="23"/>
  <c r="A513" i="23"/>
  <c r="A512" i="23"/>
  <c r="A511" i="23"/>
  <c r="A510" i="23"/>
  <c r="A509" i="23"/>
  <c r="A508" i="23"/>
  <c r="A507" i="23"/>
  <c r="A506" i="23"/>
  <c r="A505" i="23"/>
  <c r="A504" i="23"/>
  <c r="A503" i="23"/>
  <c r="A502" i="23"/>
  <c r="A501" i="23"/>
  <c r="A500" i="23"/>
  <c r="A499" i="23"/>
  <c r="A498" i="23"/>
  <c r="A497" i="23"/>
  <c r="A496" i="23"/>
  <c r="A495" i="23"/>
  <c r="A494" i="23"/>
  <c r="A493" i="23"/>
  <c r="A492" i="23"/>
  <c r="A491" i="23"/>
  <c r="A490" i="23"/>
  <c r="A489" i="23"/>
  <c r="A488" i="23"/>
  <c r="A487" i="23"/>
  <c r="A486" i="23"/>
  <c r="A485" i="23"/>
  <c r="A484" i="23"/>
  <c r="A483" i="23"/>
  <c r="A482" i="23"/>
  <c r="A481" i="23"/>
  <c r="A480" i="23"/>
  <c r="A479" i="23"/>
  <c r="A478" i="23"/>
  <c r="A477" i="23"/>
  <c r="A476" i="23"/>
  <c r="A475" i="23"/>
  <c r="A474" i="23"/>
  <c r="A473" i="23"/>
  <c r="A472" i="23"/>
  <c r="A471" i="23"/>
  <c r="A470" i="23"/>
  <c r="A469" i="23"/>
  <c r="A468" i="23"/>
  <c r="A467" i="23"/>
  <c r="A466" i="23"/>
  <c r="A465" i="23"/>
  <c r="A464" i="23"/>
  <c r="A463" i="23"/>
  <c r="A462" i="23"/>
  <c r="A461" i="23"/>
  <c r="A460" i="23"/>
  <c r="A459" i="23"/>
  <c r="A458" i="23"/>
  <c r="A457" i="23"/>
  <c r="A456" i="23"/>
  <c r="A455" i="23"/>
  <c r="A454" i="23"/>
  <c r="A453" i="23"/>
  <c r="A452" i="23"/>
  <c r="A451" i="23"/>
  <c r="A450" i="23"/>
  <c r="A449" i="23"/>
  <c r="A448" i="23"/>
  <c r="A447" i="23"/>
  <c r="A446" i="23"/>
  <c r="A445" i="23"/>
  <c r="A444" i="23"/>
  <c r="A443" i="23"/>
  <c r="A442" i="23"/>
  <c r="A441" i="23"/>
  <c r="A440" i="23"/>
  <c r="A439" i="23"/>
  <c r="A438" i="23"/>
  <c r="A437" i="23"/>
  <c r="A436" i="23"/>
  <c r="A435" i="23"/>
  <c r="A434" i="23"/>
  <c r="A433" i="23"/>
  <c r="A432" i="23"/>
  <c r="A431" i="23"/>
  <c r="A430" i="23"/>
  <c r="A429" i="23"/>
  <c r="A428" i="23"/>
  <c r="A427" i="23"/>
  <c r="A426" i="23"/>
  <c r="A425" i="23"/>
  <c r="A424" i="23"/>
  <c r="A423" i="23"/>
  <c r="A422" i="23"/>
  <c r="A421" i="23"/>
  <c r="A420" i="23"/>
  <c r="A419" i="23"/>
  <c r="A418" i="23"/>
  <c r="A417" i="23"/>
  <c r="A416" i="23"/>
  <c r="A415" i="23"/>
  <c r="A414" i="23"/>
  <c r="A413" i="23"/>
  <c r="A412" i="23"/>
  <c r="A411" i="23"/>
  <c r="A410" i="23"/>
  <c r="A409" i="23"/>
  <c r="A408" i="23"/>
  <c r="A407" i="23"/>
  <c r="A406" i="23"/>
  <c r="A405" i="23"/>
  <c r="A404" i="23"/>
  <c r="A403" i="23"/>
  <c r="A402" i="23"/>
  <c r="A401" i="23"/>
  <c r="A400" i="23"/>
  <c r="A399" i="23"/>
  <c r="A398" i="23"/>
  <c r="A397" i="23"/>
  <c r="A396" i="23"/>
  <c r="A395" i="23"/>
  <c r="A394" i="23"/>
  <c r="A393" i="23"/>
  <c r="A392" i="23"/>
  <c r="A391" i="23"/>
  <c r="A390" i="23"/>
  <c r="A389" i="23"/>
  <c r="A388" i="23"/>
  <c r="A387" i="23"/>
  <c r="A386" i="23"/>
  <c r="A385" i="23"/>
  <c r="A384" i="23"/>
  <c r="A383" i="23"/>
  <c r="A382" i="23"/>
  <c r="A381" i="23"/>
  <c r="A380" i="23"/>
  <c r="A379" i="23"/>
  <c r="A378" i="23"/>
  <c r="A377" i="23"/>
  <c r="A376" i="23"/>
  <c r="A375" i="23"/>
  <c r="A374" i="23"/>
  <c r="A373" i="23"/>
  <c r="A372" i="23"/>
  <c r="A371" i="23"/>
  <c r="A370" i="23"/>
  <c r="A369" i="23"/>
  <c r="A368" i="23"/>
  <c r="A367" i="23"/>
  <c r="A366" i="23"/>
  <c r="A365" i="23"/>
  <c r="A364" i="23"/>
  <c r="A363" i="23"/>
  <c r="A362" i="23"/>
  <c r="A361" i="23"/>
  <c r="A360" i="23"/>
  <c r="A359" i="23"/>
  <c r="A358" i="23"/>
  <c r="A357" i="23"/>
  <c r="A356" i="23"/>
  <c r="A355" i="23"/>
  <c r="A354" i="23"/>
  <c r="A353" i="23"/>
  <c r="A352" i="23"/>
  <c r="A351" i="23"/>
  <c r="A350" i="23"/>
  <c r="A349" i="23"/>
  <c r="A348" i="23"/>
  <c r="A347" i="23"/>
  <c r="A346" i="23"/>
  <c r="A345" i="23"/>
  <c r="A344" i="23"/>
  <c r="A343" i="23"/>
  <c r="A342" i="23"/>
  <c r="A341" i="23"/>
  <c r="A340" i="23"/>
  <c r="A339" i="23"/>
  <c r="A338" i="23"/>
  <c r="A337" i="23"/>
  <c r="A336" i="23"/>
  <c r="A335" i="23"/>
  <c r="A334" i="23"/>
  <c r="A333" i="23"/>
  <c r="A332" i="23"/>
  <c r="A331" i="23"/>
  <c r="A330" i="23"/>
  <c r="A329" i="23"/>
  <c r="A328" i="23"/>
  <c r="A327" i="23"/>
  <c r="A326" i="23"/>
  <c r="A325" i="23"/>
  <c r="A324" i="23"/>
  <c r="A323" i="23"/>
  <c r="A322" i="23"/>
  <c r="A321" i="23"/>
  <c r="A320" i="23"/>
  <c r="A319" i="23"/>
  <c r="A318" i="23"/>
  <c r="A317" i="23"/>
  <c r="A316" i="23"/>
  <c r="A315" i="23"/>
  <c r="A314" i="23"/>
  <c r="A313" i="23"/>
  <c r="A312" i="23"/>
  <c r="A311" i="23"/>
  <c r="A310" i="23"/>
  <c r="A309" i="23"/>
  <c r="A308" i="23"/>
  <c r="A307" i="23"/>
  <c r="A306" i="23"/>
  <c r="A305" i="23"/>
  <c r="A304" i="23"/>
  <c r="A303" i="23"/>
  <c r="A302" i="23"/>
  <c r="A301" i="23"/>
  <c r="A300" i="23"/>
  <c r="A299" i="23"/>
  <c r="A298" i="23"/>
  <c r="A297" i="23"/>
  <c r="A296" i="23"/>
  <c r="A295" i="23"/>
  <c r="A294" i="23"/>
  <c r="A293" i="23"/>
  <c r="A292" i="23"/>
  <c r="A291" i="23"/>
  <c r="A290" i="23"/>
  <c r="A289" i="23"/>
  <c r="A288" i="23"/>
  <c r="A287" i="23"/>
  <c r="A286" i="23"/>
  <c r="A285" i="23"/>
  <c r="A284" i="23"/>
  <c r="A283" i="23"/>
  <c r="A282" i="23"/>
  <c r="A281" i="23"/>
  <c r="A280" i="23"/>
  <c r="A279" i="23"/>
  <c r="A278" i="23"/>
  <c r="A277" i="23"/>
  <c r="A276" i="23"/>
  <c r="A275" i="23"/>
  <c r="A274" i="23"/>
  <c r="A273" i="23"/>
  <c r="A272" i="23"/>
  <c r="A271" i="23"/>
  <c r="A270" i="23"/>
  <c r="A269" i="23"/>
  <c r="A268" i="23"/>
  <c r="A267" i="23"/>
  <c r="A266" i="23"/>
  <c r="A265" i="23"/>
  <c r="A264" i="23"/>
  <c r="A263" i="23"/>
  <c r="A262" i="23"/>
  <c r="A261" i="23"/>
  <c r="A260" i="23"/>
  <c r="A259" i="23"/>
  <c r="A258" i="23"/>
  <c r="A257" i="23"/>
  <c r="A256" i="23"/>
  <c r="A255" i="23"/>
  <c r="A254" i="23"/>
  <c r="A253" i="23"/>
  <c r="A252" i="23"/>
  <c r="A251" i="23"/>
  <c r="A250" i="23"/>
  <c r="A249" i="23"/>
  <c r="A248" i="23"/>
  <c r="A247" i="23"/>
  <c r="A246" i="23"/>
  <c r="A245" i="23"/>
  <c r="A244" i="23"/>
  <c r="A243" i="23"/>
  <c r="A242" i="23"/>
  <c r="A241" i="23"/>
  <c r="A240" i="23"/>
  <c r="A239" i="23"/>
  <c r="A238" i="23"/>
  <c r="A237" i="23"/>
  <c r="A236" i="23"/>
  <c r="A235" i="23"/>
  <c r="A234" i="23"/>
  <c r="A233" i="23"/>
  <c r="A232" i="23"/>
  <c r="A231" i="23"/>
  <c r="A230" i="23"/>
  <c r="A229" i="23"/>
  <c r="A228" i="23"/>
  <c r="A227" i="23"/>
  <c r="A226" i="23"/>
  <c r="A225" i="23"/>
  <c r="A224" i="23"/>
  <c r="A223" i="23"/>
  <c r="A222" i="23"/>
  <c r="A221" i="23"/>
  <c r="A220" i="23"/>
  <c r="A219" i="23"/>
  <c r="A218" i="23"/>
  <c r="A217" i="23"/>
  <c r="A216" i="23"/>
  <c r="A215" i="23"/>
  <c r="A214" i="23"/>
  <c r="A213" i="23"/>
  <c r="A212" i="23"/>
  <c r="A211" i="23"/>
  <c r="A210" i="23"/>
  <c r="A209" i="23"/>
  <c r="A208" i="23"/>
  <c r="A207" i="23"/>
  <c r="A206" i="23"/>
  <c r="A205" i="23"/>
  <c r="A204" i="23"/>
  <c r="A203" i="23"/>
  <c r="A202" i="23"/>
  <c r="A201" i="23"/>
  <c r="A200" i="23"/>
  <c r="A199" i="23"/>
  <c r="A198" i="23"/>
  <c r="A197" i="23"/>
  <c r="A196" i="23"/>
  <c r="A195" i="23"/>
  <c r="A194" i="23"/>
  <c r="A193" i="23"/>
  <c r="A192" i="23"/>
  <c r="A191" i="23"/>
  <c r="A190" i="23"/>
  <c r="A189" i="23"/>
  <c r="A188" i="23"/>
  <c r="A187" i="23"/>
  <c r="A186" i="23"/>
  <c r="A185" i="23"/>
  <c r="A184" i="23"/>
  <c r="A183" i="23"/>
  <c r="A182" i="23"/>
  <c r="A181" i="23"/>
  <c r="A180" i="23"/>
  <c r="A179" i="23"/>
  <c r="A178" i="23"/>
  <c r="A177" i="23"/>
  <c r="A176" i="23"/>
  <c r="A175" i="23"/>
  <c r="A174" i="23"/>
  <c r="A173" i="23"/>
  <c r="A172" i="23"/>
  <c r="A171" i="23"/>
  <c r="A170" i="23"/>
  <c r="A169" i="23"/>
  <c r="A168" i="23"/>
  <c r="A167" i="23"/>
  <c r="A166" i="23"/>
  <c r="A165" i="23"/>
  <c r="A164" i="23"/>
  <c r="A163" i="23"/>
  <c r="A162" i="23"/>
  <c r="A161" i="23"/>
  <c r="A160" i="23"/>
  <c r="A159" i="23"/>
  <c r="A158" i="23"/>
  <c r="A157" i="23"/>
  <c r="A156" i="23"/>
  <c r="A155" i="23"/>
  <c r="A154" i="23"/>
  <c r="A153" i="23"/>
  <c r="A152" i="23"/>
  <c r="A151" i="23"/>
  <c r="A150" i="23"/>
  <c r="A149" i="23"/>
  <c r="A148" i="23"/>
  <c r="A147" i="23"/>
  <c r="A146" i="23"/>
  <c r="A145" i="23"/>
  <c r="A144" i="23"/>
  <c r="A143" i="23"/>
  <c r="A142" i="23"/>
  <c r="A141" i="23"/>
  <c r="A140" i="23"/>
  <c r="A139" i="23"/>
  <c r="A138" i="23"/>
  <c r="A137" i="23"/>
  <c r="A136" i="23"/>
  <c r="A135" i="23"/>
  <c r="A134" i="23"/>
  <c r="A133" i="23"/>
  <c r="A132" i="23"/>
  <c r="A131" i="23"/>
  <c r="A130" i="23"/>
  <c r="A129" i="23"/>
  <c r="A128" i="23"/>
  <c r="A127" i="23"/>
  <c r="A126" i="23"/>
  <c r="A125" i="23"/>
  <c r="A124" i="23"/>
  <c r="A123" i="23"/>
  <c r="A122" i="23"/>
  <c r="A121" i="23"/>
  <c r="A120" i="23"/>
  <c r="A119" i="23"/>
  <c r="A118" i="23"/>
  <c r="A117" i="23"/>
  <c r="A116" i="23"/>
  <c r="A115" i="23"/>
  <c r="A114" i="23"/>
  <c r="A113" i="23"/>
  <c r="A112" i="23"/>
  <c r="A111" i="23"/>
  <c r="A110" i="23"/>
  <c r="A109" i="23"/>
  <c r="A108" i="23"/>
  <c r="A107" i="23"/>
  <c r="A106" i="23"/>
  <c r="A105" i="23"/>
  <c r="A104" i="23"/>
  <c r="A103" i="23"/>
  <c r="A102" i="23"/>
  <c r="A101" i="23"/>
  <c r="A100" i="23"/>
  <c r="A99" i="23"/>
  <c r="A98" i="23"/>
  <c r="A97" i="23"/>
  <c r="A96" i="23"/>
  <c r="A95" i="23"/>
  <c r="A94" i="23"/>
  <c r="A93" i="23"/>
  <c r="A92" i="23"/>
  <c r="A91" i="23"/>
  <c r="A90" i="23"/>
  <c r="A89" i="23"/>
  <c r="A88" i="23"/>
  <c r="A87" i="23"/>
  <c r="A86" i="23"/>
  <c r="A85" i="23"/>
  <c r="A84" i="23"/>
  <c r="A83" i="23"/>
  <c r="A82" i="23"/>
  <c r="A81" i="23"/>
  <c r="A80" i="23"/>
  <c r="A79" i="23"/>
  <c r="A78" i="23"/>
  <c r="A77" i="23"/>
  <c r="A76" i="23"/>
  <c r="A75" i="23"/>
  <c r="A74" i="23"/>
  <c r="A73" i="23"/>
  <c r="A72" i="23"/>
  <c r="A71" i="23"/>
  <c r="A70" i="23"/>
  <c r="A69" i="23"/>
  <c r="A68" i="23"/>
  <c r="A67" i="23"/>
  <c r="A66" i="23"/>
  <c r="A65" i="23"/>
  <c r="A64" i="23"/>
  <c r="A63" i="23"/>
  <c r="A62" i="23"/>
  <c r="A61" i="23"/>
  <c r="A60" i="23"/>
  <c r="A59" i="23"/>
  <c r="A58" i="23"/>
  <c r="A57" i="23"/>
  <c r="A56" i="23"/>
  <c r="A55" i="23"/>
  <c r="A54" i="23"/>
  <c r="A53" i="23"/>
  <c r="A52" i="23"/>
  <c r="A51" i="23"/>
  <c r="A50" i="23"/>
  <c r="A49" i="23"/>
  <c r="A48" i="23"/>
  <c r="A47" i="23"/>
  <c r="A46" i="23"/>
  <c r="A45" i="23"/>
  <c r="A44" i="23"/>
  <c r="A43" i="23"/>
  <c r="A42" i="23"/>
  <c r="A41" i="23"/>
  <c r="A40" i="23"/>
  <c r="A39" i="23"/>
  <c r="A38" i="23"/>
  <c r="A37" i="23"/>
  <c r="A36" i="23"/>
  <c r="A35" i="23"/>
  <c r="A34" i="23"/>
  <c r="A33" i="23"/>
  <c r="A32" i="23"/>
  <c r="A31" i="23"/>
  <c r="A30" i="23"/>
  <c r="A29" i="23"/>
  <c r="A28" i="23"/>
  <c r="A27" i="23"/>
  <c r="A26" i="23"/>
  <c r="A25" i="23"/>
  <c r="A24" i="23"/>
  <c r="A23" i="23"/>
  <c r="A22" i="23"/>
  <c r="A21" i="23"/>
  <c r="A20" i="23"/>
  <c r="A19" i="23"/>
  <c r="A18" i="23"/>
  <c r="A17" i="23"/>
  <c r="A16" i="23"/>
  <c r="A15" i="23"/>
  <c r="A14" i="23"/>
  <c r="A13" i="23"/>
  <c r="A12" i="23"/>
  <c r="A11" i="23"/>
  <c r="A10" i="23"/>
  <c r="A9" i="23"/>
  <c r="A8" i="23"/>
  <c r="A7" i="23"/>
  <c r="A6" i="23"/>
  <c r="A5" i="23"/>
  <c r="A4" i="23"/>
  <c r="A3" i="23"/>
  <c r="A2" i="23"/>
  <c r="G45" i="18"/>
  <c r="G44" i="18"/>
  <c r="G43" i="18"/>
  <c r="G42" i="18"/>
  <c r="G41" i="18"/>
  <c r="G40" i="18"/>
  <c r="G39" i="18"/>
  <c r="G38" i="18"/>
  <c r="C38" i="18" s="1"/>
  <c r="G37" i="18"/>
  <c r="G36" i="18"/>
  <c r="G35" i="18"/>
  <c r="G34" i="18"/>
  <c r="C34" i="18" s="1"/>
  <c r="G33" i="18"/>
  <c r="G32" i="18"/>
  <c r="G31" i="18"/>
  <c r="G30" i="18"/>
  <c r="C30" i="18" s="1"/>
  <c r="G29" i="18"/>
  <c r="G28" i="18"/>
  <c r="G27" i="18"/>
  <c r="C39" i="18"/>
  <c r="C37" i="18"/>
  <c r="C36" i="18"/>
  <c r="C35" i="18"/>
  <c r="C33" i="18"/>
  <c r="C32" i="18"/>
  <c r="C31" i="18"/>
  <c r="C29" i="18"/>
  <c r="C28" i="18"/>
  <c r="E20" i="12"/>
  <c r="E19" i="12"/>
  <c r="E18" i="12"/>
  <c r="E17" i="12"/>
  <c r="E16" i="12"/>
  <c r="E25" i="12"/>
  <c r="E24" i="12"/>
  <c r="E23" i="12"/>
  <c r="E22" i="12"/>
  <c r="E15" i="12"/>
  <c r="E14" i="12"/>
  <c r="E13" i="12"/>
  <c r="E12" i="12"/>
  <c r="E11" i="12"/>
  <c r="O5000" i="23" l="1"/>
  <c r="O4996" i="23"/>
  <c r="O4992" i="23"/>
  <c r="O4988" i="23"/>
  <c r="O4984" i="23"/>
  <c r="O4980" i="23"/>
  <c r="O4976" i="23"/>
  <c r="O4972" i="23"/>
  <c r="O4968" i="23"/>
  <c r="O4964" i="23"/>
  <c r="O4960" i="23"/>
  <c r="O4956" i="23"/>
  <c r="O4952" i="23"/>
  <c r="O4948" i="23"/>
  <c r="O4944" i="23"/>
  <c r="O4940" i="23"/>
  <c r="O4936" i="23"/>
  <c r="O4932" i="23"/>
  <c r="O4928" i="23"/>
  <c r="O4924" i="23"/>
  <c r="O4920" i="23"/>
  <c r="O4916" i="23"/>
  <c r="O4912" i="23"/>
  <c r="O4908" i="23"/>
  <c r="O4904" i="23"/>
  <c r="O4900" i="23"/>
  <c r="O4896" i="23"/>
  <c r="O4892" i="23"/>
  <c r="O4888" i="23"/>
  <c r="O4884" i="23"/>
  <c r="O4880" i="23"/>
  <c r="O4876" i="23"/>
  <c r="O4872" i="23"/>
  <c r="O4868" i="23"/>
  <c r="O4864" i="23"/>
  <c r="O4860" i="23"/>
  <c r="O4856" i="23"/>
  <c r="O4852" i="23"/>
  <c r="O4848" i="23"/>
  <c r="O4844" i="23"/>
  <c r="O4840" i="23"/>
  <c r="O4836" i="23"/>
  <c r="O4832" i="23"/>
  <c r="O4828" i="23"/>
  <c r="O4824" i="23"/>
  <c r="O4820" i="23"/>
  <c r="O4816" i="23"/>
  <c r="O4812" i="23"/>
  <c r="O4808" i="23"/>
  <c r="O4804" i="23"/>
  <c r="O4800" i="23"/>
  <c r="O4796" i="23"/>
  <c r="O4792" i="23"/>
  <c r="O4788" i="23"/>
  <c r="O4784" i="23"/>
  <c r="O4780" i="23"/>
  <c r="O4776" i="23"/>
  <c r="O4772" i="23"/>
  <c r="O4768" i="23"/>
  <c r="O4764" i="23"/>
  <c r="O4760" i="23"/>
  <c r="O4756" i="23"/>
  <c r="O4752" i="23"/>
  <c r="O4748" i="23"/>
  <c r="O4744" i="23"/>
  <c r="O4740" i="23"/>
  <c r="O4736" i="23"/>
  <c r="O4732" i="23"/>
  <c r="O4728" i="23"/>
  <c r="O4724" i="23"/>
  <c r="O4720" i="23"/>
  <c r="O4716" i="23"/>
  <c r="O4712" i="23"/>
  <c r="O4708" i="23"/>
  <c r="O4704" i="23"/>
  <c r="O4700" i="23"/>
  <c r="O4696" i="23"/>
  <c r="O4692" i="23"/>
  <c r="O4688" i="23"/>
  <c r="O4684" i="23"/>
  <c r="O4680" i="23"/>
  <c r="O4676" i="23"/>
  <c r="O4672" i="23"/>
  <c r="O4668" i="23"/>
  <c r="O4664" i="23"/>
  <c r="O4999" i="23"/>
  <c r="O4995" i="23"/>
  <c r="O4991" i="23"/>
  <c r="O4987" i="23"/>
  <c r="O4983" i="23"/>
  <c r="O4979" i="23"/>
  <c r="O4975" i="23"/>
  <c r="O4971" i="23"/>
  <c r="O4967" i="23"/>
  <c r="O4963" i="23"/>
  <c r="O4959" i="23"/>
  <c r="O4955" i="23"/>
  <c r="O4951" i="23"/>
  <c r="O4947" i="23"/>
  <c r="O4943" i="23"/>
  <c r="O4939" i="23"/>
  <c r="O4935" i="23"/>
  <c r="O4931" i="23"/>
  <c r="O4927" i="23"/>
  <c r="O4923" i="23"/>
  <c r="O4919" i="23"/>
  <c r="O4915" i="23"/>
  <c r="O4911" i="23"/>
  <c r="O4907" i="23"/>
  <c r="O4903" i="23"/>
  <c r="O4899" i="23"/>
  <c r="O4895" i="23"/>
  <c r="O4891" i="23"/>
  <c r="O4887" i="23"/>
  <c r="O4883" i="23"/>
  <c r="O4879" i="23"/>
  <c r="O4875" i="23"/>
  <c r="O4871" i="23"/>
  <c r="O4867" i="23"/>
  <c r="O4863" i="23"/>
  <c r="O4859" i="23"/>
  <c r="O4855" i="23"/>
  <c r="O4851" i="23"/>
  <c r="O4847" i="23"/>
  <c r="O4843" i="23"/>
  <c r="O4839" i="23"/>
  <c r="O4835" i="23"/>
  <c r="O4831" i="23"/>
  <c r="O4827" i="23"/>
  <c r="O4823" i="23"/>
  <c r="O4819" i="23"/>
  <c r="O4815" i="23"/>
  <c r="O4811" i="23"/>
  <c r="O4807" i="23"/>
  <c r="O4803" i="23"/>
  <c r="O4799" i="23"/>
  <c r="O4795" i="23"/>
  <c r="O4791" i="23"/>
  <c r="O4787" i="23"/>
  <c r="O4783" i="23"/>
  <c r="O4779" i="23"/>
  <c r="O4775" i="23"/>
  <c r="O4771" i="23"/>
  <c r="O4767" i="23"/>
  <c r="O4763" i="23"/>
  <c r="O4759" i="23"/>
  <c r="O4755" i="23"/>
  <c r="O4751" i="23"/>
  <c r="O4747" i="23"/>
  <c r="O4743" i="23"/>
  <c r="O4739" i="23"/>
  <c r="O4735" i="23"/>
  <c r="O4731" i="23"/>
  <c r="O4727" i="23"/>
  <c r="O4723" i="23"/>
  <c r="O4719" i="23"/>
  <c r="O4715" i="23"/>
  <c r="O4711" i="23"/>
  <c r="O4998" i="23"/>
  <c r="O4994" i="23"/>
  <c r="O4990" i="23"/>
  <c r="O4986" i="23"/>
  <c r="O4982" i="23"/>
  <c r="O4978" i="23"/>
  <c r="O4974" i="23"/>
  <c r="O4970" i="23"/>
  <c r="O4966" i="23"/>
  <c r="O4962" i="23"/>
  <c r="O4958" i="23"/>
  <c r="O4954" i="23"/>
  <c r="O4950" i="23"/>
  <c r="O4946" i="23"/>
  <c r="O4942" i="23"/>
  <c r="O4938" i="23"/>
  <c r="O4934" i="23"/>
  <c r="O4930" i="23"/>
  <c r="O4926" i="23"/>
  <c r="O4922" i="23"/>
  <c r="O4918" i="23"/>
  <c r="O4914" i="23"/>
  <c r="O4910" i="23"/>
  <c r="O4906" i="23"/>
  <c r="O4902" i="23"/>
  <c r="O4898" i="23"/>
  <c r="O4894" i="23"/>
  <c r="O4890" i="23"/>
  <c r="O4886" i="23"/>
  <c r="O4882" i="23"/>
  <c r="O4878" i="23"/>
  <c r="O4874" i="23"/>
  <c r="O4870" i="23"/>
  <c r="O4866" i="23"/>
  <c r="O4862" i="23"/>
  <c r="O4858" i="23"/>
  <c r="O4854" i="23"/>
  <c r="O4850" i="23"/>
  <c r="O4846" i="23"/>
  <c r="O4842" i="23"/>
  <c r="O4838" i="23"/>
  <c r="O4834" i="23"/>
  <c r="O4830" i="23"/>
  <c r="O4826" i="23"/>
  <c r="O4822" i="23"/>
  <c r="O4818" i="23"/>
  <c r="O4814" i="23"/>
  <c r="O4810" i="23"/>
  <c r="O4806" i="23"/>
  <c r="O4802" i="23"/>
  <c r="O4798" i="23"/>
  <c r="O4794" i="23"/>
  <c r="O4790" i="23"/>
  <c r="O4786" i="23"/>
  <c r="O4782" i="23"/>
  <c r="O4778" i="23"/>
  <c r="O4774" i="23"/>
  <c r="O4770" i="23"/>
  <c r="O4766" i="23"/>
  <c r="O4762" i="23"/>
  <c r="O4758" i="23"/>
  <c r="O4754" i="23"/>
  <c r="O4750" i="23"/>
  <c r="O4746" i="23"/>
  <c r="O4742" i="23"/>
  <c r="O4738" i="23"/>
  <c r="O4734" i="23"/>
  <c r="O4730" i="23"/>
  <c r="O4726" i="23"/>
  <c r="O4722" i="23"/>
  <c r="O4718" i="23"/>
  <c r="O4714" i="23"/>
  <c r="O4710" i="23"/>
  <c r="O4706" i="23"/>
  <c r="O4702" i="23"/>
  <c r="O4698" i="23"/>
  <c r="O4694" i="23"/>
  <c r="O4690" i="23"/>
  <c r="O4686" i="23"/>
  <c r="O4682" i="23"/>
  <c r="O4678" i="23"/>
  <c r="O4674" i="23"/>
  <c r="O4670" i="23"/>
  <c r="O4666" i="23"/>
  <c r="O4662" i="23"/>
  <c r="O4997" i="23"/>
  <c r="O4993" i="23"/>
  <c r="O4989" i="23"/>
  <c r="O4985" i="23"/>
  <c r="O4981" i="23"/>
  <c r="O4977" i="23"/>
  <c r="O4973" i="23"/>
  <c r="O4969" i="23"/>
  <c r="O4965" i="23"/>
  <c r="O4961" i="23"/>
  <c r="O4957" i="23"/>
  <c r="O4953" i="23"/>
  <c r="O4949" i="23"/>
  <c r="O4945" i="23"/>
  <c r="O4941" i="23"/>
  <c r="O4937" i="23"/>
  <c r="O4921" i="23"/>
  <c r="O4905" i="23"/>
  <c r="O4889" i="23"/>
  <c r="O4873" i="23"/>
  <c r="O4857" i="23"/>
  <c r="O4841" i="23"/>
  <c r="O4825" i="23"/>
  <c r="O4809" i="23"/>
  <c r="O4793" i="23"/>
  <c r="O4777" i="23"/>
  <c r="O4761" i="23"/>
  <c r="O4745" i="23"/>
  <c r="O4729" i="23"/>
  <c r="O4713" i="23"/>
  <c r="O4703" i="23"/>
  <c r="O4695" i="23"/>
  <c r="O4687" i="23"/>
  <c r="O4679" i="23"/>
  <c r="O4671" i="23"/>
  <c r="O4663" i="23"/>
  <c r="O4658" i="23"/>
  <c r="O4654" i="23"/>
  <c r="O4650" i="23"/>
  <c r="O4646" i="23"/>
  <c r="O4642" i="23"/>
  <c r="O4638" i="23"/>
  <c r="O4634" i="23"/>
  <c r="O4630" i="23"/>
  <c r="O4626" i="23"/>
  <c r="O4622" i="23"/>
  <c r="O4618" i="23"/>
  <c r="O4614" i="23"/>
  <c r="O4610" i="23"/>
  <c r="O4606" i="23"/>
  <c r="O4602" i="23"/>
  <c r="O4598" i="23"/>
  <c r="O4594" i="23"/>
  <c r="O4590" i="23"/>
  <c r="O4586" i="23"/>
  <c r="O4582" i="23"/>
  <c r="O4578" i="23"/>
  <c r="O4574" i="23"/>
  <c r="O4570" i="23"/>
  <c r="O4566" i="23"/>
  <c r="O4562" i="23"/>
  <c r="O4558" i="23"/>
  <c r="O4554" i="23"/>
  <c r="O4550" i="23"/>
  <c r="O4546" i="23"/>
  <c r="O4542" i="23"/>
  <c r="O4538" i="23"/>
  <c r="O4534" i="23"/>
  <c r="O4530" i="23"/>
  <c r="O4526" i="23"/>
  <c r="O4522" i="23"/>
  <c r="O4518" i="23"/>
  <c r="O4514" i="23"/>
  <c r="O4510" i="23"/>
  <c r="O4506" i="23"/>
  <c r="O4502" i="23"/>
  <c r="O4498" i="23"/>
  <c r="O4494" i="23"/>
  <c r="O4490" i="23"/>
  <c r="O4486" i="23"/>
  <c r="O4482" i="23"/>
  <c r="O4478" i="23"/>
  <c r="O4474" i="23"/>
  <c r="O4470" i="23"/>
  <c r="O4466" i="23"/>
  <c r="O4462" i="23"/>
  <c r="O4458" i="23"/>
  <c r="O4454" i="23"/>
  <c r="O4450" i="23"/>
  <c r="O4446" i="23"/>
  <c r="O4442" i="23"/>
  <c r="O4438" i="23"/>
  <c r="O4434" i="23"/>
  <c r="O4430" i="23"/>
  <c r="O4426" i="23"/>
  <c r="O4422" i="23"/>
  <c r="O4418" i="23"/>
  <c r="O4414" i="23"/>
  <c r="O4410" i="23"/>
  <c r="O4406" i="23"/>
  <c r="O4402" i="23"/>
  <c r="O4933" i="23"/>
  <c r="O4917" i="23"/>
  <c r="O4901" i="23"/>
  <c r="O4885" i="23"/>
  <c r="O4869" i="23"/>
  <c r="O4853" i="23"/>
  <c r="O4837" i="23"/>
  <c r="O4821" i="23"/>
  <c r="O4805" i="23"/>
  <c r="O4789" i="23"/>
  <c r="O4773" i="23"/>
  <c r="O4757" i="23"/>
  <c r="O4741" i="23"/>
  <c r="O4725" i="23"/>
  <c r="O4709" i="23"/>
  <c r="O4701" i="23"/>
  <c r="O4693" i="23"/>
  <c r="O4685" i="23"/>
  <c r="O4677" i="23"/>
  <c r="O4669" i="23"/>
  <c r="O4661" i="23"/>
  <c r="O4657" i="23"/>
  <c r="O4653" i="23"/>
  <c r="O4649" i="23"/>
  <c r="O4645" i="23"/>
  <c r="O4641" i="23"/>
  <c r="O4637" i="23"/>
  <c r="O4633" i="23"/>
  <c r="O4629" i="23"/>
  <c r="O4625" i="23"/>
  <c r="O4621" i="23"/>
  <c r="O4617" i="23"/>
  <c r="O4613" i="23"/>
  <c r="O4609" i="23"/>
  <c r="O4605" i="23"/>
  <c r="O4601" i="23"/>
  <c r="O4597" i="23"/>
  <c r="O4593" i="23"/>
  <c r="O4589" i="23"/>
  <c r="O4585" i="23"/>
  <c r="O4581" i="23"/>
  <c r="O4577" i="23"/>
  <c r="O4573" i="23"/>
  <c r="O4569" i="23"/>
  <c r="O4565" i="23"/>
  <c r="O4561" i="23"/>
  <c r="O4557" i="23"/>
  <c r="O4553" i="23"/>
  <c r="O4549" i="23"/>
  <c r="O4545" i="23"/>
  <c r="O4541" i="23"/>
  <c r="O4537" i="23"/>
  <c r="O4533" i="23"/>
  <c r="O4529" i="23"/>
  <c r="O4525" i="23"/>
  <c r="O4521" i="23"/>
  <c r="O4517" i="23"/>
  <c r="O4513" i="23"/>
  <c r="O4509" i="23"/>
  <c r="O4505" i="23"/>
  <c r="O4501" i="23"/>
  <c r="O4497" i="23"/>
  <c r="O4493" i="23"/>
  <c r="O4489" i="23"/>
  <c r="O4485" i="23"/>
  <c r="O4481" i="23"/>
  <c r="O4477" i="23"/>
  <c r="O4473" i="23"/>
  <c r="O4469" i="23"/>
  <c r="O4465" i="23"/>
  <c r="O4461" i="23"/>
  <c r="O4457" i="23"/>
  <c r="O4453" i="23"/>
  <c r="O4449" i="23"/>
  <c r="O4445" i="23"/>
  <c r="O4441" i="23"/>
  <c r="O4437" i="23"/>
  <c r="O4433" i="23"/>
  <c r="O4429" i="23"/>
  <c r="O4425" i="23"/>
  <c r="O4421" i="23"/>
  <c r="O4417" i="23"/>
  <c r="O4413" i="23"/>
  <c r="O4409" i="23"/>
  <c r="O4405" i="23"/>
  <c r="O4929" i="23"/>
  <c r="O4913" i="23"/>
  <c r="O4897" i="23"/>
  <c r="O4881" i="23"/>
  <c r="O4865" i="23"/>
  <c r="O4849" i="23"/>
  <c r="O4833" i="23"/>
  <c r="O4817" i="23"/>
  <c r="O4801" i="23"/>
  <c r="O4785" i="23"/>
  <c r="O4769" i="23"/>
  <c r="O4753" i="23"/>
  <c r="O4737" i="23"/>
  <c r="O4721" i="23"/>
  <c r="O4707" i="23"/>
  <c r="O4699" i="23"/>
  <c r="O4691" i="23"/>
  <c r="O4683" i="23"/>
  <c r="O4675" i="23"/>
  <c r="O4667" i="23"/>
  <c r="O4660" i="23"/>
  <c r="O4656" i="23"/>
  <c r="O4652" i="23"/>
  <c r="O4648" i="23"/>
  <c r="O4644" i="23"/>
  <c r="O4640" i="23"/>
  <c r="O4636" i="23"/>
  <c r="O4632" i="23"/>
  <c r="O4628" i="23"/>
  <c r="O4624" i="23"/>
  <c r="O4620" i="23"/>
  <c r="O4616" i="23"/>
  <c r="O4612" i="23"/>
  <c r="O4608" i="23"/>
  <c r="O4604" i="23"/>
  <c r="O4600" i="23"/>
  <c r="O4596" i="23"/>
  <c r="O4592" i="23"/>
  <c r="O4588" i="23"/>
  <c r="O4584" i="23"/>
  <c r="O4580" i="23"/>
  <c r="O4576" i="23"/>
  <c r="O4572" i="23"/>
  <c r="O4568" i="23"/>
  <c r="O4564" i="23"/>
  <c r="O4560" i="23"/>
  <c r="O4556" i="23"/>
  <c r="O4552" i="23"/>
  <c r="O4548" i="23"/>
  <c r="O4544" i="23"/>
  <c r="O4540" i="23"/>
  <c r="O4536" i="23"/>
  <c r="O4532" i="23"/>
  <c r="O4528" i="23"/>
  <c r="O4524" i="23"/>
  <c r="O4520" i="23"/>
  <c r="O4516" i="23"/>
  <c r="O4512" i="23"/>
  <c r="O4508" i="23"/>
  <c r="O4504" i="23"/>
  <c r="O4500" i="23"/>
  <c r="O4496" i="23"/>
  <c r="O4492" i="23"/>
  <c r="O4488" i="23"/>
  <c r="O4484" i="23"/>
  <c r="O4480" i="23"/>
  <c r="O4476" i="23"/>
  <c r="O4472" i="23"/>
  <c r="O4468" i="23"/>
  <c r="O4464" i="23"/>
  <c r="O4460" i="23"/>
  <c r="O4456" i="23"/>
  <c r="O4452" i="23"/>
  <c r="O4448" i="23"/>
  <c r="O4444" i="23"/>
  <c r="O4440" i="23"/>
  <c r="O4436" i="23"/>
  <c r="O4432" i="23"/>
  <c r="O4428" i="23"/>
  <c r="O4424" i="23"/>
  <c r="O4420" i="23"/>
  <c r="O4416" i="23"/>
  <c r="O4412" i="23"/>
  <c r="O4408" i="23"/>
  <c r="O4925" i="23"/>
  <c r="O4909" i="23"/>
  <c r="O4893" i="23"/>
  <c r="O4877" i="23"/>
  <c r="O4861" i="23"/>
  <c r="O4845" i="23"/>
  <c r="O4829" i="23"/>
  <c r="O4813" i="23"/>
  <c r="O4797" i="23"/>
  <c r="O4781" i="23"/>
  <c r="O4765" i="23"/>
  <c r="O4749" i="23"/>
  <c r="O4733" i="23"/>
  <c r="O4717" i="23"/>
  <c r="O4705" i="23"/>
  <c r="O4697" i="23"/>
  <c r="O4689" i="23"/>
  <c r="O4681" i="23"/>
  <c r="O4673" i="23"/>
  <c r="O4665" i="23"/>
  <c r="O4659" i="23"/>
  <c r="O4655" i="23"/>
  <c r="O4651" i="23"/>
  <c r="O4647" i="23"/>
  <c r="O4643" i="23"/>
  <c r="O4639" i="23"/>
  <c r="O4635" i="23"/>
  <c r="O4631" i="23"/>
  <c r="O4627" i="23"/>
  <c r="O4623" i="23"/>
  <c r="O4619" i="23"/>
  <c r="O4615" i="23"/>
  <c r="O4611" i="23"/>
  <c r="O4607" i="23"/>
  <c r="O4603" i="23"/>
  <c r="O4599" i="23"/>
  <c r="O4595" i="23"/>
  <c r="O4591" i="23"/>
  <c r="O4587" i="23"/>
  <c r="O4583" i="23"/>
  <c r="O4579" i="23"/>
  <c r="O4575" i="23"/>
  <c r="O4571" i="23"/>
  <c r="O4567" i="23"/>
  <c r="O4563" i="23"/>
  <c r="O4559" i="23"/>
  <c r="O4555" i="23"/>
  <c r="O4551" i="23"/>
  <c r="O4547" i="23"/>
  <c r="O4543" i="23"/>
  <c r="O4539" i="23"/>
  <c r="O4535" i="23"/>
  <c r="O4531" i="23"/>
  <c r="O4527" i="23"/>
  <c r="O4523" i="23"/>
  <c r="O4519" i="23"/>
  <c r="O4515" i="23"/>
  <c r="O4511" i="23"/>
  <c r="O4507" i="23"/>
  <c r="O4503" i="23"/>
  <c r="O4499" i="23"/>
  <c r="O4495" i="23"/>
  <c r="O4491" i="23"/>
  <c r="O4487" i="23"/>
  <c r="O4483" i="23"/>
  <c r="O4479" i="23"/>
  <c r="O4475" i="23"/>
  <c r="O4471" i="23"/>
  <c r="O4467" i="23"/>
  <c r="O4463" i="23"/>
  <c r="O4459" i="23"/>
  <c r="O4455" i="23"/>
  <c r="O4451" i="23"/>
  <c r="O4447" i="23"/>
  <c r="O4443" i="23"/>
  <c r="O4439" i="23"/>
  <c r="O4435" i="23"/>
  <c r="O4431" i="23"/>
  <c r="O4427" i="23"/>
  <c r="O4423" i="23"/>
  <c r="O4419" i="23"/>
  <c r="O4415" i="23"/>
  <c r="O4411" i="23"/>
  <c r="O4407" i="23"/>
  <c r="O4404" i="23"/>
  <c r="O4399" i="23"/>
  <c r="O4395" i="23"/>
  <c r="O4391" i="23"/>
  <c r="O4387" i="23"/>
  <c r="O4383" i="23"/>
  <c r="O4379" i="23"/>
  <c r="O4375" i="23"/>
  <c r="O4371" i="23"/>
  <c r="O4367" i="23"/>
  <c r="O4363" i="23"/>
  <c r="O4359" i="23"/>
  <c r="O4355" i="23"/>
  <c r="O4351" i="23"/>
  <c r="O4347" i="23"/>
  <c r="O4343" i="23"/>
  <c r="O4339" i="23"/>
  <c r="O4335" i="23"/>
  <c r="O4331" i="23"/>
  <c r="O4327" i="23"/>
  <c r="O4323" i="23"/>
  <c r="O4319" i="23"/>
  <c r="O4315" i="23"/>
  <c r="O4311" i="23"/>
  <c r="O4307" i="23"/>
  <c r="O4303" i="23"/>
  <c r="O4299" i="23"/>
  <c r="O4295" i="23"/>
  <c r="O4291" i="23"/>
  <c r="O4287" i="23"/>
  <c r="O4283" i="23"/>
  <c r="O4279" i="23"/>
  <c r="O4275" i="23"/>
  <c r="O4271" i="23"/>
  <c r="O4267" i="23"/>
  <c r="O4263" i="23"/>
  <c r="O4259" i="23"/>
  <c r="O4255" i="23"/>
  <c r="O4251" i="23"/>
  <c r="O4247" i="23"/>
  <c r="O4243" i="23"/>
  <c r="O4239" i="23"/>
  <c r="O4235" i="23"/>
  <c r="O4231" i="23"/>
  <c r="O4227" i="23"/>
  <c r="O4223" i="23"/>
  <c r="O4219" i="23"/>
  <c r="O4215" i="23"/>
  <c r="O4211" i="23"/>
  <c r="O4207" i="23"/>
  <c r="O4203" i="23"/>
  <c r="O4199" i="23"/>
  <c r="O4195" i="23"/>
  <c r="O4191" i="23"/>
  <c r="O4187" i="23"/>
  <c r="O4183" i="23"/>
  <c r="O4179" i="23"/>
  <c r="O4175" i="23"/>
  <c r="O4171" i="23"/>
  <c r="O4167" i="23"/>
  <c r="O4163" i="23"/>
  <c r="O4159" i="23"/>
  <c r="O4155" i="23"/>
  <c r="O4151" i="23"/>
  <c r="O4147" i="23"/>
  <c r="O4143" i="23"/>
  <c r="O4139" i="23"/>
  <c r="O4135" i="23"/>
  <c r="O4131" i="23"/>
  <c r="O4127" i="23"/>
  <c r="O4123" i="23"/>
  <c r="O4119" i="23"/>
  <c r="O4115" i="23"/>
  <c r="O4111" i="23"/>
  <c r="O4107" i="23"/>
  <c r="O4103" i="23"/>
  <c r="O4099" i="23"/>
  <c r="O4403" i="23"/>
  <c r="O4398" i="23"/>
  <c r="O4394" i="23"/>
  <c r="O4390" i="23"/>
  <c r="O4386" i="23"/>
  <c r="O4382" i="23"/>
  <c r="O4378" i="23"/>
  <c r="O4374" i="23"/>
  <c r="O4370" i="23"/>
  <c r="O4366" i="23"/>
  <c r="O4362" i="23"/>
  <c r="O4358" i="23"/>
  <c r="O4354" i="23"/>
  <c r="O4350" i="23"/>
  <c r="O4346" i="23"/>
  <c r="O4342" i="23"/>
  <c r="O4338" i="23"/>
  <c r="O4334" i="23"/>
  <c r="O4330" i="23"/>
  <c r="O4326" i="23"/>
  <c r="O4322" i="23"/>
  <c r="O4318" i="23"/>
  <c r="O4314" i="23"/>
  <c r="O4310" i="23"/>
  <c r="O4306" i="23"/>
  <c r="O4302" i="23"/>
  <c r="O4298" i="23"/>
  <c r="O4294" i="23"/>
  <c r="O4290" i="23"/>
  <c r="O4286" i="23"/>
  <c r="O4282" i="23"/>
  <c r="O4278" i="23"/>
  <c r="O4274" i="23"/>
  <c r="O4270" i="23"/>
  <c r="O4266" i="23"/>
  <c r="O4262" i="23"/>
  <c r="O4258" i="23"/>
  <c r="O4254" i="23"/>
  <c r="O4250" i="23"/>
  <c r="O4246" i="23"/>
  <c r="O4242" i="23"/>
  <c r="O4238" i="23"/>
  <c r="O4234" i="23"/>
  <c r="O4230" i="23"/>
  <c r="O4226" i="23"/>
  <c r="O4222" i="23"/>
  <c r="O4218" i="23"/>
  <c r="O4214" i="23"/>
  <c r="O4210" i="23"/>
  <c r="O4206" i="23"/>
  <c r="O4202" i="23"/>
  <c r="O4198" i="23"/>
  <c r="O4194" i="23"/>
  <c r="O4190" i="23"/>
  <c r="O4186" i="23"/>
  <c r="O4182" i="23"/>
  <c r="O4178" i="23"/>
  <c r="O4174" i="23"/>
  <c r="O4170" i="23"/>
  <c r="O4166" i="23"/>
  <c r="O4162" i="23"/>
  <c r="O4158" i="23"/>
  <c r="O4154" i="23"/>
  <c r="O4150" i="23"/>
  <c r="O4146" i="23"/>
  <c r="O4142" i="23"/>
  <c r="O4138" i="23"/>
  <c r="O4134" i="23"/>
  <c r="O4130" i="23"/>
  <c r="O4126" i="23"/>
  <c r="O4122" i="23"/>
  <c r="O4118" i="23"/>
  <c r="O4114" i="23"/>
  <c r="O4110" i="23"/>
  <c r="O4106" i="23"/>
  <c r="O4102" i="23"/>
  <c r="O4098" i="23"/>
  <c r="O4094" i="23"/>
  <c r="O4090" i="23"/>
  <c r="O4086" i="23"/>
  <c r="O4082" i="23"/>
  <c r="O4078" i="23"/>
  <c r="O4401" i="23"/>
  <c r="O4397" i="23"/>
  <c r="O4393" i="23"/>
  <c r="O4389" i="23"/>
  <c r="O4385" i="23"/>
  <c r="O4381" i="23"/>
  <c r="O4377" i="23"/>
  <c r="O4373" i="23"/>
  <c r="O4369" i="23"/>
  <c r="O4365" i="23"/>
  <c r="O4361" i="23"/>
  <c r="O4357" i="23"/>
  <c r="O4353" i="23"/>
  <c r="O4349" i="23"/>
  <c r="O4345" i="23"/>
  <c r="O4341" i="23"/>
  <c r="O4337" i="23"/>
  <c r="O4333" i="23"/>
  <c r="O4329" i="23"/>
  <c r="O4325" i="23"/>
  <c r="O4321" i="23"/>
  <c r="O4317" i="23"/>
  <c r="O4313" i="23"/>
  <c r="O4309" i="23"/>
  <c r="O4305" i="23"/>
  <c r="O4301" i="23"/>
  <c r="O4297" i="23"/>
  <c r="O4293" i="23"/>
  <c r="O4289" i="23"/>
  <c r="O4285" i="23"/>
  <c r="O4281" i="23"/>
  <c r="O4277" i="23"/>
  <c r="O4273" i="23"/>
  <c r="O4269" i="23"/>
  <c r="O4265" i="23"/>
  <c r="O4261" i="23"/>
  <c r="O4257" i="23"/>
  <c r="O4253" i="23"/>
  <c r="O4249" i="23"/>
  <c r="O4245" i="23"/>
  <c r="O4241" i="23"/>
  <c r="O4237" i="23"/>
  <c r="O4233" i="23"/>
  <c r="O4229" i="23"/>
  <c r="O4225" i="23"/>
  <c r="O4221" i="23"/>
  <c r="O4217" i="23"/>
  <c r="O4213" i="23"/>
  <c r="O4209" i="23"/>
  <c r="O4205" i="23"/>
  <c r="O4201" i="23"/>
  <c r="O4197" i="23"/>
  <c r="O4193" i="23"/>
  <c r="O4189" i="23"/>
  <c r="O4185" i="23"/>
  <c r="O4181" i="23"/>
  <c r="O4177" i="23"/>
  <c r="O4173" i="23"/>
  <c r="O4169" i="23"/>
  <c r="O4165" i="23"/>
  <c r="O4161" i="23"/>
  <c r="O4157" i="23"/>
  <c r="O4153" i="23"/>
  <c r="O4149" i="23"/>
  <c r="O4145" i="23"/>
  <c r="O4141" i="23"/>
  <c r="O4137" i="23"/>
  <c r="O4133" i="23"/>
  <c r="O4129" i="23"/>
  <c r="O4125" i="23"/>
  <c r="O4121" i="23"/>
  <c r="O4117" i="23"/>
  <c r="O4113" i="23"/>
  <c r="O4109" i="23"/>
  <c r="O4105" i="23"/>
  <c r="O4101" i="23"/>
  <c r="O4097" i="23"/>
  <c r="O4093" i="23"/>
  <c r="O4089" i="23"/>
  <c r="O4085" i="23"/>
  <c r="O4081" i="23"/>
  <c r="O4077" i="23"/>
  <c r="O4073" i="23"/>
  <c r="O4069" i="23"/>
  <c r="O4065" i="23"/>
  <c r="O4400" i="23"/>
  <c r="O4396" i="23"/>
  <c r="O4392" i="23"/>
  <c r="O4388" i="23"/>
  <c r="O4384" i="23"/>
  <c r="O4380" i="23"/>
  <c r="O4376" i="23"/>
  <c r="O4372" i="23"/>
  <c r="O4368" i="23"/>
  <c r="O4364" i="23"/>
  <c r="O4360" i="23"/>
  <c r="O4356" i="23"/>
  <c r="O4352" i="23"/>
  <c r="O4348" i="23"/>
  <c r="O4344" i="23"/>
  <c r="O4340" i="23"/>
  <c r="O4336" i="23"/>
  <c r="O4332" i="23"/>
  <c r="O4328" i="23"/>
  <c r="O4324" i="23"/>
  <c r="O4320" i="23"/>
  <c r="O4316" i="23"/>
  <c r="O4312" i="23"/>
  <c r="O4308" i="23"/>
  <c r="O4304" i="23"/>
  <c r="O4300" i="23"/>
  <c r="O4296" i="23"/>
  <c r="O4292" i="23"/>
  <c r="O4288" i="23"/>
  <c r="O4284" i="23"/>
  <c r="O4280" i="23"/>
  <c r="O4276" i="23"/>
  <c r="O4272" i="23"/>
  <c r="O4268" i="23"/>
  <c r="O4264" i="23"/>
  <c r="O4260" i="23"/>
  <c r="O4256" i="23"/>
  <c r="O4252" i="23"/>
  <c r="O4248" i="23"/>
  <c r="O4244" i="23"/>
  <c r="O4240" i="23"/>
  <c r="O4236" i="23"/>
  <c r="O4232" i="23"/>
  <c r="O4228" i="23"/>
  <c r="O4224" i="23"/>
  <c r="O4220" i="23"/>
  <c r="O4216" i="23"/>
  <c r="O4212" i="23"/>
  <c r="O4208" i="23"/>
  <c r="O4204" i="23"/>
  <c r="O4200" i="23"/>
  <c r="O4196" i="23"/>
  <c r="O4192" i="23"/>
  <c r="O4188" i="23"/>
  <c r="O4184" i="23"/>
  <c r="O4180" i="23"/>
  <c r="O4176" i="23"/>
  <c r="O4172" i="23"/>
  <c r="O4168" i="23"/>
  <c r="O4164" i="23"/>
  <c r="O4160" i="23"/>
  <c r="O4156" i="23"/>
  <c r="O4152" i="23"/>
  <c r="O4148" i="23"/>
  <c r="O4144" i="23"/>
  <c r="O4140" i="23"/>
  <c r="O4136" i="23"/>
  <c r="O4132" i="23"/>
  <c r="O4128" i="23"/>
  <c r="O4124" i="23"/>
  <c r="O4120" i="23"/>
  <c r="O4116" i="23"/>
  <c r="O4112" i="23"/>
  <c r="O4108" i="23"/>
  <c r="O4104" i="23"/>
  <c r="O4100" i="23"/>
  <c r="O4096" i="23"/>
  <c r="O4092" i="23"/>
  <c r="O4088" i="23"/>
  <c r="O4084" i="23"/>
  <c r="O4080" i="23"/>
  <c r="O4076" i="23"/>
  <c r="O4072" i="23"/>
  <c r="O4068" i="23"/>
  <c r="O4095" i="23"/>
  <c r="O4079" i="23"/>
  <c r="O4070" i="23"/>
  <c r="O4063" i="23"/>
  <c r="O4059" i="23"/>
  <c r="O4055" i="23"/>
  <c r="O4051" i="23"/>
  <c r="O4047" i="23"/>
  <c r="O4043" i="23"/>
  <c r="O4039" i="23"/>
  <c r="O4035" i="23"/>
  <c r="O4031" i="23"/>
  <c r="O4027" i="23"/>
  <c r="O4023" i="23"/>
  <c r="O4019" i="23"/>
  <c r="O4015" i="23"/>
  <c r="O4011" i="23"/>
  <c r="O4007" i="23"/>
  <c r="O4003" i="23"/>
  <c r="O3999" i="23"/>
  <c r="O3995" i="23"/>
  <c r="O3991" i="23"/>
  <c r="O3987" i="23"/>
  <c r="O3983" i="23"/>
  <c r="O3979" i="23"/>
  <c r="O3975" i="23"/>
  <c r="O3971" i="23"/>
  <c r="O3967" i="23"/>
  <c r="O3963" i="23"/>
  <c r="O3959" i="23"/>
  <c r="O3955" i="23"/>
  <c r="O3951" i="23"/>
  <c r="O3947" i="23"/>
  <c r="O3943" i="23"/>
  <c r="O3939" i="23"/>
  <c r="O3935" i="23"/>
  <c r="O3931" i="23"/>
  <c r="O3927" i="23"/>
  <c r="O3923" i="23"/>
  <c r="O3919" i="23"/>
  <c r="O3915" i="23"/>
  <c r="O3911" i="23"/>
  <c r="O3907" i="23"/>
  <c r="O3903" i="23"/>
  <c r="O3899" i="23"/>
  <c r="O3895" i="23"/>
  <c r="O3891" i="23"/>
  <c r="O3887" i="23"/>
  <c r="O3883" i="23"/>
  <c r="O3879" i="23"/>
  <c r="O3875" i="23"/>
  <c r="O3871" i="23"/>
  <c r="O3867" i="23"/>
  <c r="O3863" i="23"/>
  <c r="O3859" i="23"/>
  <c r="O3855" i="23"/>
  <c r="O3851" i="23"/>
  <c r="O3847" i="23"/>
  <c r="O3843" i="23"/>
  <c r="O3839" i="23"/>
  <c r="O3835" i="23"/>
  <c r="O3831" i="23"/>
  <c r="O3827" i="23"/>
  <c r="O3823" i="23"/>
  <c r="O3819" i="23"/>
  <c r="O3815" i="23"/>
  <c r="O3811" i="23"/>
  <c r="O3807" i="23"/>
  <c r="O3803" i="23"/>
  <c r="O3799" i="23"/>
  <c r="O3795" i="23"/>
  <c r="O3791" i="23"/>
  <c r="O3787" i="23"/>
  <c r="O3783" i="23"/>
  <c r="O3779" i="23"/>
  <c r="O3775" i="23"/>
  <c r="O3771" i="23"/>
  <c r="O3767" i="23"/>
  <c r="O3763" i="23"/>
  <c r="O3759" i="23"/>
  <c r="O3755" i="23"/>
  <c r="O3751" i="23"/>
  <c r="O3747" i="23"/>
  <c r="O3743" i="23"/>
  <c r="O3739" i="23"/>
  <c r="O3735" i="23"/>
  <c r="O4091" i="23"/>
  <c r="O4075" i="23"/>
  <c r="O4067" i="23"/>
  <c r="O4062" i="23"/>
  <c r="O4058" i="23"/>
  <c r="O4054" i="23"/>
  <c r="O4050" i="23"/>
  <c r="O4046" i="23"/>
  <c r="O4042" i="23"/>
  <c r="O4038" i="23"/>
  <c r="O4034" i="23"/>
  <c r="O4030" i="23"/>
  <c r="O4026" i="23"/>
  <c r="O4022" i="23"/>
  <c r="O4018" i="23"/>
  <c r="O4014" i="23"/>
  <c r="O4010" i="23"/>
  <c r="O4006" i="23"/>
  <c r="O4002" i="23"/>
  <c r="O3998" i="23"/>
  <c r="O3994" i="23"/>
  <c r="O3990" i="23"/>
  <c r="O3986" i="23"/>
  <c r="O3982" i="23"/>
  <c r="O3978" i="23"/>
  <c r="O3974" i="23"/>
  <c r="O3970" i="23"/>
  <c r="O3966" i="23"/>
  <c r="O3962" i="23"/>
  <c r="O3958" i="23"/>
  <c r="O3954" i="23"/>
  <c r="O3950" i="23"/>
  <c r="O3946" i="23"/>
  <c r="O3942" i="23"/>
  <c r="O3938" i="23"/>
  <c r="O3934" i="23"/>
  <c r="O3930" i="23"/>
  <c r="O3926" i="23"/>
  <c r="O3922" i="23"/>
  <c r="O3918" i="23"/>
  <c r="O3914" i="23"/>
  <c r="O3910" i="23"/>
  <c r="O3906" i="23"/>
  <c r="O3902" i="23"/>
  <c r="O3898" i="23"/>
  <c r="O3894" i="23"/>
  <c r="O3890" i="23"/>
  <c r="O3886" i="23"/>
  <c r="O3882" i="23"/>
  <c r="O3878" i="23"/>
  <c r="O3874" i="23"/>
  <c r="O3870" i="23"/>
  <c r="O3866" i="23"/>
  <c r="O3862" i="23"/>
  <c r="O3858" i="23"/>
  <c r="O3854" i="23"/>
  <c r="O3850" i="23"/>
  <c r="O3846" i="23"/>
  <c r="O3842" i="23"/>
  <c r="O3838" i="23"/>
  <c r="O3834" i="23"/>
  <c r="O3830" i="23"/>
  <c r="O3826" i="23"/>
  <c r="O3822" i="23"/>
  <c r="O3818" i="23"/>
  <c r="O3814" i="23"/>
  <c r="O3810" i="23"/>
  <c r="O3806" i="23"/>
  <c r="O3802" i="23"/>
  <c r="O3798" i="23"/>
  <c r="O3794" i="23"/>
  <c r="O3790" i="23"/>
  <c r="O3786" i="23"/>
  <c r="O3782" i="23"/>
  <c r="O3778" i="23"/>
  <c r="O3774" i="23"/>
  <c r="O3770" i="23"/>
  <c r="O3766" i="23"/>
  <c r="O3762" i="23"/>
  <c r="O3758" i="23"/>
  <c r="O3754" i="23"/>
  <c r="O3750" i="23"/>
  <c r="O3746" i="23"/>
  <c r="O3742" i="23"/>
  <c r="O3738" i="23"/>
  <c r="O3734" i="23"/>
  <c r="O4087" i="23"/>
  <c r="O4074" i="23"/>
  <c r="O4066" i="23"/>
  <c r="O4061" i="23"/>
  <c r="O4057" i="23"/>
  <c r="O4053" i="23"/>
  <c r="O4049" i="23"/>
  <c r="O4045" i="23"/>
  <c r="O4041" i="23"/>
  <c r="O4037" i="23"/>
  <c r="O4033" i="23"/>
  <c r="O4029" i="23"/>
  <c r="O4025" i="23"/>
  <c r="O4021" i="23"/>
  <c r="O4017" i="23"/>
  <c r="O4013" i="23"/>
  <c r="O4009" i="23"/>
  <c r="O4005" i="23"/>
  <c r="O4001" i="23"/>
  <c r="O3997" i="23"/>
  <c r="O3993" i="23"/>
  <c r="O3989" i="23"/>
  <c r="O3985" i="23"/>
  <c r="O3981" i="23"/>
  <c r="O3977" i="23"/>
  <c r="O3973" i="23"/>
  <c r="O3969" i="23"/>
  <c r="O3965" i="23"/>
  <c r="O3961" i="23"/>
  <c r="O3957" i="23"/>
  <c r="O3953" i="23"/>
  <c r="O3949" i="23"/>
  <c r="O3945" i="23"/>
  <c r="O3941" i="23"/>
  <c r="O3937" i="23"/>
  <c r="O3933" i="23"/>
  <c r="O3929" i="23"/>
  <c r="O3925" i="23"/>
  <c r="O3921" i="23"/>
  <c r="O3917" i="23"/>
  <c r="O3913" i="23"/>
  <c r="O3909" i="23"/>
  <c r="O3905" i="23"/>
  <c r="O3901" i="23"/>
  <c r="O3897" i="23"/>
  <c r="O3893" i="23"/>
  <c r="O3889" i="23"/>
  <c r="O3885" i="23"/>
  <c r="O3881" i="23"/>
  <c r="O3877" i="23"/>
  <c r="O3873" i="23"/>
  <c r="O3869" i="23"/>
  <c r="O3865" i="23"/>
  <c r="O3861" i="23"/>
  <c r="O3857" i="23"/>
  <c r="O3853" i="23"/>
  <c r="O3849" i="23"/>
  <c r="O3845" i="23"/>
  <c r="O3841" i="23"/>
  <c r="O3837" i="23"/>
  <c r="O3833" i="23"/>
  <c r="O3829" i="23"/>
  <c r="O3825" i="23"/>
  <c r="O3821" i="23"/>
  <c r="O3817" i="23"/>
  <c r="O3813" i="23"/>
  <c r="O3809" i="23"/>
  <c r="O3805" i="23"/>
  <c r="O3801" i="23"/>
  <c r="O3797" i="23"/>
  <c r="O3793" i="23"/>
  <c r="O3789" i="23"/>
  <c r="O3785" i="23"/>
  <c r="O3781" i="23"/>
  <c r="O3777" i="23"/>
  <c r="O3773" i="23"/>
  <c r="O3769" i="23"/>
  <c r="O3765" i="23"/>
  <c r="O3761" i="23"/>
  <c r="O3757" i="23"/>
  <c r="O3753" i="23"/>
  <c r="O3749" i="23"/>
  <c r="O3745" i="23"/>
  <c r="O3741" i="23"/>
  <c r="O3737" i="23"/>
  <c r="O3733" i="23"/>
  <c r="O4083" i="23"/>
  <c r="O4071" i="23"/>
  <c r="O4064" i="23"/>
  <c r="O4060" i="23"/>
  <c r="O4056" i="23"/>
  <c r="O4052" i="23"/>
  <c r="O4048" i="23"/>
  <c r="O4044" i="23"/>
  <c r="O4040" i="23"/>
  <c r="O4036" i="23"/>
  <c r="O4032" i="23"/>
  <c r="O4028" i="23"/>
  <c r="O4024" i="23"/>
  <c r="O4020" i="23"/>
  <c r="O4016" i="23"/>
  <c r="O4012" i="23"/>
  <c r="O4008" i="23"/>
  <c r="O4004" i="23"/>
  <c r="O4000" i="23"/>
  <c r="O3996" i="23"/>
  <c r="O3992" i="23"/>
  <c r="O3988" i="23"/>
  <c r="O3984" i="23"/>
  <c r="O3980" i="23"/>
  <c r="O3976" i="23"/>
  <c r="O3972" i="23"/>
  <c r="O3968" i="23"/>
  <c r="O3964" i="23"/>
  <c r="O3960" i="23"/>
  <c r="O3956" i="23"/>
  <c r="O3952" i="23"/>
  <c r="O3948" i="23"/>
  <c r="O3944" i="23"/>
  <c r="O3940" i="23"/>
  <c r="O3936" i="23"/>
  <c r="O3932" i="23"/>
  <c r="O3928" i="23"/>
  <c r="O3924" i="23"/>
  <c r="O3920" i="23"/>
  <c r="O3916" i="23"/>
  <c r="O3912" i="23"/>
  <c r="O3908" i="23"/>
  <c r="O3904" i="23"/>
  <c r="O3900" i="23"/>
  <c r="O3896" i="23"/>
  <c r="O3892" i="23"/>
  <c r="O3888" i="23"/>
  <c r="O3884" i="23"/>
  <c r="O3880" i="23"/>
  <c r="O3876" i="23"/>
  <c r="O3872" i="23"/>
  <c r="O3868" i="23"/>
  <c r="O3864" i="23"/>
  <c r="O3860" i="23"/>
  <c r="O3856" i="23"/>
  <c r="O3852" i="23"/>
  <c r="O3848" i="23"/>
  <c r="O3844" i="23"/>
  <c r="O3840" i="23"/>
  <c r="O3836" i="23"/>
  <c r="O3832" i="23"/>
  <c r="O3828" i="23"/>
  <c r="O3824" i="23"/>
  <c r="O3820" i="23"/>
  <c r="O3816" i="23"/>
  <c r="O3812" i="23"/>
  <c r="O3808" i="23"/>
  <c r="O3804" i="23"/>
  <c r="O3800" i="23"/>
  <c r="O3796" i="23"/>
  <c r="O3792" i="23"/>
  <c r="O3788" i="23"/>
  <c r="O3784" i="23"/>
  <c r="O3780" i="23"/>
  <c r="O3776" i="23"/>
  <c r="O3772" i="23"/>
  <c r="O3768" i="23"/>
  <c r="O3764" i="23"/>
  <c r="O3760" i="23"/>
  <c r="O3756" i="23"/>
  <c r="O3752" i="23"/>
  <c r="O3748" i="23"/>
  <c r="O3744" i="23"/>
  <c r="O3740" i="23"/>
  <c r="O3736" i="23"/>
  <c r="O3732" i="23"/>
  <c r="O3728" i="23"/>
  <c r="O3724" i="23"/>
  <c r="O3720" i="23"/>
  <c r="O3716" i="23"/>
  <c r="O3712" i="23"/>
  <c r="O3708" i="23"/>
  <c r="O3704" i="23"/>
  <c r="O3700" i="23"/>
  <c r="O3696" i="23"/>
  <c r="O3692" i="23"/>
  <c r="O3688" i="23"/>
  <c r="O3684" i="23"/>
  <c r="O3680" i="23"/>
  <c r="O3676" i="23"/>
  <c r="O3672" i="23"/>
  <c r="O3668" i="23"/>
  <c r="O3664" i="23"/>
  <c r="O3660" i="23"/>
  <c r="O3656" i="23"/>
  <c r="O3652" i="23"/>
  <c r="O3648" i="23"/>
  <c r="O3644" i="23"/>
  <c r="O3640" i="23"/>
  <c r="O3636" i="23"/>
  <c r="O3632" i="23"/>
  <c r="O3628" i="23"/>
  <c r="O3624" i="23"/>
  <c r="O3620" i="23"/>
  <c r="O3616" i="23"/>
  <c r="O3612" i="23"/>
  <c r="O3608" i="23"/>
  <c r="O3604" i="23"/>
  <c r="O3600" i="23"/>
  <c r="O3596" i="23"/>
  <c r="O3592" i="23"/>
  <c r="O3588" i="23"/>
  <c r="O3584" i="23"/>
  <c r="O3580" i="23"/>
  <c r="O3576" i="23"/>
  <c r="O3572" i="23"/>
  <c r="O3568" i="23"/>
  <c r="O3564" i="23"/>
  <c r="O3560" i="23"/>
  <c r="O3556" i="23"/>
  <c r="O3552" i="23"/>
  <c r="O3548" i="23"/>
  <c r="O3544" i="23"/>
  <c r="O3540" i="23"/>
  <c r="O3536" i="23"/>
  <c r="O3532" i="23"/>
  <c r="O3528" i="23"/>
  <c r="O3524" i="23"/>
  <c r="O3520" i="23"/>
  <c r="O3516" i="23"/>
  <c r="O3512" i="23"/>
  <c r="O3508" i="23"/>
  <c r="O3504" i="23"/>
  <c r="O3500" i="23"/>
  <c r="O3496" i="23"/>
  <c r="O3492" i="23"/>
  <c r="O3488" i="23"/>
  <c r="O3484" i="23"/>
  <c r="O3480" i="23"/>
  <c r="O3476" i="23"/>
  <c r="O3472" i="23"/>
  <c r="O3468" i="23"/>
  <c r="O3464" i="23"/>
  <c r="O3460" i="23"/>
  <c r="O3456" i="23"/>
  <c r="O3452" i="23"/>
  <c r="O3448" i="23"/>
  <c r="O3444" i="23"/>
  <c r="O3440" i="23"/>
  <c r="O3436" i="23"/>
  <c r="O3432" i="23"/>
  <c r="O3428" i="23"/>
  <c r="O3424" i="23"/>
  <c r="O3420" i="23"/>
  <c r="O3416" i="23"/>
  <c r="O3412" i="23"/>
  <c r="O3408" i="23"/>
  <c r="O3404" i="23"/>
  <c r="O3400" i="23"/>
  <c r="O3396" i="23"/>
  <c r="O3392" i="23"/>
  <c r="O3388" i="23"/>
  <c r="O3384" i="23"/>
  <c r="O3380" i="23"/>
  <c r="O3376" i="23"/>
  <c r="O3372" i="23"/>
  <c r="O3368" i="23"/>
  <c r="O3364" i="23"/>
  <c r="O3360" i="23"/>
  <c r="O3356" i="23"/>
  <c r="O3352" i="23"/>
  <c r="O3348" i="23"/>
  <c r="O3344" i="23"/>
  <c r="O3340" i="23"/>
  <c r="O3336" i="23"/>
  <c r="O3332" i="23"/>
  <c r="O3328" i="23"/>
  <c r="O3324" i="23"/>
  <c r="O3320" i="23"/>
  <c r="O3316" i="23"/>
  <c r="O3312" i="23"/>
  <c r="O3308" i="23"/>
  <c r="O3304" i="23"/>
  <c r="O3300" i="23"/>
  <c r="O3296" i="23"/>
  <c r="O3292" i="23"/>
  <c r="O3288" i="23"/>
  <c r="O3284" i="23"/>
  <c r="O3280" i="23"/>
  <c r="O3276" i="23"/>
  <c r="O3272" i="23"/>
  <c r="O3268" i="23"/>
  <c r="O3264" i="23"/>
  <c r="O3260" i="23"/>
  <c r="O3256" i="23"/>
  <c r="O3252" i="23"/>
  <c r="O3248" i="23"/>
  <c r="O3244" i="23"/>
  <c r="O3240" i="23"/>
  <c r="O3236" i="23"/>
  <c r="O3232" i="23"/>
  <c r="O3228" i="23"/>
  <c r="O3224" i="23"/>
  <c r="O3220" i="23"/>
  <c r="O3216" i="23"/>
  <c r="O3212" i="23"/>
  <c r="O3208" i="23"/>
  <c r="O3204" i="23"/>
  <c r="O3200" i="23"/>
  <c r="O3196" i="23"/>
  <c r="O3192" i="23"/>
  <c r="O3188" i="23"/>
  <c r="O3184" i="23"/>
  <c r="O3180" i="23"/>
  <c r="O3176" i="23"/>
  <c r="O3172" i="23"/>
  <c r="O3168" i="23"/>
  <c r="O3164" i="23"/>
  <c r="O3160" i="23"/>
  <c r="O3156" i="23"/>
  <c r="O3152" i="23"/>
  <c r="O3148" i="23"/>
  <c r="O3144" i="23"/>
  <c r="O3140" i="23"/>
  <c r="O3136" i="23"/>
  <c r="O3132" i="23"/>
  <c r="O3128" i="23"/>
  <c r="O3124" i="23"/>
  <c r="O3120" i="23"/>
  <c r="O3116" i="23"/>
  <c r="O3112" i="23"/>
  <c r="O3108" i="23"/>
  <c r="O3104" i="23"/>
  <c r="O3100" i="23"/>
  <c r="O3096" i="23"/>
  <c r="O3092" i="23"/>
  <c r="O3088" i="23"/>
  <c r="O3084" i="23"/>
  <c r="O3080" i="23"/>
  <c r="O3076" i="23"/>
  <c r="O3072" i="23"/>
  <c r="O3068" i="23"/>
  <c r="O3731" i="23"/>
  <c r="O3727" i="23"/>
  <c r="O3723" i="23"/>
  <c r="O3719" i="23"/>
  <c r="O3715" i="23"/>
  <c r="O3711" i="23"/>
  <c r="O3707" i="23"/>
  <c r="O3703" i="23"/>
  <c r="O3699" i="23"/>
  <c r="O3695" i="23"/>
  <c r="O3691" i="23"/>
  <c r="O3687" i="23"/>
  <c r="O3683" i="23"/>
  <c r="O3679" i="23"/>
  <c r="O3675" i="23"/>
  <c r="O3671" i="23"/>
  <c r="O3667" i="23"/>
  <c r="O3663" i="23"/>
  <c r="O3659" i="23"/>
  <c r="O3655" i="23"/>
  <c r="O3651" i="23"/>
  <c r="O3647" i="23"/>
  <c r="O3643" i="23"/>
  <c r="O3639" i="23"/>
  <c r="O3635" i="23"/>
  <c r="O3631" i="23"/>
  <c r="O3627" i="23"/>
  <c r="O3623" i="23"/>
  <c r="O3619" i="23"/>
  <c r="O3615" i="23"/>
  <c r="O3611" i="23"/>
  <c r="O3607" i="23"/>
  <c r="O3603" i="23"/>
  <c r="O3599" i="23"/>
  <c r="O3595" i="23"/>
  <c r="O3591" i="23"/>
  <c r="O3587" i="23"/>
  <c r="O3583" i="23"/>
  <c r="O3579" i="23"/>
  <c r="O3575" i="23"/>
  <c r="O3571" i="23"/>
  <c r="O3567" i="23"/>
  <c r="O3563" i="23"/>
  <c r="O3559" i="23"/>
  <c r="O3555" i="23"/>
  <c r="O3551" i="23"/>
  <c r="O3547" i="23"/>
  <c r="O3543" i="23"/>
  <c r="O3539" i="23"/>
  <c r="O3535" i="23"/>
  <c r="O3531" i="23"/>
  <c r="O3527" i="23"/>
  <c r="O3523" i="23"/>
  <c r="O3519" i="23"/>
  <c r="O3515" i="23"/>
  <c r="O3511" i="23"/>
  <c r="O3507" i="23"/>
  <c r="O3503" i="23"/>
  <c r="O3499" i="23"/>
  <c r="O3495" i="23"/>
  <c r="O3491" i="23"/>
  <c r="O3487" i="23"/>
  <c r="O3483" i="23"/>
  <c r="O3479" i="23"/>
  <c r="O3475" i="23"/>
  <c r="O3471" i="23"/>
  <c r="O3467" i="23"/>
  <c r="O3463" i="23"/>
  <c r="O3459" i="23"/>
  <c r="O3455" i="23"/>
  <c r="O3451" i="23"/>
  <c r="O3447" i="23"/>
  <c r="O3443" i="23"/>
  <c r="O3439" i="23"/>
  <c r="O3435" i="23"/>
  <c r="O3431" i="23"/>
  <c r="O3427" i="23"/>
  <c r="O3423" i="23"/>
  <c r="O3419" i="23"/>
  <c r="O3415" i="23"/>
  <c r="O3411" i="23"/>
  <c r="O3407" i="23"/>
  <c r="O3403" i="23"/>
  <c r="O3399" i="23"/>
  <c r="O3395" i="23"/>
  <c r="O3391" i="23"/>
  <c r="O3387" i="23"/>
  <c r="O3383" i="23"/>
  <c r="O3379" i="23"/>
  <c r="O3375" i="23"/>
  <c r="O3371" i="23"/>
  <c r="O3367" i="23"/>
  <c r="O3363" i="23"/>
  <c r="O3359" i="23"/>
  <c r="O3355" i="23"/>
  <c r="O3351" i="23"/>
  <c r="O3347" i="23"/>
  <c r="O3343" i="23"/>
  <c r="O3339" i="23"/>
  <c r="O3335" i="23"/>
  <c r="O3331" i="23"/>
  <c r="O3327" i="23"/>
  <c r="O3323" i="23"/>
  <c r="O3319" i="23"/>
  <c r="O3315" i="23"/>
  <c r="O3311" i="23"/>
  <c r="O3307" i="23"/>
  <c r="O3303" i="23"/>
  <c r="O3299" i="23"/>
  <c r="O3295" i="23"/>
  <c r="O3291" i="23"/>
  <c r="O3287" i="23"/>
  <c r="O3283" i="23"/>
  <c r="O3279" i="23"/>
  <c r="O3275" i="23"/>
  <c r="O3271" i="23"/>
  <c r="O3267" i="23"/>
  <c r="O3263" i="23"/>
  <c r="O3259" i="23"/>
  <c r="O3255" i="23"/>
  <c r="O3251" i="23"/>
  <c r="O3247" i="23"/>
  <c r="O3243" i="23"/>
  <c r="O3239" i="23"/>
  <c r="O3235" i="23"/>
  <c r="O3231" i="23"/>
  <c r="O3227" i="23"/>
  <c r="O3223" i="23"/>
  <c r="O3219" i="23"/>
  <c r="O3215" i="23"/>
  <c r="O3211" i="23"/>
  <c r="O3207" i="23"/>
  <c r="O3203" i="23"/>
  <c r="O3199" i="23"/>
  <c r="O3195" i="23"/>
  <c r="O3191" i="23"/>
  <c r="O3187" i="23"/>
  <c r="O3183" i="23"/>
  <c r="O3179" i="23"/>
  <c r="O3175" i="23"/>
  <c r="O3171" i="23"/>
  <c r="O3167" i="23"/>
  <c r="O3163" i="23"/>
  <c r="O3159" i="23"/>
  <c r="O3155" i="23"/>
  <c r="O3151" i="23"/>
  <c r="O3147" i="23"/>
  <c r="O3143" i="23"/>
  <c r="O3139" i="23"/>
  <c r="O3135" i="23"/>
  <c r="O3131" i="23"/>
  <c r="O3127" i="23"/>
  <c r="O3123" i="23"/>
  <c r="O3119" i="23"/>
  <c r="O3115" i="23"/>
  <c r="O3111" i="23"/>
  <c r="O3107" i="23"/>
  <c r="O3103" i="23"/>
  <c r="O3099" i="23"/>
  <c r="O3095" i="23"/>
  <c r="O3091" i="23"/>
  <c r="O3087" i="23"/>
  <c r="O3083" i="23"/>
  <c r="O3079" i="23"/>
  <c r="O3075" i="23"/>
  <c r="O3071" i="23"/>
  <c r="O3067" i="23"/>
  <c r="O3063" i="23"/>
  <c r="O3059" i="23"/>
  <c r="O3055" i="23"/>
  <c r="O3730" i="23"/>
  <c r="O3726" i="23"/>
  <c r="O3722" i="23"/>
  <c r="O3718" i="23"/>
  <c r="O3714" i="23"/>
  <c r="O3710" i="23"/>
  <c r="O3706" i="23"/>
  <c r="O3702" i="23"/>
  <c r="O3698" i="23"/>
  <c r="O3694" i="23"/>
  <c r="O3690" i="23"/>
  <c r="O3686" i="23"/>
  <c r="O3682" i="23"/>
  <c r="O3678" i="23"/>
  <c r="O3674" i="23"/>
  <c r="O3670" i="23"/>
  <c r="O3666" i="23"/>
  <c r="O3662" i="23"/>
  <c r="O3658" i="23"/>
  <c r="O3654" i="23"/>
  <c r="O3650" i="23"/>
  <c r="O3646" i="23"/>
  <c r="O3642" i="23"/>
  <c r="O3638" i="23"/>
  <c r="O3634" i="23"/>
  <c r="O3630" i="23"/>
  <c r="O3626" i="23"/>
  <c r="O3622" i="23"/>
  <c r="O3618" i="23"/>
  <c r="O3614" i="23"/>
  <c r="O3610" i="23"/>
  <c r="O3606" i="23"/>
  <c r="O3602" i="23"/>
  <c r="O3598" i="23"/>
  <c r="O3594" i="23"/>
  <c r="O3590" i="23"/>
  <c r="O3586" i="23"/>
  <c r="O3582" i="23"/>
  <c r="O3578" i="23"/>
  <c r="O3574" i="23"/>
  <c r="O3570" i="23"/>
  <c r="O3566" i="23"/>
  <c r="O3562" i="23"/>
  <c r="O3558" i="23"/>
  <c r="O3554" i="23"/>
  <c r="O3550" i="23"/>
  <c r="O3546" i="23"/>
  <c r="O3542" i="23"/>
  <c r="O3538" i="23"/>
  <c r="O3534" i="23"/>
  <c r="O3530" i="23"/>
  <c r="O3526" i="23"/>
  <c r="O3522" i="23"/>
  <c r="O3518" i="23"/>
  <c r="O3514" i="23"/>
  <c r="O3510" i="23"/>
  <c r="O3506" i="23"/>
  <c r="O3502" i="23"/>
  <c r="O3498" i="23"/>
  <c r="O3494" i="23"/>
  <c r="O3490" i="23"/>
  <c r="O3486" i="23"/>
  <c r="O3482" i="23"/>
  <c r="O3478" i="23"/>
  <c r="O3474" i="23"/>
  <c r="O3470" i="23"/>
  <c r="O3466" i="23"/>
  <c r="O3462" i="23"/>
  <c r="O3458" i="23"/>
  <c r="O3454" i="23"/>
  <c r="O3450" i="23"/>
  <c r="O3446" i="23"/>
  <c r="O3442" i="23"/>
  <c r="O3438" i="23"/>
  <c r="O3434" i="23"/>
  <c r="O3430" i="23"/>
  <c r="O3426" i="23"/>
  <c r="O3422" i="23"/>
  <c r="O3418" i="23"/>
  <c r="O3414" i="23"/>
  <c r="O3410" i="23"/>
  <c r="O3406" i="23"/>
  <c r="O3402" i="23"/>
  <c r="O3398" i="23"/>
  <c r="O3394" i="23"/>
  <c r="O3390" i="23"/>
  <c r="O3386" i="23"/>
  <c r="O3382" i="23"/>
  <c r="O3378" i="23"/>
  <c r="O3374" i="23"/>
  <c r="O3370" i="23"/>
  <c r="O3366" i="23"/>
  <c r="O3362" i="23"/>
  <c r="O3358" i="23"/>
  <c r="O3354" i="23"/>
  <c r="O3350" i="23"/>
  <c r="O3346" i="23"/>
  <c r="O3342" i="23"/>
  <c r="O3338" i="23"/>
  <c r="O3334" i="23"/>
  <c r="O3330" i="23"/>
  <c r="O3326" i="23"/>
  <c r="O3322" i="23"/>
  <c r="O3318" i="23"/>
  <c r="O3314" i="23"/>
  <c r="O3310" i="23"/>
  <c r="O3306" i="23"/>
  <c r="O3302" i="23"/>
  <c r="O3298" i="23"/>
  <c r="O3294" i="23"/>
  <c r="O3290" i="23"/>
  <c r="O3286" i="23"/>
  <c r="O3282" i="23"/>
  <c r="O3278" i="23"/>
  <c r="O3274" i="23"/>
  <c r="O3270" i="23"/>
  <c r="O3266" i="23"/>
  <c r="O3262" i="23"/>
  <c r="O3258" i="23"/>
  <c r="O3254" i="23"/>
  <c r="O3250" i="23"/>
  <c r="O3246" i="23"/>
  <c r="O3242" i="23"/>
  <c r="O3238" i="23"/>
  <c r="O3234" i="23"/>
  <c r="O3230" i="23"/>
  <c r="O3226" i="23"/>
  <c r="O3222" i="23"/>
  <c r="O3218" i="23"/>
  <c r="O3214" i="23"/>
  <c r="O3210" i="23"/>
  <c r="O3206" i="23"/>
  <c r="O3202" i="23"/>
  <c r="O3198" i="23"/>
  <c r="O3194" i="23"/>
  <c r="O3190" i="23"/>
  <c r="O3186" i="23"/>
  <c r="O3182" i="23"/>
  <c r="O3178" i="23"/>
  <c r="O3174" i="23"/>
  <c r="O3170" i="23"/>
  <c r="O3166" i="23"/>
  <c r="O3162" i="23"/>
  <c r="O3158" i="23"/>
  <c r="O3154" i="23"/>
  <c r="O3150" i="23"/>
  <c r="O3146" i="23"/>
  <c r="O3142" i="23"/>
  <c r="O3138" i="23"/>
  <c r="O3134" i="23"/>
  <c r="O3130" i="23"/>
  <c r="O3126" i="23"/>
  <c r="O3122" i="23"/>
  <c r="O3118" i="23"/>
  <c r="O3114" i="23"/>
  <c r="O3110" i="23"/>
  <c r="O3106" i="23"/>
  <c r="O3102" i="23"/>
  <c r="O3098" i="23"/>
  <c r="O3094" i="23"/>
  <c r="O3090" i="23"/>
  <c r="O3086" i="23"/>
  <c r="O3082" i="23"/>
  <c r="O3078" i="23"/>
  <c r="O3074" i="23"/>
  <c r="O3070" i="23"/>
  <c r="O3066" i="23"/>
  <c r="O3062" i="23"/>
  <c r="O3729" i="23"/>
  <c r="O3725" i="23"/>
  <c r="O3721" i="23"/>
  <c r="O3717" i="23"/>
  <c r="O3713" i="23"/>
  <c r="O3709" i="23"/>
  <c r="O3705" i="23"/>
  <c r="O3701" i="23"/>
  <c r="O3697" i="23"/>
  <c r="O3693" i="23"/>
  <c r="O3689" i="23"/>
  <c r="O3685" i="23"/>
  <c r="O3681" i="23"/>
  <c r="O3677" i="23"/>
  <c r="O3673" i="23"/>
  <c r="O3669" i="23"/>
  <c r="O3665" i="23"/>
  <c r="O3661" i="23"/>
  <c r="O3657" i="23"/>
  <c r="O3653" i="23"/>
  <c r="O3649" i="23"/>
  <c r="O3645" i="23"/>
  <c r="O3641" i="23"/>
  <c r="O3637" i="23"/>
  <c r="O3633" i="23"/>
  <c r="O3629" i="23"/>
  <c r="O3625" i="23"/>
  <c r="O3621" i="23"/>
  <c r="O3617" i="23"/>
  <c r="O3613" i="23"/>
  <c r="O3609" i="23"/>
  <c r="O3605" i="23"/>
  <c r="O3601" i="23"/>
  <c r="O3597" i="23"/>
  <c r="O3593" i="23"/>
  <c r="O3589" i="23"/>
  <c r="O3585" i="23"/>
  <c r="O3581" i="23"/>
  <c r="O3577" i="23"/>
  <c r="O3573" i="23"/>
  <c r="O3569" i="23"/>
  <c r="O3565" i="23"/>
  <c r="O3561" i="23"/>
  <c r="O3557" i="23"/>
  <c r="O3553" i="23"/>
  <c r="O3549" i="23"/>
  <c r="O3545" i="23"/>
  <c r="O3541" i="23"/>
  <c r="O3537" i="23"/>
  <c r="O3533" i="23"/>
  <c r="O3529" i="23"/>
  <c r="O3525" i="23"/>
  <c r="O3521" i="23"/>
  <c r="O3517" i="23"/>
  <c r="O3513" i="23"/>
  <c r="O3509" i="23"/>
  <c r="O3505" i="23"/>
  <c r="O3501" i="23"/>
  <c r="O3497" i="23"/>
  <c r="O3493" i="23"/>
  <c r="O3489" i="23"/>
  <c r="O3485" i="23"/>
  <c r="O3481" i="23"/>
  <c r="O3477" i="23"/>
  <c r="O3473" i="23"/>
  <c r="O3469" i="23"/>
  <c r="O3465" i="23"/>
  <c r="O3461" i="23"/>
  <c r="O3457" i="23"/>
  <c r="O3453" i="23"/>
  <c r="O3449" i="23"/>
  <c r="O3445" i="23"/>
  <c r="O3441" i="23"/>
  <c r="O3437" i="23"/>
  <c r="O3433" i="23"/>
  <c r="O3429" i="23"/>
  <c r="O3425" i="23"/>
  <c r="O3421" i="23"/>
  <c r="O3417" i="23"/>
  <c r="O3413" i="23"/>
  <c r="O3409" i="23"/>
  <c r="O3405" i="23"/>
  <c r="O3401" i="23"/>
  <c r="O3397" i="23"/>
  <c r="O3393" i="23"/>
  <c r="O3389" i="23"/>
  <c r="O3385" i="23"/>
  <c r="O3381" i="23"/>
  <c r="O3377" i="23"/>
  <c r="O3373" i="23"/>
  <c r="O3369" i="23"/>
  <c r="O3365" i="23"/>
  <c r="O3361" i="23"/>
  <c r="O3357" i="23"/>
  <c r="O3353" i="23"/>
  <c r="O3349" i="23"/>
  <c r="O3345" i="23"/>
  <c r="O3341" i="23"/>
  <c r="O3337" i="23"/>
  <c r="O3333" i="23"/>
  <c r="O3329" i="23"/>
  <c r="O3325" i="23"/>
  <c r="O3321" i="23"/>
  <c r="O3317" i="23"/>
  <c r="O3313" i="23"/>
  <c r="O3309" i="23"/>
  <c r="O3305" i="23"/>
  <c r="O3301" i="23"/>
  <c r="O3297" i="23"/>
  <c r="O3293" i="23"/>
  <c r="O3289" i="23"/>
  <c r="O3285" i="23"/>
  <c r="O3281" i="23"/>
  <c r="O3277" i="23"/>
  <c r="O3273" i="23"/>
  <c r="O3269" i="23"/>
  <c r="O3265" i="23"/>
  <c r="O3261" i="23"/>
  <c r="O3257" i="23"/>
  <c r="O3253" i="23"/>
  <c r="O3249" i="23"/>
  <c r="O3245" i="23"/>
  <c r="O3241" i="23"/>
  <c r="O3237" i="23"/>
  <c r="O3233" i="23"/>
  <c r="O3229" i="23"/>
  <c r="O3225" i="23"/>
  <c r="O3221" i="23"/>
  <c r="O3217" i="23"/>
  <c r="O3213" i="23"/>
  <c r="O3209" i="23"/>
  <c r="O3205" i="23"/>
  <c r="O3201" i="23"/>
  <c r="O3197" i="23"/>
  <c r="O3193" i="23"/>
  <c r="O3189" i="23"/>
  <c r="O3185" i="23"/>
  <c r="O3181" i="23"/>
  <c r="O3177" i="23"/>
  <c r="O3173" i="23"/>
  <c r="O3169" i="23"/>
  <c r="O3165" i="23"/>
  <c r="O3161" i="23"/>
  <c r="O3157" i="23"/>
  <c r="O3153" i="23"/>
  <c r="O3149" i="23"/>
  <c r="O3145" i="23"/>
  <c r="O3141" i="23"/>
  <c r="O3137" i="23"/>
  <c r="O3133" i="23"/>
  <c r="O3129" i="23"/>
  <c r="O3125" i="23"/>
  <c r="O3121" i="23"/>
  <c r="O3117" i="23"/>
  <c r="O3113" i="23"/>
  <c r="O3109" i="23"/>
  <c r="O3105" i="23"/>
  <c r="O3101" i="23"/>
  <c r="O3097" i="23"/>
  <c r="O3093" i="23"/>
  <c r="O3089" i="23"/>
  <c r="O3085" i="23"/>
  <c r="O3081" i="23"/>
  <c r="O3077" i="23"/>
  <c r="O3073" i="23"/>
  <c r="O3069" i="23"/>
  <c r="O3065" i="23"/>
  <c r="O3061" i="23"/>
  <c r="O3064" i="23"/>
  <c r="O3056" i="23"/>
  <c r="O3051" i="23"/>
  <c r="O3047" i="23"/>
  <c r="O3043" i="23"/>
  <c r="O3039" i="23"/>
  <c r="O3035" i="23"/>
  <c r="O3031" i="23"/>
  <c r="O3027" i="23"/>
  <c r="O3023" i="23"/>
  <c r="O3019" i="23"/>
  <c r="O3015" i="23"/>
  <c r="O3011" i="23"/>
  <c r="O3007" i="23"/>
  <c r="O3003" i="23"/>
  <c r="O2999" i="23"/>
  <c r="O2995" i="23"/>
  <c r="O2991" i="23"/>
  <c r="O2987" i="23"/>
  <c r="O2983" i="23"/>
  <c r="O2979" i="23"/>
  <c r="O2975" i="23"/>
  <c r="O2971" i="23"/>
  <c r="O2967" i="23"/>
  <c r="O2963" i="23"/>
  <c r="O2959" i="23"/>
  <c r="O2955" i="23"/>
  <c r="O2951" i="23"/>
  <c r="O2947" i="23"/>
  <c r="O2943" i="23"/>
  <c r="O2939" i="23"/>
  <c r="O2935" i="23"/>
  <c r="O2931" i="23"/>
  <c r="O2927" i="23"/>
  <c r="O2923" i="23"/>
  <c r="O2919" i="23"/>
  <c r="O2915" i="23"/>
  <c r="O2911" i="23"/>
  <c r="O2907" i="23"/>
  <c r="O2903" i="23"/>
  <c r="O2899" i="23"/>
  <c r="O2895" i="23"/>
  <c r="O2891" i="23"/>
  <c r="O2887" i="23"/>
  <c r="O2883" i="23"/>
  <c r="O2879" i="23"/>
  <c r="O2875" i="23"/>
  <c r="O2871" i="23"/>
  <c r="O2867" i="23"/>
  <c r="O2863" i="23"/>
  <c r="O2859" i="23"/>
  <c r="O2855" i="23"/>
  <c r="O2851" i="23"/>
  <c r="O2847" i="23"/>
  <c r="O2843" i="23"/>
  <c r="O2839" i="23"/>
  <c r="O2835" i="23"/>
  <c r="O2831" i="23"/>
  <c r="O2827" i="23"/>
  <c r="O2823" i="23"/>
  <c r="O2819" i="23"/>
  <c r="O2815" i="23"/>
  <c r="O2811" i="23"/>
  <c r="O2807" i="23"/>
  <c r="O2803" i="23"/>
  <c r="O2799" i="23"/>
  <c r="O2795" i="23"/>
  <c r="O2791" i="23"/>
  <c r="O2787" i="23"/>
  <c r="O2783" i="23"/>
  <c r="O2779" i="23"/>
  <c r="O2775" i="23"/>
  <c r="O2771" i="23"/>
  <c r="O2767" i="23"/>
  <c r="O2763" i="23"/>
  <c r="O2759" i="23"/>
  <c r="O2755" i="23"/>
  <c r="O2751" i="23"/>
  <c r="O2747" i="23"/>
  <c r="O2743" i="23"/>
  <c r="O2739" i="23"/>
  <c r="O2735" i="23"/>
  <c r="O2731" i="23"/>
  <c r="O2727" i="23"/>
  <c r="O2723" i="23"/>
  <c r="O2719" i="23"/>
  <c r="O2715" i="23"/>
  <c r="O2711" i="23"/>
  <c r="O2707" i="23"/>
  <c r="O2703" i="23"/>
  <c r="O2699" i="23"/>
  <c r="O2695" i="23"/>
  <c r="O2691" i="23"/>
  <c r="O2687" i="23"/>
  <c r="O2683" i="23"/>
  <c r="O2679" i="23"/>
  <c r="O2675" i="23"/>
  <c r="O2671" i="23"/>
  <c r="O2667" i="23"/>
  <c r="O2663" i="23"/>
  <c r="O2659" i="23"/>
  <c r="O2655" i="23"/>
  <c r="O2651" i="23"/>
  <c r="O2647" i="23"/>
  <c r="O2643" i="23"/>
  <c r="O2639" i="23"/>
  <c r="O2635" i="23"/>
  <c r="O2631" i="23"/>
  <c r="O2627" i="23"/>
  <c r="O2623" i="23"/>
  <c r="O2619" i="23"/>
  <c r="O2615" i="23"/>
  <c r="O2611" i="23"/>
  <c r="O2607" i="23"/>
  <c r="O2603" i="23"/>
  <c r="O2599" i="23"/>
  <c r="O2595" i="23"/>
  <c r="O2591" i="23"/>
  <c r="O2587" i="23"/>
  <c r="O2583" i="23"/>
  <c r="O2579" i="23"/>
  <c r="O2575" i="23"/>
  <c r="O2571" i="23"/>
  <c r="O2567" i="23"/>
  <c r="O2563" i="23"/>
  <c r="O2559" i="23"/>
  <c r="O2555" i="23"/>
  <c r="O2551" i="23"/>
  <c r="O2547" i="23"/>
  <c r="O2543" i="23"/>
  <c r="O2539" i="23"/>
  <c r="O2535" i="23"/>
  <c r="O2531" i="23"/>
  <c r="O2527" i="23"/>
  <c r="O2523" i="23"/>
  <c r="O2519" i="23"/>
  <c r="O2515" i="23"/>
  <c r="O2511" i="23"/>
  <c r="O2507" i="23"/>
  <c r="O2503" i="23"/>
  <c r="O2499" i="23"/>
  <c r="O2495" i="23"/>
  <c r="O2491" i="23"/>
  <c r="O2487" i="23"/>
  <c r="O2483" i="23"/>
  <c r="O2479" i="23"/>
  <c r="O2475" i="23"/>
  <c r="O2471" i="23"/>
  <c r="O2467" i="23"/>
  <c r="O2463" i="23"/>
  <c r="O2459" i="23"/>
  <c r="O2455" i="23"/>
  <c r="O2451" i="23"/>
  <c r="O2447" i="23"/>
  <c r="O2443" i="23"/>
  <c r="O2439" i="23"/>
  <c r="O2435" i="23"/>
  <c r="O2431" i="23"/>
  <c r="O2427" i="23"/>
  <c r="O2423" i="23"/>
  <c r="O2419" i="23"/>
  <c r="O2415" i="23"/>
  <c r="O2411" i="23"/>
  <c r="O2407" i="23"/>
  <c r="O2403" i="23"/>
  <c r="O2399" i="23"/>
  <c r="O2395" i="23"/>
  <c r="O2391" i="23"/>
  <c r="O2387" i="23"/>
  <c r="O2383" i="23"/>
  <c r="O3060" i="23"/>
  <c r="O3054" i="23"/>
  <c r="O3050" i="23"/>
  <c r="O3046" i="23"/>
  <c r="O3042" i="23"/>
  <c r="O3038" i="23"/>
  <c r="O3034" i="23"/>
  <c r="O3030" i="23"/>
  <c r="O3026" i="23"/>
  <c r="O3022" i="23"/>
  <c r="O3018" i="23"/>
  <c r="O3014" i="23"/>
  <c r="O3010" i="23"/>
  <c r="O3006" i="23"/>
  <c r="O3002" i="23"/>
  <c r="O2998" i="23"/>
  <c r="O2994" i="23"/>
  <c r="O2990" i="23"/>
  <c r="O2986" i="23"/>
  <c r="O2982" i="23"/>
  <c r="O2978" i="23"/>
  <c r="O2974" i="23"/>
  <c r="O2970" i="23"/>
  <c r="O2966" i="23"/>
  <c r="O2962" i="23"/>
  <c r="O2958" i="23"/>
  <c r="O2954" i="23"/>
  <c r="O2950" i="23"/>
  <c r="O2946" i="23"/>
  <c r="O2942" i="23"/>
  <c r="O2938" i="23"/>
  <c r="O2934" i="23"/>
  <c r="O2930" i="23"/>
  <c r="O2926" i="23"/>
  <c r="O2922" i="23"/>
  <c r="O2918" i="23"/>
  <c r="O2914" i="23"/>
  <c r="O2910" i="23"/>
  <c r="O2906" i="23"/>
  <c r="O2902" i="23"/>
  <c r="O2898" i="23"/>
  <c r="O2894" i="23"/>
  <c r="O2890" i="23"/>
  <c r="O2886" i="23"/>
  <c r="O2882" i="23"/>
  <c r="O2878" i="23"/>
  <c r="O2874" i="23"/>
  <c r="O2870" i="23"/>
  <c r="O2866" i="23"/>
  <c r="O2862" i="23"/>
  <c r="O2858" i="23"/>
  <c r="O2854" i="23"/>
  <c r="O2850" i="23"/>
  <c r="O2846" i="23"/>
  <c r="O2842" i="23"/>
  <c r="O2838" i="23"/>
  <c r="O2834" i="23"/>
  <c r="O2830" i="23"/>
  <c r="O2826" i="23"/>
  <c r="O2822" i="23"/>
  <c r="O2818" i="23"/>
  <c r="O2814" i="23"/>
  <c r="O2810" i="23"/>
  <c r="O2806" i="23"/>
  <c r="O2802" i="23"/>
  <c r="O2798" i="23"/>
  <c r="O2794" i="23"/>
  <c r="O2790" i="23"/>
  <c r="O2786" i="23"/>
  <c r="O2782" i="23"/>
  <c r="O2778" i="23"/>
  <c r="O2774" i="23"/>
  <c r="O2770" i="23"/>
  <c r="O2766" i="23"/>
  <c r="O2762" i="23"/>
  <c r="O2758" i="23"/>
  <c r="O2754" i="23"/>
  <c r="O2750" i="23"/>
  <c r="O2746" i="23"/>
  <c r="O2742" i="23"/>
  <c r="O2738" i="23"/>
  <c r="O2734" i="23"/>
  <c r="O2730" i="23"/>
  <c r="O2726" i="23"/>
  <c r="O2722" i="23"/>
  <c r="O2718" i="23"/>
  <c r="O2714" i="23"/>
  <c r="O2710" i="23"/>
  <c r="O2706" i="23"/>
  <c r="O2702" i="23"/>
  <c r="O2698" i="23"/>
  <c r="O2694" i="23"/>
  <c r="O2690" i="23"/>
  <c r="O2686" i="23"/>
  <c r="O2682" i="23"/>
  <c r="O2678" i="23"/>
  <c r="O2674" i="23"/>
  <c r="O2670" i="23"/>
  <c r="O2666" i="23"/>
  <c r="O2662" i="23"/>
  <c r="O2658" i="23"/>
  <c r="O2654" i="23"/>
  <c r="O2650" i="23"/>
  <c r="O2646" i="23"/>
  <c r="O2642" i="23"/>
  <c r="O2638" i="23"/>
  <c r="O2634" i="23"/>
  <c r="O2630" i="23"/>
  <c r="O2626" i="23"/>
  <c r="O2622" i="23"/>
  <c r="O2618" i="23"/>
  <c r="O2614" i="23"/>
  <c r="O2610" i="23"/>
  <c r="O2606" i="23"/>
  <c r="O2602" i="23"/>
  <c r="O2598" i="23"/>
  <c r="O2594" i="23"/>
  <c r="O2590" i="23"/>
  <c r="O2586" i="23"/>
  <c r="O2582" i="23"/>
  <c r="O2578" i="23"/>
  <c r="O2574" i="23"/>
  <c r="O2570" i="23"/>
  <c r="O2566" i="23"/>
  <c r="O2562" i="23"/>
  <c r="O2558" i="23"/>
  <c r="O2554" i="23"/>
  <c r="O2550" i="23"/>
  <c r="O2546" i="23"/>
  <c r="O2542" i="23"/>
  <c r="O2538" i="23"/>
  <c r="O3058" i="23"/>
  <c r="O3053" i="23"/>
  <c r="O3049" i="23"/>
  <c r="O3045" i="23"/>
  <c r="O3041" i="23"/>
  <c r="O3037" i="23"/>
  <c r="O3033" i="23"/>
  <c r="O3029" i="23"/>
  <c r="O3025" i="23"/>
  <c r="O3021" i="23"/>
  <c r="O3017" i="23"/>
  <c r="O3013" i="23"/>
  <c r="O3009" i="23"/>
  <c r="O3005" i="23"/>
  <c r="O3001" i="23"/>
  <c r="O2997" i="23"/>
  <c r="O2993" i="23"/>
  <c r="O2989" i="23"/>
  <c r="O2985" i="23"/>
  <c r="O2981" i="23"/>
  <c r="O2977" i="23"/>
  <c r="O2973" i="23"/>
  <c r="O2969" i="23"/>
  <c r="O2965" i="23"/>
  <c r="O2961" i="23"/>
  <c r="O2957" i="23"/>
  <c r="O2953" i="23"/>
  <c r="O2949" i="23"/>
  <c r="O2945" i="23"/>
  <c r="O2941" i="23"/>
  <c r="O2937" i="23"/>
  <c r="O2933" i="23"/>
  <c r="O2929" i="23"/>
  <c r="O2925" i="23"/>
  <c r="O2921" i="23"/>
  <c r="O2917" i="23"/>
  <c r="O2913" i="23"/>
  <c r="O2909" i="23"/>
  <c r="O2905" i="23"/>
  <c r="O2901" i="23"/>
  <c r="O2897" i="23"/>
  <c r="O2893" i="23"/>
  <c r="O2889" i="23"/>
  <c r="O2885" i="23"/>
  <c r="O2881" i="23"/>
  <c r="O2877" i="23"/>
  <c r="O2873" i="23"/>
  <c r="O2869" i="23"/>
  <c r="O2865" i="23"/>
  <c r="O2861" i="23"/>
  <c r="O2857" i="23"/>
  <c r="O2853" i="23"/>
  <c r="O2849" i="23"/>
  <c r="O2845" i="23"/>
  <c r="O2841" i="23"/>
  <c r="O2837" i="23"/>
  <c r="O2833" i="23"/>
  <c r="O2829" i="23"/>
  <c r="O2825" i="23"/>
  <c r="O2821" i="23"/>
  <c r="O2817" i="23"/>
  <c r="O2813" i="23"/>
  <c r="O2809" i="23"/>
  <c r="O2805" i="23"/>
  <c r="O2801" i="23"/>
  <c r="O2797" i="23"/>
  <c r="O2793" i="23"/>
  <c r="O2789" i="23"/>
  <c r="O2785" i="23"/>
  <c r="O2781" i="23"/>
  <c r="O2777" i="23"/>
  <c r="O2773" i="23"/>
  <c r="O2769" i="23"/>
  <c r="O2765" i="23"/>
  <c r="O2761" i="23"/>
  <c r="O2757" i="23"/>
  <c r="O2753" i="23"/>
  <c r="O2749" i="23"/>
  <c r="O2745" i="23"/>
  <c r="O2741" i="23"/>
  <c r="O2737" i="23"/>
  <c r="O2733" i="23"/>
  <c r="O2729" i="23"/>
  <c r="O2725" i="23"/>
  <c r="O2721" i="23"/>
  <c r="O2717" i="23"/>
  <c r="O2713" i="23"/>
  <c r="O2709" i="23"/>
  <c r="O2705" i="23"/>
  <c r="O2701" i="23"/>
  <c r="O2697" i="23"/>
  <c r="O2693" i="23"/>
  <c r="O2689" i="23"/>
  <c r="O2685" i="23"/>
  <c r="O2681" i="23"/>
  <c r="O2677" i="23"/>
  <c r="O2673" i="23"/>
  <c r="O2669" i="23"/>
  <c r="O2665" i="23"/>
  <c r="O2661" i="23"/>
  <c r="O2657" i="23"/>
  <c r="O2653" i="23"/>
  <c r="O2649" i="23"/>
  <c r="O2645" i="23"/>
  <c r="O2641" i="23"/>
  <c r="O2637" i="23"/>
  <c r="O2633" i="23"/>
  <c r="O2629" i="23"/>
  <c r="O2625" i="23"/>
  <c r="O2621" i="23"/>
  <c r="O2617" i="23"/>
  <c r="O2613" i="23"/>
  <c r="O2609" i="23"/>
  <c r="O2605" i="23"/>
  <c r="O2601" i="23"/>
  <c r="O2597" i="23"/>
  <c r="O2593" i="23"/>
  <c r="O2589" i="23"/>
  <c r="O2585" i="23"/>
  <c r="O2581" i="23"/>
  <c r="O2577" i="23"/>
  <c r="O2573" i="23"/>
  <c r="O2569" i="23"/>
  <c r="O2565" i="23"/>
  <c r="O2561" i="23"/>
  <c r="O2557" i="23"/>
  <c r="O2553" i="23"/>
  <c r="O2549" i="23"/>
  <c r="O2545" i="23"/>
  <c r="O2541" i="23"/>
  <c r="O2537" i="23"/>
  <c r="O2533" i="23"/>
  <c r="O2529" i="23"/>
  <c r="O2525" i="23"/>
  <c r="O2521" i="23"/>
  <c r="O2517" i="23"/>
  <c r="O2513" i="23"/>
  <c r="O2509" i="23"/>
  <c r="O2505" i="23"/>
  <c r="O2501" i="23"/>
  <c r="O2497" i="23"/>
  <c r="O2493" i="23"/>
  <c r="O2489" i="23"/>
  <c r="O2485" i="23"/>
  <c r="O2481" i="23"/>
  <c r="O2477" i="23"/>
  <c r="O2473" i="23"/>
  <c r="O2469" i="23"/>
  <c r="O2465" i="23"/>
  <c r="O2461" i="23"/>
  <c r="O2457" i="23"/>
  <c r="O2453" i="23"/>
  <c r="O2449" i="23"/>
  <c r="O2445" i="23"/>
  <c r="O2441" i="23"/>
  <c r="O2437" i="23"/>
  <c r="O2433" i="23"/>
  <c r="O2429" i="23"/>
  <c r="O2425" i="23"/>
  <c r="O2421" i="23"/>
  <c r="O3057" i="23"/>
  <c r="O3052" i="23"/>
  <c r="O3048" i="23"/>
  <c r="O3044" i="23"/>
  <c r="O3040" i="23"/>
  <c r="O3036" i="23"/>
  <c r="O3032" i="23"/>
  <c r="O3028" i="23"/>
  <c r="O3024" i="23"/>
  <c r="O3020" i="23"/>
  <c r="O3016" i="23"/>
  <c r="O3012" i="23"/>
  <c r="O3008" i="23"/>
  <c r="O3004" i="23"/>
  <c r="O3000" i="23"/>
  <c r="O2996" i="23"/>
  <c r="O2992" i="23"/>
  <c r="O2988" i="23"/>
  <c r="O2984" i="23"/>
  <c r="O2980" i="23"/>
  <c r="O2976" i="23"/>
  <c r="O2972" i="23"/>
  <c r="O2968" i="23"/>
  <c r="O2964" i="23"/>
  <c r="O2960" i="23"/>
  <c r="O2956" i="23"/>
  <c r="O2952" i="23"/>
  <c r="O2948" i="23"/>
  <c r="O2944" i="23"/>
  <c r="O2940" i="23"/>
  <c r="O2936" i="23"/>
  <c r="O2932" i="23"/>
  <c r="O2928" i="23"/>
  <c r="O2924" i="23"/>
  <c r="O2920" i="23"/>
  <c r="O2916" i="23"/>
  <c r="O2912" i="23"/>
  <c r="O2908" i="23"/>
  <c r="O2904" i="23"/>
  <c r="O2900" i="23"/>
  <c r="O2896" i="23"/>
  <c r="O2892" i="23"/>
  <c r="O2888" i="23"/>
  <c r="O2884" i="23"/>
  <c r="O2880" i="23"/>
  <c r="O2876" i="23"/>
  <c r="O2872" i="23"/>
  <c r="O2868" i="23"/>
  <c r="O2864" i="23"/>
  <c r="O2860" i="23"/>
  <c r="O2856" i="23"/>
  <c r="O2852" i="23"/>
  <c r="O2848" i="23"/>
  <c r="O2844" i="23"/>
  <c r="O2840" i="23"/>
  <c r="O2836" i="23"/>
  <c r="O2832" i="23"/>
  <c r="O2828" i="23"/>
  <c r="O2824" i="23"/>
  <c r="O2820" i="23"/>
  <c r="O2816" i="23"/>
  <c r="O2812" i="23"/>
  <c r="O2808" i="23"/>
  <c r="O2804" i="23"/>
  <c r="O2800" i="23"/>
  <c r="O2796" i="23"/>
  <c r="O2792" i="23"/>
  <c r="O2788" i="23"/>
  <c r="O2784" i="23"/>
  <c r="O2780" i="23"/>
  <c r="O2776" i="23"/>
  <c r="O2772" i="23"/>
  <c r="O2768" i="23"/>
  <c r="O2764" i="23"/>
  <c r="O2760" i="23"/>
  <c r="O2756" i="23"/>
  <c r="O2752" i="23"/>
  <c r="O2748" i="23"/>
  <c r="O2744" i="23"/>
  <c r="O2740" i="23"/>
  <c r="O2736" i="23"/>
  <c r="O2732" i="23"/>
  <c r="O2728" i="23"/>
  <c r="O2724" i="23"/>
  <c r="O2720" i="23"/>
  <c r="O2716" i="23"/>
  <c r="O2712" i="23"/>
  <c r="O2708" i="23"/>
  <c r="O2704" i="23"/>
  <c r="O2700" i="23"/>
  <c r="O2696" i="23"/>
  <c r="O2692" i="23"/>
  <c r="O2688" i="23"/>
  <c r="O2684" i="23"/>
  <c r="O2680" i="23"/>
  <c r="O2676" i="23"/>
  <c r="O2672" i="23"/>
  <c r="O2668" i="23"/>
  <c r="O2664" i="23"/>
  <c r="O2660" i="23"/>
  <c r="O2656" i="23"/>
  <c r="O2652" i="23"/>
  <c r="O2648" i="23"/>
  <c r="O2644" i="23"/>
  <c r="O2640" i="23"/>
  <c r="O2636" i="23"/>
  <c r="O2632" i="23"/>
  <c r="O2628" i="23"/>
  <c r="O2624" i="23"/>
  <c r="O2620" i="23"/>
  <c r="O2616" i="23"/>
  <c r="O2612" i="23"/>
  <c r="O2608" i="23"/>
  <c r="O2604" i="23"/>
  <c r="O2600" i="23"/>
  <c r="O2596" i="23"/>
  <c r="O2592" i="23"/>
  <c r="O2588" i="23"/>
  <c r="O2584" i="23"/>
  <c r="O2580" i="23"/>
  <c r="O2576" i="23"/>
  <c r="O2572" i="23"/>
  <c r="O2568" i="23"/>
  <c r="O2564" i="23"/>
  <c r="O2560" i="23"/>
  <c r="O2556" i="23"/>
  <c r="O2552" i="23"/>
  <c r="O2548" i="23"/>
  <c r="O2544" i="23"/>
  <c r="O2540" i="23"/>
  <c r="O2536" i="23"/>
  <c r="O2532" i="23"/>
  <c r="O2528" i="23"/>
  <c r="O2524" i="23"/>
  <c r="O2520" i="23"/>
  <c r="O2516" i="23"/>
  <c r="O2512" i="23"/>
  <c r="O2508" i="23"/>
  <c r="O2504" i="23"/>
  <c r="O2500" i="23"/>
  <c r="O2496" i="23"/>
  <c r="O2492" i="23"/>
  <c r="O2488" i="23"/>
  <c r="O2484" i="23"/>
  <c r="O2480" i="23"/>
  <c r="O2476" i="23"/>
  <c r="O2472" i="23"/>
  <c r="O2468" i="23"/>
  <c r="O2464" i="23"/>
  <c r="O2460" i="23"/>
  <c r="O2456" i="23"/>
  <c r="O2452" i="23"/>
  <c r="O2448" i="23"/>
  <c r="O2444" i="23"/>
  <c r="O2440" i="23"/>
  <c r="O2436" i="23"/>
  <c r="O2432" i="23"/>
  <c r="O2428" i="23"/>
  <c r="O2424" i="23"/>
  <c r="O2420" i="23"/>
  <c r="O2416" i="23"/>
  <c r="O2412" i="23"/>
  <c r="O2408" i="23"/>
  <c r="O2404" i="23"/>
  <c r="O2400" i="23"/>
  <c r="O2396" i="23"/>
  <c r="O2392" i="23"/>
  <c r="O2388" i="23"/>
  <c r="O2384" i="23"/>
  <c r="O2380" i="23"/>
  <c r="O2534" i="23"/>
  <c r="O2518" i="23"/>
  <c r="O2502" i="23"/>
  <c r="O2486" i="23"/>
  <c r="O2470" i="23"/>
  <c r="O2454" i="23"/>
  <c r="O2438" i="23"/>
  <c r="O2422" i="23"/>
  <c r="O2413" i="23"/>
  <c r="O2405" i="23"/>
  <c r="O2397" i="23"/>
  <c r="O2389" i="23"/>
  <c r="O2381" i="23"/>
  <c r="O2376" i="23"/>
  <c r="O2372" i="23"/>
  <c r="O2368" i="23"/>
  <c r="O2364" i="23"/>
  <c r="O2360" i="23"/>
  <c r="O2356" i="23"/>
  <c r="O2352" i="23"/>
  <c r="O2348" i="23"/>
  <c r="O2344" i="23"/>
  <c r="O2340" i="23"/>
  <c r="O2336" i="23"/>
  <c r="O2332" i="23"/>
  <c r="O2328" i="23"/>
  <c r="O2324" i="23"/>
  <c r="O2320" i="23"/>
  <c r="O2316" i="23"/>
  <c r="O2312" i="23"/>
  <c r="O2308" i="23"/>
  <c r="O2304" i="23"/>
  <c r="O2300" i="23"/>
  <c r="O2296" i="23"/>
  <c r="O2292" i="23"/>
  <c r="O2288" i="23"/>
  <c r="O2284" i="23"/>
  <c r="O2280" i="23"/>
  <c r="O2276" i="23"/>
  <c r="O2272" i="23"/>
  <c r="O2268" i="23"/>
  <c r="O2264" i="23"/>
  <c r="O2260" i="23"/>
  <c r="O2256" i="23"/>
  <c r="O2252" i="23"/>
  <c r="O2248" i="23"/>
  <c r="O2244" i="23"/>
  <c r="O2240" i="23"/>
  <c r="O2236" i="23"/>
  <c r="O2232" i="23"/>
  <c r="O2228" i="23"/>
  <c r="O2224" i="23"/>
  <c r="O2220" i="23"/>
  <c r="O2216" i="23"/>
  <c r="O2212" i="23"/>
  <c r="O2208" i="23"/>
  <c r="O2204" i="23"/>
  <c r="O2200" i="23"/>
  <c r="O2196" i="23"/>
  <c r="O2192" i="23"/>
  <c r="O2188" i="23"/>
  <c r="O2184" i="23"/>
  <c r="O2180" i="23"/>
  <c r="O2176" i="23"/>
  <c r="O2172" i="23"/>
  <c r="O2168" i="23"/>
  <c r="O2164" i="23"/>
  <c r="O2160" i="23"/>
  <c r="O2156" i="23"/>
  <c r="O2152" i="23"/>
  <c r="O2148" i="23"/>
  <c r="O2144" i="23"/>
  <c r="O2140" i="23"/>
  <c r="O2136" i="23"/>
  <c r="O2132" i="23"/>
  <c r="O2128" i="23"/>
  <c r="O2124" i="23"/>
  <c r="O2120" i="23"/>
  <c r="O2116" i="23"/>
  <c r="O2112" i="23"/>
  <c r="O2108" i="23"/>
  <c r="O2104" i="23"/>
  <c r="O2100" i="23"/>
  <c r="O2096" i="23"/>
  <c r="O2092" i="23"/>
  <c r="O2088" i="23"/>
  <c r="O2084" i="23"/>
  <c r="O2080" i="23"/>
  <c r="O2076" i="23"/>
  <c r="O2072" i="23"/>
  <c r="O2068" i="23"/>
  <c r="O2064" i="23"/>
  <c r="O2060" i="23"/>
  <c r="O2056" i="23"/>
  <c r="O2052" i="23"/>
  <c r="O2048" i="23"/>
  <c r="O2044" i="23"/>
  <c r="O2040" i="23"/>
  <c r="O2036" i="23"/>
  <c r="O2032" i="23"/>
  <c r="O2028" i="23"/>
  <c r="O2024" i="23"/>
  <c r="O2020" i="23"/>
  <c r="O2016" i="23"/>
  <c r="O2012" i="23"/>
  <c r="O2008" i="23"/>
  <c r="O2004" i="23"/>
  <c r="O2000" i="23"/>
  <c r="O1996" i="23"/>
  <c r="O1992" i="23"/>
  <c r="O1988" i="23"/>
  <c r="O1984" i="23"/>
  <c r="O1980" i="23"/>
  <c r="O1976" i="23"/>
  <c r="O1972" i="23"/>
  <c r="O1968" i="23"/>
  <c r="O1964" i="23"/>
  <c r="O1960" i="23"/>
  <c r="O1956" i="23"/>
  <c r="O1952" i="23"/>
  <c r="O1948" i="23"/>
  <c r="O1944" i="23"/>
  <c r="O1940" i="23"/>
  <c r="O1936" i="23"/>
  <c r="O1932" i="23"/>
  <c r="O1928" i="23"/>
  <c r="O1924" i="23"/>
  <c r="O1920" i="23"/>
  <c r="O1916" i="23"/>
  <c r="O1912" i="23"/>
  <c r="O1908" i="23"/>
  <c r="O1904" i="23"/>
  <c r="O1900" i="23"/>
  <c r="O1896" i="23"/>
  <c r="O1892" i="23"/>
  <c r="O1888" i="23"/>
  <c r="O1884" i="23"/>
  <c r="O1880" i="23"/>
  <c r="O1876" i="23"/>
  <c r="O1872" i="23"/>
  <c r="O1868" i="23"/>
  <c r="O1864" i="23"/>
  <c r="O1860" i="23"/>
  <c r="O1856" i="23"/>
  <c r="O1852" i="23"/>
  <c r="O1848" i="23"/>
  <c r="O1844" i="23"/>
  <c r="O1840" i="23"/>
  <c r="O1836" i="23"/>
  <c r="O1832" i="23"/>
  <c r="O1828" i="23"/>
  <c r="O1824" i="23"/>
  <c r="O1820" i="23"/>
  <c r="O1816" i="23"/>
  <c r="O1812" i="23"/>
  <c r="O1808" i="23"/>
  <c r="O1804" i="23"/>
  <c r="O1800" i="23"/>
  <c r="O1796" i="23"/>
  <c r="O1792" i="23"/>
  <c r="O1788" i="23"/>
  <c r="O1784" i="23"/>
  <c r="O1780" i="23"/>
  <c r="O1776" i="23"/>
  <c r="O1772" i="23"/>
  <c r="O1768" i="23"/>
  <c r="O1764" i="23"/>
  <c r="O1760" i="23"/>
  <c r="O1756" i="23"/>
  <c r="O1752" i="23"/>
  <c r="O1748" i="23"/>
  <c r="O1744" i="23"/>
  <c r="O1740" i="23"/>
  <c r="O1736" i="23"/>
  <c r="O1732" i="23"/>
  <c r="O2530" i="23"/>
  <c r="O2514" i="23"/>
  <c r="O2498" i="23"/>
  <c r="O2482" i="23"/>
  <c r="O2466" i="23"/>
  <c r="O2450" i="23"/>
  <c r="O2434" i="23"/>
  <c r="O2418" i="23"/>
  <c r="O2410" i="23"/>
  <c r="O2402" i="23"/>
  <c r="O2394" i="23"/>
  <c r="O2386" i="23"/>
  <c r="O2379" i="23"/>
  <c r="O2375" i="23"/>
  <c r="O2371" i="23"/>
  <c r="O2367" i="23"/>
  <c r="O2363" i="23"/>
  <c r="O2359" i="23"/>
  <c r="O2355" i="23"/>
  <c r="O2351" i="23"/>
  <c r="O2347" i="23"/>
  <c r="O2343" i="23"/>
  <c r="O2339" i="23"/>
  <c r="O2335" i="23"/>
  <c r="O2331" i="23"/>
  <c r="O2327" i="23"/>
  <c r="O2323" i="23"/>
  <c r="O2319" i="23"/>
  <c r="O2315" i="23"/>
  <c r="O2311" i="23"/>
  <c r="O2307" i="23"/>
  <c r="O2303" i="23"/>
  <c r="O2299" i="23"/>
  <c r="O2295" i="23"/>
  <c r="O2291" i="23"/>
  <c r="O2287" i="23"/>
  <c r="O2283" i="23"/>
  <c r="O2279" i="23"/>
  <c r="O2275" i="23"/>
  <c r="O2271" i="23"/>
  <c r="O2267" i="23"/>
  <c r="O2263" i="23"/>
  <c r="O2259" i="23"/>
  <c r="O2255" i="23"/>
  <c r="O2251" i="23"/>
  <c r="O2247" i="23"/>
  <c r="O2243" i="23"/>
  <c r="O2239" i="23"/>
  <c r="O2235" i="23"/>
  <c r="O2231" i="23"/>
  <c r="O2227" i="23"/>
  <c r="O2223" i="23"/>
  <c r="O2219" i="23"/>
  <c r="O2215" i="23"/>
  <c r="O2211" i="23"/>
  <c r="O2207" i="23"/>
  <c r="O2203" i="23"/>
  <c r="O2199" i="23"/>
  <c r="O2195" i="23"/>
  <c r="O2191" i="23"/>
  <c r="O2187" i="23"/>
  <c r="O2183" i="23"/>
  <c r="O2179" i="23"/>
  <c r="O2175" i="23"/>
  <c r="O2171" i="23"/>
  <c r="O2167" i="23"/>
  <c r="O2163" i="23"/>
  <c r="O2159" i="23"/>
  <c r="O2155" i="23"/>
  <c r="O2151" i="23"/>
  <c r="O2147" i="23"/>
  <c r="O2143" i="23"/>
  <c r="O2139" i="23"/>
  <c r="O2135" i="23"/>
  <c r="O2131" i="23"/>
  <c r="O2127" i="23"/>
  <c r="O2123" i="23"/>
  <c r="O2119" i="23"/>
  <c r="O2115" i="23"/>
  <c r="O2111" i="23"/>
  <c r="O2107" i="23"/>
  <c r="O2103" i="23"/>
  <c r="O2099" i="23"/>
  <c r="O2095" i="23"/>
  <c r="O2091" i="23"/>
  <c r="O2087" i="23"/>
  <c r="O2083" i="23"/>
  <c r="O2079" i="23"/>
  <c r="O2075" i="23"/>
  <c r="O2071" i="23"/>
  <c r="O2067" i="23"/>
  <c r="O2063" i="23"/>
  <c r="O2059" i="23"/>
  <c r="O2055" i="23"/>
  <c r="O2051" i="23"/>
  <c r="O2047" i="23"/>
  <c r="O2043" i="23"/>
  <c r="O2039" i="23"/>
  <c r="O2035" i="23"/>
  <c r="O2031" i="23"/>
  <c r="O2027" i="23"/>
  <c r="O2023" i="23"/>
  <c r="O2019" i="23"/>
  <c r="O2015" i="23"/>
  <c r="O2011" i="23"/>
  <c r="O2007" i="23"/>
  <c r="O2003" i="23"/>
  <c r="O1999" i="23"/>
  <c r="O1995" i="23"/>
  <c r="O1991" i="23"/>
  <c r="O1987" i="23"/>
  <c r="O1983" i="23"/>
  <c r="O1979" i="23"/>
  <c r="O1975" i="23"/>
  <c r="O1971" i="23"/>
  <c r="O1967" i="23"/>
  <c r="O1963" i="23"/>
  <c r="O1959" i="23"/>
  <c r="O1955" i="23"/>
  <c r="O1951" i="23"/>
  <c r="O1947" i="23"/>
  <c r="O1943" i="23"/>
  <c r="O1939" i="23"/>
  <c r="O1935" i="23"/>
  <c r="O1931" i="23"/>
  <c r="O1927" i="23"/>
  <c r="O1923" i="23"/>
  <c r="O1919" i="23"/>
  <c r="O1915" i="23"/>
  <c r="O1911" i="23"/>
  <c r="O1907" i="23"/>
  <c r="O1903" i="23"/>
  <c r="O1899" i="23"/>
  <c r="O1895" i="23"/>
  <c r="O1891" i="23"/>
  <c r="O1887" i="23"/>
  <c r="O1883" i="23"/>
  <c r="O1879" i="23"/>
  <c r="O1875" i="23"/>
  <c r="O1871" i="23"/>
  <c r="O1867" i="23"/>
  <c r="O1863" i="23"/>
  <c r="O1859" i="23"/>
  <c r="O1855" i="23"/>
  <c r="O1851" i="23"/>
  <c r="O1847" i="23"/>
  <c r="O1843" i="23"/>
  <c r="O1839" i="23"/>
  <c r="O1835" i="23"/>
  <c r="O1831" i="23"/>
  <c r="O2526" i="23"/>
  <c r="O2510" i="23"/>
  <c r="O2494" i="23"/>
  <c r="O2478" i="23"/>
  <c r="O2462" i="23"/>
  <c r="O2446" i="23"/>
  <c r="O2430" i="23"/>
  <c r="O2417" i="23"/>
  <c r="O2409" i="23"/>
  <c r="O2401" i="23"/>
  <c r="O2393" i="23"/>
  <c r="O2385" i="23"/>
  <c r="O2378" i="23"/>
  <c r="O2374" i="23"/>
  <c r="O2370" i="23"/>
  <c r="O2366" i="23"/>
  <c r="O2362" i="23"/>
  <c r="O2358" i="23"/>
  <c r="O2354" i="23"/>
  <c r="O2350" i="23"/>
  <c r="O2346" i="23"/>
  <c r="O2342" i="23"/>
  <c r="O2338" i="23"/>
  <c r="O2334" i="23"/>
  <c r="O2330" i="23"/>
  <c r="O2326" i="23"/>
  <c r="O2322" i="23"/>
  <c r="O2318" i="23"/>
  <c r="O2314" i="23"/>
  <c r="O2310" i="23"/>
  <c r="O2306" i="23"/>
  <c r="O2302" i="23"/>
  <c r="O2298" i="23"/>
  <c r="O2294" i="23"/>
  <c r="O2290" i="23"/>
  <c r="O2286" i="23"/>
  <c r="O2282" i="23"/>
  <c r="O2278" i="23"/>
  <c r="O2274" i="23"/>
  <c r="O2270" i="23"/>
  <c r="O2266" i="23"/>
  <c r="O2262" i="23"/>
  <c r="O2258" i="23"/>
  <c r="O2254" i="23"/>
  <c r="O2250" i="23"/>
  <c r="O2246" i="23"/>
  <c r="O2242" i="23"/>
  <c r="O2238" i="23"/>
  <c r="O2234" i="23"/>
  <c r="O2230" i="23"/>
  <c r="O2226" i="23"/>
  <c r="O2222" i="23"/>
  <c r="O2218" i="23"/>
  <c r="O2214" i="23"/>
  <c r="O2210" i="23"/>
  <c r="O2206" i="23"/>
  <c r="O2202" i="23"/>
  <c r="O2198" i="23"/>
  <c r="O2194" i="23"/>
  <c r="O2190" i="23"/>
  <c r="O2186" i="23"/>
  <c r="O2182" i="23"/>
  <c r="O2178" i="23"/>
  <c r="O2174" i="23"/>
  <c r="O2170" i="23"/>
  <c r="O2166" i="23"/>
  <c r="O2162" i="23"/>
  <c r="O2158" i="23"/>
  <c r="O2154" i="23"/>
  <c r="O2150" i="23"/>
  <c r="O2146" i="23"/>
  <c r="O2142" i="23"/>
  <c r="O2138" i="23"/>
  <c r="O2134" i="23"/>
  <c r="O2130" i="23"/>
  <c r="O2126" i="23"/>
  <c r="O2122" i="23"/>
  <c r="O2118" i="23"/>
  <c r="O2114" i="23"/>
  <c r="O2110" i="23"/>
  <c r="O2106" i="23"/>
  <c r="O2102" i="23"/>
  <c r="O2098" i="23"/>
  <c r="O2094" i="23"/>
  <c r="O2090" i="23"/>
  <c r="O2086" i="23"/>
  <c r="O2082" i="23"/>
  <c r="O2078" i="23"/>
  <c r="O2074" i="23"/>
  <c r="O2070" i="23"/>
  <c r="O2066" i="23"/>
  <c r="O2062" i="23"/>
  <c r="O2058" i="23"/>
  <c r="O2054" i="23"/>
  <c r="O2050" i="23"/>
  <c r="O2046" i="23"/>
  <c r="O2042" i="23"/>
  <c r="O2038" i="23"/>
  <c r="O2034" i="23"/>
  <c r="O2030" i="23"/>
  <c r="O2026" i="23"/>
  <c r="O2022" i="23"/>
  <c r="O2018" i="23"/>
  <c r="O2014" i="23"/>
  <c r="O2010" i="23"/>
  <c r="O2006" i="23"/>
  <c r="O2002" i="23"/>
  <c r="O1998" i="23"/>
  <c r="O1994" i="23"/>
  <c r="O1990" i="23"/>
  <c r="O1986" i="23"/>
  <c r="O1982" i="23"/>
  <c r="O1978" i="23"/>
  <c r="O1974" i="23"/>
  <c r="O1970" i="23"/>
  <c r="O1966" i="23"/>
  <c r="O1962" i="23"/>
  <c r="O1958" i="23"/>
  <c r="O1954" i="23"/>
  <c r="O1950" i="23"/>
  <c r="O1946" i="23"/>
  <c r="O1942" i="23"/>
  <c r="O1938" i="23"/>
  <c r="O1934" i="23"/>
  <c r="O1930" i="23"/>
  <c r="O1926" i="23"/>
  <c r="O1922" i="23"/>
  <c r="O1918" i="23"/>
  <c r="O1914" i="23"/>
  <c r="O1910" i="23"/>
  <c r="O1906" i="23"/>
  <c r="O1902" i="23"/>
  <c r="O1898" i="23"/>
  <c r="O1894" i="23"/>
  <c r="O1890" i="23"/>
  <c r="O1886" i="23"/>
  <c r="O1882" i="23"/>
  <c r="O1878" i="23"/>
  <c r="O1874" i="23"/>
  <c r="O1870" i="23"/>
  <c r="O1866" i="23"/>
  <c r="O1862" i="23"/>
  <c r="O1858" i="23"/>
  <c r="O1854" i="23"/>
  <c r="O1850" i="23"/>
  <c r="O1846" i="23"/>
  <c r="O1842" i="23"/>
  <c r="O1838" i="23"/>
  <c r="O1834" i="23"/>
  <c r="O1830" i="23"/>
  <c r="O1826" i="23"/>
  <c r="O1822" i="23"/>
  <c r="O1818" i="23"/>
  <c r="O1814" i="23"/>
  <c r="O1810" i="23"/>
  <c r="O1806" i="23"/>
  <c r="O1802" i="23"/>
  <c r="O1798" i="23"/>
  <c r="O1794" i="23"/>
  <c r="O1790" i="23"/>
  <c r="O1786" i="23"/>
  <c r="O1782" i="23"/>
  <c r="O1778" i="23"/>
  <c r="O1774" i="23"/>
  <c r="O1770" i="23"/>
  <c r="O1766" i="23"/>
  <c r="O1762" i="23"/>
  <c r="O2522" i="23"/>
  <c r="O2506" i="23"/>
  <c r="O2490" i="23"/>
  <c r="O2474" i="23"/>
  <c r="O2458" i="23"/>
  <c r="O2442" i="23"/>
  <c r="O2426" i="23"/>
  <c r="O2414" i="23"/>
  <c r="O2406" i="23"/>
  <c r="O2398" i="23"/>
  <c r="O2390" i="23"/>
  <c r="O2382" i="23"/>
  <c r="O2377" i="23"/>
  <c r="O2373" i="23"/>
  <c r="O2369" i="23"/>
  <c r="O2365" i="23"/>
  <c r="O2361" i="23"/>
  <c r="O2357" i="23"/>
  <c r="O2353" i="23"/>
  <c r="O2349" i="23"/>
  <c r="O2345" i="23"/>
  <c r="O2341" i="23"/>
  <c r="O2337" i="23"/>
  <c r="O2333" i="23"/>
  <c r="O2329" i="23"/>
  <c r="O2325" i="23"/>
  <c r="O2321" i="23"/>
  <c r="O2317" i="23"/>
  <c r="O2313" i="23"/>
  <c r="O2309" i="23"/>
  <c r="O2305" i="23"/>
  <c r="O2301" i="23"/>
  <c r="O2297" i="23"/>
  <c r="O2293" i="23"/>
  <c r="O2289" i="23"/>
  <c r="O2285" i="23"/>
  <c r="O2281" i="23"/>
  <c r="O2277" i="23"/>
  <c r="O2273" i="23"/>
  <c r="O2269" i="23"/>
  <c r="O2265" i="23"/>
  <c r="O2261" i="23"/>
  <c r="O2257" i="23"/>
  <c r="O2253" i="23"/>
  <c r="O2249" i="23"/>
  <c r="O2245" i="23"/>
  <c r="O2241" i="23"/>
  <c r="O2237" i="23"/>
  <c r="O2233" i="23"/>
  <c r="O2229" i="23"/>
  <c r="O2225" i="23"/>
  <c r="O2221" i="23"/>
  <c r="O2217" i="23"/>
  <c r="O2213" i="23"/>
  <c r="O2209" i="23"/>
  <c r="O2205" i="23"/>
  <c r="O2201" i="23"/>
  <c r="O2197" i="23"/>
  <c r="O2193" i="23"/>
  <c r="O2189" i="23"/>
  <c r="O2185" i="23"/>
  <c r="O2181" i="23"/>
  <c r="O2177" i="23"/>
  <c r="O2173" i="23"/>
  <c r="O2169" i="23"/>
  <c r="O2165" i="23"/>
  <c r="O2161" i="23"/>
  <c r="O2157" i="23"/>
  <c r="O2153" i="23"/>
  <c r="O2149" i="23"/>
  <c r="O2145" i="23"/>
  <c r="O2141" i="23"/>
  <c r="O2137" i="23"/>
  <c r="O2133" i="23"/>
  <c r="O2129" i="23"/>
  <c r="O2125" i="23"/>
  <c r="O2121" i="23"/>
  <c r="O2117" i="23"/>
  <c r="O2113" i="23"/>
  <c r="O2109" i="23"/>
  <c r="O2105" i="23"/>
  <c r="O2101" i="23"/>
  <c r="O2097" i="23"/>
  <c r="O2093" i="23"/>
  <c r="O2089" i="23"/>
  <c r="O2085" i="23"/>
  <c r="O2081" i="23"/>
  <c r="O2077" i="23"/>
  <c r="O2073" i="23"/>
  <c r="O2069" i="23"/>
  <c r="O2065" i="23"/>
  <c r="O2061" i="23"/>
  <c r="O2057" i="23"/>
  <c r="O2053" i="23"/>
  <c r="O2049" i="23"/>
  <c r="O2045" i="23"/>
  <c r="O2041" i="23"/>
  <c r="O2037" i="23"/>
  <c r="O2033" i="23"/>
  <c r="O2029" i="23"/>
  <c r="O2025" i="23"/>
  <c r="O2021" i="23"/>
  <c r="O2017" i="23"/>
  <c r="O2013" i="23"/>
  <c r="O2009" i="23"/>
  <c r="O2005" i="23"/>
  <c r="O2001" i="23"/>
  <c r="O1997" i="23"/>
  <c r="O1993" i="23"/>
  <c r="O1989" i="23"/>
  <c r="O1985" i="23"/>
  <c r="O1981" i="23"/>
  <c r="O1977" i="23"/>
  <c r="O1973" i="23"/>
  <c r="O1969" i="23"/>
  <c r="O1965" i="23"/>
  <c r="O1961" i="23"/>
  <c r="O1957" i="23"/>
  <c r="O1953" i="23"/>
  <c r="O1949" i="23"/>
  <c r="O1945" i="23"/>
  <c r="O1941" i="23"/>
  <c r="O1937" i="23"/>
  <c r="O1933" i="23"/>
  <c r="O1929" i="23"/>
  <c r="O1925" i="23"/>
  <c r="O1921" i="23"/>
  <c r="O1917" i="23"/>
  <c r="O1913" i="23"/>
  <c r="O1909" i="23"/>
  <c r="O1905" i="23"/>
  <c r="O1901" i="23"/>
  <c r="O1897" i="23"/>
  <c r="O1893" i="23"/>
  <c r="O1889" i="23"/>
  <c r="O1885" i="23"/>
  <c r="O1881" i="23"/>
  <c r="O1877" i="23"/>
  <c r="O1873" i="23"/>
  <c r="O1869" i="23"/>
  <c r="O1865" i="23"/>
  <c r="O1861" i="23"/>
  <c r="O1857" i="23"/>
  <c r="O1853" i="23"/>
  <c r="O1849" i="23"/>
  <c r="O1845" i="23"/>
  <c r="O1841" i="23"/>
  <c r="O1837" i="23"/>
  <c r="O1833" i="23"/>
  <c r="O1829" i="23"/>
  <c r="O1825" i="23"/>
  <c r="O1821" i="23"/>
  <c r="O1817" i="23"/>
  <c r="O1813" i="23"/>
  <c r="O1809" i="23"/>
  <c r="O1805" i="23"/>
  <c r="O1801" i="23"/>
  <c r="O1797" i="23"/>
  <c r="O1793" i="23"/>
  <c r="O1789" i="23"/>
  <c r="O1785" i="23"/>
  <c r="O1781" i="23"/>
  <c r="O1777" i="23"/>
  <c r="O1773" i="23"/>
  <c r="O1769" i="23"/>
  <c r="O1765" i="23"/>
  <c r="O1761" i="23"/>
  <c r="O1757" i="23"/>
  <c r="O1753" i="23"/>
  <c r="O1749" i="23"/>
  <c r="O1827" i="23"/>
  <c r="O1811" i="23"/>
  <c r="O1795" i="23"/>
  <c r="O1779" i="23"/>
  <c r="O1763" i="23"/>
  <c r="O1754" i="23"/>
  <c r="O1746" i="23"/>
  <c r="O1741" i="23"/>
  <c r="O1735" i="23"/>
  <c r="O1730" i="23"/>
  <c r="O1726" i="23"/>
  <c r="O1722" i="23"/>
  <c r="O1718" i="23"/>
  <c r="O1714" i="23"/>
  <c r="O1710" i="23"/>
  <c r="O1706" i="23"/>
  <c r="O1702" i="23"/>
  <c r="O1698" i="23"/>
  <c r="O1694" i="23"/>
  <c r="O1690" i="23"/>
  <c r="O1686" i="23"/>
  <c r="O1682" i="23"/>
  <c r="O1678" i="23"/>
  <c r="O1674" i="23"/>
  <c r="O1670" i="23"/>
  <c r="O1666" i="23"/>
  <c r="O1662" i="23"/>
  <c r="O1658" i="23"/>
  <c r="O1654" i="23"/>
  <c r="O1650" i="23"/>
  <c r="O1646" i="23"/>
  <c r="O1642" i="23"/>
  <c r="O1638" i="23"/>
  <c r="O1634" i="23"/>
  <c r="O1630" i="23"/>
  <c r="O1626" i="23"/>
  <c r="O1622" i="23"/>
  <c r="O1618" i="23"/>
  <c r="O1614" i="23"/>
  <c r="O1610" i="23"/>
  <c r="O1606" i="23"/>
  <c r="O1602" i="23"/>
  <c r="O1598" i="23"/>
  <c r="O1594" i="23"/>
  <c r="O1590" i="23"/>
  <c r="O1586" i="23"/>
  <c r="O1582" i="23"/>
  <c r="O1578" i="23"/>
  <c r="O1574" i="23"/>
  <c r="O1570" i="23"/>
  <c r="O1566" i="23"/>
  <c r="O1562" i="23"/>
  <c r="O1558" i="23"/>
  <c r="O1554" i="23"/>
  <c r="O1550" i="23"/>
  <c r="O1546" i="23"/>
  <c r="O1542" i="23"/>
  <c r="O1538" i="23"/>
  <c r="O1534" i="23"/>
  <c r="O1530" i="23"/>
  <c r="O1526" i="23"/>
  <c r="O1522" i="23"/>
  <c r="O1518" i="23"/>
  <c r="O1514" i="23"/>
  <c r="O1510" i="23"/>
  <c r="O1506" i="23"/>
  <c r="O1502" i="23"/>
  <c r="O1498" i="23"/>
  <c r="O1494" i="23"/>
  <c r="O1490" i="23"/>
  <c r="O1486" i="23"/>
  <c r="O1482" i="23"/>
  <c r="O1478" i="23"/>
  <c r="O1474" i="23"/>
  <c r="O1470" i="23"/>
  <c r="O1466" i="23"/>
  <c r="O1462" i="23"/>
  <c r="O1458" i="23"/>
  <c r="O1454" i="23"/>
  <c r="O1450" i="23"/>
  <c r="O1446" i="23"/>
  <c r="O1406" i="23"/>
  <c r="O1402" i="23"/>
  <c r="O1398" i="23"/>
  <c r="O1394" i="23"/>
  <c r="O1390" i="23"/>
  <c r="O1386" i="23"/>
  <c r="O1382" i="23"/>
  <c r="O1378" i="23"/>
  <c r="O1374" i="23"/>
  <c r="O1370" i="23"/>
  <c r="O1366" i="23"/>
  <c r="O1362" i="23"/>
  <c r="O1358" i="23"/>
  <c r="O1354" i="23"/>
  <c r="O1350" i="23"/>
  <c r="O1346" i="23"/>
  <c r="O1342" i="23"/>
  <c r="O1338" i="23"/>
  <c r="O1334" i="23"/>
  <c r="O1330" i="23"/>
  <c r="O1326" i="23"/>
  <c r="O1322" i="23"/>
  <c r="O1318" i="23"/>
  <c r="O1314" i="23"/>
  <c r="O1310" i="23"/>
  <c r="O1306" i="23"/>
  <c r="O1302" i="23"/>
  <c r="O1298" i="23"/>
  <c r="O1294" i="23"/>
  <c r="O1290" i="23"/>
  <c r="O1286" i="23"/>
  <c r="O1282" i="23"/>
  <c r="O1278" i="23"/>
  <c r="O1274" i="23"/>
  <c r="O1270" i="23"/>
  <c r="O1266" i="23"/>
  <c r="O1262" i="23"/>
  <c r="O1258" i="23"/>
  <c r="O1254" i="23"/>
  <c r="O1250" i="23"/>
  <c r="O1246" i="23"/>
  <c r="O1242" i="23"/>
  <c r="O1238" i="23"/>
  <c r="O1234" i="23"/>
  <c r="O1230" i="23"/>
  <c r="O1226" i="23"/>
  <c r="O1222" i="23"/>
  <c r="O1218" i="23"/>
  <c r="O1214" i="23"/>
  <c r="O1210" i="23"/>
  <c r="O1206" i="23"/>
  <c r="O1202" i="23"/>
  <c r="O1198" i="23"/>
  <c r="O1194" i="23"/>
  <c r="O1190" i="23"/>
  <c r="O1186" i="23"/>
  <c r="O1182" i="23"/>
  <c r="O1178" i="23"/>
  <c r="O1174" i="23"/>
  <c r="O1170" i="23"/>
  <c r="O1166" i="23"/>
  <c r="O1162" i="23"/>
  <c r="O1158" i="23"/>
  <c r="O1154" i="23"/>
  <c r="O1150" i="23"/>
  <c r="O1146" i="23"/>
  <c r="O1142" i="23"/>
  <c r="O1138" i="23"/>
  <c r="O1134" i="23"/>
  <c r="O1130" i="23"/>
  <c r="O1126" i="23"/>
  <c r="O1122" i="23"/>
  <c r="O1118" i="23"/>
  <c r="O1114" i="23"/>
  <c r="O1110" i="23"/>
  <c r="O1106" i="23"/>
  <c r="O1102" i="23"/>
  <c r="O1098" i="23"/>
  <c r="O1094" i="23"/>
  <c r="O1090" i="23"/>
  <c r="O1086" i="23"/>
  <c r="O1082" i="23"/>
  <c r="O1078" i="23"/>
  <c r="O1074" i="23"/>
  <c r="O1070" i="23"/>
  <c r="O1066" i="23"/>
  <c r="O1062" i="23"/>
  <c r="O1058" i="23"/>
  <c r="O1054" i="23"/>
  <c r="O1050" i="23"/>
  <c r="O1046" i="23"/>
  <c r="O1042" i="23"/>
  <c r="O1038" i="23"/>
  <c r="O1034" i="23"/>
  <c r="O1030" i="23"/>
  <c r="O1026" i="23"/>
  <c r="O1022" i="23"/>
  <c r="O1018" i="23"/>
  <c r="O1014" i="23"/>
  <c r="O1823" i="23"/>
  <c r="O1807" i="23"/>
  <c r="O1791" i="23"/>
  <c r="O1775" i="23"/>
  <c r="O1759" i="23"/>
  <c r="O1751" i="23"/>
  <c r="O1745" i="23"/>
  <c r="O1739" i="23"/>
  <c r="O1734" i="23"/>
  <c r="O1729" i="23"/>
  <c r="O1725" i="23"/>
  <c r="O1721" i="23"/>
  <c r="O1717" i="23"/>
  <c r="O1713" i="23"/>
  <c r="O1709" i="23"/>
  <c r="O1705" i="23"/>
  <c r="O1701" i="23"/>
  <c r="O1697" i="23"/>
  <c r="O1693" i="23"/>
  <c r="O1689" i="23"/>
  <c r="O1685" i="23"/>
  <c r="O1681" i="23"/>
  <c r="O1677" i="23"/>
  <c r="O1673" i="23"/>
  <c r="O1669" i="23"/>
  <c r="O1665" i="23"/>
  <c r="O1661" i="23"/>
  <c r="O1657" i="23"/>
  <c r="O1653" i="23"/>
  <c r="O1649" i="23"/>
  <c r="O1645" i="23"/>
  <c r="O1641" i="23"/>
  <c r="O1637" i="23"/>
  <c r="O1633" i="23"/>
  <c r="O1629" i="23"/>
  <c r="O1625" i="23"/>
  <c r="O1621" i="23"/>
  <c r="O1617" i="23"/>
  <c r="O1613" i="23"/>
  <c r="O1609" i="23"/>
  <c r="O1605" i="23"/>
  <c r="O1601" i="23"/>
  <c r="O1597" i="23"/>
  <c r="O1593" i="23"/>
  <c r="O1589" i="23"/>
  <c r="O1585" i="23"/>
  <c r="O1581" i="23"/>
  <c r="O1577" i="23"/>
  <c r="O1573" i="23"/>
  <c r="O1569" i="23"/>
  <c r="O1565" i="23"/>
  <c r="O1561" i="23"/>
  <c r="O1557" i="23"/>
  <c r="O1553" i="23"/>
  <c r="O1549" i="23"/>
  <c r="O1545" i="23"/>
  <c r="O1541" i="23"/>
  <c r="O1537" i="23"/>
  <c r="O1533" i="23"/>
  <c r="O1529" i="23"/>
  <c r="O1525" i="23"/>
  <c r="O1521" i="23"/>
  <c r="O1517" i="23"/>
  <c r="O1513" i="23"/>
  <c r="O1509" i="23"/>
  <c r="O1505" i="23"/>
  <c r="O1501" i="23"/>
  <c r="O1497" i="23"/>
  <c r="O1493" i="23"/>
  <c r="O1489" i="23"/>
  <c r="O1485" i="23"/>
  <c r="O1481" i="23"/>
  <c r="O1477" i="23"/>
  <c r="O1473" i="23"/>
  <c r="O1469" i="23"/>
  <c r="O1465" i="23"/>
  <c r="O1461" i="23"/>
  <c r="O1457" i="23"/>
  <c r="O1453" i="23"/>
  <c r="O1449" i="23"/>
  <c r="O1445" i="23"/>
  <c r="O1409" i="23"/>
  <c r="O1405" i="23"/>
  <c r="O1401" i="23"/>
  <c r="O1397" i="23"/>
  <c r="O1393" i="23"/>
  <c r="O1389" i="23"/>
  <c r="O1385" i="23"/>
  <c r="O1381" i="23"/>
  <c r="O1377" i="23"/>
  <c r="O1373" i="23"/>
  <c r="O1369" i="23"/>
  <c r="O1365" i="23"/>
  <c r="O1361" i="23"/>
  <c r="O1357" i="23"/>
  <c r="O1353" i="23"/>
  <c r="O1349" i="23"/>
  <c r="O1345" i="23"/>
  <c r="O1341" i="23"/>
  <c r="O1337" i="23"/>
  <c r="O1333" i="23"/>
  <c r="O1329" i="23"/>
  <c r="O1325" i="23"/>
  <c r="O1321" i="23"/>
  <c r="O1317" i="23"/>
  <c r="O1313" i="23"/>
  <c r="O1309" i="23"/>
  <c r="O1305" i="23"/>
  <c r="O1301" i="23"/>
  <c r="O1297" i="23"/>
  <c r="O1293" i="23"/>
  <c r="O1289" i="23"/>
  <c r="O1285" i="23"/>
  <c r="O1281" i="23"/>
  <c r="O1277" i="23"/>
  <c r="O1273" i="23"/>
  <c r="O1269" i="23"/>
  <c r="O1265" i="23"/>
  <c r="O1261" i="23"/>
  <c r="O1257" i="23"/>
  <c r="O1253" i="23"/>
  <c r="O1249" i="23"/>
  <c r="O1245" i="23"/>
  <c r="O1241" i="23"/>
  <c r="O1237" i="23"/>
  <c r="O1233" i="23"/>
  <c r="O1229" i="23"/>
  <c r="O1225" i="23"/>
  <c r="O1221" i="23"/>
  <c r="O1217" i="23"/>
  <c r="O1213" i="23"/>
  <c r="O1209" i="23"/>
  <c r="O1205" i="23"/>
  <c r="O1201" i="23"/>
  <c r="O1197" i="23"/>
  <c r="O1193" i="23"/>
  <c r="O1189" i="23"/>
  <c r="O1185" i="23"/>
  <c r="O1181" i="23"/>
  <c r="O1177" i="23"/>
  <c r="O1173" i="23"/>
  <c r="O1169" i="23"/>
  <c r="O1165" i="23"/>
  <c r="O1161" i="23"/>
  <c r="O1157" i="23"/>
  <c r="O1153" i="23"/>
  <c r="O1149" i="23"/>
  <c r="O1145" i="23"/>
  <c r="O1141" i="23"/>
  <c r="O1137" i="23"/>
  <c r="O1133" i="23"/>
  <c r="O1129" i="23"/>
  <c r="O1125" i="23"/>
  <c r="O1121" i="23"/>
  <c r="O1117" i="23"/>
  <c r="O1113" i="23"/>
  <c r="O1109" i="23"/>
  <c r="O1105" i="23"/>
  <c r="O1101" i="23"/>
  <c r="O1097" i="23"/>
  <c r="O1093" i="23"/>
  <c r="O1089" i="23"/>
  <c r="O1085" i="23"/>
  <c r="O1081" i="23"/>
  <c r="O1077" i="23"/>
  <c r="O1073" i="23"/>
  <c r="O1069" i="23"/>
  <c r="O1065" i="23"/>
  <c r="O1061" i="23"/>
  <c r="O1057" i="23"/>
  <c r="O1053" i="23"/>
  <c r="O1049" i="23"/>
  <c r="O1045" i="23"/>
  <c r="O1041" i="23"/>
  <c r="O1037" i="23"/>
  <c r="O1033" i="23"/>
  <c r="O1029" i="23"/>
  <c r="O1025" i="23"/>
  <c r="O1021" i="23"/>
  <c r="O1819" i="23"/>
  <c r="O1803" i="23"/>
  <c r="O1787" i="23"/>
  <c r="O1771" i="23"/>
  <c r="O1758" i="23"/>
  <c r="O1750" i="23"/>
  <c r="O1743" i="23"/>
  <c r="O1738" i="23"/>
  <c r="O1733" i="23"/>
  <c r="O1728" i="23"/>
  <c r="O1724" i="23"/>
  <c r="O1720" i="23"/>
  <c r="O1716" i="23"/>
  <c r="O1712" i="23"/>
  <c r="O1708" i="23"/>
  <c r="O1704" i="23"/>
  <c r="O1700" i="23"/>
  <c r="O1696" i="23"/>
  <c r="O1692" i="23"/>
  <c r="O1688" i="23"/>
  <c r="O1684" i="23"/>
  <c r="O1680" i="23"/>
  <c r="O1676" i="23"/>
  <c r="O1672" i="23"/>
  <c r="O1668" i="23"/>
  <c r="O1664" i="23"/>
  <c r="O1660" i="23"/>
  <c r="O1656" i="23"/>
  <c r="O1652" i="23"/>
  <c r="O1648" i="23"/>
  <c r="O1644" i="23"/>
  <c r="O1640" i="23"/>
  <c r="O1636" i="23"/>
  <c r="O1632" i="23"/>
  <c r="O1628" i="23"/>
  <c r="O1624" i="23"/>
  <c r="O1620" i="23"/>
  <c r="O1616" i="23"/>
  <c r="O1612" i="23"/>
  <c r="O1608" i="23"/>
  <c r="O1604" i="23"/>
  <c r="O1600" i="23"/>
  <c r="O1596" i="23"/>
  <c r="O1592" i="23"/>
  <c r="O1588" i="23"/>
  <c r="O1584" i="23"/>
  <c r="O1580" i="23"/>
  <c r="O1576" i="23"/>
  <c r="O1572" i="23"/>
  <c r="O1568" i="23"/>
  <c r="O1564" i="23"/>
  <c r="O1560" i="23"/>
  <c r="O1556" i="23"/>
  <c r="O1552" i="23"/>
  <c r="O1548" i="23"/>
  <c r="O1544" i="23"/>
  <c r="O1540" i="23"/>
  <c r="O1536" i="23"/>
  <c r="O1532" i="23"/>
  <c r="O1528" i="23"/>
  <c r="O1524" i="23"/>
  <c r="O1520" i="23"/>
  <c r="O1516" i="23"/>
  <c r="O1512" i="23"/>
  <c r="O1508" i="23"/>
  <c r="O1504" i="23"/>
  <c r="O1500" i="23"/>
  <c r="O1496" i="23"/>
  <c r="O1492" i="23"/>
  <c r="O1488" i="23"/>
  <c r="O1484" i="23"/>
  <c r="O1480" i="23"/>
  <c r="O1476" i="23"/>
  <c r="O1472" i="23"/>
  <c r="O1468" i="23"/>
  <c r="O1464" i="23"/>
  <c r="O1460" i="23"/>
  <c r="O1456" i="23"/>
  <c r="O1452" i="23"/>
  <c r="O1448" i="23"/>
  <c r="O1444" i="23"/>
  <c r="O1408" i="23"/>
  <c r="O1404" i="23"/>
  <c r="O1400" i="23"/>
  <c r="O1396" i="23"/>
  <c r="O1392" i="23"/>
  <c r="O1388" i="23"/>
  <c r="O1384" i="23"/>
  <c r="O1380" i="23"/>
  <c r="O1376" i="23"/>
  <c r="O1372" i="23"/>
  <c r="O1368" i="23"/>
  <c r="O1364" i="23"/>
  <c r="O1360" i="23"/>
  <c r="O1356" i="23"/>
  <c r="O1352" i="23"/>
  <c r="O1348" i="23"/>
  <c r="O1344" i="23"/>
  <c r="O1340" i="23"/>
  <c r="O1336" i="23"/>
  <c r="O1332" i="23"/>
  <c r="O1328" i="23"/>
  <c r="O1324" i="23"/>
  <c r="O1320" i="23"/>
  <c r="O1316" i="23"/>
  <c r="O1312" i="23"/>
  <c r="O1308" i="23"/>
  <c r="O1304" i="23"/>
  <c r="O1300" i="23"/>
  <c r="O1296" i="23"/>
  <c r="O1292" i="23"/>
  <c r="O1288" i="23"/>
  <c r="O1284" i="23"/>
  <c r="O1280" i="23"/>
  <c r="O1276" i="23"/>
  <c r="O1272" i="23"/>
  <c r="O1268" i="23"/>
  <c r="O1264" i="23"/>
  <c r="O1260" i="23"/>
  <c r="O1256" i="23"/>
  <c r="O1252" i="23"/>
  <c r="O1248" i="23"/>
  <c r="O1244" i="23"/>
  <c r="O1240" i="23"/>
  <c r="O1236" i="23"/>
  <c r="O1232" i="23"/>
  <c r="O1228" i="23"/>
  <c r="O1224" i="23"/>
  <c r="O1220" i="23"/>
  <c r="O1216" i="23"/>
  <c r="O1212" i="23"/>
  <c r="O1208" i="23"/>
  <c r="O1204" i="23"/>
  <c r="O1200" i="23"/>
  <c r="O1196" i="23"/>
  <c r="O1192" i="23"/>
  <c r="O1188" i="23"/>
  <c r="O1184" i="23"/>
  <c r="O1180" i="23"/>
  <c r="O1176" i="23"/>
  <c r="O1172" i="23"/>
  <c r="O1168" i="23"/>
  <c r="O1164" i="23"/>
  <c r="O1160" i="23"/>
  <c r="O1156" i="23"/>
  <c r="O1152" i="23"/>
  <c r="O1148" i="23"/>
  <c r="O1144" i="23"/>
  <c r="O1140" i="23"/>
  <c r="O1136" i="23"/>
  <c r="O1132" i="23"/>
  <c r="O1128" i="23"/>
  <c r="O1124" i="23"/>
  <c r="O1120" i="23"/>
  <c r="O1116" i="23"/>
  <c r="O1112" i="23"/>
  <c r="O1108" i="23"/>
  <c r="O1104" i="23"/>
  <c r="O1100" i="23"/>
  <c r="O1096" i="23"/>
  <c r="O1092" i="23"/>
  <c r="O1088" i="23"/>
  <c r="O1815" i="23"/>
  <c r="O1799" i="23"/>
  <c r="O1783" i="23"/>
  <c r="O1767" i="23"/>
  <c r="O1755" i="23"/>
  <c r="O1747" i="23"/>
  <c r="O1742" i="23"/>
  <c r="O1737" i="23"/>
  <c r="O1731" i="23"/>
  <c r="O1727" i="23"/>
  <c r="O1723" i="23"/>
  <c r="O1719" i="23"/>
  <c r="O1715" i="23"/>
  <c r="O1711" i="23"/>
  <c r="O1707" i="23"/>
  <c r="O1703" i="23"/>
  <c r="O1699" i="23"/>
  <c r="O1695" i="23"/>
  <c r="O1691" i="23"/>
  <c r="O1687" i="23"/>
  <c r="O1683" i="23"/>
  <c r="O1679" i="23"/>
  <c r="O1675" i="23"/>
  <c r="O1671" i="23"/>
  <c r="O1667" i="23"/>
  <c r="O1663" i="23"/>
  <c r="O1659" i="23"/>
  <c r="O1655" i="23"/>
  <c r="O1651" i="23"/>
  <c r="O1647" i="23"/>
  <c r="O1643" i="23"/>
  <c r="O1639" i="23"/>
  <c r="O1635" i="23"/>
  <c r="O1631" i="23"/>
  <c r="O1627" i="23"/>
  <c r="O1623" i="23"/>
  <c r="O1619" i="23"/>
  <c r="O1615" i="23"/>
  <c r="O1611" i="23"/>
  <c r="O1607" i="23"/>
  <c r="O1603" i="23"/>
  <c r="O1599" i="23"/>
  <c r="O1595" i="23"/>
  <c r="O1591" i="23"/>
  <c r="O1587" i="23"/>
  <c r="O1583" i="23"/>
  <c r="O1579" i="23"/>
  <c r="O1575" i="23"/>
  <c r="O1571" i="23"/>
  <c r="O1567" i="23"/>
  <c r="O1563" i="23"/>
  <c r="O1559" i="23"/>
  <c r="O1555" i="23"/>
  <c r="O1551" i="23"/>
  <c r="O1547" i="23"/>
  <c r="O1543" i="23"/>
  <c r="O1539" i="23"/>
  <c r="O1535" i="23"/>
  <c r="O1531" i="23"/>
  <c r="O1527" i="23"/>
  <c r="O1523" i="23"/>
  <c r="O1519" i="23"/>
  <c r="O1515" i="23"/>
  <c r="O1511" i="23"/>
  <c r="O1507" i="23"/>
  <c r="O1503" i="23"/>
  <c r="O1499" i="23"/>
  <c r="O1495" i="23"/>
  <c r="O1491" i="23"/>
  <c r="O1487" i="23"/>
  <c r="O1483" i="23"/>
  <c r="O1479" i="23"/>
  <c r="O1475" i="23"/>
  <c r="O1471" i="23"/>
  <c r="O1467" i="23"/>
  <c r="O1463" i="23"/>
  <c r="O1459" i="23"/>
  <c r="O1455" i="23"/>
  <c r="O1451" i="23"/>
  <c r="O1447" i="23"/>
  <c r="O1407" i="23"/>
  <c r="O1403" i="23"/>
  <c r="O1399" i="23"/>
  <c r="O1395" i="23"/>
  <c r="O1391" i="23"/>
  <c r="O1387" i="23"/>
  <c r="O1383" i="23"/>
  <c r="O1379" i="23"/>
  <c r="O1375" i="23"/>
  <c r="O1371" i="23"/>
  <c r="O1367" i="23"/>
  <c r="O1363" i="23"/>
  <c r="O1359" i="23"/>
  <c r="O1355" i="23"/>
  <c r="O1351" i="23"/>
  <c r="O1347" i="23"/>
  <c r="O1343" i="23"/>
  <c r="O1339" i="23"/>
  <c r="O1335" i="23"/>
  <c r="O1331" i="23"/>
  <c r="O1327" i="23"/>
  <c r="O1323" i="23"/>
  <c r="O1319" i="23"/>
  <c r="O1315" i="23"/>
  <c r="O1311" i="23"/>
  <c r="O1307" i="23"/>
  <c r="O1303" i="23"/>
  <c r="O1299" i="23"/>
  <c r="O1295" i="23"/>
  <c r="O1291" i="23"/>
  <c r="O1287" i="23"/>
  <c r="O1283" i="23"/>
  <c r="O1279" i="23"/>
  <c r="O1275" i="23"/>
  <c r="O1271" i="23"/>
  <c r="O1267" i="23"/>
  <c r="O1263" i="23"/>
  <c r="O1259" i="23"/>
  <c r="O1255" i="23"/>
  <c r="O1251" i="23"/>
  <c r="O1247" i="23"/>
  <c r="O1243" i="23"/>
  <c r="O1239" i="23"/>
  <c r="O1235" i="23"/>
  <c r="O1231" i="23"/>
  <c r="O1227" i="23"/>
  <c r="O1223" i="23"/>
  <c r="O1219" i="23"/>
  <c r="O1215" i="23"/>
  <c r="O1211" i="23"/>
  <c r="O1207" i="23"/>
  <c r="O1203" i="23"/>
  <c r="O1199" i="23"/>
  <c r="O1195" i="23"/>
  <c r="O1191" i="23"/>
  <c r="O1187" i="23"/>
  <c r="O1183" i="23"/>
  <c r="O1179" i="23"/>
  <c r="O1175" i="23"/>
  <c r="O1171" i="23"/>
  <c r="O1167" i="23"/>
  <c r="O1163" i="23"/>
  <c r="O1159" i="23"/>
  <c r="O1155" i="23"/>
  <c r="O1151" i="23"/>
  <c r="O1147" i="23"/>
  <c r="O1143" i="23"/>
  <c r="O1139" i="23"/>
  <c r="O1135" i="23"/>
  <c r="O1131" i="23"/>
  <c r="O1127" i="23"/>
  <c r="O1123" i="23"/>
  <c r="O1119" i="23"/>
  <c r="O1115" i="23"/>
  <c r="O1111" i="23"/>
  <c r="O1107" i="23"/>
  <c r="O1103" i="23"/>
  <c r="O1099" i="23"/>
  <c r="O1095" i="23"/>
  <c r="O1091" i="23"/>
  <c r="O1087" i="23"/>
  <c r="O1083" i="23"/>
  <c r="O1079" i="23"/>
  <c r="O1075" i="23"/>
  <c r="O1071" i="23"/>
  <c r="O1067" i="23"/>
  <c r="O1063" i="23"/>
  <c r="O1059" i="23"/>
  <c r="O1055" i="23"/>
  <c r="O1051" i="23"/>
  <c r="O1047" i="23"/>
  <c r="O1043" i="23"/>
  <c r="O1039" i="23"/>
  <c r="O1035" i="23"/>
  <c r="O1031" i="23"/>
  <c r="O1027" i="23"/>
  <c r="O1084" i="23"/>
  <c r="O1068" i="23"/>
  <c r="O1052" i="23"/>
  <c r="O1036" i="23"/>
  <c r="O1023" i="23"/>
  <c r="O1016" i="23"/>
  <c r="O1011" i="23"/>
  <c r="O1007" i="23"/>
  <c r="O1003" i="23"/>
  <c r="O999" i="23"/>
  <c r="O995" i="23"/>
  <c r="O991" i="23"/>
  <c r="O987" i="23"/>
  <c r="O983" i="23"/>
  <c r="O979" i="23"/>
  <c r="O975" i="23"/>
  <c r="O971" i="23"/>
  <c r="O967" i="23"/>
  <c r="O963" i="23"/>
  <c r="O959" i="23"/>
  <c r="O955" i="23"/>
  <c r="O951" i="23"/>
  <c r="O947" i="23"/>
  <c r="O943" i="23"/>
  <c r="O939" i="23"/>
  <c r="O935" i="23"/>
  <c r="O931" i="23"/>
  <c r="O927" i="23"/>
  <c r="O923" i="23"/>
  <c r="O919" i="23"/>
  <c r="O915" i="23"/>
  <c r="O911" i="23"/>
  <c r="O907" i="23"/>
  <c r="O903" i="23"/>
  <c r="O899" i="23"/>
  <c r="O895" i="23"/>
  <c r="O891" i="23"/>
  <c r="O887" i="23"/>
  <c r="O883" i="23"/>
  <c r="O879" i="23"/>
  <c r="O875" i="23"/>
  <c r="O871" i="23"/>
  <c r="O867" i="23"/>
  <c r="O863" i="23"/>
  <c r="O859" i="23"/>
  <c r="O811" i="23"/>
  <c r="O807" i="23"/>
  <c r="O803" i="23"/>
  <c r="O775" i="23"/>
  <c r="O771" i="23"/>
  <c r="O747" i="23"/>
  <c r="O743" i="23"/>
  <c r="O691" i="23"/>
  <c r="O687" i="23"/>
  <c r="O683" i="23"/>
  <c r="N4998" i="23"/>
  <c r="N4994" i="23"/>
  <c r="N4990" i="23"/>
  <c r="N4986" i="23"/>
  <c r="N4982" i="23"/>
  <c r="N4978" i="23"/>
  <c r="N4974" i="23"/>
  <c r="N4970" i="23"/>
  <c r="N4966" i="23"/>
  <c r="N4962" i="23"/>
  <c r="N4958" i="23"/>
  <c r="N4954" i="23"/>
  <c r="N4950" i="23"/>
  <c r="N4946" i="23"/>
  <c r="N4942" i="23"/>
  <c r="N4938" i="23"/>
  <c r="N4934" i="23"/>
  <c r="N4930" i="23"/>
  <c r="N4926" i="23"/>
  <c r="N4922" i="23"/>
  <c r="N4918" i="23"/>
  <c r="N4914" i="23"/>
  <c r="N4910" i="23"/>
  <c r="N4906" i="23"/>
  <c r="N4902" i="23"/>
  <c r="N4898" i="23"/>
  <c r="N4894" i="23"/>
  <c r="N4890" i="23"/>
  <c r="N4886" i="23"/>
  <c r="N4882" i="23"/>
  <c r="N4878" i="23"/>
  <c r="N4874" i="23"/>
  <c r="N4870" i="23"/>
  <c r="N4866" i="23"/>
  <c r="N4862" i="23"/>
  <c r="N4858" i="23"/>
  <c r="N4854" i="23"/>
  <c r="N4850" i="23"/>
  <c r="N4846" i="23"/>
  <c r="N4842" i="23"/>
  <c r="N4838" i="23"/>
  <c r="N4834" i="23"/>
  <c r="N4830" i="23"/>
  <c r="N4826" i="23"/>
  <c r="N4822" i="23"/>
  <c r="N4818" i="23"/>
  <c r="N4814" i="23"/>
  <c r="N4810" i="23"/>
  <c r="N4806" i="23"/>
  <c r="N4802" i="23"/>
  <c r="N4798" i="23"/>
  <c r="N4794" i="23"/>
  <c r="N4790" i="23"/>
  <c r="N4786" i="23"/>
  <c r="N4782" i="23"/>
  <c r="N4778" i="23"/>
  <c r="N4774" i="23"/>
  <c r="N4770" i="23"/>
  <c r="N4766" i="23"/>
  <c r="N4762" i="23"/>
  <c r="N4758" i="23"/>
  <c r="N4754" i="23"/>
  <c r="N4750" i="23"/>
  <c r="N4746" i="23"/>
  <c r="N4742" i="23"/>
  <c r="N4738" i="23"/>
  <c r="N4734" i="23"/>
  <c r="N4730" i="23"/>
  <c r="N4726" i="23"/>
  <c r="N4722" i="23"/>
  <c r="N4718" i="23"/>
  <c r="N4714" i="23"/>
  <c r="N4710" i="23"/>
  <c r="N4706" i="23"/>
  <c r="N4702" i="23"/>
  <c r="N4698" i="23"/>
  <c r="N4694" i="23"/>
  <c r="N4690" i="23"/>
  <c r="N4686" i="23"/>
  <c r="N4682" i="23"/>
  <c r="N4678" i="23"/>
  <c r="N4674" i="23"/>
  <c r="N4670" i="23"/>
  <c r="N4666" i="23"/>
  <c r="N4662" i="23"/>
  <c r="N4658" i="23"/>
  <c r="N4654" i="23"/>
  <c r="N4650" i="23"/>
  <c r="N4646" i="23"/>
  <c r="N4642" i="23"/>
  <c r="N4638" i="23"/>
  <c r="N4634" i="23"/>
  <c r="N4630" i="23"/>
  <c r="N4626" i="23"/>
  <c r="N4622" i="23"/>
  <c r="N4618" i="23"/>
  <c r="N4614" i="23"/>
  <c r="N4610" i="23"/>
  <c r="N4606" i="23"/>
  <c r="N4602" i="23"/>
  <c r="N4598" i="23"/>
  <c r="N4594" i="23"/>
  <c r="N4590" i="23"/>
  <c r="N4586" i="23"/>
  <c r="N4582" i="23"/>
  <c r="N4578" i="23"/>
  <c r="N4574" i="23"/>
  <c r="N4570" i="23"/>
  <c r="N4566" i="23"/>
  <c r="N4562" i="23"/>
  <c r="N4558" i="23"/>
  <c r="N4554" i="23"/>
  <c r="N4550" i="23"/>
  <c r="N4546" i="23"/>
  <c r="N4542" i="23"/>
  <c r="N4538" i="23"/>
  <c r="N4534" i="23"/>
  <c r="N4530" i="23"/>
  <c r="N4526" i="23"/>
  <c r="N4522" i="23"/>
  <c r="N4518" i="23"/>
  <c r="N4514" i="23"/>
  <c r="N4510" i="23"/>
  <c r="N4506" i="23"/>
  <c r="N4502" i="23"/>
  <c r="N4498" i="23"/>
  <c r="N4494" i="23"/>
  <c r="N4490" i="23"/>
  <c r="N4486" i="23"/>
  <c r="N4482" i="23"/>
  <c r="N4478" i="23"/>
  <c r="N4474" i="23"/>
  <c r="N4470" i="23"/>
  <c r="N4466" i="23"/>
  <c r="N4462" i="23"/>
  <c r="N4458" i="23"/>
  <c r="N4454" i="23"/>
  <c r="N4450" i="23"/>
  <c r="N4446" i="23"/>
  <c r="N4442" i="23"/>
  <c r="N4438" i="23"/>
  <c r="N4434" i="23"/>
  <c r="N4430" i="23"/>
  <c r="N4426" i="23"/>
  <c r="N4422" i="23"/>
  <c r="N4418" i="23"/>
  <c r="N4414" i="23"/>
  <c r="N4410" i="23"/>
  <c r="N4406" i="23"/>
  <c r="N4402" i="23"/>
  <c r="N4398" i="23"/>
  <c r="N4394" i="23"/>
  <c r="N4390" i="23"/>
  <c r="N4386" i="23"/>
  <c r="N4382" i="23"/>
  <c r="N4378" i="23"/>
  <c r="N4374" i="23"/>
  <c r="N4370" i="23"/>
  <c r="N4366" i="23"/>
  <c r="N4362" i="23"/>
  <c r="N4358" i="23"/>
  <c r="N4354" i="23"/>
  <c r="N4350" i="23"/>
  <c r="N4346" i="23"/>
  <c r="N4342" i="23"/>
  <c r="N4338" i="23"/>
  <c r="N4334" i="23"/>
  <c r="N4330" i="23"/>
  <c r="N4326" i="23"/>
  <c r="N4322" i="23"/>
  <c r="N4318" i="23"/>
  <c r="N4314" i="23"/>
  <c r="N4310" i="23"/>
  <c r="N4306" i="23"/>
  <c r="N4302" i="23"/>
  <c r="N4298" i="23"/>
  <c r="N4294" i="23"/>
  <c r="N4290" i="23"/>
  <c r="N4286" i="23"/>
  <c r="N4282" i="23"/>
  <c r="N4278" i="23"/>
  <c r="N4274" i="23"/>
  <c r="N4270" i="23"/>
  <c r="N4266" i="23"/>
  <c r="N4262" i="23"/>
  <c r="N4258" i="23"/>
  <c r="N4254" i="23"/>
  <c r="N4250" i="23"/>
  <c r="N4246" i="23"/>
  <c r="N4242" i="23"/>
  <c r="N4238" i="23"/>
  <c r="N4234" i="23"/>
  <c r="N4230" i="23"/>
  <c r="N4226" i="23"/>
  <c r="N4222" i="23"/>
  <c r="N4218" i="23"/>
  <c r="N4214" i="23"/>
  <c r="N4210" i="23"/>
  <c r="N4206" i="23"/>
  <c r="N4202" i="23"/>
  <c r="N4198" i="23"/>
  <c r="N4194" i="23"/>
  <c r="N4190" i="23"/>
  <c r="N4186" i="23"/>
  <c r="N4182" i="23"/>
  <c r="N4178" i="23"/>
  <c r="N4174" i="23"/>
  <c r="N4170" i="23"/>
  <c r="N4166" i="23"/>
  <c r="N4162" i="23"/>
  <c r="N4158" i="23"/>
  <c r="N4154" i="23"/>
  <c r="N4150" i="23"/>
  <c r="N4146" i="23"/>
  <c r="N4142" i="23"/>
  <c r="N4138" i="23"/>
  <c r="N4134" i="23"/>
  <c r="N4130" i="23"/>
  <c r="N4126" i="23"/>
  <c r="N4122" i="23"/>
  <c r="N4118" i="23"/>
  <c r="N4114" i="23"/>
  <c r="N4110" i="23"/>
  <c r="N4106" i="23"/>
  <c r="N4102" i="23"/>
  <c r="N4098" i="23"/>
  <c r="N4094" i="23"/>
  <c r="N4090" i="23"/>
  <c r="N4086" i="23"/>
  <c r="N4082" i="23"/>
  <c r="N4078" i="23"/>
  <c r="N4074" i="23"/>
  <c r="N4070" i="23"/>
  <c r="N4066" i="23"/>
  <c r="N4062" i="23"/>
  <c r="N4058" i="23"/>
  <c r="N4054" i="23"/>
  <c r="N4050" i="23"/>
  <c r="N4046" i="23"/>
  <c r="N4042" i="23"/>
  <c r="N4038" i="23"/>
  <c r="N4034" i="23"/>
  <c r="N4030" i="23"/>
  <c r="N4026" i="23"/>
  <c r="N4022" i="23"/>
  <c r="N4018" i="23"/>
  <c r="N4014" i="23"/>
  <c r="O1080" i="23"/>
  <c r="O1064" i="23"/>
  <c r="O1048" i="23"/>
  <c r="O1032" i="23"/>
  <c r="O1020" i="23"/>
  <c r="O1015" i="23"/>
  <c r="O1010" i="23"/>
  <c r="O1006" i="23"/>
  <c r="O1002" i="23"/>
  <c r="O998" i="23"/>
  <c r="O994" i="23"/>
  <c r="O990" i="23"/>
  <c r="O986" i="23"/>
  <c r="O982" i="23"/>
  <c r="O978" i="23"/>
  <c r="O974" i="23"/>
  <c r="O970" i="23"/>
  <c r="O966" i="23"/>
  <c r="O962" i="23"/>
  <c r="O958" i="23"/>
  <c r="O954" i="23"/>
  <c r="O950" i="23"/>
  <c r="O946" i="23"/>
  <c r="O942" i="23"/>
  <c r="O938" i="23"/>
  <c r="O934" i="23"/>
  <c r="O930" i="23"/>
  <c r="O926" i="23"/>
  <c r="O922" i="23"/>
  <c r="O918" i="23"/>
  <c r="O914" i="23"/>
  <c r="O910" i="23"/>
  <c r="O906" i="23"/>
  <c r="O902" i="23"/>
  <c r="O898" i="23"/>
  <c r="O894" i="23"/>
  <c r="O890" i="23"/>
  <c r="O886" i="23"/>
  <c r="O882" i="23"/>
  <c r="O878" i="23"/>
  <c r="O874" i="23"/>
  <c r="O870" i="23"/>
  <c r="O866" i="23"/>
  <c r="O862" i="23"/>
  <c r="O858" i="23"/>
  <c r="O810" i="23"/>
  <c r="O806" i="23"/>
  <c r="O802" i="23"/>
  <c r="O774" i="23"/>
  <c r="O770" i="23"/>
  <c r="O746" i="23"/>
  <c r="O742" i="23"/>
  <c r="O690" i="23"/>
  <c r="O686" i="23"/>
  <c r="O682" i="23"/>
  <c r="N4997" i="23"/>
  <c r="N4993" i="23"/>
  <c r="N4989" i="23"/>
  <c r="N4985" i="23"/>
  <c r="N4981" i="23"/>
  <c r="N4977" i="23"/>
  <c r="N4973" i="23"/>
  <c r="N4969" i="23"/>
  <c r="N4965" i="23"/>
  <c r="N4961" i="23"/>
  <c r="N4957" i="23"/>
  <c r="N4953" i="23"/>
  <c r="N4949" i="23"/>
  <c r="N4945" i="23"/>
  <c r="N4941" i="23"/>
  <c r="N4937" i="23"/>
  <c r="N4933" i="23"/>
  <c r="N4929" i="23"/>
  <c r="N4925" i="23"/>
  <c r="N4921" i="23"/>
  <c r="N4917" i="23"/>
  <c r="N4913" i="23"/>
  <c r="N4909" i="23"/>
  <c r="N4905" i="23"/>
  <c r="N4901" i="23"/>
  <c r="N4897" i="23"/>
  <c r="N4893" i="23"/>
  <c r="N4889" i="23"/>
  <c r="N4885" i="23"/>
  <c r="N4881" i="23"/>
  <c r="N4877" i="23"/>
  <c r="N4873" i="23"/>
  <c r="N4869" i="23"/>
  <c r="N4865" i="23"/>
  <c r="N4861" i="23"/>
  <c r="N4857" i="23"/>
  <c r="N4853" i="23"/>
  <c r="N4849" i="23"/>
  <c r="N4845" i="23"/>
  <c r="N4841" i="23"/>
  <c r="N4837" i="23"/>
  <c r="N4833" i="23"/>
  <c r="N4829" i="23"/>
  <c r="N4825" i="23"/>
  <c r="N4821" i="23"/>
  <c r="N4817" i="23"/>
  <c r="N4813" i="23"/>
  <c r="N4809" i="23"/>
  <c r="N4805" i="23"/>
  <c r="N4801" i="23"/>
  <c r="N4797" i="23"/>
  <c r="N4793" i="23"/>
  <c r="N4789" i="23"/>
  <c r="N4785" i="23"/>
  <c r="N4781" i="23"/>
  <c r="N4777" i="23"/>
  <c r="N4773" i="23"/>
  <c r="N4769" i="23"/>
  <c r="N4765" i="23"/>
  <c r="N4761" i="23"/>
  <c r="N4757" i="23"/>
  <c r="N4753" i="23"/>
  <c r="N4749" i="23"/>
  <c r="N4745" i="23"/>
  <c r="N4741" i="23"/>
  <c r="N4737" i="23"/>
  <c r="N4733" i="23"/>
  <c r="N4729" i="23"/>
  <c r="N4725" i="23"/>
  <c r="N4721" i="23"/>
  <c r="N4717" i="23"/>
  <c r="N4713" i="23"/>
  <c r="N4709" i="23"/>
  <c r="N4705" i="23"/>
  <c r="N4701" i="23"/>
  <c r="N4697" i="23"/>
  <c r="N4693" i="23"/>
  <c r="N4689" i="23"/>
  <c r="N4685" i="23"/>
  <c r="N4681" i="23"/>
  <c r="N4677" i="23"/>
  <c r="N4673" i="23"/>
  <c r="N4669" i="23"/>
  <c r="N4665" i="23"/>
  <c r="N4661" i="23"/>
  <c r="N4657" i="23"/>
  <c r="N4653" i="23"/>
  <c r="N4649" i="23"/>
  <c r="N4645" i="23"/>
  <c r="N4641" i="23"/>
  <c r="N4637" i="23"/>
  <c r="N4633" i="23"/>
  <c r="N4629" i="23"/>
  <c r="N4625" i="23"/>
  <c r="N4621" i="23"/>
  <c r="N4617" i="23"/>
  <c r="N4613" i="23"/>
  <c r="N4609" i="23"/>
  <c r="N4605" i="23"/>
  <c r="N4601" i="23"/>
  <c r="N4597" i="23"/>
  <c r="N4593" i="23"/>
  <c r="N4589" i="23"/>
  <c r="N4585" i="23"/>
  <c r="N4581" i="23"/>
  <c r="N4577" i="23"/>
  <c r="N4573" i="23"/>
  <c r="N4569" i="23"/>
  <c r="N4565" i="23"/>
  <c r="N4561" i="23"/>
  <c r="N4557" i="23"/>
  <c r="N4553" i="23"/>
  <c r="N4549" i="23"/>
  <c r="N4545" i="23"/>
  <c r="N4541" i="23"/>
  <c r="N4537" i="23"/>
  <c r="N4533" i="23"/>
  <c r="N4529" i="23"/>
  <c r="N4525" i="23"/>
  <c r="N4521" i="23"/>
  <c r="N4517" i="23"/>
  <c r="N4513" i="23"/>
  <c r="N4509" i="23"/>
  <c r="N4505" i="23"/>
  <c r="N4501" i="23"/>
  <c r="N4497" i="23"/>
  <c r="N4493" i="23"/>
  <c r="N4489" i="23"/>
  <c r="N4485" i="23"/>
  <c r="N4481" i="23"/>
  <c r="N4477" i="23"/>
  <c r="N4473" i="23"/>
  <c r="N4469" i="23"/>
  <c r="N4465" i="23"/>
  <c r="N4461" i="23"/>
  <c r="N4457" i="23"/>
  <c r="N4453" i="23"/>
  <c r="N4449" i="23"/>
  <c r="N4445" i="23"/>
  <c r="N4441" i="23"/>
  <c r="N4437" i="23"/>
  <c r="N4433" i="23"/>
  <c r="N4429" i="23"/>
  <c r="N4425" i="23"/>
  <c r="N4421" i="23"/>
  <c r="N4417" i="23"/>
  <c r="N4413" i="23"/>
  <c r="N4409" i="23"/>
  <c r="N4405" i="23"/>
  <c r="N4401" i="23"/>
  <c r="N4397" i="23"/>
  <c r="N4393" i="23"/>
  <c r="N4389" i="23"/>
  <c r="N4385" i="23"/>
  <c r="N4381" i="23"/>
  <c r="N4377" i="23"/>
  <c r="N4373" i="23"/>
  <c r="N4369" i="23"/>
  <c r="N4365" i="23"/>
  <c r="N4361" i="23"/>
  <c r="N4357" i="23"/>
  <c r="N4353" i="23"/>
  <c r="N4349" i="23"/>
  <c r="N4345" i="23"/>
  <c r="N4341" i="23"/>
  <c r="N4337" i="23"/>
  <c r="N4333" i="23"/>
  <c r="N4329" i="23"/>
  <c r="N4325" i="23"/>
  <c r="N4321" i="23"/>
  <c r="N4317" i="23"/>
  <c r="N4313" i="23"/>
  <c r="N4309" i="23"/>
  <c r="N4305" i="23"/>
  <c r="N4301" i="23"/>
  <c r="N4297" i="23"/>
  <c r="N4293" i="23"/>
  <c r="N4289" i="23"/>
  <c r="N4285" i="23"/>
  <c r="N4281" i="23"/>
  <c r="N4277" i="23"/>
  <c r="N4273" i="23"/>
  <c r="N4269" i="23"/>
  <c r="N4265" i="23"/>
  <c r="N4261" i="23"/>
  <c r="N4257" i="23"/>
  <c r="N4253" i="23"/>
  <c r="N4249" i="23"/>
  <c r="N4245" i="23"/>
  <c r="N4241" i="23"/>
  <c r="N4237" i="23"/>
  <c r="N4233" i="23"/>
  <c r="N4229" i="23"/>
  <c r="N4225" i="23"/>
  <c r="N4221" i="23"/>
  <c r="N4217" i="23"/>
  <c r="N4213" i="23"/>
  <c r="N4209" i="23"/>
  <c r="N4205" i="23"/>
  <c r="N4201" i="23"/>
  <c r="N4197" i="23"/>
  <c r="N4193" i="23"/>
  <c r="N4189" i="23"/>
  <c r="N4185" i="23"/>
  <c r="N4181" i="23"/>
  <c r="N4177" i="23"/>
  <c r="N4173" i="23"/>
  <c r="N4169" i="23"/>
  <c r="N4165" i="23"/>
  <c r="N4161" i="23"/>
  <c r="N4157" i="23"/>
  <c r="N4153" i="23"/>
  <c r="N4149" i="23"/>
  <c r="N4145" i="23"/>
  <c r="N4141" i="23"/>
  <c r="N4137" i="23"/>
  <c r="N4133" i="23"/>
  <c r="N4129" i="23"/>
  <c r="N4125" i="23"/>
  <c r="N4121" i="23"/>
  <c r="N4117" i="23"/>
  <c r="N4113" i="23"/>
  <c r="N4109" i="23"/>
  <c r="N4105" i="23"/>
  <c r="N4101" i="23"/>
  <c r="N4097" i="23"/>
  <c r="N4093" i="23"/>
  <c r="N4089" i="23"/>
  <c r="N4085" i="23"/>
  <c r="N4081" i="23"/>
  <c r="N4077" i="23"/>
  <c r="N4073" i="23"/>
  <c r="N4069" i="23"/>
  <c r="N4065" i="23"/>
  <c r="N4061" i="23"/>
  <c r="N4057" i="23"/>
  <c r="N4053" i="23"/>
  <c r="N4049" i="23"/>
  <c r="N4045" i="23"/>
  <c r="N4041" i="23"/>
  <c r="N4037" i="23"/>
  <c r="N4033" i="23"/>
  <c r="N4029" i="23"/>
  <c r="N4025" i="23"/>
  <c r="N4021" i="23"/>
  <c r="N4017" i="23"/>
  <c r="N4013" i="23"/>
  <c r="O1076" i="23"/>
  <c r="O1060" i="23"/>
  <c r="O1044" i="23"/>
  <c r="O1028" i="23"/>
  <c r="O1019" i="23"/>
  <c r="O1013" i="23"/>
  <c r="O1009" i="23"/>
  <c r="O1005" i="23"/>
  <c r="O1001" i="23"/>
  <c r="O997" i="23"/>
  <c r="O993" i="23"/>
  <c r="O989" i="23"/>
  <c r="O985" i="23"/>
  <c r="O981" i="23"/>
  <c r="O977" i="23"/>
  <c r="O973" i="23"/>
  <c r="O969" i="23"/>
  <c r="O965" i="23"/>
  <c r="O961" i="23"/>
  <c r="O957" i="23"/>
  <c r="O953" i="23"/>
  <c r="O949" i="23"/>
  <c r="O945" i="23"/>
  <c r="O941" i="23"/>
  <c r="O937" i="23"/>
  <c r="O933" i="23"/>
  <c r="O929" i="23"/>
  <c r="O925" i="23"/>
  <c r="O921" i="23"/>
  <c r="O917" i="23"/>
  <c r="O913" i="23"/>
  <c r="O909" i="23"/>
  <c r="O905" i="23"/>
  <c r="O901" i="23"/>
  <c r="O897" i="23"/>
  <c r="O893" i="23"/>
  <c r="O889" i="23"/>
  <c r="O885" i="23"/>
  <c r="O881" i="23"/>
  <c r="O877" i="23"/>
  <c r="O873" i="23"/>
  <c r="O869" i="23"/>
  <c r="O865" i="23"/>
  <c r="O861" i="23"/>
  <c r="O857" i="23"/>
  <c r="O809" i="23"/>
  <c r="O805" i="23"/>
  <c r="O777" i="23"/>
  <c r="O773" i="23"/>
  <c r="O769" i="23"/>
  <c r="O749" i="23"/>
  <c r="O745" i="23"/>
  <c r="O741" i="23"/>
  <c r="O689" i="23"/>
  <c r="O685" i="23"/>
  <c r="O661" i="23"/>
  <c r="N5000" i="23"/>
  <c r="N4996" i="23"/>
  <c r="N4992" i="23"/>
  <c r="N4988" i="23"/>
  <c r="N4984" i="23"/>
  <c r="N4980" i="23"/>
  <c r="N4976" i="23"/>
  <c r="N4972" i="23"/>
  <c r="N4968" i="23"/>
  <c r="N4964" i="23"/>
  <c r="N4960" i="23"/>
  <c r="N4956" i="23"/>
  <c r="N4952" i="23"/>
  <c r="N4948" i="23"/>
  <c r="N4944" i="23"/>
  <c r="N4940" i="23"/>
  <c r="N4936" i="23"/>
  <c r="N4932" i="23"/>
  <c r="N4928" i="23"/>
  <c r="N4924" i="23"/>
  <c r="N4920" i="23"/>
  <c r="N4916" i="23"/>
  <c r="N4912" i="23"/>
  <c r="N4908" i="23"/>
  <c r="N4904" i="23"/>
  <c r="N4900" i="23"/>
  <c r="N4896" i="23"/>
  <c r="N4892" i="23"/>
  <c r="N4888" i="23"/>
  <c r="N4884" i="23"/>
  <c r="N4880" i="23"/>
  <c r="N4876" i="23"/>
  <c r="N4872" i="23"/>
  <c r="N4868" i="23"/>
  <c r="N4864" i="23"/>
  <c r="N4860" i="23"/>
  <c r="N4856" i="23"/>
  <c r="N4852" i="23"/>
  <c r="N4848" i="23"/>
  <c r="N4844" i="23"/>
  <c r="N4840" i="23"/>
  <c r="N4836" i="23"/>
  <c r="N4832" i="23"/>
  <c r="N4828" i="23"/>
  <c r="N4824" i="23"/>
  <c r="N4820" i="23"/>
  <c r="N4816" i="23"/>
  <c r="N4812" i="23"/>
  <c r="N4808" i="23"/>
  <c r="N4804" i="23"/>
  <c r="N4800" i="23"/>
  <c r="N4796" i="23"/>
  <c r="N4792" i="23"/>
  <c r="N4788" i="23"/>
  <c r="N4784" i="23"/>
  <c r="N4780" i="23"/>
  <c r="N4776" i="23"/>
  <c r="N4772" i="23"/>
  <c r="N4768" i="23"/>
  <c r="N4764" i="23"/>
  <c r="N4760" i="23"/>
  <c r="N4756" i="23"/>
  <c r="N4752" i="23"/>
  <c r="N4748" i="23"/>
  <c r="N4744" i="23"/>
  <c r="N4740" i="23"/>
  <c r="N4736" i="23"/>
  <c r="N4732" i="23"/>
  <c r="N4728" i="23"/>
  <c r="N4724" i="23"/>
  <c r="N4720" i="23"/>
  <c r="N4716" i="23"/>
  <c r="N4712" i="23"/>
  <c r="N4708" i="23"/>
  <c r="N4704" i="23"/>
  <c r="N4700" i="23"/>
  <c r="N4696" i="23"/>
  <c r="N4692" i="23"/>
  <c r="N4688" i="23"/>
  <c r="N4684" i="23"/>
  <c r="N4680" i="23"/>
  <c r="N4676" i="23"/>
  <c r="N4672" i="23"/>
  <c r="N4668" i="23"/>
  <c r="N4664" i="23"/>
  <c r="N4660" i="23"/>
  <c r="N4656" i="23"/>
  <c r="N4652" i="23"/>
  <c r="N4648" i="23"/>
  <c r="N4644" i="23"/>
  <c r="N4640" i="23"/>
  <c r="N4636" i="23"/>
  <c r="N4632" i="23"/>
  <c r="O1072" i="23"/>
  <c r="O1056" i="23"/>
  <c r="O1040" i="23"/>
  <c r="O1024" i="23"/>
  <c r="O1017" i="23"/>
  <c r="O1012" i="23"/>
  <c r="O1008" i="23"/>
  <c r="O1004" i="23"/>
  <c r="O1000" i="23"/>
  <c r="O996" i="23"/>
  <c r="O992" i="23"/>
  <c r="O988" i="23"/>
  <c r="O984" i="23"/>
  <c r="O980" i="23"/>
  <c r="O976" i="23"/>
  <c r="O972" i="23"/>
  <c r="O968" i="23"/>
  <c r="O964" i="23"/>
  <c r="O960" i="23"/>
  <c r="O956" i="23"/>
  <c r="O952" i="23"/>
  <c r="O948" i="23"/>
  <c r="O944" i="23"/>
  <c r="O940" i="23"/>
  <c r="O936" i="23"/>
  <c r="O932" i="23"/>
  <c r="O928" i="23"/>
  <c r="O924" i="23"/>
  <c r="O920" i="23"/>
  <c r="O916" i="23"/>
  <c r="O912" i="23"/>
  <c r="O908" i="23"/>
  <c r="O904" i="23"/>
  <c r="O900" i="23"/>
  <c r="O896" i="23"/>
  <c r="O892" i="23"/>
  <c r="O888" i="23"/>
  <c r="O884" i="23"/>
  <c r="O880" i="23"/>
  <c r="O876" i="23"/>
  <c r="O872" i="23"/>
  <c r="O868" i="23"/>
  <c r="O864" i="23"/>
  <c r="O860" i="23"/>
  <c r="O856" i="23"/>
  <c r="O812" i="23"/>
  <c r="O808" i="23"/>
  <c r="O804" i="23"/>
  <c r="O776" i="23"/>
  <c r="O772" i="23"/>
  <c r="O768" i="23"/>
  <c r="O748" i="23"/>
  <c r="O744" i="23"/>
  <c r="O688" i="23"/>
  <c r="O684" i="23"/>
  <c r="N4999" i="23"/>
  <c r="N4995" i="23"/>
  <c r="N4991" i="23"/>
  <c r="N4987" i="23"/>
  <c r="N4983" i="23"/>
  <c r="N4979" i="23"/>
  <c r="N4975" i="23"/>
  <c r="N4971" i="23"/>
  <c r="N4967" i="23"/>
  <c r="N4963" i="23"/>
  <c r="N4959" i="23"/>
  <c r="N4955" i="23"/>
  <c r="N4951" i="23"/>
  <c r="N4947" i="23"/>
  <c r="N4943" i="23"/>
  <c r="N4939" i="23"/>
  <c r="N4935" i="23"/>
  <c r="N4931" i="23"/>
  <c r="N4927" i="23"/>
  <c r="N4923" i="23"/>
  <c r="N4919" i="23"/>
  <c r="N4915" i="23"/>
  <c r="N4911" i="23"/>
  <c r="N4907" i="23"/>
  <c r="N4903" i="23"/>
  <c r="N4899" i="23"/>
  <c r="N4895" i="23"/>
  <c r="N4891" i="23"/>
  <c r="N4887" i="23"/>
  <c r="N4883" i="23"/>
  <c r="N4879" i="23"/>
  <c r="N4875" i="23"/>
  <c r="N4871" i="23"/>
  <c r="N4867" i="23"/>
  <c r="N4863" i="23"/>
  <c r="N4859" i="23"/>
  <c r="N4855" i="23"/>
  <c r="N4851" i="23"/>
  <c r="N4847" i="23"/>
  <c r="N4843" i="23"/>
  <c r="N4839" i="23"/>
  <c r="N4835" i="23"/>
  <c r="N4831" i="23"/>
  <c r="N4827" i="23"/>
  <c r="N4823" i="23"/>
  <c r="N4819" i="23"/>
  <c r="N4815" i="23"/>
  <c r="N4811" i="23"/>
  <c r="N4807" i="23"/>
  <c r="N4803" i="23"/>
  <c r="N4799" i="23"/>
  <c r="N4795" i="23"/>
  <c r="N4791" i="23"/>
  <c r="N4787" i="23"/>
  <c r="N4783" i="23"/>
  <c r="N4779" i="23"/>
  <c r="N4775" i="23"/>
  <c r="N4771" i="23"/>
  <c r="N4767" i="23"/>
  <c r="N4763" i="23"/>
  <c r="N4759" i="23"/>
  <c r="N4755" i="23"/>
  <c r="N4751" i="23"/>
  <c r="N4747" i="23"/>
  <c r="N4743" i="23"/>
  <c r="N4739" i="23"/>
  <c r="N4735" i="23"/>
  <c r="N4731" i="23"/>
  <c r="N4727" i="23"/>
  <c r="N4723" i="23"/>
  <c r="N4719" i="23"/>
  <c r="N4715" i="23"/>
  <c r="N4711" i="23"/>
  <c r="N4707" i="23"/>
  <c r="N4703" i="23"/>
  <c r="N4699" i="23"/>
  <c r="N4695" i="23"/>
  <c r="N4691" i="23"/>
  <c r="N4687" i="23"/>
  <c r="N4683" i="23"/>
  <c r="N4679" i="23"/>
  <c r="N4675" i="23"/>
  <c r="N4671" i="23"/>
  <c r="N4667" i="23"/>
  <c r="N4663" i="23"/>
  <c r="N4659" i="23"/>
  <c r="N4655" i="23"/>
  <c r="N4651" i="23"/>
  <c r="N4647" i="23"/>
  <c r="N4643" i="23"/>
  <c r="N4639" i="23"/>
  <c r="N4635" i="23"/>
  <c r="N4631" i="23"/>
  <c r="N4627" i="23"/>
  <c r="N4623" i="23"/>
  <c r="N4619" i="23"/>
  <c r="N4615" i="23"/>
  <c r="N4611" i="23"/>
  <c r="N4607" i="23"/>
  <c r="N4603" i="23"/>
  <c r="N4599" i="23"/>
  <c r="N4595" i="23"/>
  <c r="N4591" i="23"/>
  <c r="N4587" i="23"/>
  <c r="N4583" i="23"/>
  <c r="N4579" i="23"/>
  <c r="N4575" i="23"/>
  <c r="N4571" i="23"/>
  <c r="N4567" i="23"/>
  <c r="N4563" i="23"/>
  <c r="N4559" i="23"/>
  <c r="N4555" i="23"/>
  <c r="N4551" i="23"/>
  <c r="N4547" i="23"/>
  <c r="N4543" i="23"/>
  <c r="N4539" i="23"/>
  <c r="N4535" i="23"/>
  <c r="N4531" i="23"/>
  <c r="N4527" i="23"/>
  <c r="N4523" i="23"/>
  <c r="N4519" i="23"/>
  <c r="N4515" i="23"/>
  <c r="N4511" i="23"/>
  <c r="N4507" i="23"/>
  <c r="N4503" i="23"/>
  <c r="N4499" i="23"/>
  <c r="N4495" i="23"/>
  <c r="N4491" i="23"/>
  <c r="N4487" i="23"/>
  <c r="N4483" i="23"/>
  <c r="N4479" i="23"/>
  <c r="N4475" i="23"/>
  <c r="N4471" i="23"/>
  <c r="N4467" i="23"/>
  <c r="N4463" i="23"/>
  <c r="N4459" i="23"/>
  <c r="N4455" i="23"/>
  <c r="N4451" i="23"/>
  <c r="N4447" i="23"/>
  <c r="N4443" i="23"/>
  <c r="N4439" i="23"/>
  <c r="N4435" i="23"/>
  <c r="N4431" i="23"/>
  <c r="N4427" i="23"/>
  <c r="N4423" i="23"/>
  <c r="N4419" i="23"/>
  <c r="N4415" i="23"/>
  <c r="N4411" i="23"/>
  <c r="N4407" i="23"/>
  <c r="N4403" i="23"/>
  <c r="N4399" i="23"/>
  <c r="N4395" i="23"/>
  <c r="N4391" i="23"/>
  <c r="N4387" i="23"/>
  <c r="N4383" i="23"/>
  <c r="N4379" i="23"/>
  <c r="N4375" i="23"/>
  <c r="N4371" i="23"/>
  <c r="N4624" i="23"/>
  <c r="N4608" i="23"/>
  <c r="N4592" i="23"/>
  <c r="N4576" i="23"/>
  <c r="N4560" i="23"/>
  <c r="N4544" i="23"/>
  <c r="N4528" i="23"/>
  <c r="N4512" i="23"/>
  <c r="N4496" i="23"/>
  <c r="N4480" i="23"/>
  <c r="N4464" i="23"/>
  <c r="N4448" i="23"/>
  <c r="N4432" i="23"/>
  <c r="N4416" i="23"/>
  <c r="N4400" i="23"/>
  <c r="N4384" i="23"/>
  <c r="N4368" i="23"/>
  <c r="N4360" i="23"/>
  <c r="N4352" i="23"/>
  <c r="N4344" i="23"/>
  <c r="N4336" i="23"/>
  <c r="N4328" i="23"/>
  <c r="N4320" i="23"/>
  <c r="N4312" i="23"/>
  <c r="N4304" i="23"/>
  <c r="N4296" i="23"/>
  <c r="N4288" i="23"/>
  <c r="N4280" i="23"/>
  <c r="N4272" i="23"/>
  <c r="N4264" i="23"/>
  <c r="N4256" i="23"/>
  <c r="N4248" i="23"/>
  <c r="N4240" i="23"/>
  <c r="N4232" i="23"/>
  <c r="N4224" i="23"/>
  <c r="N4216" i="23"/>
  <c r="N4208" i="23"/>
  <c r="N4200" i="23"/>
  <c r="N4192" i="23"/>
  <c r="N4184" i="23"/>
  <c r="N4176" i="23"/>
  <c r="N4168" i="23"/>
  <c r="N4160" i="23"/>
  <c r="N4152" i="23"/>
  <c r="N4144" i="23"/>
  <c r="N4136" i="23"/>
  <c r="N4128" i="23"/>
  <c r="N4120" i="23"/>
  <c r="N4112" i="23"/>
  <c r="N4104" i="23"/>
  <c r="N4096" i="23"/>
  <c r="N4088" i="23"/>
  <c r="N4080" i="23"/>
  <c r="N4072" i="23"/>
  <c r="N4064" i="23"/>
  <c r="N4056" i="23"/>
  <c r="N4048" i="23"/>
  <c r="N4040" i="23"/>
  <c r="N4032" i="23"/>
  <c r="N4024" i="23"/>
  <c r="N4016" i="23"/>
  <c r="N4010" i="23"/>
  <c r="N4006" i="23"/>
  <c r="N4002" i="23"/>
  <c r="N3998" i="23"/>
  <c r="N3994" i="23"/>
  <c r="N3990" i="23"/>
  <c r="N3986" i="23"/>
  <c r="N3982" i="23"/>
  <c r="N3978" i="23"/>
  <c r="N3974" i="23"/>
  <c r="N3970" i="23"/>
  <c r="N3966" i="23"/>
  <c r="N3962" i="23"/>
  <c r="N3958" i="23"/>
  <c r="N3954" i="23"/>
  <c r="N3950" i="23"/>
  <c r="N3946" i="23"/>
  <c r="N3942" i="23"/>
  <c r="N3938" i="23"/>
  <c r="N3934" i="23"/>
  <c r="N3930" i="23"/>
  <c r="N3926" i="23"/>
  <c r="N3922" i="23"/>
  <c r="N3918" i="23"/>
  <c r="N3914" i="23"/>
  <c r="N3910" i="23"/>
  <c r="N3906" i="23"/>
  <c r="N3902" i="23"/>
  <c r="N3898" i="23"/>
  <c r="N3894" i="23"/>
  <c r="N3890" i="23"/>
  <c r="N3886" i="23"/>
  <c r="N3882" i="23"/>
  <c r="N3878" i="23"/>
  <c r="N3874" i="23"/>
  <c r="N3870" i="23"/>
  <c r="N3866" i="23"/>
  <c r="N3862" i="23"/>
  <c r="N3858" i="23"/>
  <c r="N3854" i="23"/>
  <c r="N3850" i="23"/>
  <c r="N3846" i="23"/>
  <c r="N3842" i="23"/>
  <c r="N3838" i="23"/>
  <c r="N3834" i="23"/>
  <c r="N3830" i="23"/>
  <c r="N3826" i="23"/>
  <c r="N3822" i="23"/>
  <c r="N3818" i="23"/>
  <c r="N3814" i="23"/>
  <c r="N3810" i="23"/>
  <c r="N3806" i="23"/>
  <c r="N3802" i="23"/>
  <c r="N3798" i="23"/>
  <c r="N3794" i="23"/>
  <c r="N3790" i="23"/>
  <c r="N3786" i="23"/>
  <c r="N3782" i="23"/>
  <c r="N3778" i="23"/>
  <c r="N3774" i="23"/>
  <c r="N3770" i="23"/>
  <c r="N3766" i="23"/>
  <c r="N3762" i="23"/>
  <c r="N3758" i="23"/>
  <c r="N3754" i="23"/>
  <c r="N3750" i="23"/>
  <c r="N3746" i="23"/>
  <c r="N3742" i="23"/>
  <c r="N3738" i="23"/>
  <c r="N3734" i="23"/>
  <c r="N3730" i="23"/>
  <c r="N3726" i="23"/>
  <c r="N3722" i="23"/>
  <c r="N3718" i="23"/>
  <c r="N3714" i="23"/>
  <c r="N3710" i="23"/>
  <c r="N3706" i="23"/>
  <c r="N3702" i="23"/>
  <c r="N3698" i="23"/>
  <c r="N3694" i="23"/>
  <c r="N3690" i="23"/>
  <c r="N3686" i="23"/>
  <c r="N3682" i="23"/>
  <c r="N3678" i="23"/>
  <c r="N3674" i="23"/>
  <c r="N3670" i="23"/>
  <c r="N3666" i="23"/>
  <c r="N3662" i="23"/>
  <c r="N3658" i="23"/>
  <c r="N3654" i="23"/>
  <c r="N3650" i="23"/>
  <c r="N3646" i="23"/>
  <c r="N3642" i="23"/>
  <c r="N3638" i="23"/>
  <c r="N3634" i="23"/>
  <c r="N3630" i="23"/>
  <c r="N3626" i="23"/>
  <c r="N3622" i="23"/>
  <c r="N3618" i="23"/>
  <c r="N3614" i="23"/>
  <c r="N3610" i="23"/>
  <c r="N3606" i="23"/>
  <c r="N3602" i="23"/>
  <c r="N3598" i="23"/>
  <c r="N3594" i="23"/>
  <c r="N3590" i="23"/>
  <c r="N3586" i="23"/>
  <c r="N3582" i="23"/>
  <c r="N3578" i="23"/>
  <c r="N3574" i="23"/>
  <c r="N3570" i="23"/>
  <c r="N3566" i="23"/>
  <c r="N3562" i="23"/>
  <c r="N3558" i="23"/>
  <c r="N3554" i="23"/>
  <c r="N3550" i="23"/>
  <c r="N3546" i="23"/>
  <c r="N3542" i="23"/>
  <c r="N3538" i="23"/>
  <c r="N3534" i="23"/>
  <c r="N3530" i="23"/>
  <c r="N3526" i="23"/>
  <c r="N3522" i="23"/>
  <c r="N3518" i="23"/>
  <c r="N3514" i="23"/>
  <c r="N3510" i="23"/>
  <c r="N3506" i="23"/>
  <c r="N3502" i="23"/>
  <c r="N3498" i="23"/>
  <c r="N3494" i="23"/>
  <c r="N3490" i="23"/>
  <c r="N3486" i="23"/>
  <c r="N3482" i="23"/>
  <c r="N3478" i="23"/>
  <c r="N3474" i="23"/>
  <c r="N3470" i="23"/>
  <c r="N3466" i="23"/>
  <c r="N3462" i="23"/>
  <c r="N3458" i="23"/>
  <c r="N3454" i="23"/>
  <c r="N3450" i="23"/>
  <c r="N3446" i="23"/>
  <c r="N3442" i="23"/>
  <c r="N3438" i="23"/>
  <c r="N3434" i="23"/>
  <c r="N3430" i="23"/>
  <c r="N3426" i="23"/>
  <c r="N3422" i="23"/>
  <c r="N3418" i="23"/>
  <c r="N4620" i="23"/>
  <c r="N4604" i="23"/>
  <c r="N4588" i="23"/>
  <c r="N4572" i="23"/>
  <c r="N4556" i="23"/>
  <c r="N4540" i="23"/>
  <c r="N4524" i="23"/>
  <c r="N4508" i="23"/>
  <c r="N4492" i="23"/>
  <c r="N4476" i="23"/>
  <c r="N4460" i="23"/>
  <c r="N4444" i="23"/>
  <c r="N4428" i="23"/>
  <c r="N4412" i="23"/>
  <c r="N4396" i="23"/>
  <c r="N4380" i="23"/>
  <c r="N4367" i="23"/>
  <c r="N4359" i="23"/>
  <c r="N4351" i="23"/>
  <c r="N4343" i="23"/>
  <c r="N4335" i="23"/>
  <c r="N4327" i="23"/>
  <c r="N4319" i="23"/>
  <c r="N4311" i="23"/>
  <c r="N4303" i="23"/>
  <c r="N4295" i="23"/>
  <c r="N4287" i="23"/>
  <c r="N4279" i="23"/>
  <c r="N4271" i="23"/>
  <c r="N4263" i="23"/>
  <c r="N4255" i="23"/>
  <c r="N4247" i="23"/>
  <c r="N4239" i="23"/>
  <c r="N4231" i="23"/>
  <c r="N4223" i="23"/>
  <c r="N4215" i="23"/>
  <c r="N4207" i="23"/>
  <c r="N4199" i="23"/>
  <c r="N4191" i="23"/>
  <c r="N4183" i="23"/>
  <c r="N4175" i="23"/>
  <c r="N4167" i="23"/>
  <c r="N4159" i="23"/>
  <c r="N4151" i="23"/>
  <c r="N4143" i="23"/>
  <c r="N4135" i="23"/>
  <c r="N4127" i="23"/>
  <c r="N4119" i="23"/>
  <c r="N4111" i="23"/>
  <c r="N4103" i="23"/>
  <c r="N4095" i="23"/>
  <c r="N4087" i="23"/>
  <c r="N4079" i="23"/>
  <c r="N4071" i="23"/>
  <c r="N4063" i="23"/>
  <c r="N4055" i="23"/>
  <c r="N4047" i="23"/>
  <c r="N4039" i="23"/>
  <c r="N4031" i="23"/>
  <c r="N4023" i="23"/>
  <c r="N4015" i="23"/>
  <c r="N4009" i="23"/>
  <c r="N4005" i="23"/>
  <c r="N4001" i="23"/>
  <c r="N3997" i="23"/>
  <c r="N3993" i="23"/>
  <c r="N3989" i="23"/>
  <c r="N3985" i="23"/>
  <c r="N3981" i="23"/>
  <c r="N3977" i="23"/>
  <c r="N3973" i="23"/>
  <c r="N3969" i="23"/>
  <c r="N3965" i="23"/>
  <c r="N3961" i="23"/>
  <c r="N3957" i="23"/>
  <c r="N3953" i="23"/>
  <c r="N3949" i="23"/>
  <c r="N3945" i="23"/>
  <c r="N3941" i="23"/>
  <c r="N3937" i="23"/>
  <c r="N3933" i="23"/>
  <c r="N3929" i="23"/>
  <c r="N3925" i="23"/>
  <c r="N3921" i="23"/>
  <c r="N3917" i="23"/>
  <c r="N3913" i="23"/>
  <c r="N3909" i="23"/>
  <c r="N3905" i="23"/>
  <c r="N3901" i="23"/>
  <c r="N3897" i="23"/>
  <c r="N3893" i="23"/>
  <c r="N3889" i="23"/>
  <c r="N3885" i="23"/>
  <c r="N3881" i="23"/>
  <c r="N3877" i="23"/>
  <c r="N3873" i="23"/>
  <c r="N3869" i="23"/>
  <c r="N3865" i="23"/>
  <c r="N3861" i="23"/>
  <c r="N3857" i="23"/>
  <c r="N3853" i="23"/>
  <c r="N3849" i="23"/>
  <c r="N3845" i="23"/>
  <c r="N3841" i="23"/>
  <c r="N3837" i="23"/>
  <c r="N3833" i="23"/>
  <c r="N3829" i="23"/>
  <c r="N3825" i="23"/>
  <c r="N3821" i="23"/>
  <c r="N3817" i="23"/>
  <c r="N3813" i="23"/>
  <c r="N3809" i="23"/>
  <c r="N3805" i="23"/>
  <c r="N3801" i="23"/>
  <c r="N3797" i="23"/>
  <c r="N3793" i="23"/>
  <c r="N3789" i="23"/>
  <c r="N3785" i="23"/>
  <c r="N3781" i="23"/>
  <c r="N3777" i="23"/>
  <c r="N3773" i="23"/>
  <c r="N3769" i="23"/>
  <c r="N3765" i="23"/>
  <c r="N3761" i="23"/>
  <c r="N3757" i="23"/>
  <c r="N3753" i="23"/>
  <c r="N3749" i="23"/>
  <c r="N3745" i="23"/>
  <c r="N3741" i="23"/>
  <c r="N3737" i="23"/>
  <c r="N3733" i="23"/>
  <c r="N3729" i="23"/>
  <c r="N3725" i="23"/>
  <c r="N3721" i="23"/>
  <c r="N3717" i="23"/>
  <c r="N3713" i="23"/>
  <c r="N3709" i="23"/>
  <c r="N3705" i="23"/>
  <c r="N3701" i="23"/>
  <c r="N3697" i="23"/>
  <c r="N3693" i="23"/>
  <c r="N3689" i="23"/>
  <c r="N3685" i="23"/>
  <c r="N3681" i="23"/>
  <c r="N3677" i="23"/>
  <c r="N3673" i="23"/>
  <c r="N3669" i="23"/>
  <c r="N3665" i="23"/>
  <c r="N3661" i="23"/>
  <c r="N3657" i="23"/>
  <c r="N3653" i="23"/>
  <c r="N3649" i="23"/>
  <c r="N3645" i="23"/>
  <c r="N3641" i="23"/>
  <c r="N3637" i="23"/>
  <c r="N3633" i="23"/>
  <c r="N3629" i="23"/>
  <c r="N3625" i="23"/>
  <c r="N3621" i="23"/>
  <c r="N3617" i="23"/>
  <c r="N3613" i="23"/>
  <c r="N3609" i="23"/>
  <c r="N3605" i="23"/>
  <c r="N3601" i="23"/>
  <c r="N3597" i="23"/>
  <c r="N3593" i="23"/>
  <c r="N3589" i="23"/>
  <c r="N3585" i="23"/>
  <c r="N3581" i="23"/>
  <c r="N3577" i="23"/>
  <c r="N3573" i="23"/>
  <c r="N3569" i="23"/>
  <c r="N3565" i="23"/>
  <c r="N3561" i="23"/>
  <c r="N3557" i="23"/>
  <c r="N3553" i="23"/>
  <c r="N3549" i="23"/>
  <c r="N3545" i="23"/>
  <c r="N3541" i="23"/>
  <c r="N3537" i="23"/>
  <c r="N3533" i="23"/>
  <c r="N3529" i="23"/>
  <c r="N3525" i="23"/>
  <c r="N3521" i="23"/>
  <c r="N3517" i="23"/>
  <c r="N3513" i="23"/>
  <c r="N3509" i="23"/>
  <c r="N3505" i="23"/>
  <c r="N3501" i="23"/>
  <c r="N3497" i="23"/>
  <c r="N3493" i="23"/>
  <c r="N3489" i="23"/>
  <c r="N3485" i="23"/>
  <c r="N3481" i="23"/>
  <c r="N3477" i="23"/>
  <c r="N3473" i="23"/>
  <c r="N3469" i="23"/>
  <c r="N3465" i="23"/>
  <c r="N3461" i="23"/>
  <c r="N3457" i="23"/>
  <c r="N3453" i="23"/>
  <c r="N3449" i="23"/>
  <c r="N3445" i="23"/>
  <c r="N3441" i="23"/>
  <c r="N3437" i="23"/>
  <c r="N3433" i="23"/>
  <c r="N3429" i="23"/>
  <c r="N3425" i="23"/>
  <c r="N3421" i="23"/>
  <c r="N3417" i="23"/>
  <c r="N3413" i="23"/>
  <c r="N3409" i="23"/>
  <c r="N3405" i="23"/>
  <c r="N3401" i="23"/>
  <c r="N3397" i="23"/>
  <c r="N3393" i="23"/>
  <c r="N3389" i="23"/>
  <c r="N3385" i="23"/>
  <c r="N3381" i="23"/>
  <c r="N3377" i="23"/>
  <c r="N3373" i="23"/>
  <c r="N3369" i="23"/>
  <c r="N3365" i="23"/>
  <c r="N3361" i="23"/>
  <c r="N3357" i="23"/>
  <c r="N3353" i="23"/>
  <c r="N3349" i="23"/>
  <c r="N3345" i="23"/>
  <c r="N3341" i="23"/>
  <c r="N3337" i="23"/>
  <c r="N3333" i="23"/>
  <c r="N3329" i="23"/>
  <c r="N3325" i="23"/>
  <c r="N3321" i="23"/>
  <c r="N3317" i="23"/>
  <c r="N3313" i="23"/>
  <c r="N3309" i="23"/>
  <c r="N3305" i="23"/>
  <c r="N3301" i="23"/>
  <c r="N3297" i="23"/>
  <c r="N3293" i="23"/>
  <c r="N3289" i="23"/>
  <c r="N3285" i="23"/>
  <c r="N3281" i="23"/>
  <c r="N3277" i="23"/>
  <c r="N3273" i="23"/>
  <c r="N3269" i="23"/>
  <c r="N3265" i="23"/>
  <c r="N3261" i="23"/>
  <c r="N3257" i="23"/>
  <c r="N3253" i="23"/>
  <c r="N3249" i="23"/>
  <c r="N3245" i="23"/>
  <c r="N3241" i="23"/>
  <c r="N3237" i="23"/>
  <c r="N3233" i="23"/>
  <c r="N3229" i="23"/>
  <c r="N3225" i="23"/>
  <c r="N3221" i="23"/>
  <c r="N3217" i="23"/>
  <c r="N3213" i="23"/>
  <c r="N3209" i="23"/>
  <c r="N3205" i="23"/>
  <c r="N3201" i="23"/>
  <c r="N3197" i="23"/>
  <c r="N3193" i="23"/>
  <c r="N3189" i="23"/>
  <c r="N3185" i="23"/>
  <c r="N3181" i="23"/>
  <c r="N3177" i="23"/>
  <c r="N3173" i="23"/>
  <c r="N3169" i="23"/>
  <c r="N3165" i="23"/>
  <c r="N3161" i="23"/>
  <c r="N3157" i="23"/>
  <c r="N3153" i="23"/>
  <c r="N3149" i="23"/>
  <c r="N3145" i="23"/>
  <c r="N3141" i="23"/>
  <c r="N3137" i="23"/>
  <c r="N3133" i="23"/>
  <c r="N3129" i="23"/>
  <c r="N3125" i="23"/>
  <c r="N3121" i="23"/>
  <c r="N3117" i="23"/>
  <c r="N3113" i="23"/>
  <c r="N3109" i="23"/>
  <c r="N3105" i="23"/>
  <c r="N3101" i="23"/>
  <c r="N3097" i="23"/>
  <c r="N3093" i="23"/>
  <c r="N3089" i="23"/>
  <c r="N3085" i="23"/>
  <c r="N3081" i="23"/>
  <c r="N3077" i="23"/>
  <c r="N3073" i="23"/>
  <c r="N3069" i="23"/>
  <c r="N3065" i="23"/>
  <c r="N3061" i="23"/>
  <c r="N3057" i="23"/>
  <c r="N3053" i="23"/>
  <c r="N3049" i="23"/>
  <c r="N3045" i="23"/>
  <c r="N3041" i="23"/>
  <c r="N3037" i="23"/>
  <c r="N3033" i="23"/>
  <c r="N3029" i="23"/>
  <c r="N3025" i="23"/>
  <c r="N3021" i="23"/>
  <c r="N3017" i="23"/>
  <c r="N3013" i="23"/>
  <c r="N3009" i="23"/>
  <c r="N3005" i="23"/>
  <c r="N3001" i="23"/>
  <c r="N2997" i="23"/>
  <c r="N2993" i="23"/>
  <c r="N2989" i="23"/>
  <c r="N2985" i="23"/>
  <c r="N2981" i="23"/>
  <c r="N2977" i="23"/>
  <c r="N2973" i="23"/>
  <c r="N2969" i="23"/>
  <c r="N2965" i="23"/>
  <c r="N2961" i="23"/>
  <c r="N2957" i="23"/>
  <c r="N2953" i="23"/>
  <c r="N2949" i="23"/>
  <c r="N2945" i="23"/>
  <c r="N2941" i="23"/>
  <c r="N2937" i="23"/>
  <c r="N2933" i="23"/>
  <c r="N2929" i="23"/>
  <c r="N2925" i="23"/>
  <c r="N2921" i="23"/>
  <c r="N2917" i="23"/>
  <c r="N2913" i="23"/>
  <c r="N2909" i="23"/>
  <c r="N2905" i="23"/>
  <c r="N2901" i="23"/>
  <c r="N2897" i="23"/>
  <c r="N2893" i="23"/>
  <c r="N4616" i="23"/>
  <c r="N4600" i="23"/>
  <c r="N4584" i="23"/>
  <c r="N4568" i="23"/>
  <c r="N4552" i="23"/>
  <c r="N4536" i="23"/>
  <c r="N4520" i="23"/>
  <c r="N4504" i="23"/>
  <c r="N4488" i="23"/>
  <c r="N4472" i="23"/>
  <c r="N4456" i="23"/>
  <c r="N4440" i="23"/>
  <c r="N4424" i="23"/>
  <c r="N4408" i="23"/>
  <c r="N4392" i="23"/>
  <c r="N4376" i="23"/>
  <c r="N4364" i="23"/>
  <c r="N4356" i="23"/>
  <c r="N4348" i="23"/>
  <c r="N4340" i="23"/>
  <c r="N4332" i="23"/>
  <c r="N4324" i="23"/>
  <c r="N4316" i="23"/>
  <c r="N4308" i="23"/>
  <c r="N4300" i="23"/>
  <c r="N4292" i="23"/>
  <c r="N4284" i="23"/>
  <c r="N4276" i="23"/>
  <c r="N4268" i="23"/>
  <c r="N4260" i="23"/>
  <c r="N4252" i="23"/>
  <c r="N4244" i="23"/>
  <c r="N4236" i="23"/>
  <c r="N4228" i="23"/>
  <c r="N4220" i="23"/>
  <c r="N4212" i="23"/>
  <c r="N4204" i="23"/>
  <c r="N4196" i="23"/>
  <c r="N4188" i="23"/>
  <c r="N4180" i="23"/>
  <c r="N4172" i="23"/>
  <c r="N4164" i="23"/>
  <c r="N4156" i="23"/>
  <c r="N4148" i="23"/>
  <c r="N4140" i="23"/>
  <c r="N4132" i="23"/>
  <c r="N4124" i="23"/>
  <c r="N4116" i="23"/>
  <c r="N4108" i="23"/>
  <c r="N4100" i="23"/>
  <c r="N4092" i="23"/>
  <c r="N4084" i="23"/>
  <c r="N4076" i="23"/>
  <c r="N4068" i="23"/>
  <c r="N4060" i="23"/>
  <c r="N4052" i="23"/>
  <c r="N4044" i="23"/>
  <c r="N4036" i="23"/>
  <c r="N4028" i="23"/>
  <c r="N4020" i="23"/>
  <c r="N4012" i="23"/>
  <c r="N4008" i="23"/>
  <c r="N4004" i="23"/>
  <c r="N4000" i="23"/>
  <c r="N3996" i="23"/>
  <c r="N3992" i="23"/>
  <c r="N3988" i="23"/>
  <c r="N3984" i="23"/>
  <c r="N3980" i="23"/>
  <c r="N3976" i="23"/>
  <c r="N3972" i="23"/>
  <c r="N3968" i="23"/>
  <c r="N3964" i="23"/>
  <c r="N3960" i="23"/>
  <c r="N3956" i="23"/>
  <c r="N3952" i="23"/>
  <c r="N3948" i="23"/>
  <c r="N3944" i="23"/>
  <c r="N3940" i="23"/>
  <c r="N3936" i="23"/>
  <c r="N3932" i="23"/>
  <c r="N3928" i="23"/>
  <c r="N3924" i="23"/>
  <c r="N3920" i="23"/>
  <c r="N3916" i="23"/>
  <c r="N3912" i="23"/>
  <c r="N3908" i="23"/>
  <c r="N3904" i="23"/>
  <c r="N3900" i="23"/>
  <c r="N3896" i="23"/>
  <c r="N3892" i="23"/>
  <c r="N3888" i="23"/>
  <c r="N3884" i="23"/>
  <c r="N3880" i="23"/>
  <c r="N3876" i="23"/>
  <c r="N3872" i="23"/>
  <c r="N3868" i="23"/>
  <c r="N3864" i="23"/>
  <c r="N3860" i="23"/>
  <c r="N3856" i="23"/>
  <c r="N3852" i="23"/>
  <c r="N3848" i="23"/>
  <c r="N3844" i="23"/>
  <c r="N3840" i="23"/>
  <c r="N3836" i="23"/>
  <c r="N3832" i="23"/>
  <c r="N3828" i="23"/>
  <c r="N3824" i="23"/>
  <c r="N3820" i="23"/>
  <c r="N3816" i="23"/>
  <c r="N3812" i="23"/>
  <c r="N3808" i="23"/>
  <c r="N3804" i="23"/>
  <c r="N3800" i="23"/>
  <c r="N3796" i="23"/>
  <c r="N3792" i="23"/>
  <c r="N3788" i="23"/>
  <c r="N3784" i="23"/>
  <c r="N3780" i="23"/>
  <c r="N3776" i="23"/>
  <c r="N3772" i="23"/>
  <c r="N3768" i="23"/>
  <c r="N3764" i="23"/>
  <c r="N3760" i="23"/>
  <c r="N3756" i="23"/>
  <c r="N3752" i="23"/>
  <c r="N3748" i="23"/>
  <c r="N3744" i="23"/>
  <c r="N3740" i="23"/>
  <c r="N3736" i="23"/>
  <c r="N3732" i="23"/>
  <c r="N3728" i="23"/>
  <c r="N3724" i="23"/>
  <c r="N3720" i="23"/>
  <c r="N3716" i="23"/>
  <c r="N3712" i="23"/>
  <c r="N3708" i="23"/>
  <c r="N3704" i="23"/>
  <c r="N3700" i="23"/>
  <c r="N3696" i="23"/>
  <c r="N3692" i="23"/>
  <c r="N3688" i="23"/>
  <c r="N3684" i="23"/>
  <c r="N3680" i="23"/>
  <c r="N3676" i="23"/>
  <c r="N3672" i="23"/>
  <c r="N3668" i="23"/>
  <c r="N3664" i="23"/>
  <c r="N3660" i="23"/>
  <c r="N3656" i="23"/>
  <c r="N3652" i="23"/>
  <c r="N3648" i="23"/>
  <c r="N3644" i="23"/>
  <c r="N3640" i="23"/>
  <c r="N3636" i="23"/>
  <c r="N3632" i="23"/>
  <c r="N3628" i="23"/>
  <c r="N3624" i="23"/>
  <c r="N3620" i="23"/>
  <c r="N3616" i="23"/>
  <c r="N3612" i="23"/>
  <c r="N3608" i="23"/>
  <c r="N3604" i="23"/>
  <c r="N3600" i="23"/>
  <c r="N3596" i="23"/>
  <c r="N3592" i="23"/>
  <c r="N3588" i="23"/>
  <c r="N3584" i="23"/>
  <c r="N3580" i="23"/>
  <c r="N3576" i="23"/>
  <c r="N3572" i="23"/>
  <c r="N3568" i="23"/>
  <c r="N3564" i="23"/>
  <c r="N3560" i="23"/>
  <c r="N3556" i="23"/>
  <c r="N3552" i="23"/>
  <c r="N3548" i="23"/>
  <c r="N3544" i="23"/>
  <c r="N3540" i="23"/>
  <c r="N3536" i="23"/>
  <c r="N3532" i="23"/>
  <c r="N3528" i="23"/>
  <c r="N3524" i="23"/>
  <c r="N3520" i="23"/>
  <c r="N3516" i="23"/>
  <c r="N3512" i="23"/>
  <c r="N3508" i="23"/>
  <c r="N3504" i="23"/>
  <c r="N3500" i="23"/>
  <c r="N3496" i="23"/>
  <c r="N3492" i="23"/>
  <c r="N3488" i="23"/>
  <c r="N3484" i="23"/>
  <c r="N3480" i="23"/>
  <c r="N3476" i="23"/>
  <c r="N3472" i="23"/>
  <c r="N3468" i="23"/>
  <c r="N3464" i="23"/>
  <c r="N3460" i="23"/>
  <c r="N3456" i="23"/>
  <c r="N3452" i="23"/>
  <c r="N3448" i="23"/>
  <c r="N3444" i="23"/>
  <c r="N3440" i="23"/>
  <c r="N3436" i="23"/>
  <c r="N3432" i="23"/>
  <c r="N3428" i="23"/>
  <c r="N3424" i="23"/>
  <c r="N3420" i="23"/>
  <c r="N3416" i="23"/>
  <c r="N3412" i="23"/>
  <c r="N3408" i="23"/>
  <c r="N3404" i="23"/>
  <c r="N3400" i="23"/>
  <c r="N3396" i="23"/>
  <c r="N3392" i="23"/>
  <c r="N3388" i="23"/>
  <c r="N3384" i="23"/>
  <c r="N3380" i="23"/>
  <c r="N3376" i="23"/>
  <c r="N3372" i="23"/>
  <c r="N3368" i="23"/>
  <c r="N3364" i="23"/>
  <c r="N3360" i="23"/>
  <c r="N3356" i="23"/>
  <c r="N3352" i="23"/>
  <c r="N3348" i="23"/>
  <c r="N3344" i="23"/>
  <c r="N3340" i="23"/>
  <c r="N3336" i="23"/>
  <c r="N3332" i="23"/>
  <c r="N3328" i="23"/>
  <c r="N3324" i="23"/>
  <c r="N3320" i="23"/>
  <c r="N3316" i="23"/>
  <c r="N3312" i="23"/>
  <c r="N3308" i="23"/>
  <c r="N3304" i="23"/>
  <c r="N3300" i="23"/>
  <c r="N3296" i="23"/>
  <c r="N3292" i="23"/>
  <c r="N3288" i="23"/>
  <c r="N3284" i="23"/>
  <c r="N3280" i="23"/>
  <c r="N3276" i="23"/>
  <c r="N3272" i="23"/>
  <c r="N3268" i="23"/>
  <c r="N3264" i="23"/>
  <c r="N3260" i="23"/>
  <c r="N3256" i="23"/>
  <c r="N3252" i="23"/>
  <c r="N3248" i="23"/>
  <c r="N3244" i="23"/>
  <c r="N3240" i="23"/>
  <c r="N3236" i="23"/>
  <c r="N3232" i="23"/>
  <c r="N3228" i="23"/>
  <c r="N3224" i="23"/>
  <c r="N3220" i="23"/>
  <c r="N3216" i="23"/>
  <c r="N3212" i="23"/>
  <c r="N3208" i="23"/>
  <c r="N3204" i="23"/>
  <c r="N3200" i="23"/>
  <c r="N3196" i="23"/>
  <c r="N3192" i="23"/>
  <c r="N3188" i="23"/>
  <c r="N3184" i="23"/>
  <c r="N3180" i="23"/>
  <c r="N3176" i="23"/>
  <c r="N3172" i="23"/>
  <c r="N3168" i="23"/>
  <c r="N3164" i="23"/>
  <c r="N3160" i="23"/>
  <c r="N3156" i="23"/>
  <c r="N3152" i="23"/>
  <c r="N3148" i="23"/>
  <c r="N3144" i="23"/>
  <c r="N3140" i="23"/>
  <c r="N3136" i="23"/>
  <c r="N3132" i="23"/>
  <c r="N3128" i="23"/>
  <c r="N3124" i="23"/>
  <c r="N3120" i="23"/>
  <c r="N3116" i="23"/>
  <c r="N3112" i="23"/>
  <c r="N3108" i="23"/>
  <c r="N3104" i="23"/>
  <c r="N3100" i="23"/>
  <c r="N3096" i="23"/>
  <c r="N3092" i="23"/>
  <c r="N3088" i="23"/>
  <c r="N3084" i="23"/>
  <c r="N3080" i="23"/>
  <c r="N3076" i="23"/>
  <c r="N3072" i="23"/>
  <c r="N3068" i="23"/>
  <c r="N3064" i="23"/>
  <c r="N3060" i="23"/>
  <c r="N3056" i="23"/>
  <c r="N3052" i="23"/>
  <c r="N3048" i="23"/>
  <c r="N3044" i="23"/>
  <c r="N3040" i="23"/>
  <c r="N3036" i="23"/>
  <c r="N3032" i="23"/>
  <c r="N3028" i="23"/>
  <c r="N3024" i="23"/>
  <c r="N3020" i="23"/>
  <c r="N3016" i="23"/>
  <c r="N3012" i="23"/>
  <c r="N3008" i="23"/>
  <c r="N3004" i="23"/>
  <c r="N3000" i="23"/>
  <c r="N2996" i="23"/>
  <c r="N2992" i="23"/>
  <c r="N2988" i="23"/>
  <c r="N2984" i="23"/>
  <c r="N2980" i="23"/>
  <c r="N2976" i="23"/>
  <c r="N2972" i="23"/>
  <c r="N2968" i="23"/>
  <c r="N2964" i="23"/>
  <c r="N2960" i="23"/>
  <c r="N2956" i="23"/>
  <c r="N2952" i="23"/>
  <c r="N2948" i="23"/>
  <c r="N2944" i="23"/>
  <c r="N2940" i="23"/>
  <c r="N2936" i="23"/>
  <c r="N2932" i="23"/>
  <c r="N2928" i="23"/>
  <c r="N2924" i="23"/>
  <c r="N2920" i="23"/>
  <c r="N4628" i="23"/>
  <c r="N4612" i="23"/>
  <c r="N4596" i="23"/>
  <c r="N4580" i="23"/>
  <c r="N4564" i="23"/>
  <c r="N4548" i="23"/>
  <c r="N4532" i="23"/>
  <c r="N4516" i="23"/>
  <c r="N4500" i="23"/>
  <c r="N4484" i="23"/>
  <c r="N4468" i="23"/>
  <c r="N4452" i="23"/>
  <c r="N4436" i="23"/>
  <c r="N4420" i="23"/>
  <c r="N4404" i="23"/>
  <c r="N4388" i="23"/>
  <c r="N4372" i="23"/>
  <c r="N4363" i="23"/>
  <c r="N4355" i="23"/>
  <c r="N4347" i="23"/>
  <c r="N4339" i="23"/>
  <c r="N4331" i="23"/>
  <c r="N4323" i="23"/>
  <c r="N4315" i="23"/>
  <c r="N4307" i="23"/>
  <c r="N4299" i="23"/>
  <c r="N4291" i="23"/>
  <c r="N4283" i="23"/>
  <c r="N4275" i="23"/>
  <c r="N4267" i="23"/>
  <c r="N4259" i="23"/>
  <c r="N4251" i="23"/>
  <c r="N4243" i="23"/>
  <c r="N4235" i="23"/>
  <c r="N4227" i="23"/>
  <c r="N4219" i="23"/>
  <c r="N4211" i="23"/>
  <c r="N4203" i="23"/>
  <c r="N4195" i="23"/>
  <c r="N4187" i="23"/>
  <c r="N4179" i="23"/>
  <c r="N4171" i="23"/>
  <c r="N4163" i="23"/>
  <c r="N4155" i="23"/>
  <c r="N4147" i="23"/>
  <c r="N4139" i="23"/>
  <c r="N4131" i="23"/>
  <c r="N4123" i="23"/>
  <c r="N4115" i="23"/>
  <c r="N4107" i="23"/>
  <c r="N4099" i="23"/>
  <c r="N4091" i="23"/>
  <c r="N4083" i="23"/>
  <c r="N4075" i="23"/>
  <c r="N4067" i="23"/>
  <c r="N4059" i="23"/>
  <c r="N4051" i="23"/>
  <c r="N4043" i="23"/>
  <c r="N4035" i="23"/>
  <c r="N4027" i="23"/>
  <c r="N4019" i="23"/>
  <c r="N4011" i="23"/>
  <c r="N4007" i="23"/>
  <c r="N4003" i="23"/>
  <c r="N3999" i="23"/>
  <c r="N3995" i="23"/>
  <c r="N3991" i="23"/>
  <c r="N3987" i="23"/>
  <c r="N3983" i="23"/>
  <c r="N3979" i="23"/>
  <c r="N3975" i="23"/>
  <c r="N3971" i="23"/>
  <c r="N3967" i="23"/>
  <c r="N3963" i="23"/>
  <c r="N3959" i="23"/>
  <c r="N3955" i="23"/>
  <c r="N3951" i="23"/>
  <c r="N3947" i="23"/>
  <c r="N3943" i="23"/>
  <c r="N3939" i="23"/>
  <c r="N3935" i="23"/>
  <c r="N3931" i="23"/>
  <c r="N3927" i="23"/>
  <c r="N3923" i="23"/>
  <c r="N3919" i="23"/>
  <c r="N3915" i="23"/>
  <c r="N3911" i="23"/>
  <c r="N3907" i="23"/>
  <c r="N3903" i="23"/>
  <c r="N3899" i="23"/>
  <c r="N3895" i="23"/>
  <c r="N3891" i="23"/>
  <c r="N3887" i="23"/>
  <c r="N3883" i="23"/>
  <c r="N3879" i="23"/>
  <c r="N3875" i="23"/>
  <c r="N3871" i="23"/>
  <c r="N3867" i="23"/>
  <c r="N3863" i="23"/>
  <c r="N3859" i="23"/>
  <c r="N3855" i="23"/>
  <c r="N3851" i="23"/>
  <c r="N3847" i="23"/>
  <c r="N3843" i="23"/>
  <c r="N3839" i="23"/>
  <c r="N3835" i="23"/>
  <c r="N3831" i="23"/>
  <c r="N3827" i="23"/>
  <c r="N3823" i="23"/>
  <c r="N3819" i="23"/>
  <c r="N3815" i="23"/>
  <c r="N3811" i="23"/>
  <c r="N3807" i="23"/>
  <c r="N3803" i="23"/>
  <c r="N3799" i="23"/>
  <c r="N3795" i="23"/>
  <c r="N3791" i="23"/>
  <c r="N3787" i="23"/>
  <c r="N3783" i="23"/>
  <c r="N3779" i="23"/>
  <c r="N3775" i="23"/>
  <c r="N3771" i="23"/>
  <c r="N3767" i="23"/>
  <c r="N3763" i="23"/>
  <c r="N3759" i="23"/>
  <c r="N3755" i="23"/>
  <c r="N3751" i="23"/>
  <c r="N3747" i="23"/>
  <c r="N3743" i="23"/>
  <c r="N3739" i="23"/>
  <c r="N3735" i="23"/>
  <c r="N3731" i="23"/>
  <c r="N3727" i="23"/>
  <c r="N3723" i="23"/>
  <c r="N3719" i="23"/>
  <c r="N3715" i="23"/>
  <c r="N3711" i="23"/>
  <c r="N3707" i="23"/>
  <c r="N3703" i="23"/>
  <c r="N3699" i="23"/>
  <c r="N3695" i="23"/>
  <c r="N3691" i="23"/>
  <c r="N3687" i="23"/>
  <c r="N3683" i="23"/>
  <c r="N3679" i="23"/>
  <c r="N3675" i="23"/>
  <c r="N3671" i="23"/>
  <c r="N3667" i="23"/>
  <c r="N3663" i="23"/>
  <c r="N3659" i="23"/>
  <c r="N3655" i="23"/>
  <c r="N3651" i="23"/>
  <c r="N3647" i="23"/>
  <c r="N3643" i="23"/>
  <c r="N3639" i="23"/>
  <c r="N3635" i="23"/>
  <c r="N3631" i="23"/>
  <c r="N3627" i="23"/>
  <c r="N3623" i="23"/>
  <c r="N3619" i="23"/>
  <c r="N3615" i="23"/>
  <c r="N3611" i="23"/>
  <c r="N3607" i="23"/>
  <c r="N3603" i="23"/>
  <c r="N3599" i="23"/>
  <c r="N3595" i="23"/>
  <c r="N3591" i="23"/>
  <c r="N3587" i="23"/>
  <c r="N3583" i="23"/>
  <c r="N3579" i="23"/>
  <c r="N3575" i="23"/>
  <c r="N3571" i="23"/>
  <c r="N3567" i="23"/>
  <c r="N3563" i="23"/>
  <c r="N3559" i="23"/>
  <c r="N3555" i="23"/>
  <c r="N3551" i="23"/>
  <c r="N3547" i="23"/>
  <c r="N3543" i="23"/>
  <c r="N3539" i="23"/>
  <c r="N3535" i="23"/>
  <c r="N3531" i="23"/>
  <c r="N3527" i="23"/>
  <c r="N3523" i="23"/>
  <c r="N3519" i="23"/>
  <c r="N3515" i="23"/>
  <c r="N3511" i="23"/>
  <c r="N3507" i="23"/>
  <c r="N3503" i="23"/>
  <c r="N3499" i="23"/>
  <c r="N3495" i="23"/>
  <c r="N3491" i="23"/>
  <c r="N3487" i="23"/>
  <c r="N3483" i="23"/>
  <c r="N3479" i="23"/>
  <c r="N3475" i="23"/>
  <c r="N3471" i="23"/>
  <c r="N3467" i="23"/>
  <c r="N3463" i="23"/>
  <c r="N3459" i="23"/>
  <c r="N3455" i="23"/>
  <c r="N3451" i="23"/>
  <c r="N3447" i="23"/>
  <c r="N3443" i="23"/>
  <c r="N3439" i="23"/>
  <c r="N3435" i="23"/>
  <c r="N3431" i="23"/>
  <c r="N3427" i="23"/>
  <c r="N3423" i="23"/>
  <c r="N3419" i="23"/>
  <c r="N3415" i="23"/>
  <c r="N3411" i="23"/>
  <c r="N3407" i="23"/>
  <c r="N3403" i="23"/>
  <c r="N3399" i="23"/>
  <c r="N3395" i="23"/>
  <c r="N3391" i="23"/>
  <c r="N3387" i="23"/>
  <c r="N3383" i="23"/>
  <c r="N3379" i="23"/>
  <c r="N3375" i="23"/>
  <c r="N3371" i="23"/>
  <c r="N3367" i="23"/>
  <c r="N3363" i="23"/>
  <c r="N3359" i="23"/>
  <c r="N3355" i="23"/>
  <c r="N3351" i="23"/>
  <c r="N3347" i="23"/>
  <c r="N3343" i="23"/>
  <c r="N3339" i="23"/>
  <c r="N3335" i="23"/>
  <c r="N3331" i="23"/>
  <c r="N3327" i="23"/>
  <c r="N3323" i="23"/>
  <c r="N3319" i="23"/>
  <c r="N3315" i="23"/>
  <c r="N3311" i="23"/>
  <c r="N3307" i="23"/>
  <c r="N3303" i="23"/>
  <c r="N3299" i="23"/>
  <c r="N3295" i="23"/>
  <c r="N3291" i="23"/>
  <c r="N3287" i="23"/>
  <c r="N3283" i="23"/>
  <c r="N3279" i="23"/>
  <c r="N3275" i="23"/>
  <c r="N3271" i="23"/>
  <c r="N3267" i="23"/>
  <c r="N3263" i="23"/>
  <c r="N3259" i="23"/>
  <c r="N3255" i="23"/>
  <c r="N3251" i="23"/>
  <c r="N3247" i="23"/>
  <c r="N3243" i="23"/>
  <c r="N3239" i="23"/>
  <c r="N3235" i="23"/>
  <c r="N3231" i="23"/>
  <c r="N3227" i="23"/>
  <c r="N3223" i="23"/>
  <c r="N3219" i="23"/>
  <c r="N3215" i="23"/>
  <c r="N3211" i="23"/>
  <c r="N3207" i="23"/>
  <c r="N3203" i="23"/>
  <c r="N3199" i="23"/>
  <c r="N3195" i="23"/>
  <c r="N3191" i="23"/>
  <c r="N3187" i="23"/>
  <c r="N3183" i="23"/>
  <c r="N3179" i="23"/>
  <c r="N3175" i="23"/>
  <c r="N3171" i="23"/>
  <c r="N3167" i="23"/>
  <c r="N3163" i="23"/>
  <c r="N3159" i="23"/>
  <c r="N3155" i="23"/>
  <c r="N3151" i="23"/>
  <c r="N3147" i="23"/>
  <c r="N3143" i="23"/>
  <c r="N3139" i="23"/>
  <c r="N3135" i="23"/>
  <c r="N3131" i="23"/>
  <c r="N3127" i="23"/>
  <c r="N3123" i="23"/>
  <c r="N3119" i="23"/>
  <c r="N3115" i="23"/>
  <c r="N3111" i="23"/>
  <c r="N3107" i="23"/>
  <c r="N3103" i="23"/>
  <c r="N3099" i="23"/>
  <c r="N3095" i="23"/>
  <c r="N3091" i="23"/>
  <c r="N3087" i="23"/>
  <c r="N3083" i="23"/>
  <c r="N3079" i="23"/>
  <c r="N3075" i="23"/>
  <c r="N3071" i="23"/>
  <c r="N3067" i="23"/>
  <c r="N3063" i="23"/>
  <c r="N3059" i="23"/>
  <c r="N3055" i="23"/>
  <c r="N3051" i="23"/>
  <c r="N3047" i="23"/>
  <c r="N3043" i="23"/>
  <c r="N3039" i="23"/>
  <c r="N3035" i="23"/>
  <c r="N3031" i="23"/>
  <c r="N3027" i="23"/>
  <c r="N3023" i="23"/>
  <c r="N3019" i="23"/>
  <c r="N3015" i="23"/>
  <c r="N3011" i="23"/>
  <c r="N3007" i="23"/>
  <c r="N3003" i="23"/>
  <c r="N2999" i="23"/>
  <c r="N2995" i="23"/>
  <c r="N2991" i="23"/>
  <c r="N2987" i="23"/>
  <c r="N2983" i="23"/>
  <c r="N2979" i="23"/>
  <c r="N2975" i="23"/>
  <c r="N2971" i="23"/>
  <c r="N2967" i="23"/>
  <c r="N2963" i="23"/>
  <c r="N2959" i="23"/>
  <c r="N2955" i="23"/>
  <c r="N2951" i="23"/>
  <c r="N2947" i="23"/>
  <c r="N2943" i="23"/>
  <c r="N2939" i="23"/>
  <c r="N2935" i="23"/>
  <c r="N2931" i="23"/>
  <c r="N3410" i="23"/>
  <c r="N3394" i="23"/>
  <c r="N3378" i="23"/>
  <c r="N3362" i="23"/>
  <c r="N3346" i="23"/>
  <c r="N3330" i="23"/>
  <c r="N3314" i="23"/>
  <c r="N3298" i="23"/>
  <c r="N3282" i="23"/>
  <c r="N3266" i="23"/>
  <c r="N3250" i="23"/>
  <c r="N3234" i="23"/>
  <c r="N3218" i="23"/>
  <c r="N3202" i="23"/>
  <c r="N3186" i="23"/>
  <c r="N3170" i="23"/>
  <c r="N3154" i="23"/>
  <c r="N3138" i="23"/>
  <c r="N3122" i="23"/>
  <c r="N3106" i="23"/>
  <c r="N3090" i="23"/>
  <c r="N3074" i="23"/>
  <c r="N3058" i="23"/>
  <c r="N3042" i="23"/>
  <c r="N3026" i="23"/>
  <c r="N3010" i="23"/>
  <c r="N2994" i="23"/>
  <c r="N2978" i="23"/>
  <c r="N2962" i="23"/>
  <c r="N2946" i="23"/>
  <c r="N2930" i="23"/>
  <c r="N2922" i="23"/>
  <c r="N2915" i="23"/>
  <c r="N2910" i="23"/>
  <c r="N2904" i="23"/>
  <c r="N2899" i="23"/>
  <c r="N2894" i="23"/>
  <c r="N2889" i="23"/>
  <c r="N2885" i="23"/>
  <c r="N2881" i="23"/>
  <c r="N2877" i="23"/>
  <c r="N2873" i="23"/>
  <c r="N2869" i="23"/>
  <c r="N2865" i="23"/>
  <c r="N2861" i="23"/>
  <c r="N2857" i="23"/>
  <c r="N2853" i="23"/>
  <c r="N2849" i="23"/>
  <c r="N2845" i="23"/>
  <c r="N2841" i="23"/>
  <c r="N2837" i="23"/>
  <c r="N2833" i="23"/>
  <c r="N2829" i="23"/>
  <c r="N2825" i="23"/>
  <c r="N2821" i="23"/>
  <c r="N2817" i="23"/>
  <c r="N2813" i="23"/>
  <c r="N2809" i="23"/>
  <c r="N2805" i="23"/>
  <c r="N2801" i="23"/>
  <c r="N2797" i="23"/>
  <c r="N2793" i="23"/>
  <c r="N2789" i="23"/>
  <c r="N2785" i="23"/>
  <c r="N2781" i="23"/>
  <c r="N2777" i="23"/>
  <c r="N2773" i="23"/>
  <c r="N2769" i="23"/>
  <c r="N2765" i="23"/>
  <c r="N2761" i="23"/>
  <c r="N2757" i="23"/>
  <c r="N2753" i="23"/>
  <c r="N2749" i="23"/>
  <c r="N2745" i="23"/>
  <c r="N2741" i="23"/>
  <c r="N2737" i="23"/>
  <c r="N2733" i="23"/>
  <c r="N2729" i="23"/>
  <c r="N2725" i="23"/>
  <c r="N2721" i="23"/>
  <c r="N2717" i="23"/>
  <c r="N2713" i="23"/>
  <c r="N2709" i="23"/>
  <c r="N2705" i="23"/>
  <c r="N2701" i="23"/>
  <c r="N2697" i="23"/>
  <c r="N2693" i="23"/>
  <c r="N2689" i="23"/>
  <c r="N2685" i="23"/>
  <c r="N2681" i="23"/>
  <c r="N2677" i="23"/>
  <c r="N2673" i="23"/>
  <c r="N2669" i="23"/>
  <c r="N2665" i="23"/>
  <c r="N2661" i="23"/>
  <c r="N2657" i="23"/>
  <c r="N2653" i="23"/>
  <c r="N2649" i="23"/>
  <c r="N2645" i="23"/>
  <c r="N2641" i="23"/>
  <c r="N2637" i="23"/>
  <c r="N2633" i="23"/>
  <c r="N2629" i="23"/>
  <c r="N2625" i="23"/>
  <c r="N2621" i="23"/>
  <c r="N2617" i="23"/>
  <c r="N2613" i="23"/>
  <c r="N2609" i="23"/>
  <c r="N2605" i="23"/>
  <c r="N2601" i="23"/>
  <c r="N2597" i="23"/>
  <c r="N2593" i="23"/>
  <c r="N2589" i="23"/>
  <c r="N2585" i="23"/>
  <c r="N2581" i="23"/>
  <c r="N2577" i="23"/>
  <c r="N2573" i="23"/>
  <c r="N2569" i="23"/>
  <c r="N2565" i="23"/>
  <c r="N2561" i="23"/>
  <c r="N2557" i="23"/>
  <c r="N2553" i="23"/>
  <c r="N2549" i="23"/>
  <c r="N2545" i="23"/>
  <c r="N2541" i="23"/>
  <c r="N2537" i="23"/>
  <c r="N2533" i="23"/>
  <c r="N2529" i="23"/>
  <c r="N2525" i="23"/>
  <c r="N2521" i="23"/>
  <c r="N2517" i="23"/>
  <c r="N2513" i="23"/>
  <c r="N2509" i="23"/>
  <c r="N2505" i="23"/>
  <c r="N2501" i="23"/>
  <c r="N2497" i="23"/>
  <c r="N2493" i="23"/>
  <c r="N2489" i="23"/>
  <c r="N2485" i="23"/>
  <c r="N2481" i="23"/>
  <c r="N2477" i="23"/>
  <c r="N2473" i="23"/>
  <c r="N2469" i="23"/>
  <c r="N2465" i="23"/>
  <c r="N2461" i="23"/>
  <c r="N2457" i="23"/>
  <c r="N2453" i="23"/>
  <c r="N2449" i="23"/>
  <c r="N2445" i="23"/>
  <c r="N2441" i="23"/>
  <c r="N2437" i="23"/>
  <c r="N2433" i="23"/>
  <c r="N2429" i="23"/>
  <c r="N2425" i="23"/>
  <c r="N2421" i="23"/>
  <c r="N2417" i="23"/>
  <c r="N2413" i="23"/>
  <c r="N2409" i="23"/>
  <c r="N2405" i="23"/>
  <c r="N2401" i="23"/>
  <c r="N2397" i="23"/>
  <c r="N2393" i="23"/>
  <c r="N2389" i="23"/>
  <c r="N2385" i="23"/>
  <c r="N2381" i="23"/>
  <c r="N2377" i="23"/>
  <c r="N2373" i="23"/>
  <c r="N2369" i="23"/>
  <c r="N2365" i="23"/>
  <c r="N2361" i="23"/>
  <c r="N2357" i="23"/>
  <c r="N2353" i="23"/>
  <c r="N2349" i="23"/>
  <c r="N2345" i="23"/>
  <c r="N2341" i="23"/>
  <c r="N2337" i="23"/>
  <c r="N2333" i="23"/>
  <c r="N2329" i="23"/>
  <c r="N2325" i="23"/>
  <c r="N2321" i="23"/>
  <c r="N2317" i="23"/>
  <c r="N2313" i="23"/>
  <c r="N2309" i="23"/>
  <c r="N2305" i="23"/>
  <c r="N2301" i="23"/>
  <c r="N2297" i="23"/>
  <c r="N2293" i="23"/>
  <c r="N2289" i="23"/>
  <c r="N2285" i="23"/>
  <c r="N2281" i="23"/>
  <c r="N2277" i="23"/>
  <c r="N2273" i="23"/>
  <c r="N2269" i="23"/>
  <c r="N2265" i="23"/>
  <c r="N2261" i="23"/>
  <c r="N2257" i="23"/>
  <c r="N2253" i="23"/>
  <c r="N2249" i="23"/>
  <c r="N2245" i="23"/>
  <c r="N2241" i="23"/>
  <c r="N2237" i="23"/>
  <c r="N2233" i="23"/>
  <c r="N2229" i="23"/>
  <c r="N2225" i="23"/>
  <c r="N2221" i="23"/>
  <c r="N2217" i="23"/>
  <c r="N2213" i="23"/>
  <c r="N2209" i="23"/>
  <c r="N2205" i="23"/>
  <c r="N2201" i="23"/>
  <c r="N2197" i="23"/>
  <c r="N2193" i="23"/>
  <c r="N2189" i="23"/>
  <c r="N2185" i="23"/>
  <c r="N2181" i="23"/>
  <c r="N2177" i="23"/>
  <c r="N2173" i="23"/>
  <c r="N2169" i="23"/>
  <c r="N2165" i="23"/>
  <c r="N2161" i="23"/>
  <c r="N2157" i="23"/>
  <c r="N2153" i="23"/>
  <c r="N2149" i="23"/>
  <c r="N2145" i="23"/>
  <c r="N2141" i="23"/>
  <c r="N2137" i="23"/>
  <c r="N2133" i="23"/>
  <c r="N2129" i="23"/>
  <c r="N2125" i="23"/>
  <c r="N2121" i="23"/>
  <c r="N2117" i="23"/>
  <c r="N2113" i="23"/>
  <c r="N2109" i="23"/>
  <c r="N2105" i="23"/>
  <c r="N2101" i="23"/>
  <c r="N2097" i="23"/>
  <c r="N2093" i="23"/>
  <c r="N2089" i="23"/>
  <c r="N2085" i="23"/>
  <c r="N2081" i="23"/>
  <c r="N2077" i="23"/>
  <c r="N2073" i="23"/>
  <c r="N2069" i="23"/>
  <c r="N2065" i="23"/>
  <c r="N2061" i="23"/>
  <c r="N2057" i="23"/>
  <c r="N2053" i="23"/>
  <c r="N2049" i="23"/>
  <c r="N2045" i="23"/>
  <c r="N2041" i="23"/>
  <c r="N2037" i="23"/>
  <c r="N2033" i="23"/>
  <c r="N2029" i="23"/>
  <c r="N2025" i="23"/>
  <c r="N2021" i="23"/>
  <c r="N2017" i="23"/>
  <c r="N2013" i="23"/>
  <c r="N2009" i="23"/>
  <c r="N2005" i="23"/>
  <c r="N2001" i="23"/>
  <c r="N1997" i="23"/>
  <c r="N1993" i="23"/>
  <c r="N1989" i="23"/>
  <c r="N1985" i="23"/>
  <c r="N1981" i="23"/>
  <c r="N1977" i="23"/>
  <c r="N1973" i="23"/>
  <c r="N1969" i="23"/>
  <c r="N1965" i="23"/>
  <c r="N1961" i="23"/>
  <c r="N1957" i="23"/>
  <c r="N1953" i="23"/>
  <c r="N1949" i="23"/>
  <c r="N1945" i="23"/>
  <c r="N1941" i="23"/>
  <c r="N1937" i="23"/>
  <c r="N1933" i="23"/>
  <c r="N1929" i="23"/>
  <c r="N1925" i="23"/>
  <c r="N1921" i="23"/>
  <c r="N1917" i="23"/>
  <c r="N1913" i="23"/>
  <c r="N1909" i="23"/>
  <c r="N1905" i="23"/>
  <c r="N1901" i="23"/>
  <c r="N1897" i="23"/>
  <c r="N1893" i="23"/>
  <c r="N1889" i="23"/>
  <c r="N1885" i="23"/>
  <c r="N1881" i="23"/>
  <c r="N1877" i="23"/>
  <c r="N1873" i="23"/>
  <c r="N1869" i="23"/>
  <c r="N1865" i="23"/>
  <c r="N1861" i="23"/>
  <c r="N1857" i="23"/>
  <c r="N1853" i="23"/>
  <c r="N1849" i="23"/>
  <c r="N1845" i="23"/>
  <c r="N1841" i="23"/>
  <c r="N1837" i="23"/>
  <c r="N1833" i="23"/>
  <c r="N1829" i="23"/>
  <c r="N1825" i="23"/>
  <c r="N1821" i="23"/>
  <c r="N1817" i="23"/>
  <c r="N1813" i="23"/>
  <c r="N1809" i="23"/>
  <c r="N1805" i="23"/>
  <c r="N1801" i="23"/>
  <c r="N3406" i="23"/>
  <c r="N3390" i="23"/>
  <c r="N3374" i="23"/>
  <c r="N3358" i="23"/>
  <c r="N3342" i="23"/>
  <c r="N3326" i="23"/>
  <c r="N3310" i="23"/>
  <c r="N3294" i="23"/>
  <c r="N3278" i="23"/>
  <c r="N3262" i="23"/>
  <c r="N3246" i="23"/>
  <c r="N3230" i="23"/>
  <c r="N3214" i="23"/>
  <c r="N3198" i="23"/>
  <c r="N3182" i="23"/>
  <c r="N3166" i="23"/>
  <c r="N3150" i="23"/>
  <c r="N3134" i="23"/>
  <c r="N3118" i="23"/>
  <c r="N3102" i="23"/>
  <c r="N3086" i="23"/>
  <c r="N3070" i="23"/>
  <c r="N3054" i="23"/>
  <c r="N3038" i="23"/>
  <c r="N3022" i="23"/>
  <c r="N3006" i="23"/>
  <c r="N2990" i="23"/>
  <c r="N2974" i="23"/>
  <c r="N2958" i="23"/>
  <c r="N2942" i="23"/>
  <c r="N2927" i="23"/>
  <c r="N2919" i="23"/>
  <c r="N2914" i="23"/>
  <c r="N2908" i="23"/>
  <c r="N2903" i="23"/>
  <c r="N2898" i="23"/>
  <c r="N2892" i="23"/>
  <c r="N2888" i="23"/>
  <c r="N2884" i="23"/>
  <c r="N2880" i="23"/>
  <c r="N2876" i="23"/>
  <c r="N2872" i="23"/>
  <c r="N2868" i="23"/>
  <c r="N2864" i="23"/>
  <c r="N2860" i="23"/>
  <c r="N2856" i="23"/>
  <c r="N2852" i="23"/>
  <c r="N2848" i="23"/>
  <c r="N2844" i="23"/>
  <c r="N2840" i="23"/>
  <c r="N2836" i="23"/>
  <c r="N2832" i="23"/>
  <c r="N2828" i="23"/>
  <c r="N2824" i="23"/>
  <c r="N2820" i="23"/>
  <c r="N2816" i="23"/>
  <c r="N2812" i="23"/>
  <c r="N2808" i="23"/>
  <c r="N2804" i="23"/>
  <c r="N2800" i="23"/>
  <c r="N2796" i="23"/>
  <c r="N2792" i="23"/>
  <c r="N2788" i="23"/>
  <c r="N2784" i="23"/>
  <c r="N2780" i="23"/>
  <c r="N2776" i="23"/>
  <c r="N2772" i="23"/>
  <c r="N2768" i="23"/>
  <c r="N2764" i="23"/>
  <c r="N2760" i="23"/>
  <c r="N2756" i="23"/>
  <c r="N2752" i="23"/>
  <c r="N2748" i="23"/>
  <c r="N2744" i="23"/>
  <c r="N2740" i="23"/>
  <c r="N2736" i="23"/>
  <c r="N2732" i="23"/>
  <c r="N2728" i="23"/>
  <c r="N2724" i="23"/>
  <c r="N2720" i="23"/>
  <c r="N2716" i="23"/>
  <c r="N2712" i="23"/>
  <c r="N2708" i="23"/>
  <c r="N2704" i="23"/>
  <c r="N2700" i="23"/>
  <c r="N2696" i="23"/>
  <c r="N2692" i="23"/>
  <c r="N2688" i="23"/>
  <c r="N2684" i="23"/>
  <c r="N2680" i="23"/>
  <c r="N2676" i="23"/>
  <c r="N2672" i="23"/>
  <c r="N2668" i="23"/>
  <c r="N2664" i="23"/>
  <c r="N2660" i="23"/>
  <c r="N2656" i="23"/>
  <c r="N2652" i="23"/>
  <c r="N2648" i="23"/>
  <c r="N2644" i="23"/>
  <c r="N2640" i="23"/>
  <c r="N2636" i="23"/>
  <c r="N2632" i="23"/>
  <c r="N2628" i="23"/>
  <c r="N2624" i="23"/>
  <c r="N2620" i="23"/>
  <c r="N2616" i="23"/>
  <c r="N2612" i="23"/>
  <c r="N2608" i="23"/>
  <c r="N2604" i="23"/>
  <c r="N2600" i="23"/>
  <c r="N2596" i="23"/>
  <c r="N2592" i="23"/>
  <c r="N2588" i="23"/>
  <c r="N2584" i="23"/>
  <c r="N2580" i="23"/>
  <c r="N2576" i="23"/>
  <c r="N2572" i="23"/>
  <c r="N2568" i="23"/>
  <c r="N2564" i="23"/>
  <c r="N2560" i="23"/>
  <c r="N2556" i="23"/>
  <c r="N2552" i="23"/>
  <c r="N2548" i="23"/>
  <c r="N2544" i="23"/>
  <c r="N2540" i="23"/>
  <c r="N2536" i="23"/>
  <c r="N2532" i="23"/>
  <c r="N2528" i="23"/>
  <c r="N2524" i="23"/>
  <c r="N2520" i="23"/>
  <c r="N2516" i="23"/>
  <c r="N2512" i="23"/>
  <c r="N2508" i="23"/>
  <c r="N2504" i="23"/>
  <c r="N2500" i="23"/>
  <c r="N2496" i="23"/>
  <c r="N2492" i="23"/>
  <c r="N2488" i="23"/>
  <c r="N2484" i="23"/>
  <c r="N2480" i="23"/>
  <c r="N2476" i="23"/>
  <c r="N2472" i="23"/>
  <c r="N2468" i="23"/>
  <c r="N2464" i="23"/>
  <c r="N2460" i="23"/>
  <c r="N2456" i="23"/>
  <c r="N2452" i="23"/>
  <c r="N2448" i="23"/>
  <c r="N2444" i="23"/>
  <c r="N2440" i="23"/>
  <c r="N2436" i="23"/>
  <c r="N2432" i="23"/>
  <c r="N2428" i="23"/>
  <c r="N2424" i="23"/>
  <c r="N2420" i="23"/>
  <c r="N2416" i="23"/>
  <c r="N2412" i="23"/>
  <c r="N2408" i="23"/>
  <c r="N2404" i="23"/>
  <c r="N2400" i="23"/>
  <c r="N2396" i="23"/>
  <c r="N2392" i="23"/>
  <c r="N2388" i="23"/>
  <c r="N2384" i="23"/>
  <c r="N2380" i="23"/>
  <c r="N2376" i="23"/>
  <c r="N2372" i="23"/>
  <c r="N2368" i="23"/>
  <c r="N2364" i="23"/>
  <c r="N2360" i="23"/>
  <c r="N2356" i="23"/>
  <c r="N2352" i="23"/>
  <c r="N2348" i="23"/>
  <c r="N2344" i="23"/>
  <c r="N2340" i="23"/>
  <c r="N2336" i="23"/>
  <c r="N2332" i="23"/>
  <c r="N2328" i="23"/>
  <c r="N2324" i="23"/>
  <c r="N2320" i="23"/>
  <c r="N2316" i="23"/>
  <c r="N2312" i="23"/>
  <c r="N2308" i="23"/>
  <c r="N2304" i="23"/>
  <c r="N2300" i="23"/>
  <c r="N2296" i="23"/>
  <c r="N2292" i="23"/>
  <c r="N2288" i="23"/>
  <c r="N2284" i="23"/>
  <c r="N2280" i="23"/>
  <c r="N2276" i="23"/>
  <c r="N2272" i="23"/>
  <c r="N2268" i="23"/>
  <c r="N2264" i="23"/>
  <c r="N2260" i="23"/>
  <c r="N2256" i="23"/>
  <c r="N2252" i="23"/>
  <c r="N2248" i="23"/>
  <c r="N2244" i="23"/>
  <c r="N2240" i="23"/>
  <c r="N2236" i="23"/>
  <c r="N2232" i="23"/>
  <c r="N2228" i="23"/>
  <c r="N2224" i="23"/>
  <c r="N2220" i="23"/>
  <c r="N2216" i="23"/>
  <c r="N2212" i="23"/>
  <c r="N2208" i="23"/>
  <c r="N2204" i="23"/>
  <c r="N2200" i="23"/>
  <c r="N2196" i="23"/>
  <c r="N2192" i="23"/>
  <c r="N2188" i="23"/>
  <c r="N2184" i="23"/>
  <c r="N2180" i="23"/>
  <c r="N2176" i="23"/>
  <c r="N2172" i="23"/>
  <c r="N2168" i="23"/>
  <c r="N2164" i="23"/>
  <c r="N2160" i="23"/>
  <c r="N2156" i="23"/>
  <c r="N2152" i="23"/>
  <c r="N2148" i="23"/>
  <c r="N2144" i="23"/>
  <c r="N2140" i="23"/>
  <c r="N2136" i="23"/>
  <c r="N2132" i="23"/>
  <c r="N2128" i="23"/>
  <c r="N2124" i="23"/>
  <c r="N2120" i="23"/>
  <c r="N2116" i="23"/>
  <c r="N2112" i="23"/>
  <c r="N2108" i="23"/>
  <c r="N2104" i="23"/>
  <c r="N2100" i="23"/>
  <c r="N2096" i="23"/>
  <c r="N2092" i="23"/>
  <c r="N2088" i="23"/>
  <c r="N2084" i="23"/>
  <c r="N2080" i="23"/>
  <c r="N2076" i="23"/>
  <c r="N2072" i="23"/>
  <c r="N2068" i="23"/>
  <c r="N2064" i="23"/>
  <c r="N2060" i="23"/>
  <c r="N2056" i="23"/>
  <c r="N2052" i="23"/>
  <c r="N2048" i="23"/>
  <c r="N2044" i="23"/>
  <c r="N2040" i="23"/>
  <c r="N2036" i="23"/>
  <c r="N2032" i="23"/>
  <c r="N2028" i="23"/>
  <c r="N2024" i="23"/>
  <c r="N2020" i="23"/>
  <c r="N2016" i="23"/>
  <c r="N2012" i="23"/>
  <c r="N2008" i="23"/>
  <c r="N2004" i="23"/>
  <c r="N2000" i="23"/>
  <c r="N1996" i="23"/>
  <c r="N1992" i="23"/>
  <c r="N1988" i="23"/>
  <c r="N1984" i="23"/>
  <c r="N1980" i="23"/>
  <c r="N1976" i="23"/>
  <c r="N1972" i="23"/>
  <c r="N1968" i="23"/>
  <c r="N1964" i="23"/>
  <c r="N1960" i="23"/>
  <c r="N1956" i="23"/>
  <c r="N1952" i="23"/>
  <c r="N1948" i="23"/>
  <c r="N1944" i="23"/>
  <c r="N1940" i="23"/>
  <c r="N1936" i="23"/>
  <c r="N1932" i="23"/>
  <c r="N1928" i="23"/>
  <c r="N1924" i="23"/>
  <c r="N1920" i="23"/>
  <c r="N1916" i="23"/>
  <c r="N1912" i="23"/>
  <c r="N1908" i="23"/>
  <c r="N1904" i="23"/>
  <c r="N1900" i="23"/>
  <c r="N1896" i="23"/>
  <c r="N1892" i="23"/>
  <c r="N1888" i="23"/>
  <c r="N1884" i="23"/>
  <c r="N1880" i="23"/>
  <c r="N1876" i="23"/>
  <c r="N1872" i="23"/>
  <c r="N1868" i="23"/>
  <c r="N1864" i="23"/>
  <c r="N1860" i="23"/>
  <c r="N1856" i="23"/>
  <c r="N1852" i="23"/>
  <c r="N1848" i="23"/>
  <c r="N1844" i="23"/>
  <c r="N1840" i="23"/>
  <c r="N1836" i="23"/>
  <c r="N1832" i="23"/>
  <c r="N1828" i="23"/>
  <c r="N1824" i="23"/>
  <c r="N1820" i="23"/>
  <c r="N1816" i="23"/>
  <c r="N1812" i="23"/>
  <c r="N1808" i="23"/>
  <c r="N1804" i="23"/>
  <c r="N1800" i="23"/>
  <c r="N1796" i="23"/>
  <c r="N1792" i="23"/>
  <c r="N1788" i="23"/>
  <c r="N1784" i="23"/>
  <c r="N1780" i="23"/>
  <c r="N1776" i="23"/>
  <c r="N1772" i="23"/>
  <c r="N1768" i="23"/>
  <c r="N1764" i="23"/>
  <c r="N1760" i="23"/>
  <c r="N1756" i="23"/>
  <c r="N1752" i="23"/>
  <c r="N1748" i="23"/>
  <c r="N1744" i="23"/>
  <c r="N1740" i="23"/>
  <c r="N1736" i="23"/>
  <c r="N1732" i="23"/>
  <c r="N1728" i="23"/>
  <c r="N1724" i="23"/>
  <c r="N1720" i="23"/>
  <c r="N1716" i="23"/>
  <c r="N1712" i="23"/>
  <c r="N1708" i="23"/>
  <c r="N1704" i="23"/>
  <c r="N1700" i="23"/>
  <c r="N1696" i="23"/>
  <c r="N1692" i="23"/>
  <c r="N1688" i="23"/>
  <c r="N1684" i="23"/>
  <c r="N1680" i="23"/>
  <c r="N1676" i="23"/>
  <c r="N3402" i="23"/>
  <c r="N3386" i="23"/>
  <c r="N3370" i="23"/>
  <c r="N3354" i="23"/>
  <c r="N3338" i="23"/>
  <c r="N3322" i="23"/>
  <c r="N3306" i="23"/>
  <c r="N3290" i="23"/>
  <c r="N3274" i="23"/>
  <c r="N3258" i="23"/>
  <c r="N3242" i="23"/>
  <c r="N3226" i="23"/>
  <c r="N3210" i="23"/>
  <c r="N3194" i="23"/>
  <c r="N3178" i="23"/>
  <c r="N3162" i="23"/>
  <c r="N3146" i="23"/>
  <c r="N3130" i="23"/>
  <c r="N3114" i="23"/>
  <c r="N3098" i="23"/>
  <c r="N3082" i="23"/>
  <c r="N3066" i="23"/>
  <c r="N3050" i="23"/>
  <c r="N3034" i="23"/>
  <c r="N3018" i="23"/>
  <c r="N3002" i="23"/>
  <c r="N2986" i="23"/>
  <c r="N2970" i="23"/>
  <c r="N2954" i="23"/>
  <c r="N2938" i="23"/>
  <c r="N2926" i="23"/>
  <c r="N2918" i="23"/>
  <c r="N2912" i="23"/>
  <c r="N2907" i="23"/>
  <c r="N2902" i="23"/>
  <c r="N2896" i="23"/>
  <c r="N2891" i="23"/>
  <c r="N2887" i="23"/>
  <c r="N2883" i="23"/>
  <c r="N2879" i="23"/>
  <c r="N2875" i="23"/>
  <c r="N2871" i="23"/>
  <c r="N2867" i="23"/>
  <c r="N2863" i="23"/>
  <c r="N2859" i="23"/>
  <c r="N2855" i="23"/>
  <c r="N2851" i="23"/>
  <c r="N2847" i="23"/>
  <c r="N2843" i="23"/>
  <c r="N2839" i="23"/>
  <c r="N2835" i="23"/>
  <c r="N2831" i="23"/>
  <c r="N2827" i="23"/>
  <c r="N2823" i="23"/>
  <c r="N2819" i="23"/>
  <c r="N2815" i="23"/>
  <c r="N2811" i="23"/>
  <c r="N2807" i="23"/>
  <c r="N2803" i="23"/>
  <c r="N2799" i="23"/>
  <c r="N2795" i="23"/>
  <c r="N2791" i="23"/>
  <c r="N2787" i="23"/>
  <c r="N2783" i="23"/>
  <c r="N2779" i="23"/>
  <c r="N2775" i="23"/>
  <c r="N2771" i="23"/>
  <c r="N2767" i="23"/>
  <c r="N2763" i="23"/>
  <c r="N2759" i="23"/>
  <c r="N2755" i="23"/>
  <c r="N2751" i="23"/>
  <c r="N2747" i="23"/>
  <c r="N2743" i="23"/>
  <c r="N2739" i="23"/>
  <c r="N2735" i="23"/>
  <c r="N2731" i="23"/>
  <c r="N2727" i="23"/>
  <c r="N2723" i="23"/>
  <c r="N2719" i="23"/>
  <c r="N2715" i="23"/>
  <c r="N2711" i="23"/>
  <c r="N2707" i="23"/>
  <c r="N2703" i="23"/>
  <c r="N2699" i="23"/>
  <c r="N2695" i="23"/>
  <c r="N2691" i="23"/>
  <c r="N2687" i="23"/>
  <c r="N2683" i="23"/>
  <c r="N2679" i="23"/>
  <c r="N2675" i="23"/>
  <c r="N2671" i="23"/>
  <c r="N2667" i="23"/>
  <c r="N2663" i="23"/>
  <c r="N2659" i="23"/>
  <c r="N2655" i="23"/>
  <c r="N2651" i="23"/>
  <c r="N2647" i="23"/>
  <c r="N2643" i="23"/>
  <c r="N2639" i="23"/>
  <c r="N2635" i="23"/>
  <c r="N2631" i="23"/>
  <c r="N2627" i="23"/>
  <c r="N2623" i="23"/>
  <c r="N2619" i="23"/>
  <c r="N2615" i="23"/>
  <c r="N2611" i="23"/>
  <c r="N2607" i="23"/>
  <c r="N2603" i="23"/>
  <c r="N2599" i="23"/>
  <c r="N2595" i="23"/>
  <c r="N2591" i="23"/>
  <c r="N2587" i="23"/>
  <c r="N2583" i="23"/>
  <c r="N2579" i="23"/>
  <c r="N2575" i="23"/>
  <c r="N2571" i="23"/>
  <c r="N2567" i="23"/>
  <c r="N2563" i="23"/>
  <c r="N2559" i="23"/>
  <c r="N2555" i="23"/>
  <c r="N2551" i="23"/>
  <c r="N2547" i="23"/>
  <c r="N2543" i="23"/>
  <c r="N2539" i="23"/>
  <c r="N2535" i="23"/>
  <c r="N2531" i="23"/>
  <c r="N2527" i="23"/>
  <c r="N2523" i="23"/>
  <c r="N2519" i="23"/>
  <c r="N2515" i="23"/>
  <c r="N2511" i="23"/>
  <c r="N2507" i="23"/>
  <c r="N2503" i="23"/>
  <c r="N2499" i="23"/>
  <c r="N2495" i="23"/>
  <c r="N2491" i="23"/>
  <c r="N2487" i="23"/>
  <c r="N2483" i="23"/>
  <c r="N2479" i="23"/>
  <c r="N2475" i="23"/>
  <c r="N2471" i="23"/>
  <c r="N2467" i="23"/>
  <c r="N2463" i="23"/>
  <c r="N2459" i="23"/>
  <c r="N2455" i="23"/>
  <c r="N2451" i="23"/>
  <c r="N2447" i="23"/>
  <c r="N2443" i="23"/>
  <c r="N2439" i="23"/>
  <c r="N2435" i="23"/>
  <c r="N2431" i="23"/>
  <c r="N2427" i="23"/>
  <c r="N2423" i="23"/>
  <c r="N2419" i="23"/>
  <c r="N2415" i="23"/>
  <c r="N2411" i="23"/>
  <c r="N2407" i="23"/>
  <c r="N2403" i="23"/>
  <c r="N2399" i="23"/>
  <c r="N2395" i="23"/>
  <c r="N2391" i="23"/>
  <c r="N2387" i="23"/>
  <c r="N2383" i="23"/>
  <c r="N2379" i="23"/>
  <c r="N2375" i="23"/>
  <c r="N2371" i="23"/>
  <c r="N2367" i="23"/>
  <c r="N2363" i="23"/>
  <c r="N2359" i="23"/>
  <c r="N2355" i="23"/>
  <c r="N2351" i="23"/>
  <c r="N2347" i="23"/>
  <c r="N2343" i="23"/>
  <c r="N2339" i="23"/>
  <c r="N2335" i="23"/>
  <c r="N2331" i="23"/>
  <c r="N2327" i="23"/>
  <c r="N2323" i="23"/>
  <c r="N2319" i="23"/>
  <c r="N2315" i="23"/>
  <c r="N2311" i="23"/>
  <c r="N2307" i="23"/>
  <c r="N2303" i="23"/>
  <c r="N2299" i="23"/>
  <c r="N2295" i="23"/>
  <c r="N2291" i="23"/>
  <c r="N2287" i="23"/>
  <c r="N2283" i="23"/>
  <c r="N2279" i="23"/>
  <c r="N2275" i="23"/>
  <c r="N2271" i="23"/>
  <c r="N2267" i="23"/>
  <c r="N2263" i="23"/>
  <c r="N2259" i="23"/>
  <c r="N2255" i="23"/>
  <c r="N2251" i="23"/>
  <c r="N2247" i="23"/>
  <c r="N2243" i="23"/>
  <c r="N2239" i="23"/>
  <c r="N2235" i="23"/>
  <c r="N2231" i="23"/>
  <c r="N2227" i="23"/>
  <c r="N2223" i="23"/>
  <c r="N2219" i="23"/>
  <c r="N2215" i="23"/>
  <c r="N2211" i="23"/>
  <c r="N2207" i="23"/>
  <c r="N2203" i="23"/>
  <c r="N2199" i="23"/>
  <c r="N2195" i="23"/>
  <c r="N2191" i="23"/>
  <c r="N2187" i="23"/>
  <c r="N2183" i="23"/>
  <c r="N2179" i="23"/>
  <c r="N2175" i="23"/>
  <c r="N2171" i="23"/>
  <c r="N2167" i="23"/>
  <c r="N2163" i="23"/>
  <c r="N2159" i="23"/>
  <c r="N2155" i="23"/>
  <c r="N2151" i="23"/>
  <c r="N2147" i="23"/>
  <c r="N2143" i="23"/>
  <c r="N2139" i="23"/>
  <c r="N2135" i="23"/>
  <c r="N2131" i="23"/>
  <c r="N2127" i="23"/>
  <c r="N2123" i="23"/>
  <c r="N2119" i="23"/>
  <c r="N2115" i="23"/>
  <c r="N2111" i="23"/>
  <c r="N2107" i="23"/>
  <c r="N2103" i="23"/>
  <c r="N2099" i="23"/>
  <c r="N2095" i="23"/>
  <c r="N2091" i="23"/>
  <c r="N2087" i="23"/>
  <c r="N2083" i="23"/>
  <c r="N2079" i="23"/>
  <c r="N2075" i="23"/>
  <c r="N2071" i="23"/>
  <c r="N2067" i="23"/>
  <c r="N2063" i="23"/>
  <c r="N2059" i="23"/>
  <c r="N2055" i="23"/>
  <c r="N2051" i="23"/>
  <c r="N2047" i="23"/>
  <c r="N2043" i="23"/>
  <c r="N2039" i="23"/>
  <c r="N2035" i="23"/>
  <c r="N2031" i="23"/>
  <c r="N2027" i="23"/>
  <c r="N2023" i="23"/>
  <c r="N2019" i="23"/>
  <c r="N2015" i="23"/>
  <c r="N2011" i="23"/>
  <c r="N2007" i="23"/>
  <c r="N2003" i="23"/>
  <c r="N1999" i="23"/>
  <c r="N1995" i="23"/>
  <c r="N1991" i="23"/>
  <c r="N1987" i="23"/>
  <c r="N1983" i="23"/>
  <c r="N1979" i="23"/>
  <c r="N1975" i="23"/>
  <c r="N1971" i="23"/>
  <c r="N1967" i="23"/>
  <c r="N1963" i="23"/>
  <c r="N1959" i="23"/>
  <c r="N1955" i="23"/>
  <c r="N1951" i="23"/>
  <c r="N1947" i="23"/>
  <c r="N1943" i="23"/>
  <c r="N1939" i="23"/>
  <c r="N1935" i="23"/>
  <c r="N1931" i="23"/>
  <c r="N1927" i="23"/>
  <c r="N1923" i="23"/>
  <c r="N1919" i="23"/>
  <c r="N1915" i="23"/>
  <c r="N1911" i="23"/>
  <c r="N1907" i="23"/>
  <c r="N1903" i="23"/>
  <c r="N1899" i="23"/>
  <c r="N1895" i="23"/>
  <c r="N1891" i="23"/>
  <c r="N1887" i="23"/>
  <c r="N1883" i="23"/>
  <c r="N1879" i="23"/>
  <c r="N1875" i="23"/>
  <c r="N1871" i="23"/>
  <c r="N1867" i="23"/>
  <c r="N1863" i="23"/>
  <c r="N1859" i="23"/>
  <c r="N1855" i="23"/>
  <c r="N1851" i="23"/>
  <c r="N1847" i="23"/>
  <c r="N1843" i="23"/>
  <c r="N1839" i="23"/>
  <c r="N1835" i="23"/>
  <c r="N1831" i="23"/>
  <c r="N1827" i="23"/>
  <c r="N1823" i="23"/>
  <c r="N1819" i="23"/>
  <c r="N1815" i="23"/>
  <c r="N1811" i="23"/>
  <c r="N1807" i="23"/>
  <c r="N1803" i="23"/>
  <c r="N1799" i="23"/>
  <c r="N1795" i="23"/>
  <c r="N1791" i="23"/>
  <c r="N1787" i="23"/>
  <c r="N1783" i="23"/>
  <c r="N1779" i="23"/>
  <c r="N3414" i="23"/>
  <c r="N3398" i="23"/>
  <c r="N3382" i="23"/>
  <c r="N3366" i="23"/>
  <c r="N3350" i="23"/>
  <c r="N3334" i="23"/>
  <c r="N3318" i="23"/>
  <c r="N3302" i="23"/>
  <c r="N3286" i="23"/>
  <c r="N3270" i="23"/>
  <c r="N3254" i="23"/>
  <c r="N3238" i="23"/>
  <c r="N3222" i="23"/>
  <c r="N3206" i="23"/>
  <c r="N3190" i="23"/>
  <c r="N3174" i="23"/>
  <c r="N3158" i="23"/>
  <c r="N3142" i="23"/>
  <c r="N3126" i="23"/>
  <c r="N3110" i="23"/>
  <c r="N3094" i="23"/>
  <c r="N3078" i="23"/>
  <c r="N3062" i="23"/>
  <c r="N3046" i="23"/>
  <c r="N3030" i="23"/>
  <c r="N3014" i="23"/>
  <c r="N2998" i="23"/>
  <c r="N2982" i="23"/>
  <c r="N2966" i="23"/>
  <c r="N2950" i="23"/>
  <c r="N2934" i="23"/>
  <c r="N2923" i="23"/>
  <c r="N2916" i="23"/>
  <c r="N2911" i="23"/>
  <c r="N2906" i="23"/>
  <c r="N2900" i="23"/>
  <c r="N2895" i="23"/>
  <c r="N2890" i="23"/>
  <c r="N2886" i="23"/>
  <c r="N2882" i="23"/>
  <c r="N2878" i="23"/>
  <c r="N2874" i="23"/>
  <c r="N2870" i="23"/>
  <c r="N2866" i="23"/>
  <c r="N2862" i="23"/>
  <c r="N2858" i="23"/>
  <c r="N2854" i="23"/>
  <c r="N2850" i="23"/>
  <c r="N2846" i="23"/>
  <c r="N2842" i="23"/>
  <c r="N2838" i="23"/>
  <c r="N2834" i="23"/>
  <c r="N2830" i="23"/>
  <c r="N2826" i="23"/>
  <c r="N2822" i="23"/>
  <c r="N2818" i="23"/>
  <c r="N2814" i="23"/>
  <c r="N2810" i="23"/>
  <c r="N2806" i="23"/>
  <c r="N2802" i="23"/>
  <c r="N2798" i="23"/>
  <c r="N2794" i="23"/>
  <c r="N2790" i="23"/>
  <c r="N2786" i="23"/>
  <c r="N2782" i="23"/>
  <c r="N2778" i="23"/>
  <c r="N2774" i="23"/>
  <c r="N2770" i="23"/>
  <c r="N2766" i="23"/>
  <c r="N2762" i="23"/>
  <c r="N2758" i="23"/>
  <c r="N2754" i="23"/>
  <c r="N2750" i="23"/>
  <c r="N2746" i="23"/>
  <c r="N2742" i="23"/>
  <c r="N2738" i="23"/>
  <c r="N2734" i="23"/>
  <c r="N2730" i="23"/>
  <c r="N2726" i="23"/>
  <c r="N2722" i="23"/>
  <c r="N2718" i="23"/>
  <c r="N2714" i="23"/>
  <c r="N2710" i="23"/>
  <c r="N2706" i="23"/>
  <c r="N2702" i="23"/>
  <c r="N2698" i="23"/>
  <c r="N2694" i="23"/>
  <c r="N2690" i="23"/>
  <c r="N2686" i="23"/>
  <c r="N2682" i="23"/>
  <c r="N2678" i="23"/>
  <c r="N2674" i="23"/>
  <c r="N2670" i="23"/>
  <c r="N2666" i="23"/>
  <c r="N2662" i="23"/>
  <c r="N2658" i="23"/>
  <c r="N2654" i="23"/>
  <c r="N2650" i="23"/>
  <c r="N2646" i="23"/>
  <c r="N2642" i="23"/>
  <c r="N2638" i="23"/>
  <c r="N2634" i="23"/>
  <c r="N2630" i="23"/>
  <c r="N2626" i="23"/>
  <c r="N2622" i="23"/>
  <c r="N2618" i="23"/>
  <c r="N2614" i="23"/>
  <c r="N2610" i="23"/>
  <c r="N2606" i="23"/>
  <c r="N2602" i="23"/>
  <c r="N2598" i="23"/>
  <c r="N2594" i="23"/>
  <c r="N2590" i="23"/>
  <c r="N2586" i="23"/>
  <c r="N2582" i="23"/>
  <c r="N2578" i="23"/>
  <c r="N2574" i="23"/>
  <c r="N2570" i="23"/>
  <c r="N2566" i="23"/>
  <c r="N2562" i="23"/>
  <c r="N2558" i="23"/>
  <c r="N2554" i="23"/>
  <c r="N2550" i="23"/>
  <c r="N2546" i="23"/>
  <c r="N2542" i="23"/>
  <c r="N2538" i="23"/>
  <c r="N2534" i="23"/>
  <c r="N2530" i="23"/>
  <c r="N2526" i="23"/>
  <c r="N2522" i="23"/>
  <c r="N2518" i="23"/>
  <c r="N2514" i="23"/>
  <c r="N2510" i="23"/>
  <c r="N2506" i="23"/>
  <c r="N2502" i="23"/>
  <c r="N2498" i="23"/>
  <c r="N2494" i="23"/>
  <c r="N2490" i="23"/>
  <c r="N2486" i="23"/>
  <c r="N2482" i="23"/>
  <c r="N2478" i="23"/>
  <c r="N2474" i="23"/>
  <c r="N2470" i="23"/>
  <c r="N2466" i="23"/>
  <c r="N2462" i="23"/>
  <c r="N2458" i="23"/>
  <c r="N2454" i="23"/>
  <c r="N2450" i="23"/>
  <c r="N2446" i="23"/>
  <c r="N2442" i="23"/>
  <c r="N2438" i="23"/>
  <c r="N2434" i="23"/>
  <c r="N2430" i="23"/>
  <c r="N2426" i="23"/>
  <c r="N2422" i="23"/>
  <c r="N2418" i="23"/>
  <c r="N2414" i="23"/>
  <c r="N2410" i="23"/>
  <c r="N2406" i="23"/>
  <c r="N2402" i="23"/>
  <c r="N2398" i="23"/>
  <c r="N2394" i="23"/>
  <c r="N2390" i="23"/>
  <c r="N2386" i="23"/>
  <c r="N2382" i="23"/>
  <c r="N2378" i="23"/>
  <c r="N2374" i="23"/>
  <c r="N2370" i="23"/>
  <c r="N2366" i="23"/>
  <c r="N2362" i="23"/>
  <c r="N2358" i="23"/>
  <c r="N2354" i="23"/>
  <c r="N2350" i="23"/>
  <c r="N2346" i="23"/>
  <c r="N2342" i="23"/>
  <c r="N2338" i="23"/>
  <c r="N2334" i="23"/>
  <c r="N2330" i="23"/>
  <c r="N2326" i="23"/>
  <c r="N2322" i="23"/>
  <c r="N2318" i="23"/>
  <c r="N2314" i="23"/>
  <c r="N2310" i="23"/>
  <c r="N2306" i="23"/>
  <c r="N2302" i="23"/>
  <c r="N2298" i="23"/>
  <c r="N2294" i="23"/>
  <c r="N2290" i="23"/>
  <c r="N2286" i="23"/>
  <c r="N2282" i="23"/>
  <c r="N2278" i="23"/>
  <c r="N2274" i="23"/>
  <c r="N2270" i="23"/>
  <c r="N2266" i="23"/>
  <c r="N2262" i="23"/>
  <c r="N2258" i="23"/>
  <c r="N2254" i="23"/>
  <c r="N2250" i="23"/>
  <c r="N2246" i="23"/>
  <c r="N2242" i="23"/>
  <c r="N2238" i="23"/>
  <c r="N2234" i="23"/>
  <c r="N2230" i="23"/>
  <c r="N2226" i="23"/>
  <c r="N2222" i="23"/>
  <c r="N2218" i="23"/>
  <c r="N2214" i="23"/>
  <c r="N2210" i="23"/>
  <c r="N2206" i="23"/>
  <c r="N2202" i="23"/>
  <c r="N2198" i="23"/>
  <c r="N2194" i="23"/>
  <c r="N2190" i="23"/>
  <c r="N2186" i="23"/>
  <c r="N2182" i="23"/>
  <c r="N2178" i="23"/>
  <c r="N2174" i="23"/>
  <c r="N2170" i="23"/>
  <c r="N2166" i="23"/>
  <c r="N2162" i="23"/>
  <c r="N2158" i="23"/>
  <c r="N2154" i="23"/>
  <c r="N2150" i="23"/>
  <c r="N2146" i="23"/>
  <c r="N2142" i="23"/>
  <c r="N2138" i="23"/>
  <c r="N2134" i="23"/>
  <c r="N2130" i="23"/>
  <c r="N2126" i="23"/>
  <c r="N2122" i="23"/>
  <c r="N2118" i="23"/>
  <c r="N2114" i="23"/>
  <c r="N2110" i="23"/>
  <c r="N2106" i="23"/>
  <c r="N2102" i="23"/>
  <c r="N2098" i="23"/>
  <c r="N2094" i="23"/>
  <c r="N2090" i="23"/>
  <c r="N2086" i="23"/>
  <c r="N2082" i="23"/>
  <c r="N2078" i="23"/>
  <c r="N2074" i="23"/>
  <c r="N2070" i="23"/>
  <c r="N2066" i="23"/>
  <c r="N2062" i="23"/>
  <c r="N2058" i="23"/>
  <c r="N2054" i="23"/>
  <c r="N2050" i="23"/>
  <c r="N2046" i="23"/>
  <c r="N2042" i="23"/>
  <c r="N2038" i="23"/>
  <c r="N2034" i="23"/>
  <c r="N2030" i="23"/>
  <c r="N2026" i="23"/>
  <c r="N2022" i="23"/>
  <c r="N2018" i="23"/>
  <c r="N2014" i="23"/>
  <c r="N2010" i="23"/>
  <c r="N2006" i="23"/>
  <c r="N2002" i="23"/>
  <c r="N1998" i="23"/>
  <c r="N1994" i="23"/>
  <c r="N1990" i="23"/>
  <c r="N1986" i="23"/>
  <c r="N1982" i="23"/>
  <c r="N1978" i="23"/>
  <c r="N1974" i="23"/>
  <c r="N1970" i="23"/>
  <c r="N1966" i="23"/>
  <c r="N1962" i="23"/>
  <c r="N1958" i="23"/>
  <c r="N1954" i="23"/>
  <c r="N1950" i="23"/>
  <c r="N1946" i="23"/>
  <c r="N1942" i="23"/>
  <c r="N1938" i="23"/>
  <c r="N1934" i="23"/>
  <c r="N1930" i="23"/>
  <c r="N1926" i="23"/>
  <c r="N1922" i="23"/>
  <c r="N1918" i="23"/>
  <c r="N1914" i="23"/>
  <c r="N1910" i="23"/>
  <c r="N1906" i="23"/>
  <c r="N1902" i="23"/>
  <c r="N1898" i="23"/>
  <c r="N1894" i="23"/>
  <c r="N1890" i="23"/>
  <c r="N1886" i="23"/>
  <c r="N1882" i="23"/>
  <c r="N1878" i="23"/>
  <c r="N1874" i="23"/>
  <c r="N1870" i="23"/>
  <c r="N1866" i="23"/>
  <c r="N1862" i="23"/>
  <c r="N1858" i="23"/>
  <c r="N1854" i="23"/>
  <c r="N1850" i="23"/>
  <c r="N1846" i="23"/>
  <c r="N1842" i="23"/>
  <c r="N1838" i="23"/>
  <c r="N1834" i="23"/>
  <c r="N1830" i="23"/>
  <c r="N1826" i="23"/>
  <c r="N1822" i="23"/>
  <c r="N1818" i="23"/>
  <c r="N1814" i="23"/>
  <c r="N1810" i="23"/>
  <c r="N1806" i="23"/>
  <c r="N1802" i="23"/>
  <c r="N1798" i="23"/>
  <c r="N1794" i="23"/>
  <c r="N1790" i="23"/>
  <c r="N1786" i="23"/>
  <c r="N1782" i="23"/>
  <c r="N1778" i="23"/>
  <c r="N1774" i="23"/>
  <c r="N1770" i="23"/>
  <c r="N1766" i="23"/>
  <c r="N1762" i="23"/>
  <c r="N1758" i="23"/>
  <c r="N1754" i="23"/>
  <c r="N1750" i="23"/>
  <c r="N1746" i="23"/>
  <c r="N1742" i="23"/>
  <c r="N1738" i="23"/>
  <c r="N1734" i="23"/>
  <c r="N1730" i="23"/>
  <c r="N1726" i="23"/>
  <c r="N1722" i="23"/>
  <c r="N1718" i="23"/>
  <c r="N1714" i="23"/>
  <c r="N1710" i="23"/>
  <c r="N1706" i="23"/>
  <c r="N1702" i="23"/>
  <c r="N1698" i="23"/>
  <c r="N1694" i="23"/>
  <c r="N1690" i="23"/>
  <c r="N1686" i="23"/>
  <c r="N1682" i="23"/>
  <c r="N1678" i="23"/>
  <c r="N1793" i="23"/>
  <c r="N1777" i="23"/>
  <c r="N1769" i="23"/>
  <c r="N1761" i="23"/>
  <c r="N1753" i="23"/>
  <c r="N1745" i="23"/>
  <c r="N1737" i="23"/>
  <c r="N1729" i="23"/>
  <c r="N1721" i="23"/>
  <c r="N1713" i="23"/>
  <c r="N1705" i="23"/>
  <c r="N1697" i="23"/>
  <c r="N1689" i="23"/>
  <c r="N1681" i="23"/>
  <c r="N1674" i="23"/>
  <c r="N1670" i="23"/>
  <c r="N1666" i="23"/>
  <c r="N1662" i="23"/>
  <c r="N1658" i="23"/>
  <c r="N1654" i="23"/>
  <c r="N1650" i="23"/>
  <c r="N1646" i="23"/>
  <c r="N1642" i="23"/>
  <c r="N1638" i="23"/>
  <c r="N1634" i="23"/>
  <c r="N1630" i="23"/>
  <c r="N1626" i="23"/>
  <c r="N1622" i="23"/>
  <c r="N1618" i="23"/>
  <c r="N1614" i="23"/>
  <c r="N1610" i="23"/>
  <c r="N1606" i="23"/>
  <c r="N1602" i="23"/>
  <c r="N1598" i="23"/>
  <c r="N1594" i="23"/>
  <c r="N1590" i="23"/>
  <c r="N1586" i="23"/>
  <c r="N1582" i="23"/>
  <c r="N1578" i="23"/>
  <c r="N1574" i="23"/>
  <c r="N1570" i="23"/>
  <c r="N1566" i="23"/>
  <c r="N1562" i="23"/>
  <c r="N1558" i="23"/>
  <c r="N1554" i="23"/>
  <c r="N1550" i="23"/>
  <c r="N1546" i="23"/>
  <c r="N1542" i="23"/>
  <c r="N1538" i="23"/>
  <c r="N1534" i="23"/>
  <c r="N1530" i="23"/>
  <c r="N1526" i="23"/>
  <c r="N1522" i="23"/>
  <c r="N1518" i="23"/>
  <c r="N1514" i="23"/>
  <c r="N1510" i="23"/>
  <c r="N1506" i="23"/>
  <c r="N1502" i="23"/>
  <c r="N1498" i="23"/>
  <c r="N1494" i="23"/>
  <c r="N1490" i="23"/>
  <c r="N1486" i="23"/>
  <c r="N1482" i="23"/>
  <c r="N1478" i="23"/>
  <c r="N1474" i="23"/>
  <c r="N1470" i="23"/>
  <c r="N1466" i="23"/>
  <c r="N1462" i="23"/>
  <c r="N1458" i="23"/>
  <c r="N1454" i="23"/>
  <c r="N1450" i="23"/>
  <c r="N1446" i="23"/>
  <c r="N1406" i="23"/>
  <c r="N1402" i="23"/>
  <c r="N1398" i="23"/>
  <c r="N1394" i="23"/>
  <c r="N1390" i="23"/>
  <c r="N1386" i="23"/>
  <c r="N1382" i="23"/>
  <c r="N1378" i="23"/>
  <c r="N1374" i="23"/>
  <c r="N1370" i="23"/>
  <c r="N1366" i="23"/>
  <c r="N1362" i="23"/>
  <c r="N1358" i="23"/>
  <c r="N1354" i="23"/>
  <c r="N1350" i="23"/>
  <c r="N1346" i="23"/>
  <c r="N1342" i="23"/>
  <c r="N1338" i="23"/>
  <c r="N1334" i="23"/>
  <c r="N1330" i="23"/>
  <c r="N1326" i="23"/>
  <c r="N1322" i="23"/>
  <c r="N1318" i="23"/>
  <c r="N1314" i="23"/>
  <c r="N1310" i="23"/>
  <c r="N1306" i="23"/>
  <c r="N1302" i="23"/>
  <c r="N1298" i="23"/>
  <c r="N1294" i="23"/>
  <c r="N1290" i="23"/>
  <c r="N1286" i="23"/>
  <c r="N1282" i="23"/>
  <c r="N1278" i="23"/>
  <c r="N1274" i="23"/>
  <c r="N1270" i="23"/>
  <c r="N1266" i="23"/>
  <c r="N1262" i="23"/>
  <c r="N1258" i="23"/>
  <c r="N1254" i="23"/>
  <c r="N1250" i="23"/>
  <c r="N1246" i="23"/>
  <c r="N1242" i="23"/>
  <c r="N1238" i="23"/>
  <c r="N1234" i="23"/>
  <c r="N1230" i="23"/>
  <c r="N1226" i="23"/>
  <c r="N1222" i="23"/>
  <c r="N1218" i="23"/>
  <c r="N1214" i="23"/>
  <c r="N1210" i="23"/>
  <c r="N1206" i="23"/>
  <c r="N1202" i="23"/>
  <c r="N1198" i="23"/>
  <c r="N1194" i="23"/>
  <c r="N1190" i="23"/>
  <c r="N1186" i="23"/>
  <c r="N1182" i="23"/>
  <c r="N1178" i="23"/>
  <c r="N1174" i="23"/>
  <c r="N1170" i="23"/>
  <c r="N1166" i="23"/>
  <c r="N1162" i="23"/>
  <c r="N1158" i="23"/>
  <c r="N1154" i="23"/>
  <c r="N1150" i="23"/>
  <c r="N1146" i="23"/>
  <c r="N1142" i="23"/>
  <c r="N1138" i="23"/>
  <c r="N1134" i="23"/>
  <c r="N1130" i="23"/>
  <c r="N1126" i="23"/>
  <c r="N1122" i="23"/>
  <c r="N1118" i="23"/>
  <c r="N1114" i="23"/>
  <c r="N1110" i="23"/>
  <c r="N1106" i="23"/>
  <c r="N1102" i="23"/>
  <c r="N1098" i="23"/>
  <c r="N1094" i="23"/>
  <c r="N1090" i="23"/>
  <c r="N1086" i="23"/>
  <c r="N1082" i="23"/>
  <c r="N1078" i="23"/>
  <c r="N1074" i="23"/>
  <c r="N1070" i="23"/>
  <c r="N1066" i="23"/>
  <c r="N1062" i="23"/>
  <c r="N1058" i="23"/>
  <c r="N1054" i="23"/>
  <c r="N1050" i="23"/>
  <c r="N1046" i="23"/>
  <c r="N1042" i="23"/>
  <c r="N1038" i="23"/>
  <c r="N1034" i="23"/>
  <c r="N1030" i="23"/>
  <c r="N1026" i="23"/>
  <c r="N1022" i="23"/>
  <c r="N1018" i="23"/>
  <c r="N1014" i="23"/>
  <c r="N1010" i="23"/>
  <c r="N1006" i="23"/>
  <c r="N1002" i="23"/>
  <c r="N998" i="23"/>
  <c r="N994" i="23"/>
  <c r="N990" i="23"/>
  <c r="N986" i="23"/>
  <c r="N982" i="23"/>
  <c r="N978" i="23"/>
  <c r="N974" i="23"/>
  <c r="N970" i="23"/>
  <c r="N966" i="23"/>
  <c r="N962" i="23"/>
  <c r="N958" i="23"/>
  <c r="N954" i="23"/>
  <c r="N950" i="23"/>
  <c r="N946" i="23"/>
  <c r="N942" i="23"/>
  <c r="N938" i="23"/>
  <c r="N934" i="23"/>
  <c r="N930" i="23"/>
  <c r="N926" i="23"/>
  <c r="N922" i="23"/>
  <c r="N918" i="23"/>
  <c r="N914" i="23"/>
  <c r="N910" i="23"/>
  <c r="N906" i="23"/>
  <c r="N902" i="23"/>
  <c r="N898" i="23"/>
  <c r="N894" i="23"/>
  <c r="N890" i="23"/>
  <c r="N886" i="23"/>
  <c r="N882" i="23"/>
  <c r="N878" i="23"/>
  <c r="N874" i="23"/>
  <c r="N870" i="23"/>
  <c r="N866" i="23"/>
  <c r="N862" i="23"/>
  <c r="N858" i="23"/>
  <c r="N810" i="23"/>
  <c r="N806" i="23"/>
  <c r="N802" i="23"/>
  <c r="N774" i="23"/>
  <c r="N770" i="23"/>
  <c r="N746" i="23"/>
  <c r="N742" i="23"/>
  <c r="N690" i="23"/>
  <c r="N686" i="23"/>
  <c r="N682" i="23"/>
  <c r="N658" i="23"/>
  <c r="N654" i="23"/>
  <c r="N650" i="23"/>
  <c r="N646" i="23"/>
  <c r="N642" i="23"/>
  <c r="N638" i="23"/>
  <c r="N634" i="23"/>
  <c r="N630" i="23"/>
  <c r="N626" i="23"/>
  <c r="N622" i="23"/>
  <c r="N618" i="23"/>
  <c r="N614" i="23"/>
  <c r="N610" i="23"/>
  <c r="N606" i="23"/>
  <c r="N602" i="23"/>
  <c r="N598" i="23"/>
  <c r="N594" i="23"/>
  <c r="N590" i="23"/>
  <c r="N586" i="23"/>
  <c r="N582" i="23"/>
  <c r="N578" i="23"/>
  <c r="N574" i="23"/>
  <c r="N570" i="23"/>
  <c r="N566" i="23"/>
  <c r="N562" i="23"/>
  <c r="N558" i="23"/>
  <c r="N554" i="23"/>
  <c r="N550" i="23"/>
  <c r="N546" i="23"/>
  <c r="N542" i="23"/>
  <c r="N538" i="23"/>
  <c r="N534" i="23"/>
  <c r="N530" i="23"/>
  <c r="N526" i="23"/>
  <c r="N522" i="23"/>
  <c r="N518" i="23"/>
  <c r="N514" i="23"/>
  <c r="N510" i="23"/>
  <c r="N506" i="23"/>
  <c r="N502" i="23"/>
  <c r="N498" i="23"/>
  <c r="N494" i="23"/>
  <c r="N490" i="23"/>
  <c r="N486" i="23"/>
  <c r="N482" i="23"/>
  <c r="N478" i="23"/>
  <c r="N474" i="23"/>
  <c r="N470" i="23"/>
  <c r="N466" i="23"/>
  <c r="N462" i="23"/>
  <c r="N458" i="23"/>
  <c r="N454" i="23"/>
  <c r="N450" i="23"/>
  <c r="N446" i="23"/>
  <c r="N442" i="23"/>
  <c r="N438" i="23"/>
  <c r="N434" i="23"/>
  <c r="N430" i="23"/>
  <c r="N426" i="23"/>
  <c r="N422" i="23"/>
  <c r="N418" i="23"/>
  <c r="N414" i="23"/>
  <c r="N410" i="23"/>
  <c r="N406" i="23"/>
  <c r="N402" i="23"/>
  <c r="N398" i="23"/>
  <c r="N394" i="23"/>
  <c r="N390" i="23"/>
  <c r="N386" i="23"/>
  <c r="N382" i="23"/>
  <c r="N378" i="23"/>
  <c r="N374" i="23"/>
  <c r="N1789" i="23"/>
  <c r="N1775" i="23"/>
  <c r="N1767" i="23"/>
  <c r="N1759" i="23"/>
  <c r="N1751" i="23"/>
  <c r="N1743" i="23"/>
  <c r="N1735" i="23"/>
  <c r="N1727" i="23"/>
  <c r="N1719" i="23"/>
  <c r="N1711" i="23"/>
  <c r="N1703" i="23"/>
  <c r="N1695" i="23"/>
  <c r="N1687" i="23"/>
  <c r="N1679" i="23"/>
  <c r="N1673" i="23"/>
  <c r="N1669" i="23"/>
  <c r="N1665" i="23"/>
  <c r="N1661" i="23"/>
  <c r="N1657" i="23"/>
  <c r="N1653" i="23"/>
  <c r="N1649" i="23"/>
  <c r="N1645" i="23"/>
  <c r="N1641" i="23"/>
  <c r="N1637" i="23"/>
  <c r="N1633" i="23"/>
  <c r="N1629" i="23"/>
  <c r="N1625" i="23"/>
  <c r="N1621" i="23"/>
  <c r="N1617" i="23"/>
  <c r="N1613" i="23"/>
  <c r="N1609" i="23"/>
  <c r="N1605" i="23"/>
  <c r="N1601" i="23"/>
  <c r="N1597" i="23"/>
  <c r="N1593" i="23"/>
  <c r="N1589" i="23"/>
  <c r="N1585" i="23"/>
  <c r="N1581" i="23"/>
  <c r="N1577" i="23"/>
  <c r="N1573" i="23"/>
  <c r="N1569" i="23"/>
  <c r="N1565" i="23"/>
  <c r="N1561" i="23"/>
  <c r="N1557" i="23"/>
  <c r="N1553" i="23"/>
  <c r="N1549" i="23"/>
  <c r="N1545" i="23"/>
  <c r="N1541" i="23"/>
  <c r="N1537" i="23"/>
  <c r="N1533" i="23"/>
  <c r="N1529" i="23"/>
  <c r="N1525" i="23"/>
  <c r="N1521" i="23"/>
  <c r="N1517" i="23"/>
  <c r="N1513" i="23"/>
  <c r="N1509" i="23"/>
  <c r="N1505" i="23"/>
  <c r="N1501" i="23"/>
  <c r="N1497" i="23"/>
  <c r="N1493" i="23"/>
  <c r="N1489" i="23"/>
  <c r="N1485" i="23"/>
  <c r="N1481" i="23"/>
  <c r="N1477" i="23"/>
  <c r="N1473" i="23"/>
  <c r="N1469" i="23"/>
  <c r="N1465" i="23"/>
  <c r="N1461" i="23"/>
  <c r="N1457" i="23"/>
  <c r="N1453" i="23"/>
  <c r="N1449" i="23"/>
  <c r="N1445" i="23"/>
  <c r="N1409" i="23"/>
  <c r="N1405" i="23"/>
  <c r="N1401" i="23"/>
  <c r="N1397" i="23"/>
  <c r="N1393" i="23"/>
  <c r="N1389" i="23"/>
  <c r="N1385" i="23"/>
  <c r="N1381" i="23"/>
  <c r="N1377" i="23"/>
  <c r="N1373" i="23"/>
  <c r="N1369" i="23"/>
  <c r="N1365" i="23"/>
  <c r="N1361" i="23"/>
  <c r="N1357" i="23"/>
  <c r="N1353" i="23"/>
  <c r="N1349" i="23"/>
  <c r="N1345" i="23"/>
  <c r="N1341" i="23"/>
  <c r="N1337" i="23"/>
  <c r="N1333" i="23"/>
  <c r="N1329" i="23"/>
  <c r="N1325" i="23"/>
  <c r="N1321" i="23"/>
  <c r="N1317" i="23"/>
  <c r="N1313" i="23"/>
  <c r="N1309" i="23"/>
  <c r="N1305" i="23"/>
  <c r="N1301" i="23"/>
  <c r="N1297" i="23"/>
  <c r="N1293" i="23"/>
  <c r="N1289" i="23"/>
  <c r="N1285" i="23"/>
  <c r="N1281" i="23"/>
  <c r="N1277" i="23"/>
  <c r="N1273" i="23"/>
  <c r="N1269" i="23"/>
  <c r="N1265" i="23"/>
  <c r="N1261" i="23"/>
  <c r="N1257" i="23"/>
  <c r="N1253" i="23"/>
  <c r="N1249" i="23"/>
  <c r="N1245" i="23"/>
  <c r="N1241" i="23"/>
  <c r="N1237" i="23"/>
  <c r="N1233" i="23"/>
  <c r="N1229" i="23"/>
  <c r="N1225" i="23"/>
  <c r="N1221" i="23"/>
  <c r="N1217" i="23"/>
  <c r="N1213" i="23"/>
  <c r="N1209" i="23"/>
  <c r="N1205" i="23"/>
  <c r="N1201" i="23"/>
  <c r="N1197" i="23"/>
  <c r="N1193" i="23"/>
  <c r="N1189" i="23"/>
  <c r="N1185" i="23"/>
  <c r="N1181" i="23"/>
  <c r="N1177" i="23"/>
  <c r="N1173" i="23"/>
  <c r="N1169" i="23"/>
  <c r="N1165" i="23"/>
  <c r="N1161" i="23"/>
  <c r="N1157" i="23"/>
  <c r="N1153" i="23"/>
  <c r="N1149" i="23"/>
  <c r="N1145" i="23"/>
  <c r="N1141" i="23"/>
  <c r="N1137" i="23"/>
  <c r="N1133" i="23"/>
  <c r="N1129" i="23"/>
  <c r="N1125" i="23"/>
  <c r="N1121" i="23"/>
  <c r="N1117" i="23"/>
  <c r="N1113" i="23"/>
  <c r="N1109" i="23"/>
  <c r="N1105" i="23"/>
  <c r="N1101" i="23"/>
  <c r="N1097" i="23"/>
  <c r="N1093" i="23"/>
  <c r="N1089" i="23"/>
  <c r="N1085" i="23"/>
  <c r="N1081" i="23"/>
  <c r="N1077" i="23"/>
  <c r="N1073" i="23"/>
  <c r="N1069" i="23"/>
  <c r="N1065" i="23"/>
  <c r="N1061" i="23"/>
  <c r="N1057" i="23"/>
  <c r="N1053" i="23"/>
  <c r="N1049" i="23"/>
  <c r="N1045" i="23"/>
  <c r="N1041" i="23"/>
  <c r="N1037" i="23"/>
  <c r="N1033" i="23"/>
  <c r="N1029" i="23"/>
  <c r="N1025" i="23"/>
  <c r="N1021" i="23"/>
  <c r="N1017" i="23"/>
  <c r="N1013" i="23"/>
  <c r="N1009" i="23"/>
  <c r="N1005" i="23"/>
  <c r="N1001" i="23"/>
  <c r="N997" i="23"/>
  <c r="N993" i="23"/>
  <c r="N989" i="23"/>
  <c r="N985" i="23"/>
  <c r="N981" i="23"/>
  <c r="N977" i="23"/>
  <c r="N973" i="23"/>
  <c r="N969" i="23"/>
  <c r="N965" i="23"/>
  <c r="N961" i="23"/>
  <c r="N957" i="23"/>
  <c r="N953" i="23"/>
  <c r="N949" i="23"/>
  <c r="N945" i="23"/>
  <c r="N941" i="23"/>
  <c r="N937" i="23"/>
  <c r="N933" i="23"/>
  <c r="N929" i="23"/>
  <c r="N925" i="23"/>
  <c r="N921" i="23"/>
  <c r="N917" i="23"/>
  <c r="N913" i="23"/>
  <c r="N909" i="23"/>
  <c r="N905" i="23"/>
  <c r="N901" i="23"/>
  <c r="N897" i="23"/>
  <c r="N893" i="23"/>
  <c r="N889" i="23"/>
  <c r="N885" i="23"/>
  <c r="N881" i="23"/>
  <c r="N877" i="23"/>
  <c r="N873" i="23"/>
  <c r="N869" i="23"/>
  <c r="N865" i="23"/>
  <c r="N861" i="23"/>
  <c r="N857" i="23"/>
  <c r="N809" i="23"/>
  <c r="N805" i="23"/>
  <c r="N777" i="23"/>
  <c r="N773" i="23"/>
  <c r="N769" i="23"/>
  <c r="N749" i="23"/>
  <c r="N745" i="23"/>
  <c r="N741" i="23"/>
  <c r="N689" i="23"/>
  <c r="N685" i="23"/>
  <c r="N661" i="23"/>
  <c r="N657" i="23"/>
  <c r="N653" i="23"/>
  <c r="N649" i="23"/>
  <c r="N645" i="23"/>
  <c r="N641" i="23"/>
  <c r="N637" i="23"/>
  <c r="N633" i="23"/>
  <c r="N629" i="23"/>
  <c r="N625" i="23"/>
  <c r="N621" i="23"/>
  <c r="N617" i="23"/>
  <c r="N613" i="23"/>
  <c r="N609" i="23"/>
  <c r="N605" i="23"/>
  <c r="N601" i="23"/>
  <c r="N597" i="23"/>
  <c r="N593" i="23"/>
  <c r="N589" i="23"/>
  <c r="N585" i="23"/>
  <c r="N581" i="23"/>
  <c r="N577" i="23"/>
  <c r="N573" i="23"/>
  <c r="N569" i="23"/>
  <c r="N565" i="23"/>
  <c r="N561" i="23"/>
  <c r="N557" i="23"/>
  <c r="N553" i="23"/>
  <c r="N549" i="23"/>
  <c r="N545" i="23"/>
  <c r="N541" i="23"/>
  <c r="N537" i="23"/>
  <c r="N533" i="23"/>
  <c r="N529" i="23"/>
  <c r="N525" i="23"/>
  <c r="N521" i="23"/>
  <c r="N517" i="23"/>
  <c r="N513" i="23"/>
  <c r="N509" i="23"/>
  <c r="N505" i="23"/>
  <c r="N501" i="23"/>
  <c r="N497" i="23"/>
  <c r="N493" i="23"/>
  <c r="N489" i="23"/>
  <c r="N485" i="23"/>
  <c r="N481" i="23"/>
  <c r="N477" i="23"/>
  <c r="N473" i="23"/>
  <c r="N469" i="23"/>
  <c r="N465" i="23"/>
  <c r="N461" i="23"/>
  <c r="N457" i="23"/>
  <c r="N453" i="23"/>
  <c r="N449" i="23"/>
  <c r="N445" i="23"/>
  <c r="N441" i="23"/>
  <c r="N437" i="23"/>
  <c r="N433" i="23"/>
  <c r="N429" i="23"/>
  <c r="N425" i="23"/>
  <c r="N421" i="23"/>
  <c r="N417" i="23"/>
  <c r="N413" i="23"/>
  <c r="N409" i="23"/>
  <c r="N405" i="23"/>
  <c r="N401" i="23"/>
  <c r="N397" i="23"/>
  <c r="N393" i="23"/>
  <c r="N389" i="23"/>
  <c r="N385" i="23"/>
  <c r="N381" i="23"/>
  <c r="N377" i="23"/>
  <c r="N373" i="23"/>
  <c r="N369" i="23"/>
  <c r="N365" i="23"/>
  <c r="N1785" i="23"/>
  <c r="N1773" i="23"/>
  <c r="N1765" i="23"/>
  <c r="N1757" i="23"/>
  <c r="N1749" i="23"/>
  <c r="N1741" i="23"/>
  <c r="N1733" i="23"/>
  <c r="N1725" i="23"/>
  <c r="N1717" i="23"/>
  <c r="N1709" i="23"/>
  <c r="N1701" i="23"/>
  <c r="N1693" i="23"/>
  <c r="N1685" i="23"/>
  <c r="N1677" i="23"/>
  <c r="N1672" i="23"/>
  <c r="N1668" i="23"/>
  <c r="N1664" i="23"/>
  <c r="N1660" i="23"/>
  <c r="N1656" i="23"/>
  <c r="N1652" i="23"/>
  <c r="N1648" i="23"/>
  <c r="N1644" i="23"/>
  <c r="N1640" i="23"/>
  <c r="N1636" i="23"/>
  <c r="N1632" i="23"/>
  <c r="N1628" i="23"/>
  <c r="N1624" i="23"/>
  <c r="N1620" i="23"/>
  <c r="N1616" i="23"/>
  <c r="N1612" i="23"/>
  <c r="N1608" i="23"/>
  <c r="N1604" i="23"/>
  <c r="N1600" i="23"/>
  <c r="N1596" i="23"/>
  <c r="N1592" i="23"/>
  <c r="N1588" i="23"/>
  <c r="N1584" i="23"/>
  <c r="N1580" i="23"/>
  <c r="N1576" i="23"/>
  <c r="N1572" i="23"/>
  <c r="N1568" i="23"/>
  <c r="N1564" i="23"/>
  <c r="N1560" i="23"/>
  <c r="N1556" i="23"/>
  <c r="N1552" i="23"/>
  <c r="N1548" i="23"/>
  <c r="N1544" i="23"/>
  <c r="N1540" i="23"/>
  <c r="N1536" i="23"/>
  <c r="N1532" i="23"/>
  <c r="N1528" i="23"/>
  <c r="N1524" i="23"/>
  <c r="N1520" i="23"/>
  <c r="N1516" i="23"/>
  <c r="N1512" i="23"/>
  <c r="N1508" i="23"/>
  <c r="N1504" i="23"/>
  <c r="N1500" i="23"/>
  <c r="N1496" i="23"/>
  <c r="N1492" i="23"/>
  <c r="N1488" i="23"/>
  <c r="N1484" i="23"/>
  <c r="N1480" i="23"/>
  <c r="N1476" i="23"/>
  <c r="N1472" i="23"/>
  <c r="N1468" i="23"/>
  <c r="N1464" i="23"/>
  <c r="N1460" i="23"/>
  <c r="N1456" i="23"/>
  <c r="N1452" i="23"/>
  <c r="N1448" i="23"/>
  <c r="N1444" i="23"/>
  <c r="N1408" i="23"/>
  <c r="N1404" i="23"/>
  <c r="N1400" i="23"/>
  <c r="N1396" i="23"/>
  <c r="N1392" i="23"/>
  <c r="N1388" i="23"/>
  <c r="N1384" i="23"/>
  <c r="N1380" i="23"/>
  <c r="N1376" i="23"/>
  <c r="N1372" i="23"/>
  <c r="N1368" i="23"/>
  <c r="N1364" i="23"/>
  <c r="N1360" i="23"/>
  <c r="N1356" i="23"/>
  <c r="N1352" i="23"/>
  <c r="N1348" i="23"/>
  <c r="N1344" i="23"/>
  <c r="N1340" i="23"/>
  <c r="N1336" i="23"/>
  <c r="N1332" i="23"/>
  <c r="N1328" i="23"/>
  <c r="N1324" i="23"/>
  <c r="N1320" i="23"/>
  <c r="N1316" i="23"/>
  <c r="N1312" i="23"/>
  <c r="N1308" i="23"/>
  <c r="N1304" i="23"/>
  <c r="N1300" i="23"/>
  <c r="N1296" i="23"/>
  <c r="N1292" i="23"/>
  <c r="N1288" i="23"/>
  <c r="N1284" i="23"/>
  <c r="N1280" i="23"/>
  <c r="N1276" i="23"/>
  <c r="N1272" i="23"/>
  <c r="N1268" i="23"/>
  <c r="N1264" i="23"/>
  <c r="N1260" i="23"/>
  <c r="N1256" i="23"/>
  <c r="N1252" i="23"/>
  <c r="N1248" i="23"/>
  <c r="N1244" i="23"/>
  <c r="N1240" i="23"/>
  <c r="N1236" i="23"/>
  <c r="N1232" i="23"/>
  <c r="N1228" i="23"/>
  <c r="N1224" i="23"/>
  <c r="N1220" i="23"/>
  <c r="N1216" i="23"/>
  <c r="N1212" i="23"/>
  <c r="N1208" i="23"/>
  <c r="N1204" i="23"/>
  <c r="N1200" i="23"/>
  <c r="N1196" i="23"/>
  <c r="N1192" i="23"/>
  <c r="N1188" i="23"/>
  <c r="N1184" i="23"/>
  <c r="N1180" i="23"/>
  <c r="N1176" i="23"/>
  <c r="N1172" i="23"/>
  <c r="N1168" i="23"/>
  <c r="N1164" i="23"/>
  <c r="N1160" i="23"/>
  <c r="N1156" i="23"/>
  <c r="N1152" i="23"/>
  <c r="N1148" i="23"/>
  <c r="N1144" i="23"/>
  <c r="N1140" i="23"/>
  <c r="N1136" i="23"/>
  <c r="N1132" i="23"/>
  <c r="N1128" i="23"/>
  <c r="N1124" i="23"/>
  <c r="N1120" i="23"/>
  <c r="N1116" i="23"/>
  <c r="N1112" i="23"/>
  <c r="N1108" i="23"/>
  <c r="N1104" i="23"/>
  <c r="N1100" i="23"/>
  <c r="N1096" i="23"/>
  <c r="N1092" i="23"/>
  <c r="N1088" i="23"/>
  <c r="N1084" i="23"/>
  <c r="N1080" i="23"/>
  <c r="N1076" i="23"/>
  <c r="N1072" i="23"/>
  <c r="N1068" i="23"/>
  <c r="N1064" i="23"/>
  <c r="N1060" i="23"/>
  <c r="N1056" i="23"/>
  <c r="N1052" i="23"/>
  <c r="N1048" i="23"/>
  <c r="N1044" i="23"/>
  <c r="N1040" i="23"/>
  <c r="N1036" i="23"/>
  <c r="N1032" i="23"/>
  <c r="N1028" i="23"/>
  <c r="N1024" i="23"/>
  <c r="N1020" i="23"/>
  <c r="N1016" i="23"/>
  <c r="N1012" i="23"/>
  <c r="N1008" i="23"/>
  <c r="N1004" i="23"/>
  <c r="N1000" i="23"/>
  <c r="N996" i="23"/>
  <c r="N992" i="23"/>
  <c r="N988" i="23"/>
  <c r="N984" i="23"/>
  <c r="N980" i="23"/>
  <c r="N976" i="23"/>
  <c r="N972" i="23"/>
  <c r="N968" i="23"/>
  <c r="N964" i="23"/>
  <c r="N960" i="23"/>
  <c r="N956" i="23"/>
  <c r="N952" i="23"/>
  <c r="N948" i="23"/>
  <c r="N944" i="23"/>
  <c r="N940" i="23"/>
  <c r="N936" i="23"/>
  <c r="N932" i="23"/>
  <c r="N928" i="23"/>
  <c r="N924" i="23"/>
  <c r="N920" i="23"/>
  <c r="N916" i="23"/>
  <c r="N912" i="23"/>
  <c r="N908" i="23"/>
  <c r="N904" i="23"/>
  <c r="N900" i="23"/>
  <c r="N896" i="23"/>
  <c r="N892" i="23"/>
  <c r="N888" i="23"/>
  <c r="N884" i="23"/>
  <c r="N880" i="23"/>
  <c r="N876" i="23"/>
  <c r="N872" i="23"/>
  <c r="N868" i="23"/>
  <c r="N864" i="23"/>
  <c r="N860" i="23"/>
  <c r="N856" i="23"/>
  <c r="N812" i="23"/>
  <c r="N808" i="23"/>
  <c r="N804" i="23"/>
  <c r="N776" i="23"/>
  <c r="N772" i="23"/>
  <c r="N768" i="23"/>
  <c r="N748" i="23"/>
  <c r="N744" i="23"/>
  <c r="N688" i="23"/>
  <c r="N684" i="23"/>
  <c r="N660" i="23"/>
  <c r="N656" i="23"/>
  <c r="N652" i="23"/>
  <c r="N648" i="23"/>
  <c r="N644" i="23"/>
  <c r="N640" i="23"/>
  <c r="N636" i="23"/>
  <c r="N632" i="23"/>
  <c r="N628" i="23"/>
  <c r="N624" i="23"/>
  <c r="N620" i="23"/>
  <c r="N616" i="23"/>
  <c r="N612" i="23"/>
  <c r="N608" i="23"/>
  <c r="N604" i="23"/>
  <c r="N600" i="23"/>
  <c r="N596" i="23"/>
  <c r="N592" i="23"/>
  <c r="N588" i="23"/>
  <c r="N584" i="23"/>
  <c r="N580" i="23"/>
  <c r="N576" i="23"/>
  <c r="N572" i="23"/>
  <c r="N568" i="23"/>
  <c r="N564" i="23"/>
  <c r="N560" i="23"/>
  <c r="N556" i="23"/>
  <c r="N552" i="23"/>
  <c r="N548" i="23"/>
  <c r="N544" i="23"/>
  <c r="N540" i="23"/>
  <c r="N536" i="23"/>
  <c r="N532" i="23"/>
  <c r="N528" i="23"/>
  <c r="N524" i="23"/>
  <c r="N520" i="23"/>
  <c r="N516" i="23"/>
  <c r="N512" i="23"/>
  <c r="N508" i="23"/>
  <c r="N504" i="23"/>
  <c r="N500" i="23"/>
  <c r="N496" i="23"/>
  <c r="N492" i="23"/>
  <c r="N488" i="23"/>
  <c r="N484" i="23"/>
  <c r="N480" i="23"/>
  <c r="N476" i="23"/>
  <c r="N472" i="23"/>
  <c r="N468" i="23"/>
  <c r="N464" i="23"/>
  <c r="N460" i="23"/>
  <c r="N456" i="23"/>
  <c r="N452" i="23"/>
  <c r="N448" i="23"/>
  <c r="N444" i="23"/>
  <c r="N440" i="23"/>
  <c r="N436" i="23"/>
  <c r="N432" i="23"/>
  <c r="N428" i="23"/>
  <c r="N424" i="23"/>
  <c r="N420" i="23"/>
  <c r="N416" i="23"/>
  <c r="N412" i="23"/>
  <c r="N408" i="23"/>
  <c r="N404" i="23"/>
  <c r="N400" i="23"/>
  <c r="N396" i="23"/>
  <c r="N392" i="23"/>
  <c r="N388" i="23"/>
  <c r="N384" i="23"/>
  <c r="N380" i="23"/>
  <c r="N376" i="23"/>
  <c r="N372" i="23"/>
  <c r="N368" i="23"/>
  <c r="N1797" i="23"/>
  <c r="N1781" i="23"/>
  <c r="N1771" i="23"/>
  <c r="N1763" i="23"/>
  <c r="N1755" i="23"/>
  <c r="N1747" i="23"/>
  <c r="N1739" i="23"/>
  <c r="N1731" i="23"/>
  <c r="N1723" i="23"/>
  <c r="N1715" i="23"/>
  <c r="N1707" i="23"/>
  <c r="N1699" i="23"/>
  <c r="N1691" i="23"/>
  <c r="N1683" i="23"/>
  <c r="N1675" i="23"/>
  <c r="N1671" i="23"/>
  <c r="N1667" i="23"/>
  <c r="N1663" i="23"/>
  <c r="N1659" i="23"/>
  <c r="N1655" i="23"/>
  <c r="N1651" i="23"/>
  <c r="N1647" i="23"/>
  <c r="N1643" i="23"/>
  <c r="N1639" i="23"/>
  <c r="N1635" i="23"/>
  <c r="N1631" i="23"/>
  <c r="N1627" i="23"/>
  <c r="N1623" i="23"/>
  <c r="N1619" i="23"/>
  <c r="N1615" i="23"/>
  <c r="N1611" i="23"/>
  <c r="N1607" i="23"/>
  <c r="N1603" i="23"/>
  <c r="N1599" i="23"/>
  <c r="N1595" i="23"/>
  <c r="N1591" i="23"/>
  <c r="N1587" i="23"/>
  <c r="N1583" i="23"/>
  <c r="N1579" i="23"/>
  <c r="N1575" i="23"/>
  <c r="N1571" i="23"/>
  <c r="N1567" i="23"/>
  <c r="N1563" i="23"/>
  <c r="N1559" i="23"/>
  <c r="N1555" i="23"/>
  <c r="N1551" i="23"/>
  <c r="N1547" i="23"/>
  <c r="N1543" i="23"/>
  <c r="N1539" i="23"/>
  <c r="N1535" i="23"/>
  <c r="N1531" i="23"/>
  <c r="N1527" i="23"/>
  <c r="N1523" i="23"/>
  <c r="N1519" i="23"/>
  <c r="N1515" i="23"/>
  <c r="N1511" i="23"/>
  <c r="N1507" i="23"/>
  <c r="N1503" i="23"/>
  <c r="N1499" i="23"/>
  <c r="N1495" i="23"/>
  <c r="N1491" i="23"/>
  <c r="N1487" i="23"/>
  <c r="N1483" i="23"/>
  <c r="N1479" i="23"/>
  <c r="N1475" i="23"/>
  <c r="N1471" i="23"/>
  <c r="N1467" i="23"/>
  <c r="N1463" i="23"/>
  <c r="N1459" i="23"/>
  <c r="N1455" i="23"/>
  <c r="N1451" i="23"/>
  <c r="N1447" i="23"/>
  <c r="N1407" i="23"/>
  <c r="N1403" i="23"/>
  <c r="N1399" i="23"/>
  <c r="N1395" i="23"/>
  <c r="N1391" i="23"/>
  <c r="N1387" i="23"/>
  <c r="N1383" i="23"/>
  <c r="N1379" i="23"/>
  <c r="N1375" i="23"/>
  <c r="N1371" i="23"/>
  <c r="N1367" i="23"/>
  <c r="N1363" i="23"/>
  <c r="N1359" i="23"/>
  <c r="N1355" i="23"/>
  <c r="N1351" i="23"/>
  <c r="N1347" i="23"/>
  <c r="N1343" i="23"/>
  <c r="N1339" i="23"/>
  <c r="N1335" i="23"/>
  <c r="N1331" i="23"/>
  <c r="N1327" i="23"/>
  <c r="N1323" i="23"/>
  <c r="N1319" i="23"/>
  <c r="N1315" i="23"/>
  <c r="N1311" i="23"/>
  <c r="N1307" i="23"/>
  <c r="N1303" i="23"/>
  <c r="N1299" i="23"/>
  <c r="N1295" i="23"/>
  <c r="N1291" i="23"/>
  <c r="N1287" i="23"/>
  <c r="N1283" i="23"/>
  <c r="N1279" i="23"/>
  <c r="N1275" i="23"/>
  <c r="N1271" i="23"/>
  <c r="N1267" i="23"/>
  <c r="N1263" i="23"/>
  <c r="N1259" i="23"/>
  <c r="N1255" i="23"/>
  <c r="N1251" i="23"/>
  <c r="N1247" i="23"/>
  <c r="N1243" i="23"/>
  <c r="N1239" i="23"/>
  <c r="N1235" i="23"/>
  <c r="N1231" i="23"/>
  <c r="N1227" i="23"/>
  <c r="N1223" i="23"/>
  <c r="N1219" i="23"/>
  <c r="N1215" i="23"/>
  <c r="N1211" i="23"/>
  <c r="N1207" i="23"/>
  <c r="N1203" i="23"/>
  <c r="N1199" i="23"/>
  <c r="N1195" i="23"/>
  <c r="N1191" i="23"/>
  <c r="N1187" i="23"/>
  <c r="N1183" i="23"/>
  <c r="N1179" i="23"/>
  <c r="N1175" i="23"/>
  <c r="N1171" i="23"/>
  <c r="N1167" i="23"/>
  <c r="N1163" i="23"/>
  <c r="N1159" i="23"/>
  <c r="N1155" i="23"/>
  <c r="N1151" i="23"/>
  <c r="N1147" i="23"/>
  <c r="N1143" i="23"/>
  <c r="N1139" i="23"/>
  <c r="N1135" i="23"/>
  <c r="N1131" i="23"/>
  <c r="N1127" i="23"/>
  <c r="N1123" i="23"/>
  <c r="N1119" i="23"/>
  <c r="N1115" i="23"/>
  <c r="N1111" i="23"/>
  <c r="N1107" i="23"/>
  <c r="N1103" i="23"/>
  <c r="N1099" i="23"/>
  <c r="N1095" i="23"/>
  <c r="N1091" i="23"/>
  <c r="N1087" i="23"/>
  <c r="N1083" i="23"/>
  <c r="N1079" i="23"/>
  <c r="N1075" i="23"/>
  <c r="N1071" i="23"/>
  <c r="N1067" i="23"/>
  <c r="N1063" i="23"/>
  <c r="N1059" i="23"/>
  <c r="N1055" i="23"/>
  <c r="N1051" i="23"/>
  <c r="N1047" i="23"/>
  <c r="N1043" i="23"/>
  <c r="N1039" i="23"/>
  <c r="N1035" i="23"/>
  <c r="N1031" i="23"/>
  <c r="N1027" i="23"/>
  <c r="N1023" i="23"/>
  <c r="N1019" i="23"/>
  <c r="N1015" i="23"/>
  <c r="N1011" i="23"/>
  <c r="N1007" i="23"/>
  <c r="N1003" i="23"/>
  <c r="N999" i="23"/>
  <c r="N995" i="23"/>
  <c r="N991" i="23"/>
  <c r="N987" i="23"/>
  <c r="N983" i="23"/>
  <c r="N979" i="23"/>
  <c r="N975" i="23"/>
  <c r="N971" i="23"/>
  <c r="N967" i="23"/>
  <c r="N963" i="23"/>
  <c r="N959" i="23"/>
  <c r="N955" i="23"/>
  <c r="N951" i="23"/>
  <c r="N947" i="23"/>
  <c r="N943" i="23"/>
  <c r="N939" i="23"/>
  <c r="N935" i="23"/>
  <c r="N931" i="23"/>
  <c r="N927" i="23"/>
  <c r="N923" i="23"/>
  <c r="N919" i="23"/>
  <c r="N915" i="23"/>
  <c r="N911" i="23"/>
  <c r="N907" i="23"/>
  <c r="N903" i="23"/>
  <c r="N899" i="23"/>
  <c r="N895" i="23"/>
  <c r="N891" i="23"/>
  <c r="N887" i="23"/>
  <c r="N883" i="23"/>
  <c r="N879" i="23"/>
  <c r="N875" i="23"/>
  <c r="N871" i="23"/>
  <c r="N867" i="23"/>
  <c r="N863" i="23"/>
  <c r="N859" i="23"/>
  <c r="N811" i="23"/>
  <c r="N807" i="23"/>
  <c r="N803" i="23"/>
  <c r="N775" i="23"/>
  <c r="N771" i="23"/>
  <c r="N747" i="23"/>
  <c r="N743" i="23"/>
  <c r="N691" i="23"/>
  <c r="N687" i="23"/>
  <c r="N683" i="23"/>
  <c r="N659" i="23"/>
  <c r="N655" i="23"/>
  <c r="N651" i="23"/>
  <c r="N647" i="23"/>
  <c r="N643" i="23"/>
  <c r="N639" i="23"/>
  <c r="N635" i="23"/>
  <c r="N631" i="23"/>
  <c r="N627" i="23"/>
  <c r="N623" i="23"/>
  <c r="N619" i="23"/>
  <c r="N615" i="23"/>
  <c r="N611" i="23"/>
  <c r="N607" i="23"/>
  <c r="N603" i="23"/>
  <c r="N599" i="23"/>
  <c r="N595" i="23"/>
  <c r="N591" i="23"/>
  <c r="N587" i="23"/>
  <c r="N583" i="23"/>
  <c r="N579" i="23"/>
  <c r="N575" i="23"/>
  <c r="N571" i="23"/>
  <c r="N567" i="23"/>
  <c r="N563" i="23"/>
  <c r="N559" i="23"/>
  <c r="N555" i="23"/>
  <c r="N551" i="23"/>
  <c r="N547" i="23"/>
  <c r="N543" i="23"/>
  <c r="N539" i="23"/>
  <c r="N535" i="23"/>
  <c r="N531" i="23"/>
  <c r="N527" i="23"/>
  <c r="N523" i="23"/>
  <c r="N519" i="23"/>
  <c r="N515" i="23"/>
  <c r="N511" i="23"/>
  <c r="N507" i="23"/>
  <c r="N503" i="23"/>
  <c r="N499" i="23"/>
  <c r="N495" i="23"/>
  <c r="N491" i="23"/>
  <c r="N487" i="23"/>
  <c r="N483" i="23"/>
  <c r="N479" i="23"/>
  <c r="N475" i="23"/>
  <c r="N471" i="23"/>
  <c r="N467" i="23"/>
  <c r="N463" i="23"/>
  <c r="N459" i="23"/>
  <c r="N455" i="23"/>
  <c r="N451" i="23"/>
  <c r="N447" i="23"/>
  <c r="N443" i="23"/>
  <c r="N439" i="23"/>
  <c r="N435" i="23"/>
  <c r="N431" i="23"/>
  <c r="N427" i="23"/>
  <c r="N423" i="23"/>
  <c r="N419" i="23"/>
  <c r="N415" i="23"/>
  <c r="N411" i="23"/>
  <c r="N407" i="23"/>
  <c r="N403" i="23"/>
  <c r="N399" i="23"/>
  <c r="N395" i="23"/>
  <c r="N391" i="23"/>
  <c r="N387" i="23"/>
  <c r="N383" i="23"/>
  <c r="N379" i="23"/>
  <c r="N375" i="23"/>
  <c r="N371" i="23"/>
  <c r="N367" i="23"/>
  <c r="N366" i="23"/>
  <c r="N361" i="23"/>
  <c r="N357" i="23"/>
  <c r="N353" i="23"/>
  <c r="N349" i="23"/>
  <c r="N345" i="23"/>
  <c r="N341" i="23"/>
  <c r="N337" i="23"/>
  <c r="N333" i="23"/>
  <c r="N329" i="23"/>
  <c r="N325" i="23"/>
  <c r="N321" i="23"/>
  <c r="N317" i="23"/>
  <c r="N313" i="23"/>
  <c r="N309" i="23"/>
  <c r="N305" i="23"/>
  <c r="N301" i="23"/>
  <c r="N297" i="23"/>
  <c r="N293" i="23"/>
  <c r="N289" i="23"/>
  <c r="N285" i="23"/>
  <c r="N281" i="23"/>
  <c r="N277" i="23"/>
  <c r="N273" i="23"/>
  <c r="N269" i="23"/>
  <c r="N265" i="23"/>
  <c r="N261" i="23"/>
  <c r="N257" i="23"/>
  <c r="N253" i="23"/>
  <c r="N249" i="23"/>
  <c r="N245" i="23"/>
  <c r="N241" i="23"/>
  <c r="N237" i="23"/>
  <c r="N233" i="23"/>
  <c r="N229" i="23"/>
  <c r="N225" i="23"/>
  <c r="N221" i="23"/>
  <c r="N217" i="23"/>
  <c r="N213" i="23"/>
  <c r="N209" i="23"/>
  <c r="N205" i="23"/>
  <c r="N201" i="23"/>
  <c r="N197" i="23"/>
  <c r="N193" i="23"/>
  <c r="N189" i="23"/>
  <c r="N185" i="23"/>
  <c r="N181" i="23"/>
  <c r="N177" i="23"/>
  <c r="N173" i="23"/>
  <c r="N169" i="23"/>
  <c r="N165" i="23"/>
  <c r="N161" i="23"/>
  <c r="N157" i="23"/>
  <c r="N153" i="23"/>
  <c r="N149" i="23"/>
  <c r="N145" i="23"/>
  <c r="N141" i="23"/>
  <c r="N137" i="23"/>
  <c r="N133" i="23"/>
  <c r="N129" i="23"/>
  <c r="N125" i="23"/>
  <c r="N121" i="23"/>
  <c r="N117" i="23"/>
  <c r="N113" i="23"/>
  <c r="N109" i="23"/>
  <c r="N105" i="23"/>
  <c r="N101" i="23"/>
  <c r="N97" i="23"/>
  <c r="N93" i="23"/>
  <c r="N89" i="23"/>
  <c r="N85" i="23"/>
  <c r="N81" i="23"/>
  <c r="N77" i="23"/>
  <c r="N73" i="23"/>
  <c r="N69" i="23"/>
  <c r="N65" i="23"/>
  <c r="N61" i="23"/>
  <c r="N57" i="23"/>
  <c r="N53" i="23"/>
  <c r="N49" i="23"/>
  <c r="N45" i="23"/>
  <c r="N41" i="23"/>
  <c r="N37" i="23"/>
  <c r="N33" i="23"/>
  <c r="N29" i="23"/>
  <c r="N25" i="23"/>
  <c r="N21" i="23"/>
  <c r="N17" i="23"/>
  <c r="N13" i="23"/>
  <c r="N9" i="23"/>
  <c r="N5" i="23"/>
  <c r="N4" i="23"/>
  <c r="N364" i="23"/>
  <c r="N360" i="23"/>
  <c r="N356" i="23"/>
  <c r="N352" i="23"/>
  <c r="N348" i="23"/>
  <c r="N344" i="23"/>
  <c r="N340" i="23"/>
  <c r="N336" i="23"/>
  <c r="N332" i="23"/>
  <c r="N328" i="23"/>
  <c r="N324" i="23"/>
  <c r="N320" i="23"/>
  <c r="N316" i="23"/>
  <c r="N312" i="23"/>
  <c r="N308" i="23"/>
  <c r="N304" i="23"/>
  <c r="N300" i="23"/>
  <c r="N296" i="23"/>
  <c r="N292" i="23"/>
  <c r="N288" i="23"/>
  <c r="N284" i="23"/>
  <c r="N280" i="23"/>
  <c r="N276" i="23"/>
  <c r="N272" i="23"/>
  <c r="N268" i="23"/>
  <c r="N264" i="23"/>
  <c r="N260" i="23"/>
  <c r="N256" i="23"/>
  <c r="N252" i="23"/>
  <c r="N248" i="23"/>
  <c r="N244" i="23"/>
  <c r="N240" i="23"/>
  <c r="N236" i="23"/>
  <c r="N232" i="23"/>
  <c r="N228" i="23"/>
  <c r="N224" i="23"/>
  <c r="N220" i="23"/>
  <c r="N216" i="23"/>
  <c r="N212" i="23"/>
  <c r="N208" i="23"/>
  <c r="N204" i="23"/>
  <c r="N200" i="23"/>
  <c r="N196" i="23"/>
  <c r="N192" i="23"/>
  <c r="N188" i="23"/>
  <c r="N184" i="23"/>
  <c r="N180" i="23"/>
  <c r="N176" i="23"/>
  <c r="N172" i="23"/>
  <c r="N168" i="23"/>
  <c r="N164" i="23"/>
  <c r="N160" i="23"/>
  <c r="N156" i="23"/>
  <c r="N152" i="23"/>
  <c r="N148" i="23"/>
  <c r="N144" i="23"/>
  <c r="N140" i="23"/>
  <c r="N136" i="23"/>
  <c r="N132" i="23"/>
  <c r="N128" i="23"/>
  <c r="N124" i="23"/>
  <c r="N120" i="23"/>
  <c r="N116" i="23"/>
  <c r="N112" i="23"/>
  <c r="N108" i="23"/>
  <c r="N104" i="23"/>
  <c r="N100" i="23"/>
  <c r="N96" i="23"/>
  <c r="N92" i="23"/>
  <c r="N88" i="23"/>
  <c r="N84" i="23"/>
  <c r="N80" i="23"/>
  <c r="N76" i="23"/>
  <c r="N72" i="23"/>
  <c r="N68" i="23"/>
  <c r="N64" i="23"/>
  <c r="N60" i="23"/>
  <c r="N56" i="23"/>
  <c r="N52" i="23"/>
  <c r="N48" i="23"/>
  <c r="N44" i="23"/>
  <c r="N40" i="23"/>
  <c r="N36" i="23"/>
  <c r="N32" i="23"/>
  <c r="N28" i="23"/>
  <c r="N24" i="23"/>
  <c r="N20" i="23"/>
  <c r="N16" i="23"/>
  <c r="N12" i="23"/>
  <c r="N8" i="23"/>
  <c r="N363" i="23"/>
  <c r="N359" i="23"/>
  <c r="N355" i="23"/>
  <c r="N351" i="23"/>
  <c r="N347" i="23"/>
  <c r="N343" i="23"/>
  <c r="N339" i="23"/>
  <c r="N335" i="23"/>
  <c r="N331" i="23"/>
  <c r="N327" i="23"/>
  <c r="N323" i="23"/>
  <c r="N319" i="23"/>
  <c r="N315" i="23"/>
  <c r="N311" i="23"/>
  <c r="N307" i="23"/>
  <c r="N303" i="23"/>
  <c r="N299" i="23"/>
  <c r="N295" i="23"/>
  <c r="N291" i="23"/>
  <c r="N287" i="23"/>
  <c r="N283" i="23"/>
  <c r="N279" i="23"/>
  <c r="N275" i="23"/>
  <c r="N271" i="23"/>
  <c r="N267" i="23"/>
  <c r="N263" i="23"/>
  <c r="N259" i="23"/>
  <c r="N255" i="23"/>
  <c r="N251" i="23"/>
  <c r="N247" i="23"/>
  <c r="N243" i="23"/>
  <c r="N239" i="23"/>
  <c r="N235" i="23"/>
  <c r="N231" i="23"/>
  <c r="N227" i="23"/>
  <c r="N223" i="23"/>
  <c r="N219" i="23"/>
  <c r="N215" i="23"/>
  <c r="N211" i="23"/>
  <c r="N207" i="23"/>
  <c r="N203" i="23"/>
  <c r="N199" i="23"/>
  <c r="N195" i="23"/>
  <c r="N191" i="23"/>
  <c r="N187" i="23"/>
  <c r="N183" i="23"/>
  <c r="N179" i="23"/>
  <c r="N175" i="23"/>
  <c r="N171" i="23"/>
  <c r="N167" i="23"/>
  <c r="N163" i="23"/>
  <c r="N159" i="23"/>
  <c r="N155" i="23"/>
  <c r="N151" i="23"/>
  <c r="N147" i="23"/>
  <c r="N143" i="23"/>
  <c r="N139" i="23"/>
  <c r="N135" i="23"/>
  <c r="N131" i="23"/>
  <c r="N127" i="23"/>
  <c r="N123" i="23"/>
  <c r="N119" i="23"/>
  <c r="N115" i="23"/>
  <c r="N111" i="23"/>
  <c r="N107" i="23"/>
  <c r="N103" i="23"/>
  <c r="N99" i="23"/>
  <c r="N95" i="23"/>
  <c r="N91" i="23"/>
  <c r="N87" i="23"/>
  <c r="N83" i="23"/>
  <c r="N79" i="23"/>
  <c r="N75" i="23"/>
  <c r="N71" i="23"/>
  <c r="N67" i="23"/>
  <c r="N63" i="23"/>
  <c r="N59" i="23"/>
  <c r="N55" i="23"/>
  <c r="N51" i="23"/>
  <c r="N47" i="23"/>
  <c r="N43" i="23"/>
  <c r="N39" i="23"/>
  <c r="N35" i="23"/>
  <c r="N31" i="23"/>
  <c r="N27" i="23"/>
  <c r="N23" i="23"/>
  <c r="N19" i="23"/>
  <c r="N15" i="23"/>
  <c r="N11" i="23"/>
  <c r="N7" i="23"/>
  <c r="N3" i="23"/>
  <c r="N370" i="23"/>
  <c r="N362" i="23"/>
  <c r="N358" i="23"/>
  <c r="N354" i="23"/>
  <c r="N350" i="23"/>
  <c r="N346" i="23"/>
  <c r="N342" i="23"/>
  <c r="N338" i="23"/>
  <c r="N334" i="23"/>
  <c r="N330" i="23"/>
  <c r="N326" i="23"/>
  <c r="N322" i="23"/>
  <c r="N318" i="23"/>
  <c r="N314" i="23"/>
  <c r="N310" i="23"/>
  <c r="N306" i="23"/>
  <c r="N302" i="23"/>
  <c r="N298" i="23"/>
  <c r="N294" i="23"/>
  <c r="N290" i="23"/>
  <c r="N286" i="23"/>
  <c r="N282" i="23"/>
  <c r="N278" i="23"/>
  <c r="N274" i="23"/>
  <c r="N270" i="23"/>
  <c r="N266" i="23"/>
  <c r="N262" i="23"/>
  <c r="N258" i="23"/>
  <c r="N254" i="23"/>
  <c r="N250" i="23"/>
  <c r="N246" i="23"/>
  <c r="N242" i="23"/>
  <c r="N238" i="23"/>
  <c r="N234" i="23"/>
  <c r="N230" i="23"/>
  <c r="N226" i="23"/>
  <c r="N222" i="23"/>
  <c r="N218" i="23"/>
  <c r="N214" i="23"/>
  <c r="N210" i="23"/>
  <c r="N206" i="23"/>
  <c r="N202" i="23"/>
  <c r="N198" i="23"/>
  <c r="N194" i="23"/>
  <c r="N190" i="23"/>
  <c r="N186" i="23"/>
  <c r="N182" i="23"/>
  <c r="N178" i="23"/>
  <c r="N174" i="23"/>
  <c r="N170" i="23"/>
  <c r="N166" i="23"/>
  <c r="N162" i="23"/>
  <c r="N158" i="23"/>
  <c r="N154" i="23"/>
  <c r="N150" i="23"/>
  <c r="N146" i="23"/>
  <c r="N142" i="23"/>
  <c r="N138" i="23"/>
  <c r="N134" i="23"/>
  <c r="N130" i="23"/>
  <c r="N126" i="23"/>
  <c r="N122" i="23"/>
  <c r="N118" i="23"/>
  <c r="N114" i="23"/>
  <c r="N110" i="23"/>
  <c r="N106" i="23"/>
  <c r="N102" i="23"/>
  <c r="N98" i="23"/>
  <c r="N94" i="23"/>
  <c r="N90" i="23"/>
  <c r="N86" i="23"/>
  <c r="N82" i="23"/>
  <c r="N78" i="23"/>
  <c r="N74" i="23"/>
  <c r="N70" i="23"/>
  <c r="N66" i="23"/>
  <c r="N62" i="23"/>
  <c r="N58" i="23"/>
  <c r="N54" i="23"/>
  <c r="N50" i="23"/>
  <c r="N46" i="23"/>
  <c r="N42" i="23"/>
  <c r="N38" i="23"/>
  <c r="N34" i="23"/>
  <c r="N30" i="23"/>
  <c r="N26" i="23"/>
  <c r="N22" i="23"/>
  <c r="N18" i="23"/>
  <c r="N14" i="23"/>
  <c r="N10" i="23"/>
  <c r="N6" i="23"/>
  <c r="N2" i="23"/>
  <c r="O665" i="23"/>
  <c r="N665" i="23"/>
  <c r="O669" i="23"/>
  <c r="N669" i="23"/>
  <c r="O673" i="23"/>
  <c r="N673" i="23"/>
  <c r="O677" i="23"/>
  <c r="N677" i="23"/>
  <c r="O681" i="23"/>
  <c r="N681" i="23"/>
  <c r="O693" i="23"/>
  <c r="N693" i="23"/>
  <c r="O697" i="23"/>
  <c r="N697" i="23"/>
  <c r="O701" i="23"/>
  <c r="N701" i="23"/>
  <c r="O705" i="23"/>
  <c r="N705" i="23"/>
  <c r="O709" i="23"/>
  <c r="N709" i="23"/>
  <c r="O713" i="23"/>
  <c r="N713" i="23"/>
  <c r="O717" i="23"/>
  <c r="N717" i="23"/>
  <c r="O721" i="23"/>
  <c r="N721" i="23"/>
  <c r="O725" i="23"/>
  <c r="N725" i="23"/>
  <c r="O729" i="23"/>
  <c r="N729" i="23"/>
  <c r="O733" i="23"/>
  <c r="N733" i="23"/>
  <c r="O737" i="23"/>
  <c r="N737" i="23"/>
  <c r="O753" i="23"/>
  <c r="N753" i="23"/>
  <c r="O757" i="23"/>
  <c r="N757" i="23"/>
  <c r="O761" i="23"/>
  <c r="N761" i="23"/>
  <c r="O765" i="23"/>
  <c r="N765" i="23"/>
  <c r="O781" i="23"/>
  <c r="N781" i="23"/>
  <c r="O785" i="23"/>
  <c r="N785" i="23"/>
  <c r="O789" i="23"/>
  <c r="N789" i="23"/>
  <c r="O793" i="23"/>
  <c r="N793" i="23"/>
  <c r="O797" i="23"/>
  <c r="N797" i="23"/>
  <c r="O801" i="23"/>
  <c r="N801" i="23"/>
  <c r="O813" i="23"/>
  <c r="N813" i="23"/>
  <c r="O817" i="23"/>
  <c r="N817" i="23"/>
  <c r="O821" i="23"/>
  <c r="N821" i="23"/>
  <c r="O825" i="23"/>
  <c r="N825" i="23"/>
  <c r="O829" i="23"/>
  <c r="N829" i="23"/>
  <c r="O833" i="23"/>
  <c r="N833" i="23"/>
  <c r="O837" i="23"/>
  <c r="N837" i="23"/>
  <c r="O841" i="23"/>
  <c r="N841" i="23"/>
  <c r="O845" i="23"/>
  <c r="N845" i="23"/>
  <c r="O849" i="23"/>
  <c r="N849" i="23"/>
  <c r="O853" i="23"/>
  <c r="N853" i="23"/>
  <c r="O1413" i="23"/>
  <c r="N1413" i="23"/>
  <c r="O1417" i="23"/>
  <c r="N1417" i="23"/>
  <c r="O1421" i="23"/>
  <c r="N1421" i="23"/>
  <c r="O1425" i="23"/>
  <c r="N1425" i="23"/>
  <c r="O1429" i="23"/>
  <c r="N1429" i="23"/>
  <c r="O1433" i="23"/>
  <c r="N1433" i="23"/>
  <c r="O1437" i="23"/>
  <c r="N1437" i="23"/>
  <c r="O1441" i="23"/>
  <c r="N1441" i="23"/>
  <c r="O662" i="23"/>
  <c r="N662" i="23"/>
  <c r="O666" i="23"/>
  <c r="N666" i="23"/>
  <c r="O670" i="23"/>
  <c r="N670" i="23"/>
  <c r="O674" i="23"/>
  <c r="N674" i="23"/>
  <c r="O678" i="23"/>
  <c r="N678" i="23"/>
  <c r="O694" i="23"/>
  <c r="N694" i="23"/>
  <c r="O698" i="23"/>
  <c r="N698" i="23"/>
  <c r="O702" i="23"/>
  <c r="N702" i="23"/>
  <c r="O706" i="23"/>
  <c r="N706" i="23"/>
  <c r="O710" i="23"/>
  <c r="N710" i="23"/>
  <c r="O714" i="23"/>
  <c r="N714" i="23"/>
  <c r="O718" i="23"/>
  <c r="N718" i="23"/>
  <c r="O722" i="23"/>
  <c r="N722" i="23"/>
  <c r="O726" i="23"/>
  <c r="N726" i="23"/>
  <c r="O730" i="23"/>
  <c r="N730" i="23"/>
  <c r="O734" i="23"/>
  <c r="N734" i="23"/>
  <c r="O738" i="23"/>
  <c r="N738" i="23"/>
  <c r="O750" i="23"/>
  <c r="N750" i="23"/>
  <c r="O754" i="23"/>
  <c r="N754" i="23"/>
  <c r="O758" i="23"/>
  <c r="N758" i="23"/>
  <c r="O762" i="23"/>
  <c r="N762" i="23"/>
  <c r="O766" i="23"/>
  <c r="N766" i="23"/>
  <c r="O778" i="23"/>
  <c r="N778" i="23"/>
  <c r="O782" i="23"/>
  <c r="N782" i="23"/>
  <c r="O786" i="23"/>
  <c r="N786" i="23"/>
  <c r="O790" i="23"/>
  <c r="N790" i="23"/>
  <c r="O794" i="23"/>
  <c r="N794" i="23"/>
  <c r="O798" i="23"/>
  <c r="N798" i="23"/>
  <c r="O814" i="23"/>
  <c r="N814" i="23"/>
  <c r="O818" i="23"/>
  <c r="N818" i="23"/>
  <c r="O822" i="23"/>
  <c r="N822" i="23"/>
  <c r="O826" i="23"/>
  <c r="N826" i="23"/>
  <c r="O830" i="23"/>
  <c r="N830" i="23"/>
  <c r="O834" i="23"/>
  <c r="N834" i="23"/>
  <c r="O838" i="23"/>
  <c r="N838" i="23"/>
  <c r="O842" i="23"/>
  <c r="N842" i="23"/>
  <c r="O846" i="23"/>
  <c r="N846" i="23"/>
  <c r="O850" i="23"/>
  <c r="N850" i="23"/>
  <c r="O854" i="23"/>
  <c r="N854" i="23"/>
  <c r="O1410" i="23"/>
  <c r="N1410" i="23"/>
  <c r="O1414" i="23"/>
  <c r="N1414" i="23"/>
  <c r="O1418" i="23"/>
  <c r="N1418" i="23"/>
  <c r="O1422" i="23"/>
  <c r="N1422" i="23"/>
  <c r="O1426" i="23"/>
  <c r="N1426" i="23"/>
  <c r="O1430" i="23"/>
  <c r="N1430" i="23"/>
  <c r="O1434" i="23"/>
  <c r="N1434" i="23"/>
  <c r="O1438" i="23"/>
  <c r="N1438" i="23"/>
  <c r="O1442" i="23"/>
  <c r="N1442" i="23"/>
  <c r="O663" i="23"/>
  <c r="N663" i="23"/>
  <c r="O667" i="23"/>
  <c r="N667" i="23"/>
  <c r="O671" i="23"/>
  <c r="N671" i="23"/>
  <c r="O675" i="23"/>
  <c r="N675" i="23"/>
  <c r="O679" i="23"/>
  <c r="N679" i="23"/>
  <c r="O695" i="23"/>
  <c r="N695" i="23"/>
  <c r="O699" i="23"/>
  <c r="N699" i="23"/>
  <c r="O703" i="23"/>
  <c r="N703" i="23"/>
  <c r="O707" i="23"/>
  <c r="N707" i="23"/>
  <c r="O711" i="23"/>
  <c r="N711" i="23"/>
  <c r="O715" i="23"/>
  <c r="N715" i="23"/>
  <c r="O719" i="23"/>
  <c r="N719" i="23"/>
  <c r="O723" i="23"/>
  <c r="N723" i="23"/>
  <c r="O727" i="23"/>
  <c r="N727" i="23"/>
  <c r="O731" i="23"/>
  <c r="N731" i="23"/>
  <c r="O735" i="23"/>
  <c r="N735" i="23"/>
  <c r="O739" i="23"/>
  <c r="N739" i="23"/>
  <c r="O751" i="23"/>
  <c r="N751" i="23"/>
  <c r="O755" i="23"/>
  <c r="N755" i="23"/>
  <c r="O759" i="23"/>
  <c r="N759" i="23"/>
  <c r="O763" i="23"/>
  <c r="N763" i="23"/>
  <c r="O767" i="23"/>
  <c r="N767" i="23"/>
  <c r="O779" i="23"/>
  <c r="N779" i="23"/>
  <c r="O783" i="23"/>
  <c r="N783" i="23"/>
  <c r="O787" i="23"/>
  <c r="N787" i="23"/>
  <c r="O791" i="23"/>
  <c r="N791" i="23"/>
  <c r="O795" i="23"/>
  <c r="N795" i="23"/>
  <c r="O799" i="23"/>
  <c r="N799" i="23"/>
  <c r="O815" i="23"/>
  <c r="N815" i="23"/>
  <c r="O819" i="23"/>
  <c r="N819" i="23"/>
  <c r="O823" i="23"/>
  <c r="N823" i="23"/>
  <c r="O827" i="23"/>
  <c r="N827" i="23"/>
  <c r="O831" i="23"/>
  <c r="N831" i="23"/>
  <c r="O835" i="23"/>
  <c r="N835" i="23"/>
  <c r="O839" i="23"/>
  <c r="N839" i="23"/>
  <c r="O843" i="23"/>
  <c r="N843" i="23"/>
  <c r="O847" i="23"/>
  <c r="N847" i="23"/>
  <c r="O851" i="23"/>
  <c r="N851" i="23"/>
  <c r="O855" i="23"/>
  <c r="N855" i="23"/>
  <c r="O1411" i="23"/>
  <c r="N1411" i="23"/>
  <c r="O1415" i="23"/>
  <c r="N1415" i="23"/>
  <c r="O1419" i="23"/>
  <c r="N1419" i="23"/>
  <c r="O1423" i="23"/>
  <c r="N1423" i="23"/>
  <c r="O1427" i="23"/>
  <c r="N1427" i="23"/>
  <c r="O1431" i="23"/>
  <c r="N1431" i="23"/>
  <c r="O1435" i="23"/>
  <c r="N1435" i="23"/>
  <c r="O1439" i="23"/>
  <c r="N1439" i="23"/>
  <c r="O1443" i="23"/>
  <c r="N1443" i="23"/>
  <c r="O664" i="23"/>
  <c r="N664" i="23"/>
  <c r="O668" i="23"/>
  <c r="N668" i="23"/>
  <c r="O672" i="23"/>
  <c r="N672" i="23"/>
  <c r="O676" i="23"/>
  <c r="N676" i="23"/>
  <c r="O680" i="23"/>
  <c r="N680" i="23"/>
  <c r="O692" i="23"/>
  <c r="N692" i="23"/>
  <c r="O696" i="23"/>
  <c r="N696" i="23"/>
  <c r="O700" i="23"/>
  <c r="N700" i="23"/>
  <c r="O704" i="23"/>
  <c r="N704" i="23"/>
  <c r="O708" i="23"/>
  <c r="N708" i="23"/>
  <c r="O712" i="23"/>
  <c r="N712" i="23"/>
  <c r="O716" i="23"/>
  <c r="N716" i="23"/>
  <c r="O720" i="23"/>
  <c r="N720" i="23"/>
  <c r="O724" i="23"/>
  <c r="N724" i="23"/>
  <c r="O728" i="23"/>
  <c r="N728" i="23"/>
  <c r="O732" i="23"/>
  <c r="N732" i="23"/>
  <c r="O736" i="23"/>
  <c r="N736" i="23"/>
  <c r="O740" i="23"/>
  <c r="N740" i="23"/>
  <c r="O752" i="23"/>
  <c r="N752" i="23"/>
  <c r="O756" i="23"/>
  <c r="N756" i="23"/>
  <c r="O760" i="23"/>
  <c r="N760" i="23"/>
  <c r="O764" i="23"/>
  <c r="N764" i="23"/>
  <c r="O780" i="23"/>
  <c r="N780" i="23"/>
  <c r="O784" i="23"/>
  <c r="N784" i="23"/>
  <c r="O788" i="23"/>
  <c r="N788" i="23"/>
  <c r="O792" i="23"/>
  <c r="N792" i="23"/>
  <c r="O796" i="23"/>
  <c r="N796" i="23"/>
  <c r="O800" i="23"/>
  <c r="N800" i="23"/>
  <c r="O816" i="23"/>
  <c r="N816" i="23"/>
  <c r="O820" i="23"/>
  <c r="N820" i="23"/>
  <c r="O824" i="23"/>
  <c r="N824" i="23"/>
  <c r="O828" i="23"/>
  <c r="N828" i="23"/>
  <c r="O832" i="23"/>
  <c r="N832" i="23"/>
  <c r="O836" i="23"/>
  <c r="N836" i="23"/>
  <c r="O840" i="23"/>
  <c r="N840" i="23"/>
  <c r="O844" i="23"/>
  <c r="N844" i="23"/>
  <c r="O848" i="23"/>
  <c r="N848" i="23"/>
  <c r="O852" i="23"/>
  <c r="N852" i="23"/>
  <c r="O1412" i="23"/>
  <c r="N1412" i="23"/>
  <c r="O1416" i="23"/>
  <c r="N1416" i="23"/>
  <c r="O1420" i="23"/>
  <c r="N1420" i="23"/>
  <c r="O1424" i="23"/>
  <c r="N1424" i="23"/>
  <c r="O1428" i="23"/>
  <c r="N1428" i="23"/>
  <c r="O1432" i="23"/>
  <c r="N1432" i="23"/>
  <c r="O1436" i="23"/>
  <c r="N1436" i="23"/>
  <c r="O1440" i="23"/>
  <c r="N1440" i="23"/>
  <c r="J12" i="18"/>
  <c r="C48" i="18"/>
  <c r="C47" i="18"/>
  <c r="C46" i="18"/>
  <c r="C45" i="18"/>
  <c r="C44" i="18"/>
  <c r="C43" i="18"/>
  <c r="C42" i="18"/>
  <c r="C41" i="18"/>
  <c r="C40" i="18"/>
  <c r="A29" i="18"/>
  <c r="A28" i="18"/>
  <c r="C27" i="18"/>
  <c r="A27" i="18"/>
  <c r="C26" i="18"/>
  <c r="A26" i="18"/>
  <c r="C25" i="18"/>
  <c r="A25" i="18"/>
  <c r="C24" i="18"/>
  <c r="A24" i="18"/>
  <c r="C23" i="18"/>
  <c r="A23" i="18"/>
  <c r="C22" i="18"/>
  <c r="A22" i="18"/>
  <c r="C21" i="18"/>
  <c r="A21" i="18"/>
  <c r="C20" i="18"/>
  <c r="A20" i="18"/>
  <c r="C19" i="18"/>
  <c r="A19" i="18"/>
  <c r="C18" i="18"/>
  <c r="A18" i="18"/>
  <c r="C17" i="18"/>
  <c r="A17" i="18"/>
  <c r="C16" i="18"/>
  <c r="A16" i="18"/>
  <c r="C15" i="18"/>
  <c r="A15" i="18"/>
  <c r="C14" i="18"/>
  <c r="A14" i="18"/>
  <c r="C13" i="18"/>
  <c r="A13" i="18"/>
  <c r="C12" i="18"/>
  <c r="A12" i="18"/>
  <c r="C11" i="18"/>
  <c r="A11" i="18"/>
  <c r="J11" i="18"/>
  <c r="L11" i="18" s="1"/>
  <c r="C10" i="18"/>
  <c r="A10" i="18"/>
  <c r="J5" i="18"/>
  <c r="C9" i="18"/>
  <c r="A9" i="18"/>
  <c r="J7" i="18"/>
  <c r="C8" i="18"/>
  <c r="A8" i="18"/>
  <c r="J2" i="18"/>
  <c r="C7" i="18"/>
  <c r="A7" i="18"/>
  <c r="J6" i="18"/>
  <c r="C6" i="18"/>
  <c r="A6" i="18"/>
  <c r="J3" i="18"/>
  <c r="C5" i="18"/>
  <c r="A5" i="18"/>
  <c r="J8" i="18"/>
  <c r="C4" i="18"/>
  <c r="A4" i="18"/>
  <c r="J4" i="18"/>
  <c r="C3" i="18"/>
  <c r="A3" i="18"/>
  <c r="J9" i="18"/>
  <c r="C2" i="18"/>
  <c r="A2" i="18"/>
  <c r="J29" i="18"/>
  <c r="J28" i="18"/>
  <c r="J27" i="18"/>
  <c r="L26" i="18"/>
  <c r="J26" i="18"/>
  <c r="L25" i="18"/>
  <c r="J25" i="18"/>
  <c r="L24" i="18"/>
  <c r="J24" i="18"/>
  <c r="L23" i="18"/>
  <c r="J23" i="18"/>
  <c r="L22" i="18"/>
  <c r="J22" i="18"/>
  <c r="L21" i="18"/>
  <c r="J21" i="18"/>
  <c r="L20" i="18"/>
  <c r="J20" i="18"/>
  <c r="L19" i="18"/>
  <c r="J19" i="18"/>
  <c r="L18" i="18"/>
  <c r="J18" i="18"/>
  <c r="L17" i="18"/>
  <c r="J17" i="18"/>
  <c r="L16" i="18"/>
  <c r="J16" i="18"/>
  <c r="L15" i="18"/>
  <c r="L14" i="18"/>
  <c r="L13" i="18"/>
  <c r="L12" i="18"/>
  <c r="L2" i="18" l="1"/>
  <c r="L3" i="18"/>
  <c r="L4" i="18"/>
  <c r="L5" i="18"/>
  <c r="L6" i="18"/>
  <c r="L7" i="18"/>
  <c r="L8" i="18"/>
  <c r="L9" i="18"/>
  <c r="L10" i="18"/>
  <c r="AL9" i="20"/>
  <c r="AL8" i="20"/>
  <c r="AL7" i="20"/>
  <c r="V9" i="20"/>
  <c r="V8" i="20"/>
  <c r="V7" i="20"/>
  <c r="F9" i="20"/>
  <c r="F8" i="20"/>
  <c r="F7" i="20"/>
  <c r="AL9" i="19"/>
  <c r="AL8" i="19"/>
  <c r="AL7" i="19"/>
  <c r="V9" i="19"/>
  <c r="V8" i="19"/>
  <c r="V7" i="19"/>
  <c r="F9" i="19"/>
  <c r="F8" i="19"/>
  <c r="F7" i="19"/>
  <c r="W58" i="2"/>
  <c r="W57" i="2"/>
  <c r="W56" i="2"/>
  <c r="W55" i="2"/>
  <c r="W54" i="2"/>
  <c r="W53" i="2"/>
  <c r="W50" i="2"/>
  <c r="W49" i="2"/>
  <c r="W48" i="2"/>
  <c r="W47" i="2"/>
  <c r="W46" i="2"/>
  <c r="W45" i="2"/>
  <c r="W44" i="2"/>
  <c r="W43" i="2"/>
  <c r="W42" i="2"/>
  <c r="W41" i="2"/>
  <c r="W40" i="2"/>
  <c r="W39" i="2"/>
  <c r="W38" i="2"/>
  <c r="W37" i="2"/>
  <c r="W36" i="2"/>
  <c r="W35" i="2"/>
  <c r="W34" i="2"/>
  <c r="W33" i="2"/>
  <c r="W32" i="2"/>
  <c r="W31" i="2"/>
  <c r="W30" i="2"/>
  <c r="W29" i="2"/>
  <c r="W28" i="2"/>
  <c r="W27" i="2"/>
  <c r="W26" i="2"/>
  <c r="K6" i="9"/>
  <c r="L6" i="9"/>
  <c r="R6" i="9" s="1"/>
  <c r="M6" i="9"/>
  <c r="N6" i="9"/>
  <c r="O6" i="9"/>
  <c r="Q6" i="9"/>
  <c r="K7" i="9"/>
  <c r="Q7" i="9" s="1"/>
  <c r="L7" i="9"/>
  <c r="M7" i="9"/>
  <c r="N7" i="9"/>
  <c r="O7" i="9"/>
  <c r="K8" i="9"/>
  <c r="L8" i="9"/>
  <c r="R8" i="9" s="1"/>
  <c r="M8" i="9"/>
  <c r="N8" i="9"/>
  <c r="O8" i="9"/>
  <c r="Q8" i="9"/>
  <c r="K9" i="9"/>
  <c r="Q9" i="9" s="1"/>
  <c r="L9" i="9"/>
  <c r="M9" i="9"/>
  <c r="N9" i="9"/>
  <c r="O9" i="9"/>
  <c r="K10" i="9"/>
  <c r="Q10" i="9" s="1"/>
  <c r="L10" i="9"/>
  <c r="S10" i="9" s="1"/>
  <c r="M10" i="9"/>
  <c r="N10" i="9"/>
  <c r="O10" i="9"/>
  <c r="K11" i="9"/>
  <c r="Q11" i="9" s="1"/>
  <c r="L11" i="9"/>
  <c r="M11" i="9"/>
  <c r="N11" i="9"/>
  <c r="O11" i="9"/>
  <c r="K12" i="9"/>
  <c r="Q12" i="9" s="1"/>
  <c r="L12" i="9"/>
  <c r="M12" i="9"/>
  <c r="N12" i="9"/>
  <c r="O12" i="9"/>
  <c r="K13" i="9"/>
  <c r="Q13" i="9" s="1"/>
  <c r="L13" i="9"/>
  <c r="M13" i="9"/>
  <c r="N13" i="9"/>
  <c r="O13" i="9"/>
  <c r="K14" i="9"/>
  <c r="Q14" i="9" s="1"/>
  <c r="L14" i="9"/>
  <c r="M14" i="9"/>
  <c r="N14" i="9"/>
  <c r="O14" i="9"/>
  <c r="K15" i="9"/>
  <c r="Q15" i="9" s="1"/>
  <c r="L15" i="9"/>
  <c r="M15" i="9"/>
  <c r="N15" i="9"/>
  <c r="O15" i="9"/>
  <c r="K16" i="9"/>
  <c r="Q16" i="9" s="1"/>
  <c r="L16" i="9"/>
  <c r="S16" i="9" s="1"/>
  <c r="M16" i="9"/>
  <c r="N16" i="9"/>
  <c r="O16" i="9"/>
  <c r="K17" i="9"/>
  <c r="Q17" i="9" s="1"/>
  <c r="L17" i="9"/>
  <c r="M17" i="9"/>
  <c r="N17" i="9"/>
  <c r="O17" i="9"/>
  <c r="K18" i="9"/>
  <c r="Q18" i="9" s="1"/>
  <c r="L18" i="9"/>
  <c r="M18" i="9"/>
  <c r="N18" i="9"/>
  <c r="O18" i="9"/>
  <c r="K19" i="9"/>
  <c r="Q19" i="9" s="1"/>
  <c r="L19" i="9"/>
  <c r="M19" i="9"/>
  <c r="N19" i="9"/>
  <c r="O19" i="9"/>
  <c r="K20" i="9"/>
  <c r="Q20" i="9" s="1"/>
  <c r="L20" i="9"/>
  <c r="S20" i="9" s="1"/>
  <c r="M20" i="9"/>
  <c r="N20" i="9"/>
  <c r="O20" i="9"/>
  <c r="K21" i="9"/>
  <c r="Q21" i="9" s="1"/>
  <c r="L21" i="9"/>
  <c r="M21" i="9"/>
  <c r="N21" i="9"/>
  <c r="O21" i="9"/>
  <c r="K22" i="9"/>
  <c r="Q22" i="9" s="1"/>
  <c r="L22" i="9"/>
  <c r="M22" i="9"/>
  <c r="N22" i="9"/>
  <c r="O22" i="9"/>
  <c r="K23" i="9"/>
  <c r="Q23" i="9" s="1"/>
  <c r="L23" i="9"/>
  <c r="M23" i="9"/>
  <c r="N23" i="9"/>
  <c r="O23" i="9"/>
  <c r="K24" i="9"/>
  <c r="Q24" i="9" s="1"/>
  <c r="L24" i="9"/>
  <c r="S24" i="9" s="1"/>
  <c r="M24" i="9"/>
  <c r="N24" i="9"/>
  <c r="O24" i="9"/>
  <c r="K25" i="9"/>
  <c r="Q25" i="9" s="1"/>
  <c r="L25" i="9"/>
  <c r="M25" i="9"/>
  <c r="N25" i="9"/>
  <c r="O25" i="9"/>
  <c r="K26" i="9"/>
  <c r="Q26" i="9" s="1"/>
  <c r="L26" i="9"/>
  <c r="M26" i="9"/>
  <c r="N26" i="9"/>
  <c r="O26" i="9"/>
  <c r="K27" i="9"/>
  <c r="L27" i="9"/>
  <c r="M27" i="9"/>
  <c r="N27" i="9"/>
  <c r="O27" i="9"/>
  <c r="K28" i="9"/>
  <c r="L28" i="9"/>
  <c r="U28" i="9" s="1"/>
  <c r="M28" i="9"/>
  <c r="N28" i="9"/>
  <c r="O28" i="9"/>
  <c r="K29" i="9"/>
  <c r="L29" i="9"/>
  <c r="M29" i="9"/>
  <c r="N29" i="9"/>
  <c r="O29" i="9"/>
  <c r="Q29" i="9"/>
  <c r="K30" i="9"/>
  <c r="Q30" i="9" s="1"/>
  <c r="L30" i="9"/>
  <c r="M30" i="9"/>
  <c r="N30" i="9"/>
  <c r="O30" i="9"/>
  <c r="K31" i="9"/>
  <c r="L31" i="9"/>
  <c r="M31" i="9"/>
  <c r="N31" i="9"/>
  <c r="O31" i="9"/>
  <c r="Q31" i="9"/>
  <c r="K32" i="9"/>
  <c r="Q32" i="9" s="1"/>
  <c r="L32" i="9"/>
  <c r="M32" i="9"/>
  <c r="N32" i="9"/>
  <c r="O32" i="9"/>
  <c r="K33" i="9"/>
  <c r="Q33" i="9" s="1"/>
  <c r="L33" i="9"/>
  <c r="M33" i="9"/>
  <c r="N33" i="9"/>
  <c r="O33" i="9"/>
  <c r="K34" i="9"/>
  <c r="Q34" i="9" s="1"/>
  <c r="L34" i="9"/>
  <c r="M34" i="9"/>
  <c r="N34" i="9"/>
  <c r="O34" i="9"/>
  <c r="K35" i="9"/>
  <c r="Q35" i="9" s="1"/>
  <c r="L35" i="9"/>
  <c r="M35" i="9"/>
  <c r="N35" i="9"/>
  <c r="O35" i="9"/>
  <c r="K36" i="9"/>
  <c r="Q36" i="9" s="1"/>
  <c r="L36" i="9"/>
  <c r="M36" i="9"/>
  <c r="N36" i="9"/>
  <c r="O36" i="9"/>
  <c r="K37" i="9"/>
  <c r="L37" i="9"/>
  <c r="M37" i="9"/>
  <c r="N37" i="9"/>
  <c r="O37" i="9"/>
  <c r="Q37" i="9"/>
  <c r="K38" i="9"/>
  <c r="Q38" i="9" s="1"/>
  <c r="L38" i="9"/>
  <c r="M38" i="9"/>
  <c r="N38" i="9"/>
  <c r="O38" i="9"/>
  <c r="K39" i="9"/>
  <c r="L39" i="9"/>
  <c r="M39" i="9"/>
  <c r="N39" i="9"/>
  <c r="O39" i="9"/>
  <c r="Q39" i="9"/>
  <c r="K40" i="9"/>
  <c r="Q40" i="9" s="1"/>
  <c r="L40" i="9"/>
  <c r="M40" i="9"/>
  <c r="N40" i="9"/>
  <c r="O40" i="9"/>
  <c r="K41" i="9"/>
  <c r="Q41" i="9" s="1"/>
  <c r="L41" i="9"/>
  <c r="M41" i="9"/>
  <c r="N41" i="9"/>
  <c r="O41" i="9"/>
  <c r="K42" i="9"/>
  <c r="Q42" i="9" s="1"/>
  <c r="L42" i="9"/>
  <c r="M42" i="9"/>
  <c r="N42" i="9"/>
  <c r="O42" i="9"/>
  <c r="K43" i="9"/>
  <c r="Q43" i="9" s="1"/>
  <c r="L43" i="9"/>
  <c r="M43" i="9"/>
  <c r="N43" i="9"/>
  <c r="O43" i="9"/>
  <c r="K44" i="9"/>
  <c r="Q44" i="9" s="1"/>
  <c r="L44" i="9"/>
  <c r="M44" i="9"/>
  <c r="N44" i="9"/>
  <c r="O44" i="9"/>
  <c r="K45" i="9"/>
  <c r="L45" i="9"/>
  <c r="M45" i="9"/>
  <c r="N45" i="9"/>
  <c r="O45" i="9"/>
  <c r="Q45" i="9"/>
  <c r="K46" i="9"/>
  <c r="Q46" i="9" s="1"/>
  <c r="L46" i="9"/>
  <c r="M46" i="9"/>
  <c r="N46" i="9"/>
  <c r="O46" i="9"/>
  <c r="K47" i="9"/>
  <c r="L47" i="9"/>
  <c r="M47" i="9"/>
  <c r="N47" i="9"/>
  <c r="O47" i="9"/>
  <c r="Q47" i="9"/>
  <c r="K48" i="9"/>
  <c r="Q48" i="9" s="1"/>
  <c r="L48" i="9"/>
  <c r="M48" i="9"/>
  <c r="N48" i="9"/>
  <c r="O48" i="9"/>
  <c r="K49" i="9"/>
  <c r="Q49" i="9" s="1"/>
  <c r="L49" i="9"/>
  <c r="M49" i="9"/>
  <c r="N49" i="9"/>
  <c r="O49" i="9"/>
  <c r="K50" i="9"/>
  <c r="Q50" i="9" s="1"/>
  <c r="L50" i="9"/>
  <c r="M50" i="9"/>
  <c r="N50" i="9"/>
  <c r="O50" i="9"/>
  <c r="K51" i="9"/>
  <c r="Q51" i="9" s="1"/>
  <c r="L51" i="9"/>
  <c r="M51" i="9"/>
  <c r="N51" i="9"/>
  <c r="O51" i="9"/>
  <c r="K52" i="9"/>
  <c r="L52" i="9"/>
  <c r="M52" i="9"/>
  <c r="N52" i="9"/>
  <c r="O52" i="9"/>
  <c r="K53" i="9"/>
  <c r="Q53" i="9" s="1"/>
  <c r="L53" i="9"/>
  <c r="M53" i="9"/>
  <c r="N53" i="9"/>
  <c r="O53" i="9"/>
  <c r="K54" i="9"/>
  <c r="L54" i="9"/>
  <c r="M54" i="9"/>
  <c r="N54" i="9"/>
  <c r="O54" i="9"/>
  <c r="K55" i="9"/>
  <c r="Q55" i="9" s="1"/>
  <c r="L55" i="9"/>
  <c r="M55" i="9"/>
  <c r="N55" i="9"/>
  <c r="O55" i="9"/>
  <c r="K56" i="9"/>
  <c r="L56" i="9"/>
  <c r="M56" i="9"/>
  <c r="N56" i="9"/>
  <c r="O56" i="9"/>
  <c r="R56" i="9"/>
  <c r="K57" i="9"/>
  <c r="L57" i="9"/>
  <c r="M57" i="9"/>
  <c r="N57" i="9"/>
  <c r="O57" i="9"/>
  <c r="K58" i="9"/>
  <c r="R58" i="9" s="1"/>
  <c r="L58" i="9"/>
  <c r="M58" i="9"/>
  <c r="N58" i="9"/>
  <c r="O58" i="9"/>
  <c r="K59" i="9"/>
  <c r="L59" i="9"/>
  <c r="M59" i="9"/>
  <c r="N59" i="9"/>
  <c r="O59" i="9"/>
  <c r="K60" i="9"/>
  <c r="L60" i="9"/>
  <c r="M60" i="9"/>
  <c r="N60" i="9"/>
  <c r="O60" i="9"/>
  <c r="K61" i="9"/>
  <c r="L61" i="9"/>
  <c r="M61" i="9"/>
  <c r="N61" i="9"/>
  <c r="O61" i="9"/>
  <c r="K62" i="9"/>
  <c r="L62" i="9"/>
  <c r="M62" i="9"/>
  <c r="N62" i="9"/>
  <c r="O62" i="9"/>
  <c r="R62" i="9"/>
  <c r="K63" i="9"/>
  <c r="L63" i="9"/>
  <c r="M63" i="9"/>
  <c r="N63" i="9"/>
  <c r="O63" i="9"/>
  <c r="K64" i="9"/>
  <c r="L64" i="9"/>
  <c r="R64" i="9" s="1"/>
  <c r="M64" i="9"/>
  <c r="N64" i="9"/>
  <c r="O64" i="9"/>
  <c r="K65" i="9"/>
  <c r="L65" i="9"/>
  <c r="M65" i="9"/>
  <c r="N65" i="9"/>
  <c r="O65" i="9"/>
  <c r="K66" i="9"/>
  <c r="L66" i="9"/>
  <c r="M66" i="9"/>
  <c r="N66" i="9"/>
  <c r="O66" i="9"/>
  <c r="K67" i="9"/>
  <c r="L67" i="9"/>
  <c r="M67" i="9"/>
  <c r="N67" i="9"/>
  <c r="O67" i="9"/>
  <c r="K68" i="9"/>
  <c r="L68" i="9"/>
  <c r="M68" i="9"/>
  <c r="N68" i="9"/>
  <c r="O68" i="9"/>
  <c r="K69" i="9"/>
  <c r="L69" i="9"/>
  <c r="M69" i="9"/>
  <c r="N69" i="9"/>
  <c r="O69" i="9"/>
  <c r="K70" i="9"/>
  <c r="L70" i="9"/>
  <c r="M70" i="9"/>
  <c r="N70" i="9"/>
  <c r="O70" i="9"/>
  <c r="R70" i="9"/>
  <c r="K71" i="9"/>
  <c r="R71" i="9" s="1"/>
  <c r="L71" i="9"/>
  <c r="M71" i="9"/>
  <c r="N71" i="9"/>
  <c r="O71" i="9"/>
  <c r="K72" i="9"/>
  <c r="L72" i="9"/>
  <c r="M72" i="9"/>
  <c r="N72" i="9"/>
  <c r="O72" i="9"/>
  <c r="K73" i="9"/>
  <c r="L73" i="9"/>
  <c r="M73" i="9"/>
  <c r="N73" i="9"/>
  <c r="O73" i="9"/>
  <c r="K74" i="9"/>
  <c r="L74" i="9"/>
  <c r="R74" i="9" s="1"/>
  <c r="M74" i="9"/>
  <c r="N74" i="9"/>
  <c r="O74" i="9"/>
  <c r="K75" i="9"/>
  <c r="L75" i="9"/>
  <c r="M75" i="9"/>
  <c r="N75" i="9"/>
  <c r="O75" i="9"/>
  <c r="K76" i="9"/>
  <c r="Q76" i="9" s="1"/>
  <c r="L76" i="9"/>
  <c r="M76" i="9"/>
  <c r="S76" i="9" s="1"/>
  <c r="N76" i="9"/>
  <c r="O76" i="9"/>
  <c r="K77" i="9"/>
  <c r="Q77" i="9" s="1"/>
  <c r="L77" i="9"/>
  <c r="M77" i="9"/>
  <c r="N77" i="9"/>
  <c r="O77" i="9"/>
  <c r="K78" i="9"/>
  <c r="Q78" i="9" s="1"/>
  <c r="L78" i="9"/>
  <c r="M78" i="9"/>
  <c r="N78" i="9"/>
  <c r="O78" i="9"/>
  <c r="K79" i="9"/>
  <c r="Q79" i="9" s="1"/>
  <c r="L79" i="9"/>
  <c r="M79" i="9"/>
  <c r="N79" i="9"/>
  <c r="O79" i="9"/>
  <c r="K80" i="9"/>
  <c r="Q80" i="9" s="1"/>
  <c r="L80" i="9"/>
  <c r="M80" i="9"/>
  <c r="S80" i="9" s="1"/>
  <c r="N80" i="9"/>
  <c r="O80" i="9"/>
  <c r="K81" i="9"/>
  <c r="Q81" i="9" s="1"/>
  <c r="L81" i="9"/>
  <c r="M81" i="9"/>
  <c r="N81" i="9"/>
  <c r="O81" i="9"/>
  <c r="K82" i="9"/>
  <c r="Q82" i="9" s="1"/>
  <c r="L82" i="9"/>
  <c r="M82" i="9"/>
  <c r="N82" i="9"/>
  <c r="O82" i="9"/>
  <c r="K83" i="9"/>
  <c r="Q83" i="9" s="1"/>
  <c r="L83" i="9"/>
  <c r="M83" i="9"/>
  <c r="N83" i="9"/>
  <c r="O83" i="9"/>
  <c r="K84" i="9"/>
  <c r="Q84" i="9" s="1"/>
  <c r="L84" i="9"/>
  <c r="M84" i="9"/>
  <c r="S84" i="9" s="1"/>
  <c r="N84" i="9"/>
  <c r="O84" i="9"/>
  <c r="K85" i="9"/>
  <c r="Q85" i="9" s="1"/>
  <c r="L85" i="9"/>
  <c r="M85" i="9"/>
  <c r="N85" i="9"/>
  <c r="O85" i="9"/>
  <c r="K86" i="9"/>
  <c r="Q86" i="9" s="1"/>
  <c r="L86" i="9"/>
  <c r="M86" i="9"/>
  <c r="N86" i="9"/>
  <c r="O86" i="9"/>
  <c r="K87" i="9"/>
  <c r="Q87" i="9" s="1"/>
  <c r="L87" i="9"/>
  <c r="M87" i="9"/>
  <c r="N87" i="9"/>
  <c r="O87" i="9"/>
  <c r="K88" i="9"/>
  <c r="Q88" i="9" s="1"/>
  <c r="L88" i="9"/>
  <c r="M88" i="9"/>
  <c r="S88" i="9" s="1"/>
  <c r="N88" i="9"/>
  <c r="O88" i="9"/>
  <c r="K89" i="9"/>
  <c r="Q89" i="9" s="1"/>
  <c r="L89" i="9"/>
  <c r="M89" i="9"/>
  <c r="N89" i="9"/>
  <c r="O89" i="9"/>
  <c r="K90" i="9"/>
  <c r="Q90" i="9" s="1"/>
  <c r="L90" i="9"/>
  <c r="M90" i="9"/>
  <c r="N90" i="9"/>
  <c r="O90" i="9"/>
  <c r="K91" i="9"/>
  <c r="Q91" i="9" s="1"/>
  <c r="L91" i="9"/>
  <c r="M91" i="9"/>
  <c r="N91" i="9"/>
  <c r="O91" i="9"/>
  <c r="K92" i="9"/>
  <c r="Q92" i="9" s="1"/>
  <c r="L92" i="9"/>
  <c r="M92" i="9"/>
  <c r="S92" i="9" s="1"/>
  <c r="N92" i="9"/>
  <c r="O92" i="9"/>
  <c r="K93" i="9"/>
  <c r="Q93" i="9" s="1"/>
  <c r="L93" i="9"/>
  <c r="M93" i="9"/>
  <c r="N93" i="9"/>
  <c r="O93" i="9"/>
  <c r="K94" i="9"/>
  <c r="Q94" i="9" s="1"/>
  <c r="L94" i="9"/>
  <c r="M94" i="9"/>
  <c r="N94" i="9"/>
  <c r="O94" i="9"/>
  <c r="K95" i="9"/>
  <c r="Q95" i="9" s="1"/>
  <c r="L95" i="9"/>
  <c r="M95" i="9"/>
  <c r="N95" i="9"/>
  <c r="O95" i="9"/>
  <c r="K96" i="9"/>
  <c r="Q96" i="9" s="1"/>
  <c r="L96" i="9"/>
  <c r="M96" i="9"/>
  <c r="S96" i="9" s="1"/>
  <c r="N96" i="9"/>
  <c r="O96" i="9"/>
  <c r="K97" i="9"/>
  <c r="Q97" i="9" s="1"/>
  <c r="L97" i="9"/>
  <c r="M97" i="9"/>
  <c r="N97" i="9"/>
  <c r="O97" i="9"/>
  <c r="K98" i="9"/>
  <c r="Q98" i="9" s="1"/>
  <c r="L98" i="9"/>
  <c r="M98" i="9"/>
  <c r="N98" i="9"/>
  <c r="O98" i="9"/>
  <c r="K99" i="9"/>
  <c r="Q99" i="9" s="1"/>
  <c r="L99" i="9"/>
  <c r="M99" i="9"/>
  <c r="N99" i="9"/>
  <c r="O99" i="9"/>
  <c r="K100" i="9"/>
  <c r="Q100" i="9" s="1"/>
  <c r="L100" i="9"/>
  <c r="M100" i="9"/>
  <c r="S100" i="9" s="1"/>
  <c r="N100" i="9"/>
  <c r="O100" i="9"/>
  <c r="K101" i="9"/>
  <c r="Q101" i="9" s="1"/>
  <c r="L101" i="9"/>
  <c r="M101" i="9"/>
  <c r="N101" i="9"/>
  <c r="O101" i="9"/>
  <c r="S27" i="9" l="1"/>
  <c r="S67" i="9"/>
  <c r="S61" i="9"/>
  <c r="S57" i="9"/>
  <c r="R73" i="9"/>
  <c r="R66" i="9"/>
  <c r="S63" i="9"/>
  <c r="R60" i="9"/>
  <c r="R69" i="9"/>
  <c r="R65" i="9"/>
  <c r="S59" i="9"/>
  <c r="S98" i="9"/>
  <c r="S94" i="9"/>
  <c r="S90" i="9"/>
  <c r="S86" i="9"/>
  <c r="S82" i="9"/>
  <c r="S78" i="9"/>
  <c r="U75" i="9"/>
  <c r="S12" i="9"/>
  <c r="R9" i="9"/>
  <c r="R7" i="9"/>
  <c r="S26" i="9"/>
  <c r="S22" i="9"/>
  <c r="S18" i="9"/>
  <c r="S14" i="9"/>
  <c r="T75" i="9"/>
  <c r="T101" i="9"/>
  <c r="T99" i="9"/>
  <c r="T97" i="9"/>
  <c r="T95" i="9"/>
  <c r="T93" i="9"/>
  <c r="T91" i="9"/>
  <c r="T89" i="9"/>
  <c r="T87" i="9"/>
  <c r="T85" i="9"/>
  <c r="T83" i="9"/>
  <c r="T81" i="9"/>
  <c r="T79" i="9"/>
  <c r="T77" i="9"/>
  <c r="S75" i="9"/>
  <c r="T68" i="9"/>
  <c r="T71" i="9"/>
  <c r="T67" i="9"/>
  <c r="T53" i="9"/>
  <c r="S25" i="9"/>
  <c r="S23" i="9"/>
  <c r="S21" i="9"/>
  <c r="S19" i="9"/>
  <c r="S17" i="9"/>
  <c r="S15" i="9"/>
  <c r="S13" i="9"/>
  <c r="S11" i="9"/>
  <c r="S9" i="9"/>
  <c r="S8" i="9"/>
  <c r="S7" i="9"/>
  <c r="S6" i="9"/>
  <c r="S28" i="9"/>
  <c r="S101" i="9"/>
  <c r="T100" i="9"/>
  <c r="S99" i="9"/>
  <c r="T98" i="9"/>
  <c r="S97" i="9"/>
  <c r="T96" i="9"/>
  <c r="S95" i="9"/>
  <c r="T94" i="9"/>
  <c r="S93" i="9"/>
  <c r="T92" i="9"/>
  <c r="S91" i="9"/>
  <c r="T90" i="9"/>
  <c r="S89" i="9"/>
  <c r="T88" i="9"/>
  <c r="S87" i="9"/>
  <c r="T86" i="9"/>
  <c r="S85" i="9"/>
  <c r="T84" i="9"/>
  <c r="S83" i="9"/>
  <c r="T82" i="9"/>
  <c r="S81" i="9"/>
  <c r="T80" i="9"/>
  <c r="S79" i="9"/>
  <c r="T78" i="9"/>
  <c r="S77" i="9"/>
  <c r="T76" i="9"/>
  <c r="T69" i="9"/>
  <c r="R67" i="9"/>
  <c r="R63" i="9"/>
  <c r="R61" i="9"/>
  <c r="R59" i="9"/>
  <c r="R57" i="9"/>
  <c r="T55" i="9"/>
  <c r="U30" i="9"/>
  <c r="S72" i="9"/>
  <c r="Q72" i="9"/>
  <c r="U72" i="9"/>
  <c r="R29" i="9"/>
  <c r="S29" i="9"/>
  <c r="T29" i="9"/>
  <c r="U29" i="9"/>
  <c r="T22" i="9"/>
  <c r="T10" i="9"/>
  <c r="U10" i="9"/>
  <c r="R101" i="9"/>
  <c r="R100" i="9"/>
  <c r="R99" i="9"/>
  <c r="R98" i="9"/>
  <c r="R97" i="9"/>
  <c r="R96" i="9"/>
  <c r="R95" i="9"/>
  <c r="R94" i="9"/>
  <c r="R93" i="9"/>
  <c r="R92" i="9"/>
  <c r="R91" i="9"/>
  <c r="R90" i="9"/>
  <c r="R89" i="9"/>
  <c r="R88" i="9"/>
  <c r="R87" i="9"/>
  <c r="R86" i="9"/>
  <c r="R85" i="9"/>
  <c r="R84" i="9"/>
  <c r="R83" i="9"/>
  <c r="R82" i="9"/>
  <c r="R81" i="9"/>
  <c r="R80" i="9"/>
  <c r="R79" i="9"/>
  <c r="R78" i="9"/>
  <c r="R77" i="9"/>
  <c r="R76" i="9"/>
  <c r="R75" i="9"/>
  <c r="T73" i="9"/>
  <c r="S71" i="9"/>
  <c r="Q71" i="9"/>
  <c r="U71" i="9"/>
  <c r="T66" i="9"/>
  <c r="S65" i="9"/>
  <c r="T64" i="9"/>
  <c r="T62" i="9"/>
  <c r="T60" i="9"/>
  <c r="T58" i="9"/>
  <c r="T56" i="9"/>
  <c r="R54" i="9"/>
  <c r="S54" i="9"/>
  <c r="Q54" i="9"/>
  <c r="T54" i="9"/>
  <c r="U54" i="9"/>
  <c r="T50" i="9"/>
  <c r="U50" i="9"/>
  <c r="T48" i="9"/>
  <c r="U48" i="9"/>
  <c r="T46" i="9"/>
  <c r="U46" i="9"/>
  <c r="T44" i="9"/>
  <c r="U44" i="9"/>
  <c r="T42" i="9"/>
  <c r="U42" i="9"/>
  <c r="T40" i="9"/>
  <c r="U40" i="9"/>
  <c r="T38" i="9"/>
  <c r="U38" i="9"/>
  <c r="T36" i="9"/>
  <c r="U36" i="9"/>
  <c r="T34" i="9"/>
  <c r="U34" i="9"/>
  <c r="T32" i="9"/>
  <c r="U32" i="9"/>
  <c r="T6" i="9"/>
  <c r="U6" i="9"/>
  <c r="U101" i="9"/>
  <c r="U100" i="9"/>
  <c r="U99" i="9"/>
  <c r="U98" i="9"/>
  <c r="U97" i="9"/>
  <c r="U96" i="9"/>
  <c r="U95" i="9"/>
  <c r="U94" i="9"/>
  <c r="U93" i="9"/>
  <c r="U92" i="9"/>
  <c r="U91" i="9"/>
  <c r="U90" i="9"/>
  <c r="U89" i="9"/>
  <c r="U88" i="9"/>
  <c r="U87" i="9"/>
  <c r="U86" i="9"/>
  <c r="U85" i="9"/>
  <c r="U84" i="9"/>
  <c r="U83" i="9"/>
  <c r="U82" i="9"/>
  <c r="U81" i="9"/>
  <c r="U80" i="9"/>
  <c r="U79" i="9"/>
  <c r="U78" i="9"/>
  <c r="U77" i="9"/>
  <c r="U76" i="9"/>
  <c r="Q75" i="9"/>
  <c r="S74" i="9"/>
  <c r="Q74" i="9"/>
  <c r="T72" i="9"/>
  <c r="S70" i="9"/>
  <c r="Q70" i="9"/>
  <c r="U70" i="9"/>
  <c r="R52" i="9"/>
  <c r="S52" i="9"/>
  <c r="Q52" i="9"/>
  <c r="T52" i="9"/>
  <c r="U52" i="9"/>
  <c r="T74" i="9"/>
  <c r="T70" i="9"/>
  <c r="S68" i="9"/>
  <c r="Q68" i="9"/>
  <c r="U68" i="9"/>
  <c r="U74" i="9"/>
  <c r="S73" i="9"/>
  <c r="Q73" i="9"/>
  <c r="U73" i="9"/>
  <c r="R72" i="9"/>
  <c r="S69" i="9"/>
  <c r="Q69" i="9"/>
  <c r="U69" i="9"/>
  <c r="R68" i="9"/>
  <c r="S66" i="9"/>
  <c r="T65" i="9"/>
  <c r="S64" i="9"/>
  <c r="T63" i="9"/>
  <c r="S62" i="9"/>
  <c r="T61" i="9"/>
  <c r="S60" i="9"/>
  <c r="T59" i="9"/>
  <c r="S58" i="9"/>
  <c r="T57" i="9"/>
  <c r="S56" i="9"/>
  <c r="T51" i="9"/>
  <c r="U51" i="9"/>
  <c r="T49" i="9"/>
  <c r="U49" i="9"/>
  <c r="T47" i="9"/>
  <c r="U47" i="9"/>
  <c r="T45" i="9"/>
  <c r="U45" i="9"/>
  <c r="T43" i="9"/>
  <c r="U43" i="9"/>
  <c r="T41" i="9"/>
  <c r="U41" i="9"/>
  <c r="T39" i="9"/>
  <c r="U39" i="9"/>
  <c r="T37" i="9"/>
  <c r="U37" i="9"/>
  <c r="T35" i="9"/>
  <c r="U35" i="9"/>
  <c r="T33" i="9"/>
  <c r="U33" i="9"/>
  <c r="T31" i="9"/>
  <c r="U31" i="9"/>
  <c r="U67" i="9"/>
  <c r="Q67" i="9"/>
  <c r="U66" i="9"/>
  <c r="Q66" i="9"/>
  <c r="U65" i="9"/>
  <c r="Q65" i="9"/>
  <c r="U64" i="9"/>
  <c r="Q64" i="9"/>
  <c r="U63" i="9"/>
  <c r="Q63" i="9"/>
  <c r="U62" i="9"/>
  <c r="Q62" i="9"/>
  <c r="U61" i="9"/>
  <c r="Q61" i="9"/>
  <c r="U60" i="9"/>
  <c r="Q60" i="9"/>
  <c r="U59" i="9"/>
  <c r="Q59" i="9"/>
  <c r="U58" i="9"/>
  <c r="Q58" i="9"/>
  <c r="U57" i="9"/>
  <c r="Q57" i="9"/>
  <c r="U56" i="9"/>
  <c r="Q56" i="9"/>
  <c r="R51" i="9"/>
  <c r="R50" i="9"/>
  <c r="R49" i="9"/>
  <c r="R48" i="9"/>
  <c r="R47" i="9"/>
  <c r="R46" i="9"/>
  <c r="R45" i="9"/>
  <c r="R44" i="9"/>
  <c r="R43" i="9"/>
  <c r="R42" i="9"/>
  <c r="R41" i="9"/>
  <c r="R40" i="9"/>
  <c r="R39" i="9"/>
  <c r="R38" i="9"/>
  <c r="R37" i="9"/>
  <c r="R36" i="9"/>
  <c r="R35" i="9"/>
  <c r="R34" i="9"/>
  <c r="R33" i="9"/>
  <c r="R32" i="9"/>
  <c r="R31" i="9"/>
  <c r="T18" i="9"/>
  <c r="R55" i="9"/>
  <c r="S55" i="9"/>
  <c r="R53" i="9"/>
  <c r="S53" i="9"/>
  <c r="S30" i="9"/>
  <c r="T30" i="9"/>
  <c r="T26" i="9"/>
  <c r="T14" i="9"/>
  <c r="U55" i="9"/>
  <c r="U53" i="9"/>
  <c r="R30" i="9"/>
  <c r="T28" i="9"/>
  <c r="Q27" i="9"/>
  <c r="U27" i="9"/>
  <c r="R27" i="9"/>
  <c r="T23" i="9"/>
  <c r="T19" i="9"/>
  <c r="T15" i="9"/>
  <c r="T11" i="9"/>
  <c r="T9" i="9"/>
  <c r="U9" i="9"/>
  <c r="S51" i="9"/>
  <c r="S50" i="9"/>
  <c r="S49" i="9"/>
  <c r="S48" i="9"/>
  <c r="S47" i="9"/>
  <c r="S46" i="9"/>
  <c r="S45" i="9"/>
  <c r="S44" i="9"/>
  <c r="S43" i="9"/>
  <c r="S42" i="9"/>
  <c r="S41" i="9"/>
  <c r="S40" i="9"/>
  <c r="S39" i="9"/>
  <c r="S38" i="9"/>
  <c r="S37" i="9"/>
  <c r="S36" i="9"/>
  <c r="S35" i="9"/>
  <c r="S34" i="9"/>
  <c r="S33" i="9"/>
  <c r="S32" i="9"/>
  <c r="S31" i="9"/>
  <c r="T24" i="9"/>
  <c r="T20" i="9"/>
  <c r="T16" i="9"/>
  <c r="T12" i="9"/>
  <c r="T8" i="9"/>
  <c r="U8" i="9"/>
  <c r="Q28" i="9"/>
  <c r="R28" i="9"/>
  <c r="T27" i="9"/>
  <c r="T25" i="9"/>
  <c r="T21" i="9"/>
  <c r="T17" i="9"/>
  <c r="T13" i="9"/>
  <c r="T7" i="9"/>
  <c r="U7" i="9"/>
  <c r="R26" i="9"/>
  <c r="R25" i="9"/>
  <c r="R24" i="9"/>
  <c r="R23" i="9"/>
  <c r="R22" i="9"/>
  <c r="R21" i="9"/>
  <c r="R20" i="9"/>
  <c r="R19" i="9"/>
  <c r="R18" i="9"/>
  <c r="R17" i="9"/>
  <c r="R16" i="9"/>
  <c r="R15" i="9"/>
  <c r="R14" i="9"/>
  <c r="R13" i="9"/>
  <c r="R12" i="9"/>
  <c r="R11" i="9"/>
  <c r="R10" i="9"/>
  <c r="U26" i="9"/>
  <c r="U25" i="9"/>
  <c r="U24" i="9"/>
  <c r="U23" i="9"/>
  <c r="U22" i="9"/>
  <c r="U21" i="9"/>
  <c r="U20" i="9"/>
  <c r="U19" i="9"/>
  <c r="U18" i="9"/>
  <c r="U17" i="9"/>
  <c r="U16" i="9"/>
  <c r="U15" i="9"/>
  <c r="U14" i="9"/>
  <c r="U13" i="9"/>
  <c r="U12" i="9"/>
  <c r="U11" i="9"/>
  <c r="BC7" i="1" l="1"/>
  <c r="F19" i="6" l="1"/>
  <c r="N262" i="19" l="1"/>
  <c r="AN262" i="19" s="1"/>
  <c r="N265" i="19"/>
  <c r="AW265" i="19" s="1"/>
  <c r="N259" i="19"/>
  <c r="B259" i="19" s="1"/>
  <c r="H259" i="19" s="1"/>
  <c r="N256" i="19"/>
  <c r="AN256" i="19" s="1"/>
  <c r="N253" i="19"/>
  <c r="AT253" i="19" s="1"/>
  <c r="N250" i="19"/>
  <c r="AT250" i="19" s="1"/>
  <c r="N247" i="19"/>
  <c r="AT247" i="19" s="1"/>
  <c r="N244" i="19"/>
  <c r="AN244" i="19" s="1"/>
  <c r="N241" i="19"/>
  <c r="AT241" i="19" s="1"/>
  <c r="N238" i="19"/>
  <c r="AT238" i="19" s="1"/>
  <c r="N235" i="19"/>
  <c r="AT235" i="19" s="1"/>
  <c r="N232" i="19"/>
  <c r="AN232" i="19" s="1"/>
  <c r="N229" i="19"/>
  <c r="AT229" i="19" s="1"/>
  <c r="N226" i="19"/>
  <c r="AT226" i="19" s="1"/>
  <c r="N223" i="19"/>
  <c r="AT223" i="19" s="1"/>
  <c r="N220" i="19"/>
  <c r="AN220" i="19" s="1"/>
  <c r="N217" i="19"/>
  <c r="AN217" i="19" s="1"/>
  <c r="N214" i="19"/>
  <c r="AT214" i="19" s="1"/>
  <c r="N211" i="19"/>
  <c r="N208" i="19"/>
  <c r="AN208" i="19" s="1"/>
  <c r="N205" i="19"/>
  <c r="AT205" i="19" s="1"/>
  <c r="N202" i="19"/>
  <c r="AT202" i="19" s="1"/>
  <c r="N199" i="19"/>
  <c r="N196" i="19"/>
  <c r="AN196" i="19" s="1"/>
  <c r="N193" i="19"/>
  <c r="AT193" i="19" s="1"/>
  <c r="N190" i="19"/>
  <c r="AT190" i="19" s="1"/>
  <c r="N187" i="19"/>
  <c r="N184" i="19"/>
  <c r="AN184" i="19" s="1"/>
  <c r="N181" i="19"/>
  <c r="AT181" i="19" s="1"/>
  <c r="N178" i="19"/>
  <c r="AT178" i="19" s="1"/>
  <c r="N175" i="19"/>
  <c r="N172" i="19"/>
  <c r="AN172" i="19" s="1"/>
  <c r="N169" i="19"/>
  <c r="AT169" i="19" s="1"/>
  <c r="N166" i="19"/>
  <c r="AT166" i="19" s="1"/>
  <c r="N163" i="19"/>
  <c r="AW163" i="19" s="1"/>
  <c r="N160" i="19"/>
  <c r="AN160" i="19" s="1"/>
  <c r="N157" i="19"/>
  <c r="AT157" i="19" s="1"/>
  <c r="N154" i="19"/>
  <c r="AT154" i="19" s="1"/>
  <c r="N151" i="19"/>
  <c r="AW151" i="19" s="1"/>
  <c r="N148" i="19"/>
  <c r="N145" i="19"/>
  <c r="AN145" i="19" s="1"/>
  <c r="N142" i="19"/>
  <c r="AT142" i="19" s="1"/>
  <c r="N139" i="19"/>
  <c r="N136" i="19"/>
  <c r="AN136" i="19" s="1"/>
  <c r="N133" i="19"/>
  <c r="AT133" i="19" s="1"/>
  <c r="N130" i="19"/>
  <c r="AT130" i="19" s="1"/>
  <c r="N127" i="19"/>
  <c r="AW127" i="19" s="1"/>
  <c r="N124" i="19"/>
  <c r="AN124" i="19" s="1"/>
  <c r="N118" i="19"/>
  <c r="B118" i="19" s="1"/>
  <c r="N121" i="19"/>
  <c r="AN121" i="19" s="1"/>
  <c r="B164" i="1"/>
  <c r="B161" i="1"/>
  <c r="B158" i="1"/>
  <c r="B155" i="1"/>
  <c r="B152" i="1"/>
  <c r="B149" i="1"/>
  <c r="B146" i="1"/>
  <c r="B143" i="1"/>
  <c r="B140" i="1"/>
  <c r="B137" i="1"/>
  <c r="B134" i="1"/>
  <c r="B131" i="1"/>
  <c r="B128" i="1"/>
  <c r="B125" i="1"/>
  <c r="B122" i="1"/>
  <c r="B119" i="1"/>
  <c r="AW157" i="19" l="1"/>
  <c r="AN223" i="19"/>
  <c r="B119" i="19"/>
  <c r="B152" i="19"/>
  <c r="B151" i="19"/>
  <c r="AN247" i="19"/>
  <c r="AI151" i="19"/>
  <c r="AT121" i="19"/>
  <c r="B134" i="19"/>
  <c r="AN130" i="19"/>
  <c r="B142" i="19"/>
  <c r="AN151" i="19"/>
  <c r="AN166" i="19"/>
  <c r="B178" i="19"/>
  <c r="H178" i="19" s="1"/>
  <c r="AN190" i="19"/>
  <c r="B202" i="19"/>
  <c r="H202" i="19" s="1"/>
  <c r="AW214" i="19"/>
  <c r="B223" i="19"/>
  <c r="H223" i="19" s="1"/>
  <c r="B226" i="19"/>
  <c r="H226" i="19" s="1"/>
  <c r="AI235" i="19"/>
  <c r="AW238" i="19"/>
  <c r="B247" i="19"/>
  <c r="H247" i="19" s="1"/>
  <c r="B250" i="19"/>
  <c r="H250" i="19" s="1"/>
  <c r="AN259" i="19"/>
  <c r="AN235" i="19"/>
  <c r="B128" i="19"/>
  <c r="B164" i="19"/>
  <c r="B130" i="19"/>
  <c r="AN142" i="19"/>
  <c r="B166" i="19"/>
  <c r="H166" i="19" s="1"/>
  <c r="AN178" i="19"/>
  <c r="B190" i="19"/>
  <c r="H190" i="19" s="1"/>
  <c r="AN202" i="19"/>
  <c r="B214" i="19"/>
  <c r="H214" i="19" s="1"/>
  <c r="AI223" i="19"/>
  <c r="AW226" i="19"/>
  <c r="B235" i="19"/>
  <c r="H235" i="19" s="1"/>
  <c r="B238" i="19"/>
  <c r="H238" i="19" s="1"/>
  <c r="AI247" i="19"/>
  <c r="AW250" i="19"/>
  <c r="AI163" i="19"/>
  <c r="AW178" i="19"/>
  <c r="AC181" i="19"/>
  <c r="AI265" i="19"/>
  <c r="B149" i="19"/>
  <c r="AW154" i="19"/>
  <c r="AW130" i="19"/>
  <c r="AW142" i="19"/>
  <c r="AN148" i="19"/>
  <c r="B155" i="19"/>
  <c r="AW190" i="19"/>
  <c r="AC193" i="19"/>
  <c r="AN127" i="19"/>
  <c r="AC130" i="19"/>
  <c r="AI133" i="19"/>
  <c r="B143" i="19"/>
  <c r="AN163" i="19"/>
  <c r="AW223" i="19"/>
  <c r="AW235" i="19"/>
  <c r="AC238" i="19"/>
  <c r="AW247" i="19"/>
  <c r="AC250" i="19"/>
  <c r="AN265" i="19"/>
  <c r="B125" i="19"/>
  <c r="AI127" i="19"/>
  <c r="AC133" i="19"/>
  <c r="AC154" i="19"/>
  <c r="AW166" i="19"/>
  <c r="AC169" i="19"/>
  <c r="AW202" i="19"/>
  <c r="AC205" i="19"/>
  <c r="B131" i="19"/>
  <c r="B140" i="19"/>
  <c r="AC142" i="19"/>
  <c r="AI154" i="19"/>
  <c r="B163" i="19"/>
  <c r="AC166" i="19"/>
  <c r="AI169" i="19"/>
  <c r="AC178" i="19"/>
  <c r="AI181" i="19"/>
  <c r="AC190" i="19"/>
  <c r="AI193" i="19"/>
  <c r="AC202" i="19"/>
  <c r="AI205" i="19"/>
  <c r="AC214" i="19"/>
  <c r="AC226" i="19"/>
  <c r="B122" i="19"/>
  <c r="B127" i="19"/>
  <c r="AI130" i="19"/>
  <c r="B133" i="19"/>
  <c r="AW133" i="19"/>
  <c r="AN139" i="19"/>
  <c r="AI142" i="19"/>
  <c r="B154" i="19"/>
  <c r="AN154" i="19"/>
  <c r="AC157" i="19"/>
  <c r="AI166" i="19"/>
  <c r="B169" i="19"/>
  <c r="H169" i="19" s="1"/>
  <c r="AW169" i="19"/>
  <c r="AN175" i="19"/>
  <c r="AI178" i="19"/>
  <c r="B181" i="19"/>
  <c r="H181" i="19" s="1"/>
  <c r="AW181" i="19"/>
  <c r="AN187" i="19"/>
  <c r="AI190" i="19"/>
  <c r="B193" i="19"/>
  <c r="H193" i="19" s="1"/>
  <c r="AW193" i="19"/>
  <c r="AN199" i="19"/>
  <c r="AI202" i="19"/>
  <c r="B205" i="19"/>
  <c r="H205" i="19" s="1"/>
  <c r="AW205" i="19"/>
  <c r="AN211" i="19"/>
  <c r="AI214" i="19"/>
  <c r="AC223" i="19"/>
  <c r="AI226" i="19"/>
  <c r="AC235" i="19"/>
  <c r="AI238" i="19"/>
  <c r="AC247" i="19"/>
  <c r="AI250" i="19"/>
  <c r="AI259" i="19"/>
  <c r="B265" i="19"/>
  <c r="H265" i="19" s="1"/>
  <c r="H118" i="19"/>
  <c r="AC262" i="19"/>
  <c r="AW262" i="19"/>
  <c r="AT265" i="19"/>
  <c r="AT262" i="19"/>
  <c r="B262" i="19"/>
  <c r="H262" i="19" s="1"/>
  <c r="AI262" i="19"/>
  <c r="AC265" i="19"/>
  <c r="AT217" i="19"/>
  <c r="AC229" i="19"/>
  <c r="AW229" i="19"/>
  <c r="AT232" i="19"/>
  <c r="AC241" i="19"/>
  <c r="AW241" i="19"/>
  <c r="AT244" i="19"/>
  <c r="AC253" i="19"/>
  <c r="AW253" i="19"/>
  <c r="AT256" i="19"/>
  <c r="AN214" i="19"/>
  <c r="B217" i="19"/>
  <c r="H217" i="19" s="1"/>
  <c r="AI217" i="19"/>
  <c r="AC220" i="19"/>
  <c r="AW220" i="19"/>
  <c r="AN226" i="19"/>
  <c r="B229" i="19"/>
  <c r="H229" i="19" s="1"/>
  <c r="AI229" i="19"/>
  <c r="AC232" i="19"/>
  <c r="AW232" i="19"/>
  <c r="AN238" i="19"/>
  <c r="B241" i="19"/>
  <c r="H241" i="19" s="1"/>
  <c r="AI241" i="19"/>
  <c r="AC244" i="19"/>
  <c r="AW244" i="19"/>
  <c r="AN250" i="19"/>
  <c r="B253" i="19"/>
  <c r="H253" i="19" s="1"/>
  <c r="AI253" i="19"/>
  <c r="AC256" i="19"/>
  <c r="AW256" i="19"/>
  <c r="AT259" i="19"/>
  <c r="AC217" i="19"/>
  <c r="AW217" i="19"/>
  <c r="AT220" i="19"/>
  <c r="B220" i="19"/>
  <c r="H220" i="19" s="1"/>
  <c r="AI220" i="19"/>
  <c r="AN229" i="19"/>
  <c r="B232" i="19"/>
  <c r="H232" i="19" s="1"/>
  <c r="AI232" i="19"/>
  <c r="AN241" i="19"/>
  <c r="B244" i="19"/>
  <c r="H244" i="19" s="1"/>
  <c r="AI244" i="19"/>
  <c r="AN253" i="19"/>
  <c r="B256" i="19"/>
  <c r="H256" i="19" s="1"/>
  <c r="AI256" i="19"/>
  <c r="AC259" i="19"/>
  <c r="AW259" i="19"/>
  <c r="AT172" i="19"/>
  <c r="AT184" i="19"/>
  <c r="AT196" i="19"/>
  <c r="AC172" i="19"/>
  <c r="AW172" i="19"/>
  <c r="AT175" i="19"/>
  <c r="AC184" i="19"/>
  <c r="AW184" i="19"/>
  <c r="AT187" i="19"/>
  <c r="AC196" i="19"/>
  <c r="AW196" i="19"/>
  <c r="AT199" i="19"/>
  <c r="AC208" i="19"/>
  <c r="AW208" i="19"/>
  <c r="AT211" i="19"/>
  <c r="AN169" i="19"/>
  <c r="B172" i="19"/>
  <c r="H172" i="19" s="1"/>
  <c r="AI172" i="19"/>
  <c r="AC175" i="19"/>
  <c r="AW175" i="19"/>
  <c r="AN181" i="19"/>
  <c r="B184" i="19"/>
  <c r="H184" i="19" s="1"/>
  <c r="AI184" i="19"/>
  <c r="AC187" i="19"/>
  <c r="AW187" i="19"/>
  <c r="AN193" i="19"/>
  <c r="B196" i="19"/>
  <c r="H196" i="19" s="1"/>
  <c r="AI196" i="19"/>
  <c r="AC199" i="19"/>
  <c r="AW199" i="19"/>
  <c r="AN205" i="19"/>
  <c r="B208" i="19"/>
  <c r="H208" i="19" s="1"/>
  <c r="AI208" i="19"/>
  <c r="AC211" i="19"/>
  <c r="AW211" i="19"/>
  <c r="AT208" i="19"/>
  <c r="B175" i="19"/>
  <c r="H175" i="19" s="1"/>
  <c r="AI175" i="19"/>
  <c r="B187" i="19"/>
  <c r="H187" i="19" s="1"/>
  <c r="AI187" i="19"/>
  <c r="B199" i="19"/>
  <c r="H199" i="19" s="1"/>
  <c r="AI199" i="19"/>
  <c r="B211" i="19"/>
  <c r="H211" i="19" s="1"/>
  <c r="AI211" i="19"/>
  <c r="AC145" i="19"/>
  <c r="AW145" i="19"/>
  <c r="AT148" i="19"/>
  <c r="AT145" i="19"/>
  <c r="AT160" i="19"/>
  <c r="B145" i="19"/>
  <c r="AI145" i="19"/>
  <c r="B146" i="19"/>
  <c r="AC148" i="19"/>
  <c r="AW148" i="19"/>
  <c r="AT151" i="19"/>
  <c r="B157" i="19"/>
  <c r="AI157" i="19"/>
  <c r="B158" i="19"/>
  <c r="AC160" i="19"/>
  <c r="AW160" i="19"/>
  <c r="AT163" i="19"/>
  <c r="B148" i="19"/>
  <c r="AI148" i="19"/>
  <c r="AC151" i="19"/>
  <c r="AN157" i="19"/>
  <c r="B160" i="19"/>
  <c r="AI160" i="19"/>
  <c r="B161" i="19"/>
  <c r="AC163" i="19"/>
  <c r="AC136" i="19"/>
  <c r="AW136" i="19"/>
  <c r="AT139" i="19"/>
  <c r="AN133" i="19"/>
  <c r="B136" i="19"/>
  <c r="AI136" i="19"/>
  <c r="B137" i="19"/>
  <c r="AC139" i="19"/>
  <c r="AW139" i="19"/>
  <c r="AT136" i="19"/>
  <c r="B139" i="19"/>
  <c r="AI139" i="19"/>
  <c r="AC124" i="19"/>
  <c r="AW124" i="19"/>
  <c r="AT127" i="19"/>
  <c r="AT124" i="19"/>
  <c r="B124" i="19"/>
  <c r="AI124" i="19"/>
  <c r="AC127" i="19"/>
  <c r="AC121" i="19"/>
  <c r="AW121" i="19"/>
  <c r="AI121" i="19"/>
  <c r="AB7" i="2"/>
  <c r="C58" i="2" l="1"/>
  <c r="C54" i="2"/>
  <c r="C48" i="2"/>
  <c r="C44" i="2"/>
  <c r="C40" i="2"/>
  <c r="C36" i="2"/>
  <c r="C32" i="2"/>
  <c r="C28" i="2"/>
  <c r="C21" i="2"/>
  <c r="C16" i="2"/>
  <c r="C11" i="2"/>
  <c r="C57" i="2"/>
  <c r="C53" i="2"/>
  <c r="C47" i="2"/>
  <c r="C43" i="2"/>
  <c r="C39" i="2"/>
  <c r="C35" i="2"/>
  <c r="C31" i="2"/>
  <c r="C27" i="2"/>
  <c r="C20" i="2"/>
  <c r="C15" i="2"/>
  <c r="C56" i="2"/>
  <c r="C50" i="2"/>
  <c r="C46" i="2"/>
  <c r="C42" i="2"/>
  <c r="C38" i="2"/>
  <c r="C34" i="2"/>
  <c r="C30" i="2"/>
  <c r="C26" i="2"/>
  <c r="C19" i="2"/>
  <c r="C13" i="2"/>
  <c r="C55" i="2"/>
  <c r="C49" i="2"/>
  <c r="C45" i="2"/>
  <c r="C41" i="2"/>
  <c r="C37" i="2"/>
  <c r="C33" i="2"/>
  <c r="C29" i="2"/>
  <c r="C25" i="2"/>
  <c r="C17" i="2"/>
  <c r="C12" i="2"/>
  <c r="AI118" i="19"/>
  <c r="AW163" i="1"/>
  <c r="AT163" i="1"/>
  <c r="AN163" i="1"/>
  <c r="AI163" i="1"/>
  <c r="AC163" i="1"/>
  <c r="AW160" i="1"/>
  <c r="AT160" i="1"/>
  <c r="AN160" i="1"/>
  <c r="AI160" i="1"/>
  <c r="AC160" i="1"/>
  <c r="H160" i="1"/>
  <c r="H160" i="19" s="1"/>
  <c r="AW157" i="1"/>
  <c r="AT157" i="1"/>
  <c r="AN157" i="1"/>
  <c r="AI157" i="1"/>
  <c r="AC157" i="1"/>
  <c r="H157" i="1"/>
  <c r="H157" i="19" s="1"/>
  <c r="AW154" i="1"/>
  <c r="AT154" i="1"/>
  <c r="AN154" i="1"/>
  <c r="AI154" i="1"/>
  <c r="AC154" i="1"/>
  <c r="H154" i="1"/>
  <c r="H154" i="19" s="1"/>
  <c r="AW151" i="1"/>
  <c r="AT151" i="1"/>
  <c r="AN151" i="1"/>
  <c r="AI151" i="1"/>
  <c r="AC151" i="1"/>
  <c r="H151" i="1"/>
  <c r="H151" i="19" s="1"/>
  <c r="AW148" i="1"/>
  <c r="AT148" i="1"/>
  <c r="AN148" i="1"/>
  <c r="AI148" i="1"/>
  <c r="AC148" i="1"/>
  <c r="H148" i="1"/>
  <c r="H148" i="19" s="1"/>
  <c r="AW145" i="1"/>
  <c r="AT145" i="1"/>
  <c r="AN145" i="1"/>
  <c r="AI145" i="1"/>
  <c r="AC145" i="1"/>
  <c r="H145" i="1"/>
  <c r="H145" i="19" s="1"/>
  <c r="AW142" i="1"/>
  <c r="AT142" i="1"/>
  <c r="AN142" i="1"/>
  <c r="AI142" i="1"/>
  <c r="AC142" i="1"/>
  <c r="H142" i="1"/>
  <c r="H142" i="19" s="1"/>
  <c r="AW139" i="1"/>
  <c r="AT139" i="1"/>
  <c r="AN139" i="1"/>
  <c r="AI139" i="1"/>
  <c r="AC139" i="1"/>
  <c r="H139" i="1"/>
  <c r="H139" i="19" s="1"/>
  <c r="AW136" i="1"/>
  <c r="AT136" i="1"/>
  <c r="AN136" i="1"/>
  <c r="AI136" i="1"/>
  <c r="AC136" i="1"/>
  <c r="H136" i="1"/>
  <c r="H136" i="19" s="1"/>
  <c r="AW133" i="1"/>
  <c r="AT133" i="1"/>
  <c r="AN133" i="1"/>
  <c r="AI133" i="1"/>
  <c r="AC133" i="1"/>
  <c r="H133" i="1"/>
  <c r="H133" i="19" s="1"/>
  <c r="AW130" i="1"/>
  <c r="AT130" i="1"/>
  <c r="AN130" i="1"/>
  <c r="AI130" i="1"/>
  <c r="AC130" i="1"/>
  <c r="H130" i="1"/>
  <c r="H130" i="19" s="1"/>
  <c r="AW127" i="1"/>
  <c r="AT127" i="1"/>
  <c r="AN127" i="1"/>
  <c r="AI127" i="1"/>
  <c r="AC127" i="1"/>
  <c r="H127" i="1"/>
  <c r="H127" i="19" s="1"/>
  <c r="AW124" i="1"/>
  <c r="AT124" i="1"/>
  <c r="AN124" i="1"/>
  <c r="AI124" i="1"/>
  <c r="AC124" i="1"/>
  <c r="H124" i="1"/>
  <c r="H124" i="19" s="1"/>
  <c r="AW121" i="1"/>
  <c r="AT121" i="1"/>
  <c r="AN121" i="1"/>
  <c r="AI121" i="1"/>
  <c r="AC121" i="1"/>
  <c r="AW118" i="1"/>
  <c r="AT118" i="1"/>
  <c r="AN118" i="1"/>
  <c r="AI118" i="1"/>
  <c r="AC118" i="1"/>
  <c r="AN118" i="19" l="1"/>
  <c r="AT118" i="19"/>
  <c r="AC118" i="19"/>
  <c r="AW118" i="19"/>
  <c r="AQ37" i="20"/>
  <c r="AC37" i="20"/>
  <c r="F40" i="6"/>
  <c r="F39" i="6"/>
  <c r="F38" i="6"/>
  <c r="AA104" i="2"/>
  <c r="B5000" i="23" l="1"/>
  <c r="B4999" i="23"/>
  <c r="B4998" i="23"/>
  <c r="B4997" i="23"/>
  <c r="B4996" i="23"/>
  <c r="B4995" i="23"/>
  <c r="B4994" i="23"/>
  <c r="B4993" i="23"/>
  <c r="B4992" i="23"/>
  <c r="B4991" i="23"/>
  <c r="B4990" i="23"/>
  <c r="B4989" i="23"/>
  <c r="B4988" i="23"/>
  <c r="B4987" i="23"/>
  <c r="B4986" i="23"/>
  <c r="B4985" i="23"/>
  <c r="B4984" i="23"/>
  <c r="B4983" i="23"/>
  <c r="B4982" i="23"/>
  <c r="B4981" i="23"/>
  <c r="B4980" i="23"/>
  <c r="B4979" i="23"/>
  <c r="B4978" i="23"/>
  <c r="B4977" i="23"/>
  <c r="B4976" i="23"/>
  <c r="B4975" i="23"/>
  <c r="B4974" i="23"/>
  <c r="B4973" i="23"/>
  <c r="B4972" i="23"/>
  <c r="B4971" i="23"/>
  <c r="B4970" i="23"/>
  <c r="B4969" i="23"/>
  <c r="B4968" i="23"/>
  <c r="B4967" i="23"/>
  <c r="B4966" i="23"/>
  <c r="B4965" i="23"/>
  <c r="B4964" i="23"/>
  <c r="B4963" i="23"/>
  <c r="B4962" i="23"/>
  <c r="B4961" i="23"/>
  <c r="B4960" i="23"/>
  <c r="B4959" i="23"/>
  <c r="B4958" i="23"/>
  <c r="B4957" i="23"/>
  <c r="B4956" i="23"/>
  <c r="B4955" i="23"/>
  <c r="B4954" i="23"/>
  <c r="B4953" i="23"/>
  <c r="B4952" i="23"/>
  <c r="B4951" i="23"/>
  <c r="B4950" i="23"/>
  <c r="B4949" i="23"/>
  <c r="B4948" i="23"/>
  <c r="B4947" i="23"/>
  <c r="B4946" i="23"/>
  <c r="B4945" i="23"/>
  <c r="B4944" i="23"/>
  <c r="B4943" i="23"/>
  <c r="B4942" i="23"/>
  <c r="B4941" i="23"/>
  <c r="B4940" i="23"/>
  <c r="B4939" i="23"/>
  <c r="B4938" i="23"/>
  <c r="B4937" i="23"/>
  <c r="B4936" i="23"/>
  <c r="B4935" i="23"/>
  <c r="B4934" i="23"/>
  <c r="B4933" i="23"/>
  <c r="B4932" i="23"/>
  <c r="B4931" i="23"/>
  <c r="B4930" i="23"/>
  <c r="B4929" i="23"/>
  <c r="B4928" i="23"/>
  <c r="B4927" i="23"/>
  <c r="B4926" i="23"/>
  <c r="B4925" i="23"/>
  <c r="B4924" i="23"/>
  <c r="B4923" i="23"/>
  <c r="B4922" i="23"/>
  <c r="B4921" i="23"/>
  <c r="B4920" i="23"/>
  <c r="B4919" i="23"/>
  <c r="B4918" i="23"/>
  <c r="B4917" i="23"/>
  <c r="B4916" i="23"/>
  <c r="B4915" i="23"/>
  <c r="B4914" i="23"/>
  <c r="B4913" i="23"/>
  <c r="B4912" i="23"/>
  <c r="B4911" i="23"/>
  <c r="B4910" i="23"/>
  <c r="B4909" i="23"/>
  <c r="B4908" i="23"/>
  <c r="B4907" i="23"/>
  <c r="B4906" i="23"/>
  <c r="B4905" i="23"/>
  <c r="B4904" i="23"/>
  <c r="B4903" i="23"/>
  <c r="B4902" i="23"/>
  <c r="B4901" i="23"/>
  <c r="B4900" i="23"/>
  <c r="B4899" i="23"/>
  <c r="B4898" i="23"/>
  <c r="B4897" i="23"/>
  <c r="B4896" i="23"/>
  <c r="B4895" i="23"/>
  <c r="B4894" i="23"/>
  <c r="B4893" i="23"/>
  <c r="B4892" i="23"/>
  <c r="B4891" i="23"/>
  <c r="B4890" i="23"/>
  <c r="B4889" i="23"/>
  <c r="B4888" i="23"/>
  <c r="B4887" i="23"/>
  <c r="B4886" i="23"/>
  <c r="B4885" i="23"/>
  <c r="B4884" i="23"/>
  <c r="B4883" i="23"/>
  <c r="B4882" i="23"/>
  <c r="B4881" i="23"/>
  <c r="B4880" i="23"/>
  <c r="B4879" i="23"/>
  <c r="B4878" i="23"/>
  <c r="B4877" i="23"/>
  <c r="B4876" i="23"/>
  <c r="B4875" i="23"/>
  <c r="B4874" i="23"/>
  <c r="B4873" i="23"/>
  <c r="B4872" i="23"/>
  <c r="B4871" i="23"/>
  <c r="B4870" i="23"/>
  <c r="B4869" i="23"/>
  <c r="B4868" i="23"/>
  <c r="B4867" i="23"/>
  <c r="B4866" i="23"/>
  <c r="B4865" i="23"/>
  <c r="B4864" i="23"/>
  <c r="B4863" i="23"/>
  <c r="B4862" i="23"/>
  <c r="B4861" i="23"/>
  <c r="B4860" i="23"/>
  <c r="B4859" i="23"/>
  <c r="B4858" i="23"/>
  <c r="B4857" i="23"/>
  <c r="B4856" i="23"/>
  <c r="B4855" i="23"/>
  <c r="B4854" i="23"/>
  <c r="B4853" i="23"/>
  <c r="B4852" i="23"/>
  <c r="B4851" i="23"/>
  <c r="B4850" i="23"/>
  <c r="B4849" i="23"/>
  <c r="B4848" i="23"/>
  <c r="B4847" i="23"/>
  <c r="B4846" i="23"/>
  <c r="B4845" i="23"/>
  <c r="B4844" i="23"/>
  <c r="B4843" i="23"/>
  <c r="B4842" i="23"/>
  <c r="B4841" i="23"/>
  <c r="B4840" i="23"/>
  <c r="B4839" i="23"/>
  <c r="B4838" i="23"/>
  <c r="B4837" i="23"/>
  <c r="B4836" i="23"/>
  <c r="B4835" i="23"/>
  <c r="B4834" i="23"/>
  <c r="B4833" i="23"/>
  <c r="B4832" i="23"/>
  <c r="B4831" i="23"/>
  <c r="B4830" i="23"/>
  <c r="B4829" i="23"/>
  <c r="B4828" i="23"/>
  <c r="B4827" i="23"/>
  <c r="B4826" i="23"/>
  <c r="B4825" i="23"/>
  <c r="B4824" i="23"/>
  <c r="B4823" i="23"/>
  <c r="B4822" i="23"/>
  <c r="B4821" i="23"/>
  <c r="B4820" i="23"/>
  <c r="B4819" i="23"/>
  <c r="B4818" i="23"/>
  <c r="B4817" i="23"/>
  <c r="B4816" i="23"/>
  <c r="B4815" i="23"/>
  <c r="B4814" i="23"/>
  <c r="B4813" i="23"/>
  <c r="B4812" i="23"/>
  <c r="B4811" i="23"/>
  <c r="B4810" i="23"/>
  <c r="B4809" i="23"/>
  <c r="B4808" i="23"/>
  <c r="B4807" i="23"/>
  <c r="B4806" i="23"/>
  <c r="B4805" i="23"/>
  <c r="B4804" i="23"/>
  <c r="B4803" i="23"/>
  <c r="B4802" i="23"/>
  <c r="B4801" i="23"/>
  <c r="B4800" i="23"/>
  <c r="B4799" i="23"/>
  <c r="B4798" i="23"/>
  <c r="B4797" i="23"/>
  <c r="B4796" i="23"/>
  <c r="B4795" i="23"/>
  <c r="B4794" i="23"/>
  <c r="B4793" i="23"/>
  <c r="B4792" i="23"/>
  <c r="B4791" i="23"/>
  <c r="B4790" i="23"/>
  <c r="B4789" i="23"/>
  <c r="B4788" i="23"/>
  <c r="B4787" i="23"/>
  <c r="B4786" i="23"/>
  <c r="B4785" i="23"/>
  <c r="B4784" i="23"/>
  <c r="B4783" i="23"/>
  <c r="B4782" i="23"/>
  <c r="B4781" i="23"/>
  <c r="B4780" i="23"/>
  <c r="B4779" i="23"/>
  <c r="B4778" i="23"/>
  <c r="B4777" i="23"/>
  <c r="B4776" i="23"/>
  <c r="B4775" i="23"/>
  <c r="B4774" i="23"/>
  <c r="B4773" i="23"/>
  <c r="B4772" i="23"/>
  <c r="B4771" i="23"/>
  <c r="B4770" i="23"/>
  <c r="B4769" i="23"/>
  <c r="B4768" i="23"/>
  <c r="B4767" i="23"/>
  <c r="B4766" i="23"/>
  <c r="B4765" i="23"/>
  <c r="B4764" i="23"/>
  <c r="B4763" i="23"/>
  <c r="B4762" i="23"/>
  <c r="B4761" i="23"/>
  <c r="B4760" i="23"/>
  <c r="B4759" i="23"/>
  <c r="B4758" i="23"/>
  <c r="B4757" i="23"/>
  <c r="B4756" i="23"/>
  <c r="B4755" i="23"/>
  <c r="B4754" i="23"/>
  <c r="B4753" i="23"/>
  <c r="B4752" i="23"/>
  <c r="B4751" i="23"/>
  <c r="B4750" i="23"/>
  <c r="B4749" i="23"/>
  <c r="B4748" i="23"/>
  <c r="B4747" i="23"/>
  <c r="B4746" i="23"/>
  <c r="B4745" i="23"/>
  <c r="B4744" i="23"/>
  <c r="B4743" i="23"/>
  <c r="B4742" i="23"/>
  <c r="B4741" i="23"/>
  <c r="B4740" i="23"/>
  <c r="B4739" i="23"/>
  <c r="B4738" i="23"/>
  <c r="B4737" i="23"/>
  <c r="B4736" i="23"/>
  <c r="B4735" i="23"/>
  <c r="B4734" i="23"/>
  <c r="B4733" i="23"/>
  <c r="B4732" i="23"/>
  <c r="B4731" i="23"/>
  <c r="B4730" i="23"/>
  <c r="B4729" i="23"/>
  <c r="B4728" i="23"/>
  <c r="B4727" i="23"/>
  <c r="B4726" i="23"/>
  <c r="B4725" i="23"/>
  <c r="B4724" i="23"/>
  <c r="B4723" i="23"/>
  <c r="B4722" i="23"/>
  <c r="B4721" i="23"/>
  <c r="B4720" i="23"/>
  <c r="B4719" i="23"/>
  <c r="B4718" i="23"/>
  <c r="B4717" i="23"/>
  <c r="B4716" i="23"/>
  <c r="B4715" i="23"/>
  <c r="B4714" i="23"/>
  <c r="B4713" i="23"/>
  <c r="B4712" i="23"/>
  <c r="B4711" i="23"/>
  <c r="B4710" i="23"/>
  <c r="B4709" i="23"/>
  <c r="B4708" i="23"/>
  <c r="B4707" i="23"/>
  <c r="B4706" i="23"/>
  <c r="B4705" i="23"/>
  <c r="B4704" i="23"/>
  <c r="B4703" i="23"/>
  <c r="B4702" i="23"/>
  <c r="B4701" i="23"/>
  <c r="B4700" i="23"/>
  <c r="B4699" i="23"/>
  <c r="B4698" i="23"/>
  <c r="B4697" i="23"/>
  <c r="B4696" i="23"/>
  <c r="B4695" i="23"/>
  <c r="B4694" i="23"/>
  <c r="B4693" i="23"/>
  <c r="B4692" i="23"/>
  <c r="B4691" i="23"/>
  <c r="B4690" i="23"/>
  <c r="B4689" i="23"/>
  <c r="B4688" i="23"/>
  <c r="B4687" i="23"/>
  <c r="B4686" i="23"/>
  <c r="B4685" i="23"/>
  <c r="B4684" i="23"/>
  <c r="B4683" i="23"/>
  <c r="B4682" i="23"/>
  <c r="B4681" i="23"/>
  <c r="B4680" i="23"/>
  <c r="B4679" i="23"/>
  <c r="B4678" i="23"/>
  <c r="B4677" i="23"/>
  <c r="B4676" i="23"/>
  <c r="B4675" i="23"/>
  <c r="B4674" i="23"/>
  <c r="B4673" i="23"/>
  <c r="B4672" i="23"/>
  <c r="B4671" i="23"/>
  <c r="B4670" i="23"/>
  <c r="B4669" i="23"/>
  <c r="B4668" i="23"/>
  <c r="B4667" i="23"/>
  <c r="B4666" i="23"/>
  <c r="B4665" i="23"/>
  <c r="B4664" i="23"/>
  <c r="B4663" i="23"/>
  <c r="B4662" i="23"/>
  <c r="B4661" i="23"/>
  <c r="B4660" i="23"/>
  <c r="B4659" i="23"/>
  <c r="B4658" i="23"/>
  <c r="B4657" i="23"/>
  <c r="B4656" i="23"/>
  <c r="B4655" i="23"/>
  <c r="B4654" i="23"/>
  <c r="B4653" i="23"/>
  <c r="B4652" i="23"/>
  <c r="B4651" i="23"/>
  <c r="B4650" i="23"/>
  <c r="B4649" i="23"/>
  <c r="B4648" i="23"/>
  <c r="B4647" i="23"/>
  <c r="B4646" i="23"/>
  <c r="B4645" i="23"/>
  <c r="B4644" i="23"/>
  <c r="B4643" i="23"/>
  <c r="B4642" i="23"/>
  <c r="B4641" i="23"/>
  <c r="B4640" i="23"/>
  <c r="B4639" i="23"/>
  <c r="B4638" i="23"/>
  <c r="B4637" i="23"/>
  <c r="B4636" i="23"/>
  <c r="B4635" i="23"/>
  <c r="B4634" i="23"/>
  <c r="B4633" i="23"/>
  <c r="B4632" i="23"/>
  <c r="B4631" i="23"/>
  <c r="B4630" i="23"/>
  <c r="B4629" i="23"/>
  <c r="B4628" i="23"/>
  <c r="B4627" i="23"/>
  <c r="B4626" i="23"/>
  <c r="B4625" i="23"/>
  <c r="B4624" i="23"/>
  <c r="B4623" i="23"/>
  <c r="B4622" i="23"/>
  <c r="B4621" i="23"/>
  <c r="B4620" i="23"/>
  <c r="B4619" i="23"/>
  <c r="B4618" i="23"/>
  <c r="B4617" i="23"/>
  <c r="B4616" i="23"/>
  <c r="B4615" i="23"/>
  <c r="B4614" i="23"/>
  <c r="B4613" i="23"/>
  <c r="B4612" i="23"/>
  <c r="B4611" i="23"/>
  <c r="B4610" i="23"/>
  <c r="B4609" i="23"/>
  <c r="B4608" i="23"/>
  <c r="B4607" i="23"/>
  <c r="B4606" i="23"/>
  <c r="B4605" i="23"/>
  <c r="B4604" i="23"/>
  <c r="B4603" i="23"/>
  <c r="B4602" i="23"/>
  <c r="B4601" i="23"/>
  <c r="B4600" i="23"/>
  <c r="B4599" i="23"/>
  <c r="B4598" i="23"/>
  <c r="B4597" i="23"/>
  <c r="B4596" i="23"/>
  <c r="B4595" i="23"/>
  <c r="B4594" i="23"/>
  <c r="B4593" i="23"/>
  <c r="B4592" i="23"/>
  <c r="B4591" i="23"/>
  <c r="B4590" i="23"/>
  <c r="B4589" i="23"/>
  <c r="B4588" i="23"/>
  <c r="B4587" i="23"/>
  <c r="B4586" i="23"/>
  <c r="B4585" i="23"/>
  <c r="B4584" i="23"/>
  <c r="B4583" i="23"/>
  <c r="B4582" i="23"/>
  <c r="B4581" i="23"/>
  <c r="B4580" i="23"/>
  <c r="B4579" i="23"/>
  <c r="B4578" i="23"/>
  <c r="B4577" i="23"/>
  <c r="B4576" i="23"/>
  <c r="B4575" i="23"/>
  <c r="B4574" i="23"/>
  <c r="B4573" i="23"/>
  <c r="B4572" i="23"/>
  <c r="B4571" i="23"/>
  <c r="B4570" i="23"/>
  <c r="B4569" i="23"/>
  <c r="B4568" i="23"/>
  <c r="B4567" i="23"/>
  <c r="B4566" i="23"/>
  <c r="B4565" i="23"/>
  <c r="B4564" i="23"/>
  <c r="B4563" i="23"/>
  <c r="B4562" i="23"/>
  <c r="B4561" i="23"/>
  <c r="B4560" i="23"/>
  <c r="B4559" i="23"/>
  <c r="B4558" i="23"/>
  <c r="B4557" i="23"/>
  <c r="B4556" i="23"/>
  <c r="B4555" i="23"/>
  <c r="B4554" i="23"/>
  <c r="B4553" i="23"/>
  <c r="B4552" i="23"/>
  <c r="B4551" i="23"/>
  <c r="B4550" i="23"/>
  <c r="B4549" i="23"/>
  <c r="B4548" i="23"/>
  <c r="B4547" i="23"/>
  <c r="B4546" i="23"/>
  <c r="B4545" i="23"/>
  <c r="B4544" i="23"/>
  <c r="B4543" i="23"/>
  <c r="B4542" i="23"/>
  <c r="B4541" i="23"/>
  <c r="B4540" i="23"/>
  <c r="B4539" i="23"/>
  <c r="B4538" i="23"/>
  <c r="B4537" i="23"/>
  <c r="B4536" i="23"/>
  <c r="B4535" i="23"/>
  <c r="B4534" i="23"/>
  <c r="B4533" i="23"/>
  <c r="B4532" i="23"/>
  <c r="B4531" i="23"/>
  <c r="B4530" i="23"/>
  <c r="B4529" i="23"/>
  <c r="B4528" i="23"/>
  <c r="B4527" i="23"/>
  <c r="B4526" i="23"/>
  <c r="B4525" i="23"/>
  <c r="B4524" i="23"/>
  <c r="B4523" i="23"/>
  <c r="B4522" i="23"/>
  <c r="B4521" i="23"/>
  <c r="B4520" i="23"/>
  <c r="B4519" i="23"/>
  <c r="B4518" i="23"/>
  <c r="B4517" i="23"/>
  <c r="B4516" i="23"/>
  <c r="B4515" i="23"/>
  <c r="B4514" i="23"/>
  <c r="B4513" i="23"/>
  <c r="B4512" i="23"/>
  <c r="B4511" i="23"/>
  <c r="B4510" i="23"/>
  <c r="B4509" i="23"/>
  <c r="B4508" i="23"/>
  <c r="B4507" i="23"/>
  <c r="B4506" i="23"/>
  <c r="B4505" i="23"/>
  <c r="B4504" i="23"/>
  <c r="B4503" i="23"/>
  <c r="B4502" i="23"/>
  <c r="B4501" i="23"/>
  <c r="B4500" i="23"/>
  <c r="B4499" i="23"/>
  <c r="B4498" i="23"/>
  <c r="B4497" i="23"/>
  <c r="B4496" i="23"/>
  <c r="B4495" i="23"/>
  <c r="B4494" i="23"/>
  <c r="B4493" i="23"/>
  <c r="B4492" i="23"/>
  <c r="B4491" i="23"/>
  <c r="B4490" i="23"/>
  <c r="B4489" i="23"/>
  <c r="B4488" i="23"/>
  <c r="B4487" i="23"/>
  <c r="B4486" i="23"/>
  <c r="B4485" i="23"/>
  <c r="B4484" i="23"/>
  <c r="B4483" i="23"/>
  <c r="B4482" i="23"/>
  <c r="B4481" i="23"/>
  <c r="B4480" i="23"/>
  <c r="B4479" i="23"/>
  <c r="B4478" i="23"/>
  <c r="B4477" i="23"/>
  <c r="B4476" i="23"/>
  <c r="B4475" i="23"/>
  <c r="B4474" i="23"/>
  <c r="B4473" i="23"/>
  <c r="B4472" i="23"/>
  <c r="B4471" i="23"/>
  <c r="B4470" i="23"/>
  <c r="B4469" i="23"/>
  <c r="B4468" i="23"/>
  <c r="B4467" i="23"/>
  <c r="B4466" i="23"/>
  <c r="B4465" i="23"/>
  <c r="B4464" i="23"/>
  <c r="B4463" i="23"/>
  <c r="B4462" i="23"/>
  <c r="B4461" i="23"/>
  <c r="B4460" i="23"/>
  <c r="B4459" i="23"/>
  <c r="B4458" i="23"/>
  <c r="B4457" i="23"/>
  <c r="B4456" i="23"/>
  <c r="B4455" i="23"/>
  <c r="B4454" i="23"/>
  <c r="B4453" i="23"/>
  <c r="B4452" i="23"/>
  <c r="B4451" i="23"/>
  <c r="B4450" i="23"/>
  <c r="B4449" i="23"/>
  <c r="B4448" i="23"/>
  <c r="B4447" i="23"/>
  <c r="B4446" i="23"/>
  <c r="B4445" i="23"/>
  <c r="B4444" i="23"/>
  <c r="B4443" i="23"/>
  <c r="B4442" i="23"/>
  <c r="B4441" i="23"/>
  <c r="B4440" i="23"/>
  <c r="B4439" i="23"/>
  <c r="B4438" i="23"/>
  <c r="B4437" i="23"/>
  <c r="B4436" i="23"/>
  <c r="B4435" i="23"/>
  <c r="B4434" i="23"/>
  <c r="B4433" i="23"/>
  <c r="B4432" i="23"/>
  <c r="B4431" i="23"/>
  <c r="B4430" i="23"/>
  <c r="B4429" i="23"/>
  <c r="B4428" i="23"/>
  <c r="B4427" i="23"/>
  <c r="B4426" i="23"/>
  <c r="B4425" i="23"/>
  <c r="B4424" i="23"/>
  <c r="B4423" i="23"/>
  <c r="B4422" i="23"/>
  <c r="B4421" i="23"/>
  <c r="B4420" i="23"/>
  <c r="B4419" i="23"/>
  <c r="B4418" i="23"/>
  <c r="B4417" i="23"/>
  <c r="B4416" i="23"/>
  <c r="B4415" i="23"/>
  <c r="B4414" i="23"/>
  <c r="B4413" i="23"/>
  <c r="B4412" i="23"/>
  <c r="B4411" i="23"/>
  <c r="B4410" i="23"/>
  <c r="B4409" i="23"/>
  <c r="B4408" i="23"/>
  <c r="B4407" i="23"/>
  <c r="B4406" i="23"/>
  <c r="B4405" i="23"/>
  <c r="B4404" i="23"/>
  <c r="B4403" i="23"/>
  <c r="B4402" i="23"/>
  <c r="B4401" i="23"/>
  <c r="B4400" i="23"/>
  <c r="B4399" i="23"/>
  <c r="B4398" i="23"/>
  <c r="B4397" i="23"/>
  <c r="B4396" i="23"/>
  <c r="B4395" i="23"/>
  <c r="B4394" i="23"/>
  <c r="B4393" i="23"/>
  <c r="B4392" i="23"/>
  <c r="B4391" i="23"/>
  <c r="B4390" i="23"/>
  <c r="B4389" i="23"/>
  <c r="B4388" i="23"/>
  <c r="B4387" i="23"/>
  <c r="B4386" i="23"/>
  <c r="B4385" i="23"/>
  <c r="B4384" i="23"/>
  <c r="B4383" i="23"/>
  <c r="B4382" i="23"/>
  <c r="B4381" i="23"/>
  <c r="B4380" i="23"/>
  <c r="B4379" i="23"/>
  <c r="B4378" i="23"/>
  <c r="B4377" i="23"/>
  <c r="B4376" i="23"/>
  <c r="B4375" i="23"/>
  <c r="B4374" i="23"/>
  <c r="B4373" i="23"/>
  <c r="B4372" i="23"/>
  <c r="B4371" i="23"/>
  <c r="B4370" i="23"/>
  <c r="B4369" i="23"/>
  <c r="B4368" i="23"/>
  <c r="B4367" i="23"/>
  <c r="B4366" i="23"/>
  <c r="B4365" i="23"/>
  <c r="B4364" i="23"/>
  <c r="B4363" i="23"/>
  <c r="B4362" i="23"/>
  <c r="B4361" i="23"/>
  <c r="B4360" i="23"/>
  <c r="B4359" i="23"/>
  <c r="B4358" i="23"/>
  <c r="B4357" i="23"/>
  <c r="B4356" i="23"/>
  <c r="B4355" i="23"/>
  <c r="B4354" i="23"/>
  <c r="B4353" i="23"/>
  <c r="B4352" i="23"/>
  <c r="B4351" i="23"/>
  <c r="B4350" i="23"/>
  <c r="B4349" i="23"/>
  <c r="B4348" i="23"/>
  <c r="B4347" i="23"/>
  <c r="B4346" i="23"/>
  <c r="B4345" i="23"/>
  <c r="B4344" i="23"/>
  <c r="B4343" i="23"/>
  <c r="B4342" i="23"/>
  <c r="B4341" i="23"/>
  <c r="B4340" i="23"/>
  <c r="B4339" i="23"/>
  <c r="B4338" i="23"/>
  <c r="B4337" i="23"/>
  <c r="B4336" i="23"/>
  <c r="B4335" i="23"/>
  <c r="B4334" i="23"/>
  <c r="B4333" i="23"/>
  <c r="B4332" i="23"/>
  <c r="B4331" i="23"/>
  <c r="B4330" i="23"/>
  <c r="B4329" i="23"/>
  <c r="B4328" i="23"/>
  <c r="B4327" i="23"/>
  <c r="B4326" i="23"/>
  <c r="B4325" i="23"/>
  <c r="B4324" i="23"/>
  <c r="B4323" i="23"/>
  <c r="B4322" i="23"/>
  <c r="B4321" i="23"/>
  <c r="B4320" i="23"/>
  <c r="B4319" i="23"/>
  <c r="B4318" i="23"/>
  <c r="B4317" i="23"/>
  <c r="B4316" i="23"/>
  <c r="B4315" i="23"/>
  <c r="B4314" i="23"/>
  <c r="B4313" i="23"/>
  <c r="B4312" i="23"/>
  <c r="B4311" i="23"/>
  <c r="B4310" i="23"/>
  <c r="B4309" i="23"/>
  <c r="B4308" i="23"/>
  <c r="B4307" i="23"/>
  <c r="B4306" i="23"/>
  <c r="B4305" i="23"/>
  <c r="B4304" i="23"/>
  <c r="B4303" i="23"/>
  <c r="B4302" i="23"/>
  <c r="B4301" i="23"/>
  <c r="B4300" i="23"/>
  <c r="B4299" i="23"/>
  <c r="B4298" i="23"/>
  <c r="B4297" i="23"/>
  <c r="B4296" i="23"/>
  <c r="B4295" i="23"/>
  <c r="B4294" i="23"/>
  <c r="B4293" i="23"/>
  <c r="B4292" i="23"/>
  <c r="B4291" i="23"/>
  <c r="B4290" i="23"/>
  <c r="B4289" i="23"/>
  <c r="B4288" i="23"/>
  <c r="B4287" i="23"/>
  <c r="B4286" i="23"/>
  <c r="B4285" i="23"/>
  <c r="B4284" i="23"/>
  <c r="B4283" i="23"/>
  <c r="B4282" i="23"/>
  <c r="B4281" i="23"/>
  <c r="B4280" i="23"/>
  <c r="B4279" i="23"/>
  <c r="B4278" i="23"/>
  <c r="B4277" i="23"/>
  <c r="B4276" i="23"/>
  <c r="B4275" i="23"/>
  <c r="B4274" i="23"/>
  <c r="B4273" i="23"/>
  <c r="B4272" i="23"/>
  <c r="B4271" i="23"/>
  <c r="B4270" i="23"/>
  <c r="B4269" i="23"/>
  <c r="B4268" i="23"/>
  <c r="B4267" i="23"/>
  <c r="B4266" i="23"/>
  <c r="B4265" i="23"/>
  <c r="B4264" i="23"/>
  <c r="B4263" i="23"/>
  <c r="B4262" i="23"/>
  <c r="B4261" i="23"/>
  <c r="B4260" i="23"/>
  <c r="B4259" i="23"/>
  <c r="B4258" i="23"/>
  <c r="B4257" i="23"/>
  <c r="B4256" i="23"/>
  <c r="B4255" i="23"/>
  <c r="B4254" i="23"/>
  <c r="B4253" i="23"/>
  <c r="B4252" i="23"/>
  <c r="B4251" i="23"/>
  <c r="B4250" i="23"/>
  <c r="B4249" i="23"/>
  <c r="B4248" i="23"/>
  <c r="B4247" i="23"/>
  <c r="B4246" i="23"/>
  <c r="B4245" i="23"/>
  <c r="B4244" i="23"/>
  <c r="B4243" i="23"/>
  <c r="B4242" i="23"/>
  <c r="B4241" i="23"/>
  <c r="B4240" i="23"/>
  <c r="B4239" i="23"/>
  <c r="B4238" i="23"/>
  <c r="B4237" i="23"/>
  <c r="B4236" i="23"/>
  <c r="B4235" i="23"/>
  <c r="B4234" i="23"/>
  <c r="B4233" i="23"/>
  <c r="B4232" i="23"/>
  <c r="B4231" i="23"/>
  <c r="B4230" i="23"/>
  <c r="B4229" i="23"/>
  <c r="B4228" i="23"/>
  <c r="B4227" i="23"/>
  <c r="B4226" i="23"/>
  <c r="B4225" i="23"/>
  <c r="B4224" i="23"/>
  <c r="B4223" i="23"/>
  <c r="B4222" i="23"/>
  <c r="B4221" i="23"/>
  <c r="B4220" i="23"/>
  <c r="B4219" i="23"/>
  <c r="B4218" i="23"/>
  <c r="B4217" i="23"/>
  <c r="B4216" i="23"/>
  <c r="B4215" i="23"/>
  <c r="B4214" i="23"/>
  <c r="B4213" i="23"/>
  <c r="B4212" i="23"/>
  <c r="B4211" i="23"/>
  <c r="B4210" i="23"/>
  <c r="B4209" i="23"/>
  <c r="B4208" i="23"/>
  <c r="B4207" i="23"/>
  <c r="B4206" i="23"/>
  <c r="B4205" i="23"/>
  <c r="B4204" i="23"/>
  <c r="B4203" i="23"/>
  <c r="B4202" i="23"/>
  <c r="B4201" i="23"/>
  <c r="B4200" i="23"/>
  <c r="B4199" i="23"/>
  <c r="B4198" i="23"/>
  <c r="B4197" i="23"/>
  <c r="B4196" i="23"/>
  <c r="B4195" i="23"/>
  <c r="B4194" i="23"/>
  <c r="B4193" i="23"/>
  <c r="B4192" i="23"/>
  <c r="B4191" i="23"/>
  <c r="B4190" i="23"/>
  <c r="B4189" i="23"/>
  <c r="B4188" i="23"/>
  <c r="B4187" i="23"/>
  <c r="B4186" i="23"/>
  <c r="B4185" i="23"/>
  <c r="B4184" i="23"/>
  <c r="B4183" i="23"/>
  <c r="B4182" i="23"/>
  <c r="B4181" i="23"/>
  <c r="B4180" i="23"/>
  <c r="B4179" i="23"/>
  <c r="B4178" i="23"/>
  <c r="B4177" i="23"/>
  <c r="B4176" i="23"/>
  <c r="B4175" i="23"/>
  <c r="B4174" i="23"/>
  <c r="B4173" i="23"/>
  <c r="B4172" i="23"/>
  <c r="B4171" i="23"/>
  <c r="B4170" i="23"/>
  <c r="B4169" i="23"/>
  <c r="B4168" i="23"/>
  <c r="B4167" i="23"/>
  <c r="B4166" i="23"/>
  <c r="B4165" i="23"/>
  <c r="B4164" i="23"/>
  <c r="B4163" i="23"/>
  <c r="B4162" i="23"/>
  <c r="B4161" i="23"/>
  <c r="B4160" i="23"/>
  <c r="B4159" i="23"/>
  <c r="B4158" i="23"/>
  <c r="B4157" i="23"/>
  <c r="B4156" i="23"/>
  <c r="B4155" i="23"/>
  <c r="B4154" i="23"/>
  <c r="B4153" i="23"/>
  <c r="B4152" i="23"/>
  <c r="B4151" i="23"/>
  <c r="B4150" i="23"/>
  <c r="B4149" i="23"/>
  <c r="B4148" i="23"/>
  <c r="B4147" i="23"/>
  <c r="B4146" i="23"/>
  <c r="B4145" i="23"/>
  <c r="B4144" i="23"/>
  <c r="B4143" i="23"/>
  <c r="B4142" i="23"/>
  <c r="B4141" i="23"/>
  <c r="B4140" i="23"/>
  <c r="B4139" i="23"/>
  <c r="B4138" i="23"/>
  <c r="B4137" i="23"/>
  <c r="B4136" i="23"/>
  <c r="B4135" i="23"/>
  <c r="B4134" i="23"/>
  <c r="B4133" i="23"/>
  <c r="B4132" i="23"/>
  <c r="B4131" i="23"/>
  <c r="B4130" i="23"/>
  <c r="B4129" i="23"/>
  <c r="B4128" i="23"/>
  <c r="B4127" i="23"/>
  <c r="B4126" i="23"/>
  <c r="B4125" i="23"/>
  <c r="B4124" i="23"/>
  <c r="B4123" i="23"/>
  <c r="B4122" i="23"/>
  <c r="B4121" i="23"/>
  <c r="B4120" i="23"/>
  <c r="B4119" i="23"/>
  <c r="B4118" i="23"/>
  <c r="B4117" i="23"/>
  <c r="B4116" i="23"/>
  <c r="B4115" i="23"/>
  <c r="B4114" i="23"/>
  <c r="B4113" i="23"/>
  <c r="B4112" i="23"/>
  <c r="B4111" i="23"/>
  <c r="B4110" i="23"/>
  <c r="B4109" i="23"/>
  <c r="B4108" i="23"/>
  <c r="B4107" i="23"/>
  <c r="B4106" i="23"/>
  <c r="B4105" i="23"/>
  <c r="B4104" i="23"/>
  <c r="B4103" i="23"/>
  <c r="B4102" i="23"/>
  <c r="B4101" i="23"/>
  <c r="B4100" i="23"/>
  <c r="B4099" i="23"/>
  <c r="B4098" i="23"/>
  <c r="B4097" i="23"/>
  <c r="B4096" i="23"/>
  <c r="B4095" i="23"/>
  <c r="B4094" i="23"/>
  <c r="B4093" i="23"/>
  <c r="B4092" i="23"/>
  <c r="B4091" i="23"/>
  <c r="B4090" i="23"/>
  <c r="B4089" i="23"/>
  <c r="B4088" i="23"/>
  <c r="B4087" i="23"/>
  <c r="B4086" i="23"/>
  <c r="B4085" i="23"/>
  <c r="B4084" i="23"/>
  <c r="B4083" i="23"/>
  <c r="B4082" i="23"/>
  <c r="B4081" i="23"/>
  <c r="B4080" i="23"/>
  <c r="B4079" i="23"/>
  <c r="B4078" i="23"/>
  <c r="B4077" i="23"/>
  <c r="B4076" i="23"/>
  <c r="B4075" i="23"/>
  <c r="B4074" i="23"/>
  <c r="B4073" i="23"/>
  <c r="B4072" i="23"/>
  <c r="B4071" i="23"/>
  <c r="B4070" i="23"/>
  <c r="B4069" i="23"/>
  <c r="B4068" i="23"/>
  <c r="B4067" i="23"/>
  <c r="B4066" i="23"/>
  <c r="B4065" i="23"/>
  <c r="B4064" i="23"/>
  <c r="B4063" i="23"/>
  <c r="B4062" i="23"/>
  <c r="B4061" i="23"/>
  <c r="B4060" i="23"/>
  <c r="B4059" i="23"/>
  <c r="B4058" i="23"/>
  <c r="B4057" i="23"/>
  <c r="B4056" i="23"/>
  <c r="B4055" i="23"/>
  <c r="B4054" i="23"/>
  <c r="B4053" i="23"/>
  <c r="B4052" i="23"/>
  <c r="B4051" i="23"/>
  <c r="B4050" i="23"/>
  <c r="B4049" i="23"/>
  <c r="B4048" i="23"/>
  <c r="B4047" i="23"/>
  <c r="B4046" i="23"/>
  <c r="B4045" i="23"/>
  <c r="B4044" i="23"/>
  <c r="B4043" i="23"/>
  <c r="B4042" i="23"/>
  <c r="B4041" i="23"/>
  <c r="B4040" i="23"/>
  <c r="B4039" i="23"/>
  <c r="B4038" i="23"/>
  <c r="B4037" i="23"/>
  <c r="B4036" i="23"/>
  <c r="B4035" i="23"/>
  <c r="B4034" i="23"/>
  <c r="B4033" i="23"/>
  <c r="B4032" i="23"/>
  <c r="B4031" i="23"/>
  <c r="B4030" i="23"/>
  <c r="B4029" i="23"/>
  <c r="B4028" i="23"/>
  <c r="B4027" i="23"/>
  <c r="B4026" i="23"/>
  <c r="B4025" i="23"/>
  <c r="B4024" i="23"/>
  <c r="B4023" i="23"/>
  <c r="B4022" i="23"/>
  <c r="B4021" i="23"/>
  <c r="B4020" i="23"/>
  <c r="B4019" i="23"/>
  <c r="B4018" i="23"/>
  <c r="B4017" i="23"/>
  <c r="B4016" i="23"/>
  <c r="B4015" i="23"/>
  <c r="B4014" i="23"/>
  <c r="B4013" i="23"/>
  <c r="B4012" i="23"/>
  <c r="B4011" i="23"/>
  <c r="B4010" i="23"/>
  <c r="B4009" i="23"/>
  <c r="B4008" i="23"/>
  <c r="B4007" i="23"/>
  <c r="B4006" i="23"/>
  <c r="B4005" i="23"/>
  <c r="B4004" i="23"/>
  <c r="B4003" i="23"/>
  <c r="B4002" i="23"/>
  <c r="B4001" i="23"/>
  <c r="B4000" i="23"/>
  <c r="B3999" i="23"/>
  <c r="B3998" i="23"/>
  <c r="B3997" i="23"/>
  <c r="B3996" i="23"/>
  <c r="B3995" i="23"/>
  <c r="B3994" i="23"/>
  <c r="B3993" i="23"/>
  <c r="B3992" i="23"/>
  <c r="B3991" i="23"/>
  <c r="B3990" i="23"/>
  <c r="B3989" i="23"/>
  <c r="B3988" i="23"/>
  <c r="B3987" i="23"/>
  <c r="B3986" i="23"/>
  <c r="B3985" i="23"/>
  <c r="B3984" i="23"/>
  <c r="B3983" i="23"/>
  <c r="B3982" i="23"/>
  <c r="B3981" i="23"/>
  <c r="B3980" i="23"/>
  <c r="B3979" i="23"/>
  <c r="B3978" i="23"/>
  <c r="B3977" i="23"/>
  <c r="B3976" i="23"/>
  <c r="B3975" i="23"/>
  <c r="B3974" i="23"/>
  <c r="B3973" i="23"/>
  <c r="B3972" i="23"/>
  <c r="B3971" i="23"/>
  <c r="B3970" i="23"/>
  <c r="B3969" i="23"/>
  <c r="B3968" i="23"/>
  <c r="B3967" i="23"/>
  <c r="B3966" i="23"/>
  <c r="B3965" i="23"/>
  <c r="B3964" i="23"/>
  <c r="B3963" i="23"/>
  <c r="B3962" i="23"/>
  <c r="B3961" i="23"/>
  <c r="B3960" i="23"/>
  <c r="B3959" i="23"/>
  <c r="B3958" i="23"/>
  <c r="B3957" i="23"/>
  <c r="B3956" i="23"/>
  <c r="B3955" i="23"/>
  <c r="B3954" i="23"/>
  <c r="B3953" i="23"/>
  <c r="B3952" i="23"/>
  <c r="B3951" i="23"/>
  <c r="B3950" i="23"/>
  <c r="B3949" i="23"/>
  <c r="B3948" i="23"/>
  <c r="B3947" i="23"/>
  <c r="B3946" i="23"/>
  <c r="B3945" i="23"/>
  <c r="B3944" i="23"/>
  <c r="B3943" i="23"/>
  <c r="B3942" i="23"/>
  <c r="B3941" i="23"/>
  <c r="B3940" i="23"/>
  <c r="B3939" i="23"/>
  <c r="B3938" i="23"/>
  <c r="B3937" i="23"/>
  <c r="B3936" i="23"/>
  <c r="B3935" i="23"/>
  <c r="B3934" i="23"/>
  <c r="B3933" i="23"/>
  <c r="B3932" i="23"/>
  <c r="B3931" i="23"/>
  <c r="B3930" i="23"/>
  <c r="B3929" i="23"/>
  <c r="B3928" i="23"/>
  <c r="B3927" i="23"/>
  <c r="B3926" i="23"/>
  <c r="B3925" i="23"/>
  <c r="B3924" i="23"/>
  <c r="B3923" i="23"/>
  <c r="B3922" i="23"/>
  <c r="B3921" i="23"/>
  <c r="B3920" i="23"/>
  <c r="B3919" i="23"/>
  <c r="B3918" i="23"/>
  <c r="B3917" i="23"/>
  <c r="B3916" i="23"/>
  <c r="B3915" i="23"/>
  <c r="B3914" i="23"/>
  <c r="B3913" i="23"/>
  <c r="B3912" i="23"/>
  <c r="B3911" i="23"/>
  <c r="B3910" i="23"/>
  <c r="B3909" i="23"/>
  <c r="B3908" i="23"/>
  <c r="B3907" i="23"/>
  <c r="B3906" i="23"/>
  <c r="B3905" i="23"/>
  <c r="B3904" i="23"/>
  <c r="B3903" i="23"/>
  <c r="B3902" i="23"/>
  <c r="B3901" i="23"/>
  <c r="B3900" i="23"/>
  <c r="B3899" i="23"/>
  <c r="B3898" i="23"/>
  <c r="B3897" i="23"/>
  <c r="B3896" i="23"/>
  <c r="B3895" i="23"/>
  <c r="B3894" i="23"/>
  <c r="B3893" i="23"/>
  <c r="B3892" i="23"/>
  <c r="B3891" i="23"/>
  <c r="B3890" i="23"/>
  <c r="B3889" i="23"/>
  <c r="B3888" i="23"/>
  <c r="B3887" i="23"/>
  <c r="B3886" i="23"/>
  <c r="B3885" i="23"/>
  <c r="B3884" i="23"/>
  <c r="B3883" i="23"/>
  <c r="B3882" i="23"/>
  <c r="B3881" i="23"/>
  <c r="B3880" i="23"/>
  <c r="B3879" i="23"/>
  <c r="B3878" i="23"/>
  <c r="B3877" i="23"/>
  <c r="B3876" i="23"/>
  <c r="B3875" i="23"/>
  <c r="B3874" i="23"/>
  <c r="B3873" i="23"/>
  <c r="B3872" i="23"/>
  <c r="B3871" i="23"/>
  <c r="B3870" i="23"/>
  <c r="B3869" i="23"/>
  <c r="B3868" i="23"/>
  <c r="B3867" i="23"/>
  <c r="B3866" i="23"/>
  <c r="B3865" i="23"/>
  <c r="B3864" i="23"/>
  <c r="B3863" i="23"/>
  <c r="B3862" i="23"/>
  <c r="B3861" i="23"/>
  <c r="B3860" i="23"/>
  <c r="B3859" i="23"/>
  <c r="B3858" i="23"/>
  <c r="B3857" i="23"/>
  <c r="B3856" i="23"/>
  <c r="B3855" i="23"/>
  <c r="B3854" i="23"/>
  <c r="B3853" i="23"/>
  <c r="B3852" i="23"/>
  <c r="B3851" i="23"/>
  <c r="B3850" i="23"/>
  <c r="B3849" i="23"/>
  <c r="B3848" i="23"/>
  <c r="B3847" i="23"/>
  <c r="B3846" i="23"/>
  <c r="B3845" i="23"/>
  <c r="B3844" i="23"/>
  <c r="B3843" i="23"/>
  <c r="B3842" i="23"/>
  <c r="B3841" i="23"/>
  <c r="B3840" i="23"/>
  <c r="B3839" i="23"/>
  <c r="B3838" i="23"/>
  <c r="B3837" i="23"/>
  <c r="B3836" i="23"/>
  <c r="B3835" i="23"/>
  <c r="B3834" i="23"/>
  <c r="B3833" i="23"/>
  <c r="B3832" i="23"/>
  <c r="B3831" i="23"/>
  <c r="B3830" i="23"/>
  <c r="B3829" i="23"/>
  <c r="B3828" i="23"/>
  <c r="B3827" i="23"/>
  <c r="B3826" i="23"/>
  <c r="B3825" i="23"/>
  <c r="B3824" i="23"/>
  <c r="B3823" i="23"/>
  <c r="B3822" i="23"/>
  <c r="B3821" i="23"/>
  <c r="B3820" i="23"/>
  <c r="B3819" i="23"/>
  <c r="B3818" i="23"/>
  <c r="B3817" i="23"/>
  <c r="B3816" i="23"/>
  <c r="B3815" i="23"/>
  <c r="B3814" i="23"/>
  <c r="B3813" i="23"/>
  <c r="B3812" i="23"/>
  <c r="B3811" i="23"/>
  <c r="B3810" i="23"/>
  <c r="B3809" i="23"/>
  <c r="B3808" i="23"/>
  <c r="B3807" i="23"/>
  <c r="B3806" i="23"/>
  <c r="B3805" i="23"/>
  <c r="B3804" i="23"/>
  <c r="B3803" i="23"/>
  <c r="B3802" i="23"/>
  <c r="B3801" i="23"/>
  <c r="B3800" i="23"/>
  <c r="B3799" i="23"/>
  <c r="B3798" i="23"/>
  <c r="B3797" i="23"/>
  <c r="B3796" i="23"/>
  <c r="B3795" i="23"/>
  <c r="B3794" i="23"/>
  <c r="B3793" i="23"/>
  <c r="B3792" i="23"/>
  <c r="B3791" i="23"/>
  <c r="B3790" i="23"/>
  <c r="B3789" i="23"/>
  <c r="B3788" i="23"/>
  <c r="B3787" i="23"/>
  <c r="B3786" i="23"/>
  <c r="B3785" i="23"/>
  <c r="B3784" i="23"/>
  <c r="B3783" i="23"/>
  <c r="B3782" i="23"/>
  <c r="B3781" i="23"/>
  <c r="B3780" i="23"/>
  <c r="B3779" i="23"/>
  <c r="B3778" i="23"/>
  <c r="B3777" i="23"/>
  <c r="B3776" i="23"/>
  <c r="B3775" i="23"/>
  <c r="B3774" i="23"/>
  <c r="B3773" i="23"/>
  <c r="B3772" i="23"/>
  <c r="B3771" i="23"/>
  <c r="B3770" i="23"/>
  <c r="B3769" i="23"/>
  <c r="B3768" i="23"/>
  <c r="B3767" i="23"/>
  <c r="B3766" i="23"/>
  <c r="B3765" i="23"/>
  <c r="B3764" i="23"/>
  <c r="B3763" i="23"/>
  <c r="B3762" i="23"/>
  <c r="B3761" i="23"/>
  <c r="B3760" i="23"/>
  <c r="B3759" i="23"/>
  <c r="B3758" i="23"/>
  <c r="B3757" i="23"/>
  <c r="B3756" i="23"/>
  <c r="B3755" i="23"/>
  <c r="B3754" i="23"/>
  <c r="B3753" i="23"/>
  <c r="B3752" i="23"/>
  <c r="B3751" i="23"/>
  <c r="B3750" i="23"/>
  <c r="B3749" i="23"/>
  <c r="B3748" i="23"/>
  <c r="B3747" i="23"/>
  <c r="B3746" i="23"/>
  <c r="B3745" i="23"/>
  <c r="B3744" i="23"/>
  <c r="B3743" i="23"/>
  <c r="B3742" i="23"/>
  <c r="B3741" i="23"/>
  <c r="B3740" i="23"/>
  <c r="B3739" i="23"/>
  <c r="B3738" i="23"/>
  <c r="B3737" i="23"/>
  <c r="B3736" i="23"/>
  <c r="B3735" i="23"/>
  <c r="B3734" i="23"/>
  <c r="B3733" i="23"/>
  <c r="B3732" i="23"/>
  <c r="B3731" i="23"/>
  <c r="B3730" i="23"/>
  <c r="B3729" i="23"/>
  <c r="B3728" i="23"/>
  <c r="B3727" i="23"/>
  <c r="B3726" i="23"/>
  <c r="B3725" i="23"/>
  <c r="B3724" i="23"/>
  <c r="B3723" i="23"/>
  <c r="B3722" i="23"/>
  <c r="B3721" i="23"/>
  <c r="B3720" i="23"/>
  <c r="B3719" i="23"/>
  <c r="B3718" i="23"/>
  <c r="B3717" i="23"/>
  <c r="B3716" i="23"/>
  <c r="B3715" i="23"/>
  <c r="B3714" i="23"/>
  <c r="B3713" i="23"/>
  <c r="B3712" i="23"/>
  <c r="B3711" i="23"/>
  <c r="B3710" i="23"/>
  <c r="B3709" i="23"/>
  <c r="B3708" i="23"/>
  <c r="B3707" i="23"/>
  <c r="B3706" i="23"/>
  <c r="B3705" i="23"/>
  <c r="B3704" i="23"/>
  <c r="B3703" i="23"/>
  <c r="B3702" i="23"/>
  <c r="B3701" i="23"/>
  <c r="B3700" i="23"/>
  <c r="B3699" i="23"/>
  <c r="B3698" i="23"/>
  <c r="B3697" i="23"/>
  <c r="B3696" i="23"/>
  <c r="B3695" i="23"/>
  <c r="B3694" i="23"/>
  <c r="B3693" i="23"/>
  <c r="B3692" i="23"/>
  <c r="B3691" i="23"/>
  <c r="B3690" i="23"/>
  <c r="B3689" i="23"/>
  <c r="B3688" i="23"/>
  <c r="B3687" i="23"/>
  <c r="B3686" i="23"/>
  <c r="B3685" i="23"/>
  <c r="B3684" i="23"/>
  <c r="B3683" i="23"/>
  <c r="B3682" i="23"/>
  <c r="B3681" i="23"/>
  <c r="B3680" i="23"/>
  <c r="B3679" i="23"/>
  <c r="B3678" i="23"/>
  <c r="B3677" i="23"/>
  <c r="B3676" i="23"/>
  <c r="B3675" i="23"/>
  <c r="B3674" i="23"/>
  <c r="B3673" i="23"/>
  <c r="B3672" i="23"/>
  <c r="B3671" i="23"/>
  <c r="B3670" i="23"/>
  <c r="B3669" i="23"/>
  <c r="B3668" i="23"/>
  <c r="B3667" i="23"/>
  <c r="B3666" i="23"/>
  <c r="B3665" i="23"/>
  <c r="B3664" i="23"/>
  <c r="B3663" i="23"/>
  <c r="B3662" i="23"/>
  <c r="B3661" i="23"/>
  <c r="B3660" i="23"/>
  <c r="B3659" i="23"/>
  <c r="B3658" i="23"/>
  <c r="B3657" i="23"/>
  <c r="B3656" i="23"/>
  <c r="B3655" i="23"/>
  <c r="B3654" i="23"/>
  <c r="B3653" i="23"/>
  <c r="B3652" i="23"/>
  <c r="B3651" i="23"/>
  <c r="B3650" i="23"/>
  <c r="B3649" i="23"/>
  <c r="B3648" i="23"/>
  <c r="B3647" i="23"/>
  <c r="B3646" i="23"/>
  <c r="B3645" i="23"/>
  <c r="B3644" i="23"/>
  <c r="B3643" i="23"/>
  <c r="B3642" i="23"/>
  <c r="B3641" i="23"/>
  <c r="B3640" i="23"/>
  <c r="B3639" i="23"/>
  <c r="B3638" i="23"/>
  <c r="B3637" i="23"/>
  <c r="B3636" i="23"/>
  <c r="B3635" i="23"/>
  <c r="B3634" i="23"/>
  <c r="B3633" i="23"/>
  <c r="B3632" i="23"/>
  <c r="B3631" i="23"/>
  <c r="B3630" i="23"/>
  <c r="B3629" i="23"/>
  <c r="B3628" i="23"/>
  <c r="B3627" i="23"/>
  <c r="B3626" i="23"/>
  <c r="B3625" i="23"/>
  <c r="B3624" i="23"/>
  <c r="B3623" i="23"/>
  <c r="B3622" i="23"/>
  <c r="B3621" i="23"/>
  <c r="B3620" i="23"/>
  <c r="B3619" i="23"/>
  <c r="B3618" i="23"/>
  <c r="B3617" i="23"/>
  <c r="B3616" i="23"/>
  <c r="B3615" i="23"/>
  <c r="B3614" i="23"/>
  <c r="B3613" i="23"/>
  <c r="B3612" i="23"/>
  <c r="B3611" i="23"/>
  <c r="B3610" i="23"/>
  <c r="B3609" i="23"/>
  <c r="B3608" i="23"/>
  <c r="B3607" i="23"/>
  <c r="B3606" i="23"/>
  <c r="B3605" i="23"/>
  <c r="B3604" i="23"/>
  <c r="B3603" i="23"/>
  <c r="B3602" i="23"/>
  <c r="B3601" i="23"/>
  <c r="B3600" i="23"/>
  <c r="B3599" i="23"/>
  <c r="B3598" i="23"/>
  <c r="B3597" i="23"/>
  <c r="B3596" i="23"/>
  <c r="B3595" i="23"/>
  <c r="B3594" i="23"/>
  <c r="B3593" i="23"/>
  <c r="B3592" i="23"/>
  <c r="B3591" i="23"/>
  <c r="B3590" i="23"/>
  <c r="B3589" i="23"/>
  <c r="B3588" i="23"/>
  <c r="B3587" i="23"/>
  <c r="B3586" i="23"/>
  <c r="B3585" i="23"/>
  <c r="B3584" i="23"/>
  <c r="B3583" i="23"/>
  <c r="B3582" i="23"/>
  <c r="B3581" i="23"/>
  <c r="B3580" i="23"/>
  <c r="B3579" i="23"/>
  <c r="B3578" i="23"/>
  <c r="B3577" i="23"/>
  <c r="B3576" i="23"/>
  <c r="B3575" i="23"/>
  <c r="B3574" i="23"/>
  <c r="B3573" i="23"/>
  <c r="B3572" i="23"/>
  <c r="B3571" i="23"/>
  <c r="B3570" i="23"/>
  <c r="B3569" i="23"/>
  <c r="B3568" i="23"/>
  <c r="B3567" i="23"/>
  <c r="B3566" i="23"/>
  <c r="B3565" i="23"/>
  <c r="B3564" i="23"/>
  <c r="B3563" i="23"/>
  <c r="B3562" i="23"/>
  <c r="B3561" i="23"/>
  <c r="B3560" i="23"/>
  <c r="B3559" i="23"/>
  <c r="B3558" i="23"/>
  <c r="B3557" i="23"/>
  <c r="B3556" i="23"/>
  <c r="B3555" i="23"/>
  <c r="B3554" i="23"/>
  <c r="B3553" i="23"/>
  <c r="B3552" i="23"/>
  <c r="B3551" i="23"/>
  <c r="B3550" i="23"/>
  <c r="B3549" i="23"/>
  <c r="B3548" i="23"/>
  <c r="B3547" i="23"/>
  <c r="B3546" i="23"/>
  <c r="B3545" i="23"/>
  <c r="B3544" i="23"/>
  <c r="B3543" i="23"/>
  <c r="B3542" i="23"/>
  <c r="B3541" i="23"/>
  <c r="B3540" i="23"/>
  <c r="B3539" i="23"/>
  <c r="B3538" i="23"/>
  <c r="B3537" i="23"/>
  <c r="B3536" i="23"/>
  <c r="B3535" i="23"/>
  <c r="B3534" i="23"/>
  <c r="B3533" i="23"/>
  <c r="B3532" i="23"/>
  <c r="B3531" i="23"/>
  <c r="B3530" i="23"/>
  <c r="B3529" i="23"/>
  <c r="B3528" i="23"/>
  <c r="B3527" i="23"/>
  <c r="B3526" i="23"/>
  <c r="B3525" i="23"/>
  <c r="B3524" i="23"/>
  <c r="B3523" i="23"/>
  <c r="B3522" i="23"/>
  <c r="B3521" i="23"/>
  <c r="B3520" i="23"/>
  <c r="B3519" i="23"/>
  <c r="B3518" i="23"/>
  <c r="B3517" i="23"/>
  <c r="B3516" i="23"/>
  <c r="B3515" i="23"/>
  <c r="B3514" i="23"/>
  <c r="B3513" i="23"/>
  <c r="B3512" i="23"/>
  <c r="B3511" i="23"/>
  <c r="B3510" i="23"/>
  <c r="B3509" i="23"/>
  <c r="B3508" i="23"/>
  <c r="B3507" i="23"/>
  <c r="B3506" i="23"/>
  <c r="B3505" i="23"/>
  <c r="B3504" i="23"/>
  <c r="B3503" i="23"/>
  <c r="B3502" i="23"/>
  <c r="B3501" i="23"/>
  <c r="B3500" i="23"/>
  <c r="B3499" i="23"/>
  <c r="B3498" i="23"/>
  <c r="B3497" i="23"/>
  <c r="B3496" i="23"/>
  <c r="B3495" i="23"/>
  <c r="B3494" i="23"/>
  <c r="B3493" i="23"/>
  <c r="B3492" i="23"/>
  <c r="B3491" i="23"/>
  <c r="B3490" i="23"/>
  <c r="B3489" i="23"/>
  <c r="B3488" i="23"/>
  <c r="B3487" i="23"/>
  <c r="B3486" i="23"/>
  <c r="B3485" i="23"/>
  <c r="B3484" i="23"/>
  <c r="B3483" i="23"/>
  <c r="B3482" i="23"/>
  <c r="B3481" i="23"/>
  <c r="B3480" i="23"/>
  <c r="B3479" i="23"/>
  <c r="B3478" i="23"/>
  <c r="B3477" i="23"/>
  <c r="B3476" i="23"/>
  <c r="B3475" i="23"/>
  <c r="B3474" i="23"/>
  <c r="B3473" i="23"/>
  <c r="B3472" i="23"/>
  <c r="B3471" i="23"/>
  <c r="B3470" i="23"/>
  <c r="B3469" i="23"/>
  <c r="B3468" i="23"/>
  <c r="B3467" i="23"/>
  <c r="B3466" i="23"/>
  <c r="B3465" i="23"/>
  <c r="B3464" i="23"/>
  <c r="B3463" i="23"/>
  <c r="B3462" i="23"/>
  <c r="B3461" i="23"/>
  <c r="B3460" i="23"/>
  <c r="B3459" i="23"/>
  <c r="B3458" i="23"/>
  <c r="B3457" i="23"/>
  <c r="B3456" i="23"/>
  <c r="B3455" i="23"/>
  <c r="B3454" i="23"/>
  <c r="B3453" i="23"/>
  <c r="B3452" i="23"/>
  <c r="B3451" i="23"/>
  <c r="B3450" i="23"/>
  <c r="B3449" i="23"/>
  <c r="B3448" i="23"/>
  <c r="B3447" i="23"/>
  <c r="B3446" i="23"/>
  <c r="B3445" i="23"/>
  <c r="B3444" i="23"/>
  <c r="B3443" i="23"/>
  <c r="B3442" i="23"/>
  <c r="B3441" i="23"/>
  <c r="B3440" i="23"/>
  <c r="B3439" i="23"/>
  <c r="B3438" i="23"/>
  <c r="B3437" i="23"/>
  <c r="B3436" i="23"/>
  <c r="B3435" i="23"/>
  <c r="B3434" i="23"/>
  <c r="B3433" i="23"/>
  <c r="B3432" i="23"/>
  <c r="B3431" i="23"/>
  <c r="B3430" i="23"/>
  <c r="B3429" i="23"/>
  <c r="B3428" i="23"/>
  <c r="B3427" i="23"/>
  <c r="B3426" i="23"/>
  <c r="B3425" i="23"/>
  <c r="B3424" i="23"/>
  <c r="B3423" i="23"/>
  <c r="B3422" i="23"/>
  <c r="B3421" i="23"/>
  <c r="B3420" i="23"/>
  <c r="B3419" i="23"/>
  <c r="B3418" i="23"/>
  <c r="B3417" i="23"/>
  <c r="B3416" i="23"/>
  <c r="B3415" i="23"/>
  <c r="B3414" i="23"/>
  <c r="B3413" i="23"/>
  <c r="B3412" i="23"/>
  <c r="B3411" i="23"/>
  <c r="B3410" i="23"/>
  <c r="B3409" i="23"/>
  <c r="B3408" i="23"/>
  <c r="B3407" i="23"/>
  <c r="B3406" i="23"/>
  <c r="B3405" i="23"/>
  <c r="B3404" i="23"/>
  <c r="B3403" i="23"/>
  <c r="B3402" i="23"/>
  <c r="B3401" i="23"/>
  <c r="B3400" i="23"/>
  <c r="B3399" i="23"/>
  <c r="B3398" i="23"/>
  <c r="B3397" i="23"/>
  <c r="B3396" i="23"/>
  <c r="B3395" i="23"/>
  <c r="B3394" i="23"/>
  <c r="B3393" i="23"/>
  <c r="B3392" i="23"/>
  <c r="B3391" i="23"/>
  <c r="B3390" i="23"/>
  <c r="B3389" i="23"/>
  <c r="B3388" i="23"/>
  <c r="B3387" i="23"/>
  <c r="B3386" i="23"/>
  <c r="B3385" i="23"/>
  <c r="B3384" i="23"/>
  <c r="B3383" i="23"/>
  <c r="B3382" i="23"/>
  <c r="B3381" i="23"/>
  <c r="B3380" i="23"/>
  <c r="B3379" i="23"/>
  <c r="B3378" i="23"/>
  <c r="B3377" i="23"/>
  <c r="B3376" i="23"/>
  <c r="B3375" i="23"/>
  <c r="B3374" i="23"/>
  <c r="B3373" i="23"/>
  <c r="B3372" i="23"/>
  <c r="B3371" i="23"/>
  <c r="B3370" i="23"/>
  <c r="B3369" i="23"/>
  <c r="B3368" i="23"/>
  <c r="B3367" i="23"/>
  <c r="B3366" i="23"/>
  <c r="B3365" i="23"/>
  <c r="B3364" i="23"/>
  <c r="B3363" i="23"/>
  <c r="B3362" i="23"/>
  <c r="B3361" i="23"/>
  <c r="B3360" i="23"/>
  <c r="B3359" i="23"/>
  <c r="B3358" i="23"/>
  <c r="B3357" i="23"/>
  <c r="B3356" i="23"/>
  <c r="B3355" i="23"/>
  <c r="B3354" i="23"/>
  <c r="B3353" i="23"/>
  <c r="B3352" i="23"/>
  <c r="B3351" i="23"/>
  <c r="B3350" i="23"/>
  <c r="B3349" i="23"/>
  <c r="B3348" i="23"/>
  <c r="B3347" i="23"/>
  <c r="B3346" i="23"/>
  <c r="B3345" i="23"/>
  <c r="B3344" i="23"/>
  <c r="B3343" i="23"/>
  <c r="B3342" i="23"/>
  <c r="B3341" i="23"/>
  <c r="B3340" i="23"/>
  <c r="B3339" i="23"/>
  <c r="B3338" i="23"/>
  <c r="B3337" i="23"/>
  <c r="B3336" i="23"/>
  <c r="B3335" i="23"/>
  <c r="B3334" i="23"/>
  <c r="B3333" i="23"/>
  <c r="B3332" i="23"/>
  <c r="B3331" i="23"/>
  <c r="B3330" i="23"/>
  <c r="B3329" i="23"/>
  <c r="B3328" i="23"/>
  <c r="B3327" i="23"/>
  <c r="B3326" i="23"/>
  <c r="B3325" i="23"/>
  <c r="B3324" i="23"/>
  <c r="B3323" i="23"/>
  <c r="B3322" i="23"/>
  <c r="B3321" i="23"/>
  <c r="B3320" i="23"/>
  <c r="B3319" i="23"/>
  <c r="B3318" i="23"/>
  <c r="B3317" i="23"/>
  <c r="B3316" i="23"/>
  <c r="B3315" i="23"/>
  <c r="B3314" i="23"/>
  <c r="B3313" i="23"/>
  <c r="B3312" i="23"/>
  <c r="B3311" i="23"/>
  <c r="B3310" i="23"/>
  <c r="B3309" i="23"/>
  <c r="B3308" i="23"/>
  <c r="B3307" i="23"/>
  <c r="B3306" i="23"/>
  <c r="B3305" i="23"/>
  <c r="B3304" i="23"/>
  <c r="B3303" i="23"/>
  <c r="B3302" i="23"/>
  <c r="B3301" i="23"/>
  <c r="B3300" i="23"/>
  <c r="B3299" i="23"/>
  <c r="B3298" i="23"/>
  <c r="B3297" i="23"/>
  <c r="B3296" i="23"/>
  <c r="B3295" i="23"/>
  <c r="B3294" i="23"/>
  <c r="B3293" i="23"/>
  <c r="B3292" i="23"/>
  <c r="B3291" i="23"/>
  <c r="B3290" i="23"/>
  <c r="B3289" i="23"/>
  <c r="B3288" i="23"/>
  <c r="B3287" i="23"/>
  <c r="B3286" i="23"/>
  <c r="B3285" i="23"/>
  <c r="B3284" i="23"/>
  <c r="B3283" i="23"/>
  <c r="B3282" i="23"/>
  <c r="B3281" i="23"/>
  <c r="B3280" i="23"/>
  <c r="B3279" i="23"/>
  <c r="B3278" i="23"/>
  <c r="B3277" i="23"/>
  <c r="B3276" i="23"/>
  <c r="B3275" i="23"/>
  <c r="B3274" i="23"/>
  <c r="B3273" i="23"/>
  <c r="B3272" i="23"/>
  <c r="B3271" i="23"/>
  <c r="B3270" i="23"/>
  <c r="B3269" i="23"/>
  <c r="B3268" i="23"/>
  <c r="B3267" i="23"/>
  <c r="B3266" i="23"/>
  <c r="B3265" i="23"/>
  <c r="B3264" i="23"/>
  <c r="B3263" i="23"/>
  <c r="B3262" i="23"/>
  <c r="B3261" i="23"/>
  <c r="B3260" i="23"/>
  <c r="B3259" i="23"/>
  <c r="B3258" i="23"/>
  <c r="B3257" i="23"/>
  <c r="B3256" i="23"/>
  <c r="B3255" i="23"/>
  <c r="B3254" i="23"/>
  <c r="B3253" i="23"/>
  <c r="B3252" i="23"/>
  <c r="B3251" i="23"/>
  <c r="B3250" i="23"/>
  <c r="B3249" i="23"/>
  <c r="B3248" i="23"/>
  <c r="B3247" i="23"/>
  <c r="B3246" i="23"/>
  <c r="B3245" i="23"/>
  <c r="B3244" i="23"/>
  <c r="B3243" i="23"/>
  <c r="B3242" i="23"/>
  <c r="B3241" i="23"/>
  <c r="B3240" i="23"/>
  <c r="B3239" i="23"/>
  <c r="B3238" i="23"/>
  <c r="B3237" i="23"/>
  <c r="B3236" i="23"/>
  <c r="B3235" i="23"/>
  <c r="B3234" i="23"/>
  <c r="B3233" i="23"/>
  <c r="B3232" i="23"/>
  <c r="B3231" i="23"/>
  <c r="B3230" i="23"/>
  <c r="B3229" i="23"/>
  <c r="B3228" i="23"/>
  <c r="B3227" i="23"/>
  <c r="B3226" i="23"/>
  <c r="B3225" i="23"/>
  <c r="B3224" i="23"/>
  <c r="B3223" i="23"/>
  <c r="B3222" i="23"/>
  <c r="B3221" i="23"/>
  <c r="B3220" i="23"/>
  <c r="B3219" i="23"/>
  <c r="B3218" i="23"/>
  <c r="B3217" i="23"/>
  <c r="B3216" i="23"/>
  <c r="B3215" i="23"/>
  <c r="B3214" i="23"/>
  <c r="B3213" i="23"/>
  <c r="B3212" i="23"/>
  <c r="B3211" i="23"/>
  <c r="B3210" i="23"/>
  <c r="B3209" i="23"/>
  <c r="B3208" i="23"/>
  <c r="B3207" i="23"/>
  <c r="B3206" i="23"/>
  <c r="B3205" i="23"/>
  <c r="B3204" i="23"/>
  <c r="B3203" i="23"/>
  <c r="B3202" i="23"/>
  <c r="B3201" i="23"/>
  <c r="B3200" i="23"/>
  <c r="B3199" i="23"/>
  <c r="B3198" i="23"/>
  <c r="B3197" i="23"/>
  <c r="B3196" i="23"/>
  <c r="B3195" i="23"/>
  <c r="B3194" i="23"/>
  <c r="B3193" i="23"/>
  <c r="B3192" i="23"/>
  <c r="B3191" i="23"/>
  <c r="B3190" i="23"/>
  <c r="B3189" i="23"/>
  <c r="B3188" i="23"/>
  <c r="B3187" i="23"/>
  <c r="B3186" i="23"/>
  <c r="B3185" i="23"/>
  <c r="B3184" i="23"/>
  <c r="B3183" i="23"/>
  <c r="B3182" i="23"/>
  <c r="B3181" i="23"/>
  <c r="B3180" i="23"/>
  <c r="B3179" i="23"/>
  <c r="B3178" i="23"/>
  <c r="B3177" i="23"/>
  <c r="B3176" i="23"/>
  <c r="B3175" i="23"/>
  <c r="B3174" i="23"/>
  <c r="B3173" i="23"/>
  <c r="B3172" i="23"/>
  <c r="B3171" i="23"/>
  <c r="B3170" i="23"/>
  <c r="B3169" i="23"/>
  <c r="B3168" i="23"/>
  <c r="B3167" i="23"/>
  <c r="B3166" i="23"/>
  <c r="B3165" i="23"/>
  <c r="B3164" i="23"/>
  <c r="B3163" i="23"/>
  <c r="B3162" i="23"/>
  <c r="B3161" i="23"/>
  <c r="B3160" i="23"/>
  <c r="B3159" i="23"/>
  <c r="B3158" i="23"/>
  <c r="B3157" i="23"/>
  <c r="B3156" i="23"/>
  <c r="B3155" i="23"/>
  <c r="B3154" i="23"/>
  <c r="B3153" i="23"/>
  <c r="B3152" i="23"/>
  <c r="B3151" i="23"/>
  <c r="B3150" i="23"/>
  <c r="B3149" i="23"/>
  <c r="B3148" i="23"/>
  <c r="B3147" i="23"/>
  <c r="B3146" i="23"/>
  <c r="B3145" i="23"/>
  <c r="B3144" i="23"/>
  <c r="B3143" i="23"/>
  <c r="B3142" i="23"/>
  <c r="B3141" i="23"/>
  <c r="B3140" i="23"/>
  <c r="B3139" i="23"/>
  <c r="B3138" i="23"/>
  <c r="B3137" i="23"/>
  <c r="B3136" i="23"/>
  <c r="B3135" i="23"/>
  <c r="B3134" i="23"/>
  <c r="B3133" i="23"/>
  <c r="B3132" i="23"/>
  <c r="B3131" i="23"/>
  <c r="B3130" i="23"/>
  <c r="B3129" i="23"/>
  <c r="B3128" i="23"/>
  <c r="B3127" i="23"/>
  <c r="B3126" i="23"/>
  <c r="B3125" i="23"/>
  <c r="B3124" i="23"/>
  <c r="B3123" i="23"/>
  <c r="B3122" i="23"/>
  <c r="B3121" i="23"/>
  <c r="B3120" i="23"/>
  <c r="B3119" i="23"/>
  <c r="B3118" i="23"/>
  <c r="B3117" i="23"/>
  <c r="B3116" i="23"/>
  <c r="B3115" i="23"/>
  <c r="B3114" i="23"/>
  <c r="B3113" i="23"/>
  <c r="B3112" i="23"/>
  <c r="B3111" i="23"/>
  <c r="B3110" i="23"/>
  <c r="B3109" i="23"/>
  <c r="B3108" i="23"/>
  <c r="B3107" i="23"/>
  <c r="B3106" i="23"/>
  <c r="B3105" i="23"/>
  <c r="B3104" i="23"/>
  <c r="B3103" i="23"/>
  <c r="B3102" i="23"/>
  <c r="B3101" i="23"/>
  <c r="B3100" i="23"/>
  <c r="B3099" i="23"/>
  <c r="B3098" i="23"/>
  <c r="B3097" i="23"/>
  <c r="B3096" i="23"/>
  <c r="B3095" i="23"/>
  <c r="B3094" i="23"/>
  <c r="B3093" i="23"/>
  <c r="B3092" i="23"/>
  <c r="B3091" i="23"/>
  <c r="B3090" i="23"/>
  <c r="B3089" i="23"/>
  <c r="B3088" i="23"/>
  <c r="B3087" i="23"/>
  <c r="B3086" i="23"/>
  <c r="B3085" i="23"/>
  <c r="B3084" i="23"/>
  <c r="B3083" i="23"/>
  <c r="B3082" i="23"/>
  <c r="B3081" i="23"/>
  <c r="B3080" i="23"/>
  <c r="B3079" i="23"/>
  <c r="B3078" i="23"/>
  <c r="B3077" i="23"/>
  <c r="B3076" i="23"/>
  <c r="B3075" i="23"/>
  <c r="B3074" i="23"/>
  <c r="B3073" i="23"/>
  <c r="B3072" i="23"/>
  <c r="B3071" i="23"/>
  <c r="B3070" i="23"/>
  <c r="B3069" i="23"/>
  <c r="B3068" i="23"/>
  <c r="B3067" i="23"/>
  <c r="B3066" i="23"/>
  <c r="B3065" i="23"/>
  <c r="B3064" i="23"/>
  <c r="B3063" i="23"/>
  <c r="B3062" i="23"/>
  <c r="B3061" i="23"/>
  <c r="B3060" i="23"/>
  <c r="B3059" i="23"/>
  <c r="B3058" i="23"/>
  <c r="B3057" i="23"/>
  <c r="B3056" i="23"/>
  <c r="B3055" i="23"/>
  <c r="B3054" i="23"/>
  <c r="B3053" i="23"/>
  <c r="B3052" i="23"/>
  <c r="B3051" i="23"/>
  <c r="B3050" i="23"/>
  <c r="B3049" i="23"/>
  <c r="B3048" i="23"/>
  <c r="B3047" i="23"/>
  <c r="B3046" i="23"/>
  <c r="B3045" i="23"/>
  <c r="B3044" i="23"/>
  <c r="B3043" i="23"/>
  <c r="B3042" i="23"/>
  <c r="B3041" i="23"/>
  <c r="B3040" i="23"/>
  <c r="B3039" i="23"/>
  <c r="B3038" i="23"/>
  <c r="B3037" i="23"/>
  <c r="B3036" i="23"/>
  <c r="B3035" i="23"/>
  <c r="B3034" i="23"/>
  <c r="B3033" i="23"/>
  <c r="B3032" i="23"/>
  <c r="B3031" i="23"/>
  <c r="B3030" i="23"/>
  <c r="B3029" i="23"/>
  <c r="B3028" i="23"/>
  <c r="B3027" i="23"/>
  <c r="B3026" i="23"/>
  <c r="B3025" i="23"/>
  <c r="B3024" i="23"/>
  <c r="B3023" i="23"/>
  <c r="B3022" i="23"/>
  <c r="B3021" i="23"/>
  <c r="B3020" i="23"/>
  <c r="B3019" i="23"/>
  <c r="B3018" i="23"/>
  <c r="B3017" i="23"/>
  <c r="B3016" i="23"/>
  <c r="B3015" i="23"/>
  <c r="B3014" i="23"/>
  <c r="B3013" i="23"/>
  <c r="B3012" i="23"/>
  <c r="B3011" i="23"/>
  <c r="B3010" i="23"/>
  <c r="B3009" i="23"/>
  <c r="B3008" i="23"/>
  <c r="B3007" i="23"/>
  <c r="B3006" i="23"/>
  <c r="B3005" i="23"/>
  <c r="B3004" i="23"/>
  <c r="B3003" i="23"/>
  <c r="B3002" i="23"/>
  <c r="B3001" i="23"/>
  <c r="B3000" i="23"/>
  <c r="B2999" i="23"/>
  <c r="B2998" i="23"/>
  <c r="B2997" i="23"/>
  <c r="B2996" i="23"/>
  <c r="B2995" i="23"/>
  <c r="B2994" i="23"/>
  <c r="B2993" i="23"/>
  <c r="B2992" i="23"/>
  <c r="B2991" i="23"/>
  <c r="B2990" i="23"/>
  <c r="B2989" i="23"/>
  <c r="B2988" i="23"/>
  <c r="B2987" i="23"/>
  <c r="B2986" i="23"/>
  <c r="B2985" i="23"/>
  <c r="B2984" i="23"/>
  <c r="B2983" i="23"/>
  <c r="B2982" i="23"/>
  <c r="B2981" i="23"/>
  <c r="B2980" i="23"/>
  <c r="B2979" i="23"/>
  <c r="B2978" i="23"/>
  <c r="B2977" i="23"/>
  <c r="B2976" i="23"/>
  <c r="B2975" i="23"/>
  <c r="B2974" i="23"/>
  <c r="B2973" i="23"/>
  <c r="B2972" i="23"/>
  <c r="B2971" i="23"/>
  <c r="B2970" i="23"/>
  <c r="B2969" i="23"/>
  <c r="B2968" i="23"/>
  <c r="B2967" i="23"/>
  <c r="B2966" i="23"/>
  <c r="B2965" i="23"/>
  <c r="B2964" i="23"/>
  <c r="B2963" i="23"/>
  <c r="B2962" i="23"/>
  <c r="B2961" i="23"/>
  <c r="B2960" i="23"/>
  <c r="B2959" i="23"/>
  <c r="B2958" i="23"/>
  <c r="B2957" i="23"/>
  <c r="B2956" i="23"/>
  <c r="B2955" i="23"/>
  <c r="B2954" i="23"/>
  <c r="B2953" i="23"/>
  <c r="B2952" i="23"/>
  <c r="B2951" i="23"/>
  <c r="B2950" i="23"/>
  <c r="B2949" i="23"/>
  <c r="B2948" i="23"/>
  <c r="B2947" i="23"/>
  <c r="B2946" i="23"/>
  <c r="B2945" i="23"/>
  <c r="B2944" i="23"/>
  <c r="B2943" i="23"/>
  <c r="B2942" i="23"/>
  <c r="B2941" i="23"/>
  <c r="B2940" i="23"/>
  <c r="B2939" i="23"/>
  <c r="B2938" i="23"/>
  <c r="B2937" i="23"/>
  <c r="B2936" i="23"/>
  <c r="B2935" i="23"/>
  <c r="B2934" i="23"/>
  <c r="B2933" i="23"/>
  <c r="B2932" i="23"/>
  <c r="B2931" i="23"/>
  <c r="B2930" i="23"/>
  <c r="B2929" i="23"/>
  <c r="B2928" i="23"/>
  <c r="B2927" i="23"/>
  <c r="B2926" i="23"/>
  <c r="B2925" i="23"/>
  <c r="B2924" i="23"/>
  <c r="B2923" i="23"/>
  <c r="B2922" i="23"/>
  <c r="B2921" i="23"/>
  <c r="B2920" i="23"/>
  <c r="B2919" i="23"/>
  <c r="B2918" i="23"/>
  <c r="B2917" i="23"/>
  <c r="B2916" i="23"/>
  <c r="B2915" i="23"/>
  <c r="B2914" i="23"/>
  <c r="B2913" i="23"/>
  <c r="B2912" i="23"/>
  <c r="B2911" i="23"/>
  <c r="B2910" i="23"/>
  <c r="B2909" i="23"/>
  <c r="B2908" i="23"/>
  <c r="B2907" i="23"/>
  <c r="B2906" i="23"/>
  <c r="B2905" i="23"/>
  <c r="B2904" i="23"/>
  <c r="B2903" i="23"/>
  <c r="B2902" i="23"/>
  <c r="B2901" i="23"/>
  <c r="B2900" i="23"/>
  <c r="B2899" i="23"/>
  <c r="B2898" i="23"/>
  <c r="B2897" i="23"/>
  <c r="B2896" i="23"/>
  <c r="B2895" i="23"/>
  <c r="B2894" i="23"/>
  <c r="B2893" i="23"/>
  <c r="B2892" i="23"/>
  <c r="B2891" i="23"/>
  <c r="B2890" i="23"/>
  <c r="B2889" i="23"/>
  <c r="B2888" i="23"/>
  <c r="B2887" i="23"/>
  <c r="B2886" i="23"/>
  <c r="B2885" i="23"/>
  <c r="B2884" i="23"/>
  <c r="B2883" i="23"/>
  <c r="B2882" i="23"/>
  <c r="B2881" i="23"/>
  <c r="B2880" i="23"/>
  <c r="B2879" i="23"/>
  <c r="B2878" i="23"/>
  <c r="B2877" i="23"/>
  <c r="B2876" i="23"/>
  <c r="B2875" i="23"/>
  <c r="B2874" i="23"/>
  <c r="B2873" i="23"/>
  <c r="B2872" i="23"/>
  <c r="B2871" i="23"/>
  <c r="B2870" i="23"/>
  <c r="B2869" i="23"/>
  <c r="B2868" i="23"/>
  <c r="B2867" i="23"/>
  <c r="B2866" i="23"/>
  <c r="B2865" i="23"/>
  <c r="B2864" i="23"/>
  <c r="B2863" i="23"/>
  <c r="B2862" i="23"/>
  <c r="B2861" i="23"/>
  <c r="B2860" i="23"/>
  <c r="B2859" i="23"/>
  <c r="B2858" i="23"/>
  <c r="B2857" i="23"/>
  <c r="B2856" i="23"/>
  <c r="B2855" i="23"/>
  <c r="B2854" i="23"/>
  <c r="B2853" i="23"/>
  <c r="B2852" i="23"/>
  <c r="B2851" i="23"/>
  <c r="B2850" i="23"/>
  <c r="B2849" i="23"/>
  <c r="B2848" i="23"/>
  <c r="B2847" i="23"/>
  <c r="B2846" i="23"/>
  <c r="B2845" i="23"/>
  <c r="B2844" i="23"/>
  <c r="B2843" i="23"/>
  <c r="B2842" i="23"/>
  <c r="B2841" i="23"/>
  <c r="B2840" i="23"/>
  <c r="B2839" i="23"/>
  <c r="B2838" i="23"/>
  <c r="B2837" i="23"/>
  <c r="B2836" i="23"/>
  <c r="B2835" i="23"/>
  <c r="B2834" i="23"/>
  <c r="B2833" i="23"/>
  <c r="B2832" i="23"/>
  <c r="B2831" i="23"/>
  <c r="B2830" i="23"/>
  <c r="B2829" i="23"/>
  <c r="B2828" i="23"/>
  <c r="B2827" i="23"/>
  <c r="B2826" i="23"/>
  <c r="B2825" i="23"/>
  <c r="B2824" i="23"/>
  <c r="B2823" i="23"/>
  <c r="B2822" i="23"/>
  <c r="B2821" i="23"/>
  <c r="B2820" i="23"/>
  <c r="B2819" i="23"/>
  <c r="B2818" i="23"/>
  <c r="B2817" i="23"/>
  <c r="B2816" i="23"/>
  <c r="B2815" i="23"/>
  <c r="B2814" i="23"/>
  <c r="B2813" i="23"/>
  <c r="B2812" i="23"/>
  <c r="B2811" i="23"/>
  <c r="B2810" i="23"/>
  <c r="B2809" i="23"/>
  <c r="B2808" i="23"/>
  <c r="B2807" i="23"/>
  <c r="B2806" i="23"/>
  <c r="B2805" i="23"/>
  <c r="B2804" i="23"/>
  <c r="B2803" i="23"/>
  <c r="B2802" i="23"/>
  <c r="B2801" i="23"/>
  <c r="B2800" i="23"/>
  <c r="B2799" i="23"/>
  <c r="B2798" i="23"/>
  <c r="B2797" i="23"/>
  <c r="B2796" i="23"/>
  <c r="B2795" i="23"/>
  <c r="B2794" i="23"/>
  <c r="B2793" i="23"/>
  <c r="B2792" i="23"/>
  <c r="B2791" i="23"/>
  <c r="B2790" i="23"/>
  <c r="B2789" i="23"/>
  <c r="B2788" i="23"/>
  <c r="B2787" i="23"/>
  <c r="B2786" i="23"/>
  <c r="B2785" i="23"/>
  <c r="B2784" i="23"/>
  <c r="B2783" i="23"/>
  <c r="B2782" i="23"/>
  <c r="B2781" i="23"/>
  <c r="B2780" i="23"/>
  <c r="B2779" i="23"/>
  <c r="B2778" i="23"/>
  <c r="B2777" i="23"/>
  <c r="B2776" i="23"/>
  <c r="B2775" i="23"/>
  <c r="B2774" i="23"/>
  <c r="B2773" i="23"/>
  <c r="B2772" i="23"/>
  <c r="B2771" i="23"/>
  <c r="B2770" i="23"/>
  <c r="B2769" i="23"/>
  <c r="B2768" i="23"/>
  <c r="B2767" i="23"/>
  <c r="B2766" i="23"/>
  <c r="B2765" i="23"/>
  <c r="B2764" i="23"/>
  <c r="B2763" i="23"/>
  <c r="B2762" i="23"/>
  <c r="B2761" i="23"/>
  <c r="B2760" i="23"/>
  <c r="B2759" i="23"/>
  <c r="B2758" i="23"/>
  <c r="B2757" i="23"/>
  <c r="B2756" i="23"/>
  <c r="B2755" i="23"/>
  <c r="B2754" i="23"/>
  <c r="B2753" i="23"/>
  <c r="B2752" i="23"/>
  <c r="B2751" i="23"/>
  <c r="B2750" i="23"/>
  <c r="B2749" i="23"/>
  <c r="B2748" i="23"/>
  <c r="B2747" i="23"/>
  <c r="B2746" i="23"/>
  <c r="B2745" i="23"/>
  <c r="B2744" i="23"/>
  <c r="B2743" i="23"/>
  <c r="B2742" i="23"/>
  <c r="B2741" i="23"/>
  <c r="B2740" i="23"/>
  <c r="B2739" i="23"/>
  <c r="B2738" i="23"/>
  <c r="B2737" i="23"/>
  <c r="B2736" i="23"/>
  <c r="B2735" i="23"/>
  <c r="B2734" i="23"/>
  <c r="B2733" i="23"/>
  <c r="B2732" i="23"/>
  <c r="B2731" i="23"/>
  <c r="B2730" i="23"/>
  <c r="B2729" i="23"/>
  <c r="B2728" i="23"/>
  <c r="B2727" i="23"/>
  <c r="B2726" i="23"/>
  <c r="B2725" i="23"/>
  <c r="B2724" i="23"/>
  <c r="B2723" i="23"/>
  <c r="B2722" i="23"/>
  <c r="B2721" i="23"/>
  <c r="B2720" i="23"/>
  <c r="B2719" i="23"/>
  <c r="B2718" i="23"/>
  <c r="B2717" i="23"/>
  <c r="B2716" i="23"/>
  <c r="B2715" i="23"/>
  <c r="B2714" i="23"/>
  <c r="B2713" i="23"/>
  <c r="B2712" i="23"/>
  <c r="B2711" i="23"/>
  <c r="B2710" i="23"/>
  <c r="B2709" i="23"/>
  <c r="B2708" i="23"/>
  <c r="B2707" i="23"/>
  <c r="B2706" i="23"/>
  <c r="B2705" i="23"/>
  <c r="B2704" i="23"/>
  <c r="B2703" i="23"/>
  <c r="B2702" i="23"/>
  <c r="B2701" i="23"/>
  <c r="B2700" i="23"/>
  <c r="B2699" i="23"/>
  <c r="B2698" i="23"/>
  <c r="B2697" i="23"/>
  <c r="B2696" i="23"/>
  <c r="B2695" i="23"/>
  <c r="B2694" i="23"/>
  <c r="B2693" i="23"/>
  <c r="B2692" i="23"/>
  <c r="B2691" i="23"/>
  <c r="B2690" i="23"/>
  <c r="B2689" i="23"/>
  <c r="B2688" i="23"/>
  <c r="B2687" i="23"/>
  <c r="B2686" i="23"/>
  <c r="B2685" i="23"/>
  <c r="B2684" i="23"/>
  <c r="B2683" i="23"/>
  <c r="B2682" i="23"/>
  <c r="B2681" i="23"/>
  <c r="B2680" i="23"/>
  <c r="B2679" i="23"/>
  <c r="B2678" i="23"/>
  <c r="B2677" i="23"/>
  <c r="B2676" i="23"/>
  <c r="B2675" i="23"/>
  <c r="B2674" i="23"/>
  <c r="B2673" i="23"/>
  <c r="B2672" i="23"/>
  <c r="B2671" i="23"/>
  <c r="B2670" i="23"/>
  <c r="B2669" i="23"/>
  <c r="B2668" i="23"/>
  <c r="B2667" i="23"/>
  <c r="B2666" i="23"/>
  <c r="B2665" i="23"/>
  <c r="B2664" i="23"/>
  <c r="B2663" i="23"/>
  <c r="B2662" i="23"/>
  <c r="B2661" i="23"/>
  <c r="B2660" i="23"/>
  <c r="B2659" i="23"/>
  <c r="B2658" i="23"/>
  <c r="B2657" i="23"/>
  <c r="B2656" i="23"/>
  <c r="B2655" i="23"/>
  <c r="B2654" i="23"/>
  <c r="B2653" i="23"/>
  <c r="B2652" i="23"/>
  <c r="B2651" i="23"/>
  <c r="B2650" i="23"/>
  <c r="B2649" i="23"/>
  <c r="B2648" i="23"/>
  <c r="B2647" i="23"/>
  <c r="B2646" i="23"/>
  <c r="B2645" i="23"/>
  <c r="B2644" i="23"/>
  <c r="B2643" i="23"/>
  <c r="B2642" i="23"/>
  <c r="B2641" i="23"/>
  <c r="B2640" i="23"/>
  <c r="B2639" i="23"/>
  <c r="B2638" i="23"/>
  <c r="B2637" i="23"/>
  <c r="B2636" i="23"/>
  <c r="B2635" i="23"/>
  <c r="B2634" i="23"/>
  <c r="B2633" i="23"/>
  <c r="B2632" i="23"/>
  <c r="B2631" i="23"/>
  <c r="B2630" i="23"/>
  <c r="B2629" i="23"/>
  <c r="B2628" i="23"/>
  <c r="B2627" i="23"/>
  <c r="B2626" i="23"/>
  <c r="B2625" i="23"/>
  <c r="B2624" i="23"/>
  <c r="B2623" i="23"/>
  <c r="B2622" i="23"/>
  <c r="B2621" i="23"/>
  <c r="B2620" i="23"/>
  <c r="B2619" i="23"/>
  <c r="B2618" i="23"/>
  <c r="B2617" i="23"/>
  <c r="B2616" i="23"/>
  <c r="B2615" i="23"/>
  <c r="B2614" i="23"/>
  <c r="B2613" i="23"/>
  <c r="B2612" i="23"/>
  <c r="B2611" i="23"/>
  <c r="B2610" i="23"/>
  <c r="B2609" i="23"/>
  <c r="B2608" i="23"/>
  <c r="B2607" i="23"/>
  <c r="B2606" i="23"/>
  <c r="B2605" i="23"/>
  <c r="B2604" i="23"/>
  <c r="B2603" i="23"/>
  <c r="B2602" i="23"/>
  <c r="B2601" i="23"/>
  <c r="B2600" i="23"/>
  <c r="B2599" i="23"/>
  <c r="B2598" i="23"/>
  <c r="B2597" i="23"/>
  <c r="B2596" i="23"/>
  <c r="B2595" i="23"/>
  <c r="B2594" i="23"/>
  <c r="B2593" i="23"/>
  <c r="B2592" i="23"/>
  <c r="B2591" i="23"/>
  <c r="B2590" i="23"/>
  <c r="B2589" i="23"/>
  <c r="B2588" i="23"/>
  <c r="B2587" i="23"/>
  <c r="B2586" i="23"/>
  <c r="B2585" i="23"/>
  <c r="B2584" i="23"/>
  <c r="B2583" i="23"/>
  <c r="B2582" i="23"/>
  <c r="B2581" i="23"/>
  <c r="B2580" i="23"/>
  <c r="B2579" i="23"/>
  <c r="B2578" i="23"/>
  <c r="B2577" i="23"/>
  <c r="B2576" i="23"/>
  <c r="B2575" i="23"/>
  <c r="B2574" i="23"/>
  <c r="B2573" i="23"/>
  <c r="B2572" i="23"/>
  <c r="B2571" i="23"/>
  <c r="B2570" i="23"/>
  <c r="B2569" i="23"/>
  <c r="B2568" i="23"/>
  <c r="B2567" i="23"/>
  <c r="B2566" i="23"/>
  <c r="B2565" i="23"/>
  <c r="B2564" i="23"/>
  <c r="B2563" i="23"/>
  <c r="B2562" i="23"/>
  <c r="B2561" i="23"/>
  <c r="B2560" i="23"/>
  <c r="B2559" i="23"/>
  <c r="B2558" i="23"/>
  <c r="B2557" i="23"/>
  <c r="B2556" i="23"/>
  <c r="B2555" i="23"/>
  <c r="B2554" i="23"/>
  <c r="B2553" i="23"/>
  <c r="B2552" i="23"/>
  <c r="B2551" i="23"/>
  <c r="B2550" i="23"/>
  <c r="B2549" i="23"/>
  <c r="B2548" i="23"/>
  <c r="B2547" i="23"/>
  <c r="B2546" i="23"/>
  <c r="B2545" i="23"/>
  <c r="B2544" i="23"/>
  <c r="B2543" i="23"/>
  <c r="B2542" i="23"/>
  <c r="B2541" i="23"/>
  <c r="B2540" i="23"/>
  <c r="B2539" i="23"/>
  <c r="B2538" i="23"/>
  <c r="B2537" i="23"/>
  <c r="B2536" i="23"/>
  <c r="B2535" i="23"/>
  <c r="B2534" i="23"/>
  <c r="B2533" i="23"/>
  <c r="B2532" i="23"/>
  <c r="B2531" i="23"/>
  <c r="B2530" i="23"/>
  <c r="B2529" i="23"/>
  <c r="B2528" i="23"/>
  <c r="B2527" i="23"/>
  <c r="B2526" i="23"/>
  <c r="B2525" i="23"/>
  <c r="B2524" i="23"/>
  <c r="B2523" i="23"/>
  <c r="B2522" i="23"/>
  <c r="B2521" i="23"/>
  <c r="B2520" i="23"/>
  <c r="B2519" i="23"/>
  <c r="B2518" i="23"/>
  <c r="B2517" i="23"/>
  <c r="B2516" i="23"/>
  <c r="B2515" i="23"/>
  <c r="B2514" i="23"/>
  <c r="B2513" i="23"/>
  <c r="B2512" i="23"/>
  <c r="B2511" i="23"/>
  <c r="B2510" i="23"/>
  <c r="B2509" i="23"/>
  <c r="B2508" i="23"/>
  <c r="B2507" i="23"/>
  <c r="B2506" i="23"/>
  <c r="B2505" i="23"/>
  <c r="B2504" i="23"/>
  <c r="B2503" i="23"/>
  <c r="B2502" i="23"/>
  <c r="B2501" i="23"/>
  <c r="B2500" i="23"/>
  <c r="B2499" i="23"/>
  <c r="B2498" i="23"/>
  <c r="B2497" i="23"/>
  <c r="B2496" i="23"/>
  <c r="B2495" i="23"/>
  <c r="B2494" i="23"/>
  <c r="B2493" i="23"/>
  <c r="B2492" i="23"/>
  <c r="B2491" i="23"/>
  <c r="B2490" i="23"/>
  <c r="B2489" i="23"/>
  <c r="B2488" i="23"/>
  <c r="B2487" i="23"/>
  <c r="B2486" i="23"/>
  <c r="B2485" i="23"/>
  <c r="B2484" i="23"/>
  <c r="B2483" i="23"/>
  <c r="B2482" i="23"/>
  <c r="B2481" i="23"/>
  <c r="B2480" i="23"/>
  <c r="B2479" i="23"/>
  <c r="B2478" i="23"/>
  <c r="B2477" i="23"/>
  <c r="B2476" i="23"/>
  <c r="B2475" i="23"/>
  <c r="B2474" i="23"/>
  <c r="B2473" i="23"/>
  <c r="B2472" i="23"/>
  <c r="B2471" i="23"/>
  <c r="B2470" i="23"/>
  <c r="B2469" i="23"/>
  <c r="B2468" i="23"/>
  <c r="B2467" i="23"/>
  <c r="B2466" i="23"/>
  <c r="B2465" i="23"/>
  <c r="B2464" i="23"/>
  <c r="B2463" i="23"/>
  <c r="B2462" i="23"/>
  <c r="B2461" i="23"/>
  <c r="B2460" i="23"/>
  <c r="B2459" i="23"/>
  <c r="B2458" i="23"/>
  <c r="B2457" i="23"/>
  <c r="B2456" i="23"/>
  <c r="B2455" i="23"/>
  <c r="B2454" i="23"/>
  <c r="B2453" i="23"/>
  <c r="B2452" i="23"/>
  <c r="B2451" i="23"/>
  <c r="B2450" i="23"/>
  <c r="B2449" i="23"/>
  <c r="B2448" i="23"/>
  <c r="B2447" i="23"/>
  <c r="B2446" i="23"/>
  <c r="B2445" i="23"/>
  <c r="B2444" i="23"/>
  <c r="B2443" i="23"/>
  <c r="B2442" i="23"/>
  <c r="B2441" i="23"/>
  <c r="B2440" i="23"/>
  <c r="B2439" i="23"/>
  <c r="B2438" i="23"/>
  <c r="B2437" i="23"/>
  <c r="B2436" i="23"/>
  <c r="B2435" i="23"/>
  <c r="B2434" i="23"/>
  <c r="B2433" i="23"/>
  <c r="B2432" i="23"/>
  <c r="B2431" i="23"/>
  <c r="B2430" i="23"/>
  <c r="B2429" i="23"/>
  <c r="B2428" i="23"/>
  <c r="B2427" i="23"/>
  <c r="B2426" i="23"/>
  <c r="B2425" i="23"/>
  <c r="B2424" i="23"/>
  <c r="B2423" i="23"/>
  <c r="B2422" i="23"/>
  <c r="B2421" i="23"/>
  <c r="B2420" i="23"/>
  <c r="B2419" i="23"/>
  <c r="B2418" i="23"/>
  <c r="B2417" i="23"/>
  <c r="B2416" i="23"/>
  <c r="B2415" i="23"/>
  <c r="B2414" i="23"/>
  <c r="B2413" i="23"/>
  <c r="B2412" i="23"/>
  <c r="B2411" i="23"/>
  <c r="B2410" i="23"/>
  <c r="B2409" i="23"/>
  <c r="B2408" i="23"/>
  <c r="B2407" i="23"/>
  <c r="B2406" i="23"/>
  <c r="B2405" i="23"/>
  <c r="B2404" i="23"/>
  <c r="B2403" i="23"/>
  <c r="B2402" i="23"/>
  <c r="B2401" i="23"/>
  <c r="B2400" i="23"/>
  <c r="B2399" i="23"/>
  <c r="B2398" i="23"/>
  <c r="B2397" i="23"/>
  <c r="B2396" i="23"/>
  <c r="B2395" i="23"/>
  <c r="B2394" i="23"/>
  <c r="B2393" i="23"/>
  <c r="B2392" i="23"/>
  <c r="B2391" i="23"/>
  <c r="B2390" i="23"/>
  <c r="B2389" i="23"/>
  <c r="B2388" i="23"/>
  <c r="B2387" i="23"/>
  <c r="B2386" i="23"/>
  <c r="B2385" i="23"/>
  <c r="B2384" i="23"/>
  <c r="B2383" i="23"/>
  <c r="B2382" i="23"/>
  <c r="B2381" i="23"/>
  <c r="B2380" i="23"/>
  <c r="B2379" i="23"/>
  <c r="B2378" i="23"/>
  <c r="B2377" i="23"/>
  <c r="B2376" i="23"/>
  <c r="B2375" i="23"/>
  <c r="B2374" i="23"/>
  <c r="B2373" i="23"/>
  <c r="B2372" i="23"/>
  <c r="B2371" i="23"/>
  <c r="B2370" i="23"/>
  <c r="B2369" i="23"/>
  <c r="B2368" i="23"/>
  <c r="B2367" i="23"/>
  <c r="B2366" i="23"/>
  <c r="B2365" i="23"/>
  <c r="B2364" i="23"/>
  <c r="B2363" i="23"/>
  <c r="B2362" i="23"/>
  <c r="B2361" i="23"/>
  <c r="B2360" i="23"/>
  <c r="B2359" i="23"/>
  <c r="B2358" i="23"/>
  <c r="B2357" i="23"/>
  <c r="B2356" i="23"/>
  <c r="B2355" i="23"/>
  <c r="B2354" i="23"/>
  <c r="B2353" i="23"/>
  <c r="B2352" i="23"/>
  <c r="B2351" i="23"/>
  <c r="B2350" i="23"/>
  <c r="B2349" i="23"/>
  <c r="B2348" i="23"/>
  <c r="B2347" i="23"/>
  <c r="B2346" i="23"/>
  <c r="B2345" i="23"/>
  <c r="B2344" i="23"/>
  <c r="B2343" i="23"/>
  <c r="B2342" i="23"/>
  <c r="B2341" i="23"/>
  <c r="B2340" i="23"/>
  <c r="B2339" i="23"/>
  <c r="B2338" i="23"/>
  <c r="B2337" i="23"/>
  <c r="B2336" i="23"/>
  <c r="B2335" i="23"/>
  <c r="B2334" i="23"/>
  <c r="B2333" i="23"/>
  <c r="B2332" i="23"/>
  <c r="B2331" i="23"/>
  <c r="B2330" i="23"/>
  <c r="B2329" i="23"/>
  <c r="B2328" i="23"/>
  <c r="B2327" i="23"/>
  <c r="B2326" i="23"/>
  <c r="B2325" i="23"/>
  <c r="B2324" i="23"/>
  <c r="B2323" i="23"/>
  <c r="B2322" i="23"/>
  <c r="B2321" i="23"/>
  <c r="B2320" i="23"/>
  <c r="B2319" i="23"/>
  <c r="B2318" i="23"/>
  <c r="B2317" i="23"/>
  <c r="B2316" i="23"/>
  <c r="B2315" i="23"/>
  <c r="B2314" i="23"/>
  <c r="B2313" i="23"/>
  <c r="B2312" i="23"/>
  <c r="B2311" i="23"/>
  <c r="B2310" i="23"/>
  <c r="B2309" i="23"/>
  <c r="B2308" i="23"/>
  <c r="B2307" i="23"/>
  <c r="B2306" i="23"/>
  <c r="B2305" i="23"/>
  <c r="B2304" i="23"/>
  <c r="B2303" i="23"/>
  <c r="B2302" i="23"/>
  <c r="B2301" i="23"/>
  <c r="B2300" i="23"/>
  <c r="B2299" i="23"/>
  <c r="B2298" i="23"/>
  <c r="B2297" i="23"/>
  <c r="B2296" i="23"/>
  <c r="B2295" i="23"/>
  <c r="B2294" i="23"/>
  <c r="B2293" i="23"/>
  <c r="B2292" i="23"/>
  <c r="B2291" i="23"/>
  <c r="B2290" i="23"/>
  <c r="B2289" i="23"/>
  <c r="B2288" i="23"/>
  <c r="B2287" i="23"/>
  <c r="B2286" i="23"/>
  <c r="B2285" i="23"/>
  <c r="B2284" i="23"/>
  <c r="B2283" i="23"/>
  <c r="B2282" i="23"/>
  <c r="B2281" i="23"/>
  <c r="B2280" i="23"/>
  <c r="B2279" i="23"/>
  <c r="B2278" i="23"/>
  <c r="B2277" i="23"/>
  <c r="B2276" i="23"/>
  <c r="B2275" i="23"/>
  <c r="B2274" i="23"/>
  <c r="B2273" i="23"/>
  <c r="B2272" i="23"/>
  <c r="B2271" i="23"/>
  <c r="B2270" i="23"/>
  <c r="B2269" i="23"/>
  <c r="B2268" i="23"/>
  <c r="B2267" i="23"/>
  <c r="B2266" i="23"/>
  <c r="B2265" i="23"/>
  <c r="B2264" i="23"/>
  <c r="B2263" i="23"/>
  <c r="B2262" i="23"/>
  <c r="B2261" i="23"/>
  <c r="B2260" i="23"/>
  <c r="B2259" i="23"/>
  <c r="B2258" i="23"/>
  <c r="B2257" i="23"/>
  <c r="B2256" i="23"/>
  <c r="B2255" i="23"/>
  <c r="B2254" i="23"/>
  <c r="B2253" i="23"/>
  <c r="B2252" i="23"/>
  <c r="B2251" i="23"/>
  <c r="B2250" i="23"/>
  <c r="B2249" i="23"/>
  <c r="B2248" i="23"/>
  <c r="B2247" i="23"/>
  <c r="B2246" i="23"/>
  <c r="B2245" i="23"/>
  <c r="B2244" i="23"/>
  <c r="B2243" i="23"/>
  <c r="B2242" i="23"/>
  <c r="B2241" i="23"/>
  <c r="B2240" i="23"/>
  <c r="B2239" i="23"/>
  <c r="B2238" i="23"/>
  <c r="B2237" i="23"/>
  <c r="B2236" i="23"/>
  <c r="B2235" i="23"/>
  <c r="B2234" i="23"/>
  <c r="B2233" i="23"/>
  <c r="B2232" i="23"/>
  <c r="B2231" i="23"/>
  <c r="B2230" i="23"/>
  <c r="B2229" i="23"/>
  <c r="B2228" i="23"/>
  <c r="B2227" i="23"/>
  <c r="B2226" i="23"/>
  <c r="B2225" i="23"/>
  <c r="B2224" i="23"/>
  <c r="B2223" i="23"/>
  <c r="B2222" i="23"/>
  <c r="B2221" i="23"/>
  <c r="B2220" i="23"/>
  <c r="B2219" i="23"/>
  <c r="B2218" i="23"/>
  <c r="B2217" i="23"/>
  <c r="B2216" i="23"/>
  <c r="B2215" i="23"/>
  <c r="B2214" i="23"/>
  <c r="B2213" i="23"/>
  <c r="B2212" i="23"/>
  <c r="B2211" i="23"/>
  <c r="B2210" i="23"/>
  <c r="B2209" i="23"/>
  <c r="B2208" i="23"/>
  <c r="B2207" i="23"/>
  <c r="B2206" i="23"/>
  <c r="B2205" i="23"/>
  <c r="B2204" i="23"/>
  <c r="B2203" i="23"/>
  <c r="B2202" i="23"/>
  <c r="B2201" i="23"/>
  <c r="B2200" i="23"/>
  <c r="B2199" i="23"/>
  <c r="B2198" i="23"/>
  <c r="B2197" i="23"/>
  <c r="B2196" i="23"/>
  <c r="B2195" i="23"/>
  <c r="B2194" i="23"/>
  <c r="B2193" i="23"/>
  <c r="B2192" i="23"/>
  <c r="B2191" i="23"/>
  <c r="B2190" i="23"/>
  <c r="B2189" i="23"/>
  <c r="B2188" i="23"/>
  <c r="B2187" i="23"/>
  <c r="B2186" i="23"/>
  <c r="B2185" i="23"/>
  <c r="B2184" i="23"/>
  <c r="B2183" i="23"/>
  <c r="B2182" i="23"/>
  <c r="B2181" i="23"/>
  <c r="B2180" i="23"/>
  <c r="B2179" i="23"/>
  <c r="B2178" i="23"/>
  <c r="B2177" i="23"/>
  <c r="B2176" i="23"/>
  <c r="B2175" i="23"/>
  <c r="B2174" i="23"/>
  <c r="B2173" i="23"/>
  <c r="B2172" i="23"/>
  <c r="B2171" i="23"/>
  <c r="B2170" i="23"/>
  <c r="B2169" i="23"/>
  <c r="B2168" i="23"/>
  <c r="B2167" i="23"/>
  <c r="B2166" i="23"/>
  <c r="B2165" i="23"/>
  <c r="B2164" i="23"/>
  <c r="B2163" i="23"/>
  <c r="B2162" i="23"/>
  <c r="B2161" i="23"/>
  <c r="B2160" i="23"/>
  <c r="B2159" i="23"/>
  <c r="B2158" i="23"/>
  <c r="B2157" i="23"/>
  <c r="B2156" i="23"/>
  <c r="B2155" i="23"/>
  <c r="B2154" i="23"/>
  <c r="B2153" i="23"/>
  <c r="B2152" i="23"/>
  <c r="B2151" i="23"/>
  <c r="B2150" i="23"/>
  <c r="B2149" i="23"/>
  <c r="B2148" i="23"/>
  <c r="B2147" i="23"/>
  <c r="B2146" i="23"/>
  <c r="B2145" i="23"/>
  <c r="B2144" i="23"/>
  <c r="B2143" i="23"/>
  <c r="B2142" i="23"/>
  <c r="B2141" i="23"/>
  <c r="B2140" i="23"/>
  <c r="B2139" i="23"/>
  <c r="B2138" i="23"/>
  <c r="B2137" i="23"/>
  <c r="B2136" i="23"/>
  <c r="B2135" i="23"/>
  <c r="B2134" i="23"/>
  <c r="B2133" i="23"/>
  <c r="B2132" i="23"/>
  <c r="B2131" i="23"/>
  <c r="B2130" i="23"/>
  <c r="B2129" i="23"/>
  <c r="B2128" i="23"/>
  <c r="B2127" i="23"/>
  <c r="B2126" i="23"/>
  <c r="B2125" i="23"/>
  <c r="B2124" i="23"/>
  <c r="B2123" i="23"/>
  <c r="B2122" i="23"/>
  <c r="B2121" i="23"/>
  <c r="B2120" i="23"/>
  <c r="B2119" i="23"/>
  <c r="B2118" i="23"/>
  <c r="B2117" i="23"/>
  <c r="B2116" i="23"/>
  <c r="B2115" i="23"/>
  <c r="B2114" i="23"/>
  <c r="B2113" i="23"/>
  <c r="B2112" i="23"/>
  <c r="B2111" i="23"/>
  <c r="B2110" i="23"/>
  <c r="B2109" i="23"/>
  <c r="B2108" i="23"/>
  <c r="B2107" i="23"/>
  <c r="B2106" i="23"/>
  <c r="B2105" i="23"/>
  <c r="B2104" i="23"/>
  <c r="B2103" i="23"/>
  <c r="B2102" i="23"/>
  <c r="B2101" i="23"/>
  <c r="B2100" i="23"/>
  <c r="B2099" i="23"/>
  <c r="B2098" i="23"/>
  <c r="B2097" i="23"/>
  <c r="B2096" i="23"/>
  <c r="B2095" i="23"/>
  <c r="B2094" i="23"/>
  <c r="B2093" i="23"/>
  <c r="B2092" i="23"/>
  <c r="B2091" i="23"/>
  <c r="B2090" i="23"/>
  <c r="B2089" i="23"/>
  <c r="B2088" i="23"/>
  <c r="B2087" i="23"/>
  <c r="B2086" i="23"/>
  <c r="B2085" i="23"/>
  <c r="B2084" i="23"/>
  <c r="B2083" i="23"/>
  <c r="B2082" i="23"/>
  <c r="B2081" i="23"/>
  <c r="B2080" i="23"/>
  <c r="B2079" i="23"/>
  <c r="B2078" i="23"/>
  <c r="B2077" i="23"/>
  <c r="B2076" i="23"/>
  <c r="B2075" i="23"/>
  <c r="B2074" i="23"/>
  <c r="B2073" i="23"/>
  <c r="B2072" i="23"/>
  <c r="B2071" i="23"/>
  <c r="B2070" i="23"/>
  <c r="B2069" i="23"/>
  <c r="B2068" i="23"/>
  <c r="B2067" i="23"/>
  <c r="B2066" i="23"/>
  <c r="B2065" i="23"/>
  <c r="B2064" i="23"/>
  <c r="B2063" i="23"/>
  <c r="B2062" i="23"/>
  <c r="B2061" i="23"/>
  <c r="B2060" i="23"/>
  <c r="B2059" i="23"/>
  <c r="B2058" i="23"/>
  <c r="B2057" i="23"/>
  <c r="B2056" i="23"/>
  <c r="B2055" i="23"/>
  <c r="B2054" i="23"/>
  <c r="B2053" i="23"/>
  <c r="B2052" i="23"/>
  <c r="B2051" i="23"/>
  <c r="B2050" i="23"/>
  <c r="B2049" i="23"/>
  <c r="B2048" i="23"/>
  <c r="B2047" i="23"/>
  <c r="B2046" i="23"/>
  <c r="B2045" i="23"/>
  <c r="B2044" i="23"/>
  <c r="B2043" i="23"/>
  <c r="B2042" i="23"/>
  <c r="B2041" i="23"/>
  <c r="B2040" i="23"/>
  <c r="B2039" i="23"/>
  <c r="B2038" i="23"/>
  <c r="B2037" i="23"/>
  <c r="B2036" i="23"/>
  <c r="B2035" i="23"/>
  <c r="B2034" i="23"/>
  <c r="B2033" i="23"/>
  <c r="B2032" i="23"/>
  <c r="B2031" i="23"/>
  <c r="B2030" i="23"/>
  <c r="B2029" i="23"/>
  <c r="B2028" i="23"/>
  <c r="B2027" i="23"/>
  <c r="B2026" i="23"/>
  <c r="B2025" i="23"/>
  <c r="B2024" i="23"/>
  <c r="B2023" i="23"/>
  <c r="B2022" i="23"/>
  <c r="B2021" i="23"/>
  <c r="B2020" i="23"/>
  <c r="B2019" i="23"/>
  <c r="B2018" i="23"/>
  <c r="B2017" i="23"/>
  <c r="B2016" i="23"/>
  <c r="B2015" i="23"/>
  <c r="B2014" i="23"/>
  <c r="B2013" i="23"/>
  <c r="B2012" i="23"/>
  <c r="B2011" i="23"/>
  <c r="B2010" i="23"/>
  <c r="B2009" i="23"/>
  <c r="B2008" i="23"/>
  <c r="B2007" i="23"/>
  <c r="B2006" i="23"/>
  <c r="B2005" i="23"/>
  <c r="B2004" i="23"/>
  <c r="B2003" i="23"/>
  <c r="B2002" i="23"/>
  <c r="B2001" i="23"/>
  <c r="B2000" i="23"/>
  <c r="B1999" i="23"/>
  <c r="B1998" i="23"/>
  <c r="B1997" i="23"/>
  <c r="B1996" i="23"/>
  <c r="B1995" i="23"/>
  <c r="B1994" i="23"/>
  <c r="B1993" i="23"/>
  <c r="B1992" i="23"/>
  <c r="B1991" i="23"/>
  <c r="B1990" i="23"/>
  <c r="B1989" i="23"/>
  <c r="B1988" i="23"/>
  <c r="B1987" i="23"/>
  <c r="B1986" i="23"/>
  <c r="B1985" i="23"/>
  <c r="B1984" i="23"/>
  <c r="B1983" i="23"/>
  <c r="B1982" i="23"/>
  <c r="B1981" i="23"/>
  <c r="B1980" i="23"/>
  <c r="B1979" i="23"/>
  <c r="B1978" i="23"/>
  <c r="B1977" i="23"/>
  <c r="B1976" i="23"/>
  <c r="B1975" i="23"/>
  <c r="B1974" i="23"/>
  <c r="B1973" i="23"/>
  <c r="B1972" i="23"/>
  <c r="B1971" i="23"/>
  <c r="B1970" i="23"/>
  <c r="B1969" i="23"/>
  <c r="B1968" i="23"/>
  <c r="B1967" i="23"/>
  <c r="B1966" i="23"/>
  <c r="B1965" i="23"/>
  <c r="B1964" i="23"/>
  <c r="B1963" i="23"/>
  <c r="B1962" i="23"/>
  <c r="B1961" i="23"/>
  <c r="B1960" i="23"/>
  <c r="B1959" i="23"/>
  <c r="B1958" i="23"/>
  <c r="B1957" i="23"/>
  <c r="B1956" i="23"/>
  <c r="B1955" i="23"/>
  <c r="B1954" i="23"/>
  <c r="B1953" i="23"/>
  <c r="B1952" i="23"/>
  <c r="B1951" i="23"/>
  <c r="B1950" i="23"/>
  <c r="B1949" i="23"/>
  <c r="B1948" i="23"/>
  <c r="B1947" i="23"/>
  <c r="B1946" i="23"/>
  <c r="B1945" i="23"/>
  <c r="B1944" i="23"/>
  <c r="B1943" i="23"/>
  <c r="B1942" i="23"/>
  <c r="B1941" i="23"/>
  <c r="B1940" i="23"/>
  <c r="B1939" i="23"/>
  <c r="B1938" i="23"/>
  <c r="B1937" i="23"/>
  <c r="B1936" i="23"/>
  <c r="B1935" i="23"/>
  <c r="B1934" i="23"/>
  <c r="B1933" i="23"/>
  <c r="B1932" i="23"/>
  <c r="B1931" i="23"/>
  <c r="B1930" i="23"/>
  <c r="B1929" i="23"/>
  <c r="B1928" i="23"/>
  <c r="B1927" i="23"/>
  <c r="B1926" i="23"/>
  <c r="B1925" i="23"/>
  <c r="B1924" i="23"/>
  <c r="B1923" i="23"/>
  <c r="B1922" i="23"/>
  <c r="B1921" i="23"/>
  <c r="B1920" i="23"/>
  <c r="B1919" i="23"/>
  <c r="B1918" i="23"/>
  <c r="B1917" i="23"/>
  <c r="B1916" i="23"/>
  <c r="B1915" i="23"/>
  <c r="B1914" i="23"/>
  <c r="B1913" i="23"/>
  <c r="B1912" i="23"/>
  <c r="B1911" i="23"/>
  <c r="B1910" i="23"/>
  <c r="B1909" i="23"/>
  <c r="B1908" i="23"/>
  <c r="B1907" i="23"/>
  <c r="B1906" i="23"/>
  <c r="B1905" i="23"/>
  <c r="B1904" i="23"/>
  <c r="B1903" i="23"/>
  <c r="B1902" i="23"/>
  <c r="B1901" i="23"/>
  <c r="B1900" i="23"/>
  <c r="B1899" i="23"/>
  <c r="B1898" i="23"/>
  <c r="B1897" i="23"/>
  <c r="B1896" i="23"/>
  <c r="B1895" i="23"/>
  <c r="B1894" i="23"/>
  <c r="B1893" i="23"/>
  <c r="B1892" i="23"/>
  <c r="B1891" i="23"/>
  <c r="B1890" i="23"/>
  <c r="B1889" i="23"/>
  <c r="B1888" i="23"/>
  <c r="B1887" i="23"/>
  <c r="B1886" i="23"/>
  <c r="B1885" i="23"/>
  <c r="B1884" i="23"/>
  <c r="B1883" i="23"/>
  <c r="B1882" i="23"/>
  <c r="B1881" i="23"/>
  <c r="B1880" i="23"/>
  <c r="B1879" i="23"/>
  <c r="B1878" i="23"/>
  <c r="B1877" i="23"/>
  <c r="B1876" i="23"/>
  <c r="B1875" i="23"/>
  <c r="B1874" i="23"/>
  <c r="B1873" i="23"/>
  <c r="B1872" i="23"/>
  <c r="B1871" i="23"/>
  <c r="B1870" i="23"/>
  <c r="B1869" i="23"/>
  <c r="B1868" i="23"/>
  <c r="B1867" i="23"/>
  <c r="B1866" i="23"/>
  <c r="B1865" i="23"/>
  <c r="B1864" i="23"/>
  <c r="B1863" i="23"/>
  <c r="B1862" i="23"/>
  <c r="B1861" i="23"/>
  <c r="B1860" i="23"/>
  <c r="B1859" i="23"/>
  <c r="B1858" i="23"/>
  <c r="B1857" i="23"/>
  <c r="B1856" i="23"/>
  <c r="B1855" i="23"/>
  <c r="B1854" i="23"/>
  <c r="B1853" i="23"/>
  <c r="B1852" i="23"/>
  <c r="B1851" i="23"/>
  <c r="B1850" i="23"/>
  <c r="B1849" i="23"/>
  <c r="B1848" i="23"/>
  <c r="B1847" i="23"/>
  <c r="B1846" i="23"/>
  <c r="B1845" i="23"/>
  <c r="B1844" i="23"/>
  <c r="B1843" i="23"/>
  <c r="B1842" i="23"/>
  <c r="B1841" i="23"/>
  <c r="B1840" i="23"/>
  <c r="B1839" i="23"/>
  <c r="B1838" i="23"/>
  <c r="B1837" i="23"/>
  <c r="B1836" i="23"/>
  <c r="B1835" i="23"/>
  <c r="B1834" i="23"/>
  <c r="B1833" i="23"/>
  <c r="B1832" i="23"/>
  <c r="B1831" i="23"/>
  <c r="B1830" i="23"/>
  <c r="B1829" i="23"/>
  <c r="B1828" i="23"/>
  <c r="B1827" i="23"/>
  <c r="B1826" i="23"/>
  <c r="B1825" i="23"/>
  <c r="B1824" i="23"/>
  <c r="B1823" i="23"/>
  <c r="B1822" i="23"/>
  <c r="B1821" i="23"/>
  <c r="B1820" i="23"/>
  <c r="B1819" i="23"/>
  <c r="B1818" i="23"/>
  <c r="B1817" i="23"/>
  <c r="B1816" i="23"/>
  <c r="B1815" i="23"/>
  <c r="B1814" i="23"/>
  <c r="B1813" i="23"/>
  <c r="B1812" i="23"/>
  <c r="B1811" i="23"/>
  <c r="B1810" i="23"/>
  <c r="B1809" i="23"/>
  <c r="B1808" i="23"/>
  <c r="B1807" i="23"/>
  <c r="B1806" i="23"/>
  <c r="B1805" i="23"/>
  <c r="B1804" i="23"/>
  <c r="B1803" i="23"/>
  <c r="B1802" i="23"/>
  <c r="B1801" i="23"/>
  <c r="B1800" i="23"/>
  <c r="B1799" i="23"/>
  <c r="B1798" i="23"/>
  <c r="B1797" i="23"/>
  <c r="B1796" i="23"/>
  <c r="B1795" i="23"/>
  <c r="B1794" i="23"/>
  <c r="B1793" i="23"/>
  <c r="B1792" i="23"/>
  <c r="B1791" i="23"/>
  <c r="B1790" i="23"/>
  <c r="B1789" i="23"/>
  <c r="B1788" i="23"/>
  <c r="B1787" i="23"/>
  <c r="B1786" i="23"/>
  <c r="B1785" i="23"/>
  <c r="B1784" i="23"/>
  <c r="B1783" i="23"/>
  <c r="B1782" i="23"/>
  <c r="B1781" i="23"/>
  <c r="B1780" i="23"/>
  <c r="B1779" i="23"/>
  <c r="B1778" i="23"/>
  <c r="B1777" i="23"/>
  <c r="B1776" i="23"/>
  <c r="B1775" i="23"/>
  <c r="B1774" i="23"/>
  <c r="B1773" i="23"/>
  <c r="B1772" i="23"/>
  <c r="B1771" i="23"/>
  <c r="B1770" i="23"/>
  <c r="B1769" i="23"/>
  <c r="B1768" i="23"/>
  <c r="B1767" i="23"/>
  <c r="B1766" i="23"/>
  <c r="B1765" i="23"/>
  <c r="B1764" i="23"/>
  <c r="B1763" i="23"/>
  <c r="B1762" i="23"/>
  <c r="B1761" i="23"/>
  <c r="B1760" i="23"/>
  <c r="B1759" i="23"/>
  <c r="B1758" i="23"/>
  <c r="B1757" i="23"/>
  <c r="B1756" i="23"/>
  <c r="B1755" i="23"/>
  <c r="B1754" i="23"/>
  <c r="B1753" i="23"/>
  <c r="B1752" i="23"/>
  <c r="B1751" i="23"/>
  <c r="B1750" i="23"/>
  <c r="B1749" i="23"/>
  <c r="B1748" i="23"/>
  <c r="B1747" i="23"/>
  <c r="B1746" i="23"/>
  <c r="B1745" i="23"/>
  <c r="B1744" i="23"/>
  <c r="B1743" i="23"/>
  <c r="B1742" i="23"/>
  <c r="B1741" i="23"/>
  <c r="B1740" i="23"/>
  <c r="B1739" i="23"/>
  <c r="B1738" i="23"/>
  <c r="B1737" i="23"/>
  <c r="B1736" i="23"/>
  <c r="B1735" i="23"/>
  <c r="B1734" i="23"/>
  <c r="B1733" i="23"/>
  <c r="B1732" i="23"/>
  <c r="B1731" i="23"/>
  <c r="B1730" i="23"/>
  <c r="B1729" i="23"/>
  <c r="B1728" i="23"/>
  <c r="B1727" i="23"/>
  <c r="B1726" i="23"/>
  <c r="B1725" i="23"/>
  <c r="B1724" i="23"/>
  <c r="B1723" i="23"/>
  <c r="B1722" i="23"/>
  <c r="B1721" i="23"/>
  <c r="B1720" i="23"/>
  <c r="B1719" i="23"/>
  <c r="B1718" i="23"/>
  <c r="B1717" i="23"/>
  <c r="B1716" i="23"/>
  <c r="B1715" i="23"/>
  <c r="B1714" i="23"/>
  <c r="B1713" i="23"/>
  <c r="B1712" i="23"/>
  <c r="B1711" i="23"/>
  <c r="B1710" i="23"/>
  <c r="B1709" i="23"/>
  <c r="B1708" i="23"/>
  <c r="B1707" i="23"/>
  <c r="B1706" i="23"/>
  <c r="B1705" i="23"/>
  <c r="B1704" i="23"/>
  <c r="B1703" i="23"/>
  <c r="B1702" i="23"/>
  <c r="B1701" i="23"/>
  <c r="B1700" i="23"/>
  <c r="B1699" i="23"/>
  <c r="B1698" i="23"/>
  <c r="B1697" i="23"/>
  <c r="B1696" i="23"/>
  <c r="B1695" i="23"/>
  <c r="B1694" i="23"/>
  <c r="B1693" i="23"/>
  <c r="B1692" i="23"/>
  <c r="B1691" i="23"/>
  <c r="B1690" i="23"/>
  <c r="B1689" i="23"/>
  <c r="B1688" i="23"/>
  <c r="B1687" i="23"/>
  <c r="B1686" i="23"/>
  <c r="B1685" i="23"/>
  <c r="B1684" i="23"/>
  <c r="B1683" i="23"/>
  <c r="B1682" i="23"/>
  <c r="B1681" i="23"/>
  <c r="B1680" i="23"/>
  <c r="B1679" i="23"/>
  <c r="B1678" i="23"/>
  <c r="B1677" i="23"/>
  <c r="B1676" i="23"/>
  <c r="B1675" i="23"/>
  <c r="B1674" i="23"/>
  <c r="B1673" i="23"/>
  <c r="B1672" i="23"/>
  <c r="B1671" i="23"/>
  <c r="B1670" i="23"/>
  <c r="B1669" i="23"/>
  <c r="B1668" i="23"/>
  <c r="B1667" i="23"/>
  <c r="B1666" i="23"/>
  <c r="B1665" i="23"/>
  <c r="B1664" i="23"/>
  <c r="B1663" i="23"/>
  <c r="B1662" i="23"/>
  <c r="B1661" i="23"/>
  <c r="B1660" i="23"/>
  <c r="B1659" i="23"/>
  <c r="B1658" i="23"/>
  <c r="B1657" i="23"/>
  <c r="B1656" i="23"/>
  <c r="B1655" i="23"/>
  <c r="B1654" i="23"/>
  <c r="B1653" i="23"/>
  <c r="B1652" i="23"/>
  <c r="B1651" i="23"/>
  <c r="B1650" i="23"/>
  <c r="B1649" i="23"/>
  <c r="B1648" i="23"/>
  <c r="B1647" i="23"/>
  <c r="B1646" i="23"/>
  <c r="B1645" i="23"/>
  <c r="B1644" i="23"/>
  <c r="B1643" i="23"/>
  <c r="B1642" i="23"/>
  <c r="B1641" i="23"/>
  <c r="B1640" i="23"/>
  <c r="B1639" i="23"/>
  <c r="B1638" i="23"/>
  <c r="B1637" i="23"/>
  <c r="B1636" i="23"/>
  <c r="B1635" i="23"/>
  <c r="B1634" i="23"/>
  <c r="B1633" i="23"/>
  <c r="B1632" i="23"/>
  <c r="B1631" i="23"/>
  <c r="B1630" i="23"/>
  <c r="B1629" i="23"/>
  <c r="B1628" i="23"/>
  <c r="B1627" i="23"/>
  <c r="B1626" i="23"/>
  <c r="B1625" i="23"/>
  <c r="B1624" i="23"/>
  <c r="B1623" i="23"/>
  <c r="B1622" i="23"/>
  <c r="B1621" i="23"/>
  <c r="B1620" i="23"/>
  <c r="B1619" i="23"/>
  <c r="B1618" i="23"/>
  <c r="B1617" i="23"/>
  <c r="B1616" i="23"/>
  <c r="B1615" i="23"/>
  <c r="B1614" i="23"/>
  <c r="B1613" i="23"/>
  <c r="B1612" i="23"/>
  <c r="B1611" i="23"/>
  <c r="B1610" i="23"/>
  <c r="B1609" i="23"/>
  <c r="B1608" i="23"/>
  <c r="B1607" i="23"/>
  <c r="B1606" i="23"/>
  <c r="B1605" i="23"/>
  <c r="B1604" i="23"/>
  <c r="B1603" i="23"/>
  <c r="B1602" i="23"/>
  <c r="B1601" i="23"/>
  <c r="B1600" i="23"/>
  <c r="B1599" i="23"/>
  <c r="B1598" i="23"/>
  <c r="B1597" i="23"/>
  <c r="B1596" i="23"/>
  <c r="B1595" i="23"/>
  <c r="B1594" i="23"/>
  <c r="B1593" i="23"/>
  <c r="B1592" i="23"/>
  <c r="B1591" i="23"/>
  <c r="B1590" i="23"/>
  <c r="B1589" i="23"/>
  <c r="B1588" i="23"/>
  <c r="B1587" i="23"/>
  <c r="B1586" i="23"/>
  <c r="B1585" i="23"/>
  <c r="B1584" i="23"/>
  <c r="B1583" i="23"/>
  <c r="B1582" i="23"/>
  <c r="B1581" i="23"/>
  <c r="B1580" i="23"/>
  <c r="B1579" i="23"/>
  <c r="B1578" i="23"/>
  <c r="B1577" i="23"/>
  <c r="B1576" i="23"/>
  <c r="B1575" i="23"/>
  <c r="B1574" i="23"/>
  <c r="B1573" i="23"/>
  <c r="B1572" i="23"/>
  <c r="B1571" i="23"/>
  <c r="B1570" i="23"/>
  <c r="B1569" i="23"/>
  <c r="B1568" i="23"/>
  <c r="B1567" i="23"/>
  <c r="B1566" i="23"/>
  <c r="B1565" i="23"/>
  <c r="B1564" i="23"/>
  <c r="B1563" i="23"/>
  <c r="B1562" i="23"/>
  <c r="B1561" i="23"/>
  <c r="B1560" i="23"/>
  <c r="B1559" i="23"/>
  <c r="B1558" i="23"/>
  <c r="B1557" i="23"/>
  <c r="B1556" i="23"/>
  <c r="B1555" i="23"/>
  <c r="B1554" i="23"/>
  <c r="B1553" i="23"/>
  <c r="B1552" i="23"/>
  <c r="B1551" i="23"/>
  <c r="B1550" i="23"/>
  <c r="B1549" i="23"/>
  <c r="B1548" i="23"/>
  <c r="B1547" i="23"/>
  <c r="B1546" i="23"/>
  <c r="B1545" i="23"/>
  <c r="B1544" i="23"/>
  <c r="B1543" i="23"/>
  <c r="B1542" i="23"/>
  <c r="B1541" i="23"/>
  <c r="B1540" i="23"/>
  <c r="B1539" i="23"/>
  <c r="B1538" i="23"/>
  <c r="B1537" i="23"/>
  <c r="B1536" i="23"/>
  <c r="B1535" i="23"/>
  <c r="B1534" i="23"/>
  <c r="B1533" i="23"/>
  <c r="B1532" i="23"/>
  <c r="B1531" i="23"/>
  <c r="B1530" i="23"/>
  <c r="B1529" i="23"/>
  <c r="B1528" i="23"/>
  <c r="B1527" i="23"/>
  <c r="B1526" i="23"/>
  <c r="B1525" i="23"/>
  <c r="B1524" i="23"/>
  <c r="B1523" i="23"/>
  <c r="B1522" i="23"/>
  <c r="B1521" i="23"/>
  <c r="B1520" i="23"/>
  <c r="B1519" i="23"/>
  <c r="B1518" i="23"/>
  <c r="B1517" i="23"/>
  <c r="B1516" i="23"/>
  <c r="B1515" i="23"/>
  <c r="B1514" i="23"/>
  <c r="B1513" i="23"/>
  <c r="B1512" i="23"/>
  <c r="B1511" i="23"/>
  <c r="B1510" i="23"/>
  <c r="B1509" i="23"/>
  <c r="B1508" i="23"/>
  <c r="B1507" i="23"/>
  <c r="B1506" i="23"/>
  <c r="B1505" i="23"/>
  <c r="B1504" i="23"/>
  <c r="B1503" i="23"/>
  <c r="B1502" i="23"/>
  <c r="B1501" i="23"/>
  <c r="B1500" i="23"/>
  <c r="B1499" i="23"/>
  <c r="B1498" i="23"/>
  <c r="B1497" i="23"/>
  <c r="B1496" i="23"/>
  <c r="B1495" i="23"/>
  <c r="B1494" i="23"/>
  <c r="B1493" i="23"/>
  <c r="B1492" i="23"/>
  <c r="B1491" i="23"/>
  <c r="B1490" i="23"/>
  <c r="B1489" i="23"/>
  <c r="B1488" i="23"/>
  <c r="B1487" i="23"/>
  <c r="B1486" i="23"/>
  <c r="B1485" i="23"/>
  <c r="B1484" i="23"/>
  <c r="B1483" i="23"/>
  <c r="B1482" i="23"/>
  <c r="B1481" i="23"/>
  <c r="B1480" i="23"/>
  <c r="B1479" i="23"/>
  <c r="B1478" i="23"/>
  <c r="B1477" i="23"/>
  <c r="B1476" i="23"/>
  <c r="B1475" i="23"/>
  <c r="B1474" i="23"/>
  <c r="B1473" i="23"/>
  <c r="B1472" i="23"/>
  <c r="B1471" i="23"/>
  <c r="B1470" i="23"/>
  <c r="B1469" i="23"/>
  <c r="B1468" i="23"/>
  <c r="B1467" i="23"/>
  <c r="B1466" i="23"/>
  <c r="B1465" i="23"/>
  <c r="B1464" i="23"/>
  <c r="B1463" i="23"/>
  <c r="B1462" i="23"/>
  <c r="B1461" i="23"/>
  <c r="B1460" i="23"/>
  <c r="B1459" i="23"/>
  <c r="B1458" i="23"/>
  <c r="B1457" i="23"/>
  <c r="B1456" i="23"/>
  <c r="B1455" i="23"/>
  <c r="B1454" i="23"/>
  <c r="B1453" i="23"/>
  <c r="B1452" i="23"/>
  <c r="B1451" i="23"/>
  <c r="B1450" i="23"/>
  <c r="B1449" i="23"/>
  <c r="B1448" i="23"/>
  <c r="B1447" i="23"/>
  <c r="B1446" i="23"/>
  <c r="B1445" i="23"/>
  <c r="B1444" i="23"/>
  <c r="B1443" i="23"/>
  <c r="B1442" i="23"/>
  <c r="B1441" i="23"/>
  <c r="B1440" i="23"/>
  <c r="B1439" i="23"/>
  <c r="B1438" i="23"/>
  <c r="B1437" i="23"/>
  <c r="B1436" i="23"/>
  <c r="B1435" i="23"/>
  <c r="B1434" i="23"/>
  <c r="B1433" i="23"/>
  <c r="B1432" i="23"/>
  <c r="B1431" i="23"/>
  <c r="B1430" i="23"/>
  <c r="B1429" i="23"/>
  <c r="B1428" i="23"/>
  <c r="B1427" i="23"/>
  <c r="B1426" i="23"/>
  <c r="B1425" i="23"/>
  <c r="B1424" i="23"/>
  <c r="B1423" i="23"/>
  <c r="B1422" i="23"/>
  <c r="B1421" i="23"/>
  <c r="B1420" i="23"/>
  <c r="B1419" i="23"/>
  <c r="B1418" i="23"/>
  <c r="B1417" i="23"/>
  <c r="B1416" i="23"/>
  <c r="B1415" i="23"/>
  <c r="B1414" i="23"/>
  <c r="B1413" i="23"/>
  <c r="B1412" i="23"/>
  <c r="B1411" i="23"/>
  <c r="B1410" i="23"/>
  <c r="B1409" i="23"/>
  <c r="B1408" i="23"/>
  <c r="B1407" i="23"/>
  <c r="B1406" i="23"/>
  <c r="B1405" i="23"/>
  <c r="B1404" i="23"/>
  <c r="B1403" i="23"/>
  <c r="B1402" i="23"/>
  <c r="B1401" i="23"/>
  <c r="B1400" i="23"/>
  <c r="B1399" i="23"/>
  <c r="B1398" i="23"/>
  <c r="B1397" i="23"/>
  <c r="B1396" i="23"/>
  <c r="B1395" i="23"/>
  <c r="B1394" i="23"/>
  <c r="B1393" i="23"/>
  <c r="B1392" i="23"/>
  <c r="B1391" i="23"/>
  <c r="B1390" i="23"/>
  <c r="B1389" i="23"/>
  <c r="B1388" i="23"/>
  <c r="B1387" i="23"/>
  <c r="B1386" i="23"/>
  <c r="B1385" i="23"/>
  <c r="B1384" i="23"/>
  <c r="B1383" i="23"/>
  <c r="B1382" i="23"/>
  <c r="B1381" i="23"/>
  <c r="B1380" i="23"/>
  <c r="B1379" i="23"/>
  <c r="B1378" i="23"/>
  <c r="B1377" i="23"/>
  <c r="B1376" i="23"/>
  <c r="B1375" i="23"/>
  <c r="B1374" i="23"/>
  <c r="B1373" i="23"/>
  <c r="B1372" i="23"/>
  <c r="B1371" i="23"/>
  <c r="B1370" i="23"/>
  <c r="B1369" i="23"/>
  <c r="B1368" i="23"/>
  <c r="B1367" i="23"/>
  <c r="B1366" i="23"/>
  <c r="B1365" i="23"/>
  <c r="B1364" i="23"/>
  <c r="B1363" i="23"/>
  <c r="B1362" i="23"/>
  <c r="B1361" i="23"/>
  <c r="B1360" i="23"/>
  <c r="B1359" i="23"/>
  <c r="B1358" i="23"/>
  <c r="B1357" i="23"/>
  <c r="B1356" i="23"/>
  <c r="B1355" i="23"/>
  <c r="B1354" i="23"/>
  <c r="B1353" i="23"/>
  <c r="B1352" i="23"/>
  <c r="B1351" i="23"/>
  <c r="B1350" i="23"/>
  <c r="B1349" i="23"/>
  <c r="B1348" i="23"/>
  <c r="B1347" i="23"/>
  <c r="B1346" i="23"/>
  <c r="B1345" i="23"/>
  <c r="B1344" i="23"/>
  <c r="B1343" i="23"/>
  <c r="B1342" i="23"/>
  <c r="B1341" i="23"/>
  <c r="B1340" i="23"/>
  <c r="B1339" i="23"/>
  <c r="B1338" i="23"/>
  <c r="B1337" i="23"/>
  <c r="B1336" i="23"/>
  <c r="B1335" i="23"/>
  <c r="B1334" i="23"/>
  <c r="B1333" i="23"/>
  <c r="B1332" i="23"/>
  <c r="B1331" i="23"/>
  <c r="B1330" i="23"/>
  <c r="B1329" i="23"/>
  <c r="B1328" i="23"/>
  <c r="B1327" i="23"/>
  <c r="B1326" i="23"/>
  <c r="B1325" i="23"/>
  <c r="B1324" i="23"/>
  <c r="B1323" i="23"/>
  <c r="B1322" i="23"/>
  <c r="B1321" i="23"/>
  <c r="B1320" i="23"/>
  <c r="B1319" i="23"/>
  <c r="B1318" i="23"/>
  <c r="B1317" i="23"/>
  <c r="B1316" i="23"/>
  <c r="B1315" i="23"/>
  <c r="B1314" i="23"/>
  <c r="B1313" i="23"/>
  <c r="B1312" i="23"/>
  <c r="B1311" i="23"/>
  <c r="B1310" i="23"/>
  <c r="B1309" i="23"/>
  <c r="B1308" i="23"/>
  <c r="B1307" i="23"/>
  <c r="B1306" i="23"/>
  <c r="B1305" i="23"/>
  <c r="B1304" i="23"/>
  <c r="B1303" i="23"/>
  <c r="B1302" i="23"/>
  <c r="B1301" i="23"/>
  <c r="B1300" i="23"/>
  <c r="B1299" i="23"/>
  <c r="B1298" i="23"/>
  <c r="B1297" i="23"/>
  <c r="B1296" i="23"/>
  <c r="B1295" i="23"/>
  <c r="B1294" i="23"/>
  <c r="B1293" i="23"/>
  <c r="B1292" i="23"/>
  <c r="B1291" i="23"/>
  <c r="B1290" i="23"/>
  <c r="B1289" i="23"/>
  <c r="B1288" i="23"/>
  <c r="B1287" i="23"/>
  <c r="B1286" i="23"/>
  <c r="B1285" i="23"/>
  <c r="B1284" i="23"/>
  <c r="B1283" i="23"/>
  <c r="B1282" i="23"/>
  <c r="B1281" i="23"/>
  <c r="B1280" i="23"/>
  <c r="B1279" i="23"/>
  <c r="B1278" i="23"/>
  <c r="B1277" i="23"/>
  <c r="B1276" i="23"/>
  <c r="B1275" i="23"/>
  <c r="B1274" i="23"/>
  <c r="B1273" i="23"/>
  <c r="B1272" i="23"/>
  <c r="B1271" i="23"/>
  <c r="B1270" i="23"/>
  <c r="B1269" i="23"/>
  <c r="B1268" i="23"/>
  <c r="B1267" i="23"/>
  <c r="B1266" i="23"/>
  <c r="B1265" i="23"/>
  <c r="B1264" i="23"/>
  <c r="B1263" i="23"/>
  <c r="B1262" i="23"/>
  <c r="B1261" i="23"/>
  <c r="B1260" i="23"/>
  <c r="B1259" i="23"/>
  <c r="B1258" i="23"/>
  <c r="B1257" i="23"/>
  <c r="B1256" i="23"/>
  <c r="B1255" i="23"/>
  <c r="B1254" i="23"/>
  <c r="B1253" i="23"/>
  <c r="B1252" i="23"/>
  <c r="B1251" i="23"/>
  <c r="B1250" i="23"/>
  <c r="B1249" i="23"/>
  <c r="B1248" i="23"/>
  <c r="B1247" i="23"/>
  <c r="B1246" i="23"/>
  <c r="B1245" i="23"/>
  <c r="B1244" i="23"/>
  <c r="B1243" i="23"/>
  <c r="B1242" i="23"/>
  <c r="B1241" i="23"/>
  <c r="B1240" i="23"/>
  <c r="B1239" i="23"/>
  <c r="B1238" i="23"/>
  <c r="B1237" i="23"/>
  <c r="B1236" i="23"/>
  <c r="B1235" i="23"/>
  <c r="B1234" i="23"/>
  <c r="B1233" i="23"/>
  <c r="B1232" i="23"/>
  <c r="B1231" i="23"/>
  <c r="B1230" i="23"/>
  <c r="B1229" i="23"/>
  <c r="B1228" i="23"/>
  <c r="B1227" i="23"/>
  <c r="B1226" i="23"/>
  <c r="B1225" i="23"/>
  <c r="B1224" i="23"/>
  <c r="B1223" i="23"/>
  <c r="B1222" i="23"/>
  <c r="B1221" i="23"/>
  <c r="B1220" i="23"/>
  <c r="B1219" i="23"/>
  <c r="B1218" i="23"/>
  <c r="B1217" i="23"/>
  <c r="B1216" i="23"/>
  <c r="B1215" i="23"/>
  <c r="B1214" i="23"/>
  <c r="B1213" i="23"/>
  <c r="B1212" i="23"/>
  <c r="B1211" i="23"/>
  <c r="B1210" i="23"/>
  <c r="B1209" i="23"/>
  <c r="B1208" i="23"/>
  <c r="B1207" i="23"/>
  <c r="B1206" i="23"/>
  <c r="B1205" i="23"/>
  <c r="B1204" i="23"/>
  <c r="B1203" i="23"/>
  <c r="B1202" i="23"/>
  <c r="B1201" i="23"/>
  <c r="B1200" i="23"/>
  <c r="B1199" i="23"/>
  <c r="B1198" i="23"/>
  <c r="B1197" i="23"/>
  <c r="B1196" i="23"/>
  <c r="B1195" i="23"/>
  <c r="B1194" i="23"/>
  <c r="B1193" i="23"/>
  <c r="B1192" i="23"/>
  <c r="B1191" i="23"/>
  <c r="B1190" i="23"/>
  <c r="B1189" i="23"/>
  <c r="B1188" i="23"/>
  <c r="B1187" i="23"/>
  <c r="B1186" i="23"/>
  <c r="B1185" i="23"/>
  <c r="B1184" i="23"/>
  <c r="B1183" i="23"/>
  <c r="B1182" i="23"/>
  <c r="B1181" i="23"/>
  <c r="B1180" i="23"/>
  <c r="B1179" i="23"/>
  <c r="B1178" i="23"/>
  <c r="B1177" i="23"/>
  <c r="B1176" i="23"/>
  <c r="B1175" i="23"/>
  <c r="B1174" i="23"/>
  <c r="B1173" i="23"/>
  <c r="B1172" i="23"/>
  <c r="B1171" i="23"/>
  <c r="B1170" i="23"/>
  <c r="B1169" i="23"/>
  <c r="B1168" i="23"/>
  <c r="B1167" i="23"/>
  <c r="B1166" i="23"/>
  <c r="B1165" i="23"/>
  <c r="B1164" i="23"/>
  <c r="B1163" i="23"/>
  <c r="B1162" i="23"/>
  <c r="B1161" i="23"/>
  <c r="B1160" i="23"/>
  <c r="B1159" i="23"/>
  <c r="B1158" i="23"/>
  <c r="B1157" i="23"/>
  <c r="B1156" i="23"/>
  <c r="B1155" i="23"/>
  <c r="B1154" i="23"/>
  <c r="B1153" i="23"/>
  <c r="B1152" i="23"/>
  <c r="B1151" i="23"/>
  <c r="B1150" i="23"/>
  <c r="B1149" i="23"/>
  <c r="B1148" i="23"/>
  <c r="B1147" i="23"/>
  <c r="B1146" i="23"/>
  <c r="B1145" i="23"/>
  <c r="B1144" i="23"/>
  <c r="B1143" i="23"/>
  <c r="B1142" i="23"/>
  <c r="B1141" i="23"/>
  <c r="B1140" i="23"/>
  <c r="B1139" i="23"/>
  <c r="B1138" i="23"/>
  <c r="B1137" i="23"/>
  <c r="B1136" i="23"/>
  <c r="B1135" i="23"/>
  <c r="B1134" i="23"/>
  <c r="B1133" i="23"/>
  <c r="B1132" i="23"/>
  <c r="B1131" i="23"/>
  <c r="B1130" i="23"/>
  <c r="B1129" i="23"/>
  <c r="B1128" i="23"/>
  <c r="B1127" i="23"/>
  <c r="B1126" i="23"/>
  <c r="B1125" i="23"/>
  <c r="B1124" i="23"/>
  <c r="B1123" i="23"/>
  <c r="B1122" i="23"/>
  <c r="B1121" i="23"/>
  <c r="B1120" i="23"/>
  <c r="B1119" i="23"/>
  <c r="B1118" i="23"/>
  <c r="B1117" i="23"/>
  <c r="B1116" i="23"/>
  <c r="B1115" i="23"/>
  <c r="B1114" i="23"/>
  <c r="B1113" i="23"/>
  <c r="B1112" i="23"/>
  <c r="B1111" i="23"/>
  <c r="B1110" i="23"/>
  <c r="B1109" i="23"/>
  <c r="B1108" i="23"/>
  <c r="B1107" i="23"/>
  <c r="B1106" i="23"/>
  <c r="B1105" i="23"/>
  <c r="B1104" i="23"/>
  <c r="B1103" i="23"/>
  <c r="B1102" i="23"/>
  <c r="B1101" i="23"/>
  <c r="B1100" i="23"/>
  <c r="B1099" i="23"/>
  <c r="B1098" i="23"/>
  <c r="B1097" i="23"/>
  <c r="B1096" i="23"/>
  <c r="B1095" i="23"/>
  <c r="B1094" i="23"/>
  <c r="B1093" i="23"/>
  <c r="B1092" i="23"/>
  <c r="B1091" i="23"/>
  <c r="B1090" i="23"/>
  <c r="B1089" i="23"/>
  <c r="B1088" i="23"/>
  <c r="B1087" i="23"/>
  <c r="B1086" i="23"/>
  <c r="B1085" i="23"/>
  <c r="B1084" i="23"/>
  <c r="B1083" i="23"/>
  <c r="B1082" i="23"/>
  <c r="B1081" i="23"/>
  <c r="B1080" i="23"/>
  <c r="B1079" i="23"/>
  <c r="B1078" i="23"/>
  <c r="B1077" i="23"/>
  <c r="B1076" i="23"/>
  <c r="B1075" i="23"/>
  <c r="B1074" i="23"/>
  <c r="B1073" i="23"/>
  <c r="B1072" i="23"/>
  <c r="B1071" i="23"/>
  <c r="B1070" i="23"/>
  <c r="B1069" i="23"/>
  <c r="B1068" i="23"/>
  <c r="B1067" i="23"/>
  <c r="B1066" i="23"/>
  <c r="B1065" i="23"/>
  <c r="B1064" i="23"/>
  <c r="B1063" i="23"/>
  <c r="B1062" i="23"/>
  <c r="B1061" i="23"/>
  <c r="B1060" i="23"/>
  <c r="B1059" i="23"/>
  <c r="B1058" i="23"/>
  <c r="B1057" i="23"/>
  <c r="B1056" i="23"/>
  <c r="B1055" i="23"/>
  <c r="B1054" i="23"/>
  <c r="B1053" i="23"/>
  <c r="B1052" i="23"/>
  <c r="B1051" i="23"/>
  <c r="B1050" i="23"/>
  <c r="B1049" i="23"/>
  <c r="B1048" i="23"/>
  <c r="B1047" i="23"/>
  <c r="B1046" i="23"/>
  <c r="B1045" i="23"/>
  <c r="B1044" i="23"/>
  <c r="B1043" i="23"/>
  <c r="B1042" i="23"/>
  <c r="B1041" i="23"/>
  <c r="B1040" i="23"/>
  <c r="B1039" i="23"/>
  <c r="B1038" i="23"/>
  <c r="B1037" i="23"/>
  <c r="B1036" i="23"/>
  <c r="B1035" i="23"/>
  <c r="B1034" i="23"/>
  <c r="B1033" i="23"/>
  <c r="B1032" i="23"/>
  <c r="B1031" i="23"/>
  <c r="B1030" i="23"/>
  <c r="B1029" i="23"/>
  <c r="B1028" i="23"/>
  <c r="B1027" i="23"/>
  <c r="B1026" i="23"/>
  <c r="B1025" i="23"/>
  <c r="B1024" i="23"/>
  <c r="B1023" i="23"/>
  <c r="B1022" i="23"/>
  <c r="B1021" i="23"/>
  <c r="B1020" i="23"/>
  <c r="B1019" i="23"/>
  <c r="B1018" i="23"/>
  <c r="B1017" i="23"/>
  <c r="B1016" i="23"/>
  <c r="B1015" i="23"/>
  <c r="B1014" i="23"/>
  <c r="B1013" i="23"/>
  <c r="B1012" i="23"/>
  <c r="B1011" i="23"/>
  <c r="B1010" i="23"/>
  <c r="B1009" i="23"/>
  <c r="B1008" i="23"/>
  <c r="B1007" i="23"/>
  <c r="B1006" i="23"/>
  <c r="B1005" i="23"/>
  <c r="B1004" i="23"/>
  <c r="B1003" i="23"/>
  <c r="B1002" i="23"/>
  <c r="B1001" i="23"/>
  <c r="B1000" i="23"/>
  <c r="B999" i="23"/>
  <c r="B998" i="23"/>
  <c r="B997" i="23"/>
  <c r="B996" i="23"/>
  <c r="B995" i="23"/>
  <c r="B994" i="23"/>
  <c r="B993" i="23"/>
  <c r="B992" i="23"/>
  <c r="B991" i="23"/>
  <c r="B990" i="23"/>
  <c r="B989" i="23"/>
  <c r="B988" i="23"/>
  <c r="B987" i="23"/>
  <c r="B986" i="23"/>
  <c r="B985" i="23"/>
  <c r="B984" i="23"/>
  <c r="B983" i="23"/>
  <c r="B982" i="23"/>
  <c r="B981" i="23"/>
  <c r="B980" i="23"/>
  <c r="B979" i="23"/>
  <c r="B978" i="23"/>
  <c r="B977" i="23"/>
  <c r="B976" i="23"/>
  <c r="B975" i="23"/>
  <c r="B974" i="23"/>
  <c r="B973" i="23"/>
  <c r="B972" i="23"/>
  <c r="B971" i="23"/>
  <c r="B970" i="23"/>
  <c r="B969" i="23"/>
  <c r="B968" i="23"/>
  <c r="B967" i="23"/>
  <c r="B966" i="23"/>
  <c r="B965" i="23"/>
  <c r="B964" i="23"/>
  <c r="B963" i="23"/>
  <c r="B962" i="23"/>
  <c r="B961" i="23"/>
  <c r="B960" i="23"/>
  <c r="B959" i="23"/>
  <c r="B958" i="23"/>
  <c r="B957" i="23"/>
  <c r="B956" i="23"/>
  <c r="B955" i="23"/>
  <c r="B954" i="23"/>
  <c r="B953" i="23"/>
  <c r="B952" i="23"/>
  <c r="B951" i="23"/>
  <c r="B950" i="23"/>
  <c r="B949" i="23"/>
  <c r="B948" i="23"/>
  <c r="B947" i="23"/>
  <c r="B946" i="23"/>
  <c r="B945" i="23"/>
  <c r="B944" i="23"/>
  <c r="B943" i="23"/>
  <c r="B942" i="23"/>
  <c r="B941" i="23"/>
  <c r="B940" i="23"/>
  <c r="B939" i="23"/>
  <c r="B938" i="23"/>
  <c r="B937" i="23"/>
  <c r="B936" i="23"/>
  <c r="B935" i="23"/>
  <c r="B934" i="23"/>
  <c r="B933" i="23"/>
  <c r="B932" i="23"/>
  <c r="B931" i="23"/>
  <c r="B930" i="23"/>
  <c r="B929" i="23"/>
  <c r="B928" i="23"/>
  <c r="B927" i="23"/>
  <c r="B926" i="23"/>
  <c r="B925" i="23"/>
  <c r="B924" i="23"/>
  <c r="B923" i="23"/>
  <c r="B922" i="23"/>
  <c r="B921" i="23"/>
  <c r="B920" i="23"/>
  <c r="B919" i="23"/>
  <c r="B918" i="23"/>
  <c r="B917" i="23"/>
  <c r="B916" i="23"/>
  <c r="B915" i="23"/>
  <c r="B914" i="23"/>
  <c r="B913" i="23"/>
  <c r="B912" i="23"/>
  <c r="B911" i="23"/>
  <c r="B910" i="23"/>
  <c r="B909" i="23"/>
  <c r="B908" i="23"/>
  <c r="B907" i="23"/>
  <c r="B906" i="23"/>
  <c r="B905" i="23"/>
  <c r="B904" i="23"/>
  <c r="B903" i="23"/>
  <c r="B902" i="23"/>
  <c r="B901" i="23"/>
  <c r="B900" i="23"/>
  <c r="B899" i="23"/>
  <c r="B898" i="23"/>
  <c r="B897" i="23"/>
  <c r="B896" i="23"/>
  <c r="B895" i="23"/>
  <c r="B894" i="23"/>
  <c r="B893" i="23"/>
  <c r="B892" i="23"/>
  <c r="B891" i="23"/>
  <c r="B890" i="23"/>
  <c r="B889" i="23"/>
  <c r="B888" i="23"/>
  <c r="B887" i="23"/>
  <c r="B886" i="23"/>
  <c r="B885" i="23"/>
  <c r="B884" i="23"/>
  <c r="B883" i="23"/>
  <c r="B882" i="23"/>
  <c r="B881" i="23"/>
  <c r="B880" i="23"/>
  <c r="B879" i="23"/>
  <c r="B878" i="23"/>
  <c r="B877" i="23"/>
  <c r="B876" i="23"/>
  <c r="B875" i="23"/>
  <c r="B874" i="23"/>
  <c r="B873" i="23"/>
  <c r="B872" i="23"/>
  <c r="B871" i="23"/>
  <c r="B870" i="23"/>
  <c r="B869" i="23"/>
  <c r="B868" i="23"/>
  <c r="B867" i="23"/>
  <c r="B866" i="23"/>
  <c r="B865" i="23"/>
  <c r="B864" i="23"/>
  <c r="B863" i="23"/>
  <c r="B862" i="23"/>
  <c r="B861" i="23"/>
  <c r="B860" i="23"/>
  <c r="B859" i="23"/>
  <c r="B858" i="23"/>
  <c r="B857" i="23"/>
  <c r="B856" i="23"/>
  <c r="B855" i="23"/>
  <c r="B854" i="23"/>
  <c r="B853" i="23"/>
  <c r="B852" i="23"/>
  <c r="B851" i="23"/>
  <c r="B850" i="23"/>
  <c r="B849" i="23"/>
  <c r="B848" i="23"/>
  <c r="B847" i="23"/>
  <c r="B846" i="23"/>
  <c r="B845" i="23"/>
  <c r="B844" i="23"/>
  <c r="B843" i="23"/>
  <c r="B842" i="23"/>
  <c r="B841" i="23"/>
  <c r="B840" i="23"/>
  <c r="B839" i="23"/>
  <c r="B838" i="23"/>
  <c r="B837" i="23"/>
  <c r="B836" i="23"/>
  <c r="B835" i="23"/>
  <c r="B834" i="23"/>
  <c r="B833" i="23"/>
  <c r="B832" i="23"/>
  <c r="B831" i="23"/>
  <c r="B830" i="23"/>
  <c r="B829" i="23"/>
  <c r="B828" i="23"/>
  <c r="B827" i="23"/>
  <c r="B826" i="23"/>
  <c r="B825" i="23"/>
  <c r="B824" i="23"/>
  <c r="B823" i="23"/>
  <c r="B822" i="23"/>
  <c r="B821" i="23"/>
  <c r="B820" i="23"/>
  <c r="B819" i="23"/>
  <c r="B818" i="23"/>
  <c r="B817" i="23"/>
  <c r="B816" i="23"/>
  <c r="B815" i="23"/>
  <c r="B814" i="23"/>
  <c r="B813" i="23"/>
  <c r="B812" i="23"/>
  <c r="B811" i="23"/>
  <c r="B810" i="23"/>
  <c r="B809" i="23"/>
  <c r="B808" i="23"/>
  <c r="B807" i="23"/>
  <c r="B806" i="23"/>
  <c r="B805" i="23"/>
  <c r="B804" i="23"/>
  <c r="B803" i="23"/>
  <c r="B802" i="23"/>
  <c r="B801" i="23"/>
  <c r="B800" i="23"/>
  <c r="B799" i="23"/>
  <c r="B798" i="23"/>
  <c r="B797" i="23"/>
  <c r="B796" i="23"/>
  <c r="B795" i="23"/>
  <c r="B794" i="23"/>
  <c r="B793" i="23"/>
  <c r="B792" i="23"/>
  <c r="B791" i="23"/>
  <c r="B790" i="23"/>
  <c r="B789" i="23"/>
  <c r="B788" i="23"/>
  <c r="B787" i="23"/>
  <c r="B786" i="23"/>
  <c r="B785" i="23"/>
  <c r="B784" i="23"/>
  <c r="B783" i="23"/>
  <c r="B782" i="23"/>
  <c r="B781" i="23"/>
  <c r="B780" i="23"/>
  <c r="B779" i="23"/>
  <c r="B778" i="23"/>
  <c r="B777" i="23"/>
  <c r="B776" i="23"/>
  <c r="B775" i="23"/>
  <c r="B774" i="23"/>
  <c r="B773" i="23"/>
  <c r="B772" i="23"/>
  <c r="B771" i="23"/>
  <c r="B770" i="23"/>
  <c r="B769" i="23"/>
  <c r="B768" i="23"/>
  <c r="B767" i="23"/>
  <c r="B766" i="23"/>
  <c r="B765" i="23"/>
  <c r="B764" i="23"/>
  <c r="B763" i="23"/>
  <c r="B762" i="23"/>
  <c r="B761" i="23"/>
  <c r="B760" i="23"/>
  <c r="B759" i="23"/>
  <c r="B758" i="23"/>
  <c r="B757" i="23"/>
  <c r="B756" i="23"/>
  <c r="B755" i="23"/>
  <c r="B754" i="23"/>
  <c r="B753" i="23"/>
  <c r="B752" i="23"/>
  <c r="B751" i="23"/>
  <c r="B750" i="23"/>
  <c r="B749" i="23"/>
  <c r="B748" i="23"/>
  <c r="B747" i="23"/>
  <c r="B746" i="23"/>
  <c r="B745" i="23"/>
  <c r="B744" i="23"/>
  <c r="B743" i="23"/>
  <c r="B742" i="23"/>
  <c r="B741" i="23"/>
  <c r="B740" i="23"/>
  <c r="B739" i="23"/>
  <c r="B738" i="23"/>
  <c r="B737" i="23"/>
  <c r="B736" i="23"/>
  <c r="B735" i="23"/>
  <c r="B734" i="23"/>
  <c r="B733" i="23"/>
  <c r="B732" i="23"/>
  <c r="B731" i="23"/>
  <c r="B730" i="23"/>
  <c r="B729" i="23"/>
  <c r="B728" i="23"/>
  <c r="B727" i="23"/>
  <c r="B726" i="23"/>
  <c r="B725" i="23"/>
  <c r="B724" i="23"/>
  <c r="B723" i="23"/>
  <c r="B722" i="23"/>
  <c r="B721" i="23"/>
  <c r="B720" i="23"/>
  <c r="B719" i="23"/>
  <c r="B718" i="23"/>
  <c r="B717" i="23"/>
  <c r="B716" i="23"/>
  <c r="B715" i="23"/>
  <c r="B714" i="23"/>
  <c r="B713" i="23"/>
  <c r="B712" i="23"/>
  <c r="B711" i="23"/>
  <c r="B710" i="23"/>
  <c r="B709" i="23"/>
  <c r="B708" i="23"/>
  <c r="B707" i="23"/>
  <c r="B706" i="23"/>
  <c r="B705" i="23"/>
  <c r="B704" i="23"/>
  <c r="B703" i="23"/>
  <c r="B702" i="23"/>
  <c r="B701" i="23"/>
  <c r="B700" i="23"/>
  <c r="B699" i="23"/>
  <c r="B698" i="23"/>
  <c r="B697" i="23"/>
  <c r="B696" i="23"/>
  <c r="B695" i="23"/>
  <c r="B694" i="23"/>
  <c r="B693" i="23"/>
  <c r="B692" i="23"/>
  <c r="B691" i="23"/>
  <c r="B690" i="23"/>
  <c r="B689" i="23"/>
  <c r="B688" i="23"/>
  <c r="B687" i="23"/>
  <c r="B686" i="23"/>
  <c r="B685" i="23"/>
  <c r="B684" i="23"/>
  <c r="B683" i="23"/>
  <c r="B682" i="23"/>
  <c r="B681" i="23"/>
  <c r="B680" i="23"/>
  <c r="B679" i="23"/>
  <c r="B678" i="23"/>
  <c r="B677" i="23"/>
  <c r="B676" i="23"/>
  <c r="B675" i="23"/>
  <c r="B674" i="23"/>
  <c r="B673" i="23"/>
  <c r="B672" i="23"/>
  <c r="B671" i="23"/>
  <c r="B670" i="23"/>
  <c r="B669" i="23"/>
  <c r="B668" i="23"/>
  <c r="B667" i="23"/>
  <c r="B666" i="23"/>
  <c r="B665" i="23"/>
  <c r="B664" i="23"/>
  <c r="B663" i="23"/>
  <c r="B662" i="23"/>
  <c r="B661" i="23"/>
  <c r="B660" i="23"/>
  <c r="B659" i="23"/>
  <c r="B658" i="23"/>
  <c r="B657" i="23"/>
  <c r="B656" i="23"/>
  <c r="B655" i="23"/>
  <c r="B654" i="23"/>
  <c r="B653" i="23"/>
  <c r="B652" i="23"/>
  <c r="B651" i="23"/>
  <c r="B650" i="23"/>
  <c r="B649" i="23"/>
  <c r="B648" i="23"/>
  <c r="B647" i="23"/>
  <c r="B646" i="23"/>
  <c r="B645" i="23"/>
  <c r="B644" i="23"/>
  <c r="B643" i="23"/>
  <c r="B642" i="23"/>
  <c r="B641" i="23"/>
  <c r="B640" i="23"/>
  <c r="B639" i="23"/>
  <c r="B638" i="23"/>
  <c r="B637" i="23"/>
  <c r="B636" i="23"/>
  <c r="B635" i="23"/>
  <c r="B634" i="23"/>
  <c r="B633" i="23"/>
  <c r="B632" i="23"/>
  <c r="B631" i="23"/>
  <c r="B630" i="23"/>
  <c r="B629" i="23"/>
  <c r="B628" i="23"/>
  <c r="B627" i="23"/>
  <c r="B626" i="23"/>
  <c r="B625" i="23"/>
  <c r="B624" i="23"/>
  <c r="B623" i="23"/>
  <c r="B622" i="23"/>
  <c r="B621" i="23"/>
  <c r="B620" i="23"/>
  <c r="B619" i="23"/>
  <c r="B618" i="23"/>
  <c r="B617" i="23"/>
  <c r="B616" i="23"/>
  <c r="B615" i="23"/>
  <c r="B614" i="23"/>
  <c r="B613" i="23"/>
  <c r="B612" i="23"/>
  <c r="B611" i="23"/>
  <c r="B610" i="23"/>
  <c r="B609" i="23"/>
  <c r="B608" i="23"/>
  <c r="B607" i="23"/>
  <c r="B606" i="23"/>
  <c r="B605" i="23"/>
  <c r="B604" i="23"/>
  <c r="B603" i="23"/>
  <c r="B602" i="23"/>
  <c r="B601" i="23"/>
  <c r="B600" i="23"/>
  <c r="B599" i="23"/>
  <c r="B598" i="23"/>
  <c r="B597" i="23"/>
  <c r="B596" i="23"/>
  <c r="B595" i="23"/>
  <c r="B594" i="23"/>
  <c r="B593" i="23"/>
  <c r="B592" i="23"/>
  <c r="B591" i="23"/>
  <c r="B590" i="23"/>
  <c r="B589" i="23"/>
  <c r="B588" i="23"/>
  <c r="B587" i="23"/>
  <c r="B586" i="23"/>
  <c r="B585" i="23"/>
  <c r="B584" i="23"/>
  <c r="B583" i="23"/>
  <c r="B582" i="23"/>
  <c r="B581" i="23"/>
  <c r="B580" i="23"/>
  <c r="B579" i="23"/>
  <c r="B578" i="23"/>
  <c r="B577" i="23"/>
  <c r="B576" i="23"/>
  <c r="B575" i="23"/>
  <c r="B574" i="23"/>
  <c r="B573" i="23"/>
  <c r="B572" i="23"/>
  <c r="B571" i="23"/>
  <c r="B570" i="23"/>
  <c r="B569" i="23"/>
  <c r="B568" i="23"/>
  <c r="B567" i="23"/>
  <c r="B566" i="23"/>
  <c r="B565" i="23"/>
  <c r="B564" i="23"/>
  <c r="B563" i="23"/>
  <c r="B562" i="23"/>
  <c r="B561" i="23"/>
  <c r="B560" i="23"/>
  <c r="B559" i="23"/>
  <c r="B558" i="23"/>
  <c r="B557" i="23"/>
  <c r="B556" i="23"/>
  <c r="B555" i="23"/>
  <c r="B554" i="23"/>
  <c r="B553" i="23"/>
  <c r="B552" i="23"/>
  <c r="B551" i="23"/>
  <c r="B550" i="23"/>
  <c r="B549" i="23"/>
  <c r="B548" i="23"/>
  <c r="B547" i="23"/>
  <c r="B546" i="23"/>
  <c r="B545" i="23"/>
  <c r="B544" i="23"/>
  <c r="B543" i="23"/>
  <c r="B542" i="23"/>
  <c r="B541" i="23"/>
  <c r="B540" i="23"/>
  <c r="B539" i="23"/>
  <c r="B538" i="23"/>
  <c r="B537" i="23"/>
  <c r="B536" i="23"/>
  <c r="B535" i="23"/>
  <c r="B534" i="23"/>
  <c r="B533" i="23"/>
  <c r="B532" i="23"/>
  <c r="B531" i="23"/>
  <c r="B530" i="23"/>
  <c r="B529" i="23"/>
  <c r="B528" i="23"/>
  <c r="B527" i="23"/>
  <c r="B526" i="23"/>
  <c r="B525" i="23"/>
  <c r="B524" i="23"/>
  <c r="B523" i="23"/>
  <c r="B522" i="23"/>
  <c r="B521" i="23"/>
  <c r="B520" i="23"/>
  <c r="B519" i="23"/>
  <c r="B518" i="23"/>
  <c r="B517" i="23"/>
  <c r="B516" i="23"/>
  <c r="B515" i="23"/>
  <c r="B514" i="23"/>
  <c r="B513" i="23"/>
  <c r="B512" i="23"/>
  <c r="B511" i="23"/>
  <c r="B510" i="23"/>
  <c r="B509" i="23"/>
  <c r="B508" i="23"/>
  <c r="B507" i="23"/>
  <c r="B506" i="23"/>
  <c r="B505" i="23"/>
  <c r="B504" i="23"/>
  <c r="B503" i="23"/>
  <c r="B502" i="23"/>
  <c r="B501" i="23"/>
  <c r="B500" i="23"/>
  <c r="B499" i="23"/>
  <c r="B498" i="23"/>
  <c r="B497" i="23"/>
  <c r="B496" i="23"/>
  <c r="B495" i="23"/>
  <c r="B494" i="23"/>
  <c r="B493" i="23"/>
  <c r="B492" i="23"/>
  <c r="B491" i="23"/>
  <c r="B490" i="23"/>
  <c r="B489" i="23"/>
  <c r="B488" i="23"/>
  <c r="B487" i="23"/>
  <c r="B486" i="23"/>
  <c r="B485" i="23"/>
  <c r="B484" i="23"/>
  <c r="B483" i="23"/>
  <c r="B482" i="23"/>
  <c r="B481" i="23"/>
  <c r="B480" i="23"/>
  <c r="B479" i="23"/>
  <c r="B478" i="23"/>
  <c r="B477" i="23"/>
  <c r="B476" i="23"/>
  <c r="B475" i="23"/>
  <c r="B474" i="23"/>
  <c r="B473" i="23"/>
  <c r="B472" i="23"/>
  <c r="B471" i="23"/>
  <c r="B470" i="23"/>
  <c r="B469" i="23"/>
  <c r="B468" i="23"/>
  <c r="B467" i="23"/>
  <c r="B466" i="23"/>
  <c r="B465" i="23"/>
  <c r="B464" i="23"/>
  <c r="B463" i="23"/>
  <c r="B462" i="23"/>
  <c r="B461" i="23"/>
  <c r="B460" i="23"/>
  <c r="B459" i="23"/>
  <c r="B458" i="23"/>
  <c r="B457" i="23"/>
  <c r="B456" i="23"/>
  <c r="B455" i="23"/>
  <c r="B454" i="23"/>
  <c r="B453" i="23"/>
  <c r="B452" i="23"/>
  <c r="B451" i="23"/>
  <c r="B450" i="23"/>
  <c r="B449" i="23"/>
  <c r="B448" i="23"/>
  <c r="B447" i="23"/>
  <c r="B446" i="23"/>
  <c r="B445" i="23"/>
  <c r="B444" i="23"/>
  <c r="B443" i="23"/>
  <c r="B442" i="23"/>
  <c r="B441" i="23"/>
  <c r="B440" i="23"/>
  <c r="B439" i="23"/>
  <c r="B438" i="23"/>
  <c r="B437" i="23"/>
  <c r="B436" i="23"/>
  <c r="B435" i="23"/>
  <c r="B434" i="23"/>
  <c r="B433" i="23"/>
  <c r="B432" i="23"/>
  <c r="B431" i="23"/>
  <c r="B430" i="23"/>
  <c r="B429" i="23"/>
  <c r="B428" i="23"/>
  <c r="B427" i="23"/>
  <c r="B426" i="23"/>
  <c r="B425" i="23"/>
  <c r="B424" i="23"/>
  <c r="B423" i="23"/>
  <c r="B422" i="23"/>
  <c r="B421" i="23"/>
  <c r="B420" i="23"/>
  <c r="B419" i="23"/>
  <c r="B418" i="23"/>
  <c r="B417" i="23"/>
  <c r="B416" i="23"/>
  <c r="B415" i="23"/>
  <c r="B414" i="23"/>
  <c r="B413" i="23"/>
  <c r="B412" i="23"/>
  <c r="B411" i="23"/>
  <c r="B410" i="23"/>
  <c r="B409" i="23"/>
  <c r="B408" i="23"/>
  <c r="B407" i="23"/>
  <c r="B406" i="23"/>
  <c r="B405" i="23"/>
  <c r="B404" i="23"/>
  <c r="B403" i="23"/>
  <c r="B402" i="23"/>
  <c r="B401" i="23"/>
  <c r="B400" i="23"/>
  <c r="B399" i="23"/>
  <c r="B398" i="23"/>
  <c r="B397" i="23"/>
  <c r="B396" i="23"/>
  <c r="B395" i="23"/>
  <c r="B394" i="23"/>
  <c r="B393" i="23"/>
  <c r="B392" i="23"/>
  <c r="B391" i="23"/>
  <c r="B390" i="23"/>
  <c r="B389" i="23"/>
  <c r="B388" i="23"/>
  <c r="B387" i="23"/>
  <c r="B386" i="23"/>
  <c r="B385" i="23"/>
  <c r="B384" i="23"/>
  <c r="B383" i="23"/>
  <c r="B382" i="23"/>
  <c r="B381" i="23"/>
  <c r="B380" i="23"/>
  <c r="B379" i="23"/>
  <c r="B378" i="23"/>
  <c r="B377" i="23"/>
  <c r="B376" i="23"/>
  <c r="B375" i="23"/>
  <c r="B374" i="23"/>
  <c r="B373" i="23"/>
  <c r="B372" i="23"/>
  <c r="B371" i="23"/>
  <c r="B370" i="23"/>
  <c r="B369" i="23"/>
  <c r="B368" i="23"/>
  <c r="B367" i="23"/>
  <c r="B366" i="23"/>
  <c r="B365" i="23"/>
  <c r="B364" i="23"/>
  <c r="B363" i="23"/>
  <c r="B362" i="23"/>
  <c r="B361" i="23"/>
  <c r="B360" i="23"/>
  <c r="B359" i="23"/>
  <c r="B358" i="23"/>
  <c r="B357" i="23"/>
  <c r="B356" i="23"/>
  <c r="B355" i="23"/>
  <c r="B354" i="23"/>
  <c r="B353" i="23"/>
  <c r="B352" i="23"/>
  <c r="B351" i="23"/>
  <c r="B350" i="23"/>
  <c r="B349" i="23"/>
  <c r="B348" i="23"/>
  <c r="B347" i="23"/>
  <c r="B346" i="23"/>
  <c r="B345" i="23"/>
  <c r="B344" i="23"/>
  <c r="B343" i="23"/>
  <c r="B342" i="23"/>
  <c r="B341" i="23"/>
  <c r="B340" i="23"/>
  <c r="B339" i="23"/>
  <c r="B338" i="23"/>
  <c r="B337" i="23"/>
  <c r="B336" i="23"/>
  <c r="B335" i="23"/>
  <c r="B334" i="23"/>
  <c r="B333" i="23"/>
  <c r="B332" i="23"/>
  <c r="B331" i="23"/>
  <c r="B330" i="23"/>
  <c r="B329" i="23"/>
  <c r="B328" i="23"/>
  <c r="B327" i="23"/>
  <c r="B326" i="23"/>
  <c r="B325" i="23"/>
  <c r="B324" i="23"/>
  <c r="B323" i="23"/>
  <c r="B322" i="23"/>
  <c r="B321" i="23"/>
  <c r="B320" i="23"/>
  <c r="B319" i="23"/>
  <c r="B318" i="23"/>
  <c r="B317" i="23"/>
  <c r="B316" i="23"/>
  <c r="B315" i="23"/>
  <c r="B314" i="23"/>
  <c r="B313" i="23"/>
  <c r="B312" i="23"/>
  <c r="B311" i="23"/>
  <c r="B310" i="23"/>
  <c r="B309" i="23"/>
  <c r="B308" i="23"/>
  <c r="B307" i="23"/>
  <c r="B306" i="23"/>
  <c r="B305" i="23"/>
  <c r="B304" i="23"/>
  <c r="B303" i="23"/>
  <c r="B302" i="23"/>
  <c r="B301" i="23"/>
  <c r="B300" i="23"/>
  <c r="B299" i="23"/>
  <c r="B298" i="23"/>
  <c r="B297" i="23"/>
  <c r="B296" i="23"/>
  <c r="B295" i="23"/>
  <c r="B294" i="23"/>
  <c r="B293" i="23"/>
  <c r="B292" i="23"/>
  <c r="B291" i="23"/>
  <c r="B290" i="23"/>
  <c r="B289" i="23"/>
  <c r="B288" i="23"/>
  <c r="B287" i="23"/>
  <c r="B286" i="23"/>
  <c r="B285" i="23"/>
  <c r="B284" i="23"/>
  <c r="B283" i="23"/>
  <c r="B282" i="23"/>
  <c r="B281" i="23"/>
  <c r="B280" i="23"/>
  <c r="B279" i="23"/>
  <c r="B278" i="23"/>
  <c r="B277" i="23"/>
  <c r="B276" i="23"/>
  <c r="B275" i="23"/>
  <c r="B274" i="23"/>
  <c r="B273" i="23"/>
  <c r="B272" i="23"/>
  <c r="B271" i="23"/>
  <c r="B270" i="23"/>
  <c r="B269" i="23"/>
  <c r="B268" i="23"/>
  <c r="B267" i="23"/>
  <c r="B266" i="23"/>
  <c r="B265" i="23"/>
  <c r="B264" i="23"/>
  <c r="B263" i="23"/>
  <c r="B262" i="23"/>
  <c r="B261" i="23"/>
  <c r="B260" i="23"/>
  <c r="B259" i="23"/>
  <c r="B258" i="23"/>
  <c r="B257" i="23"/>
  <c r="B256" i="23"/>
  <c r="B255" i="23"/>
  <c r="B254" i="23"/>
  <c r="B253" i="23"/>
  <c r="B252" i="23"/>
  <c r="B251" i="23"/>
  <c r="B250" i="23"/>
  <c r="B249" i="23"/>
  <c r="B248" i="23"/>
  <c r="B247" i="23"/>
  <c r="B246" i="23"/>
  <c r="B245" i="23"/>
  <c r="B244" i="23"/>
  <c r="B243" i="23"/>
  <c r="B242" i="23"/>
  <c r="B241" i="23"/>
  <c r="B240" i="23"/>
  <c r="B239" i="23"/>
  <c r="B238" i="23"/>
  <c r="B237" i="23"/>
  <c r="B236" i="23"/>
  <c r="B235" i="23"/>
  <c r="B234" i="23"/>
  <c r="B233" i="23"/>
  <c r="B232" i="23"/>
  <c r="B231" i="23"/>
  <c r="B230" i="23"/>
  <c r="B229" i="23"/>
  <c r="B228" i="23"/>
  <c r="B227" i="23"/>
  <c r="B226" i="23"/>
  <c r="B225" i="23"/>
  <c r="B224" i="23"/>
  <c r="B223" i="23"/>
  <c r="B222" i="23"/>
  <c r="B221" i="23"/>
  <c r="B220" i="23"/>
  <c r="B219" i="23"/>
  <c r="B218" i="23"/>
  <c r="B217" i="23"/>
  <c r="B216" i="23"/>
  <c r="B215" i="23"/>
  <c r="B214" i="23"/>
  <c r="B213" i="23"/>
  <c r="B212" i="23"/>
  <c r="B211" i="23"/>
  <c r="B210" i="23"/>
  <c r="B209" i="23"/>
  <c r="B208" i="23"/>
  <c r="B207" i="23"/>
  <c r="B206" i="23"/>
  <c r="B205" i="23"/>
  <c r="B204" i="23"/>
  <c r="B203" i="23"/>
  <c r="B202" i="23"/>
  <c r="B201" i="23"/>
  <c r="B200" i="23"/>
  <c r="B199" i="23"/>
  <c r="B198" i="23"/>
  <c r="B197" i="23"/>
  <c r="B196" i="23"/>
  <c r="B195" i="23"/>
  <c r="B194" i="23"/>
  <c r="B193" i="23"/>
  <c r="B192" i="23"/>
  <c r="B191" i="23"/>
  <c r="B190" i="23"/>
  <c r="B189" i="23"/>
  <c r="B188" i="23"/>
  <c r="B187" i="23"/>
  <c r="B186" i="23"/>
  <c r="B185" i="23"/>
  <c r="B184" i="23"/>
  <c r="B183" i="23"/>
  <c r="B182" i="23"/>
  <c r="B181" i="23"/>
  <c r="B180" i="23"/>
  <c r="B179" i="23"/>
  <c r="B178" i="23"/>
  <c r="B177" i="23"/>
  <c r="B176" i="23"/>
  <c r="B175" i="23"/>
  <c r="B174" i="23"/>
  <c r="B173" i="23"/>
  <c r="B172" i="23"/>
  <c r="B171" i="23"/>
  <c r="B170" i="23"/>
  <c r="B169" i="23"/>
  <c r="B168" i="23"/>
  <c r="B167" i="23"/>
  <c r="B166" i="23"/>
  <c r="B165" i="23"/>
  <c r="B164" i="23"/>
  <c r="B163" i="23"/>
  <c r="B162" i="23"/>
  <c r="B161" i="23"/>
  <c r="B160" i="23"/>
  <c r="B159" i="23"/>
  <c r="B158" i="23"/>
  <c r="B157" i="23"/>
  <c r="B156" i="23"/>
  <c r="B155" i="23"/>
  <c r="B154" i="23"/>
  <c r="B153" i="23"/>
  <c r="B152" i="23"/>
  <c r="B151" i="23"/>
  <c r="B150" i="23"/>
  <c r="B149" i="23"/>
  <c r="B148" i="23"/>
  <c r="B147" i="23"/>
  <c r="B146" i="23"/>
  <c r="B145" i="23"/>
  <c r="B144" i="23"/>
  <c r="B143" i="23"/>
  <c r="B142" i="23"/>
  <c r="B141" i="23"/>
  <c r="B140" i="23"/>
  <c r="B139" i="23"/>
  <c r="B138" i="23"/>
  <c r="B137" i="23"/>
  <c r="B136" i="23"/>
  <c r="B135" i="23"/>
  <c r="B134" i="23"/>
  <c r="B133" i="23"/>
  <c r="B132" i="23"/>
  <c r="B131" i="23"/>
  <c r="B130" i="23"/>
  <c r="B129" i="23"/>
  <c r="B128" i="23"/>
  <c r="B127" i="23"/>
  <c r="B126" i="23"/>
  <c r="B125" i="23"/>
  <c r="B124" i="23"/>
  <c r="B123" i="23"/>
  <c r="B122" i="23"/>
  <c r="B121" i="23"/>
  <c r="B120" i="23"/>
  <c r="B119" i="23"/>
  <c r="B118" i="23"/>
  <c r="B117" i="23"/>
  <c r="B116" i="23"/>
  <c r="B115" i="23"/>
  <c r="B114" i="23"/>
  <c r="B113" i="23"/>
  <c r="B112" i="23"/>
  <c r="B111" i="23"/>
  <c r="B110" i="23"/>
  <c r="B109" i="23"/>
  <c r="B108" i="23"/>
  <c r="B107" i="23"/>
  <c r="B106" i="23"/>
  <c r="B105" i="23"/>
  <c r="B104" i="23"/>
  <c r="B103" i="23"/>
  <c r="B102" i="23"/>
  <c r="B101" i="23"/>
  <c r="B100" i="23"/>
  <c r="B99" i="23"/>
  <c r="B98" i="23"/>
  <c r="B97" i="23"/>
  <c r="B96" i="23"/>
  <c r="B95" i="23"/>
  <c r="B94" i="23"/>
  <c r="B93" i="23"/>
  <c r="B92" i="23"/>
  <c r="B91" i="23"/>
  <c r="B90" i="23"/>
  <c r="B89" i="23"/>
  <c r="B88" i="23"/>
  <c r="B87" i="23"/>
  <c r="B86" i="23"/>
  <c r="B85" i="23"/>
  <c r="B84" i="23"/>
  <c r="B83" i="23"/>
  <c r="B82" i="23"/>
  <c r="B81" i="23"/>
  <c r="B80" i="23"/>
  <c r="B79" i="23"/>
  <c r="B78" i="23"/>
  <c r="B77" i="23"/>
  <c r="B76" i="23"/>
  <c r="B75" i="23"/>
  <c r="B74" i="23"/>
  <c r="B73" i="23"/>
  <c r="B72" i="23"/>
  <c r="B71" i="23"/>
  <c r="B70" i="23"/>
  <c r="B69" i="23"/>
  <c r="B68" i="23"/>
  <c r="B67" i="23"/>
  <c r="B66" i="23"/>
  <c r="B65" i="23"/>
  <c r="B64" i="23"/>
  <c r="B63" i="23"/>
  <c r="B62" i="23"/>
  <c r="B61" i="23"/>
  <c r="B60" i="23"/>
  <c r="B59" i="23"/>
  <c r="B58" i="23"/>
  <c r="B57" i="23"/>
  <c r="B56" i="23"/>
  <c r="B55" i="23"/>
  <c r="B54" i="23"/>
  <c r="B53" i="23"/>
  <c r="B52" i="23"/>
  <c r="B51" i="23"/>
  <c r="B50" i="23"/>
  <c r="B49" i="23"/>
  <c r="B48" i="23"/>
  <c r="B47" i="23"/>
  <c r="B46" i="23"/>
  <c r="B45" i="23"/>
  <c r="B44" i="23"/>
  <c r="B43" i="23"/>
  <c r="B42" i="23"/>
  <c r="B41" i="23"/>
  <c r="B40" i="23"/>
  <c r="B39" i="23"/>
  <c r="B38" i="23"/>
  <c r="B37" i="23"/>
  <c r="B36" i="23"/>
  <c r="B35" i="23"/>
  <c r="B34" i="23"/>
  <c r="B33" i="23"/>
  <c r="B32" i="23"/>
  <c r="B31" i="23"/>
  <c r="B30" i="23"/>
  <c r="B29" i="23"/>
  <c r="B28" i="23"/>
  <c r="B27" i="23"/>
  <c r="B26" i="23"/>
  <c r="B25" i="23"/>
  <c r="B24" i="23"/>
  <c r="B23" i="23"/>
  <c r="B22" i="23"/>
  <c r="B21" i="23"/>
  <c r="B20" i="23"/>
  <c r="B19" i="23"/>
  <c r="B18" i="23"/>
  <c r="B17" i="23"/>
  <c r="B16" i="23"/>
  <c r="B15" i="23"/>
  <c r="B14" i="23"/>
  <c r="B13" i="23"/>
  <c r="B12" i="23"/>
  <c r="B11" i="23"/>
  <c r="B10" i="23"/>
  <c r="B9" i="23"/>
  <c r="B8" i="23"/>
  <c r="B7" i="23"/>
  <c r="B6" i="23"/>
  <c r="B5" i="23"/>
  <c r="B4" i="23"/>
  <c r="B3" i="23"/>
  <c r="B2" i="23"/>
  <c r="D40" i="6" l="1"/>
  <c r="F41" i="6" s="1"/>
  <c r="N5" i="7"/>
  <c r="I5" i="7"/>
  <c r="P2" i="7"/>
  <c r="O2" i="7"/>
  <c r="N2" i="7"/>
  <c r="M2" i="7"/>
  <c r="L2" i="7"/>
  <c r="C20" i="12"/>
  <c r="C19" i="12"/>
  <c r="C18" i="12"/>
  <c r="C17" i="12"/>
  <c r="C16" i="12"/>
  <c r="N9" i="22" s="1"/>
  <c r="C15" i="12"/>
  <c r="D35" i="6"/>
  <c r="C25" i="12"/>
  <c r="C24" i="12"/>
  <c r="C23" i="12"/>
  <c r="C22" i="12"/>
  <c r="C14" i="12"/>
  <c r="C13" i="12"/>
  <c r="C12" i="12"/>
  <c r="C11" i="12"/>
  <c r="N8" i="22" s="1"/>
  <c r="C9" i="12"/>
  <c r="C8" i="12"/>
  <c r="C7" i="12"/>
  <c r="C6" i="12"/>
  <c r="C5" i="12"/>
  <c r="N2" i="22" s="1"/>
  <c r="S5" i="7"/>
  <c r="S4" i="7"/>
  <c r="R5" i="7"/>
  <c r="R4" i="7"/>
  <c r="S3" i="7"/>
  <c r="R3" i="7"/>
  <c r="Q5" i="7"/>
  <c r="Q4" i="7"/>
  <c r="Q3" i="7"/>
  <c r="T2" i="7"/>
  <c r="S2" i="7"/>
  <c r="R2" i="7"/>
  <c r="Q2" i="7"/>
  <c r="F21" i="2"/>
  <c r="L21" i="2" s="1"/>
  <c r="U21" i="2" s="1"/>
  <c r="F20" i="2"/>
  <c r="L20" i="2" s="1"/>
  <c r="U20" i="2" s="1"/>
  <c r="F19" i="2"/>
  <c r="L19" i="2" s="1"/>
  <c r="U19" i="2" s="1"/>
  <c r="F17" i="2"/>
  <c r="L17" i="2" s="1"/>
  <c r="U17" i="2" s="1"/>
  <c r="F16" i="2"/>
  <c r="L16" i="2" s="1"/>
  <c r="U16" i="2" s="1"/>
  <c r="F15" i="2"/>
  <c r="L15" i="2" s="1"/>
  <c r="U15" i="2" s="1"/>
  <c r="F13" i="2"/>
  <c r="L13" i="2" s="1"/>
  <c r="U13" i="2" s="1"/>
  <c r="F12" i="2"/>
  <c r="L12" i="2" s="1"/>
  <c r="U12" i="2" s="1"/>
  <c r="F11" i="2"/>
  <c r="L11" i="2" s="1"/>
  <c r="U11" i="2" s="1"/>
  <c r="B8" i="7"/>
  <c r="K2" i="7"/>
  <c r="J2" i="7"/>
  <c r="I2" i="7"/>
  <c r="G2" i="7"/>
  <c r="H2" i="7"/>
  <c r="F2" i="7"/>
  <c r="E2" i="7"/>
  <c r="D2" i="7"/>
  <c r="C2" i="7"/>
  <c r="B2" i="7"/>
  <c r="N14" i="22" l="1"/>
  <c r="BA32" i="1"/>
  <c r="BD12" i="1"/>
  <c r="BD10" i="1"/>
  <c r="BD11" i="1"/>
  <c r="D41" i="6"/>
  <c r="BA37" i="20"/>
  <c r="F42" i="6" l="1"/>
  <c r="D42" i="6"/>
  <c r="BC3" i="1"/>
  <c r="BC4" i="1"/>
  <c r="F43" i="6" l="1"/>
  <c r="D43" i="6"/>
  <c r="DH12" i="1"/>
  <c r="DH11" i="1"/>
  <c r="DH10" i="1"/>
  <c r="F44" i="6" l="1"/>
  <c r="D44" i="6"/>
  <c r="F45" i="6" s="1"/>
  <c r="D277" i="2"/>
  <c r="E277" i="2"/>
  <c r="AM72" i="19" s="1"/>
  <c r="F277" i="2"/>
  <c r="AS72" i="19" s="1"/>
  <c r="I277" i="2" s="1"/>
  <c r="L277" i="2" s="1"/>
  <c r="AS72" i="20" s="1"/>
  <c r="R277" i="2" s="1"/>
  <c r="E262" i="2"/>
  <c r="F262" i="2"/>
  <c r="T82" i="19" s="1"/>
  <c r="I262" i="2" s="1"/>
  <c r="L262" i="2" s="1"/>
  <c r="T82" i="20" s="1"/>
  <c r="R262" i="2" s="1"/>
  <c r="D262" i="2"/>
  <c r="B82" i="19" s="1"/>
  <c r="E243" i="2"/>
  <c r="F243" i="2"/>
  <c r="T63" i="19" s="1"/>
  <c r="I243" i="2" s="1"/>
  <c r="L243" i="2" s="1"/>
  <c r="T63" i="20" s="1"/>
  <c r="R243" i="2" s="1"/>
  <c r="F269" i="2"/>
  <c r="AS64" i="19" s="1"/>
  <c r="I269" i="2" s="1"/>
  <c r="L269" i="2" s="1"/>
  <c r="AS64" i="20" s="1"/>
  <c r="R269" i="2" s="1"/>
  <c r="F270" i="2"/>
  <c r="AS65" i="19" s="1"/>
  <c r="I270" i="2" s="1"/>
  <c r="L270" i="2" s="1"/>
  <c r="AS65" i="20" s="1"/>
  <c r="R270" i="2" s="1"/>
  <c r="F271" i="2"/>
  <c r="AS66" i="19" s="1"/>
  <c r="I271" i="2" s="1"/>
  <c r="L271" i="2" s="1"/>
  <c r="AS66" i="20" s="1"/>
  <c r="R271" i="2" s="1"/>
  <c r="F272" i="2"/>
  <c r="AS67" i="19" s="1"/>
  <c r="I272" i="2" s="1"/>
  <c r="L272" i="2" s="1"/>
  <c r="AS67" i="20" s="1"/>
  <c r="R272" i="2" s="1"/>
  <c r="F273" i="2"/>
  <c r="AS68" i="19" s="1"/>
  <c r="I273" i="2" s="1"/>
  <c r="L273" i="2" s="1"/>
  <c r="AS68" i="20" s="1"/>
  <c r="R273" i="2" s="1"/>
  <c r="F274" i="2"/>
  <c r="AS69" i="19" s="1"/>
  <c r="I274" i="2" s="1"/>
  <c r="L274" i="2" s="1"/>
  <c r="AS69" i="20" s="1"/>
  <c r="R274" i="2" s="1"/>
  <c r="F275" i="2"/>
  <c r="AS70" i="19" s="1"/>
  <c r="I275" i="2" s="1"/>
  <c r="L275" i="2" s="1"/>
  <c r="AS70" i="20" s="1"/>
  <c r="R275" i="2" s="1"/>
  <c r="F276" i="2"/>
  <c r="AS71" i="19" s="1"/>
  <c r="I276" i="2" s="1"/>
  <c r="L276" i="2" s="1"/>
  <c r="AS71" i="20" s="1"/>
  <c r="R276" i="2" s="1"/>
  <c r="F278" i="2"/>
  <c r="AS73" i="19" s="1"/>
  <c r="I278" i="2" s="1"/>
  <c r="L278" i="2" s="1"/>
  <c r="AS73" i="20" s="1"/>
  <c r="R278" i="2" s="1"/>
  <c r="F279" i="2"/>
  <c r="AS74" i="19" s="1"/>
  <c r="I279" i="2" s="1"/>
  <c r="L279" i="2" s="1"/>
  <c r="AS74" i="20" s="1"/>
  <c r="R279" i="2" s="1"/>
  <c r="F280" i="2"/>
  <c r="AS75" i="19" s="1"/>
  <c r="I280" i="2" s="1"/>
  <c r="L280" i="2" s="1"/>
  <c r="AS75" i="20" s="1"/>
  <c r="R280" i="2" s="1"/>
  <c r="F281" i="2"/>
  <c r="AS76" i="19" s="1"/>
  <c r="I281" i="2" s="1"/>
  <c r="L281" i="2" s="1"/>
  <c r="AS76" i="20" s="1"/>
  <c r="R281" i="2" s="1"/>
  <c r="F282" i="2"/>
  <c r="AS77" i="19" s="1"/>
  <c r="I282" i="2" s="1"/>
  <c r="L282" i="2" s="1"/>
  <c r="AS77" i="20" s="1"/>
  <c r="R282" i="2" s="1"/>
  <c r="F283" i="2"/>
  <c r="AS78" i="19" s="1"/>
  <c r="I283" i="2" s="1"/>
  <c r="L283" i="2" s="1"/>
  <c r="AS78" i="20" s="1"/>
  <c r="R283" i="2" s="1"/>
  <c r="F284" i="2"/>
  <c r="AS79" i="19" s="1"/>
  <c r="I284" i="2" s="1"/>
  <c r="L284" i="2" s="1"/>
  <c r="AS79" i="20" s="1"/>
  <c r="R284" i="2" s="1"/>
  <c r="F285" i="2"/>
  <c r="AS80" i="19" s="1"/>
  <c r="I285" i="2" s="1"/>
  <c r="L285" i="2" s="1"/>
  <c r="AS80" i="20" s="1"/>
  <c r="R285" i="2" s="1"/>
  <c r="F286" i="2"/>
  <c r="AS81" i="19" s="1"/>
  <c r="I286" i="2" s="1"/>
  <c r="L286" i="2" s="1"/>
  <c r="AS81" i="20" s="1"/>
  <c r="R286" i="2" s="1"/>
  <c r="F287" i="2"/>
  <c r="AS82" i="19" s="1"/>
  <c r="I287" i="2" s="1"/>
  <c r="L287" i="2" s="1"/>
  <c r="AS82" i="20" s="1"/>
  <c r="R287" i="2" s="1"/>
  <c r="F288" i="2"/>
  <c r="AS83" i="19" s="1"/>
  <c r="I288" i="2" s="1"/>
  <c r="L288" i="2" s="1"/>
  <c r="AS83" i="20" s="1"/>
  <c r="R288" i="2" s="1"/>
  <c r="F289" i="2"/>
  <c r="AS84" i="19" s="1"/>
  <c r="I289" i="2" s="1"/>
  <c r="L289" i="2" s="1"/>
  <c r="AS84" i="20" s="1"/>
  <c r="R289" i="2" s="1"/>
  <c r="F290" i="2"/>
  <c r="AS85" i="19" s="1"/>
  <c r="I290" i="2" s="1"/>
  <c r="L290" i="2" s="1"/>
  <c r="AS85" i="20" s="1"/>
  <c r="R290" i="2" s="1"/>
  <c r="F291" i="2"/>
  <c r="AS86" i="19" s="1"/>
  <c r="I291" i="2" s="1"/>
  <c r="L291" i="2" s="1"/>
  <c r="AS86" i="20" s="1"/>
  <c r="R291" i="2" s="1"/>
  <c r="F292" i="2"/>
  <c r="AS87" i="19" s="1"/>
  <c r="I292" i="2" s="1"/>
  <c r="L292" i="2" s="1"/>
  <c r="AS87" i="20" s="1"/>
  <c r="R292" i="2" s="1"/>
  <c r="F268" i="2"/>
  <c r="AS63" i="19" s="1"/>
  <c r="I268" i="2" s="1"/>
  <c r="L268" i="2" s="1"/>
  <c r="AS63" i="20" s="1"/>
  <c r="R268" i="2" s="1"/>
  <c r="F244" i="2"/>
  <c r="T64" i="19" s="1"/>
  <c r="I244" i="2" s="1"/>
  <c r="L244" i="2" s="1"/>
  <c r="T64" i="20" s="1"/>
  <c r="R244" i="2" s="1"/>
  <c r="F245" i="2"/>
  <c r="T65" i="19" s="1"/>
  <c r="I245" i="2" s="1"/>
  <c r="L245" i="2" s="1"/>
  <c r="T65" i="20" s="1"/>
  <c r="R245" i="2" s="1"/>
  <c r="F246" i="2"/>
  <c r="T66" i="19" s="1"/>
  <c r="I246" i="2" s="1"/>
  <c r="L246" i="2" s="1"/>
  <c r="T66" i="20" s="1"/>
  <c r="R246" i="2" s="1"/>
  <c r="F247" i="2"/>
  <c r="T67" i="19" s="1"/>
  <c r="I247" i="2" s="1"/>
  <c r="L247" i="2" s="1"/>
  <c r="T67" i="20" s="1"/>
  <c r="R247" i="2" s="1"/>
  <c r="F248" i="2"/>
  <c r="T68" i="19" s="1"/>
  <c r="I248" i="2" s="1"/>
  <c r="L248" i="2" s="1"/>
  <c r="T68" i="20" s="1"/>
  <c r="R248" i="2" s="1"/>
  <c r="F249" i="2"/>
  <c r="T69" i="19" s="1"/>
  <c r="I249" i="2" s="1"/>
  <c r="L249" i="2" s="1"/>
  <c r="T69" i="20" s="1"/>
  <c r="R249" i="2" s="1"/>
  <c r="F250" i="2"/>
  <c r="T70" i="19" s="1"/>
  <c r="I250" i="2" s="1"/>
  <c r="L250" i="2" s="1"/>
  <c r="T70" i="20" s="1"/>
  <c r="R250" i="2" s="1"/>
  <c r="F251" i="2"/>
  <c r="T71" i="19" s="1"/>
  <c r="I251" i="2" s="1"/>
  <c r="L251" i="2" s="1"/>
  <c r="T71" i="20" s="1"/>
  <c r="R251" i="2" s="1"/>
  <c r="F252" i="2"/>
  <c r="T72" i="19" s="1"/>
  <c r="I252" i="2" s="1"/>
  <c r="L252" i="2" s="1"/>
  <c r="T72" i="20" s="1"/>
  <c r="R252" i="2" s="1"/>
  <c r="F253" i="2"/>
  <c r="T73" i="19" s="1"/>
  <c r="I253" i="2" s="1"/>
  <c r="L253" i="2" s="1"/>
  <c r="T73" i="20" s="1"/>
  <c r="R253" i="2" s="1"/>
  <c r="F254" i="2"/>
  <c r="T74" i="19" s="1"/>
  <c r="I254" i="2" s="1"/>
  <c r="L254" i="2" s="1"/>
  <c r="T74" i="20" s="1"/>
  <c r="R254" i="2" s="1"/>
  <c r="F255" i="2"/>
  <c r="T75" i="19" s="1"/>
  <c r="I255" i="2" s="1"/>
  <c r="L255" i="2" s="1"/>
  <c r="T75" i="20" s="1"/>
  <c r="R255" i="2" s="1"/>
  <c r="F256" i="2"/>
  <c r="T76" i="19" s="1"/>
  <c r="I256" i="2" s="1"/>
  <c r="L256" i="2" s="1"/>
  <c r="T76" i="20" s="1"/>
  <c r="R256" i="2" s="1"/>
  <c r="F257" i="2"/>
  <c r="T77" i="19" s="1"/>
  <c r="I257" i="2" s="1"/>
  <c r="L257" i="2" s="1"/>
  <c r="T77" i="20" s="1"/>
  <c r="R257" i="2" s="1"/>
  <c r="F258" i="2"/>
  <c r="T78" i="19" s="1"/>
  <c r="I258" i="2" s="1"/>
  <c r="L258" i="2" s="1"/>
  <c r="T78" i="20" s="1"/>
  <c r="R258" i="2" s="1"/>
  <c r="F259" i="2"/>
  <c r="T79" i="19" s="1"/>
  <c r="I259" i="2" s="1"/>
  <c r="L259" i="2" s="1"/>
  <c r="T79" i="20" s="1"/>
  <c r="R259" i="2" s="1"/>
  <c r="F260" i="2"/>
  <c r="T80" i="19" s="1"/>
  <c r="I260" i="2" s="1"/>
  <c r="L260" i="2" s="1"/>
  <c r="T80" i="20" s="1"/>
  <c r="R260" i="2" s="1"/>
  <c r="F261" i="2"/>
  <c r="T81" i="19" s="1"/>
  <c r="I261" i="2" s="1"/>
  <c r="L261" i="2" s="1"/>
  <c r="T81" i="20" s="1"/>
  <c r="R261" i="2" s="1"/>
  <c r="F263" i="2"/>
  <c r="T83" i="19" s="1"/>
  <c r="I263" i="2" s="1"/>
  <c r="L263" i="2" s="1"/>
  <c r="T83" i="20" s="1"/>
  <c r="R263" i="2" s="1"/>
  <c r="F264" i="2"/>
  <c r="T84" i="19" s="1"/>
  <c r="I264" i="2" s="1"/>
  <c r="L264" i="2" s="1"/>
  <c r="T84" i="20" s="1"/>
  <c r="R264" i="2" s="1"/>
  <c r="F265" i="2"/>
  <c r="T85" i="19" s="1"/>
  <c r="I265" i="2" s="1"/>
  <c r="L265" i="2" s="1"/>
  <c r="T85" i="20" s="1"/>
  <c r="R265" i="2" s="1"/>
  <c r="F266" i="2"/>
  <c r="T86" i="19" s="1"/>
  <c r="I266" i="2" s="1"/>
  <c r="L266" i="2" s="1"/>
  <c r="T86" i="20" s="1"/>
  <c r="R266" i="2" s="1"/>
  <c r="F267" i="2"/>
  <c r="T87" i="19" s="1"/>
  <c r="I267" i="2" s="1"/>
  <c r="L267" i="2" s="1"/>
  <c r="T87" i="20" s="1"/>
  <c r="R267" i="2" s="1"/>
  <c r="AA72" i="19"/>
  <c r="O43" i="19" l="1"/>
  <c r="O44" i="19"/>
  <c r="S43" i="19"/>
  <c r="S44" i="19"/>
  <c r="AY49" i="1"/>
  <c r="AY48" i="1"/>
  <c r="AY47" i="1"/>
  <c r="AY46" i="1"/>
  <c r="AY45" i="1"/>
  <c r="AY44" i="1"/>
  <c r="AY43" i="1"/>
  <c r="H163" i="1"/>
  <c r="H163" i="19" s="1"/>
  <c r="G15" i="22"/>
  <c r="G16" i="22"/>
  <c r="G17" i="22"/>
  <c r="G18" i="22"/>
  <c r="G14" i="22"/>
  <c r="E18" i="22"/>
  <c r="BA163" i="1" l="1"/>
  <c r="AH13" i="19"/>
  <c r="E18" i="20" l="1"/>
  <c r="AB43" i="19" l="1"/>
  <c r="AB44" i="19"/>
  <c r="AB45" i="19"/>
  <c r="AB46" i="19"/>
  <c r="AB47" i="19"/>
  <c r="AB48" i="19"/>
  <c r="AB49" i="19"/>
  <c r="AB42" i="19"/>
  <c r="F137" i="2"/>
  <c r="F135" i="2"/>
  <c r="F133" i="2"/>
  <c r="F131" i="2"/>
  <c r="F129" i="2"/>
  <c r="F127" i="2"/>
  <c r="F125" i="2"/>
  <c r="F123" i="2"/>
  <c r="AH31" i="19"/>
  <c r="AH32" i="19"/>
  <c r="AH33" i="19"/>
  <c r="AH34" i="19"/>
  <c r="AH30" i="19"/>
  <c r="O42" i="19" l="1"/>
  <c r="O45" i="19"/>
  <c r="O46" i="19"/>
  <c r="O47" i="19"/>
  <c r="O48" i="19"/>
  <c r="O49" i="19"/>
  <c r="X43" i="19"/>
  <c r="X44" i="19"/>
  <c r="X45" i="19"/>
  <c r="X46" i="19"/>
  <c r="X47" i="19"/>
  <c r="X48" i="19"/>
  <c r="X49" i="19"/>
  <c r="AN47" i="19" l="1"/>
  <c r="AN48" i="19"/>
  <c r="AN44" i="19"/>
  <c r="AN43" i="19"/>
  <c r="AN46" i="19"/>
  <c r="AN49" i="19"/>
  <c r="AN45" i="19"/>
  <c r="V56" i="19"/>
  <c r="V55" i="19"/>
  <c r="V54" i="19"/>
  <c r="B56" i="19"/>
  <c r="B55" i="19"/>
  <c r="B54" i="19"/>
  <c r="AR49" i="19"/>
  <c r="AR48" i="19"/>
  <c r="AR47" i="19"/>
  <c r="AR46" i="19"/>
  <c r="AR45" i="19"/>
  <c r="AR44" i="19"/>
  <c r="AR43" i="19"/>
  <c r="AR42" i="19"/>
  <c r="S49" i="19"/>
  <c r="S48" i="19"/>
  <c r="S47" i="19"/>
  <c r="S46" i="19"/>
  <c r="S45" i="19"/>
  <c r="S42" i="19"/>
  <c r="O37" i="19"/>
  <c r="O37" i="20" s="1"/>
  <c r="O33" i="19"/>
  <c r="BB28" i="19"/>
  <c r="AS34" i="19"/>
  <c r="AS33" i="19"/>
  <c r="AS32" i="19"/>
  <c r="AS31" i="19"/>
  <c r="AS30" i="19"/>
  <c r="AS29" i="19"/>
  <c r="AS28" i="19"/>
  <c r="AS27" i="19"/>
  <c r="AS26" i="19"/>
  <c r="AS25" i="19"/>
  <c r="AS24" i="19"/>
  <c r="AS23" i="19"/>
  <c r="AS22" i="19"/>
  <c r="AS21" i="19"/>
  <c r="AS20" i="19"/>
  <c r="AS19" i="19"/>
  <c r="AS18" i="19"/>
  <c r="AS17" i="19"/>
  <c r="AS16" i="19"/>
  <c r="AS15" i="19"/>
  <c r="AS14" i="19"/>
  <c r="AS13" i="19"/>
  <c r="H18" i="19"/>
  <c r="H30" i="2" s="1"/>
  <c r="L30" i="2" s="1"/>
  <c r="F30" i="2"/>
  <c r="AY49" i="19" l="1"/>
  <c r="AY45" i="19"/>
  <c r="AY48" i="19"/>
  <c r="AY44" i="19"/>
  <c r="AY47" i="19"/>
  <c r="AY43" i="19"/>
  <c r="AY46" i="19"/>
  <c r="G18" i="20"/>
  <c r="R30" i="2" s="1"/>
  <c r="U30" i="2" s="1"/>
  <c r="C16" i="21" l="1"/>
  <c r="V14" i="19"/>
  <c r="V15" i="19"/>
  <c r="V16" i="19"/>
  <c r="V17" i="19"/>
  <c r="V18" i="19"/>
  <c r="V19" i="19"/>
  <c r="V20" i="19"/>
  <c r="V21" i="19"/>
  <c r="V22" i="19"/>
  <c r="V13" i="19"/>
  <c r="I125" i="2"/>
  <c r="H128" i="2"/>
  <c r="G135" i="2"/>
  <c r="AU26" i="1"/>
  <c r="H124" i="2"/>
  <c r="G136" i="2"/>
  <c r="G132" i="2"/>
  <c r="AU19" i="1"/>
  <c r="I129" i="2"/>
  <c r="I133" i="2"/>
  <c r="H122" i="2"/>
  <c r="H134" i="2"/>
  <c r="G128" i="2"/>
  <c r="H131" i="2"/>
  <c r="AU15" i="1"/>
  <c r="AU32" i="19"/>
  <c r="H123" i="2"/>
  <c r="AU25" i="1"/>
  <c r="I135" i="2"/>
  <c r="G129" i="2"/>
  <c r="I131" i="2"/>
  <c r="AU30" i="1"/>
  <c r="G127" i="2"/>
  <c r="G126" i="2"/>
  <c r="I123" i="2"/>
  <c r="AU16" i="1"/>
  <c r="AU33" i="19"/>
  <c r="AU34" i="19"/>
  <c r="AU23" i="1"/>
  <c r="AU17" i="1"/>
  <c r="G124" i="2"/>
  <c r="I127" i="2"/>
  <c r="H137" i="2"/>
  <c r="G134" i="2"/>
  <c r="G130" i="2"/>
  <c r="H136" i="2"/>
  <c r="AU20" i="1"/>
  <c r="H129" i="2"/>
  <c r="G137" i="2"/>
  <c r="AU33" i="1"/>
  <c r="H130" i="2"/>
  <c r="AU31" i="19"/>
  <c r="AU29" i="1"/>
  <c r="I137" i="2"/>
  <c r="H125" i="2"/>
  <c r="G133" i="2"/>
  <c r="G122" i="2"/>
  <c r="AU31" i="1"/>
  <c r="AU18" i="1"/>
  <c r="AU27" i="1"/>
  <c r="H127" i="2"/>
  <c r="H126" i="2"/>
  <c r="AU28" i="1"/>
  <c r="AU14" i="1"/>
  <c r="H132" i="2"/>
  <c r="AU22" i="1"/>
  <c r="AU34" i="1"/>
  <c r="AU24" i="1"/>
  <c r="AU30" i="19"/>
  <c r="H135" i="2"/>
  <c r="AU32" i="1"/>
  <c r="H133" i="2"/>
  <c r="G125" i="2"/>
  <c r="G131" i="2"/>
  <c r="L135" i="2" l="1"/>
  <c r="L131" i="2"/>
  <c r="L129" i="2"/>
  <c r="L133" i="2"/>
  <c r="L125" i="2"/>
  <c r="L123" i="2"/>
  <c r="L127" i="2"/>
  <c r="L137" i="2"/>
  <c r="E140" i="2"/>
  <c r="X42" i="19"/>
  <c r="H22" i="4"/>
  <c r="D22" i="4"/>
  <c r="C22" i="4"/>
  <c r="AN48" i="1"/>
  <c r="AN49" i="1"/>
  <c r="AN47" i="1"/>
  <c r="H55" i="4"/>
  <c r="E55" i="4"/>
  <c r="D55" i="4"/>
  <c r="C55" i="4"/>
  <c r="H53" i="4"/>
  <c r="E53" i="4"/>
  <c r="D53" i="4"/>
  <c r="C53" i="4"/>
  <c r="H50" i="4"/>
  <c r="E50" i="4"/>
  <c r="D50" i="4"/>
  <c r="C50" i="4"/>
  <c r="H34" i="4"/>
  <c r="E34" i="4"/>
  <c r="D34" i="4"/>
  <c r="C34" i="4"/>
  <c r="E97" i="4"/>
  <c r="E96" i="4"/>
  <c r="E95" i="4"/>
  <c r="E94" i="4"/>
  <c r="E93" i="4"/>
  <c r="E92" i="4"/>
  <c r="E91" i="4"/>
  <c r="E90" i="4"/>
  <c r="E89" i="4"/>
  <c r="E88" i="4"/>
  <c r="E87" i="4"/>
  <c r="E86" i="4"/>
  <c r="E85" i="4"/>
  <c r="E84" i="4"/>
  <c r="E83" i="4"/>
  <c r="E82" i="4"/>
  <c r="E81" i="4"/>
  <c r="E80" i="4"/>
  <c r="E79" i="4"/>
  <c r="E78" i="4"/>
  <c r="E77" i="4"/>
  <c r="E76" i="4"/>
  <c r="E75" i="4"/>
  <c r="E74" i="4"/>
  <c r="E73" i="4"/>
  <c r="E72" i="4"/>
  <c r="E71" i="4"/>
  <c r="G97" i="4"/>
  <c r="F97" i="4"/>
  <c r="G96" i="4"/>
  <c r="F96" i="4"/>
  <c r="G95" i="4"/>
  <c r="F95" i="4"/>
  <c r="C95" i="4"/>
  <c r="G94" i="4"/>
  <c r="F94" i="4"/>
  <c r="C94" i="4"/>
  <c r="G93" i="4"/>
  <c r="F93" i="4"/>
  <c r="C93" i="4"/>
  <c r="G92" i="4"/>
  <c r="F92" i="4"/>
  <c r="C92" i="4"/>
  <c r="G91" i="4"/>
  <c r="F91" i="4"/>
  <c r="C91" i="4"/>
  <c r="G90" i="4"/>
  <c r="F90" i="4"/>
  <c r="C90" i="4"/>
  <c r="H89" i="4"/>
  <c r="G89" i="4"/>
  <c r="F89" i="4"/>
  <c r="D89" i="4"/>
  <c r="C89" i="4"/>
  <c r="H88" i="4"/>
  <c r="G88" i="4"/>
  <c r="F88" i="4"/>
  <c r="D88" i="4"/>
  <c r="C88" i="4"/>
  <c r="H87" i="4"/>
  <c r="G87" i="4"/>
  <c r="F87" i="4"/>
  <c r="D87" i="4"/>
  <c r="C87" i="4"/>
  <c r="H86" i="4"/>
  <c r="G86" i="4"/>
  <c r="F86" i="4"/>
  <c r="D86" i="4"/>
  <c r="C86" i="4"/>
  <c r="H85" i="4"/>
  <c r="G85" i="4"/>
  <c r="F85" i="4"/>
  <c r="D85" i="4"/>
  <c r="C85" i="4"/>
  <c r="H84" i="4"/>
  <c r="G84" i="4"/>
  <c r="F84" i="4"/>
  <c r="D84" i="4"/>
  <c r="C84" i="4"/>
  <c r="H83" i="4"/>
  <c r="G83" i="4"/>
  <c r="F83" i="4"/>
  <c r="D83" i="4"/>
  <c r="C83" i="4"/>
  <c r="H82" i="4"/>
  <c r="G82" i="4"/>
  <c r="F82" i="4"/>
  <c r="D82" i="4"/>
  <c r="C82" i="4"/>
  <c r="H81" i="4"/>
  <c r="G81" i="4"/>
  <c r="F81" i="4"/>
  <c r="D81" i="4"/>
  <c r="C81" i="4"/>
  <c r="H80" i="4"/>
  <c r="G80" i="4"/>
  <c r="F80" i="4"/>
  <c r="D80" i="4"/>
  <c r="C80" i="4"/>
  <c r="H79" i="4"/>
  <c r="G79" i="4"/>
  <c r="F79" i="4"/>
  <c r="D79" i="4"/>
  <c r="C79" i="4"/>
  <c r="H78" i="4"/>
  <c r="G78" i="4"/>
  <c r="F78" i="4"/>
  <c r="D78" i="4"/>
  <c r="C78" i="4"/>
  <c r="H77" i="4"/>
  <c r="G77" i="4"/>
  <c r="F77" i="4"/>
  <c r="D77" i="4"/>
  <c r="C77" i="4"/>
  <c r="H76" i="4"/>
  <c r="G76" i="4"/>
  <c r="F76" i="4"/>
  <c r="D76" i="4"/>
  <c r="C76" i="4"/>
  <c r="H75" i="4"/>
  <c r="G75" i="4"/>
  <c r="F75" i="4"/>
  <c r="D75" i="4"/>
  <c r="C75" i="4"/>
  <c r="H74" i="4"/>
  <c r="G74" i="4"/>
  <c r="F74" i="4"/>
  <c r="D74" i="4"/>
  <c r="C74" i="4"/>
  <c r="H73" i="4"/>
  <c r="G73" i="4"/>
  <c r="F73" i="4"/>
  <c r="D73" i="4"/>
  <c r="C73" i="4"/>
  <c r="H72" i="4"/>
  <c r="G72" i="4"/>
  <c r="F72" i="4"/>
  <c r="D72" i="4"/>
  <c r="C72" i="4"/>
  <c r="H71" i="4"/>
  <c r="G71" i="4"/>
  <c r="F71" i="4"/>
  <c r="D71" i="4"/>
  <c r="C71" i="4"/>
  <c r="E70" i="4"/>
  <c r="E69" i="4"/>
  <c r="E68" i="4"/>
  <c r="E67" i="4"/>
  <c r="E66" i="4"/>
  <c r="E65" i="4"/>
  <c r="E64" i="4"/>
  <c r="E63" i="4"/>
  <c r="E62" i="4"/>
  <c r="E61" i="4"/>
  <c r="E60" i="4"/>
  <c r="E59" i="4"/>
  <c r="E58" i="4"/>
  <c r="E57" i="4"/>
  <c r="E56" i="4"/>
  <c r="E54" i="4"/>
  <c r="E52" i="4"/>
  <c r="E51" i="4"/>
  <c r="E49" i="4"/>
  <c r="E48" i="4"/>
  <c r="E47" i="4"/>
  <c r="E46" i="4"/>
  <c r="E45" i="4"/>
  <c r="E44" i="4"/>
  <c r="E43" i="4"/>
  <c r="E42" i="4"/>
  <c r="E41" i="4"/>
  <c r="E40" i="4"/>
  <c r="E39" i="4"/>
  <c r="E38" i="4"/>
  <c r="E37" i="4"/>
  <c r="E36" i="4"/>
  <c r="E35" i="4"/>
  <c r="E33" i="4"/>
  <c r="E32" i="4"/>
  <c r="E31" i="4"/>
  <c r="E30" i="4"/>
  <c r="E29" i="4"/>
  <c r="E28" i="4"/>
  <c r="E27" i="4"/>
  <c r="E26" i="4"/>
  <c r="E25" i="4"/>
  <c r="E24" i="4"/>
  <c r="E23" i="4"/>
  <c r="L70" i="4"/>
  <c r="K70" i="4"/>
  <c r="J70" i="4"/>
  <c r="I70" i="4"/>
  <c r="L69" i="4"/>
  <c r="K69" i="4"/>
  <c r="J69" i="4"/>
  <c r="I69" i="4"/>
  <c r="H69" i="4"/>
  <c r="C69" i="4"/>
  <c r="L68" i="4"/>
  <c r="K68" i="4"/>
  <c r="J68" i="4"/>
  <c r="I68" i="4"/>
  <c r="L67" i="4"/>
  <c r="K67" i="4"/>
  <c r="J67" i="4"/>
  <c r="I67" i="4"/>
  <c r="H67" i="4"/>
  <c r="L66" i="4"/>
  <c r="K66" i="4"/>
  <c r="J66" i="4"/>
  <c r="I66" i="4"/>
  <c r="H66" i="4"/>
  <c r="C66" i="4"/>
  <c r="L65" i="4"/>
  <c r="K65" i="4"/>
  <c r="J65" i="4"/>
  <c r="I65" i="4"/>
  <c r="H65" i="4"/>
  <c r="C65" i="4"/>
  <c r="L64" i="4"/>
  <c r="K64" i="4"/>
  <c r="J64" i="4"/>
  <c r="I64" i="4"/>
  <c r="H64" i="4"/>
  <c r="L63" i="4"/>
  <c r="K63" i="4"/>
  <c r="J63" i="4"/>
  <c r="I63" i="4"/>
  <c r="H63" i="4"/>
  <c r="C63" i="4"/>
  <c r="L62" i="4"/>
  <c r="K62" i="4"/>
  <c r="J62" i="4"/>
  <c r="I62" i="4"/>
  <c r="H62" i="4"/>
  <c r="C62" i="4"/>
  <c r="L61" i="4"/>
  <c r="K61" i="4"/>
  <c r="J61" i="4"/>
  <c r="I61" i="4"/>
  <c r="H61" i="4"/>
  <c r="C61" i="4"/>
  <c r="L60" i="4"/>
  <c r="K60" i="4"/>
  <c r="J60" i="4"/>
  <c r="I60" i="4"/>
  <c r="H60" i="4"/>
  <c r="C60" i="4"/>
  <c r="L59" i="4"/>
  <c r="K59" i="4"/>
  <c r="J59" i="4"/>
  <c r="I59" i="4"/>
  <c r="H59" i="4"/>
  <c r="L58" i="4"/>
  <c r="K58" i="4"/>
  <c r="J58" i="4"/>
  <c r="I58" i="4"/>
  <c r="H58" i="4"/>
  <c r="C58" i="4"/>
  <c r="L57" i="4"/>
  <c r="K57" i="4"/>
  <c r="J57" i="4"/>
  <c r="I57" i="4"/>
  <c r="H57" i="4"/>
  <c r="C57" i="4"/>
  <c r="H56" i="4"/>
  <c r="D56" i="4"/>
  <c r="C56" i="4"/>
  <c r="H54" i="4"/>
  <c r="D54" i="4"/>
  <c r="C54" i="4"/>
  <c r="H52" i="4"/>
  <c r="D52" i="4"/>
  <c r="C52" i="4"/>
  <c r="H51" i="4"/>
  <c r="D51" i="4"/>
  <c r="C51" i="4"/>
  <c r="H49" i="4"/>
  <c r="D49" i="4"/>
  <c r="C49" i="4"/>
  <c r="H48" i="4"/>
  <c r="D48" i="4"/>
  <c r="C48" i="4"/>
  <c r="H47" i="4"/>
  <c r="D47" i="4"/>
  <c r="C47" i="4"/>
  <c r="H46" i="4"/>
  <c r="D46" i="4"/>
  <c r="C46" i="4"/>
  <c r="H45" i="4"/>
  <c r="D45" i="4"/>
  <c r="C45" i="4"/>
  <c r="H44" i="4"/>
  <c r="D44" i="4"/>
  <c r="C44" i="4"/>
  <c r="H43" i="4"/>
  <c r="D43" i="4"/>
  <c r="H42" i="4"/>
  <c r="D42" i="4"/>
  <c r="C42" i="4"/>
  <c r="H41" i="4"/>
  <c r="D41" i="4"/>
  <c r="C41" i="4"/>
  <c r="H40" i="4"/>
  <c r="D40" i="4"/>
  <c r="C40" i="4"/>
  <c r="H39" i="4"/>
  <c r="D39" i="4"/>
  <c r="C39" i="4"/>
  <c r="H38" i="4"/>
  <c r="D38" i="4"/>
  <c r="C38" i="4"/>
  <c r="H37" i="4"/>
  <c r="D37" i="4"/>
  <c r="C37" i="4"/>
  <c r="H36" i="4"/>
  <c r="D36" i="4"/>
  <c r="C36" i="4"/>
  <c r="H35" i="4"/>
  <c r="D35" i="4"/>
  <c r="C35" i="4"/>
  <c r="H33" i="4"/>
  <c r="D33" i="4"/>
  <c r="C33" i="4"/>
  <c r="H32" i="4"/>
  <c r="D32" i="4"/>
  <c r="C32" i="4"/>
  <c r="H31" i="4"/>
  <c r="D31" i="4"/>
  <c r="C31" i="4"/>
  <c r="H30" i="4"/>
  <c r="D30" i="4"/>
  <c r="C30" i="4"/>
  <c r="H29" i="4"/>
  <c r="D29" i="4"/>
  <c r="C29" i="4"/>
  <c r="H28" i="4"/>
  <c r="D28" i="4"/>
  <c r="C28" i="4"/>
  <c r="H27" i="4"/>
  <c r="D27" i="4"/>
  <c r="C27" i="4"/>
  <c r="H26" i="4"/>
  <c r="D26" i="4"/>
  <c r="C26" i="4"/>
  <c r="H25" i="4"/>
  <c r="D25" i="4"/>
  <c r="C25" i="4"/>
  <c r="H24" i="4"/>
  <c r="D24" i="4"/>
  <c r="C24" i="4"/>
  <c r="H23" i="4"/>
  <c r="D23" i="4"/>
  <c r="C23" i="4"/>
  <c r="AB49" i="20"/>
  <c r="AB47" i="20"/>
  <c r="AB43" i="20"/>
  <c r="G123" i="2"/>
  <c r="AB42" i="20"/>
  <c r="AB46" i="20"/>
  <c r="AB45" i="20"/>
  <c r="AB48" i="20"/>
  <c r="AB44" i="20"/>
  <c r="U292" i="2" l="1"/>
  <c r="U291" i="2"/>
  <c r="U290" i="2"/>
  <c r="U289" i="2"/>
  <c r="U288" i="2"/>
  <c r="U287" i="2"/>
  <c r="U286" i="2"/>
  <c r="U285" i="2"/>
  <c r="U284" i="2"/>
  <c r="U283" i="2"/>
  <c r="U282" i="2"/>
  <c r="U281" i="2"/>
  <c r="U280" i="2"/>
  <c r="U279" i="2"/>
  <c r="U278" i="2"/>
  <c r="U277" i="2"/>
  <c r="U276" i="2"/>
  <c r="U275" i="2"/>
  <c r="U274" i="2"/>
  <c r="U273" i="2"/>
  <c r="U272" i="2"/>
  <c r="U271" i="2"/>
  <c r="U270" i="2"/>
  <c r="U269" i="2"/>
  <c r="U268" i="2"/>
  <c r="U267" i="2"/>
  <c r="U266" i="2"/>
  <c r="U265" i="2"/>
  <c r="U264" i="2"/>
  <c r="U263" i="2"/>
  <c r="U262" i="2"/>
  <c r="U261" i="2"/>
  <c r="U260" i="2"/>
  <c r="U259" i="2"/>
  <c r="U258" i="2"/>
  <c r="U257" i="2"/>
  <c r="U256" i="2"/>
  <c r="U255" i="2"/>
  <c r="U254" i="2"/>
  <c r="U253" i="2"/>
  <c r="U252" i="2"/>
  <c r="U251" i="2"/>
  <c r="U250" i="2"/>
  <c r="U249" i="2"/>
  <c r="U248" i="2"/>
  <c r="U247" i="2"/>
  <c r="U246" i="2"/>
  <c r="U245" i="2"/>
  <c r="U244" i="2"/>
  <c r="D2" i="15"/>
  <c r="D140" i="2"/>
  <c r="A141" i="2"/>
  <c r="D141" i="2" l="1"/>
  <c r="A142" i="2"/>
  <c r="G141" i="2"/>
  <c r="J141" i="2" s="1"/>
  <c r="N114" i="20" s="1"/>
  <c r="G140" i="2"/>
  <c r="U243" i="2"/>
  <c r="AW114" i="20" l="1"/>
  <c r="AI114" i="20"/>
  <c r="AC114" i="20"/>
  <c r="H114" i="20"/>
  <c r="AN114" i="20"/>
  <c r="B114" i="20"/>
  <c r="AA141" i="2" s="1"/>
  <c r="AB141" i="2" s="1"/>
  <c r="AT114" i="20"/>
  <c r="X141" i="2"/>
  <c r="A143" i="2"/>
  <c r="D142" i="2"/>
  <c r="G142" i="2"/>
  <c r="J142" i="2" s="1"/>
  <c r="N116" i="20" s="1"/>
  <c r="J134" i="2"/>
  <c r="J130" i="2"/>
  <c r="J128" i="2"/>
  <c r="J131" i="2"/>
  <c r="J136" i="2"/>
  <c r="J126" i="2"/>
  <c r="J140" i="2"/>
  <c r="N112" i="20" s="1"/>
  <c r="K131" i="2"/>
  <c r="K130" i="2"/>
  <c r="J124" i="2"/>
  <c r="J122" i="2"/>
  <c r="L122" i="2"/>
  <c r="L136" i="2"/>
  <c r="L134" i="2"/>
  <c r="L132" i="2"/>
  <c r="R132" i="2" s="1"/>
  <c r="U132" i="2" s="1"/>
  <c r="L130" i="2"/>
  <c r="R130" i="2" s="1"/>
  <c r="U130" i="2" s="1"/>
  <c r="L128" i="2"/>
  <c r="R128" i="2" s="1"/>
  <c r="U128" i="2" s="1"/>
  <c r="L126" i="2"/>
  <c r="L124" i="2"/>
  <c r="E113" i="2"/>
  <c r="L117" i="2"/>
  <c r="L115" i="2"/>
  <c r="L113" i="2"/>
  <c r="D118" i="2"/>
  <c r="D116" i="2"/>
  <c r="D114" i="2"/>
  <c r="R48" i="20"/>
  <c r="AR46" i="20"/>
  <c r="R45" i="20"/>
  <c r="R42" i="20"/>
  <c r="R46" i="20"/>
  <c r="R49" i="20"/>
  <c r="R44" i="20"/>
  <c r="R43" i="20"/>
  <c r="X46" i="20"/>
  <c r="N46" i="20"/>
  <c r="AN116" i="20" l="1"/>
  <c r="H116" i="20"/>
  <c r="AT116" i="20"/>
  <c r="B116" i="20"/>
  <c r="AC116" i="20"/>
  <c r="AI116" i="20"/>
  <c r="AW116" i="20"/>
  <c r="H112" i="20"/>
  <c r="B112" i="20"/>
  <c r="AT112" i="20"/>
  <c r="AW112" i="20"/>
  <c r="AI112" i="20"/>
  <c r="AC112" i="20"/>
  <c r="AN112" i="20"/>
  <c r="R122" i="2"/>
  <c r="U122" i="2" s="1"/>
  <c r="R113" i="2"/>
  <c r="U113" i="2" s="1"/>
  <c r="R124" i="2"/>
  <c r="U124" i="2" s="1"/>
  <c r="R115" i="2"/>
  <c r="U115" i="2" s="1"/>
  <c r="U126" i="2"/>
  <c r="R134" i="2"/>
  <c r="U134" i="2" s="1"/>
  <c r="R117" i="2"/>
  <c r="U117" i="2" s="1"/>
  <c r="R136" i="2"/>
  <c r="U136" i="2" s="1"/>
  <c r="AY46" i="20"/>
  <c r="X142" i="2"/>
  <c r="P142" i="2"/>
  <c r="X140" i="2"/>
  <c r="W142" i="2"/>
  <c r="A144" i="2"/>
  <c r="D143" i="2"/>
  <c r="P141" i="2"/>
  <c r="J125" i="2"/>
  <c r="AC166" i="1"/>
  <c r="AI166" i="1"/>
  <c r="AN166" i="1"/>
  <c r="AT166" i="1"/>
  <c r="AW166" i="1"/>
  <c r="B167" i="1"/>
  <c r="B167" i="19" s="1"/>
  <c r="D122" i="2"/>
  <c r="D124" i="2"/>
  <c r="D126" i="2"/>
  <c r="D128" i="2"/>
  <c r="D130" i="2"/>
  <c r="D132" i="2"/>
  <c r="D134" i="2"/>
  <c r="D136" i="2"/>
  <c r="P101" i="2"/>
  <c r="S101" i="2" s="1"/>
  <c r="P100" i="2"/>
  <c r="S100" i="2" s="1"/>
  <c r="C42" i="6"/>
  <c r="C43" i="6" s="1"/>
  <c r="C44" i="6" s="1"/>
  <c r="C45" i="6" s="1"/>
  <c r="P128" i="2"/>
  <c r="P134" i="2"/>
  <c r="P124" i="2"/>
  <c r="P130" i="2"/>
  <c r="X43" i="20"/>
  <c r="P126" i="2"/>
  <c r="P136" i="2"/>
  <c r="P122" i="2"/>
  <c r="R123" i="2"/>
  <c r="AA140" i="2" l="1"/>
  <c r="AA142" i="2"/>
  <c r="AB142" i="2" s="1"/>
  <c r="S124" i="2"/>
  <c r="S128" i="2"/>
  <c r="S134" i="2"/>
  <c r="S130" i="2"/>
  <c r="S126" i="2"/>
  <c r="S122" i="2"/>
  <c r="S136" i="2"/>
  <c r="P140" i="2"/>
  <c r="Q100" i="2"/>
  <c r="T100" i="2" s="1"/>
  <c r="A145" i="2"/>
  <c r="D144" i="2"/>
  <c r="S141" i="2"/>
  <c r="S142" i="2"/>
  <c r="J105" i="2"/>
  <c r="P105" i="2" s="1"/>
  <c r="S105" i="2" s="1"/>
  <c r="J106" i="2"/>
  <c r="P106" i="2" s="1"/>
  <c r="S106" i="2" s="1"/>
  <c r="J107" i="2"/>
  <c r="P107" i="2" s="1"/>
  <c r="S107" i="2" s="1"/>
  <c r="J108" i="2"/>
  <c r="P108" i="2" s="1"/>
  <c r="S108" i="2" s="1"/>
  <c r="J109" i="2"/>
  <c r="P109" i="2" s="1"/>
  <c r="S109" i="2" s="1"/>
  <c r="J104" i="2"/>
  <c r="P104" i="2" s="1"/>
  <c r="S104" i="2" s="1"/>
  <c r="S140" i="2" l="1"/>
  <c r="AA102" i="2"/>
  <c r="AA101" i="2"/>
  <c r="AA103" i="2"/>
  <c r="W141" i="2"/>
  <c r="A146" i="2"/>
  <c r="D145" i="2"/>
  <c r="H61" i="2"/>
  <c r="K61" i="2" s="1"/>
  <c r="D99" i="2"/>
  <c r="J99" i="2" s="1"/>
  <c r="S99" i="2" s="1"/>
  <c r="O33" i="20" s="1"/>
  <c r="H65" i="2"/>
  <c r="K65" i="2" s="1"/>
  <c r="J73" i="2"/>
  <c r="X73" i="2" s="1"/>
  <c r="J94" i="2"/>
  <c r="J93" i="2"/>
  <c r="J92" i="2"/>
  <c r="J91" i="2"/>
  <c r="J90" i="2"/>
  <c r="J89" i="2"/>
  <c r="J88" i="2"/>
  <c r="J87" i="2"/>
  <c r="J86" i="2"/>
  <c r="J85" i="2"/>
  <c r="J84" i="2"/>
  <c r="J83" i="2"/>
  <c r="J82" i="2"/>
  <c r="J81" i="2"/>
  <c r="J80" i="2"/>
  <c r="J79" i="2"/>
  <c r="J78" i="2"/>
  <c r="J77" i="2"/>
  <c r="J76" i="2"/>
  <c r="J75" i="2"/>
  <c r="J74" i="2"/>
  <c r="F73" i="2"/>
  <c r="E94" i="2"/>
  <c r="E93" i="2"/>
  <c r="E92" i="2"/>
  <c r="E91" i="2"/>
  <c r="E90" i="2"/>
  <c r="E89" i="2"/>
  <c r="E88" i="2"/>
  <c r="E87" i="2"/>
  <c r="E86" i="2"/>
  <c r="E85" i="2"/>
  <c r="E84" i="2"/>
  <c r="E83" i="2"/>
  <c r="E82" i="2"/>
  <c r="E81" i="2"/>
  <c r="E80" i="2"/>
  <c r="E79" i="2"/>
  <c r="E78" i="2"/>
  <c r="E77" i="2"/>
  <c r="E76" i="2"/>
  <c r="E75" i="2"/>
  <c r="E74" i="2"/>
  <c r="E73" i="2"/>
  <c r="E61" i="2"/>
  <c r="L60" i="2"/>
  <c r="O60" i="2" s="1"/>
  <c r="K60" i="2"/>
  <c r="N60" i="2" s="1"/>
  <c r="J60" i="2"/>
  <c r="E70" i="2"/>
  <c r="E69" i="2"/>
  <c r="E68" i="2"/>
  <c r="E67" i="2"/>
  <c r="E66" i="2"/>
  <c r="E65" i="2"/>
  <c r="E64" i="2"/>
  <c r="E63" i="2"/>
  <c r="E62" i="2"/>
  <c r="F62" i="2"/>
  <c r="P14" i="19" s="1"/>
  <c r="F61" i="2"/>
  <c r="P13" i="19" s="1"/>
  <c r="D61" i="2"/>
  <c r="C47" i="20"/>
  <c r="Q58" i="2" s="1"/>
  <c r="T58" i="2" s="1"/>
  <c r="K10" i="2"/>
  <c r="T10" i="2" s="1"/>
  <c r="G59" i="2"/>
  <c r="J58" i="2"/>
  <c r="J57" i="2"/>
  <c r="J56" i="2"/>
  <c r="J55" i="2"/>
  <c r="J54" i="2"/>
  <c r="J53" i="2"/>
  <c r="J50" i="2"/>
  <c r="J49" i="2"/>
  <c r="J48" i="2"/>
  <c r="J47" i="2"/>
  <c r="J46" i="2"/>
  <c r="J45" i="2"/>
  <c r="J44" i="2"/>
  <c r="J43" i="2"/>
  <c r="J42" i="2"/>
  <c r="J41" i="2"/>
  <c r="J40" i="2"/>
  <c r="S40" i="2" s="1"/>
  <c r="J39" i="2"/>
  <c r="J38" i="2"/>
  <c r="J37" i="2"/>
  <c r="X37" i="2" s="1"/>
  <c r="J36" i="2"/>
  <c r="J35" i="2"/>
  <c r="J34" i="2"/>
  <c r="J33" i="2"/>
  <c r="J32" i="2"/>
  <c r="J31" i="2"/>
  <c r="J30" i="2"/>
  <c r="J29" i="2"/>
  <c r="J28" i="2"/>
  <c r="J27" i="2"/>
  <c r="J26" i="2"/>
  <c r="J25" i="2"/>
  <c r="X25" i="2" s="1"/>
  <c r="J21" i="2"/>
  <c r="X21" i="2" s="1"/>
  <c r="J20" i="2"/>
  <c r="S20" i="2" s="1"/>
  <c r="J19" i="2"/>
  <c r="S19" i="2" s="1"/>
  <c r="J17" i="2"/>
  <c r="S17" i="2" s="1"/>
  <c r="Y17" i="2" s="1"/>
  <c r="J16" i="2"/>
  <c r="X16" i="2" s="1"/>
  <c r="J15" i="2"/>
  <c r="X15" i="2" s="1"/>
  <c r="J13" i="2"/>
  <c r="X13" i="2" s="1"/>
  <c r="J12" i="2"/>
  <c r="X12" i="2" s="1"/>
  <c r="J11" i="2"/>
  <c r="S11" i="2" s="1"/>
  <c r="D6" i="2"/>
  <c r="S4" i="19"/>
  <c r="BH7" i="19" s="1"/>
  <c r="Y11" i="2" l="1"/>
  <c r="M7" i="19"/>
  <c r="D1030" i="23"/>
  <c r="D1026" i="23"/>
  <c r="D1022" i="23"/>
  <c r="D1018" i="23"/>
  <c r="D1014" i="23"/>
  <c r="D1010" i="23"/>
  <c r="D1006" i="23"/>
  <c r="D1002" i="23"/>
  <c r="D998" i="23"/>
  <c r="D994" i="23"/>
  <c r="D990" i="23"/>
  <c r="D986" i="23"/>
  <c r="D982" i="23"/>
  <c r="D978" i="23"/>
  <c r="D974" i="23"/>
  <c r="D1033" i="23"/>
  <c r="D1029" i="23"/>
  <c r="D1025" i="23"/>
  <c r="D1021" i="23"/>
  <c r="D1017" i="23"/>
  <c r="D1013" i="23"/>
  <c r="D1009" i="23"/>
  <c r="D1005" i="23"/>
  <c r="D1001" i="23"/>
  <c r="D997" i="23"/>
  <c r="D993" i="23"/>
  <c r="D989" i="23"/>
  <c r="D985" i="23"/>
  <c r="D981" i="23"/>
  <c r="D977" i="23"/>
  <c r="D973" i="23"/>
  <c r="D1032" i="23"/>
  <c r="D1028" i="23"/>
  <c r="D1024" i="23"/>
  <c r="D1020" i="23"/>
  <c r="D1016" i="23"/>
  <c r="D1012" i="23"/>
  <c r="D1008" i="23"/>
  <c r="D1004" i="23"/>
  <c r="D1000" i="23"/>
  <c r="D996" i="23"/>
  <c r="D992" i="23"/>
  <c r="D988" i="23"/>
  <c r="D984" i="23"/>
  <c r="D980" i="23"/>
  <c r="D976" i="23"/>
  <c r="D972" i="23"/>
  <c r="D1019" i="23"/>
  <c r="D1003" i="23"/>
  <c r="D987" i="23"/>
  <c r="D1031" i="23"/>
  <c r="D1015" i="23"/>
  <c r="D999" i="23"/>
  <c r="D983" i="23"/>
  <c r="D1027" i="23"/>
  <c r="D1011" i="23"/>
  <c r="D995" i="23"/>
  <c r="D979" i="23"/>
  <c r="D1023" i="23"/>
  <c r="D1007" i="23"/>
  <c r="D991" i="23"/>
  <c r="D975" i="23"/>
  <c r="AL45" i="19"/>
  <c r="AL44" i="19"/>
  <c r="AL47" i="19"/>
  <c r="AL46" i="19"/>
  <c r="AL48" i="19"/>
  <c r="AL49" i="19"/>
  <c r="AL43" i="19"/>
  <c r="A147" i="2"/>
  <c r="D146" i="2"/>
  <c r="Y20" i="2"/>
  <c r="S26" i="2"/>
  <c r="X26" i="2"/>
  <c r="S34" i="2"/>
  <c r="X34" i="2"/>
  <c r="S42" i="2"/>
  <c r="X42" i="2"/>
  <c r="S50" i="2"/>
  <c r="X50" i="2"/>
  <c r="X77" i="2"/>
  <c r="S77" i="2"/>
  <c r="X81" i="2"/>
  <c r="S81" i="2"/>
  <c r="X85" i="2"/>
  <c r="S85" i="2"/>
  <c r="X89" i="2"/>
  <c r="S89" i="2"/>
  <c r="S35" i="2"/>
  <c r="X35" i="2"/>
  <c r="S43" i="2"/>
  <c r="X43" i="2"/>
  <c r="S47" i="2"/>
  <c r="X47" i="2"/>
  <c r="S53" i="2"/>
  <c r="J42" i="20" s="1"/>
  <c r="X53" i="2"/>
  <c r="S57" i="2"/>
  <c r="X57" i="2"/>
  <c r="X74" i="2"/>
  <c r="S74" i="2"/>
  <c r="X78" i="2"/>
  <c r="S78" i="2"/>
  <c r="X82" i="2"/>
  <c r="S82" i="2"/>
  <c r="X86" i="2"/>
  <c r="S86" i="2"/>
  <c r="X90" i="2"/>
  <c r="S90" i="2"/>
  <c r="X94" i="2"/>
  <c r="S94" i="2"/>
  <c r="S30" i="2"/>
  <c r="X30" i="2"/>
  <c r="S38" i="2"/>
  <c r="X38" i="2"/>
  <c r="S46" i="2"/>
  <c r="X46" i="2"/>
  <c r="S56" i="2"/>
  <c r="X56" i="2"/>
  <c r="X93" i="2"/>
  <c r="S93" i="2"/>
  <c r="AW33" i="20" s="1"/>
  <c r="S27" i="2"/>
  <c r="X27" i="2"/>
  <c r="S39" i="2"/>
  <c r="X39" i="2"/>
  <c r="S28" i="2"/>
  <c r="X28" i="2"/>
  <c r="S32" i="2"/>
  <c r="X32" i="2"/>
  <c r="S36" i="2"/>
  <c r="X36" i="2"/>
  <c r="X40" i="2"/>
  <c r="S44" i="2"/>
  <c r="X44" i="2"/>
  <c r="S48" i="2"/>
  <c r="X48" i="2"/>
  <c r="S54" i="2"/>
  <c r="X54" i="2"/>
  <c r="S58" i="2"/>
  <c r="X58" i="2"/>
  <c r="X75" i="2"/>
  <c r="S75" i="2"/>
  <c r="X79" i="2"/>
  <c r="S79" i="2"/>
  <c r="X83" i="2"/>
  <c r="S83" i="2"/>
  <c r="X87" i="2"/>
  <c r="S87" i="2"/>
  <c r="X91" i="2"/>
  <c r="S91" i="2"/>
  <c r="S31" i="2"/>
  <c r="X31" i="2"/>
  <c r="S29" i="2"/>
  <c r="X29" i="2"/>
  <c r="S33" i="2"/>
  <c r="X33" i="2"/>
  <c r="S41" i="2"/>
  <c r="X41" i="2"/>
  <c r="S45" i="2"/>
  <c r="X45" i="2"/>
  <c r="S49" i="2"/>
  <c r="X49" i="2"/>
  <c r="S55" i="2"/>
  <c r="X55" i="2"/>
  <c r="X76" i="2"/>
  <c r="S76" i="2"/>
  <c r="X80" i="2"/>
  <c r="S80" i="2"/>
  <c r="X84" i="2"/>
  <c r="S84" i="2"/>
  <c r="X88" i="2"/>
  <c r="S88" i="2"/>
  <c r="X92" i="2"/>
  <c r="S92" i="2"/>
  <c r="S25" i="2"/>
  <c r="S37" i="2"/>
  <c r="S73" i="2"/>
  <c r="Y73" i="2" s="1"/>
  <c r="V13" i="20"/>
  <c r="Q61" i="2" s="1"/>
  <c r="Y61" i="2" s="1"/>
  <c r="X61" i="2"/>
  <c r="V17" i="20"/>
  <c r="Q65" i="2" s="1"/>
  <c r="X65" i="2"/>
  <c r="AL48" i="1"/>
  <c r="AL47" i="1"/>
  <c r="AL49" i="1"/>
  <c r="Y19" i="2"/>
  <c r="S15" i="2"/>
  <c r="S21" i="2"/>
  <c r="S12" i="2"/>
  <c r="X20" i="2"/>
  <c r="S13" i="2"/>
  <c r="B2" i="22" s="1"/>
  <c r="X19" i="2"/>
  <c r="X17" i="2"/>
  <c r="S16" i="2"/>
  <c r="X11" i="2"/>
  <c r="J6" i="2"/>
  <c r="S6" i="2" s="1"/>
  <c r="BB11" i="19" s="1"/>
  <c r="I74" i="2"/>
  <c r="L74" i="2" s="1"/>
  <c r="AS14" i="20" s="1"/>
  <c r="R74" i="2" s="1"/>
  <c r="U74" i="2" s="1"/>
  <c r="I75" i="2"/>
  <c r="L75" i="2" s="1"/>
  <c r="AS15" i="20" s="1"/>
  <c r="R75" i="2" s="1"/>
  <c r="U75" i="2" s="1"/>
  <c r="I76" i="2"/>
  <c r="L76" i="2" s="1"/>
  <c r="AS16" i="20" s="1"/>
  <c r="R76" i="2" s="1"/>
  <c r="U76" i="2" s="1"/>
  <c r="I77" i="2"/>
  <c r="L77" i="2" s="1"/>
  <c r="AS17" i="20" s="1"/>
  <c r="R77" i="2" s="1"/>
  <c r="U77" i="2" s="1"/>
  <c r="I78" i="2"/>
  <c r="L78" i="2" s="1"/>
  <c r="AS18" i="20" s="1"/>
  <c r="R78" i="2" s="1"/>
  <c r="U78" i="2" s="1"/>
  <c r="I79" i="2"/>
  <c r="L79" i="2" s="1"/>
  <c r="AS19" i="20" s="1"/>
  <c r="R79" i="2" s="1"/>
  <c r="U79" i="2" s="1"/>
  <c r="I80" i="2"/>
  <c r="L80" i="2" s="1"/>
  <c r="AS20" i="20" s="1"/>
  <c r="R80" i="2" s="1"/>
  <c r="U80" i="2" s="1"/>
  <c r="I81" i="2"/>
  <c r="L81" i="2" s="1"/>
  <c r="AS21" i="20" s="1"/>
  <c r="R81" i="2" s="1"/>
  <c r="U81" i="2" s="1"/>
  <c r="I82" i="2"/>
  <c r="L82" i="2" s="1"/>
  <c r="AS22" i="20" s="1"/>
  <c r="R82" i="2" s="1"/>
  <c r="U82" i="2" s="1"/>
  <c r="I83" i="2"/>
  <c r="L83" i="2" s="1"/>
  <c r="I84" i="2"/>
  <c r="L84" i="2" s="1"/>
  <c r="AS24" i="20" s="1"/>
  <c r="R84" i="2" s="1"/>
  <c r="U84" i="2" s="1"/>
  <c r="I85" i="2"/>
  <c r="L85" i="2" s="1"/>
  <c r="AS25" i="20" s="1"/>
  <c r="R85" i="2" s="1"/>
  <c r="U85" i="2" s="1"/>
  <c r="I86" i="2"/>
  <c r="L86" i="2" s="1"/>
  <c r="AS26" i="20" s="1"/>
  <c r="R86" i="2" s="1"/>
  <c r="U86" i="2" s="1"/>
  <c r="I87" i="2"/>
  <c r="L87" i="2" s="1"/>
  <c r="AS27" i="20" s="1"/>
  <c r="R87" i="2" s="1"/>
  <c r="U87" i="2" s="1"/>
  <c r="I88" i="2"/>
  <c r="L88" i="2" s="1"/>
  <c r="AS28" i="20" s="1"/>
  <c r="R88" i="2" s="1"/>
  <c r="U88" i="2" s="1"/>
  <c r="I89" i="2"/>
  <c r="L89" i="2" s="1"/>
  <c r="AS29" i="20" s="1"/>
  <c r="R89" i="2" s="1"/>
  <c r="U89" i="2" s="1"/>
  <c r="I90" i="2"/>
  <c r="L90" i="2" s="1"/>
  <c r="AS30" i="20" s="1"/>
  <c r="R90" i="2" s="1"/>
  <c r="U90" i="2" s="1"/>
  <c r="I91" i="2"/>
  <c r="L91" i="2" s="1"/>
  <c r="AS31" i="20" s="1"/>
  <c r="R91" i="2" s="1"/>
  <c r="U91" i="2" s="1"/>
  <c r="I92" i="2"/>
  <c r="L92" i="2" s="1"/>
  <c r="AS32" i="20" s="1"/>
  <c r="R92" i="2" s="1"/>
  <c r="U92" i="2" s="1"/>
  <c r="I93" i="2"/>
  <c r="L93" i="2" s="1"/>
  <c r="I94" i="2"/>
  <c r="L94" i="2" s="1"/>
  <c r="AS34" i="20" s="1"/>
  <c r="R94" i="2" s="1"/>
  <c r="U94" i="2" s="1"/>
  <c r="AH14" i="19"/>
  <c r="AH15" i="19"/>
  <c r="AH16" i="19"/>
  <c r="AH17" i="19"/>
  <c r="AH18" i="19"/>
  <c r="AH19" i="19"/>
  <c r="AH20" i="19"/>
  <c r="AH21" i="19"/>
  <c r="AH22" i="19"/>
  <c r="AH23" i="19"/>
  <c r="AH24" i="19"/>
  <c r="AH25" i="19"/>
  <c r="AH26" i="19"/>
  <c r="AH27" i="19"/>
  <c r="AH28" i="19"/>
  <c r="AH29" i="19"/>
  <c r="H90" i="2"/>
  <c r="K90" i="2" s="1"/>
  <c r="AH30" i="20" s="1"/>
  <c r="H91" i="2"/>
  <c r="K91" i="2" s="1"/>
  <c r="AH31" i="20" s="1"/>
  <c r="H92" i="2"/>
  <c r="K92" i="2" s="1"/>
  <c r="AH32" i="20" s="1"/>
  <c r="H93" i="2"/>
  <c r="K93" i="2" s="1"/>
  <c r="H94" i="2"/>
  <c r="K94" i="2" s="1"/>
  <c r="AH34" i="20" s="1"/>
  <c r="I73" i="2"/>
  <c r="L73" i="2" s="1"/>
  <c r="H73" i="2"/>
  <c r="K73" i="2" s="1"/>
  <c r="AH13" i="20" s="1"/>
  <c r="H63" i="2"/>
  <c r="K63" i="2" s="1"/>
  <c r="V15" i="20" s="1"/>
  <c r="H64" i="2"/>
  <c r="K64" i="2" s="1"/>
  <c r="BB32" i="1"/>
  <c r="BD6" i="1"/>
  <c r="AJ44" i="1"/>
  <c r="AJ43" i="19"/>
  <c r="AU13" i="19"/>
  <c r="AJ47" i="1"/>
  <c r="AJ48" i="1"/>
  <c r="AU21" i="1"/>
  <c r="AJ43" i="1"/>
  <c r="AJ43" i="20"/>
  <c r="AJ45" i="1"/>
  <c r="AJ42" i="19"/>
  <c r="AJ47" i="19"/>
  <c r="AJ49" i="19"/>
  <c r="AJ46" i="19"/>
  <c r="AU13" i="1"/>
  <c r="AJ45" i="19"/>
  <c r="AJ48" i="19"/>
  <c r="AJ49" i="1"/>
  <c r="AJ46" i="20"/>
  <c r="AJ44" i="19"/>
  <c r="AJ42" i="1"/>
  <c r="AU13" i="20"/>
  <c r="AJ46" i="1"/>
  <c r="AU14" i="19"/>
  <c r="Y15" i="2" l="1"/>
  <c r="BE29" i="1"/>
  <c r="D1584" i="23"/>
  <c r="D1580" i="23"/>
  <c r="D1576" i="23"/>
  <c r="D1572" i="23"/>
  <c r="D1568" i="23"/>
  <c r="D1564" i="23"/>
  <c r="D1560" i="23"/>
  <c r="D1556" i="23"/>
  <c r="D1552" i="23"/>
  <c r="D1548" i="23"/>
  <c r="D1544" i="23"/>
  <c r="D1540" i="23"/>
  <c r="D1536" i="23"/>
  <c r="D1583" i="23"/>
  <c r="D1579" i="23"/>
  <c r="D1575" i="23"/>
  <c r="D1571" i="23"/>
  <c r="D1567" i="23"/>
  <c r="D1563" i="23"/>
  <c r="D1559" i="23"/>
  <c r="D1555" i="23"/>
  <c r="D1551" i="23"/>
  <c r="D1547" i="23"/>
  <c r="D1543" i="23"/>
  <c r="D1539" i="23"/>
  <c r="D1535" i="23"/>
  <c r="D1582" i="23"/>
  <c r="D1578" i="23"/>
  <c r="D1574" i="23"/>
  <c r="D1570" i="23"/>
  <c r="D1566" i="23"/>
  <c r="D1562" i="23"/>
  <c r="D1558" i="23"/>
  <c r="D1554" i="23"/>
  <c r="D1550" i="23"/>
  <c r="D1546" i="23"/>
  <c r="D1542" i="23"/>
  <c r="D1538" i="23"/>
  <c r="D1581" i="23"/>
  <c r="D1565" i="23"/>
  <c r="D1549" i="23"/>
  <c r="D1577" i="23"/>
  <c r="D1561" i="23"/>
  <c r="D1545" i="23"/>
  <c r="D1585" i="23"/>
  <c r="D1553" i="23"/>
  <c r="D1573" i="23"/>
  <c r="D1541" i="23"/>
  <c r="D1569" i="23"/>
  <c r="D1537" i="23"/>
  <c r="D1557" i="23"/>
  <c r="D1103" i="23"/>
  <c r="D1099" i="23"/>
  <c r="D1095" i="23"/>
  <c r="D1091" i="23"/>
  <c r="D1087" i="23"/>
  <c r="D1083" i="23"/>
  <c r="D1079" i="23"/>
  <c r="D1075" i="23"/>
  <c r="D1071" i="23"/>
  <c r="D1067" i="23"/>
  <c r="D1063" i="23"/>
  <c r="D1102" i="23"/>
  <c r="D1098" i="23"/>
  <c r="D1094" i="23"/>
  <c r="D1090" i="23"/>
  <c r="D1086" i="23"/>
  <c r="D1082" i="23"/>
  <c r="D1078" i="23"/>
  <c r="D1074" i="23"/>
  <c r="D1070" i="23"/>
  <c r="D1066" i="23"/>
  <c r="D1062" i="23"/>
  <c r="D1104" i="23"/>
  <c r="D1096" i="23"/>
  <c r="D1088" i="23"/>
  <c r="D1080" i="23"/>
  <c r="D1072" i="23"/>
  <c r="D1064" i="23"/>
  <c r="D1058" i="23"/>
  <c r="D1054" i="23"/>
  <c r="D1050" i="23"/>
  <c r="D1046" i="23"/>
  <c r="D1042" i="23"/>
  <c r="D1038" i="23"/>
  <c r="D1034" i="23"/>
  <c r="D1101" i="23"/>
  <c r="D1093" i="23"/>
  <c r="D1085" i="23"/>
  <c r="D1077" i="23"/>
  <c r="D1069" i="23"/>
  <c r="D1061" i="23"/>
  <c r="D1057" i="23"/>
  <c r="D1053" i="23"/>
  <c r="D1049" i="23"/>
  <c r="D1045" i="23"/>
  <c r="D1041" i="23"/>
  <c r="D1037" i="23"/>
  <c r="D1100" i="23"/>
  <c r="D1092" i="23"/>
  <c r="D1084" i="23"/>
  <c r="D1076" i="23"/>
  <c r="D1068" i="23"/>
  <c r="D1060" i="23"/>
  <c r="D1056" i="23"/>
  <c r="D1052" i="23"/>
  <c r="D1048" i="23"/>
  <c r="D1044" i="23"/>
  <c r="D1040" i="23"/>
  <c r="D1036" i="23"/>
  <c r="D1073" i="23"/>
  <c r="D1051" i="23"/>
  <c r="D1035" i="23"/>
  <c r="D1097" i="23"/>
  <c r="D1065" i="23"/>
  <c r="D1047" i="23"/>
  <c r="D1089" i="23"/>
  <c r="D1059" i="23"/>
  <c r="D1043" i="23"/>
  <c r="D1081" i="23"/>
  <c r="D1055" i="23"/>
  <c r="D1039" i="23"/>
  <c r="D1270" i="23"/>
  <c r="D1266" i="23"/>
  <c r="D1262" i="23"/>
  <c r="D1258" i="23"/>
  <c r="D1254" i="23"/>
  <c r="D1250" i="23"/>
  <c r="D1268" i="23"/>
  <c r="D1263" i="23"/>
  <c r="D1257" i="23"/>
  <c r="D1252" i="23"/>
  <c r="D1247" i="23"/>
  <c r="D1243" i="23"/>
  <c r="D1239" i="23"/>
  <c r="D1235" i="23"/>
  <c r="D1231" i="23"/>
  <c r="D1227" i="23"/>
  <c r="D1223" i="23"/>
  <c r="D1219" i="23"/>
  <c r="D1215" i="23"/>
  <c r="D1211" i="23"/>
  <c r="D1267" i="23"/>
  <c r="D1261" i="23"/>
  <c r="D1256" i="23"/>
  <c r="D1251" i="23"/>
  <c r="D1246" i="23"/>
  <c r="D1242" i="23"/>
  <c r="D1238" i="23"/>
  <c r="D1234" i="23"/>
  <c r="D1230" i="23"/>
  <c r="D1226" i="23"/>
  <c r="D1222" i="23"/>
  <c r="D1218" i="23"/>
  <c r="D1214" i="23"/>
  <c r="D1269" i="23"/>
  <c r="D1259" i="23"/>
  <c r="D1248" i="23"/>
  <c r="D1240" i="23"/>
  <c r="D1232" i="23"/>
  <c r="D1224" i="23"/>
  <c r="D1216" i="23"/>
  <c r="D1265" i="23"/>
  <c r="D1255" i="23"/>
  <c r="D1245" i="23"/>
  <c r="D1237" i="23"/>
  <c r="D1229" i="23"/>
  <c r="D1221" i="23"/>
  <c r="D1213" i="23"/>
  <c r="D1264" i="23"/>
  <c r="D1253" i="23"/>
  <c r="D1244" i="23"/>
  <c r="D1236" i="23"/>
  <c r="D1228" i="23"/>
  <c r="D1220" i="23"/>
  <c r="D1212" i="23"/>
  <c r="D1271" i="23"/>
  <c r="D1233" i="23"/>
  <c r="D1260" i="23"/>
  <c r="D1225" i="23"/>
  <c r="D1249" i="23"/>
  <c r="D1217" i="23"/>
  <c r="D1241" i="23"/>
  <c r="D970" i="23"/>
  <c r="D966" i="23"/>
  <c r="D962" i="23"/>
  <c r="D958" i="23"/>
  <c r="D954" i="23"/>
  <c r="D950" i="23"/>
  <c r="D946" i="23"/>
  <c r="D942" i="23"/>
  <c r="D938" i="23"/>
  <c r="D934" i="23"/>
  <c r="D930" i="23"/>
  <c r="D926" i="23"/>
  <c r="D922" i="23"/>
  <c r="D918" i="23"/>
  <c r="D914" i="23"/>
  <c r="D910" i="23"/>
  <c r="D906" i="23"/>
  <c r="D902" i="23"/>
  <c r="D969" i="23"/>
  <c r="D965" i="23"/>
  <c r="D961" i="23"/>
  <c r="D957" i="23"/>
  <c r="D953" i="23"/>
  <c r="D949" i="23"/>
  <c r="D945" i="23"/>
  <c r="D941" i="23"/>
  <c r="D937" i="23"/>
  <c r="D933" i="23"/>
  <c r="D929" i="23"/>
  <c r="D925" i="23"/>
  <c r="D921" i="23"/>
  <c r="D917" i="23"/>
  <c r="D913" i="23"/>
  <c r="D909" i="23"/>
  <c r="D905" i="23"/>
  <c r="D901" i="23"/>
  <c r="D968" i="23"/>
  <c r="D964" i="23"/>
  <c r="D960" i="23"/>
  <c r="D956" i="23"/>
  <c r="D952" i="23"/>
  <c r="D948" i="23"/>
  <c r="D944" i="23"/>
  <c r="D940" i="23"/>
  <c r="D936" i="23"/>
  <c r="D932" i="23"/>
  <c r="D928" i="23"/>
  <c r="D924" i="23"/>
  <c r="D920" i="23"/>
  <c r="D916" i="23"/>
  <c r="D912" i="23"/>
  <c r="D908" i="23"/>
  <c r="D904" i="23"/>
  <c r="D900" i="23"/>
  <c r="D971" i="23"/>
  <c r="D955" i="23"/>
  <c r="D939" i="23"/>
  <c r="D923" i="23"/>
  <c r="D907" i="23"/>
  <c r="D967" i="23"/>
  <c r="D951" i="23"/>
  <c r="D935" i="23"/>
  <c r="D919" i="23"/>
  <c r="D903" i="23"/>
  <c r="D963" i="23"/>
  <c r="D947" i="23"/>
  <c r="D931" i="23"/>
  <c r="D915" i="23"/>
  <c r="D899" i="23"/>
  <c r="D959" i="23"/>
  <c r="D943" i="23"/>
  <c r="D927" i="23"/>
  <c r="D911" i="23"/>
  <c r="D1406" i="23"/>
  <c r="D1402" i="23"/>
  <c r="D1398" i="23"/>
  <c r="D1394" i="23"/>
  <c r="D1390" i="23"/>
  <c r="D1386" i="23"/>
  <c r="D1382" i="23"/>
  <c r="D1378" i="23"/>
  <c r="D1374" i="23"/>
  <c r="D1370" i="23"/>
  <c r="D1366" i="23"/>
  <c r="D1362" i="23"/>
  <c r="D1358" i="23"/>
  <c r="D1354" i="23"/>
  <c r="D1350" i="23"/>
  <c r="D1346" i="23"/>
  <c r="D1342" i="23"/>
  <c r="D1338" i="23"/>
  <c r="D1409" i="23"/>
  <c r="D1405" i="23"/>
  <c r="D1401" i="23"/>
  <c r="D1397" i="23"/>
  <c r="D1393" i="23"/>
  <c r="D1389" i="23"/>
  <c r="D1385" i="23"/>
  <c r="D1381" i="23"/>
  <c r="D1377" i="23"/>
  <c r="D1373" i="23"/>
  <c r="D1369" i="23"/>
  <c r="D1365" i="23"/>
  <c r="D1361" i="23"/>
  <c r="D1357" i="23"/>
  <c r="D1353" i="23"/>
  <c r="D1349" i="23"/>
  <c r="D1345" i="23"/>
  <c r="D1341" i="23"/>
  <c r="D1337" i="23"/>
  <c r="D1408" i="23"/>
  <c r="D1400" i="23"/>
  <c r="D1392" i="23"/>
  <c r="D1384" i="23"/>
  <c r="D1376" i="23"/>
  <c r="D1368" i="23"/>
  <c r="D1360" i="23"/>
  <c r="D1352" i="23"/>
  <c r="D1344" i="23"/>
  <c r="D1336" i="23"/>
  <c r="D1407" i="23"/>
  <c r="D1399" i="23"/>
  <c r="D1391" i="23"/>
  <c r="D1383" i="23"/>
  <c r="D1375" i="23"/>
  <c r="D1367" i="23"/>
  <c r="D1359" i="23"/>
  <c r="D1351" i="23"/>
  <c r="D1343" i="23"/>
  <c r="D1395" i="23"/>
  <c r="D1379" i="23"/>
  <c r="D1363" i="23"/>
  <c r="D1347" i="23"/>
  <c r="D1404" i="23"/>
  <c r="D1388" i="23"/>
  <c r="D1372" i="23"/>
  <c r="D1356" i="23"/>
  <c r="D1340" i="23"/>
  <c r="D1403" i="23"/>
  <c r="D1387" i="23"/>
  <c r="D1371" i="23"/>
  <c r="D1355" i="23"/>
  <c r="D1339" i="23"/>
  <c r="D1396" i="23"/>
  <c r="D1380" i="23"/>
  <c r="D1364" i="23"/>
  <c r="D1348" i="23"/>
  <c r="D342" i="23"/>
  <c r="D338" i="23"/>
  <c r="D334" i="23"/>
  <c r="D330" i="23"/>
  <c r="D326" i="23"/>
  <c r="D322" i="23"/>
  <c r="D341" i="23"/>
  <c r="D337" i="23"/>
  <c r="D333" i="23"/>
  <c r="D329" i="23"/>
  <c r="D325" i="23"/>
  <c r="D321" i="23"/>
  <c r="D317" i="23"/>
  <c r="D313" i="23"/>
  <c r="D309" i="23"/>
  <c r="D305" i="23"/>
  <c r="D301" i="23"/>
  <c r="D297" i="23"/>
  <c r="D293" i="23"/>
  <c r="D289" i="23"/>
  <c r="D340" i="23"/>
  <c r="D336" i="23"/>
  <c r="D332" i="23"/>
  <c r="D328" i="23"/>
  <c r="D339" i="23"/>
  <c r="D324" i="23"/>
  <c r="D318" i="23"/>
  <c r="D312" i="23"/>
  <c r="D307" i="23"/>
  <c r="D302" i="23"/>
  <c r="D296" i="23"/>
  <c r="D291" i="23"/>
  <c r="D286" i="23"/>
  <c r="D282" i="23"/>
  <c r="D278" i="23"/>
  <c r="D274" i="23"/>
  <c r="D327" i="23"/>
  <c r="D314" i="23"/>
  <c r="D292" i="23"/>
  <c r="D335" i="23"/>
  <c r="D323" i="23"/>
  <c r="D316" i="23"/>
  <c r="D311" i="23"/>
  <c r="D306" i="23"/>
  <c r="D300" i="23"/>
  <c r="D295" i="23"/>
  <c r="D290" i="23"/>
  <c r="D285" i="23"/>
  <c r="D281" i="23"/>
  <c r="D277" i="23"/>
  <c r="D273" i="23"/>
  <c r="D303" i="23"/>
  <c r="D283" i="23"/>
  <c r="D331" i="23"/>
  <c r="D320" i="23"/>
  <c r="D315" i="23"/>
  <c r="D310" i="23"/>
  <c r="D304" i="23"/>
  <c r="D299" i="23"/>
  <c r="D294" i="23"/>
  <c r="D288" i="23"/>
  <c r="D284" i="23"/>
  <c r="D280" i="23"/>
  <c r="D276" i="23"/>
  <c r="D272" i="23"/>
  <c r="D308" i="23"/>
  <c r="D287" i="23"/>
  <c r="D275" i="23"/>
  <c r="D319" i="23"/>
  <c r="D298" i="23"/>
  <c r="D279" i="23"/>
  <c r="D1207" i="23"/>
  <c r="D1203" i="23"/>
  <c r="D1199" i="23"/>
  <c r="D1195" i="23"/>
  <c r="D1191" i="23"/>
  <c r="D1187" i="23"/>
  <c r="D1183" i="23"/>
  <c r="D1179" i="23"/>
  <c r="D1175" i="23"/>
  <c r="D1171" i="23"/>
  <c r="D1167" i="23"/>
  <c r="D1163" i="23"/>
  <c r="D1159" i="23"/>
  <c r="D1210" i="23"/>
  <c r="D1206" i="23"/>
  <c r="D1202" i="23"/>
  <c r="D1198" i="23"/>
  <c r="D1194" i="23"/>
  <c r="D1190" i="23"/>
  <c r="D1186" i="23"/>
  <c r="D1182" i="23"/>
  <c r="D1178" i="23"/>
  <c r="D1174" i="23"/>
  <c r="D1170" i="23"/>
  <c r="D1166" i="23"/>
  <c r="D1162" i="23"/>
  <c r="D1158" i="23"/>
  <c r="D1208" i="23"/>
  <c r="D1200" i="23"/>
  <c r="D1192" i="23"/>
  <c r="D1184" i="23"/>
  <c r="D1176" i="23"/>
  <c r="D1168" i="23"/>
  <c r="D1160" i="23"/>
  <c r="D1205" i="23"/>
  <c r="D1197" i="23"/>
  <c r="D1189" i="23"/>
  <c r="D1181" i="23"/>
  <c r="D1173" i="23"/>
  <c r="D1165" i="23"/>
  <c r="D1204" i="23"/>
  <c r="D1196" i="23"/>
  <c r="D1188" i="23"/>
  <c r="D1180" i="23"/>
  <c r="D1172" i="23"/>
  <c r="D1164" i="23"/>
  <c r="D1201" i="23"/>
  <c r="D1169" i="23"/>
  <c r="D1193" i="23"/>
  <c r="D1161" i="23"/>
  <c r="D1185" i="23"/>
  <c r="D1209" i="23"/>
  <c r="D1177" i="23"/>
  <c r="D1620" i="23"/>
  <c r="D1616" i="23"/>
  <c r="D1612" i="23"/>
  <c r="D1608" i="23"/>
  <c r="D1604" i="23"/>
  <c r="D1600" i="23"/>
  <c r="D1596" i="23"/>
  <c r="D1592" i="23"/>
  <c r="D1588" i="23"/>
  <c r="D1619" i="23"/>
  <c r="D1615" i="23"/>
  <c r="D1611" i="23"/>
  <c r="D1607" i="23"/>
  <c r="D1603" i="23"/>
  <c r="D1599" i="23"/>
  <c r="D1595" i="23"/>
  <c r="D1591" i="23"/>
  <c r="D1587" i="23"/>
  <c r="D1618" i="23"/>
  <c r="D1614" i="23"/>
  <c r="D1610" i="23"/>
  <c r="D1606" i="23"/>
  <c r="D1602" i="23"/>
  <c r="D1598" i="23"/>
  <c r="D1594" i="23"/>
  <c r="D1590" i="23"/>
  <c r="D1586" i="23"/>
  <c r="D1613" i="23"/>
  <c r="D1597" i="23"/>
  <c r="D1609" i="23"/>
  <c r="D1593" i="23"/>
  <c r="D1617" i="23"/>
  <c r="D1605" i="23"/>
  <c r="D1601" i="23"/>
  <c r="D1589" i="23"/>
  <c r="D1621" i="23"/>
  <c r="D530" i="23"/>
  <c r="D526" i="23"/>
  <c r="D522" i="23"/>
  <c r="D518" i="23"/>
  <c r="D514" i="23"/>
  <c r="D510" i="23"/>
  <c r="D506" i="23"/>
  <c r="D502" i="23"/>
  <c r="D498" i="23"/>
  <c r="D494" i="23"/>
  <c r="D490" i="23"/>
  <c r="D486" i="23"/>
  <c r="D482" i="23"/>
  <c r="D478" i="23"/>
  <c r="D474" i="23"/>
  <c r="D529" i="23"/>
  <c r="D525" i="23"/>
  <c r="D521" i="23"/>
  <c r="D517" i="23"/>
  <c r="D513" i="23"/>
  <c r="D509" i="23"/>
  <c r="D505" i="23"/>
  <c r="D501" i="23"/>
  <c r="D497" i="23"/>
  <c r="D493" i="23"/>
  <c r="D489" i="23"/>
  <c r="D485" i="23"/>
  <c r="D481" i="23"/>
  <c r="D477" i="23"/>
  <c r="D473" i="23"/>
  <c r="D528" i="23"/>
  <c r="D524" i="23"/>
  <c r="D520" i="23"/>
  <c r="D516" i="23"/>
  <c r="D512" i="23"/>
  <c r="D508" i="23"/>
  <c r="D504" i="23"/>
  <c r="D500" i="23"/>
  <c r="D496" i="23"/>
  <c r="D492" i="23"/>
  <c r="D488" i="23"/>
  <c r="D484" i="23"/>
  <c r="D480" i="23"/>
  <c r="D476" i="23"/>
  <c r="D515" i="23"/>
  <c r="D499" i="23"/>
  <c r="D483" i="23"/>
  <c r="D527" i="23"/>
  <c r="D511" i="23"/>
  <c r="D495" i="23"/>
  <c r="D479" i="23"/>
  <c r="D523" i="23"/>
  <c r="D507" i="23"/>
  <c r="D491" i="23"/>
  <c r="D475" i="23"/>
  <c r="D519" i="23"/>
  <c r="D503" i="23"/>
  <c r="D487" i="23"/>
  <c r="D270" i="23"/>
  <c r="D266" i="23"/>
  <c r="D262" i="23"/>
  <c r="D258" i="23"/>
  <c r="D254" i="23"/>
  <c r="D250" i="23"/>
  <c r="D246" i="23"/>
  <c r="D242" i="23"/>
  <c r="D238" i="23"/>
  <c r="D234" i="23"/>
  <c r="D230" i="23"/>
  <c r="D226" i="23"/>
  <c r="D222" i="23"/>
  <c r="D218" i="23"/>
  <c r="D271" i="23"/>
  <c r="D259" i="23"/>
  <c r="D247" i="23"/>
  <c r="D231" i="23"/>
  <c r="D269" i="23"/>
  <c r="D265" i="23"/>
  <c r="D261" i="23"/>
  <c r="D257" i="23"/>
  <c r="D253" i="23"/>
  <c r="D249" i="23"/>
  <c r="D245" i="23"/>
  <c r="D241" i="23"/>
  <c r="D237" i="23"/>
  <c r="D233" i="23"/>
  <c r="D229" i="23"/>
  <c r="D225" i="23"/>
  <c r="D221" i="23"/>
  <c r="D267" i="23"/>
  <c r="D251" i="23"/>
  <c r="D235" i="23"/>
  <c r="D219" i="23"/>
  <c r="D268" i="23"/>
  <c r="D264" i="23"/>
  <c r="D260" i="23"/>
  <c r="D256" i="23"/>
  <c r="D252" i="23"/>
  <c r="D248" i="23"/>
  <c r="D244" i="23"/>
  <c r="D240" i="23"/>
  <c r="D236" i="23"/>
  <c r="D232" i="23"/>
  <c r="D228" i="23"/>
  <c r="D224" i="23"/>
  <c r="D220" i="23"/>
  <c r="D243" i="23"/>
  <c r="D227" i="23"/>
  <c r="D263" i="23"/>
  <c r="D255" i="23"/>
  <c r="D239" i="23"/>
  <c r="D223" i="23"/>
  <c r="D854" i="23"/>
  <c r="D850" i="23"/>
  <c r="D846" i="23"/>
  <c r="D842" i="23"/>
  <c r="D838" i="23"/>
  <c r="D834" i="23"/>
  <c r="D830" i="23"/>
  <c r="D826" i="23"/>
  <c r="D822" i="23"/>
  <c r="D818" i="23"/>
  <c r="D814" i="23"/>
  <c r="D810" i="23"/>
  <c r="D806" i="23"/>
  <c r="D802" i="23"/>
  <c r="D798" i="23"/>
  <c r="D794" i="23"/>
  <c r="D790" i="23"/>
  <c r="D786" i="23"/>
  <c r="D782" i="23"/>
  <c r="D778" i="23"/>
  <c r="D774" i="23"/>
  <c r="D770" i="23"/>
  <c r="D766" i="23"/>
  <c r="D762" i="23"/>
  <c r="D758" i="23"/>
  <c r="D754" i="23"/>
  <c r="D750" i="23"/>
  <c r="D746" i="23"/>
  <c r="D742" i="23"/>
  <c r="D738" i="23"/>
  <c r="D734" i="23"/>
  <c r="D730" i="23"/>
  <c r="D726" i="23"/>
  <c r="D722" i="23"/>
  <c r="D718" i="23"/>
  <c r="D714" i="23"/>
  <c r="D710" i="23"/>
  <c r="D706" i="23"/>
  <c r="D702" i="23"/>
  <c r="D698" i="23"/>
  <c r="D694" i="23"/>
  <c r="D690" i="23"/>
  <c r="D686" i="23"/>
  <c r="D682" i="23"/>
  <c r="D678" i="23"/>
  <c r="D674" i="23"/>
  <c r="D670" i="23"/>
  <c r="D666" i="23"/>
  <c r="D662" i="23"/>
  <c r="D853" i="23"/>
  <c r="D849" i="23"/>
  <c r="D845" i="23"/>
  <c r="D841" i="23"/>
  <c r="D837" i="23"/>
  <c r="D833" i="23"/>
  <c r="D829" i="23"/>
  <c r="D825" i="23"/>
  <c r="D821" i="23"/>
  <c r="D817" i="23"/>
  <c r="D813" i="23"/>
  <c r="D809" i="23"/>
  <c r="D805" i="23"/>
  <c r="D801" i="23"/>
  <c r="D797" i="23"/>
  <c r="D793" i="23"/>
  <c r="D789" i="23"/>
  <c r="D785" i="23"/>
  <c r="D781" i="23"/>
  <c r="D777" i="23"/>
  <c r="D773" i="23"/>
  <c r="D769" i="23"/>
  <c r="D765" i="23"/>
  <c r="D761" i="23"/>
  <c r="D757" i="23"/>
  <c r="D753" i="23"/>
  <c r="D749" i="23"/>
  <c r="D745" i="23"/>
  <c r="D741" i="23"/>
  <c r="D737" i="23"/>
  <c r="D733" i="23"/>
  <c r="D729" i="23"/>
  <c r="D725" i="23"/>
  <c r="D721" i="23"/>
  <c r="D717" i="23"/>
  <c r="D713" i="23"/>
  <c r="D709" i="23"/>
  <c r="D705" i="23"/>
  <c r="D701" i="23"/>
  <c r="D697" i="23"/>
  <c r="D693" i="23"/>
  <c r="D689" i="23"/>
  <c r="D685" i="23"/>
  <c r="D681" i="23"/>
  <c r="D677" i="23"/>
  <c r="D673" i="23"/>
  <c r="D669" i="23"/>
  <c r="D665" i="23"/>
  <c r="D661" i="23"/>
  <c r="D852" i="23"/>
  <c r="D848" i="23"/>
  <c r="D844" i="23"/>
  <c r="D840" i="23"/>
  <c r="D836" i="23"/>
  <c r="D832" i="23"/>
  <c r="D828" i="23"/>
  <c r="D824" i="23"/>
  <c r="D820" i="23"/>
  <c r="D816" i="23"/>
  <c r="D812" i="23"/>
  <c r="D808" i="23"/>
  <c r="D804" i="23"/>
  <c r="D800" i="23"/>
  <c r="D796" i="23"/>
  <c r="D792" i="23"/>
  <c r="D788" i="23"/>
  <c r="D784" i="23"/>
  <c r="D780" i="23"/>
  <c r="D776" i="23"/>
  <c r="D772" i="23"/>
  <c r="D768" i="23"/>
  <c r="D764" i="23"/>
  <c r="D760" i="23"/>
  <c r="D756" i="23"/>
  <c r="D752" i="23"/>
  <c r="D748" i="23"/>
  <c r="D744" i="23"/>
  <c r="D740" i="23"/>
  <c r="D736" i="23"/>
  <c r="D732" i="23"/>
  <c r="D728" i="23"/>
  <c r="D724" i="23"/>
  <c r="D720" i="23"/>
  <c r="D716" i="23"/>
  <c r="D712" i="23"/>
  <c r="D708" i="23"/>
  <c r="D704" i="23"/>
  <c r="D700" i="23"/>
  <c r="D696" i="23"/>
  <c r="D692" i="23"/>
  <c r="D688" i="23"/>
  <c r="D684" i="23"/>
  <c r="D680" i="23"/>
  <c r="D676" i="23"/>
  <c r="D672" i="23"/>
  <c r="D668" i="23"/>
  <c r="D664" i="23"/>
  <c r="D851" i="23"/>
  <c r="D835" i="23"/>
  <c r="D819" i="23"/>
  <c r="D803" i="23"/>
  <c r="D787" i="23"/>
  <c r="D771" i="23"/>
  <c r="D755" i="23"/>
  <c r="D739" i="23"/>
  <c r="D723" i="23"/>
  <c r="D707" i="23"/>
  <c r="D691" i="23"/>
  <c r="D675" i="23"/>
  <c r="D847" i="23"/>
  <c r="D831" i="23"/>
  <c r="D815" i="23"/>
  <c r="D799" i="23"/>
  <c r="D783" i="23"/>
  <c r="D767" i="23"/>
  <c r="D751" i="23"/>
  <c r="D735" i="23"/>
  <c r="D719" i="23"/>
  <c r="D703" i="23"/>
  <c r="D687" i="23"/>
  <c r="D671" i="23"/>
  <c r="D843" i="23"/>
  <c r="D827" i="23"/>
  <c r="D811" i="23"/>
  <c r="D795" i="23"/>
  <c r="D779" i="23"/>
  <c r="D763" i="23"/>
  <c r="D747" i="23"/>
  <c r="D731" i="23"/>
  <c r="D715" i="23"/>
  <c r="D699" i="23"/>
  <c r="D683" i="23"/>
  <c r="D667" i="23"/>
  <c r="D855" i="23"/>
  <c r="D839" i="23"/>
  <c r="D823" i="23"/>
  <c r="D807" i="23"/>
  <c r="D791" i="23"/>
  <c r="D775" i="23"/>
  <c r="D759" i="23"/>
  <c r="D743" i="23"/>
  <c r="D727" i="23"/>
  <c r="D711" i="23"/>
  <c r="D695" i="23"/>
  <c r="D679" i="23"/>
  <c r="D663" i="23"/>
  <c r="D430" i="23"/>
  <c r="D426" i="23"/>
  <c r="D422" i="23"/>
  <c r="D418" i="23"/>
  <c r="D414" i="23"/>
  <c r="D410" i="23"/>
  <c r="D406" i="23"/>
  <c r="D402" i="23"/>
  <c r="D398" i="23"/>
  <c r="D394" i="23"/>
  <c r="D390" i="23"/>
  <c r="D386" i="23"/>
  <c r="D433" i="23"/>
  <c r="D429" i="23"/>
  <c r="D425" i="23"/>
  <c r="D421" i="23"/>
  <c r="D417" i="23"/>
  <c r="D413" i="23"/>
  <c r="D409" i="23"/>
  <c r="D405" i="23"/>
  <c r="D401" i="23"/>
  <c r="D397" i="23"/>
  <c r="D393" i="23"/>
  <c r="D389" i="23"/>
  <c r="D385" i="23"/>
  <c r="D432" i="23"/>
  <c r="D428" i="23"/>
  <c r="D424" i="23"/>
  <c r="D420" i="23"/>
  <c r="D416" i="23"/>
  <c r="D412" i="23"/>
  <c r="D408" i="23"/>
  <c r="D404" i="23"/>
  <c r="D400" i="23"/>
  <c r="D396" i="23"/>
  <c r="D392" i="23"/>
  <c r="D388" i="23"/>
  <c r="D419" i="23"/>
  <c r="D403" i="23"/>
  <c r="D387" i="23"/>
  <c r="D431" i="23"/>
  <c r="D415" i="23"/>
  <c r="D399" i="23"/>
  <c r="D427" i="23"/>
  <c r="D411" i="23"/>
  <c r="D395" i="23"/>
  <c r="D423" i="23"/>
  <c r="D407" i="23"/>
  <c r="D391" i="23"/>
  <c r="D1334" i="23"/>
  <c r="D1330" i="23"/>
  <c r="D1326" i="23"/>
  <c r="D1322" i="23"/>
  <c r="D1318" i="23"/>
  <c r="D1314" i="23"/>
  <c r="D1310" i="23"/>
  <c r="D1306" i="23"/>
  <c r="D1302" i="23"/>
  <c r="D1298" i="23"/>
  <c r="D1294" i="23"/>
  <c r="D1290" i="23"/>
  <c r="D1286" i="23"/>
  <c r="D1282" i="23"/>
  <c r="D1278" i="23"/>
  <c r="D1274" i="23"/>
  <c r="D1333" i="23"/>
  <c r="D1329" i="23"/>
  <c r="D1325" i="23"/>
  <c r="D1321" i="23"/>
  <c r="D1317" i="23"/>
  <c r="D1313" i="23"/>
  <c r="D1309" i="23"/>
  <c r="D1305" i="23"/>
  <c r="D1301" i="23"/>
  <c r="D1297" i="23"/>
  <c r="D1293" i="23"/>
  <c r="D1289" i="23"/>
  <c r="D1285" i="23"/>
  <c r="D1281" i="23"/>
  <c r="D1277" i="23"/>
  <c r="D1328" i="23"/>
  <c r="D1320" i="23"/>
  <c r="D1312" i="23"/>
  <c r="D1304" i="23"/>
  <c r="D1296" i="23"/>
  <c r="D1288" i="23"/>
  <c r="D1280" i="23"/>
  <c r="D1273" i="23"/>
  <c r="D1335" i="23"/>
  <c r="D1327" i="23"/>
  <c r="D1319" i="23"/>
  <c r="D1311" i="23"/>
  <c r="D1303" i="23"/>
  <c r="D1295" i="23"/>
  <c r="D1287" i="23"/>
  <c r="D1279" i="23"/>
  <c r="D1272" i="23"/>
  <c r="D1331" i="23"/>
  <c r="D1315" i="23"/>
  <c r="D1299" i="23"/>
  <c r="D1283" i="23"/>
  <c r="D1324" i="23"/>
  <c r="D1308" i="23"/>
  <c r="D1292" i="23"/>
  <c r="D1276" i="23"/>
  <c r="D1323" i="23"/>
  <c r="D1307" i="23"/>
  <c r="D1291" i="23"/>
  <c r="D1275" i="23"/>
  <c r="D1332" i="23"/>
  <c r="D1316" i="23"/>
  <c r="D1300" i="23"/>
  <c r="D1284" i="23"/>
  <c r="D470" i="23"/>
  <c r="D466" i="23"/>
  <c r="D462" i="23"/>
  <c r="D458" i="23"/>
  <c r="D454" i="23"/>
  <c r="D450" i="23"/>
  <c r="D446" i="23"/>
  <c r="D442" i="23"/>
  <c r="D438" i="23"/>
  <c r="D434" i="23"/>
  <c r="D469" i="23"/>
  <c r="D465" i="23"/>
  <c r="D461" i="23"/>
  <c r="D457" i="23"/>
  <c r="D453" i="23"/>
  <c r="D449" i="23"/>
  <c r="D445" i="23"/>
  <c r="D441" i="23"/>
  <c r="D437" i="23"/>
  <c r="D472" i="23"/>
  <c r="D468" i="23"/>
  <c r="D464" i="23"/>
  <c r="D460" i="23"/>
  <c r="D456" i="23"/>
  <c r="D452" i="23"/>
  <c r="D448" i="23"/>
  <c r="D444" i="23"/>
  <c r="D440" i="23"/>
  <c r="D436" i="23"/>
  <c r="D467" i="23"/>
  <c r="D451" i="23"/>
  <c r="D435" i="23"/>
  <c r="D463" i="23"/>
  <c r="D447" i="23"/>
  <c r="D459" i="23"/>
  <c r="D443" i="23"/>
  <c r="D471" i="23"/>
  <c r="D455" i="23"/>
  <c r="D439" i="23"/>
  <c r="D382" i="23"/>
  <c r="D378" i="23"/>
  <c r="D374" i="23"/>
  <c r="D370" i="23"/>
  <c r="D366" i="23"/>
  <c r="D362" i="23"/>
  <c r="D358" i="23"/>
  <c r="D354" i="23"/>
  <c r="D350" i="23"/>
  <c r="D346" i="23"/>
  <c r="D381" i="23"/>
  <c r="D377" i="23"/>
  <c r="D373" i="23"/>
  <c r="D369" i="23"/>
  <c r="D365" i="23"/>
  <c r="D361" i="23"/>
  <c r="D357" i="23"/>
  <c r="D353" i="23"/>
  <c r="D349" i="23"/>
  <c r="D345" i="23"/>
  <c r="D384" i="23"/>
  <c r="D380" i="23"/>
  <c r="D376" i="23"/>
  <c r="D372" i="23"/>
  <c r="D368" i="23"/>
  <c r="D364" i="23"/>
  <c r="D360" i="23"/>
  <c r="D356" i="23"/>
  <c r="D352" i="23"/>
  <c r="D348" i="23"/>
  <c r="D344" i="23"/>
  <c r="D371" i="23"/>
  <c r="D355" i="23"/>
  <c r="D383" i="23"/>
  <c r="D367" i="23"/>
  <c r="D351" i="23"/>
  <c r="D379" i="23"/>
  <c r="D363" i="23"/>
  <c r="D347" i="23"/>
  <c r="D343" i="23"/>
  <c r="D375" i="23"/>
  <c r="D359" i="23"/>
  <c r="D1532" i="23"/>
  <c r="D1528" i="23"/>
  <c r="D1524" i="23"/>
  <c r="D1520" i="23"/>
  <c r="D1516" i="23"/>
  <c r="D1512" i="23"/>
  <c r="D1508" i="23"/>
  <c r="D1504" i="23"/>
  <c r="D1500" i="23"/>
  <c r="D1496" i="23"/>
  <c r="D1492" i="23"/>
  <c r="D1488" i="23"/>
  <c r="D1531" i="23"/>
  <c r="D1527" i="23"/>
  <c r="D1523" i="23"/>
  <c r="D1519" i="23"/>
  <c r="D1515" i="23"/>
  <c r="D1511" i="23"/>
  <c r="D1507" i="23"/>
  <c r="D1503" i="23"/>
  <c r="D1499" i="23"/>
  <c r="D1495" i="23"/>
  <c r="D1491" i="23"/>
  <c r="D1487" i="23"/>
  <c r="D1534" i="23"/>
  <c r="D1530" i="23"/>
  <c r="D1533" i="23"/>
  <c r="D1522" i="23"/>
  <c r="D1514" i="23"/>
  <c r="D1506" i="23"/>
  <c r="D1498" i="23"/>
  <c r="D1490" i="23"/>
  <c r="D1529" i="23"/>
  <c r="D1521" i="23"/>
  <c r="D1513" i="23"/>
  <c r="D1505" i="23"/>
  <c r="D1497" i="23"/>
  <c r="D1489" i="23"/>
  <c r="D1525" i="23"/>
  <c r="D1509" i="23"/>
  <c r="D1493" i="23"/>
  <c r="D1518" i="23"/>
  <c r="D1502" i="23"/>
  <c r="D1486" i="23"/>
  <c r="D1517" i="23"/>
  <c r="D1501" i="23"/>
  <c r="D1485" i="23"/>
  <c r="D1494" i="23"/>
  <c r="D1526" i="23"/>
  <c r="D1510" i="23"/>
  <c r="D658" i="23"/>
  <c r="D654" i="23"/>
  <c r="D650" i="23"/>
  <c r="D646" i="23"/>
  <c r="D642" i="23"/>
  <c r="D638" i="23"/>
  <c r="D634" i="23"/>
  <c r="D630" i="23"/>
  <c r="D626" i="23"/>
  <c r="D622" i="23"/>
  <c r="D618" i="23"/>
  <c r="D614" i="23"/>
  <c r="D610" i="23"/>
  <c r="D606" i="23"/>
  <c r="D602" i="23"/>
  <c r="D598" i="23"/>
  <c r="D594" i="23"/>
  <c r="D590" i="23"/>
  <c r="D586" i="23"/>
  <c r="D657" i="23"/>
  <c r="D653" i="23"/>
  <c r="D649" i="23"/>
  <c r="D645" i="23"/>
  <c r="D641" i="23"/>
  <c r="D637" i="23"/>
  <c r="D633" i="23"/>
  <c r="D629" i="23"/>
  <c r="D625" i="23"/>
  <c r="D621" i="23"/>
  <c r="D617" i="23"/>
  <c r="D613" i="23"/>
  <c r="D609" i="23"/>
  <c r="D605" i="23"/>
  <c r="D601" i="23"/>
  <c r="D597" i="23"/>
  <c r="D593" i="23"/>
  <c r="D589" i="23"/>
  <c r="D660" i="23"/>
  <c r="D656" i="23"/>
  <c r="D652" i="23"/>
  <c r="D648" i="23"/>
  <c r="D644" i="23"/>
  <c r="D640" i="23"/>
  <c r="D636" i="23"/>
  <c r="D632" i="23"/>
  <c r="D628" i="23"/>
  <c r="D624" i="23"/>
  <c r="D620" i="23"/>
  <c r="D616" i="23"/>
  <c r="D612" i="23"/>
  <c r="D608" i="23"/>
  <c r="D604" i="23"/>
  <c r="D600" i="23"/>
  <c r="D596" i="23"/>
  <c r="D592" i="23"/>
  <c r="D588" i="23"/>
  <c r="D659" i="23"/>
  <c r="D643" i="23"/>
  <c r="D627" i="23"/>
  <c r="D611" i="23"/>
  <c r="D595" i="23"/>
  <c r="D655" i="23"/>
  <c r="D639" i="23"/>
  <c r="D623" i="23"/>
  <c r="D607" i="23"/>
  <c r="D591" i="23"/>
  <c r="D651" i="23"/>
  <c r="D635" i="23"/>
  <c r="D619" i="23"/>
  <c r="D603" i="23"/>
  <c r="D587" i="23"/>
  <c r="D647" i="23"/>
  <c r="D631" i="23"/>
  <c r="D615" i="23"/>
  <c r="D599" i="23"/>
  <c r="D214" i="23"/>
  <c r="D210" i="23"/>
  <c r="D206" i="23"/>
  <c r="D202" i="23"/>
  <c r="D198" i="23"/>
  <c r="D194" i="23"/>
  <c r="D190" i="23"/>
  <c r="D186" i="23"/>
  <c r="D182" i="23"/>
  <c r="D178" i="23"/>
  <c r="D174" i="23"/>
  <c r="D170" i="23"/>
  <c r="D166" i="23"/>
  <c r="D162" i="23"/>
  <c r="D158" i="23"/>
  <c r="D154" i="23"/>
  <c r="D150" i="23"/>
  <c r="D146" i="23"/>
  <c r="D215" i="23"/>
  <c r="D199" i="23"/>
  <c r="D183" i="23"/>
  <c r="D163" i="23"/>
  <c r="D151" i="23"/>
  <c r="D217" i="23"/>
  <c r="D213" i="23"/>
  <c r="D209" i="23"/>
  <c r="D205" i="23"/>
  <c r="D201" i="23"/>
  <c r="D197" i="23"/>
  <c r="D193" i="23"/>
  <c r="D189" i="23"/>
  <c r="D185" i="23"/>
  <c r="D181" i="23"/>
  <c r="D177" i="23"/>
  <c r="D173" i="23"/>
  <c r="D169" i="23"/>
  <c r="D165" i="23"/>
  <c r="D161" i="23"/>
  <c r="D157" i="23"/>
  <c r="D153" i="23"/>
  <c r="D149" i="23"/>
  <c r="D145" i="23"/>
  <c r="D203" i="23"/>
  <c r="D191" i="23"/>
  <c r="D175" i="23"/>
  <c r="D159" i="23"/>
  <c r="D143" i="23"/>
  <c r="D216" i="23"/>
  <c r="D212" i="23"/>
  <c r="D208" i="23"/>
  <c r="D204" i="23"/>
  <c r="D200" i="23"/>
  <c r="D196" i="23"/>
  <c r="D192" i="23"/>
  <c r="D188" i="23"/>
  <c r="D184" i="23"/>
  <c r="D180" i="23"/>
  <c r="D176" i="23"/>
  <c r="D172" i="23"/>
  <c r="D168" i="23"/>
  <c r="D164" i="23"/>
  <c r="D160" i="23"/>
  <c r="D156" i="23"/>
  <c r="D152" i="23"/>
  <c r="D148" i="23"/>
  <c r="D144" i="23"/>
  <c r="D211" i="23"/>
  <c r="D195" i="23"/>
  <c r="D179" i="23"/>
  <c r="D167" i="23"/>
  <c r="D147" i="23"/>
  <c r="D207" i="23"/>
  <c r="D187" i="23"/>
  <c r="D171" i="23"/>
  <c r="D155" i="23"/>
  <c r="D142" i="23"/>
  <c r="D138" i="23"/>
  <c r="D134" i="23"/>
  <c r="D130" i="23"/>
  <c r="D126" i="23"/>
  <c r="D122" i="23"/>
  <c r="D118" i="23"/>
  <c r="D114" i="23"/>
  <c r="D110" i="23"/>
  <c r="D106" i="23"/>
  <c r="D131" i="23"/>
  <c r="D119" i="23"/>
  <c r="D141" i="23"/>
  <c r="D137" i="23"/>
  <c r="D133" i="23"/>
  <c r="D129" i="23"/>
  <c r="D125" i="23"/>
  <c r="D121" i="23"/>
  <c r="D117" i="23"/>
  <c r="D113" i="23"/>
  <c r="D109" i="23"/>
  <c r="D105" i="23"/>
  <c r="D123" i="23"/>
  <c r="D107" i="23"/>
  <c r="D140" i="23"/>
  <c r="D136" i="23"/>
  <c r="D132" i="23"/>
  <c r="D128" i="23"/>
  <c r="D124" i="23"/>
  <c r="D120" i="23"/>
  <c r="D116" i="23"/>
  <c r="D112" i="23"/>
  <c r="D108" i="23"/>
  <c r="D104" i="23"/>
  <c r="D135" i="23"/>
  <c r="D115" i="23"/>
  <c r="D139" i="23"/>
  <c r="D127" i="23"/>
  <c r="D111" i="23"/>
  <c r="D898" i="23"/>
  <c r="D894" i="23"/>
  <c r="D890" i="23"/>
  <c r="D886" i="23"/>
  <c r="D882" i="23"/>
  <c r="D878" i="23"/>
  <c r="D874" i="23"/>
  <c r="D870" i="23"/>
  <c r="D866" i="23"/>
  <c r="D862" i="23"/>
  <c r="D897" i="23"/>
  <c r="D893" i="23"/>
  <c r="D889" i="23"/>
  <c r="D896" i="23"/>
  <c r="D892" i="23"/>
  <c r="D891" i="23"/>
  <c r="D884" i="23"/>
  <c r="D879" i="23"/>
  <c r="D873" i="23"/>
  <c r="D868" i="23"/>
  <c r="D863" i="23"/>
  <c r="D858" i="23"/>
  <c r="D888" i="23"/>
  <c r="D883" i="23"/>
  <c r="D877" i="23"/>
  <c r="D872" i="23"/>
  <c r="D867" i="23"/>
  <c r="D861" i="23"/>
  <c r="D857" i="23"/>
  <c r="D887" i="23"/>
  <c r="D881" i="23"/>
  <c r="D876" i="23"/>
  <c r="D871" i="23"/>
  <c r="D865" i="23"/>
  <c r="D860" i="23"/>
  <c r="D856" i="23"/>
  <c r="D895" i="23"/>
  <c r="D869" i="23"/>
  <c r="D885" i="23"/>
  <c r="D864" i="23"/>
  <c r="D880" i="23"/>
  <c r="D859" i="23"/>
  <c r="D875" i="23"/>
  <c r="D1484" i="23"/>
  <c r="D1480" i="23"/>
  <c r="D1476" i="23"/>
  <c r="D1472" i="23"/>
  <c r="D1468" i="23"/>
  <c r="D1464" i="23"/>
  <c r="D1460" i="23"/>
  <c r="D1456" i="23"/>
  <c r="D1452" i="23"/>
  <c r="D1448" i="23"/>
  <c r="D1444" i="23"/>
  <c r="D1483" i="23"/>
  <c r="D1479" i="23"/>
  <c r="D1475" i="23"/>
  <c r="D1471" i="23"/>
  <c r="D1467" i="23"/>
  <c r="D1463" i="23"/>
  <c r="D1459" i="23"/>
  <c r="D1455" i="23"/>
  <c r="D1451" i="23"/>
  <c r="D1447" i="23"/>
  <c r="D1482" i="23"/>
  <c r="D1474" i="23"/>
  <c r="D1466" i="23"/>
  <c r="D1458" i="23"/>
  <c r="D1450" i="23"/>
  <c r="D1481" i="23"/>
  <c r="D1473" i="23"/>
  <c r="D1465" i="23"/>
  <c r="D1457" i="23"/>
  <c r="D1449" i="23"/>
  <c r="D1477" i="23"/>
  <c r="D1461" i="23"/>
  <c r="D1445" i="23"/>
  <c r="D1470" i="23"/>
  <c r="D1454" i="23"/>
  <c r="D1469" i="23"/>
  <c r="D1453" i="23"/>
  <c r="D1478" i="23"/>
  <c r="D1462" i="23"/>
  <c r="D1446" i="23"/>
  <c r="D582" i="23"/>
  <c r="D578" i="23"/>
  <c r="D574" i="23"/>
  <c r="D570" i="23"/>
  <c r="D566" i="23"/>
  <c r="D562" i="23"/>
  <c r="D558" i="23"/>
  <c r="D554" i="23"/>
  <c r="D550" i="23"/>
  <c r="D546" i="23"/>
  <c r="D542" i="23"/>
  <c r="D538" i="23"/>
  <c r="D534" i="23"/>
  <c r="D585" i="23"/>
  <c r="D581" i="23"/>
  <c r="D577" i="23"/>
  <c r="D573" i="23"/>
  <c r="D569" i="23"/>
  <c r="D565" i="23"/>
  <c r="D561" i="23"/>
  <c r="D557" i="23"/>
  <c r="D553" i="23"/>
  <c r="D549" i="23"/>
  <c r="D545" i="23"/>
  <c r="D541" i="23"/>
  <c r="D537" i="23"/>
  <c r="D533" i="23"/>
  <c r="D584" i="23"/>
  <c r="D580" i="23"/>
  <c r="D576" i="23"/>
  <c r="D572" i="23"/>
  <c r="D568" i="23"/>
  <c r="D564" i="23"/>
  <c r="D560" i="23"/>
  <c r="D556" i="23"/>
  <c r="D552" i="23"/>
  <c r="D548" i="23"/>
  <c r="D544" i="23"/>
  <c r="D540" i="23"/>
  <c r="D536" i="23"/>
  <c r="D532" i="23"/>
  <c r="D579" i="23"/>
  <c r="D563" i="23"/>
  <c r="D547" i="23"/>
  <c r="D531" i="23"/>
  <c r="D575" i="23"/>
  <c r="D559" i="23"/>
  <c r="D543" i="23"/>
  <c r="D571" i="23"/>
  <c r="D555" i="23"/>
  <c r="D539" i="23"/>
  <c r="D583" i="23"/>
  <c r="D567" i="23"/>
  <c r="D551" i="23"/>
  <c r="D535" i="23"/>
  <c r="D1155" i="23"/>
  <c r="D1151" i="23"/>
  <c r="D1147" i="23"/>
  <c r="D1143" i="23"/>
  <c r="D1139" i="23"/>
  <c r="D1135" i="23"/>
  <c r="D1131" i="23"/>
  <c r="D1127" i="23"/>
  <c r="D1123" i="23"/>
  <c r="D1119" i="23"/>
  <c r="D1115" i="23"/>
  <c r="D1111" i="23"/>
  <c r="D1107" i="23"/>
  <c r="D1154" i="23"/>
  <c r="D1150" i="23"/>
  <c r="D1146" i="23"/>
  <c r="D1142" i="23"/>
  <c r="D1138" i="23"/>
  <c r="D1134" i="23"/>
  <c r="D1130" i="23"/>
  <c r="D1126" i="23"/>
  <c r="D1122" i="23"/>
  <c r="D1118" i="23"/>
  <c r="D1114" i="23"/>
  <c r="D1110" i="23"/>
  <c r="D1106" i="23"/>
  <c r="D1152" i="23"/>
  <c r="D1144" i="23"/>
  <c r="D1136" i="23"/>
  <c r="D1128" i="23"/>
  <c r="D1120" i="23"/>
  <c r="D1112" i="23"/>
  <c r="D1157" i="23"/>
  <c r="D1149" i="23"/>
  <c r="D1141" i="23"/>
  <c r="D1133" i="23"/>
  <c r="D1125" i="23"/>
  <c r="D1117" i="23"/>
  <c r="D1109" i="23"/>
  <c r="D1156" i="23"/>
  <c r="D1148" i="23"/>
  <c r="D1140" i="23"/>
  <c r="D1132" i="23"/>
  <c r="D1124" i="23"/>
  <c r="D1116" i="23"/>
  <c r="D1108" i="23"/>
  <c r="D1137" i="23"/>
  <c r="D1105" i="23"/>
  <c r="D1129" i="23"/>
  <c r="D1153" i="23"/>
  <c r="D1121" i="23"/>
  <c r="D1113" i="23"/>
  <c r="D1145" i="23"/>
  <c r="D102" i="23"/>
  <c r="D98" i="23"/>
  <c r="D94" i="23"/>
  <c r="D90" i="23"/>
  <c r="D86" i="23"/>
  <c r="D82" i="23"/>
  <c r="D78" i="23"/>
  <c r="D74" i="23"/>
  <c r="D70" i="23"/>
  <c r="D66" i="23"/>
  <c r="D62" i="23"/>
  <c r="D58" i="23"/>
  <c r="D54" i="23"/>
  <c r="D103" i="23"/>
  <c r="D87" i="23"/>
  <c r="D67" i="23"/>
  <c r="D101" i="23"/>
  <c r="D97" i="23"/>
  <c r="D93" i="23"/>
  <c r="D89" i="23"/>
  <c r="D85" i="23"/>
  <c r="D81" i="23"/>
  <c r="D77" i="23"/>
  <c r="D73" i="23"/>
  <c r="D69" i="23"/>
  <c r="D65" i="23"/>
  <c r="D61" i="23"/>
  <c r="D57" i="23"/>
  <c r="D91" i="23"/>
  <c r="D75" i="23"/>
  <c r="D59" i="23"/>
  <c r="D100" i="23"/>
  <c r="D96" i="23"/>
  <c r="D92" i="23"/>
  <c r="D88" i="23"/>
  <c r="D84" i="23"/>
  <c r="D80" i="23"/>
  <c r="D76" i="23"/>
  <c r="D72" i="23"/>
  <c r="D68" i="23"/>
  <c r="D64" i="23"/>
  <c r="D60" i="23"/>
  <c r="D56" i="23"/>
  <c r="D99" i="23"/>
  <c r="D83" i="23"/>
  <c r="D71" i="23"/>
  <c r="D55" i="23"/>
  <c r="D95" i="23"/>
  <c r="D79" i="23"/>
  <c r="D63" i="23"/>
  <c r="D50" i="23"/>
  <c r="D46" i="23"/>
  <c r="D42" i="23"/>
  <c r="D38" i="23"/>
  <c r="D34" i="23"/>
  <c r="D30" i="23"/>
  <c r="D26" i="23"/>
  <c r="D22" i="23"/>
  <c r="D18" i="23"/>
  <c r="D14" i="23"/>
  <c r="D10" i="23"/>
  <c r="D6" i="23"/>
  <c r="D53" i="23"/>
  <c r="D49" i="23"/>
  <c r="D45" i="23"/>
  <c r="D41" i="23"/>
  <c r="D37" i="23"/>
  <c r="D33" i="23"/>
  <c r="D29" i="23"/>
  <c r="D25" i="23"/>
  <c r="D21" i="23"/>
  <c r="D17" i="23"/>
  <c r="D13" i="23"/>
  <c r="D9" i="23"/>
  <c r="D5" i="23"/>
  <c r="D52" i="23"/>
  <c r="D48" i="23"/>
  <c r="D44" i="23"/>
  <c r="D40" i="23"/>
  <c r="D36" i="23"/>
  <c r="D32" i="23"/>
  <c r="D28" i="23"/>
  <c r="D24" i="23"/>
  <c r="D20" i="23"/>
  <c r="D16" i="23"/>
  <c r="D12" i="23"/>
  <c r="D8" i="23"/>
  <c r="D4" i="23"/>
  <c r="D51" i="23"/>
  <c r="D47" i="23"/>
  <c r="D43" i="23"/>
  <c r="D39" i="23"/>
  <c r="D35" i="23"/>
  <c r="D31" i="23"/>
  <c r="D27" i="23"/>
  <c r="D23" i="23"/>
  <c r="D19" i="23"/>
  <c r="D15" i="23"/>
  <c r="D11" i="23"/>
  <c r="D7" i="23"/>
  <c r="D3" i="23"/>
  <c r="E5000" i="23"/>
  <c r="E4996" i="23"/>
  <c r="E4992" i="23"/>
  <c r="E4988" i="23"/>
  <c r="E4984" i="23"/>
  <c r="E4980" i="23"/>
  <c r="E4976" i="23"/>
  <c r="E4972" i="23"/>
  <c r="E4968" i="23"/>
  <c r="E4964" i="23"/>
  <c r="E4960" i="23"/>
  <c r="E4956" i="23"/>
  <c r="E4952" i="23"/>
  <c r="E4948" i="23"/>
  <c r="E4944" i="23"/>
  <c r="E4940" i="23"/>
  <c r="E4936" i="23"/>
  <c r="E4932" i="23"/>
  <c r="E4928" i="23"/>
  <c r="E4924" i="23"/>
  <c r="E4920" i="23"/>
  <c r="E4916" i="23"/>
  <c r="E4912" i="23"/>
  <c r="E4908" i="23"/>
  <c r="E4904" i="23"/>
  <c r="E4900" i="23"/>
  <c r="E4896" i="23"/>
  <c r="E4892" i="23"/>
  <c r="E4888" i="23"/>
  <c r="E4884" i="23"/>
  <c r="E4880" i="23"/>
  <c r="E4876" i="23"/>
  <c r="E4872" i="23"/>
  <c r="E4868" i="23"/>
  <c r="E4864" i="23"/>
  <c r="E4860" i="23"/>
  <c r="E4856" i="23"/>
  <c r="E4852" i="23"/>
  <c r="E4848" i="23"/>
  <c r="E4844" i="23"/>
  <c r="E4840" i="23"/>
  <c r="E4836" i="23"/>
  <c r="E4832" i="23"/>
  <c r="E4828" i="23"/>
  <c r="E4824" i="23"/>
  <c r="E4820" i="23"/>
  <c r="E4816" i="23"/>
  <c r="E4812" i="23"/>
  <c r="E4808" i="23"/>
  <c r="E4804" i="23"/>
  <c r="E4800" i="23"/>
  <c r="E4796" i="23"/>
  <c r="E4792" i="23"/>
  <c r="E4788" i="23"/>
  <c r="E4784" i="23"/>
  <c r="E4780" i="23"/>
  <c r="E4776" i="23"/>
  <c r="E4772" i="23"/>
  <c r="E4768" i="23"/>
  <c r="E4764" i="23"/>
  <c r="E4760" i="23"/>
  <c r="E4756" i="23"/>
  <c r="E4752" i="23"/>
  <c r="E4748" i="23"/>
  <c r="E4744" i="23"/>
  <c r="E4740" i="23"/>
  <c r="E4736" i="23"/>
  <c r="E4732" i="23"/>
  <c r="E4728" i="23"/>
  <c r="E4724" i="23"/>
  <c r="E4720" i="23"/>
  <c r="E4716" i="23"/>
  <c r="E4712" i="23"/>
  <c r="E4708" i="23"/>
  <c r="E4704" i="23"/>
  <c r="E4700" i="23"/>
  <c r="E4696" i="23"/>
  <c r="E4692" i="23"/>
  <c r="E4688" i="23"/>
  <c r="E4684" i="23"/>
  <c r="E4680" i="23"/>
  <c r="E4676" i="23"/>
  <c r="E4672" i="23"/>
  <c r="E4668" i="23"/>
  <c r="E4664" i="23"/>
  <c r="E4999" i="23"/>
  <c r="E4995" i="23"/>
  <c r="E4991" i="23"/>
  <c r="E4987" i="23"/>
  <c r="E4983" i="23"/>
  <c r="E4979" i="23"/>
  <c r="E4975" i="23"/>
  <c r="E4971" i="23"/>
  <c r="E4967" i="23"/>
  <c r="E4963" i="23"/>
  <c r="E4959" i="23"/>
  <c r="E4955" i="23"/>
  <c r="E4951" i="23"/>
  <c r="E4947" i="23"/>
  <c r="E4943" i="23"/>
  <c r="E4939" i="23"/>
  <c r="E4935" i="23"/>
  <c r="E4931" i="23"/>
  <c r="E4927" i="23"/>
  <c r="E4923" i="23"/>
  <c r="E4919" i="23"/>
  <c r="E4915" i="23"/>
  <c r="E4911" i="23"/>
  <c r="E4907" i="23"/>
  <c r="E4903" i="23"/>
  <c r="E4899" i="23"/>
  <c r="E4895" i="23"/>
  <c r="E4891" i="23"/>
  <c r="E4887" i="23"/>
  <c r="E4883" i="23"/>
  <c r="E4879" i="23"/>
  <c r="E4875" i="23"/>
  <c r="E4871" i="23"/>
  <c r="E4867" i="23"/>
  <c r="E4863" i="23"/>
  <c r="E4859" i="23"/>
  <c r="E4855" i="23"/>
  <c r="E4851" i="23"/>
  <c r="E4847" i="23"/>
  <c r="E4843" i="23"/>
  <c r="E4839" i="23"/>
  <c r="E4835" i="23"/>
  <c r="E4831" i="23"/>
  <c r="E4827" i="23"/>
  <c r="E4823" i="23"/>
  <c r="E4819" i="23"/>
  <c r="E4815" i="23"/>
  <c r="E4811" i="23"/>
  <c r="E4807" i="23"/>
  <c r="E4803" i="23"/>
  <c r="E4799" i="23"/>
  <c r="E4795" i="23"/>
  <c r="E4791" i="23"/>
  <c r="E4787" i="23"/>
  <c r="E4783" i="23"/>
  <c r="E4779" i="23"/>
  <c r="E4775" i="23"/>
  <c r="E4771" i="23"/>
  <c r="E4767" i="23"/>
  <c r="E4763" i="23"/>
  <c r="E4759" i="23"/>
  <c r="E4755" i="23"/>
  <c r="E4751" i="23"/>
  <c r="E4747" i="23"/>
  <c r="E4743" i="23"/>
  <c r="E4739" i="23"/>
  <c r="E4735" i="23"/>
  <c r="E4731" i="23"/>
  <c r="E4727" i="23"/>
  <c r="E4723" i="23"/>
  <c r="E4719" i="23"/>
  <c r="E4715" i="23"/>
  <c r="E4711" i="23"/>
  <c r="E4707" i="23"/>
  <c r="E4703" i="23"/>
  <c r="E4699" i="23"/>
  <c r="E4695" i="23"/>
  <c r="E4691" i="23"/>
  <c r="E4687" i="23"/>
  <c r="E4683" i="23"/>
  <c r="E4679" i="23"/>
  <c r="E4675" i="23"/>
  <c r="E4671" i="23"/>
  <c r="E4667" i="23"/>
  <c r="E4663" i="23"/>
  <c r="E4998" i="23"/>
  <c r="E4994" i="23"/>
  <c r="E4990" i="23"/>
  <c r="E4986" i="23"/>
  <c r="E4982" i="23"/>
  <c r="E4978" i="23"/>
  <c r="E4974" i="23"/>
  <c r="E4970" i="23"/>
  <c r="E4966" i="23"/>
  <c r="E4962" i="23"/>
  <c r="E4958" i="23"/>
  <c r="E4954" i="23"/>
  <c r="E4950" i="23"/>
  <c r="E4946" i="23"/>
  <c r="E4942" i="23"/>
  <c r="E4938" i="23"/>
  <c r="E4934" i="23"/>
  <c r="E4930" i="23"/>
  <c r="E4926" i="23"/>
  <c r="E4922" i="23"/>
  <c r="E4918" i="23"/>
  <c r="E4914" i="23"/>
  <c r="E4910" i="23"/>
  <c r="E4906" i="23"/>
  <c r="E4902" i="23"/>
  <c r="E4898" i="23"/>
  <c r="E4894" i="23"/>
  <c r="E4890" i="23"/>
  <c r="E4886" i="23"/>
  <c r="E4882" i="23"/>
  <c r="E4878" i="23"/>
  <c r="E4874" i="23"/>
  <c r="E4870" i="23"/>
  <c r="E4866" i="23"/>
  <c r="E4862" i="23"/>
  <c r="E4858" i="23"/>
  <c r="E4854" i="23"/>
  <c r="E4850" i="23"/>
  <c r="E4846" i="23"/>
  <c r="E4842" i="23"/>
  <c r="E4838" i="23"/>
  <c r="E4834" i="23"/>
  <c r="E4830" i="23"/>
  <c r="E4826" i="23"/>
  <c r="E4822" i="23"/>
  <c r="E4818" i="23"/>
  <c r="E4814" i="23"/>
  <c r="E4810" i="23"/>
  <c r="E4806" i="23"/>
  <c r="E4802" i="23"/>
  <c r="E4798" i="23"/>
  <c r="E4794" i="23"/>
  <c r="E4790" i="23"/>
  <c r="E4786" i="23"/>
  <c r="E4782" i="23"/>
  <c r="E4778" i="23"/>
  <c r="E4774" i="23"/>
  <c r="E4770" i="23"/>
  <c r="E4766" i="23"/>
  <c r="E4762" i="23"/>
  <c r="E4758" i="23"/>
  <c r="E4754" i="23"/>
  <c r="E4750" i="23"/>
  <c r="E4746" i="23"/>
  <c r="E4742" i="23"/>
  <c r="E4738" i="23"/>
  <c r="E4734" i="23"/>
  <c r="E4730" i="23"/>
  <c r="E4726" i="23"/>
  <c r="E4722" i="23"/>
  <c r="E4718" i="23"/>
  <c r="E4714" i="23"/>
  <c r="E4710" i="23"/>
  <c r="E4706" i="23"/>
  <c r="E4702" i="23"/>
  <c r="E4698" i="23"/>
  <c r="E4694" i="23"/>
  <c r="E4690" i="23"/>
  <c r="E4686" i="23"/>
  <c r="E4682" i="23"/>
  <c r="E4678" i="23"/>
  <c r="E4674" i="23"/>
  <c r="E4670" i="23"/>
  <c r="E4666" i="23"/>
  <c r="E4662" i="23"/>
  <c r="E4997" i="23"/>
  <c r="E4981" i="23"/>
  <c r="E4965" i="23"/>
  <c r="E4949" i="23"/>
  <c r="E4933" i="23"/>
  <c r="E4917" i="23"/>
  <c r="E4901" i="23"/>
  <c r="E4885" i="23"/>
  <c r="E4869" i="23"/>
  <c r="E4853" i="23"/>
  <c r="E4837" i="23"/>
  <c r="E4821" i="23"/>
  <c r="E4805" i="23"/>
  <c r="E4789" i="23"/>
  <c r="E4773" i="23"/>
  <c r="E4757" i="23"/>
  <c r="E4741" i="23"/>
  <c r="E4725" i="23"/>
  <c r="E4709" i="23"/>
  <c r="E4693" i="23"/>
  <c r="E4677" i="23"/>
  <c r="E4661" i="23"/>
  <c r="E4657" i="23"/>
  <c r="E4653" i="23"/>
  <c r="E4649" i="23"/>
  <c r="E4645" i="23"/>
  <c r="E4641" i="23"/>
  <c r="E4637" i="23"/>
  <c r="E4633" i="23"/>
  <c r="E4629" i="23"/>
  <c r="E4625" i="23"/>
  <c r="E4621" i="23"/>
  <c r="E4617" i="23"/>
  <c r="E4613" i="23"/>
  <c r="E4609" i="23"/>
  <c r="E4605" i="23"/>
  <c r="E4601" i="23"/>
  <c r="E4597" i="23"/>
  <c r="E4593" i="23"/>
  <c r="E4589" i="23"/>
  <c r="E4585" i="23"/>
  <c r="E4581" i="23"/>
  <c r="E4577" i="23"/>
  <c r="E4573" i="23"/>
  <c r="E4569" i="23"/>
  <c r="E4565" i="23"/>
  <c r="E4561" i="23"/>
  <c r="E4557" i="23"/>
  <c r="E4553" i="23"/>
  <c r="E4549" i="23"/>
  <c r="E4545" i="23"/>
  <c r="E4541" i="23"/>
  <c r="E4537" i="23"/>
  <c r="E4533" i="23"/>
  <c r="E4529" i="23"/>
  <c r="E4525" i="23"/>
  <c r="E4521" i="23"/>
  <c r="E4517" i="23"/>
  <c r="E4513" i="23"/>
  <c r="E4509" i="23"/>
  <c r="E4505" i="23"/>
  <c r="E4501" i="23"/>
  <c r="E4497" i="23"/>
  <c r="E4493" i="23"/>
  <c r="E4489" i="23"/>
  <c r="E4485" i="23"/>
  <c r="E4481" i="23"/>
  <c r="E4477" i="23"/>
  <c r="E4473" i="23"/>
  <c r="E4469" i="23"/>
  <c r="E4465" i="23"/>
  <c r="E4461" i="23"/>
  <c r="E4457" i="23"/>
  <c r="E4453" i="23"/>
  <c r="E4449" i="23"/>
  <c r="E4445" i="23"/>
  <c r="E4441" i="23"/>
  <c r="E4437" i="23"/>
  <c r="E4433" i="23"/>
  <c r="E4429" i="23"/>
  <c r="E4425" i="23"/>
  <c r="E4421" i="23"/>
  <c r="E4417" i="23"/>
  <c r="E4413" i="23"/>
  <c r="E4409" i="23"/>
  <c r="E4405" i="23"/>
  <c r="E4993" i="23"/>
  <c r="E4977" i="23"/>
  <c r="E4961" i="23"/>
  <c r="E4945" i="23"/>
  <c r="E4929" i="23"/>
  <c r="E4913" i="23"/>
  <c r="E4897" i="23"/>
  <c r="E4881" i="23"/>
  <c r="E4865" i="23"/>
  <c r="E4849" i="23"/>
  <c r="E4833" i="23"/>
  <c r="E4817" i="23"/>
  <c r="E4801" i="23"/>
  <c r="E4785" i="23"/>
  <c r="E4769" i="23"/>
  <c r="E4753" i="23"/>
  <c r="E4737" i="23"/>
  <c r="E4721" i="23"/>
  <c r="E4705" i="23"/>
  <c r="E4689" i="23"/>
  <c r="E4673" i="23"/>
  <c r="E4660" i="23"/>
  <c r="E4656" i="23"/>
  <c r="E4652" i="23"/>
  <c r="E4648" i="23"/>
  <c r="E4644" i="23"/>
  <c r="E4640" i="23"/>
  <c r="E4636" i="23"/>
  <c r="E4632" i="23"/>
  <c r="E4628" i="23"/>
  <c r="E4624" i="23"/>
  <c r="E4620" i="23"/>
  <c r="E4616" i="23"/>
  <c r="E4612" i="23"/>
  <c r="E4608" i="23"/>
  <c r="E4604" i="23"/>
  <c r="E4600" i="23"/>
  <c r="E4596" i="23"/>
  <c r="E4592" i="23"/>
  <c r="E4588" i="23"/>
  <c r="E4584" i="23"/>
  <c r="E4580" i="23"/>
  <c r="E4576" i="23"/>
  <c r="E4572" i="23"/>
  <c r="E4568" i="23"/>
  <c r="E4564" i="23"/>
  <c r="E4560" i="23"/>
  <c r="E4556" i="23"/>
  <c r="E4552" i="23"/>
  <c r="E4548" i="23"/>
  <c r="E4544" i="23"/>
  <c r="E4540" i="23"/>
  <c r="E4536" i="23"/>
  <c r="E4532" i="23"/>
  <c r="E4528" i="23"/>
  <c r="E4524" i="23"/>
  <c r="E4520" i="23"/>
  <c r="E4516" i="23"/>
  <c r="E4512" i="23"/>
  <c r="E4508" i="23"/>
  <c r="E4504" i="23"/>
  <c r="E4500" i="23"/>
  <c r="E4496" i="23"/>
  <c r="E4492" i="23"/>
  <c r="E4488" i="23"/>
  <c r="E4484" i="23"/>
  <c r="E4480" i="23"/>
  <c r="E4476" i="23"/>
  <c r="E4472" i="23"/>
  <c r="E4468" i="23"/>
  <c r="E4464" i="23"/>
  <c r="E4460" i="23"/>
  <c r="E4456" i="23"/>
  <c r="E4452" i="23"/>
  <c r="E4448" i="23"/>
  <c r="E4444" i="23"/>
  <c r="E4440" i="23"/>
  <c r="E4436" i="23"/>
  <c r="E4432" i="23"/>
  <c r="E4428" i="23"/>
  <c r="E4424" i="23"/>
  <c r="E4420" i="23"/>
  <c r="E4416" i="23"/>
  <c r="E4412" i="23"/>
  <c r="E4989" i="23"/>
  <c r="E4973" i="23"/>
  <c r="E4957" i="23"/>
  <c r="E4941" i="23"/>
  <c r="E4925" i="23"/>
  <c r="E4909" i="23"/>
  <c r="E4893" i="23"/>
  <c r="E4877" i="23"/>
  <c r="E4861" i="23"/>
  <c r="E4845" i="23"/>
  <c r="E4829" i="23"/>
  <c r="E4813" i="23"/>
  <c r="E4797" i="23"/>
  <c r="E4781" i="23"/>
  <c r="E4765" i="23"/>
  <c r="E4749" i="23"/>
  <c r="E4733" i="23"/>
  <c r="E4717" i="23"/>
  <c r="E4701" i="23"/>
  <c r="E4685" i="23"/>
  <c r="E4669" i="23"/>
  <c r="E4659" i="23"/>
  <c r="E4655" i="23"/>
  <c r="E4651" i="23"/>
  <c r="E4647" i="23"/>
  <c r="E4643" i="23"/>
  <c r="E4639" i="23"/>
  <c r="E4635" i="23"/>
  <c r="E4631" i="23"/>
  <c r="E4627" i="23"/>
  <c r="E4623" i="23"/>
  <c r="E4619" i="23"/>
  <c r="E4615" i="23"/>
  <c r="E4611" i="23"/>
  <c r="E4607" i="23"/>
  <c r="E4603" i="23"/>
  <c r="E4599" i="23"/>
  <c r="E4595" i="23"/>
  <c r="E4591" i="23"/>
  <c r="E4587" i="23"/>
  <c r="E4583" i="23"/>
  <c r="E4579" i="23"/>
  <c r="E4575" i="23"/>
  <c r="E4571" i="23"/>
  <c r="E4567" i="23"/>
  <c r="E4563" i="23"/>
  <c r="E4559" i="23"/>
  <c r="E4555" i="23"/>
  <c r="E4551" i="23"/>
  <c r="E4547" i="23"/>
  <c r="E4543" i="23"/>
  <c r="E4539" i="23"/>
  <c r="E4535" i="23"/>
  <c r="E4531" i="23"/>
  <c r="E4527" i="23"/>
  <c r="E4523" i="23"/>
  <c r="E4519" i="23"/>
  <c r="E4515" i="23"/>
  <c r="E4511" i="23"/>
  <c r="E4507" i="23"/>
  <c r="E4503" i="23"/>
  <c r="E4499" i="23"/>
  <c r="E4495" i="23"/>
  <c r="E4491" i="23"/>
  <c r="E4487" i="23"/>
  <c r="E4483" i="23"/>
  <c r="E4479" i="23"/>
  <c r="E4475" i="23"/>
  <c r="E4471" i="23"/>
  <c r="E4467" i="23"/>
  <c r="E4463" i="23"/>
  <c r="E4459" i="23"/>
  <c r="E4455" i="23"/>
  <c r="E4451" i="23"/>
  <c r="E4447" i="23"/>
  <c r="E4443" i="23"/>
  <c r="E4439" i="23"/>
  <c r="E4435" i="23"/>
  <c r="E4431" i="23"/>
  <c r="E4427" i="23"/>
  <c r="E4423" i="23"/>
  <c r="E4419" i="23"/>
  <c r="E4415" i="23"/>
  <c r="E4411" i="23"/>
  <c r="E4407" i="23"/>
  <c r="E4985" i="23"/>
  <c r="E4921" i="23"/>
  <c r="E4857" i="23"/>
  <c r="E4793" i="23"/>
  <c r="E4729" i="23"/>
  <c r="E4665" i="23"/>
  <c r="E4646" i="23"/>
  <c r="E4630" i="23"/>
  <c r="E4614" i="23"/>
  <c r="E4598" i="23"/>
  <c r="E4582" i="23"/>
  <c r="E4566" i="23"/>
  <c r="E4550" i="23"/>
  <c r="E4534" i="23"/>
  <c r="E4518" i="23"/>
  <c r="E4502" i="23"/>
  <c r="E4486" i="23"/>
  <c r="E4470" i="23"/>
  <c r="E4454" i="23"/>
  <c r="E4438" i="23"/>
  <c r="E4422" i="23"/>
  <c r="E4408" i="23"/>
  <c r="E4402" i="23"/>
  <c r="E4398" i="23"/>
  <c r="E4394" i="23"/>
  <c r="E4390" i="23"/>
  <c r="E4386" i="23"/>
  <c r="E4382" i="23"/>
  <c r="E4378" i="23"/>
  <c r="E4374" i="23"/>
  <c r="E4370" i="23"/>
  <c r="E4366" i="23"/>
  <c r="E4362" i="23"/>
  <c r="E4358" i="23"/>
  <c r="E4354" i="23"/>
  <c r="E4350" i="23"/>
  <c r="E4346" i="23"/>
  <c r="E4342" i="23"/>
  <c r="E4338" i="23"/>
  <c r="E4334" i="23"/>
  <c r="E4330" i="23"/>
  <c r="E4326" i="23"/>
  <c r="E4322" i="23"/>
  <c r="E4318" i="23"/>
  <c r="E4314" i="23"/>
  <c r="E4310" i="23"/>
  <c r="E4306" i="23"/>
  <c r="E4302" i="23"/>
  <c r="E4298" i="23"/>
  <c r="E4294" i="23"/>
  <c r="E4290" i="23"/>
  <c r="E4286" i="23"/>
  <c r="E4282" i="23"/>
  <c r="E4278" i="23"/>
  <c r="E4274" i="23"/>
  <c r="E4270" i="23"/>
  <c r="E4266" i="23"/>
  <c r="E4262" i="23"/>
  <c r="E4258" i="23"/>
  <c r="E4254" i="23"/>
  <c r="E4250" i="23"/>
  <c r="E4246" i="23"/>
  <c r="E4242" i="23"/>
  <c r="E4238" i="23"/>
  <c r="E4234" i="23"/>
  <c r="E4230" i="23"/>
  <c r="E4226" i="23"/>
  <c r="E4222" i="23"/>
  <c r="E4218" i="23"/>
  <c r="E4214" i="23"/>
  <c r="E4210" i="23"/>
  <c r="E4206" i="23"/>
  <c r="E4202" i="23"/>
  <c r="E4198" i="23"/>
  <c r="E4194" i="23"/>
  <c r="E4190" i="23"/>
  <c r="E4186" i="23"/>
  <c r="E4182" i="23"/>
  <c r="E4178" i="23"/>
  <c r="E4174" i="23"/>
  <c r="E4170" i="23"/>
  <c r="E4166" i="23"/>
  <c r="E4162" i="23"/>
  <c r="E4158" i="23"/>
  <c r="E4154" i="23"/>
  <c r="E4150" i="23"/>
  <c r="E4146" i="23"/>
  <c r="E4142" i="23"/>
  <c r="E4138" i="23"/>
  <c r="E4134" i="23"/>
  <c r="E4130" i="23"/>
  <c r="E4126" i="23"/>
  <c r="E4122" i="23"/>
  <c r="E4118" i="23"/>
  <c r="E4114" i="23"/>
  <c r="E4110" i="23"/>
  <c r="E4106" i="23"/>
  <c r="E4102" i="23"/>
  <c r="E4098" i="23"/>
  <c r="E4094" i="23"/>
  <c r="E4090" i="23"/>
  <c r="E4086" i="23"/>
  <c r="E4082" i="23"/>
  <c r="E4078" i="23"/>
  <c r="E4074" i="23"/>
  <c r="E4070" i="23"/>
  <c r="E4066" i="23"/>
  <c r="E4062" i="23"/>
  <c r="E4969" i="23"/>
  <c r="E4905" i="23"/>
  <c r="E4841" i="23"/>
  <c r="E4777" i="23"/>
  <c r="E4713" i="23"/>
  <c r="E4658" i="23"/>
  <c r="E4642" i="23"/>
  <c r="E4626" i="23"/>
  <c r="E4610" i="23"/>
  <c r="E4594" i="23"/>
  <c r="E4578" i="23"/>
  <c r="E4562" i="23"/>
  <c r="E4546" i="23"/>
  <c r="E4530" i="23"/>
  <c r="E4514" i="23"/>
  <c r="E4498" i="23"/>
  <c r="E4482" i="23"/>
  <c r="E4466" i="23"/>
  <c r="E4450" i="23"/>
  <c r="E4434" i="23"/>
  <c r="E4418" i="23"/>
  <c r="E4406" i="23"/>
  <c r="E4401" i="23"/>
  <c r="E4397" i="23"/>
  <c r="E4393" i="23"/>
  <c r="E4389" i="23"/>
  <c r="E4385" i="23"/>
  <c r="E4381" i="23"/>
  <c r="E4377" i="23"/>
  <c r="E4373" i="23"/>
  <c r="E4369" i="23"/>
  <c r="E4365" i="23"/>
  <c r="E4361" i="23"/>
  <c r="E4357" i="23"/>
  <c r="E4353" i="23"/>
  <c r="E4349" i="23"/>
  <c r="E4345" i="23"/>
  <c r="E4341" i="23"/>
  <c r="E4337" i="23"/>
  <c r="E4333" i="23"/>
  <c r="E4329" i="23"/>
  <c r="E4325" i="23"/>
  <c r="E4321" i="23"/>
  <c r="E4317" i="23"/>
  <c r="E4313" i="23"/>
  <c r="E4309" i="23"/>
  <c r="E4305" i="23"/>
  <c r="E4301" i="23"/>
  <c r="E4297" i="23"/>
  <c r="E4293" i="23"/>
  <c r="E4289" i="23"/>
  <c r="E4285" i="23"/>
  <c r="E4281" i="23"/>
  <c r="E4277" i="23"/>
  <c r="E4273" i="23"/>
  <c r="E4269" i="23"/>
  <c r="E4265" i="23"/>
  <c r="E4261" i="23"/>
  <c r="E4257" i="23"/>
  <c r="E4253" i="23"/>
  <c r="E4249" i="23"/>
  <c r="E4245" i="23"/>
  <c r="E4241" i="23"/>
  <c r="E4237" i="23"/>
  <c r="E4233" i="23"/>
  <c r="E4229" i="23"/>
  <c r="E4225" i="23"/>
  <c r="E4221" i="23"/>
  <c r="E4217" i="23"/>
  <c r="E4213" i="23"/>
  <c r="E4209" i="23"/>
  <c r="E4205" i="23"/>
  <c r="E4201" i="23"/>
  <c r="E4197" i="23"/>
  <c r="E4193" i="23"/>
  <c r="E4189" i="23"/>
  <c r="E4185" i="23"/>
  <c r="E4181" i="23"/>
  <c r="E4177" i="23"/>
  <c r="E4173" i="23"/>
  <c r="E4169" i="23"/>
  <c r="E4165" i="23"/>
  <c r="E4161" i="23"/>
  <c r="E4157" i="23"/>
  <c r="E4153" i="23"/>
  <c r="E4953" i="23"/>
  <c r="E4889" i="23"/>
  <c r="E4825" i="23"/>
  <c r="E4761" i="23"/>
  <c r="E4697" i="23"/>
  <c r="E4654" i="23"/>
  <c r="E4638" i="23"/>
  <c r="E4622" i="23"/>
  <c r="E4606" i="23"/>
  <c r="E4590" i="23"/>
  <c r="E4574" i="23"/>
  <c r="E4558" i="23"/>
  <c r="E4542" i="23"/>
  <c r="E4526" i="23"/>
  <c r="E4510" i="23"/>
  <c r="E4494" i="23"/>
  <c r="E4478" i="23"/>
  <c r="E4462" i="23"/>
  <c r="E4446" i="23"/>
  <c r="E4430" i="23"/>
  <c r="E4414" i="23"/>
  <c r="E4404" i="23"/>
  <c r="E4400" i="23"/>
  <c r="E4396" i="23"/>
  <c r="E4392" i="23"/>
  <c r="E4388" i="23"/>
  <c r="E4384" i="23"/>
  <c r="E4380" i="23"/>
  <c r="E4376" i="23"/>
  <c r="E4372" i="23"/>
  <c r="E4368" i="23"/>
  <c r="E4364" i="23"/>
  <c r="E4360" i="23"/>
  <c r="E4356" i="23"/>
  <c r="E4352" i="23"/>
  <c r="E4348" i="23"/>
  <c r="E4344" i="23"/>
  <c r="E4340" i="23"/>
  <c r="E4336" i="23"/>
  <c r="E4332" i="23"/>
  <c r="E4328" i="23"/>
  <c r="E4324" i="23"/>
  <c r="E4320" i="23"/>
  <c r="E4316" i="23"/>
  <c r="E4312" i="23"/>
  <c r="E4308" i="23"/>
  <c r="E4304" i="23"/>
  <c r="E4300" i="23"/>
  <c r="E4296" i="23"/>
  <c r="E4292" i="23"/>
  <c r="E4288" i="23"/>
  <c r="E4284" i="23"/>
  <c r="E4280" i="23"/>
  <c r="E4276" i="23"/>
  <c r="E4272" i="23"/>
  <c r="E4268" i="23"/>
  <c r="E4264" i="23"/>
  <c r="E4260" i="23"/>
  <c r="E4256" i="23"/>
  <c r="E4252" i="23"/>
  <c r="E4248" i="23"/>
  <c r="E4244" i="23"/>
  <c r="E4240" i="23"/>
  <c r="E4236" i="23"/>
  <c r="E4232" i="23"/>
  <c r="E4228" i="23"/>
  <c r="E4224" i="23"/>
  <c r="E4220" i="23"/>
  <c r="E4216" i="23"/>
  <c r="E4212" i="23"/>
  <c r="E4208" i="23"/>
  <c r="E4204" i="23"/>
  <c r="E4200" i="23"/>
  <c r="E4196" i="23"/>
  <c r="E4192" i="23"/>
  <c r="E4188" i="23"/>
  <c r="E4184" i="23"/>
  <c r="E4180" i="23"/>
  <c r="E4176" i="23"/>
  <c r="E4172" i="23"/>
  <c r="E4168" i="23"/>
  <c r="E4164" i="23"/>
  <c r="E4160" i="23"/>
  <c r="E4156" i="23"/>
  <c r="E4152" i="23"/>
  <c r="E4148" i="23"/>
  <c r="E4144" i="23"/>
  <c r="E4140" i="23"/>
  <c r="E4136" i="23"/>
  <c r="E4132" i="23"/>
  <c r="E4128" i="23"/>
  <c r="E4124" i="23"/>
  <c r="E4120" i="23"/>
  <c r="E4116" i="23"/>
  <c r="E4112" i="23"/>
  <c r="E4108" i="23"/>
  <c r="E4104" i="23"/>
  <c r="E4100" i="23"/>
  <c r="E4096" i="23"/>
  <c r="E4092" i="23"/>
  <c r="E4088" i="23"/>
  <c r="E4084" i="23"/>
  <c r="E4080" i="23"/>
  <c r="E4076" i="23"/>
  <c r="E4072" i="23"/>
  <c r="E4068" i="23"/>
  <c r="E4064" i="23"/>
  <c r="E4060" i="23"/>
  <c r="E4937" i="23"/>
  <c r="E4681" i="23"/>
  <c r="E4602" i="23"/>
  <c r="E4538" i="23"/>
  <c r="E4474" i="23"/>
  <c r="E4410" i="23"/>
  <c r="E4391" i="23"/>
  <c r="E4375" i="23"/>
  <c r="E4359" i="23"/>
  <c r="E4343" i="23"/>
  <c r="E4327" i="23"/>
  <c r="E4311" i="23"/>
  <c r="E4295" i="23"/>
  <c r="E4279" i="23"/>
  <c r="E4263" i="23"/>
  <c r="E4247" i="23"/>
  <c r="E4231" i="23"/>
  <c r="E4215" i="23"/>
  <c r="E4199" i="23"/>
  <c r="E4183" i="23"/>
  <c r="E4167" i="23"/>
  <c r="E4151" i="23"/>
  <c r="E4143" i="23"/>
  <c r="E4135" i="23"/>
  <c r="E4127" i="23"/>
  <c r="E4119" i="23"/>
  <c r="E4111" i="23"/>
  <c r="E4103" i="23"/>
  <c r="E4095" i="23"/>
  <c r="E4087" i="23"/>
  <c r="E4079" i="23"/>
  <c r="E4071" i="23"/>
  <c r="E4063" i="23"/>
  <c r="E4057" i="23"/>
  <c r="E4053" i="23"/>
  <c r="E4049" i="23"/>
  <c r="E4045" i="23"/>
  <c r="E4041" i="23"/>
  <c r="E4037" i="23"/>
  <c r="E4033" i="23"/>
  <c r="E4029" i="23"/>
  <c r="E4025" i="23"/>
  <c r="E4021" i="23"/>
  <c r="E4017" i="23"/>
  <c r="E4013" i="23"/>
  <c r="E4009" i="23"/>
  <c r="E4005" i="23"/>
  <c r="E4001" i="23"/>
  <c r="E3997" i="23"/>
  <c r="E3993" i="23"/>
  <c r="E3989" i="23"/>
  <c r="E3985" i="23"/>
  <c r="E3981" i="23"/>
  <c r="E3977" i="23"/>
  <c r="E3973" i="23"/>
  <c r="E3969" i="23"/>
  <c r="E3965" i="23"/>
  <c r="E3961" i="23"/>
  <c r="E3957" i="23"/>
  <c r="E3953" i="23"/>
  <c r="E3949" i="23"/>
  <c r="E3945" i="23"/>
  <c r="E3941" i="23"/>
  <c r="E3937" i="23"/>
  <c r="E3933" i="23"/>
  <c r="E3929" i="23"/>
  <c r="E3925" i="23"/>
  <c r="E3921" i="23"/>
  <c r="E3917" i="23"/>
  <c r="E3913" i="23"/>
  <c r="E3909" i="23"/>
  <c r="E3905" i="23"/>
  <c r="E3901" i="23"/>
  <c r="E3897" i="23"/>
  <c r="E3893" i="23"/>
  <c r="E3889" i="23"/>
  <c r="E3885" i="23"/>
  <c r="E3881" i="23"/>
  <c r="E3877" i="23"/>
  <c r="E3873" i="23"/>
  <c r="E3869" i="23"/>
  <c r="E3865" i="23"/>
  <c r="E3861" i="23"/>
  <c r="E3857" i="23"/>
  <c r="E3853" i="23"/>
  <c r="E3849" i="23"/>
  <c r="E3845" i="23"/>
  <c r="E3841" i="23"/>
  <c r="E3837" i="23"/>
  <c r="E3833" i="23"/>
  <c r="E3829" i="23"/>
  <c r="E3825" i="23"/>
  <c r="E3821" i="23"/>
  <c r="E3817" i="23"/>
  <c r="E3813" i="23"/>
  <c r="E3809" i="23"/>
  <c r="E3805" i="23"/>
  <c r="E3801" i="23"/>
  <c r="E3797" i="23"/>
  <c r="E3793" i="23"/>
  <c r="E3789" i="23"/>
  <c r="E3785" i="23"/>
  <c r="E3781" i="23"/>
  <c r="E3777" i="23"/>
  <c r="E3773" i="23"/>
  <c r="E3769" i="23"/>
  <c r="E3765" i="23"/>
  <c r="E3761" i="23"/>
  <c r="E3757" i="23"/>
  <c r="E3753" i="23"/>
  <c r="E3749" i="23"/>
  <c r="E3745" i="23"/>
  <c r="E3741" i="23"/>
  <c r="E3737" i="23"/>
  <c r="E3733" i="23"/>
  <c r="E3729" i="23"/>
  <c r="E3725" i="23"/>
  <c r="E3721" i="23"/>
  <c r="E3717" i="23"/>
  <c r="E3713" i="23"/>
  <c r="E3709" i="23"/>
  <c r="E3705" i="23"/>
  <c r="E3701" i="23"/>
  <c r="E3697" i="23"/>
  <c r="E3693" i="23"/>
  <c r="E3689" i="23"/>
  <c r="E3685" i="23"/>
  <c r="E3681" i="23"/>
  <c r="E3677" i="23"/>
  <c r="E3673" i="23"/>
  <c r="E3669" i="23"/>
  <c r="E3665" i="23"/>
  <c r="E3661" i="23"/>
  <c r="E3657" i="23"/>
  <c r="E3653" i="23"/>
  <c r="E3649" i="23"/>
  <c r="E3645" i="23"/>
  <c r="E3641" i="23"/>
  <c r="E3637" i="23"/>
  <c r="E3633" i="23"/>
  <c r="E3629" i="23"/>
  <c r="E3625" i="23"/>
  <c r="E3621" i="23"/>
  <c r="E3617" i="23"/>
  <c r="E3613" i="23"/>
  <c r="E3609" i="23"/>
  <c r="E3605" i="23"/>
  <c r="E3601" i="23"/>
  <c r="E3597" i="23"/>
  <c r="E3593" i="23"/>
  <c r="E3589" i="23"/>
  <c r="E3585" i="23"/>
  <c r="E3581" i="23"/>
  <c r="E3577" i="23"/>
  <c r="E3573" i="23"/>
  <c r="E3569" i="23"/>
  <c r="E3565" i="23"/>
  <c r="E3561" i="23"/>
  <c r="E3557" i="23"/>
  <c r="E3553" i="23"/>
  <c r="E3549" i="23"/>
  <c r="E3545" i="23"/>
  <c r="E3541" i="23"/>
  <c r="E3537" i="23"/>
  <c r="E3533" i="23"/>
  <c r="E3529" i="23"/>
  <c r="E3525" i="23"/>
  <c r="E3521" i="23"/>
  <c r="E3517" i="23"/>
  <c r="E3513" i="23"/>
  <c r="E4873" i="23"/>
  <c r="E4650" i="23"/>
  <c r="E4586" i="23"/>
  <c r="E4522" i="23"/>
  <c r="E4458" i="23"/>
  <c r="E4403" i="23"/>
  <c r="E4387" i="23"/>
  <c r="E4371" i="23"/>
  <c r="E4355" i="23"/>
  <c r="E4339" i="23"/>
  <c r="E4323" i="23"/>
  <c r="E4307" i="23"/>
  <c r="E4291" i="23"/>
  <c r="E4275" i="23"/>
  <c r="E4259" i="23"/>
  <c r="E4243" i="23"/>
  <c r="E4227" i="23"/>
  <c r="E4211" i="23"/>
  <c r="E4195" i="23"/>
  <c r="E4179" i="23"/>
  <c r="E4163" i="23"/>
  <c r="E4149" i="23"/>
  <c r="E4141" i="23"/>
  <c r="E4133" i="23"/>
  <c r="E4125" i="23"/>
  <c r="E4117" i="23"/>
  <c r="E4109" i="23"/>
  <c r="E4101" i="23"/>
  <c r="E4093" i="23"/>
  <c r="E4085" i="23"/>
  <c r="E4077" i="23"/>
  <c r="E4069" i="23"/>
  <c r="E4061" i="23"/>
  <c r="E4056" i="23"/>
  <c r="E4052" i="23"/>
  <c r="E4048" i="23"/>
  <c r="E4044" i="23"/>
  <c r="E4040" i="23"/>
  <c r="E4036" i="23"/>
  <c r="E4032" i="23"/>
  <c r="E4028" i="23"/>
  <c r="E4024" i="23"/>
  <c r="E4020" i="23"/>
  <c r="E4016" i="23"/>
  <c r="E4012" i="23"/>
  <c r="E4008" i="23"/>
  <c r="E4004" i="23"/>
  <c r="E4000" i="23"/>
  <c r="E3996" i="23"/>
  <c r="E3992" i="23"/>
  <c r="E3988" i="23"/>
  <c r="E3984" i="23"/>
  <c r="E3980" i="23"/>
  <c r="E3976" i="23"/>
  <c r="E3972" i="23"/>
  <c r="E3968" i="23"/>
  <c r="E3964" i="23"/>
  <c r="E3960" i="23"/>
  <c r="E3956" i="23"/>
  <c r="E3952" i="23"/>
  <c r="E3948" i="23"/>
  <c r="E3944" i="23"/>
  <c r="E3940" i="23"/>
  <c r="E3936" i="23"/>
  <c r="E3932" i="23"/>
  <c r="E3928" i="23"/>
  <c r="E3924" i="23"/>
  <c r="E3920" i="23"/>
  <c r="E3916" i="23"/>
  <c r="E3912" i="23"/>
  <c r="E3908" i="23"/>
  <c r="E3904" i="23"/>
  <c r="E3900" i="23"/>
  <c r="E3896" i="23"/>
  <c r="E3892" i="23"/>
  <c r="E3888" i="23"/>
  <c r="E3884" i="23"/>
  <c r="E3880" i="23"/>
  <c r="E3876" i="23"/>
  <c r="E3872" i="23"/>
  <c r="E3868" i="23"/>
  <c r="E3864" i="23"/>
  <c r="E3860" i="23"/>
  <c r="E3856" i="23"/>
  <c r="E3852" i="23"/>
  <c r="E3848" i="23"/>
  <c r="E3844" i="23"/>
  <c r="E3840" i="23"/>
  <c r="E3836" i="23"/>
  <c r="E3832" i="23"/>
  <c r="E3828" i="23"/>
  <c r="E3824" i="23"/>
  <c r="E3820" i="23"/>
  <c r="E3816" i="23"/>
  <c r="E3812" i="23"/>
  <c r="E3808" i="23"/>
  <c r="E3804" i="23"/>
  <c r="E3800" i="23"/>
  <c r="E3796" i="23"/>
  <c r="E3792" i="23"/>
  <c r="E3788" i="23"/>
  <c r="E3784" i="23"/>
  <c r="E3780" i="23"/>
  <c r="E3776" i="23"/>
  <c r="E3772" i="23"/>
  <c r="E3768" i="23"/>
  <c r="E3764" i="23"/>
  <c r="E3760" i="23"/>
  <c r="E3756" i="23"/>
  <c r="E3752" i="23"/>
  <c r="E3748" i="23"/>
  <c r="E3744" i="23"/>
  <c r="E3740" i="23"/>
  <c r="E3736" i="23"/>
  <c r="E3732" i="23"/>
  <c r="E3728" i="23"/>
  <c r="E3724" i="23"/>
  <c r="E3720" i="23"/>
  <c r="E3716" i="23"/>
  <c r="E3712" i="23"/>
  <c r="E3708" i="23"/>
  <c r="E3704" i="23"/>
  <c r="E3700" i="23"/>
  <c r="E3696" i="23"/>
  <c r="E3692" i="23"/>
  <c r="E3688" i="23"/>
  <c r="E3684" i="23"/>
  <c r="E3680" i="23"/>
  <c r="E3676" i="23"/>
  <c r="E3672" i="23"/>
  <c r="E3668" i="23"/>
  <c r="E3664" i="23"/>
  <c r="E3660" i="23"/>
  <c r="E3656" i="23"/>
  <c r="E3652" i="23"/>
  <c r="E3648" i="23"/>
  <c r="E3644" i="23"/>
  <c r="E3640" i="23"/>
  <c r="E3636" i="23"/>
  <c r="E3632" i="23"/>
  <c r="E3628" i="23"/>
  <c r="E3624" i="23"/>
  <c r="E3620" i="23"/>
  <c r="E3616" i="23"/>
  <c r="E3612" i="23"/>
  <c r="E3608" i="23"/>
  <c r="E3604" i="23"/>
  <c r="E3600" i="23"/>
  <c r="E3596" i="23"/>
  <c r="E3592" i="23"/>
  <c r="E3588" i="23"/>
  <c r="E3584" i="23"/>
  <c r="E3580" i="23"/>
  <c r="E3576" i="23"/>
  <c r="E3572" i="23"/>
  <c r="E3568" i="23"/>
  <c r="E3564" i="23"/>
  <c r="E3560" i="23"/>
  <c r="E3556" i="23"/>
  <c r="E3552" i="23"/>
  <c r="E3548" i="23"/>
  <c r="E3544" i="23"/>
  <c r="E3540" i="23"/>
  <c r="E3536" i="23"/>
  <c r="E3532" i="23"/>
  <c r="E3528" i="23"/>
  <c r="E3524" i="23"/>
  <c r="E3520" i="23"/>
  <c r="E3516" i="23"/>
  <c r="E3512" i="23"/>
  <c r="E4809" i="23"/>
  <c r="E4634" i="23"/>
  <c r="E4570" i="23"/>
  <c r="E4506" i="23"/>
  <c r="E4442" i="23"/>
  <c r="E4399" i="23"/>
  <c r="E4383" i="23"/>
  <c r="E4367" i="23"/>
  <c r="E4351" i="23"/>
  <c r="E4335" i="23"/>
  <c r="E4319" i="23"/>
  <c r="E4303" i="23"/>
  <c r="E4287" i="23"/>
  <c r="E4271" i="23"/>
  <c r="E4255" i="23"/>
  <c r="E4239" i="23"/>
  <c r="E4223" i="23"/>
  <c r="E4207" i="23"/>
  <c r="E4191" i="23"/>
  <c r="E4175" i="23"/>
  <c r="E4159" i="23"/>
  <c r="E4147" i="23"/>
  <c r="E4139" i="23"/>
  <c r="E4131" i="23"/>
  <c r="E4123" i="23"/>
  <c r="E4115" i="23"/>
  <c r="E4107" i="23"/>
  <c r="E4099" i="23"/>
  <c r="E4091" i="23"/>
  <c r="E4083" i="23"/>
  <c r="E4075" i="23"/>
  <c r="E4067" i="23"/>
  <c r="E4059" i="23"/>
  <c r="E4055" i="23"/>
  <c r="E4051" i="23"/>
  <c r="E4047" i="23"/>
  <c r="E4043" i="23"/>
  <c r="E4039" i="23"/>
  <c r="E4035" i="23"/>
  <c r="E4031" i="23"/>
  <c r="E4027" i="23"/>
  <c r="E4023" i="23"/>
  <c r="E4019" i="23"/>
  <c r="E4015" i="23"/>
  <c r="E4011" i="23"/>
  <c r="E4007" i="23"/>
  <c r="E4003" i="23"/>
  <c r="E3999" i="23"/>
  <c r="E3995" i="23"/>
  <c r="E3991" i="23"/>
  <c r="E3987" i="23"/>
  <c r="E3983" i="23"/>
  <c r="E3979" i="23"/>
  <c r="E3975" i="23"/>
  <c r="E3971" i="23"/>
  <c r="E3967" i="23"/>
  <c r="E3963" i="23"/>
  <c r="E3959" i="23"/>
  <c r="E3955" i="23"/>
  <c r="E3951" i="23"/>
  <c r="E3947" i="23"/>
  <c r="E3943" i="23"/>
  <c r="E3939" i="23"/>
  <c r="E3935" i="23"/>
  <c r="E3931" i="23"/>
  <c r="E3927" i="23"/>
  <c r="E3923" i="23"/>
  <c r="E3919" i="23"/>
  <c r="E3915" i="23"/>
  <c r="E3911" i="23"/>
  <c r="E3907" i="23"/>
  <c r="E3903" i="23"/>
  <c r="E3899" i="23"/>
  <c r="E3895" i="23"/>
  <c r="E3891" i="23"/>
  <c r="E3887" i="23"/>
  <c r="E3883" i="23"/>
  <c r="E3879" i="23"/>
  <c r="E3875" i="23"/>
  <c r="E3871" i="23"/>
  <c r="E3867" i="23"/>
  <c r="E3863" i="23"/>
  <c r="E3859" i="23"/>
  <c r="E3855" i="23"/>
  <c r="E3851" i="23"/>
  <c r="E3847" i="23"/>
  <c r="E3843" i="23"/>
  <c r="E3839" i="23"/>
  <c r="E3835" i="23"/>
  <c r="E3831" i="23"/>
  <c r="E3827" i="23"/>
  <c r="E3823" i="23"/>
  <c r="E3819" i="23"/>
  <c r="E3815" i="23"/>
  <c r="E3811" i="23"/>
  <c r="E3807" i="23"/>
  <c r="E3803" i="23"/>
  <c r="E3799" i="23"/>
  <c r="E3795" i="23"/>
  <c r="E3791" i="23"/>
  <c r="E3787" i="23"/>
  <c r="E3783" i="23"/>
  <c r="E3779" i="23"/>
  <c r="E3775" i="23"/>
  <c r="E3771" i="23"/>
  <c r="E3767" i="23"/>
  <c r="E3763" i="23"/>
  <c r="E3759" i="23"/>
  <c r="E3755" i="23"/>
  <c r="E3751" i="23"/>
  <c r="E3747" i="23"/>
  <c r="E3743" i="23"/>
  <c r="E3739" i="23"/>
  <c r="E3735" i="23"/>
  <c r="E3731" i="23"/>
  <c r="E3727" i="23"/>
  <c r="E3723" i="23"/>
  <c r="E3719" i="23"/>
  <c r="E3715" i="23"/>
  <c r="E3711" i="23"/>
  <c r="E3707" i="23"/>
  <c r="E3703" i="23"/>
  <c r="E3699" i="23"/>
  <c r="E3695" i="23"/>
  <c r="E3691" i="23"/>
  <c r="E3687" i="23"/>
  <c r="E3683" i="23"/>
  <c r="E3679" i="23"/>
  <c r="E3675" i="23"/>
  <c r="E3671" i="23"/>
  <c r="E3667" i="23"/>
  <c r="E3663" i="23"/>
  <c r="E3659" i="23"/>
  <c r="E3655" i="23"/>
  <c r="E3651" i="23"/>
  <c r="E3647" i="23"/>
  <c r="E3643" i="23"/>
  <c r="E3639" i="23"/>
  <c r="E3635" i="23"/>
  <c r="E3631" i="23"/>
  <c r="E3627" i="23"/>
  <c r="E3623" i="23"/>
  <c r="E3619" i="23"/>
  <c r="E3615" i="23"/>
  <c r="E3611" i="23"/>
  <c r="E3607" i="23"/>
  <c r="E3603" i="23"/>
  <c r="E3599" i="23"/>
  <c r="E3595" i="23"/>
  <c r="E3591" i="23"/>
  <c r="E3587" i="23"/>
  <c r="E3583" i="23"/>
  <c r="E3579" i="23"/>
  <c r="E3575" i="23"/>
  <c r="E3571" i="23"/>
  <c r="E3567" i="23"/>
  <c r="E3563" i="23"/>
  <c r="E3559" i="23"/>
  <c r="E3555" i="23"/>
  <c r="E3551" i="23"/>
  <c r="E3547" i="23"/>
  <c r="E3543" i="23"/>
  <c r="E3539" i="23"/>
  <c r="E3535" i="23"/>
  <c r="E3531" i="23"/>
  <c r="E3527" i="23"/>
  <c r="E3523" i="23"/>
  <c r="E3519" i="23"/>
  <c r="E3515" i="23"/>
  <c r="E4745" i="23"/>
  <c r="E4426" i="23"/>
  <c r="E4347" i="23"/>
  <c r="E4283" i="23"/>
  <c r="E4219" i="23"/>
  <c r="E4155" i="23"/>
  <c r="E4121" i="23"/>
  <c r="E4089" i="23"/>
  <c r="E4058" i="23"/>
  <c r="E4042" i="23"/>
  <c r="E4026" i="23"/>
  <c r="E4010" i="23"/>
  <c r="E3994" i="23"/>
  <c r="E3978" i="23"/>
  <c r="E3962" i="23"/>
  <c r="E3946" i="23"/>
  <c r="E3930" i="23"/>
  <c r="E3914" i="23"/>
  <c r="E3898" i="23"/>
  <c r="E3882" i="23"/>
  <c r="E3866" i="23"/>
  <c r="E3850" i="23"/>
  <c r="E3834" i="23"/>
  <c r="E3818" i="23"/>
  <c r="E3802" i="23"/>
  <c r="E3786" i="23"/>
  <c r="E3770" i="23"/>
  <c r="E3754" i="23"/>
  <c r="E3738" i="23"/>
  <c r="E3722" i="23"/>
  <c r="E3706" i="23"/>
  <c r="E3690" i="23"/>
  <c r="E3674" i="23"/>
  <c r="E3658" i="23"/>
  <c r="E3642" i="23"/>
  <c r="E3626" i="23"/>
  <c r="E3610" i="23"/>
  <c r="E3594" i="23"/>
  <c r="E3578" i="23"/>
  <c r="E3562" i="23"/>
  <c r="E3546" i="23"/>
  <c r="E3530" i="23"/>
  <c r="E3514" i="23"/>
  <c r="E3508" i="23"/>
  <c r="E3504" i="23"/>
  <c r="E3500" i="23"/>
  <c r="E3496" i="23"/>
  <c r="E3492" i="23"/>
  <c r="E3488" i="23"/>
  <c r="E3484" i="23"/>
  <c r="E3480" i="23"/>
  <c r="E3476" i="23"/>
  <c r="E3472" i="23"/>
  <c r="E3468" i="23"/>
  <c r="E3464" i="23"/>
  <c r="E3460" i="23"/>
  <c r="E3456" i="23"/>
  <c r="E3452" i="23"/>
  <c r="E3448" i="23"/>
  <c r="E3444" i="23"/>
  <c r="E3440" i="23"/>
  <c r="E3436" i="23"/>
  <c r="E3432" i="23"/>
  <c r="E3428" i="23"/>
  <c r="E3424" i="23"/>
  <c r="E3420" i="23"/>
  <c r="E3416" i="23"/>
  <c r="E3412" i="23"/>
  <c r="E3408" i="23"/>
  <c r="E3404" i="23"/>
  <c r="E3400" i="23"/>
  <c r="E3396" i="23"/>
  <c r="E3392" i="23"/>
  <c r="E3388" i="23"/>
  <c r="E3384" i="23"/>
  <c r="E3380" i="23"/>
  <c r="E3376" i="23"/>
  <c r="E3372" i="23"/>
  <c r="E3368" i="23"/>
  <c r="E3364" i="23"/>
  <c r="E3360" i="23"/>
  <c r="E3356" i="23"/>
  <c r="E3352" i="23"/>
  <c r="E3348" i="23"/>
  <c r="E3344" i="23"/>
  <c r="E3340" i="23"/>
  <c r="E3336" i="23"/>
  <c r="E3332" i="23"/>
  <c r="E3328" i="23"/>
  <c r="E3324" i="23"/>
  <c r="E3320" i="23"/>
  <c r="E3316" i="23"/>
  <c r="E3312" i="23"/>
  <c r="E3308" i="23"/>
  <c r="E3304" i="23"/>
  <c r="E3300" i="23"/>
  <c r="E3296" i="23"/>
  <c r="E3292" i="23"/>
  <c r="E3288" i="23"/>
  <c r="E3284" i="23"/>
  <c r="E3280" i="23"/>
  <c r="E3276" i="23"/>
  <c r="E3272" i="23"/>
  <c r="E3268" i="23"/>
  <c r="E3264" i="23"/>
  <c r="E3260" i="23"/>
  <c r="E3256" i="23"/>
  <c r="E3252" i="23"/>
  <c r="E3248" i="23"/>
  <c r="E3244" i="23"/>
  <c r="E3240" i="23"/>
  <c r="E3236" i="23"/>
  <c r="E3232" i="23"/>
  <c r="E3228" i="23"/>
  <c r="E3224" i="23"/>
  <c r="E3220" i="23"/>
  <c r="E3216" i="23"/>
  <c r="E3212" i="23"/>
  <c r="E3208" i="23"/>
  <c r="E3204" i="23"/>
  <c r="E3200" i="23"/>
  <c r="E3196" i="23"/>
  <c r="E3192" i="23"/>
  <c r="E3188" i="23"/>
  <c r="E3184" i="23"/>
  <c r="E3180" i="23"/>
  <c r="E3176" i="23"/>
  <c r="E3172" i="23"/>
  <c r="E3168" i="23"/>
  <c r="E3164" i="23"/>
  <c r="E3160" i="23"/>
  <c r="E3156" i="23"/>
  <c r="E3152" i="23"/>
  <c r="E3148" i="23"/>
  <c r="E3144" i="23"/>
  <c r="E3140" i="23"/>
  <c r="E3136" i="23"/>
  <c r="E3132" i="23"/>
  <c r="E3128" i="23"/>
  <c r="E3124" i="23"/>
  <c r="E3120" i="23"/>
  <c r="E3116" i="23"/>
  <c r="E3112" i="23"/>
  <c r="E3108" i="23"/>
  <c r="E3104" i="23"/>
  <c r="E3100" i="23"/>
  <c r="E3096" i="23"/>
  <c r="E3092" i="23"/>
  <c r="E3088" i="23"/>
  <c r="E3084" i="23"/>
  <c r="E3080" i="23"/>
  <c r="E3076" i="23"/>
  <c r="E3072" i="23"/>
  <c r="E3068" i="23"/>
  <c r="E3064" i="23"/>
  <c r="E3060" i="23"/>
  <c r="E3056" i="23"/>
  <c r="E3052" i="23"/>
  <c r="E3048" i="23"/>
  <c r="E3044" i="23"/>
  <c r="E3040" i="23"/>
  <c r="E3036" i="23"/>
  <c r="E3032" i="23"/>
  <c r="E3028" i="23"/>
  <c r="E3024" i="23"/>
  <c r="E3020" i="23"/>
  <c r="E3016" i="23"/>
  <c r="E3012" i="23"/>
  <c r="E3008" i="23"/>
  <c r="E3004" i="23"/>
  <c r="E4618" i="23"/>
  <c r="E4395" i="23"/>
  <c r="E4331" i="23"/>
  <c r="E4267" i="23"/>
  <c r="E4203" i="23"/>
  <c r="E4145" i="23"/>
  <c r="E4113" i="23"/>
  <c r="E4081" i="23"/>
  <c r="E4054" i="23"/>
  <c r="E4038" i="23"/>
  <c r="E4022" i="23"/>
  <c r="E4006" i="23"/>
  <c r="E3990" i="23"/>
  <c r="E3974" i="23"/>
  <c r="E3958" i="23"/>
  <c r="E3942" i="23"/>
  <c r="E3926" i="23"/>
  <c r="E3910" i="23"/>
  <c r="E3894" i="23"/>
  <c r="E3878" i="23"/>
  <c r="E3862" i="23"/>
  <c r="E3846" i="23"/>
  <c r="E3830" i="23"/>
  <c r="E3814" i="23"/>
  <c r="E3798" i="23"/>
  <c r="E3782" i="23"/>
  <c r="E3766" i="23"/>
  <c r="E3750" i="23"/>
  <c r="E3734" i="23"/>
  <c r="E3718" i="23"/>
  <c r="E3702" i="23"/>
  <c r="E3686" i="23"/>
  <c r="E3670" i="23"/>
  <c r="E3654" i="23"/>
  <c r="E3638" i="23"/>
  <c r="E3622" i="23"/>
  <c r="E3606" i="23"/>
  <c r="E3590" i="23"/>
  <c r="E3574" i="23"/>
  <c r="E3558" i="23"/>
  <c r="E3542" i="23"/>
  <c r="E3526" i="23"/>
  <c r="E3511" i="23"/>
  <c r="E3507" i="23"/>
  <c r="E3503" i="23"/>
  <c r="E3499" i="23"/>
  <c r="E3495" i="23"/>
  <c r="E3491" i="23"/>
  <c r="E3487" i="23"/>
  <c r="E3483" i="23"/>
  <c r="E3479" i="23"/>
  <c r="E3475" i="23"/>
  <c r="E3471" i="23"/>
  <c r="E3467" i="23"/>
  <c r="E3463" i="23"/>
  <c r="E3459" i="23"/>
  <c r="E3455" i="23"/>
  <c r="E3451" i="23"/>
  <c r="E3447" i="23"/>
  <c r="E3443" i="23"/>
  <c r="E3439" i="23"/>
  <c r="E3435" i="23"/>
  <c r="E3431" i="23"/>
  <c r="E3427" i="23"/>
  <c r="E3423" i="23"/>
  <c r="E3419" i="23"/>
  <c r="E3415" i="23"/>
  <c r="E3411" i="23"/>
  <c r="E3407" i="23"/>
  <c r="E3403" i="23"/>
  <c r="E3399" i="23"/>
  <c r="E3395" i="23"/>
  <c r="E3391" i="23"/>
  <c r="E3387" i="23"/>
  <c r="E3383" i="23"/>
  <c r="E3379" i="23"/>
  <c r="E3375" i="23"/>
  <c r="E3371" i="23"/>
  <c r="E3367" i="23"/>
  <c r="E3363" i="23"/>
  <c r="E3359" i="23"/>
  <c r="E3355" i="23"/>
  <c r="E3351" i="23"/>
  <c r="E3347" i="23"/>
  <c r="E3343" i="23"/>
  <c r="E3339" i="23"/>
  <c r="E3335" i="23"/>
  <c r="E3331" i="23"/>
  <c r="E3327" i="23"/>
  <c r="E3323" i="23"/>
  <c r="E3319" i="23"/>
  <c r="E3315" i="23"/>
  <c r="E3311" i="23"/>
  <c r="E3307" i="23"/>
  <c r="E3303" i="23"/>
  <c r="E3299" i="23"/>
  <c r="E3295" i="23"/>
  <c r="E3291" i="23"/>
  <c r="E3287" i="23"/>
  <c r="E3283" i="23"/>
  <c r="E3279" i="23"/>
  <c r="E3275" i="23"/>
  <c r="E3271" i="23"/>
  <c r="E3267" i="23"/>
  <c r="E3263" i="23"/>
  <c r="E3259" i="23"/>
  <c r="E3255" i="23"/>
  <c r="E3251" i="23"/>
  <c r="E3247" i="23"/>
  <c r="E3243" i="23"/>
  <c r="E3239" i="23"/>
  <c r="E3235" i="23"/>
  <c r="E3231" i="23"/>
  <c r="E3227" i="23"/>
  <c r="E3223" i="23"/>
  <c r="E3219" i="23"/>
  <c r="E3215" i="23"/>
  <c r="E3211" i="23"/>
  <c r="E3207" i="23"/>
  <c r="E3203" i="23"/>
  <c r="E3199" i="23"/>
  <c r="E3195" i="23"/>
  <c r="E3191" i="23"/>
  <c r="E3187" i="23"/>
  <c r="E3183" i="23"/>
  <c r="E3179" i="23"/>
  <c r="E3175" i="23"/>
  <c r="E3171" i="23"/>
  <c r="E3167" i="23"/>
  <c r="E3163" i="23"/>
  <c r="E3159" i="23"/>
  <c r="E3155" i="23"/>
  <c r="E3151" i="23"/>
  <c r="E3147" i="23"/>
  <c r="E3143" i="23"/>
  <c r="E3139" i="23"/>
  <c r="E3135" i="23"/>
  <c r="E3131" i="23"/>
  <c r="E3127" i="23"/>
  <c r="E3123" i="23"/>
  <c r="E3119" i="23"/>
  <c r="E3115" i="23"/>
  <c r="E3111" i="23"/>
  <c r="E3107" i="23"/>
  <c r="E3103" i="23"/>
  <c r="E3099" i="23"/>
  <c r="E3095" i="23"/>
  <c r="E3091" i="23"/>
  <c r="E3087" i="23"/>
  <c r="E3083" i="23"/>
  <c r="E3079" i="23"/>
  <c r="E3075" i="23"/>
  <c r="E3071" i="23"/>
  <c r="E3067" i="23"/>
  <c r="E3063" i="23"/>
  <c r="E3059" i="23"/>
  <c r="E3055" i="23"/>
  <c r="E3051" i="23"/>
  <c r="E3047" i="23"/>
  <c r="E3043" i="23"/>
  <c r="E3039" i="23"/>
  <c r="E3035" i="23"/>
  <c r="E3031" i="23"/>
  <c r="E3027" i="23"/>
  <c r="E3023" i="23"/>
  <c r="E3019" i="23"/>
  <c r="E3015" i="23"/>
  <c r="E3011" i="23"/>
  <c r="E3007" i="23"/>
  <c r="E3003" i="23"/>
  <c r="E2999" i="23"/>
  <c r="E4554" i="23"/>
  <c r="E4379" i="23"/>
  <c r="E4315" i="23"/>
  <c r="E4251" i="23"/>
  <c r="E4187" i="23"/>
  <c r="E4137" i="23"/>
  <c r="E4105" i="23"/>
  <c r="E4073" i="23"/>
  <c r="E4050" i="23"/>
  <c r="E4034" i="23"/>
  <c r="E4018" i="23"/>
  <c r="E4002" i="23"/>
  <c r="E3986" i="23"/>
  <c r="E3970" i="23"/>
  <c r="E3954" i="23"/>
  <c r="E3938" i="23"/>
  <c r="E3922" i="23"/>
  <c r="E3906" i="23"/>
  <c r="E3890" i="23"/>
  <c r="E3874" i="23"/>
  <c r="E3858" i="23"/>
  <c r="E3842" i="23"/>
  <c r="E3826" i="23"/>
  <c r="E3810" i="23"/>
  <c r="E3794" i="23"/>
  <c r="E3778" i="23"/>
  <c r="E3762" i="23"/>
  <c r="E3746" i="23"/>
  <c r="E3730" i="23"/>
  <c r="E3714" i="23"/>
  <c r="E3698" i="23"/>
  <c r="E3682" i="23"/>
  <c r="E3666" i="23"/>
  <c r="E3650" i="23"/>
  <c r="E3634" i="23"/>
  <c r="E3618" i="23"/>
  <c r="E3602" i="23"/>
  <c r="E3586" i="23"/>
  <c r="E3570" i="23"/>
  <c r="E3554" i="23"/>
  <c r="E3538" i="23"/>
  <c r="E3522" i="23"/>
  <c r="E3510" i="23"/>
  <c r="E3506" i="23"/>
  <c r="E3502" i="23"/>
  <c r="E3498" i="23"/>
  <c r="E3494" i="23"/>
  <c r="E3490" i="23"/>
  <c r="E3486" i="23"/>
  <c r="E3482" i="23"/>
  <c r="E3478" i="23"/>
  <c r="E3474" i="23"/>
  <c r="E3470" i="23"/>
  <c r="E3466" i="23"/>
  <c r="E3462" i="23"/>
  <c r="E3458" i="23"/>
  <c r="E3454" i="23"/>
  <c r="E3450" i="23"/>
  <c r="E3446" i="23"/>
  <c r="E3442" i="23"/>
  <c r="E3438" i="23"/>
  <c r="E3434" i="23"/>
  <c r="E3430" i="23"/>
  <c r="E3426" i="23"/>
  <c r="E3422" i="23"/>
  <c r="E3418" i="23"/>
  <c r="E3414" i="23"/>
  <c r="E3410" i="23"/>
  <c r="E3406" i="23"/>
  <c r="E3402" i="23"/>
  <c r="E3398" i="23"/>
  <c r="E3394" i="23"/>
  <c r="E3390" i="23"/>
  <c r="E3386" i="23"/>
  <c r="E3382" i="23"/>
  <c r="E3378" i="23"/>
  <c r="E3374" i="23"/>
  <c r="E3370" i="23"/>
  <c r="E3366" i="23"/>
  <c r="E3362" i="23"/>
  <c r="E3358" i="23"/>
  <c r="E3354" i="23"/>
  <c r="E3350" i="23"/>
  <c r="E3346" i="23"/>
  <c r="E3342" i="23"/>
  <c r="E3338" i="23"/>
  <c r="E3334" i="23"/>
  <c r="E3330" i="23"/>
  <c r="E3326" i="23"/>
  <c r="E3322" i="23"/>
  <c r="E3318" i="23"/>
  <c r="E3314" i="23"/>
  <c r="E3310" i="23"/>
  <c r="E3306" i="23"/>
  <c r="E3302" i="23"/>
  <c r="E3298" i="23"/>
  <c r="E3294" i="23"/>
  <c r="E3290" i="23"/>
  <c r="E3286" i="23"/>
  <c r="E3282" i="23"/>
  <c r="E4490" i="23"/>
  <c r="E4171" i="23"/>
  <c r="E4046" i="23"/>
  <c r="E3982" i="23"/>
  <c r="E3918" i="23"/>
  <c r="E3854" i="23"/>
  <c r="E3790" i="23"/>
  <c r="E3726" i="23"/>
  <c r="E3662" i="23"/>
  <c r="E3598" i="23"/>
  <c r="E3534" i="23"/>
  <c r="E3501" i="23"/>
  <c r="E3485" i="23"/>
  <c r="E3469" i="23"/>
  <c r="E3453" i="23"/>
  <c r="E3437" i="23"/>
  <c r="E3421" i="23"/>
  <c r="E3405" i="23"/>
  <c r="E3389" i="23"/>
  <c r="E3373" i="23"/>
  <c r="E3357" i="23"/>
  <c r="E3341" i="23"/>
  <c r="E3325" i="23"/>
  <c r="E3309" i="23"/>
  <c r="E3293" i="23"/>
  <c r="E3278" i="23"/>
  <c r="E3270" i="23"/>
  <c r="E3262" i="23"/>
  <c r="E3254" i="23"/>
  <c r="E3246" i="23"/>
  <c r="E3238" i="23"/>
  <c r="E3230" i="23"/>
  <c r="E3222" i="23"/>
  <c r="E3214" i="23"/>
  <c r="E3206" i="23"/>
  <c r="E3198" i="23"/>
  <c r="E3190" i="23"/>
  <c r="E3182" i="23"/>
  <c r="E3174" i="23"/>
  <c r="E3166" i="23"/>
  <c r="E3158" i="23"/>
  <c r="E3150" i="23"/>
  <c r="E3142" i="23"/>
  <c r="E3134" i="23"/>
  <c r="E3126" i="23"/>
  <c r="E3118" i="23"/>
  <c r="E3110" i="23"/>
  <c r="E3102" i="23"/>
  <c r="E3094" i="23"/>
  <c r="E3086" i="23"/>
  <c r="E3078" i="23"/>
  <c r="E3070" i="23"/>
  <c r="E3062" i="23"/>
  <c r="E3054" i="23"/>
  <c r="E3046" i="23"/>
  <c r="E3038" i="23"/>
  <c r="E3030" i="23"/>
  <c r="E3022" i="23"/>
  <c r="E3014" i="23"/>
  <c r="E3006" i="23"/>
  <c r="E3000" i="23"/>
  <c r="E2995" i="23"/>
  <c r="E2991" i="23"/>
  <c r="E2987" i="23"/>
  <c r="E2983" i="23"/>
  <c r="E2979" i="23"/>
  <c r="E2975" i="23"/>
  <c r="E2971" i="23"/>
  <c r="E2967" i="23"/>
  <c r="E2963" i="23"/>
  <c r="E2959" i="23"/>
  <c r="E2955" i="23"/>
  <c r="E2951" i="23"/>
  <c r="E2947" i="23"/>
  <c r="E2943" i="23"/>
  <c r="E2939" i="23"/>
  <c r="E2935" i="23"/>
  <c r="E2931" i="23"/>
  <c r="E2927" i="23"/>
  <c r="E2923" i="23"/>
  <c r="E2919" i="23"/>
  <c r="E2915" i="23"/>
  <c r="E2911" i="23"/>
  <c r="E2907" i="23"/>
  <c r="E2903" i="23"/>
  <c r="E2899" i="23"/>
  <c r="E2895" i="23"/>
  <c r="E2891" i="23"/>
  <c r="E2887" i="23"/>
  <c r="E2883" i="23"/>
  <c r="E2879" i="23"/>
  <c r="E2875" i="23"/>
  <c r="E2871" i="23"/>
  <c r="E2867" i="23"/>
  <c r="E2863" i="23"/>
  <c r="E2859" i="23"/>
  <c r="E2855" i="23"/>
  <c r="E2851" i="23"/>
  <c r="E2847" i="23"/>
  <c r="E2843" i="23"/>
  <c r="E2839" i="23"/>
  <c r="E2835" i="23"/>
  <c r="E2831" i="23"/>
  <c r="E2827" i="23"/>
  <c r="E2823" i="23"/>
  <c r="E2819" i="23"/>
  <c r="E2815" i="23"/>
  <c r="E2811" i="23"/>
  <c r="E2807" i="23"/>
  <c r="E2803" i="23"/>
  <c r="E2799" i="23"/>
  <c r="E2795" i="23"/>
  <c r="E2791" i="23"/>
  <c r="E2787" i="23"/>
  <c r="E2783" i="23"/>
  <c r="E2779" i="23"/>
  <c r="E2775" i="23"/>
  <c r="E2771" i="23"/>
  <c r="E2767" i="23"/>
  <c r="E2763" i="23"/>
  <c r="E2759" i="23"/>
  <c r="E2755" i="23"/>
  <c r="E2751" i="23"/>
  <c r="E2747" i="23"/>
  <c r="E2743" i="23"/>
  <c r="E2739" i="23"/>
  <c r="E2735" i="23"/>
  <c r="E2731" i="23"/>
  <c r="E2727" i="23"/>
  <c r="E2723" i="23"/>
  <c r="E2719" i="23"/>
  <c r="E2715" i="23"/>
  <c r="E2711" i="23"/>
  <c r="E2707" i="23"/>
  <c r="E2703" i="23"/>
  <c r="E2699" i="23"/>
  <c r="E2695" i="23"/>
  <c r="E2691" i="23"/>
  <c r="E2687" i="23"/>
  <c r="E2683" i="23"/>
  <c r="E2679" i="23"/>
  <c r="E2675" i="23"/>
  <c r="E2671" i="23"/>
  <c r="E2667" i="23"/>
  <c r="E2663" i="23"/>
  <c r="E2659" i="23"/>
  <c r="E2655" i="23"/>
  <c r="E2651" i="23"/>
  <c r="E2647" i="23"/>
  <c r="E2643" i="23"/>
  <c r="E2639" i="23"/>
  <c r="E2635" i="23"/>
  <c r="E2631" i="23"/>
  <c r="E2627" i="23"/>
  <c r="E2623" i="23"/>
  <c r="E2619" i="23"/>
  <c r="E2615" i="23"/>
  <c r="E2611" i="23"/>
  <c r="E2607" i="23"/>
  <c r="E2603" i="23"/>
  <c r="E2599" i="23"/>
  <c r="E2595" i="23"/>
  <c r="E2591" i="23"/>
  <c r="E2587" i="23"/>
  <c r="E2583" i="23"/>
  <c r="E2579" i="23"/>
  <c r="E2575" i="23"/>
  <c r="E2571" i="23"/>
  <c r="E2567" i="23"/>
  <c r="E2563" i="23"/>
  <c r="E2559" i="23"/>
  <c r="E2555" i="23"/>
  <c r="E4363" i="23"/>
  <c r="E4129" i="23"/>
  <c r="E4030" i="23"/>
  <c r="E3966" i="23"/>
  <c r="E3902" i="23"/>
  <c r="E3838" i="23"/>
  <c r="E3774" i="23"/>
  <c r="E3710" i="23"/>
  <c r="E3646" i="23"/>
  <c r="E3582" i="23"/>
  <c r="E3518" i="23"/>
  <c r="E3497" i="23"/>
  <c r="E3481" i="23"/>
  <c r="E3465" i="23"/>
  <c r="E3449" i="23"/>
  <c r="E3433" i="23"/>
  <c r="E3417" i="23"/>
  <c r="E3401" i="23"/>
  <c r="E3385" i="23"/>
  <c r="E3369" i="23"/>
  <c r="E3353" i="23"/>
  <c r="E3337" i="23"/>
  <c r="E3321" i="23"/>
  <c r="E3305" i="23"/>
  <c r="E3289" i="23"/>
  <c r="E3277" i="23"/>
  <c r="E3269" i="23"/>
  <c r="E3261" i="23"/>
  <c r="E3253" i="23"/>
  <c r="E3245" i="23"/>
  <c r="E3237" i="23"/>
  <c r="E3229" i="23"/>
  <c r="E3221" i="23"/>
  <c r="E3213" i="23"/>
  <c r="E3205" i="23"/>
  <c r="E3197" i="23"/>
  <c r="E3189" i="23"/>
  <c r="E3181" i="23"/>
  <c r="E3173" i="23"/>
  <c r="E3165" i="23"/>
  <c r="E3157" i="23"/>
  <c r="E3149" i="23"/>
  <c r="E3141" i="23"/>
  <c r="E3133" i="23"/>
  <c r="E3125" i="23"/>
  <c r="E3117" i="23"/>
  <c r="E3109" i="23"/>
  <c r="E3101" i="23"/>
  <c r="E3093" i="23"/>
  <c r="E3085" i="23"/>
  <c r="E3077" i="23"/>
  <c r="E3069" i="23"/>
  <c r="E3061" i="23"/>
  <c r="E3053" i="23"/>
  <c r="E3045" i="23"/>
  <c r="E3037" i="23"/>
  <c r="E3029" i="23"/>
  <c r="E3021" i="23"/>
  <c r="E3013" i="23"/>
  <c r="E3005" i="23"/>
  <c r="E2998" i="23"/>
  <c r="E2994" i="23"/>
  <c r="E2990" i="23"/>
  <c r="E2986" i="23"/>
  <c r="E2982" i="23"/>
  <c r="E2978" i="23"/>
  <c r="E2974" i="23"/>
  <c r="E2970" i="23"/>
  <c r="E2966" i="23"/>
  <c r="E2962" i="23"/>
  <c r="E2958" i="23"/>
  <c r="E2954" i="23"/>
  <c r="E2950" i="23"/>
  <c r="E2946" i="23"/>
  <c r="E2942" i="23"/>
  <c r="E2938" i="23"/>
  <c r="E2934" i="23"/>
  <c r="E2930" i="23"/>
  <c r="E2926" i="23"/>
  <c r="E2922" i="23"/>
  <c r="E2918" i="23"/>
  <c r="E2914" i="23"/>
  <c r="E2910" i="23"/>
  <c r="E2906" i="23"/>
  <c r="E2902" i="23"/>
  <c r="E2898" i="23"/>
  <c r="E2894" i="23"/>
  <c r="E2890" i="23"/>
  <c r="E2886" i="23"/>
  <c r="E2882" i="23"/>
  <c r="E2878" i="23"/>
  <c r="E2874" i="23"/>
  <c r="E2870" i="23"/>
  <c r="E2866" i="23"/>
  <c r="E2862" i="23"/>
  <c r="E2858" i="23"/>
  <c r="E2854" i="23"/>
  <c r="E2850" i="23"/>
  <c r="E2846" i="23"/>
  <c r="E2842" i="23"/>
  <c r="E2838" i="23"/>
  <c r="E2834" i="23"/>
  <c r="E2830" i="23"/>
  <c r="E2826" i="23"/>
  <c r="E2822" i="23"/>
  <c r="E2818" i="23"/>
  <c r="E2814" i="23"/>
  <c r="E2810" i="23"/>
  <c r="E2806" i="23"/>
  <c r="E2802" i="23"/>
  <c r="E2798" i="23"/>
  <c r="E2794" i="23"/>
  <c r="E2790" i="23"/>
  <c r="E2786" i="23"/>
  <c r="E2782" i="23"/>
  <c r="E2778" i="23"/>
  <c r="E2774" i="23"/>
  <c r="E2770" i="23"/>
  <c r="E2766" i="23"/>
  <c r="E2762" i="23"/>
  <c r="E2758" i="23"/>
  <c r="E2754" i="23"/>
  <c r="E2750" i="23"/>
  <c r="E2746" i="23"/>
  <c r="E2742" i="23"/>
  <c r="E2738" i="23"/>
  <c r="E2734" i="23"/>
  <c r="E2730" i="23"/>
  <c r="E2726" i="23"/>
  <c r="E2722" i="23"/>
  <c r="E2718" i="23"/>
  <c r="E2714" i="23"/>
  <c r="E2710" i="23"/>
  <c r="E2706" i="23"/>
  <c r="E2702" i="23"/>
  <c r="E2698" i="23"/>
  <c r="E2694" i="23"/>
  <c r="E2690" i="23"/>
  <c r="E2686" i="23"/>
  <c r="E2682" i="23"/>
  <c r="E2678" i="23"/>
  <c r="E2674" i="23"/>
  <c r="E2670" i="23"/>
  <c r="E2666" i="23"/>
  <c r="E2662" i="23"/>
  <c r="E2658" i="23"/>
  <c r="E2654" i="23"/>
  <c r="E2650" i="23"/>
  <c r="E2646" i="23"/>
  <c r="E2642" i="23"/>
  <c r="E2638" i="23"/>
  <c r="E2634" i="23"/>
  <c r="E2630" i="23"/>
  <c r="E2626" i="23"/>
  <c r="E2622" i="23"/>
  <c r="E2618" i="23"/>
  <c r="E2614" i="23"/>
  <c r="E2610" i="23"/>
  <c r="E2606" i="23"/>
  <c r="E2602" i="23"/>
  <c r="E2598" i="23"/>
  <c r="E2594" i="23"/>
  <c r="E2590" i="23"/>
  <c r="E2586" i="23"/>
  <c r="E2582" i="23"/>
  <c r="E2578" i="23"/>
  <c r="E2574" i="23"/>
  <c r="E2570" i="23"/>
  <c r="E2566" i="23"/>
  <c r="E2562" i="23"/>
  <c r="E2558" i="23"/>
  <c r="E2554" i="23"/>
  <c r="E4299" i="23"/>
  <c r="E4097" i="23"/>
  <c r="E4014" i="23"/>
  <c r="E3950" i="23"/>
  <c r="E3886" i="23"/>
  <c r="E3822" i="23"/>
  <c r="E3758" i="23"/>
  <c r="E3694" i="23"/>
  <c r="E3630" i="23"/>
  <c r="E3566" i="23"/>
  <c r="E3509" i="23"/>
  <c r="E3493" i="23"/>
  <c r="E3477" i="23"/>
  <c r="E3461" i="23"/>
  <c r="E3445" i="23"/>
  <c r="E3429" i="23"/>
  <c r="E3413" i="23"/>
  <c r="E3397" i="23"/>
  <c r="E3381" i="23"/>
  <c r="E3365" i="23"/>
  <c r="E3349" i="23"/>
  <c r="E3333" i="23"/>
  <c r="E3317" i="23"/>
  <c r="E3301" i="23"/>
  <c r="E3285" i="23"/>
  <c r="E3274" i="23"/>
  <c r="E3266" i="23"/>
  <c r="E3258" i="23"/>
  <c r="E3250" i="23"/>
  <c r="E3242" i="23"/>
  <c r="E3234" i="23"/>
  <c r="E3226" i="23"/>
  <c r="E3218" i="23"/>
  <c r="E3210" i="23"/>
  <c r="E3202" i="23"/>
  <c r="E3194" i="23"/>
  <c r="E3186" i="23"/>
  <c r="E3178" i="23"/>
  <c r="E3170" i="23"/>
  <c r="E3162" i="23"/>
  <c r="E3154" i="23"/>
  <c r="E3146" i="23"/>
  <c r="E3138" i="23"/>
  <c r="E3130" i="23"/>
  <c r="E3122" i="23"/>
  <c r="E3114" i="23"/>
  <c r="E3106" i="23"/>
  <c r="E3098" i="23"/>
  <c r="E3090" i="23"/>
  <c r="E3082" i="23"/>
  <c r="E3074" i="23"/>
  <c r="E3066" i="23"/>
  <c r="E3058" i="23"/>
  <c r="E3050" i="23"/>
  <c r="E3042" i="23"/>
  <c r="E3034" i="23"/>
  <c r="E3026" i="23"/>
  <c r="E3018" i="23"/>
  <c r="E3010" i="23"/>
  <c r="E3002" i="23"/>
  <c r="E2997" i="23"/>
  <c r="E2993" i="23"/>
  <c r="E2989" i="23"/>
  <c r="E2985" i="23"/>
  <c r="E2981" i="23"/>
  <c r="E2977" i="23"/>
  <c r="E2973" i="23"/>
  <c r="E2969" i="23"/>
  <c r="E2965" i="23"/>
  <c r="E2961" i="23"/>
  <c r="E2957" i="23"/>
  <c r="E2953" i="23"/>
  <c r="E2949" i="23"/>
  <c r="E2945" i="23"/>
  <c r="E2941" i="23"/>
  <c r="E2937" i="23"/>
  <c r="E2933" i="23"/>
  <c r="E2929" i="23"/>
  <c r="E2925" i="23"/>
  <c r="E2921" i="23"/>
  <c r="E2917" i="23"/>
  <c r="E2913" i="23"/>
  <c r="E2909" i="23"/>
  <c r="E2905" i="23"/>
  <c r="E2901" i="23"/>
  <c r="E2897" i="23"/>
  <c r="E2893" i="23"/>
  <c r="E2889" i="23"/>
  <c r="E2885" i="23"/>
  <c r="E2881" i="23"/>
  <c r="E2877" i="23"/>
  <c r="E2873" i="23"/>
  <c r="E2869" i="23"/>
  <c r="E2865" i="23"/>
  <c r="E2861" i="23"/>
  <c r="E2857" i="23"/>
  <c r="E2853" i="23"/>
  <c r="E2849" i="23"/>
  <c r="E2845" i="23"/>
  <c r="E2841" i="23"/>
  <c r="E2837" i="23"/>
  <c r="E2833" i="23"/>
  <c r="E2829" i="23"/>
  <c r="E2825" i="23"/>
  <c r="E2821" i="23"/>
  <c r="E2817" i="23"/>
  <c r="E2813" i="23"/>
  <c r="E2809" i="23"/>
  <c r="E2805" i="23"/>
  <c r="E2801" i="23"/>
  <c r="E2797" i="23"/>
  <c r="E2793" i="23"/>
  <c r="E2789" i="23"/>
  <c r="E2785" i="23"/>
  <c r="E2781" i="23"/>
  <c r="E2777" i="23"/>
  <c r="E2773" i="23"/>
  <c r="E2769" i="23"/>
  <c r="E2765" i="23"/>
  <c r="E2761" i="23"/>
  <c r="E2757" i="23"/>
  <c r="E2753" i="23"/>
  <c r="E2749" i="23"/>
  <c r="E2745" i="23"/>
  <c r="E2741" i="23"/>
  <c r="E2737" i="23"/>
  <c r="E2733" i="23"/>
  <c r="E2729" i="23"/>
  <c r="E2725" i="23"/>
  <c r="E2721" i="23"/>
  <c r="E2717" i="23"/>
  <c r="E2713" i="23"/>
  <c r="E2709" i="23"/>
  <c r="E2705" i="23"/>
  <c r="E2701" i="23"/>
  <c r="E2697" i="23"/>
  <c r="E2693" i="23"/>
  <c r="E2689" i="23"/>
  <c r="E2685" i="23"/>
  <c r="E2681" i="23"/>
  <c r="E2677" i="23"/>
  <c r="E2673" i="23"/>
  <c r="E2669" i="23"/>
  <c r="E2665" i="23"/>
  <c r="E2661" i="23"/>
  <c r="E2657" i="23"/>
  <c r="E2653" i="23"/>
  <c r="E2649" i="23"/>
  <c r="E2645" i="23"/>
  <c r="E2641" i="23"/>
  <c r="E2637" i="23"/>
  <c r="E2633" i="23"/>
  <c r="E2629" i="23"/>
  <c r="E2625" i="23"/>
  <c r="E2621" i="23"/>
  <c r="E2617" i="23"/>
  <c r="E2613" i="23"/>
  <c r="E2609" i="23"/>
  <c r="E2605" i="23"/>
  <c r="E2601" i="23"/>
  <c r="E2597" i="23"/>
  <c r="E2593" i="23"/>
  <c r="E2589" i="23"/>
  <c r="E2585" i="23"/>
  <c r="E2581" i="23"/>
  <c r="E2577" i="23"/>
  <c r="E2573" i="23"/>
  <c r="E2569" i="23"/>
  <c r="E2565" i="23"/>
  <c r="E2561" i="23"/>
  <c r="E4235" i="23"/>
  <c r="E3870" i="23"/>
  <c r="E3614" i="23"/>
  <c r="E3473" i="23"/>
  <c r="E3409" i="23"/>
  <c r="E3345" i="23"/>
  <c r="E3281" i="23"/>
  <c r="E3249" i="23"/>
  <c r="E3217" i="23"/>
  <c r="E3185" i="23"/>
  <c r="E3153" i="23"/>
  <c r="E3121" i="23"/>
  <c r="E3089" i="23"/>
  <c r="E3057" i="23"/>
  <c r="E3025" i="23"/>
  <c r="E2996" i="23"/>
  <c r="E2980" i="23"/>
  <c r="E2964" i="23"/>
  <c r="E2948" i="23"/>
  <c r="E2932" i="23"/>
  <c r="E2916" i="23"/>
  <c r="E2900" i="23"/>
  <c r="E2884" i="23"/>
  <c r="E2868" i="23"/>
  <c r="E2852" i="23"/>
  <c r="E2836" i="23"/>
  <c r="E2820" i="23"/>
  <c r="E2804" i="23"/>
  <c r="E2788" i="23"/>
  <c r="E2772" i="23"/>
  <c r="E2756" i="23"/>
  <c r="E2740" i="23"/>
  <c r="E2724" i="23"/>
  <c r="E2708" i="23"/>
  <c r="E2692" i="23"/>
  <c r="E2676" i="23"/>
  <c r="E2660" i="23"/>
  <c r="E2644" i="23"/>
  <c r="E2628" i="23"/>
  <c r="E2612" i="23"/>
  <c r="E2596" i="23"/>
  <c r="E2580" i="23"/>
  <c r="E2564" i="23"/>
  <c r="E2553" i="23"/>
  <c r="E2549" i="23"/>
  <c r="E2545" i="23"/>
  <c r="E2541" i="23"/>
  <c r="E2537" i="23"/>
  <c r="E2533" i="23"/>
  <c r="E2529" i="23"/>
  <c r="E2525" i="23"/>
  <c r="E2521" i="23"/>
  <c r="E2517" i="23"/>
  <c r="E2513" i="23"/>
  <c r="E2509" i="23"/>
  <c r="E2505" i="23"/>
  <c r="E2501" i="23"/>
  <c r="E2497" i="23"/>
  <c r="E2493" i="23"/>
  <c r="E2489" i="23"/>
  <c r="E2485" i="23"/>
  <c r="E2481" i="23"/>
  <c r="E2477" i="23"/>
  <c r="E2473" i="23"/>
  <c r="E2469" i="23"/>
  <c r="E2465" i="23"/>
  <c r="E2461" i="23"/>
  <c r="E2457" i="23"/>
  <c r="E2453" i="23"/>
  <c r="E2449" i="23"/>
  <c r="E2445" i="23"/>
  <c r="E2441" i="23"/>
  <c r="E2437" i="23"/>
  <c r="E2433" i="23"/>
  <c r="E2429" i="23"/>
  <c r="E2425" i="23"/>
  <c r="E2421" i="23"/>
  <c r="E2417" i="23"/>
  <c r="E2413" i="23"/>
  <c r="E2409" i="23"/>
  <c r="E2405" i="23"/>
  <c r="E2401" i="23"/>
  <c r="E2397" i="23"/>
  <c r="E2393" i="23"/>
  <c r="E2389" i="23"/>
  <c r="E2385" i="23"/>
  <c r="E2381" i="23"/>
  <c r="E2377" i="23"/>
  <c r="E2373" i="23"/>
  <c r="E2369" i="23"/>
  <c r="E2365" i="23"/>
  <c r="E2361" i="23"/>
  <c r="E2357" i="23"/>
  <c r="E2353" i="23"/>
  <c r="E2349" i="23"/>
  <c r="E2345" i="23"/>
  <c r="E2341" i="23"/>
  <c r="E2337" i="23"/>
  <c r="E2333" i="23"/>
  <c r="E2329" i="23"/>
  <c r="E2325" i="23"/>
  <c r="E2321" i="23"/>
  <c r="E2317" i="23"/>
  <c r="E2313" i="23"/>
  <c r="E2309" i="23"/>
  <c r="E2305" i="23"/>
  <c r="E2301" i="23"/>
  <c r="E2297" i="23"/>
  <c r="E2293" i="23"/>
  <c r="E2289" i="23"/>
  <c r="E2285" i="23"/>
  <c r="E2281" i="23"/>
  <c r="E2277" i="23"/>
  <c r="E2273" i="23"/>
  <c r="E2269" i="23"/>
  <c r="E2265" i="23"/>
  <c r="E2261" i="23"/>
  <c r="E2257" i="23"/>
  <c r="E2253" i="23"/>
  <c r="E2249" i="23"/>
  <c r="E2245" i="23"/>
  <c r="E2241" i="23"/>
  <c r="E2237" i="23"/>
  <c r="E2233" i="23"/>
  <c r="E2229" i="23"/>
  <c r="E2225" i="23"/>
  <c r="E2221" i="23"/>
  <c r="E2217" i="23"/>
  <c r="E2213" i="23"/>
  <c r="E2209" i="23"/>
  <c r="E2205" i="23"/>
  <c r="E2201" i="23"/>
  <c r="E2197" i="23"/>
  <c r="E2193" i="23"/>
  <c r="E2189" i="23"/>
  <c r="E2185" i="23"/>
  <c r="E2181" i="23"/>
  <c r="E2177" i="23"/>
  <c r="E2173" i="23"/>
  <c r="E2169" i="23"/>
  <c r="E2165" i="23"/>
  <c r="E2161" i="23"/>
  <c r="E2157" i="23"/>
  <c r="E2153" i="23"/>
  <c r="E2149" i="23"/>
  <c r="E2145" i="23"/>
  <c r="E2141" i="23"/>
  <c r="E2137" i="23"/>
  <c r="E2133" i="23"/>
  <c r="E2129" i="23"/>
  <c r="E2125" i="23"/>
  <c r="E2121" i="23"/>
  <c r="E2117" i="23"/>
  <c r="E2113" i="23"/>
  <c r="E2109" i="23"/>
  <c r="E2105" i="23"/>
  <c r="E2101" i="23"/>
  <c r="E2097" i="23"/>
  <c r="E2093" i="23"/>
  <c r="E2089" i="23"/>
  <c r="E2085" i="23"/>
  <c r="E2081" i="23"/>
  <c r="E2077" i="23"/>
  <c r="E2073" i="23"/>
  <c r="E2069" i="23"/>
  <c r="E2065" i="23"/>
  <c r="E2061" i="23"/>
  <c r="E2057" i="23"/>
  <c r="E2053" i="23"/>
  <c r="E2049" i="23"/>
  <c r="E2045" i="23"/>
  <c r="E2041" i="23"/>
  <c r="E2037" i="23"/>
  <c r="E2033" i="23"/>
  <c r="E2029" i="23"/>
  <c r="E2025" i="23"/>
  <c r="E2021" i="23"/>
  <c r="E2017" i="23"/>
  <c r="E2013" i="23"/>
  <c r="E2009" i="23"/>
  <c r="E2005" i="23"/>
  <c r="E2001" i="23"/>
  <c r="E1997" i="23"/>
  <c r="E1993" i="23"/>
  <c r="E1989" i="23"/>
  <c r="E1985" i="23"/>
  <c r="E1981" i="23"/>
  <c r="E1977" i="23"/>
  <c r="E1973" i="23"/>
  <c r="E1969" i="23"/>
  <c r="E1965" i="23"/>
  <c r="E1961" i="23"/>
  <c r="E1957" i="23"/>
  <c r="E1953" i="23"/>
  <c r="E1949" i="23"/>
  <c r="E1945" i="23"/>
  <c r="E1941" i="23"/>
  <c r="E1937" i="23"/>
  <c r="E1933" i="23"/>
  <c r="E1929" i="23"/>
  <c r="E1925" i="23"/>
  <c r="E1921" i="23"/>
  <c r="E1917" i="23"/>
  <c r="E1913" i="23"/>
  <c r="E1909" i="23"/>
  <c r="E1905" i="23"/>
  <c r="E1901" i="23"/>
  <c r="E1897" i="23"/>
  <c r="E1893" i="23"/>
  <c r="E1889" i="23"/>
  <c r="E1885" i="23"/>
  <c r="E1881" i="23"/>
  <c r="E1877" i="23"/>
  <c r="E1873" i="23"/>
  <c r="E1869" i="23"/>
  <c r="E1865" i="23"/>
  <c r="E1861" i="23"/>
  <c r="E1857" i="23"/>
  <c r="E1853" i="23"/>
  <c r="E1849" i="23"/>
  <c r="E1845" i="23"/>
  <c r="E1841" i="23"/>
  <c r="E1837" i="23"/>
  <c r="E1833" i="23"/>
  <c r="E1829" i="23"/>
  <c r="E1825" i="23"/>
  <c r="E1821" i="23"/>
  <c r="E1817" i="23"/>
  <c r="E1813" i="23"/>
  <c r="E1809" i="23"/>
  <c r="E1805" i="23"/>
  <c r="E1801" i="23"/>
  <c r="E1797" i="23"/>
  <c r="E1793" i="23"/>
  <c r="E1789" i="23"/>
  <c r="E1785" i="23"/>
  <c r="E1781" i="23"/>
  <c r="E1777" i="23"/>
  <c r="E1773" i="23"/>
  <c r="E1769" i="23"/>
  <c r="E1765" i="23"/>
  <c r="E1761" i="23"/>
  <c r="E1757" i="23"/>
  <c r="E1753" i="23"/>
  <c r="E1749" i="23"/>
  <c r="E1745" i="23"/>
  <c r="E1741" i="23"/>
  <c r="E1737" i="23"/>
  <c r="E1733" i="23"/>
  <c r="E1729" i="23"/>
  <c r="E1725" i="23"/>
  <c r="E1721" i="23"/>
  <c r="E1717" i="23"/>
  <c r="E1713" i="23"/>
  <c r="E1709" i="23"/>
  <c r="E1705" i="23"/>
  <c r="E1701" i="23"/>
  <c r="E1697" i="23"/>
  <c r="E1693" i="23"/>
  <c r="E1689" i="23"/>
  <c r="E1685" i="23"/>
  <c r="E1681" i="23"/>
  <c r="E1677" i="23"/>
  <c r="E1673" i="23"/>
  <c r="E1669" i="23"/>
  <c r="E1665" i="23"/>
  <c r="E1661" i="23"/>
  <c r="E1657" i="23"/>
  <c r="E1653" i="23"/>
  <c r="E1649" i="23"/>
  <c r="E1645" i="23"/>
  <c r="E1641" i="23"/>
  <c r="E1637" i="23"/>
  <c r="E1633" i="23"/>
  <c r="E1629" i="23"/>
  <c r="E1625" i="23"/>
  <c r="E1621" i="23"/>
  <c r="E1617" i="23"/>
  <c r="E1613" i="23"/>
  <c r="E1609" i="23"/>
  <c r="E1605" i="23"/>
  <c r="E1601" i="23"/>
  <c r="E1597" i="23"/>
  <c r="E1593" i="23"/>
  <c r="E1589" i="23"/>
  <c r="E1585" i="23"/>
  <c r="E1581" i="23"/>
  <c r="E1577" i="23"/>
  <c r="E1573" i="23"/>
  <c r="E1569" i="23"/>
  <c r="E1565" i="23"/>
  <c r="E1561" i="23"/>
  <c r="E1557" i="23"/>
  <c r="E1553" i="23"/>
  <c r="E1549" i="23"/>
  <c r="E1545" i="23"/>
  <c r="E1541" i="23"/>
  <c r="E1537" i="23"/>
  <c r="E1533" i="23"/>
  <c r="E1529" i="23"/>
  <c r="E1525" i="23"/>
  <c r="E1521" i="23"/>
  <c r="E1517" i="23"/>
  <c r="E1513" i="23"/>
  <c r="E1509" i="23"/>
  <c r="E1505" i="23"/>
  <c r="E1501" i="23"/>
  <c r="E1497" i="23"/>
  <c r="E1493" i="23"/>
  <c r="E1489" i="23"/>
  <c r="E1485" i="23"/>
  <c r="E1481" i="23"/>
  <c r="E1477" i="23"/>
  <c r="E1473" i="23"/>
  <c r="E1469" i="23"/>
  <c r="E1465" i="23"/>
  <c r="E1461" i="23"/>
  <c r="E1457" i="23"/>
  <c r="E1453" i="23"/>
  <c r="E1449" i="23"/>
  <c r="E1445" i="23"/>
  <c r="E1441" i="23"/>
  <c r="E1437" i="23"/>
  <c r="E1433" i="23"/>
  <c r="E1429" i="23"/>
  <c r="E1425" i="23"/>
  <c r="E1421" i="23"/>
  <c r="E1417" i="23"/>
  <c r="E1413" i="23"/>
  <c r="E1409" i="23"/>
  <c r="E1405" i="23"/>
  <c r="E1401" i="23"/>
  <c r="E1397" i="23"/>
  <c r="E1393" i="23"/>
  <c r="E1389" i="23"/>
  <c r="E1385" i="23"/>
  <c r="E1381" i="23"/>
  <c r="E1377" i="23"/>
  <c r="E1373" i="23"/>
  <c r="E1369" i="23"/>
  <c r="E1365" i="23"/>
  <c r="E4065" i="23"/>
  <c r="E3806" i="23"/>
  <c r="E3550" i="23"/>
  <c r="E3457" i="23"/>
  <c r="E3393" i="23"/>
  <c r="E3329" i="23"/>
  <c r="E3273" i="23"/>
  <c r="E3241" i="23"/>
  <c r="E3209" i="23"/>
  <c r="E3177" i="23"/>
  <c r="E3145" i="23"/>
  <c r="E3113" i="23"/>
  <c r="E3081" i="23"/>
  <c r="E3049" i="23"/>
  <c r="E3017" i="23"/>
  <c r="E2992" i="23"/>
  <c r="E2976" i="23"/>
  <c r="E2960" i="23"/>
  <c r="E2944" i="23"/>
  <c r="E2928" i="23"/>
  <c r="E2912" i="23"/>
  <c r="E2896" i="23"/>
  <c r="E2880" i="23"/>
  <c r="E2864" i="23"/>
  <c r="E2848" i="23"/>
  <c r="E2832" i="23"/>
  <c r="E2816" i="23"/>
  <c r="E2800" i="23"/>
  <c r="E2784" i="23"/>
  <c r="E2768" i="23"/>
  <c r="E2752" i="23"/>
  <c r="E2736" i="23"/>
  <c r="E2720" i="23"/>
  <c r="E2704" i="23"/>
  <c r="E2688" i="23"/>
  <c r="E2672" i="23"/>
  <c r="E2656" i="23"/>
  <c r="E2640" i="23"/>
  <c r="E2624" i="23"/>
  <c r="E2608" i="23"/>
  <c r="E2592" i="23"/>
  <c r="E2576" i="23"/>
  <c r="E2560" i="23"/>
  <c r="E2552" i="23"/>
  <c r="E2548" i="23"/>
  <c r="E2544" i="23"/>
  <c r="E2540" i="23"/>
  <c r="E2536" i="23"/>
  <c r="E2532" i="23"/>
  <c r="E2528" i="23"/>
  <c r="E2524" i="23"/>
  <c r="E2520" i="23"/>
  <c r="E2516" i="23"/>
  <c r="E2512" i="23"/>
  <c r="E2508" i="23"/>
  <c r="E2504" i="23"/>
  <c r="E2500" i="23"/>
  <c r="E2496" i="23"/>
  <c r="E2492" i="23"/>
  <c r="E2488" i="23"/>
  <c r="E2484" i="23"/>
  <c r="E2480" i="23"/>
  <c r="E2476" i="23"/>
  <c r="E2472" i="23"/>
  <c r="E2468" i="23"/>
  <c r="E2464" i="23"/>
  <c r="E2460" i="23"/>
  <c r="E2456" i="23"/>
  <c r="E2452" i="23"/>
  <c r="E2448" i="23"/>
  <c r="E2444" i="23"/>
  <c r="E2440" i="23"/>
  <c r="E2436" i="23"/>
  <c r="E2432" i="23"/>
  <c r="E2428" i="23"/>
  <c r="E2424" i="23"/>
  <c r="E2420" i="23"/>
  <c r="E2416" i="23"/>
  <c r="E2412" i="23"/>
  <c r="E2408" i="23"/>
  <c r="E2404" i="23"/>
  <c r="E2400" i="23"/>
  <c r="E2396" i="23"/>
  <c r="E2392" i="23"/>
  <c r="E2388" i="23"/>
  <c r="E2384" i="23"/>
  <c r="E2380" i="23"/>
  <c r="E2376" i="23"/>
  <c r="E2372" i="23"/>
  <c r="E2368" i="23"/>
  <c r="E2364" i="23"/>
  <c r="E2360" i="23"/>
  <c r="E2356" i="23"/>
  <c r="E2352" i="23"/>
  <c r="E2348" i="23"/>
  <c r="E2344" i="23"/>
  <c r="E2340" i="23"/>
  <c r="E2336" i="23"/>
  <c r="E2332" i="23"/>
  <c r="E2328" i="23"/>
  <c r="E2324" i="23"/>
  <c r="E2320" i="23"/>
  <c r="E2316" i="23"/>
  <c r="E2312" i="23"/>
  <c r="E2308" i="23"/>
  <c r="E2304" i="23"/>
  <c r="E2300" i="23"/>
  <c r="E2296" i="23"/>
  <c r="E2292" i="23"/>
  <c r="E2288" i="23"/>
  <c r="E2284" i="23"/>
  <c r="E2280" i="23"/>
  <c r="E2276" i="23"/>
  <c r="E2272" i="23"/>
  <c r="E2268" i="23"/>
  <c r="E2264" i="23"/>
  <c r="E2260" i="23"/>
  <c r="E2256" i="23"/>
  <c r="E2252" i="23"/>
  <c r="E2248" i="23"/>
  <c r="E2244" i="23"/>
  <c r="E2240" i="23"/>
  <c r="E2236" i="23"/>
  <c r="E2232" i="23"/>
  <c r="E2228" i="23"/>
  <c r="E2224" i="23"/>
  <c r="E2220" i="23"/>
  <c r="E2216" i="23"/>
  <c r="E2212" i="23"/>
  <c r="E2208" i="23"/>
  <c r="E2204" i="23"/>
  <c r="E2200" i="23"/>
  <c r="E2196" i="23"/>
  <c r="E2192" i="23"/>
  <c r="E2188" i="23"/>
  <c r="E2184" i="23"/>
  <c r="E2180" i="23"/>
  <c r="E2176" i="23"/>
  <c r="E2172" i="23"/>
  <c r="E2168" i="23"/>
  <c r="E2164" i="23"/>
  <c r="E2160" i="23"/>
  <c r="E2156" i="23"/>
  <c r="E2152" i="23"/>
  <c r="E2148" i="23"/>
  <c r="E2144" i="23"/>
  <c r="E2140" i="23"/>
  <c r="E2136" i="23"/>
  <c r="E2132" i="23"/>
  <c r="E2128" i="23"/>
  <c r="E2124" i="23"/>
  <c r="E2120" i="23"/>
  <c r="E2116" i="23"/>
  <c r="E2112" i="23"/>
  <c r="E2108" i="23"/>
  <c r="E2104" i="23"/>
  <c r="E2100" i="23"/>
  <c r="E2096" i="23"/>
  <c r="E2092" i="23"/>
  <c r="E2088" i="23"/>
  <c r="E2084" i="23"/>
  <c r="E2080" i="23"/>
  <c r="E2076" i="23"/>
  <c r="E2072" i="23"/>
  <c r="E2068" i="23"/>
  <c r="E2064" i="23"/>
  <c r="E2060" i="23"/>
  <c r="E2056" i="23"/>
  <c r="E2052" i="23"/>
  <c r="E2048" i="23"/>
  <c r="E2044" i="23"/>
  <c r="E2040" i="23"/>
  <c r="E2036" i="23"/>
  <c r="E2032" i="23"/>
  <c r="E2028" i="23"/>
  <c r="E2024" i="23"/>
  <c r="E2020" i="23"/>
  <c r="E2016" i="23"/>
  <c r="E2012" i="23"/>
  <c r="E2008" i="23"/>
  <c r="E2004" i="23"/>
  <c r="E2000" i="23"/>
  <c r="E1996" i="23"/>
  <c r="E1992" i="23"/>
  <c r="E1988" i="23"/>
  <c r="E1984" i="23"/>
  <c r="E1980" i="23"/>
  <c r="E1976" i="23"/>
  <c r="E1972" i="23"/>
  <c r="E1968" i="23"/>
  <c r="E1964" i="23"/>
  <c r="E1960" i="23"/>
  <c r="E1956" i="23"/>
  <c r="E1952" i="23"/>
  <c r="E1948" i="23"/>
  <c r="E1944" i="23"/>
  <c r="E1940" i="23"/>
  <c r="E1936" i="23"/>
  <c r="E1932" i="23"/>
  <c r="E1928" i="23"/>
  <c r="E1924" i="23"/>
  <c r="E1920" i="23"/>
  <c r="E1916" i="23"/>
  <c r="E1912" i="23"/>
  <c r="E1908" i="23"/>
  <c r="E1904" i="23"/>
  <c r="E1900" i="23"/>
  <c r="E1896" i="23"/>
  <c r="E1892" i="23"/>
  <c r="E1888" i="23"/>
  <c r="E1884" i="23"/>
  <c r="E1880" i="23"/>
  <c r="E1876" i="23"/>
  <c r="E1872" i="23"/>
  <c r="E1868" i="23"/>
  <c r="E1864" i="23"/>
  <c r="E1860" i="23"/>
  <c r="E1856" i="23"/>
  <c r="E1852" i="23"/>
  <c r="E1848" i="23"/>
  <c r="E1844" i="23"/>
  <c r="E1840" i="23"/>
  <c r="E1836" i="23"/>
  <c r="E1832" i="23"/>
  <c r="E1828" i="23"/>
  <c r="E1824" i="23"/>
  <c r="E1820" i="23"/>
  <c r="E1816" i="23"/>
  <c r="E1812" i="23"/>
  <c r="E1808" i="23"/>
  <c r="E1804" i="23"/>
  <c r="E1800" i="23"/>
  <c r="E1796" i="23"/>
  <c r="E1792" i="23"/>
  <c r="E1788" i="23"/>
  <c r="E1784" i="23"/>
  <c r="E1780" i="23"/>
  <c r="E1776" i="23"/>
  <c r="E1772" i="23"/>
  <c r="E1768" i="23"/>
  <c r="E1764" i="23"/>
  <c r="E1760" i="23"/>
  <c r="E1756" i="23"/>
  <c r="E1752" i="23"/>
  <c r="E1748" i="23"/>
  <c r="E1744" i="23"/>
  <c r="E1740" i="23"/>
  <c r="E1736" i="23"/>
  <c r="E1732" i="23"/>
  <c r="E1728" i="23"/>
  <c r="E1724" i="23"/>
  <c r="E1720" i="23"/>
  <c r="E1716" i="23"/>
  <c r="E1712" i="23"/>
  <c r="E1708" i="23"/>
  <c r="E1704" i="23"/>
  <c r="E1700" i="23"/>
  <c r="E1696" i="23"/>
  <c r="E1692" i="23"/>
  <c r="E1688" i="23"/>
  <c r="E1684" i="23"/>
  <c r="E1680" i="23"/>
  <c r="E1676" i="23"/>
  <c r="E1672" i="23"/>
  <c r="E1668" i="23"/>
  <c r="E1664" i="23"/>
  <c r="E1660" i="23"/>
  <c r="E1656" i="23"/>
  <c r="E1652" i="23"/>
  <c r="E1648" i="23"/>
  <c r="E1644" i="23"/>
  <c r="E1640" i="23"/>
  <c r="E1636" i="23"/>
  <c r="E1632" i="23"/>
  <c r="E1628" i="23"/>
  <c r="E1624" i="23"/>
  <c r="E1620" i="23"/>
  <c r="E1616" i="23"/>
  <c r="E1612" i="23"/>
  <c r="E1608" i="23"/>
  <c r="E1604" i="23"/>
  <c r="E1600" i="23"/>
  <c r="E1596" i="23"/>
  <c r="E1592" i="23"/>
  <c r="E1588" i="23"/>
  <c r="E1584" i="23"/>
  <c r="E1580" i="23"/>
  <c r="E1576" i="23"/>
  <c r="E1572" i="23"/>
  <c r="E1568" i="23"/>
  <c r="E1564" i="23"/>
  <c r="E1560" i="23"/>
  <c r="E1556" i="23"/>
  <c r="E1552" i="23"/>
  <c r="E1548" i="23"/>
  <c r="E1544" i="23"/>
  <c r="E1540" i="23"/>
  <c r="E1536" i="23"/>
  <c r="E1532" i="23"/>
  <c r="E1528" i="23"/>
  <c r="E1524" i="23"/>
  <c r="E1520" i="23"/>
  <c r="E1516" i="23"/>
  <c r="E1512" i="23"/>
  <c r="E1508" i="23"/>
  <c r="E1504" i="23"/>
  <c r="E1500" i="23"/>
  <c r="E1496" i="23"/>
  <c r="E1492" i="23"/>
  <c r="E1488" i="23"/>
  <c r="E1484" i="23"/>
  <c r="E1480" i="23"/>
  <c r="E1476" i="23"/>
  <c r="E1472" i="23"/>
  <c r="E1468" i="23"/>
  <c r="E1464" i="23"/>
  <c r="E1460" i="23"/>
  <c r="E1456" i="23"/>
  <c r="E1452" i="23"/>
  <c r="E1448" i="23"/>
  <c r="E1444" i="23"/>
  <c r="E1440" i="23"/>
  <c r="E1436" i="23"/>
  <c r="E1432" i="23"/>
  <c r="E1428" i="23"/>
  <c r="E1424" i="23"/>
  <c r="E1420" i="23"/>
  <c r="E1416" i="23"/>
  <c r="E1412" i="23"/>
  <c r="E1408" i="23"/>
  <c r="E1404" i="23"/>
  <c r="E1400" i="23"/>
  <c r="E1396" i="23"/>
  <c r="E1392" i="23"/>
  <c r="E1388" i="23"/>
  <c r="E1384" i="23"/>
  <c r="E1380" i="23"/>
  <c r="E1376" i="23"/>
  <c r="E1372" i="23"/>
  <c r="E1368" i="23"/>
  <c r="E1364" i="23"/>
  <c r="E3998" i="23"/>
  <c r="E3742" i="23"/>
  <c r="E3505" i="23"/>
  <c r="E3441" i="23"/>
  <c r="E3377" i="23"/>
  <c r="E3313" i="23"/>
  <c r="E3265" i="23"/>
  <c r="E3233" i="23"/>
  <c r="E3201" i="23"/>
  <c r="E3169" i="23"/>
  <c r="E3137" i="23"/>
  <c r="E3105" i="23"/>
  <c r="E3073" i="23"/>
  <c r="E3041" i="23"/>
  <c r="E3009" i="23"/>
  <c r="E2988" i="23"/>
  <c r="E2972" i="23"/>
  <c r="E2956" i="23"/>
  <c r="E2940" i="23"/>
  <c r="E2924" i="23"/>
  <c r="E2908" i="23"/>
  <c r="E2892" i="23"/>
  <c r="E2876" i="23"/>
  <c r="E2860" i="23"/>
  <c r="E2844" i="23"/>
  <c r="E2828" i="23"/>
  <c r="E2812" i="23"/>
  <c r="E2796" i="23"/>
  <c r="E2780" i="23"/>
  <c r="E2764" i="23"/>
  <c r="E2748" i="23"/>
  <c r="E2732" i="23"/>
  <c r="E2716" i="23"/>
  <c r="E2700" i="23"/>
  <c r="E2684" i="23"/>
  <c r="E2668" i="23"/>
  <c r="E2652" i="23"/>
  <c r="E2636" i="23"/>
  <c r="E2620" i="23"/>
  <c r="E2604" i="23"/>
  <c r="E2588" i="23"/>
  <c r="E2572" i="23"/>
  <c r="E2557" i="23"/>
  <c r="E2551" i="23"/>
  <c r="E2547" i="23"/>
  <c r="E2543" i="23"/>
  <c r="E2539" i="23"/>
  <c r="E2535" i="23"/>
  <c r="E2531" i="23"/>
  <c r="E2527" i="23"/>
  <c r="E2523" i="23"/>
  <c r="E2519" i="23"/>
  <c r="E2515" i="23"/>
  <c r="E2511" i="23"/>
  <c r="E2507" i="23"/>
  <c r="E2503" i="23"/>
  <c r="E2499" i="23"/>
  <c r="E2495" i="23"/>
  <c r="E2491" i="23"/>
  <c r="E2487" i="23"/>
  <c r="E2483" i="23"/>
  <c r="E2479" i="23"/>
  <c r="E2475" i="23"/>
  <c r="E2471" i="23"/>
  <c r="E2467" i="23"/>
  <c r="E2463" i="23"/>
  <c r="E2459" i="23"/>
  <c r="E2455" i="23"/>
  <c r="E2451" i="23"/>
  <c r="E2447" i="23"/>
  <c r="E2443" i="23"/>
  <c r="E2439" i="23"/>
  <c r="E2435" i="23"/>
  <c r="E2431" i="23"/>
  <c r="E2427" i="23"/>
  <c r="E2423" i="23"/>
  <c r="E2419" i="23"/>
  <c r="E2415" i="23"/>
  <c r="E2411" i="23"/>
  <c r="E2407" i="23"/>
  <c r="E2403" i="23"/>
  <c r="E2399" i="23"/>
  <c r="E2395" i="23"/>
  <c r="E2391" i="23"/>
  <c r="E2387" i="23"/>
  <c r="E2383" i="23"/>
  <c r="E2379" i="23"/>
  <c r="E2375" i="23"/>
  <c r="E2371" i="23"/>
  <c r="E2367" i="23"/>
  <c r="E2363" i="23"/>
  <c r="E2359" i="23"/>
  <c r="E2355" i="23"/>
  <c r="E2351" i="23"/>
  <c r="E2347" i="23"/>
  <c r="E2343" i="23"/>
  <c r="E2339" i="23"/>
  <c r="E2335" i="23"/>
  <c r="E2331" i="23"/>
  <c r="E2327" i="23"/>
  <c r="E2323" i="23"/>
  <c r="E2319" i="23"/>
  <c r="E2315" i="23"/>
  <c r="E2311" i="23"/>
  <c r="E2307" i="23"/>
  <c r="E2303" i="23"/>
  <c r="E2299" i="23"/>
  <c r="E2295" i="23"/>
  <c r="E2291" i="23"/>
  <c r="E2287" i="23"/>
  <c r="E2283" i="23"/>
  <c r="E2279" i="23"/>
  <c r="E2275" i="23"/>
  <c r="E2271" i="23"/>
  <c r="E2267" i="23"/>
  <c r="E2263" i="23"/>
  <c r="E2259" i="23"/>
  <c r="E2255" i="23"/>
  <c r="E2251" i="23"/>
  <c r="E2247" i="23"/>
  <c r="E2243" i="23"/>
  <c r="E2239" i="23"/>
  <c r="E2235" i="23"/>
  <c r="E2231" i="23"/>
  <c r="E2227" i="23"/>
  <c r="E2223" i="23"/>
  <c r="E2219" i="23"/>
  <c r="E2215" i="23"/>
  <c r="E2211" i="23"/>
  <c r="E2207" i="23"/>
  <c r="E2203" i="23"/>
  <c r="E2199" i="23"/>
  <c r="E2195" i="23"/>
  <c r="E2191" i="23"/>
  <c r="E2187" i="23"/>
  <c r="E2183" i="23"/>
  <c r="E2179" i="23"/>
  <c r="E2175" i="23"/>
  <c r="E2171" i="23"/>
  <c r="E2167" i="23"/>
  <c r="E2163" i="23"/>
  <c r="E2159" i="23"/>
  <c r="E2155" i="23"/>
  <c r="E2151" i="23"/>
  <c r="E2147" i="23"/>
  <c r="E2143" i="23"/>
  <c r="E2139" i="23"/>
  <c r="E2135" i="23"/>
  <c r="E2131" i="23"/>
  <c r="E2127" i="23"/>
  <c r="E2123" i="23"/>
  <c r="E2119" i="23"/>
  <c r="E2115" i="23"/>
  <c r="E2111" i="23"/>
  <c r="E2107" i="23"/>
  <c r="E2103" i="23"/>
  <c r="E2099" i="23"/>
  <c r="E2095" i="23"/>
  <c r="E2091" i="23"/>
  <c r="E2087" i="23"/>
  <c r="E2083" i="23"/>
  <c r="E2079" i="23"/>
  <c r="E2075" i="23"/>
  <c r="E2071" i="23"/>
  <c r="E2067" i="23"/>
  <c r="E2063" i="23"/>
  <c r="E2059" i="23"/>
  <c r="E2055" i="23"/>
  <c r="E2051" i="23"/>
  <c r="E2047" i="23"/>
  <c r="E2043" i="23"/>
  <c r="E2039" i="23"/>
  <c r="E2035" i="23"/>
  <c r="E2031" i="23"/>
  <c r="E2027" i="23"/>
  <c r="E2023" i="23"/>
  <c r="E2019" i="23"/>
  <c r="E2015" i="23"/>
  <c r="E2011" i="23"/>
  <c r="E2007" i="23"/>
  <c r="E2003" i="23"/>
  <c r="E1999" i="23"/>
  <c r="E1995" i="23"/>
  <c r="E1991" i="23"/>
  <c r="E1987" i="23"/>
  <c r="E1983" i="23"/>
  <c r="E1979" i="23"/>
  <c r="E1975" i="23"/>
  <c r="E1971" i="23"/>
  <c r="E1967" i="23"/>
  <c r="E1963" i="23"/>
  <c r="E1959" i="23"/>
  <c r="E1955" i="23"/>
  <c r="E1951" i="23"/>
  <c r="E1947" i="23"/>
  <c r="E1943" i="23"/>
  <c r="E1939" i="23"/>
  <c r="E1935" i="23"/>
  <c r="E1931" i="23"/>
  <c r="E1927" i="23"/>
  <c r="E1923" i="23"/>
  <c r="E1919" i="23"/>
  <c r="E1915" i="23"/>
  <c r="E1911" i="23"/>
  <c r="E1907" i="23"/>
  <c r="E1903" i="23"/>
  <c r="E1899" i="23"/>
  <c r="E1895" i="23"/>
  <c r="E1891" i="23"/>
  <c r="E1887" i="23"/>
  <c r="E1883" i="23"/>
  <c r="E1879" i="23"/>
  <c r="E1875" i="23"/>
  <c r="E1871" i="23"/>
  <c r="E1867" i="23"/>
  <c r="E1863" i="23"/>
  <c r="E1859" i="23"/>
  <c r="E1855" i="23"/>
  <c r="E1851" i="23"/>
  <c r="E1847" i="23"/>
  <c r="E1843" i="23"/>
  <c r="E1839" i="23"/>
  <c r="E1835" i="23"/>
  <c r="E1831" i="23"/>
  <c r="E1827" i="23"/>
  <c r="E1823" i="23"/>
  <c r="E1819" i="23"/>
  <c r="E1815" i="23"/>
  <c r="E1811" i="23"/>
  <c r="E1807" i="23"/>
  <c r="E1803" i="23"/>
  <c r="E1799" i="23"/>
  <c r="E1795" i="23"/>
  <c r="E1791" i="23"/>
  <c r="E1787" i="23"/>
  <c r="E1783" i="23"/>
  <c r="E1779" i="23"/>
  <c r="E1775" i="23"/>
  <c r="E1771" i="23"/>
  <c r="E1767" i="23"/>
  <c r="E1763" i="23"/>
  <c r="E1759" i="23"/>
  <c r="E1755" i="23"/>
  <c r="E1751" i="23"/>
  <c r="E1747" i="23"/>
  <c r="E1743" i="23"/>
  <c r="E1739" i="23"/>
  <c r="E1735" i="23"/>
  <c r="E1731" i="23"/>
  <c r="E1727" i="23"/>
  <c r="E1723" i="23"/>
  <c r="E1719" i="23"/>
  <c r="E1715" i="23"/>
  <c r="E1711" i="23"/>
  <c r="E1707" i="23"/>
  <c r="E1703" i="23"/>
  <c r="E1699" i="23"/>
  <c r="E1695" i="23"/>
  <c r="E1691" i="23"/>
  <c r="E1687" i="23"/>
  <c r="E1683" i="23"/>
  <c r="E1679" i="23"/>
  <c r="E1675" i="23"/>
  <c r="E1671" i="23"/>
  <c r="E1667" i="23"/>
  <c r="E1663" i="23"/>
  <c r="E1659" i="23"/>
  <c r="E1655" i="23"/>
  <c r="E1651" i="23"/>
  <c r="E1647" i="23"/>
  <c r="E1643" i="23"/>
  <c r="E1639" i="23"/>
  <c r="E1635" i="23"/>
  <c r="E1631" i="23"/>
  <c r="E1627" i="23"/>
  <c r="E1623" i="23"/>
  <c r="E1619" i="23"/>
  <c r="E1615" i="23"/>
  <c r="E1611" i="23"/>
  <c r="E1607" i="23"/>
  <c r="E1603" i="23"/>
  <c r="E1599" i="23"/>
  <c r="E1595" i="23"/>
  <c r="E1591" i="23"/>
  <c r="E1587" i="23"/>
  <c r="E1583" i="23"/>
  <c r="E1579" i="23"/>
  <c r="E1575" i="23"/>
  <c r="E1571" i="23"/>
  <c r="E1567" i="23"/>
  <c r="E1563" i="23"/>
  <c r="E1559" i="23"/>
  <c r="E1555" i="23"/>
  <c r="E1551" i="23"/>
  <c r="E1547" i="23"/>
  <c r="E1543" i="23"/>
  <c r="E1539" i="23"/>
  <c r="E1535" i="23"/>
  <c r="E1531" i="23"/>
  <c r="E1527" i="23"/>
  <c r="E1523" i="23"/>
  <c r="E1519" i="23"/>
  <c r="E1515" i="23"/>
  <c r="E1511" i="23"/>
  <c r="E1507" i="23"/>
  <c r="E1503" i="23"/>
  <c r="E1499" i="23"/>
  <c r="E1495" i="23"/>
  <c r="E1491" i="23"/>
  <c r="E1487" i="23"/>
  <c r="E1483" i="23"/>
  <c r="E1479" i="23"/>
  <c r="E1475" i="23"/>
  <c r="E1471" i="23"/>
  <c r="E1467" i="23"/>
  <c r="E1463" i="23"/>
  <c r="E1459" i="23"/>
  <c r="E1455" i="23"/>
  <c r="E1451" i="23"/>
  <c r="E1447" i="23"/>
  <c r="E1443" i="23"/>
  <c r="E1439" i="23"/>
  <c r="E1435" i="23"/>
  <c r="E1431" i="23"/>
  <c r="E1427" i="23"/>
  <c r="E1423" i="23"/>
  <c r="E1419" i="23"/>
  <c r="E1415" i="23"/>
  <c r="E1411" i="23"/>
  <c r="E1407" i="23"/>
  <c r="E1403" i="23"/>
  <c r="E1399" i="23"/>
  <c r="E1395" i="23"/>
  <c r="E1391" i="23"/>
  <c r="E1387" i="23"/>
  <c r="E1383" i="23"/>
  <c r="E1379" i="23"/>
  <c r="E1375" i="23"/>
  <c r="E1371" i="23"/>
  <c r="E1367" i="23"/>
  <c r="E3934" i="23"/>
  <c r="E3361" i="23"/>
  <c r="E3193" i="23"/>
  <c r="E3065" i="23"/>
  <c r="E2968" i="23"/>
  <c r="E2904" i="23"/>
  <c r="E2840" i="23"/>
  <c r="E2776" i="23"/>
  <c r="E2712" i="23"/>
  <c r="E2648" i="23"/>
  <c r="E2584" i="23"/>
  <c r="E2546" i="23"/>
  <c r="E2530" i="23"/>
  <c r="E2514" i="23"/>
  <c r="E2498" i="23"/>
  <c r="E2482" i="23"/>
  <c r="E2466" i="23"/>
  <c r="E2450" i="23"/>
  <c r="E2434" i="23"/>
  <c r="E2418" i="23"/>
  <c r="E2402" i="23"/>
  <c r="E2386" i="23"/>
  <c r="E2370" i="23"/>
  <c r="E2354" i="23"/>
  <c r="E2338" i="23"/>
  <c r="E2322" i="23"/>
  <c r="E2306" i="23"/>
  <c r="E2290" i="23"/>
  <c r="E2274" i="23"/>
  <c r="E2258" i="23"/>
  <c r="E2242" i="23"/>
  <c r="E2226" i="23"/>
  <c r="E2210" i="23"/>
  <c r="E2194" i="23"/>
  <c r="E2178" i="23"/>
  <c r="E2162" i="23"/>
  <c r="E2146" i="23"/>
  <c r="E2130" i="23"/>
  <c r="E2114" i="23"/>
  <c r="E2098" i="23"/>
  <c r="E2082" i="23"/>
  <c r="E2066" i="23"/>
  <c r="E2050" i="23"/>
  <c r="E2034" i="23"/>
  <c r="E2018" i="23"/>
  <c r="E2002" i="23"/>
  <c r="E1986" i="23"/>
  <c r="E1970" i="23"/>
  <c r="E1954" i="23"/>
  <c r="E1938" i="23"/>
  <c r="E1922" i="23"/>
  <c r="E1906" i="23"/>
  <c r="E1890" i="23"/>
  <c r="E1874" i="23"/>
  <c r="E1858" i="23"/>
  <c r="E1842" i="23"/>
  <c r="E1826" i="23"/>
  <c r="E1810" i="23"/>
  <c r="E1794" i="23"/>
  <c r="E1778" i="23"/>
  <c r="E1762" i="23"/>
  <c r="E1746" i="23"/>
  <c r="E1730" i="23"/>
  <c r="E1714" i="23"/>
  <c r="E1698" i="23"/>
  <c r="E1682" i="23"/>
  <c r="E1666" i="23"/>
  <c r="E1650" i="23"/>
  <c r="E1634" i="23"/>
  <c r="E1618" i="23"/>
  <c r="E1602" i="23"/>
  <c r="E1586" i="23"/>
  <c r="E1570" i="23"/>
  <c r="E1554" i="23"/>
  <c r="E1538" i="23"/>
  <c r="E1522" i="23"/>
  <c r="E1506" i="23"/>
  <c r="E1490" i="23"/>
  <c r="E1474" i="23"/>
  <c r="E1458" i="23"/>
  <c r="E1442" i="23"/>
  <c r="E1426" i="23"/>
  <c r="E1410" i="23"/>
  <c r="E1394" i="23"/>
  <c r="E1378" i="23"/>
  <c r="E1363" i="23"/>
  <c r="E1359" i="23"/>
  <c r="E1355" i="23"/>
  <c r="E1351" i="23"/>
  <c r="E1347" i="23"/>
  <c r="E1343" i="23"/>
  <c r="E1339" i="23"/>
  <c r="E1335" i="23"/>
  <c r="E1331" i="23"/>
  <c r="E1327" i="23"/>
  <c r="E1323" i="23"/>
  <c r="E1319" i="23"/>
  <c r="E1315" i="23"/>
  <c r="E1311" i="23"/>
  <c r="E1307" i="23"/>
  <c r="E1303" i="23"/>
  <c r="E1299" i="23"/>
  <c r="E1295" i="23"/>
  <c r="E1291" i="23"/>
  <c r="E1287" i="23"/>
  <c r="E1283" i="23"/>
  <c r="E1279" i="23"/>
  <c r="E1275" i="23"/>
  <c r="E1271" i="23"/>
  <c r="E1267" i="23"/>
  <c r="E1263" i="23"/>
  <c r="E1259" i="23"/>
  <c r="E1255" i="23"/>
  <c r="E1251" i="23"/>
  <c r="E1247" i="23"/>
  <c r="E1243" i="23"/>
  <c r="E1239" i="23"/>
  <c r="E1235" i="23"/>
  <c r="E1231" i="23"/>
  <c r="E1227" i="23"/>
  <c r="E1223" i="23"/>
  <c r="E1219" i="23"/>
  <c r="E1215" i="23"/>
  <c r="E1211" i="23"/>
  <c r="E1207" i="23"/>
  <c r="E1203" i="23"/>
  <c r="E1199" i="23"/>
  <c r="E1195" i="23"/>
  <c r="E1191" i="23"/>
  <c r="E1187" i="23"/>
  <c r="E1183" i="23"/>
  <c r="E1179" i="23"/>
  <c r="E1175" i="23"/>
  <c r="E1171" i="23"/>
  <c r="E1167" i="23"/>
  <c r="E1163" i="23"/>
  <c r="E1159" i="23"/>
  <c r="E1155" i="23"/>
  <c r="E1151" i="23"/>
  <c r="E1147" i="23"/>
  <c r="E1143" i="23"/>
  <c r="E1139" i="23"/>
  <c r="E1135" i="23"/>
  <c r="E1131" i="23"/>
  <c r="E1127" i="23"/>
  <c r="E1123" i="23"/>
  <c r="E1119" i="23"/>
  <c r="E1115" i="23"/>
  <c r="E1111" i="23"/>
  <c r="E1107" i="23"/>
  <c r="E1103" i="23"/>
  <c r="E1099" i="23"/>
  <c r="E1095" i="23"/>
  <c r="E1091" i="23"/>
  <c r="E1087" i="23"/>
  <c r="E1083" i="23"/>
  <c r="E1079" i="23"/>
  <c r="E1075" i="23"/>
  <c r="E1071" i="23"/>
  <c r="E1067" i="23"/>
  <c r="E1063" i="23"/>
  <c r="E1059" i="23"/>
  <c r="E1055" i="23"/>
  <c r="E1051" i="23"/>
  <c r="E1047" i="23"/>
  <c r="E1043" i="23"/>
  <c r="E1039" i="23"/>
  <c r="E1035" i="23"/>
  <c r="E1031" i="23"/>
  <c r="E1027" i="23"/>
  <c r="E1023" i="23"/>
  <c r="E1019" i="23"/>
  <c r="E1015" i="23"/>
  <c r="E1011" i="23"/>
  <c r="E1007" i="23"/>
  <c r="E1003" i="23"/>
  <c r="E999" i="23"/>
  <c r="E995" i="23"/>
  <c r="E991" i="23"/>
  <c r="E987" i="23"/>
  <c r="E983" i="23"/>
  <c r="E979" i="23"/>
  <c r="E975" i="23"/>
  <c r="E971" i="23"/>
  <c r="E967" i="23"/>
  <c r="E963" i="23"/>
  <c r="E959" i="23"/>
  <c r="E955" i="23"/>
  <c r="E951" i="23"/>
  <c r="E947" i="23"/>
  <c r="E943" i="23"/>
  <c r="E939" i="23"/>
  <c r="E935" i="23"/>
  <c r="E931" i="23"/>
  <c r="E927" i="23"/>
  <c r="E923" i="23"/>
  <c r="E919" i="23"/>
  <c r="E915" i="23"/>
  <c r="E911" i="23"/>
  <c r="E907" i="23"/>
  <c r="E903" i="23"/>
  <c r="E899" i="23"/>
  <c r="E895" i="23"/>
  <c r="E891" i="23"/>
  <c r="E887" i="23"/>
  <c r="E883" i="23"/>
  <c r="E879" i="23"/>
  <c r="E875" i="23"/>
  <c r="E871" i="23"/>
  <c r="E867" i="23"/>
  <c r="E863" i="23"/>
  <c r="E859" i="23"/>
  <c r="E855" i="23"/>
  <c r="E851" i="23"/>
  <c r="E847" i="23"/>
  <c r="E843" i="23"/>
  <c r="E839" i="23"/>
  <c r="E835" i="23"/>
  <c r="E831" i="23"/>
  <c r="E827" i="23"/>
  <c r="E823" i="23"/>
  <c r="E819" i="23"/>
  <c r="E815" i="23"/>
  <c r="E811" i="23"/>
  <c r="E807" i="23"/>
  <c r="E803" i="23"/>
  <c r="E799" i="23"/>
  <c r="E795" i="23"/>
  <c r="E791" i="23"/>
  <c r="E787" i="23"/>
  <c r="E783" i="23"/>
  <c r="E779" i="23"/>
  <c r="E775" i="23"/>
  <c r="E771" i="23"/>
  <c r="E767" i="23"/>
  <c r="E763" i="23"/>
  <c r="E759" i="23"/>
  <c r="E755" i="23"/>
  <c r="E751" i="23"/>
  <c r="E747" i="23"/>
  <c r="E743" i="23"/>
  <c r="E739" i="23"/>
  <c r="E735" i="23"/>
  <c r="E731" i="23"/>
  <c r="E727" i="23"/>
  <c r="E723" i="23"/>
  <c r="E719" i="23"/>
  <c r="E715" i="23"/>
  <c r="E711" i="23"/>
  <c r="E707" i="23"/>
  <c r="E703" i="23"/>
  <c r="E699" i="23"/>
  <c r="E695" i="23"/>
  <c r="E691" i="23"/>
  <c r="E687" i="23"/>
  <c r="E683" i="23"/>
  <c r="E679" i="23"/>
  <c r="E675" i="23"/>
  <c r="E671" i="23"/>
  <c r="E667" i="23"/>
  <c r="E663" i="23"/>
  <c r="E659" i="23"/>
  <c r="E655" i="23"/>
  <c r="E651" i="23"/>
  <c r="E647" i="23"/>
  <c r="E643" i="23"/>
  <c r="E639" i="23"/>
  <c r="E635" i="23"/>
  <c r="E631" i="23"/>
  <c r="E627" i="23"/>
  <c r="E623" i="23"/>
  <c r="E619" i="23"/>
  <c r="E615" i="23"/>
  <c r="E611" i="23"/>
  <c r="E607" i="23"/>
  <c r="E603" i="23"/>
  <c r="E599" i="23"/>
  <c r="E595" i="23"/>
  <c r="E591" i="23"/>
  <c r="E587" i="23"/>
  <c r="E583" i="23"/>
  <c r="E579" i="23"/>
  <c r="E575" i="23"/>
  <c r="E571" i="23"/>
  <c r="E567" i="23"/>
  <c r="E563" i="23"/>
  <c r="E559" i="23"/>
  <c r="E555" i="23"/>
  <c r="E551" i="23"/>
  <c r="E547" i="23"/>
  <c r="E543" i="23"/>
  <c r="E539" i="23"/>
  <c r="E535" i="23"/>
  <c r="E531" i="23"/>
  <c r="E527" i="23"/>
  <c r="E523" i="23"/>
  <c r="E519" i="23"/>
  <c r="E515" i="23"/>
  <c r="E511" i="23"/>
  <c r="E507" i="23"/>
  <c r="E503" i="23"/>
  <c r="E499" i="23"/>
  <c r="E495" i="23"/>
  <c r="E491" i="23"/>
  <c r="E487" i="23"/>
  <c r="E483" i="23"/>
  <c r="E479" i="23"/>
  <c r="E475" i="23"/>
  <c r="E471" i="23"/>
  <c r="E467" i="23"/>
  <c r="E463" i="23"/>
  <c r="E459" i="23"/>
  <c r="E455" i="23"/>
  <c r="E451" i="23"/>
  <c r="E447" i="23"/>
  <c r="E443" i="23"/>
  <c r="E439" i="23"/>
  <c r="E435" i="23"/>
  <c r="E431" i="23"/>
  <c r="E427" i="23"/>
  <c r="E423" i="23"/>
  <c r="E419" i="23"/>
  <c r="E415" i="23"/>
  <c r="E411" i="23"/>
  <c r="E407" i="23"/>
  <c r="E403" i="23"/>
  <c r="E399" i="23"/>
  <c r="E395" i="23"/>
  <c r="E391" i="23"/>
  <c r="E387" i="23"/>
  <c r="E383" i="23"/>
  <c r="E379" i="23"/>
  <c r="E375" i="23"/>
  <c r="E371" i="23"/>
  <c r="E367" i="23"/>
  <c r="E363" i="23"/>
  <c r="E359" i="23"/>
  <c r="E355" i="23"/>
  <c r="E351" i="23"/>
  <c r="E347" i="23"/>
  <c r="E343" i="23"/>
  <c r="E3678" i="23"/>
  <c r="E3297" i="23"/>
  <c r="E3161" i="23"/>
  <c r="E3033" i="23"/>
  <c r="E2952" i="23"/>
  <c r="E2888" i="23"/>
  <c r="E2824" i="23"/>
  <c r="E2760" i="23"/>
  <c r="E2696" i="23"/>
  <c r="E2632" i="23"/>
  <c r="E2568" i="23"/>
  <c r="E2542" i="23"/>
  <c r="E2526" i="23"/>
  <c r="E2510" i="23"/>
  <c r="E2494" i="23"/>
  <c r="E2478" i="23"/>
  <c r="E2462" i="23"/>
  <c r="E2446" i="23"/>
  <c r="E2430" i="23"/>
  <c r="E2414" i="23"/>
  <c r="E2398" i="23"/>
  <c r="E2382" i="23"/>
  <c r="E2366" i="23"/>
  <c r="E2350" i="23"/>
  <c r="E2334" i="23"/>
  <c r="E2318" i="23"/>
  <c r="E2302" i="23"/>
  <c r="E2286" i="23"/>
  <c r="E2270" i="23"/>
  <c r="E2254" i="23"/>
  <c r="E2238" i="23"/>
  <c r="E2222" i="23"/>
  <c r="E2206" i="23"/>
  <c r="E2190" i="23"/>
  <c r="E2174" i="23"/>
  <c r="E2158" i="23"/>
  <c r="E2142" i="23"/>
  <c r="E2126" i="23"/>
  <c r="E2110" i="23"/>
  <c r="E2094" i="23"/>
  <c r="E2078" i="23"/>
  <c r="E2062" i="23"/>
  <c r="E2046" i="23"/>
  <c r="E2030" i="23"/>
  <c r="E2014" i="23"/>
  <c r="E1998" i="23"/>
  <c r="E1982" i="23"/>
  <c r="E1966" i="23"/>
  <c r="E1950" i="23"/>
  <c r="E1934" i="23"/>
  <c r="E1918" i="23"/>
  <c r="E1902" i="23"/>
  <c r="E1886" i="23"/>
  <c r="E1870" i="23"/>
  <c r="E1854" i="23"/>
  <c r="E1838" i="23"/>
  <c r="E1822" i="23"/>
  <c r="E1806" i="23"/>
  <c r="E1790" i="23"/>
  <c r="E1774" i="23"/>
  <c r="E1758" i="23"/>
  <c r="E1742" i="23"/>
  <c r="E1726" i="23"/>
  <c r="E1710" i="23"/>
  <c r="E1694" i="23"/>
  <c r="E1678" i="23"/>
  <c r="E1662" i="23"/>
  <c r="E1646" i="23"/>
  <c r="E1630" i="23"/>
  <c r="E1614" i="23"/>
  <c r="E1598" i="23"/>
  <c r="E1582" i="23"/>
  <c r="E1566" i="23"/>
  <c r="E1550" i="23"/>
  <c r="E1534" i="23"/>
  <c r="E1518" i="23"/>
  <c r="E1502" i="23"/>
  <c r="E1486" i="23"/>
  <c r="E1470" i="23"/>
  <c r="E1454" i="23"/>
  <c r="E1438" i="23"/>
  <c r="E1422" i="23"/>
  <c r="E1406" i="23"/>
  <c r="E1390" i="23"/>
  <c r="E1374" i="23"/>
  <c r="E1362" i="23"/>
  <c r="E1358" i="23"/>
  <c r="E1354" i="23"/>
  <c r="E1350" i="23"/>
  <c r="E1346" i="23"/>
  <c r="E1342" i="23"/>
  <c r="E1338" i="23"/>
  <c r="E1334" i="23"/>
  <c r="E1330" i="23"/>
  <c r="E1326" i="23"/>
  <c r="E1322" i="23"/>
  <c r="E1318" i="23"/>
  <c r="E1314" i="23"/>
  <c r="E1310" i="23"/>
  <c r="E1306" i="23"/>
  <c r="E1302" i="23"/>
  <c r="E1298" i="23"/>
  <c r="E1294" i="23"/>
  <c r="E1290" i="23"/>
  <c r="E1286" i="23"/>
  <c r="E1282" i="23"/>
  <c r="E1278" i="23"/>
  <c r="E1274" i="23"/>
  <c r="E1270" i="23"/>
  <c r="E1266" i="23"/>
  <c r="E1262" i="23"/>
  <c r="E1258" i="23"/>
  <c r="E1254" i="23"/>
  <c r="E1250" i="23"/>
  <c r="E1246" i="23"/>
  <c r="E1242" i="23"/>
  <c r="E1238" i="23"/>
  <c r="E1234" i="23"/>
  <c r="E1230" i="23"/>
  <c r="E1226" i="23"/>
  <c r="E1222" i="23"/>
  <c r="E1218" i="23"/>
  <c r="E1214" i="23"/>
  <c r="E1210" i="23"/>
  <c r="E1206" i="23"/>
  <c r="E1202" i="23"/>
  <c r="E1198" i="23"/>
  <c r="E1194" i="23"/>
  <c r="E1190" i="23"/>
  <c r="E1186" i="23"/>
  <c r="E1182" i="23"/>
  <c r="E1178" i="23"/>
  <c r="E1174" i="23"/>
  <c r="E1170" i="23"/>
  <c r="E1166" i="23"/>
  <c r="E1162" i="23"/>
  <c r="E1158" i="23"/>
  <c r="E1154" i="23"/>
  <c r="E1150" i="23"/>
  <c r="E1146" i="23"/>
  <c r="E1142" i="23"/>
  <c r="E1138" i="23"/>
  <c r="E1134" i="23"/>
  <c r="E1130" i="23"/>
  <c r="E1126" i="23"/>
  <c r="E1122" i="23"/>
  <c r="E1118" i="23"/>
  <c r="E1114" i="23"/>
  <c r="E1110" i="23"/>
  <c r="E1106" i="23"/>
  <c r="E1102" i="23"/>
  <c r="E1098" i="23"/>
  <c r="E1094" i="23"/>
  <c r="E1090" i="23"/>
  <c r="E1086" i="23"/>
  <c r="E1082" i="23"/>
  <c r="E1078" i="23"/>
  <c r="E1074" i="23"/>
  <c r="E1070" i="23"/>
  <c r="E1066" i="23"/>
  <c r="E1062" i="23"/>
  <c r="E1058" i="23"/>
  <c r="E1054" i="23"/>
  <c r="E1050" i="23"/>
  <c r="E1046" i="23"/>
  <c r="E1042" i="23"/>
  <c r="E1038" i="23"/>
  <c r="E1034" i="23"/>
  <c r="E1030" i="23"/>
  <c r="E1026" i="23"/>
  <c r="E1022" i="23"/>
  <c r="E1018" i="23"/>
  <c r="E1014" i="23"/>
  <c r="E1010" i="23"/>
  <c r="E1006" i="23"/>
  <c r="E1002" i="23"/>
  <c r="E998" i="23"/>
  <c r="E994" i="23"/>
  <c r="E990" i="23"/>
  <c r="E986" i="23"/>
  <c r="E982" i="23"/>
  <c r="E978" i="23"/>
  <c r="E974" i="23"/>
  <c r="E970" i="23"/>
  <c r="E966" i="23"/>
  <c r="E962" i="23"/>
  <c r="E958" i="23"/>
  <c r="E954" i="23"/>
  <c r="E950" i="23"/>
  <c r="E946" i="23"/>
  <c r="E942" i="23"/>
  <c r="E938" i="23"/>
  <c r="E934" i="23"/>
  <c r="E930" i="23"/>
  <c r="E926" i="23"/>
  <c r="E922" i="23"/>
  <c r="E918" i="23"/>
  <c r="E914" i="23"/>
  <c r="E910" i="23"/>
  <c r="E906" i="23"/>
  <c r="E902" i="23"/>
  <c r="E898" i="23"/>
  <c r="E894" i="23"/>
  <c r="E890" i="23"/>
  <c r="E886" i="23"/>
  <c r="E882" i="23"/>
  <c r="E878" i="23"/>
  <c r="E874" i="23"/>
  <c r="E870" i="23"/>
  <c r="E866" i="23"/>
  <c r="E862" i="23"/>
  <c r="E858" i="23"/>
  <c r="E854" i="23"/>
  <c r="E850" i="23"/>
  <c r="E846" i="23"/>
  <c r="E842" i="23"/>
  <c r="E838" i="23"/>
  <c r="E834" i="23"/>
  <c r="E830" i="23"/>
  <c r="E826" i="23"/>
  <c r="E822" i="23"/>
  <c r="E818" i="23"/>
  <c r="E814" i="23"/>
  <c r="E810" i="23"/>
  <c r="E806" i="23"/>
  <c r="E802" i="23"/>
  <c r="E798" i="23"/>
  <c r="E794" i="23"/>
  <c r="E790" i="23"/>
  <c r="E786" i="23"/>
  <c r="E782" i="23"/>
  <c r="E778" i="23"/>
  <c r="E774" i="23"/>
  <c r="E770" i="23"/>
  <c r="E766" i="23"/>
  <c r="E762" i="23"/>
  <c r="E758" i="23"/>
  <c r="E754" i="23"/>
  <c r="E750" i="23"/>
  <c r="E746" i="23"/>
  <c r="E742" i="23"/>
  <c r="E738" i="23"/>
  <c r="E734" i="23"/>
  <c r="E730" i="23"/>
  <c r="E726" i="23"/>
  <c r="E722" i="23"/>
  <c r="E718" i="23"/>
  <c r="E714" i="23"/>
  <c r="E710" i="23"/>
  <c r="E706" i="23"/>
  <c r="E702" i="23"/>
  <c r="E698" i="23"/>
  <c r="E694" i="23"/>
  <c r="E690" i="23"/>
  <c r="E686" i="23"/>
  <c r="E682" i="23"/>
  <c r="E678" i="23"/>
  <c r="E674" i="23"/>
  <c r="E670" i="23"/>
  <c r="E666" i="23"/>
  <c r="E662" i="23"/>
  <c r="E658" i="23"/>
  <c r="E654" i="23"/>
  <c r="E650" i="23"/>
  <c r="E646" i="23"/>
  <c r="E642" i="23"/>
  <c r="E638" i="23"/>
  <c r="E634" i="23"/>
  <c r="E630" i="23"/>
  <c r="E626" i="23"/>
  <c r="E622" i="23"/>
  <c r="E618" i="23"/>
  <c r="E614" i="23"/>
  <c r="E610" i="23"/>
  <c r="E606" i="23"/>
  <c r="E602" i="23"/>
  <c r="E598" i="23"/>
  <c r="E594" i="23"/>
  <c r="E590" i="23"/>
  <c r="E586" i="23"/>
  <c r="E582" i="23"/>
  <c r="E578" i="23"/>
  <c r="E574" i="23"/>
  <c r="E570" i="23"/>
  <c r="E566" i="23"/>
  <c r="E562" i="23"/>
  <c r="E558" i="23"/>
  <c r="E554" i="23"/>
  <c r="E550" i="23"/>
  <c r="E546" i="23"/>
  <c r="E542" i="23"/>
  <c r="E538" i="23"/>
  <c r="E534" i="23"/>
  <c r="E530" i="23"/>
  <c r="E526" i="23"/>
  <c r="E522" i="23"/>
  <c r="E518" i="23"/>
  <c r="E514" i="23"/>
  <c r="E510" i="23"/>
  <c r="E506" i="23"/>
  <c r="E502" i="23"/>
  <c r="E498" i="23"/>
  <c r="E494" i="23"/>
  <c r="E490" i="23"/>
  <c r="E486" i="23"/>
  <c r="E482" i="23"/>
  <c r="E478" i="23"/>
  <c r="E474" i="23"/>
  <c r="E470" i="23"/>
  <c r="E466" i="23"/>
  <c r="E462" i="23"/>
  <c r="E458" i="23"/>
  <c r="E454" i="23"/>
  <c r="E450" i="23"/>
  <c r="E446" i="23"/>
  <c r="E442" i="23"/>
  <c r="E438" i="23"/>
  <c r="E434" i="23"/>
  <c r="E430" i="23"/>
  <c r="E426" i="23"/>
  <c r="E422" i="23"/>
  <c r="E418" i="23"/>
  <c r="E414" i="23"/>
  <c r="E410" i="23"/>
  <c r="E406" i="23"/>
  <c r="E402" i="23"/>
  <c r="E398" i="23"/>
  <c r="E394" i="23"/>
  <c r="E390" i="23"/>
  <c r="E386" i="23"/>
  <c r="E382" i="23"/>
  <c r="E378" i="23"/>
  <c r="E374" i="23"/>
  <c r="E370" i="23"/>
  <c r="E366" i="23"/>
  <c r="E362" i="23"/>
  <c r="E358" i="23"/>
  <c r="E354" i="23"/>
  <c r="E350" i="23"/>
  <c r="E346" i="23"/>
  <c r="E342" i="23"/>
  <c r="E338" i="23"/>
  <c r="E3489" i="23"/>
  <c r="E3257" i="23"/>
  <c r="E3129" i="23"/>
  <c r="E3001" i="23"/>
  <c r="E2936" i="23"/>
  <c r="E2872" i="23"/>
  <c r="E2808" i="23"/>
  <c r="E2744" i="23"/>
  <c r="E2680" i="23"/>
  <c r="E2616" i="23"/>
  <c r="E2556" i="23"/>
  <c r="E2538" i="23"/>
  <c r="E2522" i="23"/>
  <c r="E2506" i="23"/>
  <c r="E2490" i="23"/>
  <c r="E2474" i="23"/>
  <c r="E2458" i="23"/>
  <c r="E2442" i="23"/>
  <c r="E2426" i="23"/>
  <c r="E2410" i="23"/>
  <c r="E2394" i="23"/>
  <c r="E2378" i="23"/>
  <c r="E2362" i="23"/>
  <c r="E2346" i="23"/>
  <c r="E2330" i="23"/>
  <c r="E2314" i="23"/>
  <c r="E2298" i="23"/>
  <c r="E2282" i="23"/>
  <c r="E2266" i="23"/>
  <c r="E2250" i="23"/>
  <c r="E2234" i="23"/>
  <c r="E2218" i="23"/>
  <c r="E2202" i="23"/>
  <c r="E2186" i="23"/>
  <c r="E2170" i="23"/>
  <c r="E2154" i="23"/>
  <c r="E2138" i="23"/>
  <c r="E2122" i="23"/>
  <c r="E2106" i="23"/>
  <c r="E2090" i="23"/>
  <c r="E2074" i="23"/>
  <c r="E2058" i="23"/>
  <c r="E2042" i="23"/>
  <c r="E2026" i="23"/>
  <c r="E2010" i="23"/>
  <c r="E1994" i="23"/>
  <c r="E1978" i="23"/>
  <c r="E1962" i="23"/>
  <c r="E1946" i="23"/>
  <c r="E1930" i="23"/>
  <c r="E1914" i="23"/>
  <c r="E1898" i="23"/>
  <c r="E1882" i="23"/>
  <c r="E1866" i="23"/>
  <c r="E1850" i="23"/>
  <c r="E1834" i="23"/>
  <c r="E1818" i="23"/>
  <c r="E1802" i="23"/>
  <c r="E1786" i="23"/>
  <c r="E1770" i="23"/>
  <c r="E1754" i="23"/>
  <c r="E1738" i="23"/>
  <c r="E1722" i="23"/>
  <c r="E1706" i="23"/>
  <c r="E1690" i="23"/>
  <c r="E1674" i="23"/>
  <c r="E1658" i="23"/>
  <c r="E1642" i="23"/>
  <c r="E1626" i="23"/>
  <c r="E1610" i="23"/>
  <c r="E1594" i="23"/>
  <c r="E1578" i="23"/>
  <c r="E1562" i="23"/>
  <c r="E1546" i="23"/>
  <c r="E1530" i="23"/>
  <c r="E1514" i="23"/>
  <c r="E1498" i="23"/>
  <c r="E1482" i="23"/>
  <c r="E1466" i="23"/>
  <c r="E1450" i="23"/>
  <c r="E1434" i="23"/>
  <c r="E1418" i="23"/>
  <c r="E1402" i="23"/>
  <c r="E1386" i="23"/>
  <c r="E1370" i="23"/>
  <c r="E1361" i="23"/>
  <c r="E1357" i="23"/>
  <c r="E1353" i="23"/>
  <c r="E1349" i="23"/>
  <c r="E1345" i="23"/>
  <c r="E1341" i="23"/>
  <c r="E1337" i="23"/>
  <c r="E1333" i="23"/>
  <c r="E1329" i="23"/>
  <c r="E1325" i="23"/>
  <c r="E1321" i="23"/>
  <c r="E1317" i="23"/>
  <c r="E1313" i="23"/>
  <c r="E1309" i="23"/>
  <c r="E1305" i="23"/>
  <c r="E1301" i="23"/>
  <c r="E1297" i="23"/>
  <c r="E1293" i="23"/>
  <c r="E1289" i="23"/>
  <c r="E1285" i="23"/>
  <c r="E1281" i="23"/>
  <c r="E1277" i="23"/>
  <c r="E1273" i="23"/>
  <c r="E1269" i="23"/>
  <c r="E1265" i="23"/>
  <c r="E1261" i="23"/>
  <c r="E1257" i="23"/>
  <c r="E1253" i="23"/>
  <c r="E1249" i="23"/>
  <c r="E1245" i="23"/>
  <c r="E1241" i="23"/>
  <c r="E1237" i="23"/>
  <c r="E1233" i="23"/>
  <c r="E1229" i="23"/>
  <c r="E1225" i="23"/>
  <c r="E1221" i="23"/>
  <c r="E1217" i="23"/>
  <c r="E1213" i="23"/>
  <c r="E1209" i="23"/>
  <c r="E1205" i="23"/>
  <c r="E1201" i="23"/>
  <c r="E1197" i="23"/>
  <c r="E1193" i="23"/>
  <c r="E1189" i="23"/>
  <c r="E1185" i="23"/>
  <c r="E1181" i="23"/>
  <c r="E1177" i="23"/>
  <c r="E1173" i="23"/>
  <c r="E1169" i="23"/>
  <c r="E1165" i="23"/>
  <c r="E1161" i="23"/>
  <c r="E1157" i="23"/>
  <c r="E1153" i="23"/>
  <c r="E1149" i="23"/>
  <c r="E1145" i="23"/>
  <c r="E1141" i="23"/>
  <c r="E1137" i="23"/>
  <c r="E1133" i="23"/>
  <c r="E1129" i="23"/>
  <c r="E1125" i="23"/>
  <c r="E1121" i="23"/>
  <c r="E1117" i="23"/>
  <c r="E1113" i="23"/>
  <c r="E1109" i="23"/>
  <c r="E1105" i="23"/>
  <c r="E1101" i="23"/>
  <c r="E1097" i="23"/>
  <c r="E1093" i="23"/>
  <c r="E1089" i="23"/>
  <c r="E1085" i="23"/>
  <c r="E1081" i="23"/>
  <c r="E1077" i="23"/>
  <c r="E1073" i="23"/>
  <c r="E1069" i="23"/>
  <c r="E1065" i="23"/>
  <c r="E1061" i="23"/>
  <c r="E1057" i="23"/>
  <c r="E1053" i="23"/>
  <c r="E1049" i="23"/>
  <c r="E1045" i="23"/>
  <c r="E1041" i="23"/>
  <c r="E1037" i="23"/>
  <c r="E1033" i="23"/>
  <c r="E1029" i="23"/>
  <c r="E1025" i="23"/>
  <c r="E1021" i="23"/>
  <c r="E1017" i="23"/>
  <c r="E1013" i="23"/>
  <c r="E1009" i="23"/>
  <c r="E1005" i="23"/>
  <c r="E1001" i="23"/>
  <c r="E997" i="23"/>
  <c r="E993" i="23"/>
  <c r="E989" i="23"/>
  <c r="E985" i="23"/>
  <c r="E981" i="23"/>
  <c r="E977" i="23"/>
  <c r="E973" i="23"/>
  <c r="E969" i="23"/>
  <c r="E965" i="23"/>
  <c r="E961" i="23"/>
  <c r="E957" i="23"/>
  <c r="E953" i="23"/>
  <c r="E949" i="23"/>
  <c r="E945" i="23"/>
  <c r="E941" i="23"/>
  <c r="E937" i="23"/>
  <c r="E933" i="23"/>
  <c r="E929" i="23"/>
  <c r="E925" i="23"/>
  <c r="E921" i="23"/>
  <c r="E917" i="23"/>
  <c r="E913" i="23"/>
  <c r="E909" i="23"/>
  <c r="E905" i="23"/>
  <c r="E901" i="23"/>
  <c r="E897" i="23"/>
  <c r="E893" i="23"/>
  <c r="E889" i="23"/>
  <c r="E885" i="23"/>
  <c r="E881" i="23"/>
  <c r="E877" i="23"/>
  <c r="E873" i="23"/>
  <c r="E869" i="23"/>
  <c r="E865" i="23"/>
  <c r="E861" i="23"/>
  <c r="E857" i="23"/>
  <c r="E853" i="23"/>
  <c r="E849" i="23"/>
  <c r="E845" i="23"/>
  <c r="E841" i="23"/>
  <c r="E837" i="23"/>
  <c r="E833" i="23"/>
  <c r="E829" i="23"/>
  <c r="E825" i="23"/>
  <c r="E821" i="23"/>
  <c r="E817" i="23"/>
  <c r="E813" i="23"/>
  <c r="E809" i="23"/>
  <c r="E805" i="23"/>
  <c r="E801" i="23"/>
  <c r="E797" i="23"/>
  <c r="E793" i="23"/>
  <c r="E789" i="23"/>
  <c r="E785" i="23"/>
  <c r="E781" i="23"/>
  <c r="E777" i="23"/>
  <c r="E773" i="23"/>
  <c r="E769" i="23"/>
  <c r="E765" i="23"/>
  <c r="E761" i="23"/>
  <c r="E757" i="23"/>
  <c r="E753" i="23"/>
  <c r="E749" i="23"/>
  <c r="E745" i="23"/>
  <c r="E741" i="23"/>
  <c r="E737" i="23"/>
  <c r="E733" i="23"/>
  <c r="E729" i="23"/>
  <c r="E725" i="23"/>
  <c r="E721" i="23"/>
  <c r="E717" i="23"/>
  <c r="E713" i="23"/>
  <c r="E709" i="23"/>
  <c r="E705" i="23"/>
  <c r="E701" i="23"/>
  <c r="E697" i="23"/>
  <c r="E693" i="23"/>
  <c r="E689" i="23"/>
  <c r="E685" i="23"/>
  <c r="E681" i="23"/>
  <c r="E677" i="23"/>
  <c r="E673" i="23"/>
  <c r="E669" i="23"/>
  <c r="E665" i="23"/>
  <c r="E661" i="23"/>
  <c r="E657" i="23"/>
  <c r="E653" i="23"/>
  <c r="E649" i="23"/>
  <c r="E645" i="23"/>
  <c r="E641" i="23"/>
  <c r="E637" i="23"/>
  <c r="E633" i="23"/>
  <c r="E629" i="23"/>
  <c r="E625" i="23"/>
  <c r="E621" i="23"/>
  <c r="E617" i="23"/>
  <c r="E613" i="23"/>
  <c r="E609" i="23"/>
  <c r="E605" i="23"/>
  <c r="E601" i="23"/>
  <c r="E597" i="23"/>
  <c r="E593" i="23"/>
  <c r="E589" i="23"/>
  <c r="E585" i="23"/>
  <c r="E581" i="23"/>
  <c r="E577" i="23"/>
  <c r="E573" i="23"/>
  <c r="E569" i="23"/>
  <c r="E565" i="23"/>
  <c r="E561" i="23"/>
  <c r="E557" i="23"/>
  <c r="E553" i="23"/>
  <c r="E549" i="23"/>
  <c r="E545" i="23"/>
  <c r="E541" i="23"/>
  <c r="E537" i="23"/>
  <c r="E533" i="23"/>
  <c r="E529" i="23"/>
  <c r="E525" i="23"/>
  <c r="E521" i="23"/>
  <c r="E517" i="23"/>
  <c r="E513" i="23"/>
  <c r="E509" i="23"/>
  <c r="E505" i="23"/>
  <c r="E501" i="23"/>
  <c r="E497" i="23"/>
  <c r="E493" i="23"/>
  <c r="E489" i="23"/>
  <c r="E485" i="23"/>
  <c r="E481" i="23"/>
  <c r="E477" i="23"/>
  <c r="E473" i="23"/>
  <c r="E469" i="23"/>
  <c r="E465" i="23"/>
  <c r="E461" i="23"/>
  <c r="E457" i="23"/>
  <c r="E453" i="23"/>
  <c r="E449" i="23"/>
  <c r="E445" i="23"/>
  <c r="E441" i="23"/>
  <c r="E437" i="23"/>
  <c r="E433" i="23"/>
  <c r="E429" i="23"/>
  <c r="E425" i="23"/>
  <c r="E421" i="23"/>
  <c r="E417" i="23"/>
  <c r="E413" i="23"/>
  <c r="E409" i="23"/>
  <c r="E405" i="23"/>
  <c r="E401" i="23"/>
  <c r="E397" i="23"/>
  <c r="E393" i="23"/>
  <c r="E389" i="23"/>
  <c r="E385" i="23"/>
  <c r="E381" i="23"/>
  <c r="E377" i="23"/>
  <c r="E373" i="23"/>
  <c r="E369" i="23"/>
  <c r="E365" i="23"/>
  <c r="E361" i="23"/>
  <c r="E357" i="23"/>
  <c r="E353" i="23"/>
  <c r="E349" i="23"/>
  <c r="E345" i="23"/>
  <c r="E341" i="23"/>
  <c r="E3425" i="23"/>
  <c r="E2920" i="23"/>
  <c r="E2664" i="23"/>
  <c r="E2518" i="23"/>
  <c r="E2454" i="23"/>
  <c r="E2390" i="23"/>
  <c r="E2326" i="23"/>
  <c r="E2262" i="23"/>
  <c r="E2198" i="23"/>
  <c r="E2134" i="23"/>
  <c r="E2070" i="23"/>
  <c r="E2006" i="23"/>
  <c r="E1942" i="23"/>
  <c r="E1878" i="23"/>
  <c r="E1814" i="23"/>
  <c r="E1750" i="23"/>
  <c r="E1686" i="23"/>
  <c r="E1622" i="23"/>
  <c r="E1558" i="23"/>
  <c r="E1494" i="23"/>
  <c r="E1430" i="23"/>
  <c r="E1366" i="23"/>
  <c r="E1348" i="23"/>
  <c r="E1332" i="23"/>
  <c r="E1316" i="23"/>
  <c r="E1300" i="23"/>
  <c r="E1284" i="23"/>
  <c r="E1268" i="23"/>
  <c r="E1252" i="23"/>
  <c r="E1236" i="23"/>
  <c r="E1220" i="23"/>
  <c r="E1204" i="23"/>
  <c r="E1188" i="23"/>
  <c r="E1172" i="23"/>
  <c r="E1156" i="23"/>
  <c r="E1140" i="23"/>
  <c r="E1124" i="23"/>
  <c r="E1108" i="23"/>
  <c r="E1092" i="23"/>
  <c r="E1076" i="23"/>
  <c r="E1060" i="23"/>
  <c r="E1044" i="23"/>
  <c r="E1028" i="23"/>
  <c r="E1012" i="23"/>
  <c r="E996" i="23"/>
  <c r="E980" i="23"/>
  <c r="E964" i="23"/>
  <c r="E948" i="23"/>
  <c r="E932" i="23"/>
  <c r="E916" i="23"/>
  <c r="E900" i="23"/>
  <c r="E884" i="23"/>
  <c r="E868" i="23"/>
  <c r="E852" i="23"/>
  <c r="E836" i="23"/>
  <c r="E820" i="23"/>
  <c r="E804" i="23"/>
  <c r="E788" i="23"/>
  <c r="E772" i="23"/>
  <c r="E756" i="23"/>
  <c r="E740" i="23"/>
  <c r="E724" i="23"/>
  <c r="E708" i="23"/>
  <c r="E692" i="23"/>
  <c r="E676" i="23"/>
  <c r="E660" i="23"/>
  <c r="E644" i="23"/>
  <c r="E628" i="23"/>
  <c r="E612" i="23"/>
  <c r="E596" i="23"/>
  <c r="E580" i="23"/>
  <c r="E564" i="23"/>
  <c r="E548" i="23"/>
  <c r="E532" i="23"/>
  <c r="E516" i="23"/>
  <c r="E500" i="23"/>
  <c r="E484" i="23"/>
  <c r="E468" i="23"/>
  <c r="E452" i="23"/>
  <c r="E436" i="23"/>
  <c r="E420" i="23"/>
  <c r="E404" i="23"/>
  <c r="E388" i="23"/>
  <c r="E372" i="23"/>
  <c r="E356" i="23"/>
  <c r="E340" i="23"/>
  <c r="E335" i="23"/>
  <c r="E331" i="23"/>
  <c r="E327" i="23"/>
  <c r="E323" i="23"/>
  <c r="E319" i="23"/>
  <c r="E315" i="23"/>
  <c r="E311" i="23"/>
  <c r="E307" i="23"/>
  <c r="E303" i="23"/>
  <c r="E299" i="23"/>
  <c r="E295" i="23"/>
  <c r="E291" i="23"/>
  <c r="E287" i="23"/>
  <c r="E283" i="23"/>
  <c r="E279" i="23"/>
  <c r="E275" i="23"/>
  <c r="E271" i="23"/>
  <c r="E267" i="23"/>
  <c r="E263" i="23"/>
  <c r="E259" i="23"/>
  <c r="E255" i="23"/>
  <c r="E251" i="23"/>
  <c r="E247" i="23"/>
  <c r="E243" i="23"/>
  <c r="E239" i="23"/>
  <c r="E235" i="23"/>
  <c r="E231" i="23"/>
  <c r="E227" i="23"/>
  <c r="E223" i="23"/>
  <c r="E219" i="23"/>
  <c r="E215" i="23"/>
  <c r="E211" i="23"/>
  <c r="E207" i="23"/>
  <c r="E203" i="23"/>
  <c r="E199" i="23"/>
  <c r="E195" i="23"/>
  <c r="E191" i="23"/>
  <c r="E187" i="23"/>
  <c r="E183" i="23"/>
  <c r="E179" i="23"/>
  <c r="E175" i="23"/>
  <c r="E171" i="23"/>
  <c r="E167" i="23"/>
  <c r="E163" i="23"/>
  <c r="E159" i="23"/>
  <c r="E155" i="23"/>
  <c r="E151" i="23"/>
  <c r="E147" i="23"/>
  <c r="E143" i="23"/>
  <c r="E139" i="23"/>
  <c r="E135" i="23"/>
  <c r="E131" i="23"/>
  <c r="E127" i="23"/>
  <c r="E123" i="23"/>
  <c r="E119" i="23"/>
  <c r="E115" i="23"/>
  <c r="E111" i="23"/>
  <c r="E107" i="23"/>
  <c r="E103" i="23"/>
  <c r="E99" i="23"/>
  <c r="E95" i="23"/>
  <c r="E91" i="23"/>
  <c r="E87" i="23"/>
  <c r="E83" i="23"/>
  <c r="E79" i="23"/>
  <c r="E75" i="23"/>
  <c r="E71" i="23"/>
  <c r="E67" i="23"/>
  <c r="E63" i="23"/>
  <c r="E59" i="23"/>
  <c r="E55" i="23"/>
  <c r="E51" i="23"/>
  <c r="E47" i="23"/>
  <c r="E43" i="23"/>
  <c r="E39" i="23"/>
  <c r="E35" i="23"/>
  <c r="E31" i="23"/>
  <c r="E27" i="23"/>
  <c r="E23" i="23"/>
  <c r="E19" i="23"/>
  <c r="E15" i="23"/>
  <c r="E11" i="23"/>
  <c r="E7" i="23"/>
  <c r="E3" i="23"/>
  <c r="E3225" i="23"/>
  <c r="E2856" i="23"/>
  <c r="E2600" i="23"/>
  <c r="E2502" i="23"/>
  <c r="E2438" i="23"/>
  <c r="E2374" i="23"/>
  <c r="E2310" i="23"/>
  <c r="E2246" i="23"/>
  <c r="E2182" i="23"/>
  <c r="E2118" i="23"/>
  <c r="E2054" i="23"/>
  <c r="E1990" i="23"/>
  <c r="E1926" i="23"/>
  <c r="E1862" i="23"/>
  <c r="E1798" i="23"/>
  <c r="E1734" i="23"/>
  <c r="E1670" i="23"/>
  <c r="E1606" i="23"/>
  <c r="E1542" i="23"/>
  <c r="E1478" i="23"/>
  <c r="E1414" i="23"/>
  <c r="E1360" i="23"/>
  <c r="E1344" i="23"/>
  <c r="E1328" i="23"/>
  <c r="E1312" i="23"/>
  <c r="E1296" i="23"/>
  <c r="E1280" i="23"/>
  <c r="E1264" i="23"/>
  <c r="E1248" i="23"/>
  <c r="E1232" i="23"/>
  <c r="E1216" i="23"/>
  <c r="E1200" i="23"/>
  <c r="E1184" i="23"/>
  <c r="E1168" i="23"/>
  <c r="E1152" i="23"/>
  <c r="E1136" i="23"/>
  <c r="E1120" i="23"/>
  <c r="E1104" i="23"/>
  <c r="E1088" i="23"/>
  <c r="E1072" i="23"/>
  <c r="E1056" i="23"/>
  <c r="E1040" i="23"/>
  <c r="E1024" i="23"/>
  <c r="E1008" i="23"/>
  <c r="E992" i="23"/>
  <c r="E976" i="23"/>
  <c r="E960" i="23"/>
  <c r="E944" i="23"/>
  <c r="E928" i="23"/>
  <c r="E912" i="23"/>
  <c r="E896" i="23"/>
  <c r="E880" i="23"/>
  <c r="E864" i="23"/>
  <c r="E848" i="23"/>
  <c r="E832" i="23"/>
  <c r="E816" i="23"/>
  <c r="E800" i="23"/>
  <c r="E784" i="23"/>
  <c r="E768" i="23"/>
  <c r="E752" i="23"/>
  <c r="E736" i="23"/>
  <c r="E720" i="23"/>
  <c r="E704" i="23"/>
  <c r="E688" i="23"/>
  <c r="E672" i="23"/>
  <c r="E656" i="23"/>
  <c r="E640" i="23"/>
  <c r="E624" i="23"/>
  <c r="E608" i="23"/>
  <c r="E592" i="23"/>
  <c r="E576" i="23"/>
  <c r="E560" i="23"/>
  <c r="E544" i="23"/>
  <c r="E528" i="23"/>
  <c r="E512" i="23"/>
  <c r="E496" i="23"/>
  <c r="E480" i="23"/>
  <c r="E464" i="23"/>
  <c r="E448" i="23"/>
  <c r="E432" i="23"/>
  <c r="E416" i="23"/>
  <c r="E400" i="23"/>
  <c r="E384" i="23"/>
  <c r="E368" i="23"/>
  <c r="E352" i="23"/>
  <c r="E339" i="23"/>
  <c r="E334" i="23"/>
  <c r="E330" i="23"/>
  <c r="E326" i="23"/>
  <c r="E322" i="23"/>
  <c r="E318" i="23"/>
  <c r="E314" i="23"/>
  <c r="E310" i="23"/>
  <c r="E306" i="23"/>
  <c r="E302" i="23"/>
  <c r="E298" i="23"/>
  <c r="E294" i="23"/>
  <c r="E290" i="23"/>
  <c r="E286" i="23"/>
  <c r="E282" i="23"/>
  <c r="E278" i="23"/>
  <c r="E274" i="23"/>
  <c r="E270" i="23"/>
  <c r="E266" i="23"/>
  <c r="E262" i="23"/>
  <c r="E258" i="23"/>
  <c r="E254" i="23"/>
  <c r="E250" i="23"/>
  <c r="E246" i="23"/>
  <c r="E242" i="23"/>
  <c r="E238" i="23"/>
  <c r="E234" i="23"/>
  <c r="E230" i="23"/>
  <c r="E226" i="23"/>
  <c r="E222" i="23"/>
  <c r="E218" i="23"/>
  <c r="E214" i="23"/>
  <c r="E210" i="23"/>
  <c r="E206" i="23"/>
  <c r="E202" i="23"/>
  <c r="E198" i="23"/>
  <c r="E194" i="23"/>
  <c r="E190" i="23"/>
  <c r="E186" i="23"/>
  <c r="E182" i="23"/>
  <c r="E178" i="23"/>
  <c r="E174" i="23"/>
  <c r="E170" i="23"/>
  <c r="E166" i="23"/>
  <c r="E162" i="23"/>
  <c r="E158" i="23"/>
  <c r="E154" i="23"/>
  <c r="E150" i="23"/>
  <c r="E146" i="23"/>
  <c r="E142" i="23"/>
  <c r="E138" i="23"/>
  <c r="E134" i="23"/>
  <c r="E130" i="23"/>
  <c r="E126" i="23"/>
  <c r="E122" i="23"/>
  <c r="E118" i="23"/>
  <c r="E114" i="23"/>
  <c r="E110" i="23"/>
  <c r="E106" i="23"/>
  <c r="E102" i="23"/>
  <c r="E98" i="23"/>
  <c r="E94" i="23"/>
  <c r="E90" i="23"/>
  <c r="E86" i="23"/>
  <c r="E82" i="23"/>
  <c r="E78" i="23"/>
  <c r="E74" i="23"/>
  <c r="E70" i="23"/>
  <c r="E66" i="23"/>
  <c r="E62" i="23"/>
  <c r="E58" i="23"/>
  <c r="E54" i="23"/>
  <c r="E50" i="23"/>
  <c r="E46" i="23"/>
  <c r="E42" i="23"/>
  <c r="E38" i="23"/>
  <c r="E34" i="23"/>
  <c r="E30" i="23"/>
  <c r="E26" i="23"/>
  <c r="E22" i="23"/>
  <c r="E18" i="23"/>
  <c r="E14" i="23"/>
  <c r="E10" i="23"/>
  <c r="E6" i="23"/>
  <c r="E2" i="23"/>
  <c r="E2728" i="23"/>
  <c r="E2534" i="23"/>
  <c r="E2406" i="23"/>
  <c r="E2278" i="23"/>
  <c r="E2150" i="23"/>
  <c r="E2022" i="23"/>
  <c r="E1830" i="23"/>
  <c r="E1702" i="23"/>
  <c r="E1574" i="23"/>
  <c r="E1446" i="23"/>
  <c r="E1352" i="23"/>
  <c r="E1304" i="23"/>
  <c r="E1272" i="23"/>
  <c r="E1240" i="23"/>
  <c r="E1192" i="23"/>
  <c r="E1160" i="23"/>
  <c r="E1128" i="23"/>
  <c r="E1096" i="23"/>
  <c r="E1064" i="23"/>
  <c r="E1032" i="23"/>
  <c r="E1000" i="23"/>
  <c r="E968" i="23"/>
  <c r="E936" i="23"/>
  <c r="E904" i="23"/>
  <c r="E872" i="23"/>
  <c r="E840" i="23"/>
  <c r="E808" i="23"/>
  <c r="E776" i="23"/>
  <c r="E744" i="23"/>
  <c r="E712" i="23"/>
  <c r="E680" i="23"/>
  <c r="E632" i="23"/>
  <c r="E600" i="23"/>
  <c r="E568" i="23"/>
  <c r="E536" i="23"/>
  <c r="E504" i="23"/>
  <c r="E472" i="23"/>
  <c r="E440" i="23"/>
  <c r="E408" i="23"/>
  <c r="E376" i="23"/>
  <c r="E344" i="23"/>
  <c r="E332" i="23"/>
  <c r="E324" i="23"/>
  <c r="E316" i="23"/>
  <c r="E308" i="23"/>
  <c r="E300" i="23"/>
  <c r="E292" i="23"/>
  <c r="E284" i="23"/>
  <c r="E276" i="23"/>
  <c r="E268" i="23"/>
  <c r="E256" i="23"/>
  <c r="E248" i="23"/>
  <c r="E240" i="23"/>
  <c r="E232" i="23"/>
  <c r="E224" i="23"/>
  <c r="E212" i="23"/>
  <c r="E204" i="23"/>
  <c r="E196" i="23"/>
  <c r="E188" i="23"/>
  <c r="E180" i="23"/>
  <c r="E172" i="23"/>
  <c r="E164" i="23"/>
  <c r="E156" i="23"/>
  <c r="E152" i="23"/>
  <c r="E144" i="23"/>
  <c r="E132" i="23"/>
  <c r="E124" i="23"/>
  <c r="E116" i="23"/>
  <c r="E108" i="23"/>
  <c r="E100" i="23"/>
  <c r="E92" i="23"/>
  <c r="E84" i="23"/>
  <c r="E76" i="23"/>
  <c r="E68" i="23"/>
  <c r="E60" i="23"/>
  <c r="E52" i="23"/>
  <c r="E44" i="23"/>
  <c r="E32" i="23"/>
  <c r="E24" i="23"/>
  <c r="E12" i="23"/>
  <c r="E4" i="23"/>
  <c r="E3097" i="23"/>
  <c r="E2792" i="23"/>
  <c r="E2550" i="23"/>
  <c r="E2486" i="23"/>
  <c r="E2422" i="23"/>
  <c r="E2358" i="23"/>
  <c r="E2294" i="23"/>
  <c r="E2230" i="23"/>
  <c r="E2166" i="23"/>
  <c r="E2102" i="23"/>
  <c r="E2038" i="23"/>
  <c r="E1974" i="23"/>
  <c r="E1910" i="23"/>
  <c r="E1846" i="23"/>
  <c r="E1782" i="23"/>
  <c r="E1718" i="23"/>
  <c r="E1654" i="23"/>
  <c r="E1590" i="23"/>
  <c r="E1526" i="23"/>
  <c r="E1462" i="23"/>
  <c r="E1398" i="23"/>
  <c r="E1356" i="23"/>
  <c r="E1340" i="23"/>
  <c r="E1324" i="23"/>
  <c r="E1308" i="23"/>
  <c r="E1292" i="23"/>
  <c r="E1276" i="23"/>
  <c r="E1260" i="23"/>
  <c r="E1244" i="23"/>
  <c r="E1228" i="23"/>
  <c r="E1212" i="23"/>
  <c r="E1196" i="23"/>
  <c r="E1180" i="23"/>
  <c r="E1164" i="23"/>
  <c r="E1148" i="23"/>
  <c r="E1132" i="23"/>
  <c r="E1116" i="23"/>
  <c r="E1100" i="23"/>
  <c r="E1084" i="23"/>
  <c r="E1068" i="23"/>
  <c r="E1052" i="23"/>
  <c r="E1036" i="23"/>
  <c r="E1020" i="23"/>
  <c r="E1004" i="23"/>
  <c r="E988" i="23"/>
  <c r="E972" i="23"/>
  <c r="E956" i="23"/>
  <c r="E940" i="23"/>
  <c r="E924" i="23"/>
  <c r="E908" i="23"/>
  <c r="E892" i="23"/>
  <c r="E876" i="23"/>
  <c r="E860" i="23"/>
  <c r="E844" i="23"/>
  <c r="E828" i="23"/>
  <c r="E812" i="23"/>
  <c r="E796" i="23"/>
  <c r="E780" i="23"/>
  <c r="E764" i="23"/>
  <c r="E748" i="23"/>
  <c r="E732" i="23"/>
  <c r="E716" i="23"/>
  <c r="E700" i="23"/>
  <c r="E684" i="23"/>
  <c r="E668" i="23"/>
  <c r="E652" i="23"/>
  <c r="E636" i="23"/>
  <c r="E620" i="23"/>
  <c r="E604" i="23"/>
  <c r="E588" i="23"/>
  <c r="E572" i="23"/>
  <c r="E556" i="23"/>
  <c r="E540" i="23"/>
  <c r="E524" i="23"/>
  <c r="E508" i="23"/>
  <c r="E492" i="23"/>
  <c r="E476" i="23"/>
  <c r="E460" i="23"/>
  <c r="E444" i="23"/>
  <c r="E428" i="23"/>
  <c r="E412" i="23"/>
  <c r="E396" i="23"/>
  <c r="E380" i="23"/>
  <c r="E364" i="23"/>
  <c r="E348" i="23"/>
  <c r="E337" i="23"/>
  <c r="E333" i="23"/>
  <c r="E329" i="23"/>
  <c r="E325" i="23"/>
  <c r="E321" i="23"/>
  <c r="E317" i="23"/>
  <c r="E313" i="23"/>
  <c r="E309" i="23"/>
  <c r="E305" i="23"/>
  <c r="E301" i="23"/>
  <c r="E297" i="23"/>
  <c r="E293" i="23"/>
  <c r="E289" i="23"/>
  <c r="E285" i="23"/>
  <c r="E281" i="23"/>
  <c r="E277" i="23"/>
  <c r="E273" i="23"/>
  <c r="E269" i="23"/>
  <c r="E265" i="23"/>
  <c r="E261" i="23"/>
  <c r="E257" i="23"/>
  <c r="E253" i="23"/>
  <c r="E249" i="23"/>
  <c r="E245" i="23"/>
  <c r="E241" i="23"/>
  <c r="E237" i="23"/>
  <c r="E233" i="23"/>
  <c r="E229" i="23"/>
  <c r="E225" i="23"/>
  <c r="E221" i="23"/>
  <c r="E217" i="23"/>
  <c r="E213" i="23"/>
  <c r="E209" i="23"/>
  <c r="E205" i="23"/>
  <c r="E201" i="23"/>
  <c r="E197" i="23"/>
  <c r="E193" i="23"/>
  <c r="E189" i="23"/>
  <c r="E185" i="23"/>
  <c r="E181" i="23"/>
  <c r="E177" i="23"/>
  <c r="E173" i="23"/>
  <c r="E169" i="23"/>
  <c r="E165" i="23"/>
  <c r="E161" i="23"/>
  <c r="E157" i="23"/>
  <c r="E153" i="23"/>
  <c r="E149" i="23"/>
  <c r="E145" i="23"/>
  <c r="E141" i="23"/>
  <c r="E137" i="23"/>
  <c r="E133" i="23"/>
  <c r="E129" i="23"/>
  <c r="E125" i="23"/>
  <c r="E121" i="23"/>
  <c r="E117" i="23"/>
  <c r="E113" i="23"/>
  <c r="E109" i="23"/>
  <c r="E105" i="23"/>
  <c r="E101" i="23"/>
  <c r="E97" i="23"/>
  <c r="E93" i="23"/>
  <c r="E89" i="23"/>
  <c r="E85" i="23"/>
  <c r="E81" i="23"/>
  <c r="E77" i="23"/>
  <c r="E73" i="23"/>
  <c r="E69" i="23"/>
  <c r="E65" i="23"/>
  <c r="E61" i="23"/>
  <c r="E57" i="23"/>
  <c r="E53" i="23"/>
  <c r="E49" i="23"/>
  <c r="E45" i="23"/>
  <c r="E41" i="23"/>
  <c r="E37" i="23"/>
  <c r="E33" i="23"/>
  <c r="E29" i="23"/>
  <c r="E25" i="23"/>
  <c r="E21" i="23"/>
  <c r="E17" i="23"/>
  <c r="E13" i="23"/>
  <c r="E9" i="23"/>
  <c r="E5" i="23"/>
  <c r="E2984" i="23"/>
  <c r="E2470" i="23"/>
  <c r="E2342" i="23"/>
  <c r="E2214" i="23"/>
  <c r="E2086" i="23"/>
  <c r="E1958" i="23"/>
  <c r="E1894" i="23"/>
  <c r="E1766" i="23"/>
  <c r="E1638" i="23"/>
  <c r="E1510" i="23"/>
  <c r="E1382" i="23"/>
  <c r="E1336" i="23"/>
  <c r="E1320" i="23"/>
  <c r="E1288" i="23"/>
  <c r="E1256" i="23"/>
  <c r="E1224" i="23"/>
  <c r="E1208" i="23"/>
  <c r="E1176" i="23"/>
  <c r="E1144" i="23"/>
  <c r="E1112" i="23"/>
  <c r="E1080" i="23"/>
  <c r="E1048" i="23"/>
  <c r="E1016" i="23"/>
  <c r="E984" i="23"/>
  <c r="E952" i="23"/>
  <c r="E920" i="23"/>
  <c r="E888" i="23"/>
  <c r="E856" i="23"/>
  <c r="E824" i="23"/>
  <c r="E792" i="23"/>
  <c r="E760" i="23"/>
  <c r="E728" i="23"/>
  <c r="E696" i="23"/>
  <c r="E664" i="23"/>
  <c r="E648" i="23"/>
  <c r="E616" i="23"/>
  <c r="E584" i="23"/>
  <c r="E552" i="23"/>
  <c r="E520" i="23"/>
  <c r="E488" i="23"/>
  <c r="E456" i="23"/>
  <c r="E424" i="23"/>
  <c r="E392" i="23"/>
  <c r="E360" i="23"/>
  <c r="E336" i="23"/>
  <c r="E328" i="23"/>
  <c r="E320" i="23"/>
  <c r="E312" i="23"/>
  <c r="E304" i="23"/>
  <c r="E296" i="23"/>
  <c r="E288" i="23"/>
  <c r="E280" i="23"/>
  <c r="E272" i="23"/>
  <c r="E264" i="23"/>
  <c r="E260" i="23"/>
  <c r="E252" i="23"/>
  <c r="E244" i="23"/>
  <c r="E236" i="23"/>
  <c r="E228" i="23"/>
  <c r="E220" i="23"/>
  <c r="E216" i="23"/>
  <c r="E208" i="23"/>
  <c r="E200" i="23"/>
  <c r="E192" i="23"/>
  <c r="E184" i="23"/>
  <c r="E176" i="23"/>
  <c r="E168" i="23"/>
  <c r="E160" i="23"/>
  <c r="E148" i="23"/>
  <c r="E140" i="23"/>
  <c r="E136" i="23"/>
  <c r="E128" i="23"/>
  <c r="E120" i="23"/>
  <c r="E112" i="23"/>
  <c r="E104" i="23"/>
  <c r="E96" i="23"/>
  <c r="E88" i="23"/>
  <c r="E80" i="23"/>
  <c r="E72" i="23"/>
  <c r="E64" i="23"/>
  <c r="E56" i="23"/>
  <c r="E48" i="23"/>
  <c r="E40" i="23"/>
  <c r="E36" i="23"/>
  <c r="E28" i="23"/>
  <c r="E20" i="23"/>
  <c r="E16" i="23"/>
  <c r="E8" i="23"/>
  <c r="S51" i="2"/>
  <c r="Z141" i="2"/>
  <c r="L3" i="22"/>
  <c r="Z19" i="2"/>
  <c r="Z17" i="2"/>
  <c r="Z20" i="2"/>
  <c r="Z15" i="2"/>
  <c r="Z11" i="2"/>
  <c r="Z102" i="2"/>
  <c r="Z104" i="2"/>
  <c r="Z103" i="2"/>
  <c r="J24" i="20"/>
  <c r="J26" i="20"/>
  <c r="J23" i="20"/>
  <c r="J21" i="20"/>
  <c r="J19" i="20"/>
  <c r="J20" i="20"/>
  <c r="J27" i="20"/>
  <c r="AT55" i="19"/>
  <c r="J18" i="20"/>
  <c r="J31" i="20"/>
  <c r="J22" i="20"/>
  <c r="Y25" i="2"/>
  <c r="H86" i="2"/>
  <c r="K86" i="2" s="1"/>
  <c r="Q90" i="2"/>
  <c r="T90" i="2" s="1"/>
  <c r="Z90" i="2" s="1"/>
  <c r="H78" i="2"/>
  <c r="K78" i="2" s="1"/>
  <c r="AH18" i="20" s="1"/>
  <c r="H89" i="2"/>
  <c r="K89" i="2" s="1"/>
  <c r="AH29" i="20" s="1"/>
  <c r="H85" i="2"/>
  <c r="K85" i="2" s="1"/>
  <c r="AH25" i="20" s="1"/>
  <c r="H81" i="2"/>
  <c r="K81" i="2" s="1"/>
  <c r="AH21" i="20" s="1"/>
  <c r="H77" i="2"/>
  <c r="K77" i="2" s="1"/>
  <c r="AH17" i="20" s="1"/>
  <c r="Q92" i="2"/>
  <c r="T92" i="2" s="1"/>
  <c r="Z92" i="2" s="1"/>
  <c r="H88" i="2"/>
  <c r="K88" i="2" s="1"/>
  <c r="AH28" i="20" s="1"/>
  <c r="H84" i="2"/>
  <c r="K84" i="2" s="1"/>
  <c r="AH24" i="20" s="1"/>
  <c r="H80" i="2"/>
  <c r="K80" i="2" s="1"/>
  <c r="AH20" i="20" s="1"/>
  <c r="H76" i="2"/>
  <c r="K76" i="2" s="1"/>
  <c r="AH16" i="20" s="1"/>
  <c r="J25" i="20"/>
  <c r="Y37" i="2"/>
  <c r="Q94" i="2"/>
  <c r="T94" i="2" s="1"/>
  <c r="Z94" i="2" s="1"/>
  <c r="H82" i="2"/>
  <c r="K82" i="2" s="1"/>
  <c r="AH22" i="20" s="1"/>
  <c r="Q91" i="2"/>
  <c r="T91" i="2" s="1"/>
  <c r="Z91" i="2" s="1"/>
  <c r="H87" i="2"/>
  <c r="K87" i="2" s="1"/>
  <c r="AH27" i="20" s="1"/>
  <c r="H83" i="2"/>
  <c r="K83" i="2" s="1"/>
  <c r="AH23" i="20" s="1"/>
  <c r="H79" i="2"/>
  <c r="K79" i="2" s="1"/>
  <c r="H75" i="2"/>
  <c r="K75" i="2" s="1"/>
  <c r="AH15" i="20" s="1"/>
  <c r="AW23" i="20"/>
  <c r="AW13" i="20"/>
  <c r="H74" i="2"/>
  <c r="K74" i="2" s="1"/>
  <c r="AH14" i="20" s="1"/>
  <c r="AI54" i="20"/>
  <c r="AH33" i="20"/>
  <c r="Q73" i="2"/>
  <c r="T73" i="2" s="1"/>
  <c r="Z73" i="2" s="1"/>
  <c r="AS33" i="20"/>
  <c r="R93" i="2" s="1"/>
  <c r="U93" i="2" s="1"/>
  <c r="Y13" i="2"/>
  <c r="Z13" i="2" s="1"/>
  <c r="L56" i="20"/>
  <c r="L54" i="20"/>
  <c r="L55" i="20"/>
  <c r="M9" i="20"/>
  <c r="AS13" i="20"/>
  <c r="R73" i="2" s="1"/>
  <c r="U73" i="2" s="1"/>
  <c r="AS23" i="20"/>
  <c r="R83" i="2" s="1"/>
  <c r="U83" i="2" s="1"/>
  <c r="A148" i="2"/>
  <c r="D147" i="2"/>
  <c r="AT55" i="1"/>
  <c r="AT55" i="20"/>
  <c r="Z61" i="2"/>
  <c r="T61" i="2"/>
  <c r="T65" i="2"/>
  <c r="Y65" i="2"/>
  <c r="Z65" i="2" s="1"/>
  <c r="Q63" i="2"/>
  <c r="X63" i="2"/>
  <c r="V16" i="20"/>
  <c r="Q64" i="2" s="1"/>
  <c r="X64" i="2"/>
  <c r="Y21" i="2"/>
  <c r="Z21" i="2" s="1"/>
  <c r="AI55" i="19"/>
  <c r="AI55" i="20"/>
  <c r="AI55" i="1"/>
  <c r="AI53" i="1"/>
  <c r="AI54" i="19"/>
  <c r="AI54" i="1"/>
  <c r="AI53" i="20"/>
  <c r="AI53" i="19"/>
  <c r="Y16" i="2"/>
  <c r="Z16" i="2" s="1"/>
  <c r="S4" i="20"/>
  <c r="Y12" i="2"/>
  <c r="Z12" i="2" s="1"/>
  <c r="G65" i="2"/>
  <c r="J65" i="2" s="1"/>
  <c r="H66" i="2"/>
  <c r="K66" i="2" s="1"/>
  <c r="H67" i="2"/>
  <c r="K67" i="2" s="1"/>
  <c r="H68" i="2"/>
  <c r="K68" i="2" s="1"/>
  <c r="H69" i="2"/>
  <c r="K69" i="2" s="1"/>
  <c r="H70" i="2"/>
  <c r="K70" i="2" s="1"/>
  <c r="D62" i="2"/>
  <c r="D63" i="2"/>
  <c r="D64" i="2"/>
  <c r="D65" i="2"/>
  <c r="D66" i="2"/>
  <c r="D67" i="2"/>
  <c r="D68" i="2"/>
  <c r="D69" i="2"/>
  <c r="D70" i="2"/>
  <c r="G95" i="2"/>
  <c r="W95" i="2" s="1"/>
  <c r="AU16" i="19"/>
  <c r="AU21" i="19"/>
  <c r="AU23" i="20"/>
  <c r="AU25" i="19"/>
  <c r="AU29" i="19"/>
  <c r="AU32" i="20"/>
  <c r="AU22" i="19"/>
  <c r="AU28" i="19"/>
  <c r="AU24" i="19"/>
  <c r="AU34" i="20"/>
  <c r="AU15" i="19"/>
  <c r="AU26" i="19"/>
  <c r="AU27" i="19"/>
  <c r="AU17" i="19"/>
  <c r="AU19" i="19"/>
  <c r="AU30" i="20"/>
  <c r="AU31" i="20"/>
  <c r="AU23" i="19"/>
  <c r="AU20" i="19"/>
  <c r="AU18" i="19"/>
  <c r="AU14" i="20"/>
  <c r="D1440" i="23" l="1"/>
  <c r="D1436" i="23"/>
  <c r="D1432" i="23"/>
  <c r="D1428" i="23"/>
  <c r="D1424" i="23"/>
  <c r="D1420" i="23"/>
  <c r="D1416" i="23"/>
  <c r="D1412" i="23"/>
  <c r="D1443" i="23"/>
  <c r="D1439" i="23"/>
  <c r="D1435" i="23"/>
  <c r="D1431" i="23"/>
  <c r="D1427" i="23"/>
  <c r="D1423" i="23"/>
  <c r="D1419" i="23"/>
  <c r="D1415" i="23"/>
  <c r="D1411" i="23"/>
  <c r="D1433" i="23"/>
  <c r="D1421" i="23"/>
  <c r="D1442" i="23"/>
  <c r="D1438" i="23"/>
  <c r="D1434" i="23"/>
  <c r="D1430" i="23"/>
  <c r="D1426" i="23"/>
  <c r="D1422" i="23"/>
  <c r="D1418" i="23"/>
  <c r="D1414" i="23"/>
  <c r="D1410" i="23"/>
  <c r="D1437" i="23"/>
  <c r="D1429" i="23"/>
  <c r="D1417" i="23"/>
  <c r="D1441" i="23"/>
  <c r="D1425" i="23"/>
  <c r="D1413" i="23"/>
  <c r="J6" i="22"/>
  <c r="F6" i="22"/>
  <c r="G5" i="22"/>
  <c r="H4" i="22"/>
  <c r="I3" i="22"/>
  <c r="I4" i="22"/>
  <c r="I6" i="22"/>
  <c r="J5" i="22"/>
  <c r="F5" i="22"/>
  <c r="G4" i="22"/>
  <c r="H3" i="22"/>
  <c r="H5" i="22"/>
  <c r="F3" i="22"/>
  <c r="H6" i="22"/>
  <c r="I5" i="22"/>
  <c r="J4" i="22"/>
  <c r="F4" i="22"/>
  <c r="G3" i="22"/>
  <c r="G6" i="22"/>
  <c r="J3" i="22"/>
  <c r="Z23" i="2"/>
  <c r="Z101" i="2"/>
  <c r="S98" i="2" s="1"/>
  <c r="Q84" i="2"/>
  <c r="T84" i="2" s="1"/>
  <c r="Z84" i="2" s="1"/>
  <c r="Q81" i="2"/>
  <c r="T81" i="2" s="1"/>
  <c r="Q89" i="2"/>
  <c r="T89" i="2" s="1"/>
  <c r="Z89" i="2" s="1"/>
  <c r="Q83" i="2"/>
  <c r="T83" i="2" s="1"/>
  <c r="Z83" i="2" s="1"/>
  <c r="AH19" i="20"/>
  <c r="Q79" i="2" s="1"/>
  <c r="T79" i="2" s="1"/>
  <c r="Z79" i="2" s="1"/>
  <c r="Q87" i="2"/>
  <c r="T87" i="2" s="1"/>
  <c r="Z87" i="2" s="1"/>
  <c r="Q82" i="2"/>
  <c r="T82" i="2" s="1"/>
  <c r="Z82" i="2" s="1"/>
  <c r="Q80" i="2"/>
  <c r="T80" i="2" s="1"/>
  <c r="Z80" i="2" s="1"/>
  <c r="Q88" i="2"/>
  <c r="T88" i="2" s="1"/>
  <c r="Z88" i="2" s="1"/>
  <c r="Q75" i="2"/>
  <c r="T75" i="2" s="1"/>
  <c r="Z75" i="2" s="1"/>
  <c r="Q76" i="2"/>
  <c r="T76" i="2" s="1"/>
  <c r="Z76" i="2" s="1"/>
  <c r="Q93" i="2"/>
  <c r="T93" i="2" s="1"/>
  <c r="Z93" i="2" s="1"/>
  <c r="Q77" i="2"/>
  <c r="T77" i="2" s="1"/>
  <c r="Z77" i="2" s="1"/>
  <c r="Q85" i="2"/>
  <c r="T85" i="2" s="1"/>
  <c r="Z85" i="2" s="1"/>
  <c r="Q78" i="2"/>
  <c r="T78" i="2" s="1"/>
  <c r="Z78" i="2" s="1"/>
  <c r="AH26" i="20"/>
  <c r="Q74" i="2"/>
  <c r="T74" i="2" s="1"/>
  <c r="Z74" i="2" s="1"/>
  <c r="A149" i="2"/>
  <c r="D148" i="2"/>
  <c r="AP47" i="19"/>
  <c r="AH47" i="19"/>
  <c r="AI47" i="19"/>
  <c r="AG47" i="19"/>
  <c r="AF47" i="19"/>
  <c r="AE47" i="19"/>
  <c r="AP49" i="19"/>
  <c r="AI49" i="19"/>
  <c r="AE49" i="19"/>
  <c r="AH49" i="19"/>
  <c r="AF49" i="19"/>
  <c r="AG49" i="19"/>
  <c r="AE43" i="19"/>
  <c r="AG43" i="19"/>
  <c r="AP43" i="19"/>
  <c r="AI43" i="19"/>
  <c r="AH43" i="19"/>
  <c r="AF43" i="19"/>
  <c r="AE45" i="19"/>
  <c r="AH45" i="19"/>
  <c r="AI45" i="19"/>
  <c r="AG45" i="19"/>
  <c r="AF45" i="19"/>
  <c r="AP45" i="19"/>
  <c r="AH48" i="19"/>
  <c r="AF48" i="19"/>
  <c r="AG48" i="19"/>
  <c r="AP48" i="19"/>
  <c r="AI48" i="19"/>
  <c r="AE48" i="19"/>
  <c r="AH44" i="19"/>
  <c r="AF44" i="19"/>
  <c r="AP44" i="19"/>
  <c r="AI44" i="19"/>
  <c r="AE44" i="19"/>
  <c r="AG44" i="19"/>
  <c r="AG46" i="19"/>
  <c r="AP46" i="19"/>
  <c r="AF46" i="19"/>
  <c r="AE46" i="19"/>
  <c r="AI46" i="19"/>
  <c r="AH46" i="19"/>
  <c r="G148" i="2"/>
  <c r="J148" i="2" s="1"/>
  <c r="N128" i="20" s="1"/>
  <c r="G143" i="2"/>
  <c r="J143" i="2" s="1"/>
  <c r="N118" i="20" s="1"/>
  <c r="G144" i="2"/>
  <c r="J144" i="2" s="1"/>
  <c r="N120" i="20" s="1"/>
  <c r="G145" i="2"/>
  <c r="J145" i="2" s="1"/>
  <c r="N122" i="20" s="1"/>
  <c r="G146" i="2"/>
  <c r="W146" i="2" s="1"/>
  <c r="G147" i="2"/>
  <c r="J147" i="2" s="1"/>
  <c r="N126" i="20" s="1"/>
  <c r="V21" i="20"/>
  <c r="Q69" i="2" s="1"/>
  <c r="X69" i="2"/>
  <c r="T63" i="2"/>
  <c r="Y63" i="2"/>
  <c r="Z63" i="2" s="1"/>
  <c r="V20" i="20"/>
  <c r="Q68" i="2" s="1"/>
  <c r="X68" i="2"/>
  <c r="V22" i="20"/>
  <c r="Q70" i="2" s="1"/>
  <c r="X70" i="2"/>
  <c r="V18" i="20"/>
  <c r="Q66" i="2" s="1"/>
  <c r="X66" i="2"/>
  <c r="V19" i="20"/>
  <c r="Q67" i="2" s="1"/>
  <c r="X67" i="2"/>
  <c r="T64" i="2"/>
  <c r="Y64" i="2"/>
  <c r="Z64" i="2" s="1"/>
  <c r="AP47" i="1"/>
  <c r="AI47" i="1"/>
  <c r="AG47" i="1"/>
  <c r="AE47" i="1"/>
  <c r="AH47" i="1"/>
  <c r="AF47" i="1"/>
  <c r="AH49" i="1"/>
  <c r="AG49" i="1"/>
  <c r="AF49" i="1"/>
  <c r="AE49" i="1"/>
  <c r="AP49" i="1"/>
  <c r="AI49" i="1"/>
  <c r="AP48" i="1"/>
  <c r="AI48" i="1"/>
  <c r="AH48" i="1"/>
  <c r="AG48" i="1"/>
  <c r="AF48" i="1"/>
  <c r="AE48" i="1"/>
  <c r="G149" i="2"/>
  <c r="H62" i="2"/>
  <c r="K62" i="2" s="1"/>
  <c r="G61" i="2"/>
  <c r="AU18" i="20"/>
  <c r="AU17" i="20"/>
  <c r="AU24" i="20"/>
  <c r="AU20" i="20"/>
  <c r="AU28" i="20"/>
  <c r="AU33" i="20"/>
  <c r="AU19" i="20"/>
  <c r="AU25" i="20"/>
  <c r="AU27" i="20"/>
  <c r="AU26" i="20"/>
  <c r="AU29" i="20"/>
  <c r="AU16" i="20"/>
  <c r="AU21" i="20"/>
  <c r="AU22" i="20"/>
  <c r="AU15" i="20"/>
  <c r="Y30" i="20" l="1"/>
  <c r="Y30" i="19"/>
  <c r="Y30" i="1"/>
  <c r="J61" i="2"/>
  <c r="AT128" i="20"/>
  <c r="AI128" i="20"/>
  <c r="AW128" i="20"/>
  <c r="B128" i="20"/>
  <c r="AC128" i="20"/>
  <c r="H128" i="20"/>
  <c r="AN128" i="20"/>
  <c r="H122" i="20"/>
  <c r="AN122" i="20"/>
  <c r="AC122" i="20"/>
  <c r="AT122" i="20"/>
  <c r="AW122" i="20"/>
  <c r="B122" i="20"/>
  <c r="AI122" i="20"/>
  <c r="AN120" i="20"/>
  <c r="AT120" i="20"/>
  <c r="B120" i="20"/>
  <c r="H120" i="20"/>
  <c r="AI120" i="20"/>
  <c r="AC120" i="20"/>
  <c r="AW120" i="20"/>
  <c r="AW126" i="20"/>
  <c r="H126" i="20"/>
  <c r="AI126" i="20"/>
  <c r="AN126" i="20"/>
  <c r="B126" i="20"/>
  <c r="AT126" i="20"/>
  <c r="AC126" i="20"/>
  <c r="AW118" i="20"/>
  <c r="AI118" i="20"/>
  <c r="H118" i="20"/>
  <c r="AN118" i="20"/>
  <c r="B118" i="20"/>
  <c r="AC118" i="20"/>
  <c r="AT118" i="20"/>
  <c r="AE32" i="20"/>
  <c r="AE32" i="1"/>
  <c r="AE33" i="1"/>
  <c r="Q86" i="2"/>
  <c r="T86" i="2" s="1"/>
  <c r="B3" i="22" s="1"/>
  <c r="X143" i="2"/>
  <c r="A150" i="2"/>
  <c r="D149" i="2"/>
  <c r="W149" i="2" s="1"/>
  <c r="W148" i="2"/>
  <c r="J146" i="2"/>
  <c r="N124" i="20" s="1"/>
  <c r="W144" i="2"/>
  <c r="W143" i="2"/>
  <c r="W147" i="2"/>
  <c r="W145" i="2"/>
  <c r="V14" i="20"/>
  <c r="Q62" i="2" s="1"/>
  <c r="X62" i="2"/>
  <c r="X144" i="2"/>
  <c r="T70" i="2"/>
  <c r="Y70" i="2"/>
  <c r="Z70" i="2" s="1"/>
  <c r="X147" i="2"/>
  <c r="X148" i="2"/>
  <c r="T67" i="2"/>
  <c r="Y67" i="2"/>
  <c r="Z67" i="2" s="1"/>
  <c r="X145" i="2"/>
  <c r="T66" i="2"/>
  <c r="Y66" i="2"/>
  <c r="Z66" i="2" s="1"/>
  <c r="T68" i="2"/>
  <c r="Y68" i="2"/>
  <c r="Z68" i="2" s="1"/>
  <c r="T69" i="2"/>
  <c r="Y69" i="2"/>
  <c r="Z69" i="2" s="1"/>
  <c r="J149" i="2"/>
  <c r="N130" i="20" s="1"/>
  <c r="BK17" i="1"/>
  <c r="BG18" i="1" s="1"/>
  <c r="R137" i="2"/>
  <c r="C14" i="22" l="1"/>
  <c r="Z86" i="2"/>
  <c r="AT130" i="20"/>
  <c r="AC130" i="20"/>
  <c r="AW130" i="20"/>
  <c r="B130" i="20"/>
  <c r="AI130" i="20"/>
  <c r="H130" i="20"/>
  <c r="AN130" i="20"/>
  <c r="H124" i="20"/>
  <c r="AN124" i="20"/>
  <c r="AW124" i="20"/>
  <c r="AI124" i="20"/>
  <c r="AT124" i="20"/>
  <c r="AC124" i="20"/>
  <c r="B124" i="20"/>
  <c r="AA143" i="2"/>
  <c r="AB143" i="2" s="1"/>
  <c r="BG26" i="1"/>
  <c r="BG25" i="1"/>
  <c r="BG24" i="1"/>
  <c r="BG23" i="1"/>
  <c r="P146" i="2"/>
  <c r="X146" i="2"/>
  <c r="A151" i="2"/>
  <c r="D150" i="2"/>
  <c r="G150" i="2"/>
  <c r="P147" i="2"/>
  <c r="P148" i="2"/>
  <c r="P145" i="2"/>
  <c r="P144" i="2"/>
  <c r="X149" i="2"/>
  <c r="T62" i="2"/>
  <c r="Y62" i="2"/>
  <c r="Z62" i="2" s="1"/>
  <c r="Z71" i="2" s="1"/>
  <c r="P143" i="2"/>
  <c r="H277" i="2"/>
  <c r="K277" i="2" s="1"/>
  <c r="AM72" i="20" s="1"/>
  <c r="Q277" i="2" s="1"/>
  <c r="T277" i="2" s="1"/>
  <c r="P27" i="19"/>
  <c r="P27" i="20" s="1"/>
  <c r="P26" i="19"/>
  <c r="P26" i="20" s="1"/>
  <c r="P25" i="19"/>
  <c r="P25" i="20" s="1"/>
  <c r="G118" i="2"/>
  <c r="J118" i="2" s="1"/>
  <c r="V56" i="20" s="1"/>
  <c r="P118" i="2" s="1"/>
  <c r="S118" i="2" s="1"/>
  <c r="G116" i="2"/>
  <c r="J116" i="2" s="1"/>
  <c r="V55" i="20" s="1"/>
  <c r="P116" i="2" s="1"/>
  <c r="S116" i="2" s="1"/>
  <c r="G114" i="2"/>
  <c r="J114" i="2" s="1"/>
  <c r="V54" i="20" s="1"/>
  <c r="P114" i="2" s="1"/>
  <c r="S114" i="2" s="1"/>
  <c r="I56" i="19"/>
  <c r="H117" i="2" s="1"/>
  <c r="K117" i="2" s="1"/>
  <c r="I56" i="20" s="1"/>
  <c r="I55" i="19"/>
  <c r="H115" i="2" s="1"/>
  <c r="K115" i="2" s="1"/>
  <c r="I55" i="20" s="1"/>
  <c r="I54" i="19"/>
  <c r="H113" i="2" s="1"/>
  <c r="K113" i="2" s="1"/>
  <c r="G113" i="2"/>
  <c r="J113" i="2" s="1"/>
  <c r="G117" i="2"/>
  <c r="J117" i="2" s="1"/>
  <c r="B56" i="20" s="1"/>
  <c r="P117" i="2" s="1"/>
  <c r="S117" i="2" s="1"/>
  <c r="G115" i="2"/>
  <c r="J115" i="2" s="1"/>
  <c r="B55" i="20" s="1"/>
  <c r="P115" i="2" s="1"/>
  <c r="S115" i="2" s="1"/>
  <c r="F94" i="2"/>
  <c r="F93" i="2"/>
  <c r="F92" i="2"/>
  <c r="F91" i="2"/>
  <c r="F90" i="2"/>
  <c r="F89" i="2"/>
  <c r="F88" i="2"/>
  <c r="F87" i="2"/>
  <c r="F86" i="2"/>
  <c r="F85" i="2"/>
  <c r="F84" i="2"/>
  <c r="F83" i="2"/>
  <c r="F82" i="2"/>
  <c r="F81" i="2"/>
  <c r="F80" i="2"/>
  <c r="F79" i="2"/>
  <c r="F78" i="2"/>
  <c r="F77" i="2"/>
  <c r="F76" i="2"/>
  <c r="F75" i="2"/>
  <c r="F74" i="2"/>
  <c r="AG3" i="19"/>
  <c r="AH2" i="19"/>
  <c r="S2" i="19"/>
  <c r="S3" i="19"/>
  <c r="W94" i="2"/>
  <c r="W93" i="2"/>
  <c r="W92" i="2"/>
  <c r="W91" i="2"/>
  <c r="W90" i="2"/>
  <c r="W89" i="2"/>
  <c r="W88" i="2"/>
  <c r="W87" i="2"/>
  <c r="W86" i="2"/>
  <c r="W85" i="2"/>
  <c r="W84" i="2"/>
  <c r="W83" i="2"/>
  <c r="W82" i="2"/>
  <c r="W81" i="2"/>
  <c r="W80" i="2"/>
  <c r="W79" i="2"/>
  <c r="W78" i="2"/>
  <c r="W77" i="2"/>
  <c r="W76" i="2"/>
  <c r="W75" i="2"/>
  <c r="W74" i="2"/>
  <c r="W73" i="2"/>
  <c r="Z143" i="2" l="1"/>
  <c r="AA145" i="2"/>
  <c r="AA146" i="2"/>
  <c r="AB146" i="2" s="1"/>
  <c r="AA148" i="2"/>
  <c r="AB148" i="2" s="1"/>
  <c r="AA147" i="2"/>
  <c r="AB147" i="2" s="1"/>
  <c r="AA144" i="2"/>
  <c r="S146" i="2"/>
  <c r="S145" i="2"/>
  <c r="S144" i="2"/>
  <c r="S147" i="2"/>
  <c r="B54" i="20"/>
  <c r="P113" i="2" s="1"/>
  <c r="S113" i="2" s="1"/>
  <c r="I54" i="20"/>
  <c r="R54" i="20" s="1"/>
  <c r="T54" i="20" s="1"/>
  <c r="Q115" i="2"/>
  <c r="T115" i="2" s="1"/>
  <c r="R55" i="20"/>
  <c r="T55" i="20" s="1"/>
  <c r="Q117" i="2"/>
  <c r="T117" i="2" s="1"/>
  <c r="R56" i="20"/>
  <c r="T56" i="20" s="1"/>
  <c r="J150" i="2"/>
  <c r="N132" i="20" s="1"/>
  <c r="W150" i="2"/>
  <c r="A152" i="2"/>
  <c r="D151" i="2"/>
  <c r="G151" i="2"/>
  <c r="J137" i="2"/>
  <c r="J127" i="2"/>
  <c r="J135" i="2"/>
  <c r="J129" i="2"/>
  <c r="J133" i="2"/>
  <c r="J132" i="2"/>
  <c r="S148" i="2"/>
  <c r="P149" i="2"/>
  <c r="K133" i="2"/>
  <c r="K135" i="2"/>
  <c r="K137" i="2"/>
  <c r="K124" i="2"/>
  <c r="K126" i="2"/>
  <c r="K134" i="2"/>
  <c r="K136" i="2"/>
  <c r="K125" i="2"/>
  <c r="K132" i="2"/>
  <c r="K128" i="2"/>
  <c r="K127" i="2"/>
  <c r="K129" i="2"/>
  <c r="S143" i="2"/>
  <c r="K123" i="2"/>
  <c r="J123" i="2"/>
  <c r="K122" i="2"/>
  <c r="R54" i="19"/>
  <c r="M55" i="19"/>
  <c r="AB56" i="19"/>
  <c r="AN42" i="19"/>
  <c r="G66" i="2"/>
  <c r="J66" i="2" s="1"/>
  <c r="K20" i="19"/>
  <c r="M56" i="19"/>
  <c r="P56" i="19"/>
  <c r="R56" i="19"/>
  <c r="AB54" i="19"/>
  <c r="P55" i="19"/>
  <c r="R55" i="19"/>
  <c r="AB55" i="19"/>
  <c r="M54" i="19"/>
  <c r="P54" i="19"/>
  <c r="Z97" i="2"/>
  <c r="W97" i="2"/>
  <c r="F70" i="2"/>
  <c r="P22" i="19" s="1"/>
  <c r="F69" i="2"/>
  <c r="P21" i="19" s="1"/>
  <c r="F68" i="2"/>
  <c r="P20" i="19" s="1"/>
  <c r="F67" i="2"/>
  <c r="P19" i="19" s="1"/>
  <c r="F66" i="2"/>
  <c r="P18" i="19" s="1"/>
  <c r="F65" i="2"/>
  <c r="F64" i="2"/>
  <c r="P16" i="19" s="1"/>
  <c r="F63" i="2"/>
  <c r="P15" i="19" s="1"/>
  <c r="AR45" i="20"/>
  <c r="N49" i="20"/>
  <c r="AR47" i="20"/>
  <c r="N45" i="20"/>
  <c r="N48" i="20"/>
  <c r="R47" i="20"/>
  <c r="X42" i="20"/>
  <c r="R131" i="2"/>
  <c r="R135" i="2"/>
  <c r="R127" i="2"/>
  <c r="N43" i="20"/>
  <c r="R129" i="2"/>
  <c r="X48" i="20"/>
  <c r="N44" i="20"/>
  <c r="N42" i="20"/>
  <c r="AR44" i="20"/>
  <c r="X47" i="20"/>
  <c r="R133" i="2"/>
  <c r="X44" i="20"/>
  <c r="AR48" i="20"/>
  <c r="AR49" i="20"/>
  <c r="X49" i="20"/>
  <c r="Q130" i="2"/>
  <c r="Q131" i="2"/>
  <c r="AR42" i="20"/>
  <c r="AR43" i="20"/>
  <c r="X45" i="20"/>
  <c r="R125" i="2"/>
  <c r="N47" i="20"/>
  <c r="AB144" i="2" l="1"/>
  <c r="Z144" i="2" s="1"/>
  <c r="AB145" i="2"/>
  <c r="Z145" i="2" s="1"/>
  <c r="AN132" i="20"/>
  <c r="H132" i="20"/>
  <c r="AW132" i="20"/>
  <c r="B132" i="20"/>
  <c r="AT132" i="20"/>
  <c r="AI132" i="20"/>
  <c r="AC132" i="20"/>
  <c r="Z148" i="2"/>
  <c r="Z147" i="2"/>
  <c r="AA149" i="2"/>
  <c r="AB149" i="2" s="1"/>
  <c r="Z146" i="2"/>
  <c r="AY44" i="20"/>
  <c r="AY47" i="20"/>
  <c r="AY49" i="20"/>
  <c r="AY48" i="20"/>
  <c r="AY45" i="20"/>
  <c r="AY43" i="20"/>
  <c r="Q113" i="2"/>
  <c r="T113" i="2" s="1"/>
  <c r="AN43" i="20"/>
  <c r="AL43" i="20"/>
  <c r="T130" i="2"/>
  <c r="A153" i="2"/>
  <c r="D152" i="2"/>
  <c r="G152" i="2"/>
  <c r="J151" i="2"/>
  <c r="N134" i="20" s="1"/>
  <c r="W151" i="2"/>
  <c r="X150" i="2"/>
  <c r="T131" i="2"/>
  <c r="AN46" i="20"/>
  <c r="AL46" i="20"/>
  <c r="AJ42" i="20"/>
  <c r="P129" i="2"/>
  <c r="AJ49" i="20"/>
  <c r="P127" i="2"/>
  <c r="Q127" i="2"/>
  <c r="P131" i="2"/>
  <c r="Q129" i="2"/>
  <c r="Q132" i="2"/>
  <c r="P132" i="2"/>
  <c r="AJ48" i="20"/>
  <c r="Q128" i="2"/>
  <c r="Q126" i="2"/>
  <c r="P123" i="2"/>
  <c r="Q124" i="2"/>
  <c r="Q122" i="2"/>
  <c r="Q125" i="2"/>
  <c r="Q123" i="2"/>
  <c r="AJ45" i="20"/>
  <c r="AJ47" i="20"/>
  <c r="P125" i="2"/>
  <c r="AJ44" i="20"/>
  <c r="Q133" i="2"/>
  <c r="AW134" i="20" l="1"/>
  <c r="AI134" i="20"/>
  <c r="H134" i="20"/>
  <c r="AN134" i="20"/>
  <c r="B134" i="20"/>
  <c r="AT134" i="20"/>
  <c r="AC134" i="20"/>
  <c r="S132" i="2"/>
  <c r="S131" i="2"/>
  <c r="AP43" i="20"/>
  <c r="S125" i="2"/>
  <c r="AP42" i="20"/>
  <c r="AH43" i="20"/>
  <c r="AG43" i="20"/>
  <c r="AE43" i="20"/>
  <c r="AF43" i="20"/>
  <c r="AI43" i="20"/>
  <c r="AF46" i="20"/>
  <c r="AP46" i="20"/>
  <c r="P150" i="2"/>
  <c r="J152" i="2"/>
  <c r="N136" i="20" s="1"/>
  <c r="W152" i="2"/>
  <c r="X151" i="2"/>
  <c r="A154" i="2"/>
  <c r="D153" i="2"/>
  <c r="G153" i="2"/>
  <c r="AH46" i="20"/>
  <c r="AP44" i="20"/>
  <c r="AG46" i="20"/>
  <c r="AI46" i="20"/>
  <c r="AE46" i="20"/>
  <c r="P133" i="2"/>
  <c r="AT136" i="20" l="1"/>
  <c r="AC136" i="20"/>
  <c r="AW136" i="20"/>
  <c r="B136" i="20"/>
  <c r="AI136" i="20"/>
  <c r="H136" i="20"/>
  <c r="AN136" i="20"/>
  <c r="AA150" i="2"/>
  <c r="AB150" i="2" s="1"/>
  <c r="AP47" i="20"/>
  <c r="A155" i="2"/>
  <c r="D154" i="2"/>
  <c r="G154" i="2"/>
  <c r="X152" i="2"/>
  <c r="P151" i="2"/>
  <c r="W153" i="2"/>
  <c r="J153" i="2"/>
  <c r="N138" i="20" s="1"/>
  <c r="S150" i="2"/>
  <c r="AP45" i="20"/>
  <c r="AL45" i="20"/>
  <c r="AN45" i="20"/>
  <c r="AL47" i="20"/>
  <c r="AN47" i="20"/>
  <c r="AN44" i="20"/>
  <c r="AL44" i="20"/>
  <c r="S149" i="2"/>
  <c r="P17" i="19"/>
  <c r="I65" i="2" s="1"/>
  <c r="L65" i="2" s="1"/>
  <c r="P17" i="20" s="1"/>
  <c r="R65" i="2" s="1"/>
  <c r="U65" i="2" s="1"/>
  <c r="T124" i="2"/>
  <c r="T126" i="2"/>
  <c r="T128" i="2"/>
  <c r="T132" i="2"/>
  <c r="T122" i="2"/>
  <c r="AB55" i="20"/>
  <c r="P55" i="20"/>
  <c r="M55" i="20"/>
  <c r="P54" i="20"/>
  <c r="AB54" i="20"/>
  <c r="M54" i="20"/>
  <c r="AN42" i="20"/>
  <c r="AB56" i="20"/>
  <c r="M56" i="20"/>
  <c r="P56" i="20"/>
  <c r="G67" i="2"/>
  <c r="J67" i="2" s="1"/>
  <c r="I66" i="2"/>
  <c r="L66" i="2" s="1"/>
  <c r="P18" i="20" s="1"/>
  <c r="R66" i="2" s="1"/>
  <c r="U66" i="2" s="1"/>
  <c r="G68" i="2"/>
  <c r="J68" i="2" s="1"/>
  <c r="I68" i="2"/>
  <c r="L68" i="2" s="1"/>
  <c r="P20" i="20" s="1"/>
  <c r="R68" i="2" s="1"/>
  <c r="U68" i="2" s="1"/>
  <c r="I67" i="2"/>
  <c r="L67" i="2" s="1"/>
  <c r="P19" i="20" s="1"/>
  <c r="R67" i="2" s="1"/>
  <c r="U67" i="2" s="1"/>
  <c r="I62" i="2"/>
  <c r="L62" i="2" s="1"/>
  <c r="P14" i="20" s="1"/>
  <c r="R62" i="2" s="1"/>
  <c r="U62" i="2" s="1"/>
  <c r="G69" i="2"/>
  <c r="J69" i="2" s="1"/>
  <c r="I63" i="2"/>
  <c r="L63" i="2" s="1"/>
  <c r="I69" i="2"/>
  <c r="L69" i="2" s="1"/>
  <c r="P21" i="20" s="1"/>
  <c r="R69" i="2" s="1"/>
  <c r="U69" i="2" s="1"/>
  <c r="G70" i="2"/>
  <c r="J70" i="2" s="1"/>
  <c r="I64" i="2"/>
  <c r="L64" i="2" s="1"/>
  <c r="P16" i="20" s="1"/>
  <c r="R64" i="2" s="1"/>
  <c r="U64" i="2" s="1"/>
  <c r="I70" i="2"/>
  <c r="L70" i="2" s="1"/>
  <c r="P22" i="20" s="1"/>
  <c r="R70" i="2" s="1"/>
  <c r="U70" i="2" s="1"/>
  <c r="G62" i="2"/>
  <c r="G63" i="2"/>
  <c r="J63" i="2" s="1"/>
  <c r="G64" i="2"/>
  <c r="J64" i="2" s="1"/>
  <c r="Y32" i="2"/>
  <c r="D59" i="2"/>
  <c r="BA28" i="1" s="1"/>
  <c r="BB28" i="1" s="1"/>
  <c r="P54" i="1"/>
  <c r="P55" i="1"/>
  <c r="P56" i="1"/>
  <c r="AB56" i="1"/>
  <c r="AB54" i="1"/>
  <c r="AB55" i="1"/>
  <c r="P135" i="2"/>
  <c r="J62" i="2" l="1"/>
  <c r="G71" i="2"/>
  <c r="AT138" i="20"/>
  <c r="B138" i="20"/>
  <c r="AN138" i="20"/>
  <c r="AI138" i="20"/>
  <c r="AC138" i="20"/>
  <c r="AW138" i="20"/>
  <c r="H138" i="20"/>
  <c r="Z150" i="2"/>
  <c r="AA151" i="2"/>
  <c r="AB151" i="2" s="1"/>
  <c r="Z149" i="2"/>
  <c r="P15" i="20"/>
  <c r="R63" i="2" s="1"/>
  <c r="U63" i="2" s="1"/>
  <c r="S151" i="2"/>
  <c r="J154" i="2"/>
  <c r="N140" i="20" s="1"/>
  <c r="W154" i="2"/>
  <c r="P152" i="2"/>
  <c r="X153" i="2"/>
  <c r="A156" i="2"/>
  <c r="D155" i="2"/>
  <c r="G155" i="2"/>
  <c r="P137" i="2"/>
  <c r="AN140" i="20" l="1"/>
  <c r="H140" i="20"/>
  <c r="AW140" i="20"/>
  <c r="B140" i="20"/>
  <c r="AI140" i="20"/>
  <c r="AC140" i="20"/>
  <c r="AT140" i="20"/>
  <c r="Z151" i="2"/>
  <c r="AA152" i="2"/>
  <c r="AB152" i="2" s="1"/>
  <c r="J155" i="2"/>
  <c r="N142" i="20" s="1"/>
  <c r="W155" i="2"/>
  <c r="P153" i="2"/>
  <c r="S152" i="2"/>
  <c r="X154" i="2"/>
  <c r="A157" i="2"/>
  <c r="D156" i="2"/>
  <c r="G156" i="2"/>
  <c r="AE44" i="20"/>
  <c r="AF45" i="20"/>
  <c r="AH47" i="20"/>
  <c r="AI45" i="20"/>
  <c r="AI47" i="20"/>
  <c r="AH45" i="20"/>
  <c r="AF47" i="20"/>
  <c r="AG44" i="20"/>
  <c r="AF44" i="20"/>
  <c r="AH44" i="20"/>
  <c r="AE47" i="20"/>
  <c r="AE45" i="20"/>
  <c r="AG45" i="20"/>
  <c r="AI44" i="20"/>
  <c r="AG47" i="20"/>
  <c r="S133" i="2"/>
  <c r="S123" i="2"/>
  <c r="S137" i="2"/>
  <c r="S135" i="2"/>
  <c r="S127" i="2"/>
  <c r="S129" i="2"/>
  <c r="T123" i="2"/>
  <c r="T133" i="2"/>
  <c r="T127" i="2"/>
  <c r="T125" i="2"/>
  <c r="T129" i="2"/>
  <c r="W71" i="2"/>
  <c r="D25" i="6"/>
  <c r="C33" i="6"/>
  <c r="D33" i="6" s="1"/>
  <c r="C32" i="6"/>
  <c r="D32" i="6" s="1"/>
  <c r="C31" i="6"/>
  <c r="D31" i="6" s="1"/>
  <c r="C30" i="6"/>
  <c r="D30" i="6" s="1"/>
  <c r="C29" i="6"/>
  <c r="D29" i="6" s="1"/>
  <c r="C28" i="6"/>
  <c r="D28" i="6" s="1"/>
  <c r="C27" i="6"/>
  <c r="D27" i="6" s="1"/>
  <c r="C26" i="6"/>
  <c r="D26" i="6" s="1"/>
  <c r="C25" i="6"/>
  <c r="B33" i="6"/>
  <c r="B32" i="6"/>
  <c r="B31" i="6"/>
  <c r="B30" i="6"/>
  <c r="B29" i="6"/>
  <c r="B28" i="6"/>
  <c r="B27" i="6"/>
  <c r="B26" i="6"/>
  <c r="B25" i="6"/>
  <c r="K2" i="9"/>
  <c r="O5" i="9"/>
  <c r="N5" i="9"/>
  <c r="M5" i="9"/>
  <c r="L5" i="9"/>
  <c r="K5" i="9"/>
  <c r="O4" i="9"/>
  <c r="N4" i="9"/>
  <c r="M4" i="9"/>
  <c r="L4" i="9"/>
  <c r="K4" i="9"/>
  <c r="O3" i="9"/>
  <c r="N3" i="9"/>
  <c r="M3" i="9"/>
  <c r="L3" i="9"/>
  <c r="K3" i="9"/>
  <c r="O2" i="9"/>
  <c r="N2" i="9"/>
  <c r="M2" i="9"/>
  <c r="L2" i="9"/>
  <c r="G22" i="2"/>
  <c r="G18" i="2"/>
  <c r="G14" i="2"/>
  <c r="D23" i="2"/>
  <c r="D117" i="2"/>
  <c r="E117" i="2"/>
  <c r="R56" i="1"/>
  <c r="M56" i="1"/>
  <c r="M55" i="1"/>
  <c r="M54" i="1"/>
  <c r="R55" i="1"/>
  <c r="R54" i="1"/>
  <c r="AW142" i="20" l="1"/>
  <c r="AI142" i="20"/>
  <c r="H142" i="20"/>
  <c r="AN142" i="20"/>
  <c r="B142" i="20"/>
  <c r="AT142" i="20"/>
  <c r="AC142" i="20"/>
  <c r="AA153" i="2"/>
  <c r="AB153" i="2" s="1"/>
  <c r="T3" i="9"/>
  <c r="S3" i="9"/>
  <c r="Q3" i="9"/>
  <c r="U3" i="9"/>
  <c r="R3" i="9"/>
  <c r="U4" i="9"/>
  <c r="Q4" i="9"/>
  <c r="T4" i="9"/>
  <c r="R4" i="9"/>
  <c r="S4" i="9"/>
  <c r="R5" i="9"/>
  <c r="U5" i="9"/>
  <c r="Q5" i="9"/>
  <c r="S5" i="9"/>
  <c r="T5" i="9"/>
  <c r="Z152" i="2"/>
  <c r="P154" i="2"/>
  <c r="W156" i="2"/>
  <c r="J156" i="2"/>
  <c r="N144" i="20" s="1"/>
  <c r="S153" i="2"/>
  <c r="X155" i="2"/>
  <c r="A158" i="2"/>
  <c r="D157" i="2"/>
  <c r="G157" i="2"/>
  <c r="R2" i="9"/>
  <c r="S2" i="9"/>
  <c r="T2" i="9"/>
  <c r="U2" i="9"/>
  <c r="Q2" i="9"/>
  <c r="H15" i="4"/>
  <c r="I15" i="4"/>
  <c r="J15" i="4"/>
  <c r="K15" i="4"/>
  <c r="L15" i="4"/>
  <c r="H16" i="4"/>
  <c r="I16" i="4"/>
  <c r="J16" i="4"/>
  <c r="K16" i="4"/>
  <c r="L16" i="4"/>
  <c r="H17" i="4"/>
  <c r="I17" i="4"/>
  <c r="J17" i="4"/>
  <c r="K17" i="4"/>
  <c r="L17" i="4"/>
  <c r="H18" i="4"/>
  <c r="H94" i="4" s="1"/>
  <c r="I18" i="4"/>
  <c r="I94" i="4" s="1"/>
  <c r="J18" i="4"/>
  <c r="J94" i="4" s="1"/>
  <c r="K18" i="4"/>
  <c r="K94" i="4" s="1"/>
  <c r="L18" i="4"/>
  <c r="L94" i="4" s="1"/>
  <c r="H19" i="4"/>
  <c r="I19" i="4"/>
  <c r="J19" i="4"/>
  <c r="K19" i="4"/>
  <c r="L19" i="4"/>
  <c r="H20" i="4"/>
  <c r="I20" i="4"/>
  <c r="I97" i="4" s="1"/>
  <c r="J20" i="4"/>
  <c r="J97" i="4" s="1"/>
  <c r="K20" i="4"/>
  <c r="K97" i="4" s="1"/>
  <c r="L20" i="4"/>
  <c r="L97" i="4" s="1"/>
  <c r="Z153" i="2" l="1"/>
  <c r="AT144" i="20"/>
  <c r="AI144" i="20"/>
  <c r="AW144" i="20"/>
  <c r="B144" i="20"/>
  <c r="AC144" i="20"/>
  <c r="H144" i="20"/>
  <c r="AN144" i="20"/>
  <c r="AA154" i="2"/>
  <c r="AB154" i="2" s="1"/>
  <c r="AA155" i="2"/>
  <c r="AB155" i="2" s="1"/>
  <c r="A159" i="2"/>
  <c r="D158" i="2"/>
  <c r="G158" i="2"/>
  <c r="X156" i="2"/>
  <c r="P155" i="2"/>
  <c r="J157" i="2"/>
  <c r="N146" i="20" s="1"/>
  <c r="W157" i="2"/>
  <c r="S154" i="2"/>
  <c r="I92" i="4"/>
  <c r="I93" i="4"/>
  <c r="J90" i="4"/>
  <c r="J91" i="4"/>
  <c r="L96" i="4"/>
  <c r="L95" i="4"/>
  <c r="J96" i="4"/>
  <c r="J95" i="4"/>
  <c r="L93" i="4"/>
  <c r="L92" i="4"/>
  <c r="H92" i="4"/>
  <c r="H93" i="4"/>
  <c r="L90" i="4"/>
  <c r="L91" i="4"/>
  <c r="K90" i="4"/>
  <c r="K91" i="4"/>
  <c r="I90" i="4"/>
  <c r="I91" i="4"/>
  <c r="H91" i="4"/>
  <c r="H90" i="4"/>
  <c r="K96" i="4"/>
  <c r="K95" i="4"/>
  <c r="I96" i="4"/>
  <c r="I95" i="4"/>
  <c r="H96" i="4"/>
  <c r="H95" i="4"/>
  <c r="K93" i="4"/>
  <c r="K92" i="4"/>
  <c r="J92" i="4"/>
  <c r="J93" i="4"/>
  <c r="B266" i="1"/>
  <c r="B266" i="19" s="1"/>
  <c r="AW265" i="1"/>
  <c r="AT265" i="1"/>
  <c r="AN265" i="1"/>
  <c r="AI265" i="1"/>
  <c r="AC265" i="1"/>
  <c r="B263" i="1"/>
  <c r="B263" i="19" s="1"/>
  <c r="AW262" i="1"/>
  <c r="AT262" i="1"/>
  <c r="AN262" i="1"/>
  <c r="AI262" i="1"/>
  <c r="AC262" i="1"/>
  <c r="B260" i="1"/>
  <c r="B260" i="19" s="1"/>
  <c r="AW259" i="1"/>
  <c r="AT259" i="1"/>
  <c r="AN259" i="1"/>
  <c r="AI259" i="1"/>
  <c r="AC259" i="1"/>
  <c r="B257" i="1"/>
  <c r="B257" i="19" s="1"/>
  <c r="AW256" i="1"/>
  <c r="AT256" i="1"/>
  <c r="AN256" i="1"/>
  <c r="AI256" i="1"/>
  <c r="AC256" i="1"/>
  <c r="B254" i="1"/>
  <c r="B254" i="19" s="1"/>
  <c r="AW253" i="1"/>
  <c r="AT253" i="1"/>
  <c r="AN253" i="1"/>
  <c r="AI253" i="1"/>
  <c r="AC253" i="1"/>
  <c r="B251" i="1"/>
  <c r="B251" i="19" s="1"/>
  <c r="AW250" i="1"/>
  <c r="AT250" i="1"/>
  <c r="AN250" i="1"/>
  <c r="AI250" i="1"/>
  <c r="AC250" i="1"/>
  <c r="B248" i="1"/>
  <c r="B248" i="19" s="1"/>
  <c r="AW247" i="1"/>
  <c r="AT247" i="1"/>
  <c r="AN247" i="1"/>
  <c r="AI247" i="1"/>
  <c r="AC247" i="1"/>
  <c r="B245" i="1"/>
  <c r="B245" i="19" s="1"/>
  <c r="AW244" i="1"/>
  <c r="AT244" i="1"/>
  <c r="AN244" i="1"/>
  <c r="AI244" i="1"/>
  <c r="AC244" i="1"/>
  <c r="B242" i="1"/>
  <c r="B242" i="19" s="1"/>
  <c r="AW241" i="1"/>
  <c r="AT241" i="1"/>
  <c r="AN241" i="1"/>
  <c r="AI241" i="1"/>
  <c r="AC241" i="1"/>
  <c r="B239" i="1"/>
  <c r="B239" i="19" s="1"/>
  <c r="AW238" i="1"/>
  <c r="AT238" i="1"/>
  <c r="AN238" i="1"/>
  <c r="AI238" i="1"/>
  <c r="AC238" i="1"/>
  <c r="B236" i="1"/>
  <c r="B236" i="19" s="1"/>
  <c r="AW235" i="1"/>
  <c r="AT235" i="1"/>
  <c r="AN235" i="1"/>
  <c r="AI235" i="1"/>
  <c r="AC235" i="1"/>
  <c r="B233" i="1"/>
  <c r="B233" i="19" s="1"/>
  <c r="AW232" i="1"/>
  <c r="AT232" i="1"/>
  <c r="AN232" i="1"/>
  <c r="AI232" i="1"/>
  <c r="AC232" i="1"/>
  <c r="B230" i="1"/>
  <c r="B230" i="19" s="1"/>
  <c r="AW229" i="1"/>
  <c r="AT229" i="1"/>
  <c r="AN229" i="1"/>
  <c r="AI229" i="1"/>
  <c r="AC229" i="1"/>
  <c r="B227" i="1"/>
  <c r="B227" i="19" s="1"/>
  <c r="AW226" i="1"/>
  <c r="AT226" i="1"/>
  <c r="AN226" i="1"/>
  <c r="AI226" i="1"/>
  <c r="AC226" i="1"/>
  <c r="B224" i="1"/>
  <c r="B224" i="19" s="1"/>
  <c r="AW223" i="1"/>
  <c r="AT223" i="1"/>
  <c r="AN223" i="1"/>
  <c r="AI223" i="1"/>
  <c r="AC223" i="1"/>
  <c r="B221" i="1"/>
  <c r="B221" i="19" s="1"/>
  <c r="AW220" i="1"/>
  <c r="AT220" i="1"/>
  <c r="AN220" i="1"/>
  <c r="AI220" i="1"/>
  <c r="AC220" i="1"/>
  <c r="B218" i="1"/>
  <c r="B218" i="19" s="1"/>
  <c r="AW217" i="1"/>
  <c r="AT217" i="1"/>
  <c r="AN217" i="1"/>
  <c r="AI217" i="1"/>
  <c r="AC217" i="1"/>
  <c r="B215" i="1"/>
  <c r="B215" i="19" s="1"/>
  <c r="AW214" i="1"/>
  <c r="AT214" i="1"/>
  <c r="AN214" i="1"/>
  <c r="AI214" i="1"/>
  <c r="AC214" i="1"/>
  <c r="B212" i="1"/>
  <c r="B212" i="19" s="1"/>
  <c r="AW211" i="1"/>
  <c r="AT211" i="1"/>
  <c r="AN211" i="1"/>
  <c r="AI211" i="1"/>
  <c r="AC211" i="1"/>
  <c r="B209" i="1"/>
  <c r="B209" i="19" s="1"/>
  <c r="AW208" i="1"/>
  <c r="AT208" i="1"/>
  <c r="AN208" i="1"/>
  <c r="AI208" i="1"/>
  <c r="AC208" i="1"/>
  <c r="B206" i="1"/>
  <c r="B206" i="19" s="1"/>
  <c r="AW205" i="1"/>
  <c r="AT205" i="1"/>
  <c r="AN205" i="1"/>
  <c r="AI205" i="1"/>
  <c r="AC205" i="1"/>
  <c r="B203" i="1"/>
  <c r="B203" i="19" s="1"/>
  <c r="AW202" i="1"/>
  <c r="AT202" i="1"/>
  <c r="AN202" i="1"/>
  <c r="AI202" i="1"/>
  <c r="AC202" i="1"/>
  <c r="B200" i="1"/>
  <c r="B200" i="19" s="1"/>
  <c r="AW199" i="1"/>
  <c r="AT199" i="1"/>
  <c r="AN199" i="1"/>
  <c r="AI199" i="1"/>
  <c r="AC199" i="1"/>
  <c r="B197" i="1"/>
  <c r="B197" i="19" s="1"/>
  <c r="AW196" i="1"/>
  <c r="AT196" i="1"/>
  <c r="AN196" i="1"/>
  <c r="AI196" i="1"/>
  <c r="AC196" i="1"/>
  <c r="B194" i="1"/>
  <c r="B194" i="19" s="1"/>
  <c r="AW193" i="1"/>
  <c r="AT193" i="1"/>
  <c r="AN193" i="1"/>
  <c r="AI193" i="1"/>
  <c r="AC193" i="1"/>
  <c r="B191" i="1"/>
  <c r="B191" i="19" s="1"/>
  <c r="AW190" i="1"/>
  <c r="AT190" i="1"/>
  <c r="AN190" i="1"/>
  <c r="AI190" i="1"/>
  <c r="AC190" i="1"/>
  <c r="B188" i="1"/>
  <c r="B188" i="19" s="1"/>
  <c r="AW187" i="1"/>
  <c r="AT187" i="1"/>
  <c r="AN187" i="1"/>
  <c r="AI187" i="1"/>
  <c r="AC187" i="1"/>
  <c r="B185" i="1"/>
  <c r="B185" i="19" s="1"/>
  <c r="AW184" i="1"/>
  <c r="AT184" i="1"/>
  <c r="AN184" i="1"/>
  <c r="AI184" i="1"/>
  <c r="AC184" i="1"/>
  <c r="B182" i="1"/>
  <c r="B182" i="19" s="1"/>
  <c r="AW181" i="1"/>
  <c r="AT181" i="1"/>
  <c r="AN181" i="1"/>
  <c r="AI181" i="1"/>
  <c r="AC181" i="1"/>
  <c r="B179" i="1"/>
  <c r="B179" i="19" s="1"/>
  <c r="AW178" i="1"/>
  <c r="AT178" i="1"/>
  <c r="AN178" i="1"/>
  <c r="AI178" i="1"/>
  <c r="AC178" i="1"/>
  <c r="B176" i="1"/>
  <c r="B176" i="19" s="1"/>
  <c r="AW175" i="1"/>
  <c r="AT175" i="1"/>
  <c r="AN175" i="1"/>
  <c r="AI175" i="1"/>
  <c r="AC175" i="1"/>
  <c r="B173" i="1"/>
  <c r="B173" i="19" s="1"/>
  <c r="AW172" i="1"/>
  <c r="AT172" i="1"/>
  <c r="AN172" i="1"/>
  <c r="AI172" i="1"/>
  <c r="AC172" i="1"/>
  <c r="B170" i="1"/>
  <c r="B170" i="19" s="1"/>
  <c r="AW169" i="1"/>
  <c r="AT169" i="1"/>
  <c r="AN169" i="1"/>
  <c r="AI169" i="1"/>
  <c r="AC169" i="1"/>
  <c r="AT146" i="20" l="1"/>
  <c r="AC146" i="20"/>
  <c r="AW146" i="20"/>
  <c r="B146" i="20"/>
  <c r="H146" i="20"/>
  <c r="AI146" i="20"/>
  <c r="AN146" i="20"/>
  <c r="Z154" i="2"/>
  <c r="A160" i="2"/>
  <c r="D159" i="2"/>
  <c r="G159" i="2"/>
  <c r="S155" i="2"/>
  <c r="Z155" i="2" s="1"/>
  <c r="P156" i="2"/>
  <c r="J158" i="2"/>
  <c r="N148" i="20" s="1"/>
  <c r="W158" i="2"/>
  <c r="X157" i="2"/>
  <c r="D115" i="2"/>
  <c r="D113" i="2"/>
  <c r="E137" i="2"/>
  <c r="E135" i="2"/>
  <c r="E133" i="2"/>
  <c r="E131" i="2"/>
  <c r="E129" i="2"/>
  <c r="E127" i="2"/>
  <c r="E125" i="2"/>
  <c r="E123" i="2"/>
  <c r="AN46" i="1"/>
  <c r="AN45" i="1"/>
  <c r="AN44" i="1"/>
  <c r="AN43" i="1"/>
  <c r="AN42" i="1"/>
  <c r="D137" i="2"/>
  <c r="D135" i="2"/>
  <c r="D133" i="2"/>
  <c r="D131" i="2"/>
  <c r="D129" i="2"/>
  <c r="D127" i="2"/>
  <c r="D125" i="2"/>
  <c r="D123" i="2"/>
  <c r="AN148" i="20" l="1"/>
  <c r="AW148" i="20"/>
  <c r="H148" i="20"/>
  <c r="AT148" i="20"/>
  <c r="B148" i="20"/>
  <c r="AC148" i="20"/>
  <c r="AI148" i="20"/>
  <c r="AA156" i="2"/>
  <c r="AB156" i="2" s="1"/>
  <c r="J159" i="2"/>
  <c r="N150" i="20" s="1"/>
  <c r="W159" i="2"/>
  <c r="S156" i="2"/>
  <c r="X158" i="2"/>
  <c r="P157" i="2"/>
  <c r="A161" i="2"/>
  <c r="D160" i="2"/>
  <c r="G160" i="2"/>
  <c r="AN150" i="20" l="1"/>
  <c r="B150" i="20"/>
  <c r="H150" i="20"/>
  <c r="AT150" i="20"/>
  <c r="AI150" i="20"/>
  <c r="AC150" i="20"/>
  <c r="AW150" i="20"/>
  <c r="Z156" i="2"/>
  <c r="AA157" i="2"/>
  <c r="AB157" i="2" s="1"/>
  <c r="X159" i="2"/>
  <c r="A162" i="2"/>
  <c r="D161" i="2"/>
  <c r="G161" i="2"/>
  <c r="S157" i="2"/>
  <c r="P158" i="2"/>
  <c r="J160" i="2"/>
  <c r="N152" i="20" s="1"/>
  <c r="W160" i="2"/>
  <c r="D325" i="2"/>
  <c r="A108" i="19" s="1"/>
  <c r="E310" i="2"/>
  <c r="AT93" i="19" s="1"/>
  <c r="E311" i="2"/>
  <c r="AT94" i="19" s="1"/>
  <c r="E312" i="2"/>
  <c r="AT95" i="19" s="1"/>
  <c r="E313" i="2"/>
  <c r="AT96" i="19" s="1"/>
  <c r="E314" i="2"/>
  <c r="AT97" i="19" s="1"/>
  <c r="E315" i="2"/>
  <c r="AT98" i="19" s="1"/>
  <c r="E316" i="2"/>
  <c r="AT99" i="19" s="1"/>
  <c r="E317" i="2"/>
  <c r="AT100" i="19" s="1"/>
  <c r="E318" i="2"/>
  <c r="E319" i="2"/>
  <c r="AT102" i="19" s="1"/>
  <c r="E320" i="2"/>
  <c r="AT103" i="19" s="1"/>
  <c r="E321" i="2"/>
  <c r="AT104" i="19" s="1"/>
  <c r="E322" i="2"/>
  <c r="AT105" i="19" s="1"/>
  <c r="E309" i="2"/>
  <c r="AT92" i="19" s="1"/>
  <c r="E296" i="2"/>
  <c r="U93" i="19" s="1"/>
  <c r="E297" i="2"/>
  <c r="U94" i="19" s="1"/>
  <c r="E298" i="2"/>
  <c r="U95" i="19" s="1"/>
  <c r="E299" i="2"/>
  <c r="U96" i="19" s="1"/>
  <c r="E300" i="2"/>
  <c r="U97" i="19" s="1"/>
  <c r="E301" i="2"/>
  <c r="U98" i="19" s="1"/>
  <c r="E302" i="2"/>
  <c r="U99" i="19" s="1"/>
  <c r="E303" i="2"/>
  <c r="E304" i="2"/>
  <c r="U101" i="19" s="1"/>
  <c r="E305" i="2"/>
  <c r="U102" i="19" s="1"/>
  <c r="E306" i="2"/>
  <c r="U103" i="19" s="1"/>
  <c r="E307" i="2"/>
  <c r="U104" i="19" s="1"/>
  <c r="E308" i="2"/>
  <c r="U105" i="19" s="1"/>
  <c r="E295" i="2"/>
  <c r="U92" i="19" s="1"/>
  <c r="D310" i="2"/>
  <c r="AA93" i="19" s="1"/>
  <c r="D311" i="2"/>
  <c r="AA94" i="19" s="1"/>
  <c r="D312" i="2"/>
  <c r="AA95" i="19" s="1"/>
  <c r="D313" i="2"/>
  <c r="AA96" i="19" s="1"/>
  <c r="D314" i="2"/>
  <c r="AA97" i="19" s="1"/>
  <c r="D315" i="2"/>
  <c r="AA98" i="19" s="1"/>
  <c r="D316" i="2"/>
  <c r="AA99" i="19" s="1"/>
  <c r="D317" i="2"/>
  <c r="AA100" i="19" s="1"/>
  <c r="D318" i="2"/>
  <c r="D319" i="2"/>
  <c r="AA102" i="19" s="1"/>
  <c r="D320" i="2"/>
  <c r="AA103" i="19" s="1"/>
  <c r="D321" i="2"/>
  <c r="AA104" i="19" s="1"/>
  <c r="D322" i="2"/>
  <c r="AA105" i="19" s="1"/>
  <c r="D309" i="2"/>
  <c r="AA92" i="19" s="1"/>
  <c r="D296" i="2"/>
  <c r="B93" i="19" s="1"/>
  <c r="D297" i="2"/>
  <c r="B94" i="19" s="1"/>
  <c r="D298" i="2"/>
  <c r="B95" i="19" s="1"/>
  <c r="D299" i="2"/>
  <c r="B96" i="19" s="1"/>
  <c r="D300" i="2"/>
  <c r="B97" i="19" s="1"/>
  <c r="D301" i="2"/>
  <c r="B98" i="19" s="1"/>
  <c r="D302" i="2"/>
  <c r="B99" i="19" s="1"/>
  <c r="D303" i="2"/>
  <c r="D304" i="2"/>
  <c r="B101" i="19" s="1"/>
  <c r="D305" i="2"/>
  <c r="B102" i="19" s="1"/>
  <c r="D306" i="2"/>
  <c r="B103" i="19" s="1"/>
  <c r="D307" i="2"/>
  <c r="B104" i="19" s="1"/>
  <c r="D308" i="2"/>
  <c r="B105" i="19" s="1"/>
  <c r="D295" i="2"/>
  <c r="B92" i="19" s="1"/>
  <c r="AN152" i="20" l="1"/>
  <c r="H152" i="20"/>
  <c r="AT152" i="20"/>
  <c r="AW152" i="20"/>
  <c r="B152" i="20"/>
  <c r="AI152" i="20"/>
  <c r="AC152" i="20"/>
  <c r="Z157" i="2"/>
  <c r="AA158" i="2"/>
  <c r="AB158" i="2" s="1"/>
  <c r="X160" i="2"/>
  <c r="S158" i="2"/>
  <c r="A163" i="2"/>
  <c r="H163" i="2" s="1"/>
  <c r="K163" i="2" s="1"/>
  <c r="D162" i="2"/>
  <c r="G162" i="2"/>
  <c r="W161" i="2"/>
  <c r="J161" i="2"/>
  <c r="N154" i="20" s="1"/>
  <c r="H161" i="2"/>
  <c r="K161" i="2" s="1"/>
  <c r="H153" i="2"/>
  <c r="K153" i="2" s="1"/>
  <c r="B139" i="20" s="1"/>
  <c r="H145" i="2"/>
  <c r="K145" i="2" s="1"/>
  <c r="B123" i="20" s="1"/>
  <c r="H159" i="2"/>
  <c r="K159" i="2" s="1"/>
  <c r="B151" i="20" s="1"/>
  <c r="H143" i="2"/>
  <c r="K143" i="2" s="1"/>
  <c r="B119" i="20" s="1"/>
  <c r="H154" i="2"/>
  <c r="K154" i="2" s="1"/>
  <c r="B141" i="20" s="1"/>
  <c r="H160" i="2"/>
  <c r="K160" i="2" s="1"/>
  <c r="B153" i="20" s="1"/>
  <c r="H152" i="2"/>
  <c r="K152" i="2" s="1"/>
  <c r="B137" i="20" s="1"/>
  <c r="H144" i="2"/>
  <c r="K144" i="2" s="1"/>
  <c r="B121" i="20" s="1"/>
  <c r="H151" i="2"/>
  <c r="K151" i="2" s="1"/>
  <c r="B135" i="20" s="1"/>
  <c r="H155" i="2"/>
  <c r="K155" i="2" s="1"/>
  <c r="B143" i="20" s="1"/>
  <c r="H162" i="2"/>
  <c r="K162" i="2" s="1"/>
  <c r="H158" i="2"/>
  <c r="K158" i="2" s="1"/>
  <c r="B149" i="20" s="1"/>
  <c r="H150" i="2"/>
  <c r="K150" i="2" s="1"/>
  <c r="B133" i="20" s="1"/>
  <c r="H142" i="2"/>
  <c r="K142" i="2" s="1"/>
  <c r="B117" i="20" s="1"/>
  <c r="H148" i="2"/>
  <c r="K148" i="2" s="1"/>
  <c r="B129" i="20" s="1"/>
  <c r="H146" i="2"/>
  <c r="K146" i="2" s="1"/>
  <c r="B125" i="20" s="1"/>
  <c r="H157" i="2"/>
  <c r="K157" i="2" s="1"/>
  <c r="B147" i="20" s="1"/>
  <c r="H149" i="2"/>
  <c r="K149" i="2" s="1"/>
  <c r="B131" i="20" s="1"/>
  <c r="H156" i="2"/>
  <c r="K156" i="2" s="1"/>
  <c r="B145" i="20" s="1"/>
  <c r="H147" i="2"/>
  <c r="K147" i="2" s="1"/>
  <c r="B127" i="20" s="1"/>
  <c r="H141" i="2"/>
  <c r="K141" i="2" s="1"/>
  <c r="B115" i="20" s="1"/>
  <c r="H140" i="2"/>
  <c r="K140" i="2" s="1"/>
  <c r="B113" i="20" s="1"/>
  <c r="U100" i="19"/>
  <c r="H303" i="2" s="1"/>
  <c r="K303" i="2" s="1"/>
  <c r="AA101" i="19"/>
  <c r="G318" i="2" s="1"/>
  <c r="J318" i="2" s="1"/>
  <c r="B100" i="19"/>
  <c r="G303" i="2" s="1"/>
  <c r="J303" i="2" s="1"/>
  <c r="AT101" i="19"/>
  <c r="H318" i="2" s="1"/>
  <c r="K318" i="2" s="1"/>
  <c r="H317" i="2"/>
  <c r="K317" i="2" s="1"/>
  <c r="G296" i="2"/>
  <c r="J296" i="2" s="1"/>
  <c r="B93" i="20" s="1"/>
  <c r="P296" i="2" s="1"/>
  <c r="S296" i="2" s="1"/>
  <c r="H316" i="2"/>
  <c r="K316" i="2" s="1"/>
  <c r="G314" i="2"/>
  <c r="J314" i="2" s="1"/>
  <c r="G311" i="2"/>
  <c r="J311" i="2" s="1"/>
  <c r="H315" i="2"/>
  <c r="K315" i="2" s="1"/>
  <c r="G295" i="2"/>
  <c r="J295" i="2" s="1"/>
  <c r="B92" i="20" s="1"/>
  <c r="P295" i="2" s="1"/>
  <c r="S295" i="2" s="1"/>
  <c r="G310" i="2"/>
  <c r="J310" i="2" s="1"/>
  <c r="H314" i="2"/>
  <c r="K314" i="2" s="1"/>
  <c r="G297" i="2"/>
  <c r="J297" i="2" s="1"/>
  <c r="B94" i="20" s="1"/>
  <c r="P297" i="2" s="1"/>
  <c r="S297" i="2" s="1"/>
  <c r="H295" i="2"/>
  <c r="K295" i="2" s="1"/>
  <c r="U92" i="20" s="1"/>
  <c r="Q295" i="2" s="1"/>
  <c r="T295" i="2" s="1"/>
  <c r="H313" i="2"/>
  <c r="K313" i="2" s="1"/>
  <c r="H300" i="2"/>
  <c r="K300" i="2" s="1"/>
  <c r="G322" i="2"/>
  <c r="J322" i="2" s="1"/>
  <c r="G304" i="2"/>
  <c r="J304" i="2" s="1"/>
  <c r="H312" i="2"/>
  <c r="K312" i="2" s="1"/>
  <c r="G313" i="2"/>
  <c r="J313" i="2" s="1"/>
  <c r="H297" i="2"/>
  <c r="K297" i="2" s="1"/>
  <c r="U94" i="20" s="1"/>
  <c r="Q297" i="2" s="1"/>
  <c r="T297" i="2" s="1"/>
  <c r="G319" i="2"/>
  <c r="J319" i="2" s="1"/>
  <c r="H309" i="2"/>
  <c r="K309" i="2" s="1"/>
  <c r="H311" i="2"/>
  <c r="K311" i="2" s="1"/>
  <c r="H302" i="2"/>
  <c r="K302" i="2" s="1"/>
  <c r="G308" i="2"/>
  <c r="J308" i="2" s="1"/>
  <c r="G307" i="2"/>
  <c r="J307" i="2" s="1"/>
  <c r="G321" i="2"/>
  <c r="J321" i="2" s="1"/>
  <c r="H296" i="2"/>
  <c r="K296" i="2" s="1"/>
  <c r="U93" i="20" s="1"/>
  <c r="Q296" i="2" s="1"/>
  <c r="T296" i="2" s="1"/>
  <c r="H306" i="2"/>
  <c r="K306" i="2" s="1"/>
  <c r="H322" i="2"/>
  <c r="K322" i="2" s="1"/>
  <c r="H310" i="2"/>
  <c r="K310" i="2" s="1"/>
  <c r="G298" i="2"/>
  <c r="J298" i="2" s="1"/>
  <c r="B95" i="20" s="1"/>
  <c r="P298" i="2" s="1"/>
  <c r="S298" i="2" s="1"/>
  <c r="H299" i="2"/>
  <c r="K299" i="2" s="1"/>
  <c r="G305" i="2"/>
  <c r="J305" i="2" s="1"/>
  <c r="H307" i="2"/>
  <c r="K307" i="2" s="1"/>
  <c r="G301" i="2"/>
  <c r="J301" i="2" s="1"/>
  <c r="G317" i="2"/>
  <c r="J317" i="2" s="1"/>
  <c r="H305" i="2"/>
  <c r="K305" i="2" s="1"/>
  <c r="H321" i="2"/>
  <c r="K321" i="2" s="1"/>
  <c r="G325" i="2"/>
  <c r="J325" i="2" s="1"/>
  <c r="A108" i="20" s="1"/>
  <c r="G312" i="2"/>
  <c r="J312" i="2" s="1"/>
  <c r="H298" i="2"/>
  <c r="K298" i="2" s="1"/>
  <c r="U95" i="20" s="1"/>
  <c r="Q298" i="2" s="1"/>
  <c r="T298" i="2" s="1"/>
  <c r="G320" i="2"/>
  <c r="J320" i="2" s="1"/>
  <c r="G302" i="2"/>
  <c r="J302" i="2" s="1"/>
  <c r="G300" i="2"/>
  <c r="J300" i="2" s="1"/>
  <c r="H304" i="2"/>
  <c r="K304" i="2" s="1"/>
  <c r="H320" i="2"/>
  <c r="K320" i="2" s="1"/>
  <c r="H301" i="2"/>
  <c r="K301" i="2" s="1"/>
  <c r="G309" i="2"/>
  <c r="J309" i="2" s="1"/>
  <c r="G306" i="2"/>
  <c r="J306" i="2" s="1"/>
  <c r="H308" i="2"/>
  <c r="K308" i="2" s="1"/>
  <c r="G316" i="2"/>
  <c r="J316" i="2" s="1"/>
  <c r="G299" i="2"/>
  <c r="J299" i="2" s="1"/>
  <c r="G315" i="2"/>
  <c r="J315" i="2" s="1"/>
  <c r="H319" i="2"/>
  <c r="K319" i="2" s="1"/>
  <c r="F11" i="4"/>
  <c r="F70" i="4" s="1"/>
  <c r="F10" i="4"/>
  <c r="F9" i="4"/>
  <c r="F8" i="4"/>
  <c r="F7" i="4"/>
  <c r="F6" i="4"/>
  <c r="F5" i="4"/>
  <c r="F55" i="4" s="1"/>
  <c r="F4" i="4"/>
  <c r="F3" i="4"/>
  <c r="D20" i="4"/>
  <c r="D97" i="4" s="1"/>
  <c r="D19" i="4"/>
  <c r="D18" i="4"/>
  <c r="D94" i="4" s="1"/>
  <c r="D17" i="4"/>
  <c r="D16" i="4"/>
  <c r="D15" i="4"/>
  <c r="D11" i="4"/>
  <c r="D70" i="4" s="1"/>
  <c r="D10" i="4"/>
  <c r="D9" i="4"/>
  <c r="D8" i="4"/>
  <c r="D7" i="4"/>
  <c r="D6" i="4"/>
  <c r="I12" i="4"/>
  <c r="J12" i="4"/>
  <c r="K12" i="4"/>
  <c r="L12" i="4"/>
  <c r="I13" i="4"/>
  <c r="J13" i="4"/>
  <c r="K13" i="4"/>
  <c r="L13" i="4"/>
  <c r="I14" i="4"/>
  <c r="J14" i="4"/>
  <c r="K14" i="4"/>
  <c r="L14" i="4"/>
  <c r="I3" i="4"/>
  <c r="J3" i="4"/>
  <c r="K3" i="4"/>
  <c r="L3" i="4"/>
  <c r="I4" i="4"/>
  <c r="J4" i="4"/>
  <c r="K4" i="4"/>
  <c r="L4" i="4"/>
  <c r="I5" i="4"/>
  <c r="I55" i="4" s="1"/>
  <c r="J5" i="4"/>
  <c r="J55" i="4" s="1"/>
  <c r="K5" i="4"/>
  <c r="K55" i="4" s="1"/>
  <c r="L5" i="4"/>
  <c r="L55" i="4" s="1"/>
  <c r="B112" i="4"/>
  <c r="B111" i="4"/>
  <c r="B110" i="4"/>
  <c r="B109" i="4"/>
  <c r="B108" i="4"/>
  <c r="Q136" i="2"/>
  <c r="Q134" i="2"/>
  <c r="Q135" i="2"/>
  <c r="Q137" i="2"/>
  <c r="B155" i="20" l="1"/>
  <c r="AT154" i="20"/>
  <c r="AC154" i="20"/>
  <c r="AN154" i="20"/>
  <c r="H154" i="20"/>
  <c r="AW154" i="20"/>
  <c r="AI154" i="20"/>
  <c r="B154" i="20"/>
  <c r="Z158" i="2"/>
  <c r="Q160" i="2"/>
  <c r="T160" i="2" s="1"/>
  <c r="AP48" i="20"/>
  <c r="AP49" i="20"/>
  <c r="AA92" i="20"/>
  <c r="P309" i="2" s="1"/>
  <c r="S309" i="2" s="1"/>
  <c r="U96" i="20"/>
  <c r="Q299" i="2" s="1"/>
  <c r="T299" i="2" s="1"/>
  <c r="AA102" i="20"/>
  <c r="P319" i="2" s="1"/>
  <c r="S319" i="2" s="1"/>
  <c r="B100" i="20"/>
  <c r="P303" i="2" s="1"/>
  <c r="S303" i="2" s="1"/>
  <c r="AT102" i="20"/>
  <c r="Q319" i="2" s="1"/>
  <c r="T319" i="2" s="1"/>
  <c r="U105" i="20"/>
  <c r="Q308" i="2" s="1"/>
  <c r="T308" i="2" s="1"/>
  <c r="AT103" i="20"/>
  <c r="Q320" i="2" s="1"/>
  <c r="T320" i="2" s="1"/>
  <c r="AA103" i="20"/>
  <c r="P320" i="2" s="1"/>
  <c r="S320" i="2" s="1"/>
  <c r="AT104" i="20"/>
  <c r="Q321" i="2" s="1"/>
  <c r="T321" i="2" s="1"/>
  <c r="U104" i="20"/>
  <c r="Q307" i="2" s="1"/>
  <c r="T307" i="2" s="1"/>
  <c r="AT93" i="20"/>
  <c r="Q310" i="2" s="1"/>
  <c r="T310" i="2" s="1"/>
  <c r="AA104" i="20"/>
  <c r="P321" i="2" s="1"/>
  <c r="S321" i="2" s="1"/>
  <c r="AT94" i="20"/>
  <c r="Q311" i="2" s="1"/>
  <c r="T311" i="2" s="1"/>
  <c r="AA96" i="20"/>
  <c r="P313" i="2" s="1"/>
  <c r="S313" i="2" s="1"/>
  <c r="U97" i="20"/>
  <c r="Q300" i="2" s="1"/>
  <c r="T300" i="2" s="1"/>
  <c r="AT97" i="20"/>
  <c r="Q314" i="2" s="1"/>
  <c r="T314" i="2" s="1"/>
  <c r="AA94" i="20"/>
  <c r="P311" i="2" s="1"/>
  <c r="S311" i="2" s="1"/>
  <c r="AT100" i="20"/>
  <c r="Q317" i="2" s="1"/>
  <c r="T317" i="2" s="1"/>
  <c r="U100" i="20"/>
  <c r="Q303" i="2" s="1"/>
  <c r="T303" i="2" s="1"/>
  <c r="X161" i="2"/>
  <c r="AA95" i="20"/>
  <c r="P312" i="2" s="1"/>
  <c r="S312" i="2" s="1"/>
  <c r="AA98" i="20"/>
  <c r="P315" i="2" s="1"/>
  <c r="S315" i="2" s="1"/>
  <c r="B103" i="20"/>
  <c r="P306" i="2" s="1"/>
  <c r="S306" i="2" s="1"/>
  <c r="U101" i="20"/>
  <c r="Q304" i="2" s="1"/>
  <c r="T304" i="2" s="1"/>
  <c r="U102" i="20"/>
  <c r="Q305" i="2" s="1"/>
  <c r="T305" i="2" s="1"/>
  <c r="B102" i="20"/>
  <c r="P305" i="2" s="1"/>
  <c r="S305" i="2" s="1"/>
  <c r="AT105" i="20"/>
  <c r="Q322" i="2" s="1"/>
  <c r="T322" i="2" s="1"/>
  <c r="B104" i="20"/>
  <c r="P307" i="2" s="1"/>
  <c r="S307" i="2" s="1"/>
  <c r="AT92" i="20"/>
  <c r="Q309" i="2" s="1"/>
  <c r="T309" i="2" s="1"/>
  <c r="AT95" i="20"/>
  <c r="Q312" i="2" s="1"/>
  <c r="T312" i="2" s="1"/>
  <c r="AT96" i="20"/>
  <c r="Q313" i="2" s="1"/>
  <c r="T313" i="2" s="1"/>
  <c r="AA93" i="20"/>
  <c r="P310" i="2" s="1"/>
  <c r="S310" i="2" s="1"/>
  <c r="AA97" i="20"/>
  <c r="P314" i="2" s="1"/>
  <c r="S314" i="2" s="1"/>
  <c r="AT101" i="20"/>
  <c r="Q318" i="2" s="1"/>
  <c r="T318" i="2" s="1"/>
  <c r="B96" i="20"/>
  <c r="P299" i="2" s="1"/>
  <c r="S299" i="2" s="1"/>
  <c r="AA100" i="20"/>
  <c r="P317" i="2" s="1"/>
  <c r="S317" i="2" s="1"/>
  <c r="B105" i="20"/>
  <c r="P308" i="2" s="1"/>
  <c r="S308" i="2" s="1"/>
  <c r="B101" i="20"/>
  <c r="P304" i="2" s="1"/>
  <c r="S304" i="2" s="1"/>
  <c r="B97" i="20"/>
  <c r="P300" i="2" s="1"/>
  <c r="S300" i="2" s="1"/>
  <c r="U103" i="20"/>
  <c r="Q306" i="2" s="1"/>
  <c r="T306" i="2" s="1"/>
  <c r="AT99" i="20"/>
  <c r="Q316" i="2" s="1"/>
  <c r="T316" i="2" s="1"/>
  <c r="AA99" i="20"/>
  <c r="P316" i="2" s="1"/>
  <c r="S316" i="2" s="1"/>
  <c r="U98" i="20"/>
  <c r="Q301" i="2" s="1"/>
  <c r="T301" i="2" s="1"/>
  <c r="B99" i="20"/>
  <c r="P302" i="2" s="1"/>
  <c r="S302" i="2" s="1"/>
  <c r="B98" i="20"/>
  <c r="P301" i="2" s="1"/>
  <c r="S301" i="2" s="1"/>
  <c r="U99" i="20"/>
  <c r="Q302" i="2" s="1"/>
  <c r="T302" i="2" s="1"/>
  <c r="AA105" i="20"/>
  <c r="P322" i="2" s="1"/>
  <c r="S322" i="2" s="1"/>
  <c r="AT98" i="20"/>
  <c r="Q315" i="2" s="1"/>
  <c r="T315" i="2" s="1"/>
  <c r="AA101" i="20"/>
  <c r="P318" i="2" s="1"/>
  <c r="S318" i="2" s="1"/>
  <c r="Q143" i="2"/>
  <c r="T143" i="2" s="1"/>
  <c r="T135" i="2"/>
  <c r="T134" i="2"/>
  <c r="T137" i="2"/>
  <c r="T136" i="2"/>
  <c r="AN48" i="20"/>
  <c r="AL48" i="20"/>
  <c r="AE48" i="20"/>
  <c r="AH48" i="20"/>
  <c r="AG48" i="20"/>
  <c r="AI48" i="20"/>
  <c r="AF48" i="20"/>
  <c r="AL49" i="20"/>
  <c r="AN49" i="20"/>
  <c r="AG49" i="20"/>
  <c r="AF49" i="20"/>
  <c r="AE49" i="20"/>
  <c r="AH49" i="20"/>
  <c r="AI49" i="20"/>
  <c r="A164" i="2"/>
  <c r="D163" i="2"/>
  <c r="G163" i="2"/>
  <c r="J162" i="2"/>
  <c r="N156" i="20" s="1"/>
  <c r="W162" i="2"/>
  <c r="P325" i="2"/>
  <c r="S325" i="2" s="1"/>
  <c r="Q157" i="2"/>
  <c r="T157" i="2" s="1"/>
  <c r="Q151" i="2"/>
  <c r="T151" i="2" s="1"/>
  <c r="Q152" i="2"/>
  <c r="T152" i="2" s="1"/>
  <c r="Q150" i="2"/>
  <c r="T150" i="2" s="1"/>
  <c r="Q147" i="2"/>
  <c r="T147" i="2" s="1"/>
  <c r="Q158" i="2"/>
  <c r="T158" i="2" s="1"/>
  <c r="Q144" i="2"/>
  <c r="T144" i="2" s="1"/>
  <c r="Q153" i="2"/>
  <c r="T153" i="2" s="1"/>
  <c r="Q145" i="2"/>
  <c r="T145" i="2" s="1"/>
  <c r="Q146" i="2"/>
  <c r="T146" i="2" s="1"/>
  <c r="Q148" i="2"/>
  <c r="T148" i="2" s="1"/>
  <c r="Q155" i="2"/>
  <c r="T155" i="2" s="1"/>
  <c r="Q159" i="2"/>
  <c r="T159" i="2" s="1"/>
  <c r="Q154" i="2"/>
  <c r="T154" i="2" s="1"/>
  <c r="Q156" i="2"/>
  <c r="T156" i="2" s="1"/>
  <c r="Q149" i="2"/>
  <c r="T149" i="2" s="1"/>
  <c r="Q142" i="2"/>
  <c r="T142" i="2" s="1"/>
  <c r="Q141" i="2"/>
  <c r="T141" i="2" s="1"/>
  <c r="L34" i="4"/>
  <c r="L22" i="4"/>
  <c r="J34" i="4"/>
  <c r="J22" i="4"/>
  <c r="K34" i="4"/>
  <c r="K22" i="4"/>
  <c r="F34" i="4"/>
  <c r="F22" i="4"/>
  <c r="I34" i="4"/>
  <c r="I22" i="4"/>
  <c r="J50" i="4"/>
  <c r="J53" i="4"/>
  <c r="F53" i="4"/>
  <c r="F50" i="4"/>
  <c r="I53" i="4"/>
  <c r="I50" i="4"/>
  <c r="L50" i="4"/>
  <c r="L53" i="4"/>
  <c r="K50" i="4"/>
  <c r="K53" i="4"/>
  <c r="I88" i="4"/>
  <c r="I89" i="4"/>
  <c r="I85" i="4"/>
  <c r="I86" i="4"/>
  <c r="I87" i="4"/>
  <c r="F56" i="4"/>
  <c r="F51" i="4"/>
  <c r="F49" i="4"/>
  <c r="F52" i="4"/>
  <c r="F54" i="4"/>
  <c r="I56" i="4"/>
  <c r="I51" i="4"/>
  <c r="I52" i="4"/>
  <c r="I54" i="4"/>
  <c r="I49" i="4"/>
  <c r="L81" i="4"/>
  <c r="L77" i="4"/>
  <c r="L82" i="4"/>
  <c r="L78" i="4"/>
  <c r="L83" i="4"/>
  <c r="L79" i="4"/>
  <c r="L84" i="4"/>
  <c r="L80" i="4"/>
  <c r="L76" i="4"/>
  <c r="F62" i="4"/>
  <c r="F63" i="4"/>
  <c r="J88" i="4"/>
  <c r="J89" i="4"/>
  <c r="J85" i="4"/>
  <c r="J86" i="4"/>
  <c r="J87" i="4"/>
  <c r="D69" i="4"/>
  <c r="D67" i="4"/>
  <c r="D66" i="4"/>
  <c r="D68" i="4"/>
  <c r="J47" i="4"/>
  <c r="J44" i="4"/>
  <c r="J38" i="4"/>
  <c r="J35" i="4"/>
  <c r="J42" i="4"/>
  <c r="J39" i="4"/>
  <c r="J36" i="4"/>
  <c r="J48" i="4"/>
  <c r="J45" i="4"/>
  <c r="J37" i="4"/>
  <c r="J41" i="4"/>
  <c r="J40" i="4"/>
  <c r="J46" i="4"/>
  <c r="J43" i="4"/>
  <c r="J84" i="4"/>
  <c r="J80" i="4"/>
  <c r="J76" i="4"/>
  <c r="J81" i="4"/>
  <c r="J77" i="4"/>
  <c r="J82" i="4"/>
  <c r="J78" i="4"/>
  <c r="J83" i="4"/>
  <c r="J79" i="4"/>
  <c r="D91" i="4"/>
  <c r="D90" i="4"/>
  <c r="F64" i="4"/>
  <c r="F65" i="4"/>
  <c r="I84" i="4"/>
  <c r="I80" i="4"/>
  <c r="I76" i="4"/>
  <c r="I81" i="4"/>
  <c r="I77" i="4"/>
  <c r="I82" i="4"/>
  <c r="I78" i="4"/>
  <c r="I83" i="4"/>
  <c r="I79" i="4"/>
  <c r="D92" i="4"/>
  <c r="D93" i="4"/>
  <c r="F69" i="4"/>
  <c r="F67" i="4"/>
  <c r="F68" i="4"/>
  <c r="F66" i="4"/>
  <c r="J56" i="4"/>
  <c r="J51" i="4"/>
  <c r="J52" i="4"/>
  <c r="J54" i="4"/>
  <c r="J49" i="4"/>
  <c r="K80" i="4"/>
  <c r="K81" i="4"/>
  <c r="K77" i="4"/>
  <c r="K84" i="4"/>
  <c r="K76" i="4"/>
  <c r="K82" i="4"/>
  <c r="K78" i="4"/>
  <c r="K83" i="4"/>
  <c r="K79" i="4"/>
  <c r="K32" i="4"/>
  <c r="K29" i="4"/>
  <c r="K26" i="4"/>
  <c r="K23" i="4"/>
  <c r="K28" i="4"/>
  <c r="K33" i="4"/>
  <c r="K27" i="4"/>
  <c r="K25" i="4"/>
  <c r="K30" i="4"/>
  <c r="K24" i="4"/>
  <c r="K31" i="4"/>
  <c r="K73" i="4"/>
  <c r="K74" i="4"/>
  <c r="K72" i="4"/>
  <c r="K75" i="4"/>
  <c r="K71" i="4"/>
  <c r="J32" i="4"/>
  <c r="J29" i="4"/>
  <c r="J26" i="4"/>
  <c r="J23" i="4"/>
  <c r="J27" i="4"/>
  <c r="J30" i="4"/>
  <c r="J28" i="4"/>
  <c r="J24" i="4"/>
  <c r="J31" i="4"/>
  <c r="J33" i="4"/>
  <c r="J25" i="4"/>
  <c r="J72" i="4"/>
  <c r="J73" i="4"/>
  <c r="J74" i="4"/>
  <c r="J75" i="4"/>
  <c r="J71" i="4"/>
  <c r="D95" i="4"/>
  <c r="D96" i="4"/>
  <c r="F61" i="4"/>
  <c r="F58" i="4"/>
  <c r="F59" i="4"/>
  <c r="F57" i="4"/>
  <c r="F60" i="4"/>
  <c r="I41" i="4"/>
  <c r="I38" i="4"/>
  <c r="I35" i="4"/>
  <c r="I47" i="4"/>
  <c r="I44" i="4"/>
  <c r="I37" i="4"/>
  <c r="I42" i="4"/>
  <c r="I39" i="4"/>
  <c r="I36" i="4"/>
  <c r="I48" i="4"/>
  <c r="I45" i="4"/>
  <c r="I40" i="4"/>
  <c r="I46" i="4"/>
  <c r="I43" i="4"/>
  <c r="D64" i="4"/>
  <c r="D65" i="4"/>
  <c r="L42" i="4"/>
  <c r="L39" i="4"/>
  <c r="L36" i="4"/>
  <c r="L48" i="4"/>
  <c r="L45" i="4"/>
  <c r="L43" i="4"/>
  <c r="L44" i="4"/>
  <c r="L40" i="4"/>
  <c r="L37" i="4"/>
  <c r="L47" i="4"/>
  <c r="L46" i="4"/>
  <c r="L41" i="4"/>
  <c r="L38" i="4"/>
  <c r="L35" i="4"/>
  <c r="K36" i="4"/>
  <c r="K42" i="4"/>
  <c r="K39" i="4"/>
  <c r="K48" i="4"/>
  <c r="K45" i="4"/>
  <c r="K40" i="4"/>
  <c r="K37" i="4"/>
  <c r="K38" i="4"/>
  <c r="K35" i="4"/>
  <c r="K47" i="4"/>
  <c r="K46" i="4"/>
  <c r="K43" i="4"/>
  <c r="K44" i="4"/>
  <c r="K41" i="4"/>
  <c r="L73" i="4"/>
  <c r="L74" i="4"/>
  <c r="L75" i="4"/>
  <c r="L71" i="4"/>
  <c r="L72" i="4"/>
  <c r="I31" i="4"/>
  <c r="I28" i="4"/>
  <c r="I25" i="4"/>
  <c r="I27" i="4"/>
  <c r="I32" i="4"/>
  <c r="I29" i="4"/>
  <c r="I26" i="4"/>
  <c r="I23" i="4"/>
  <c r="I33" i="4"/>
  <c r="I24" i="4"/>
  <c r="I30" i="4"/>
  <c r="L89" i="4"/>
  <c r="L85" i="4"/>
  <c r="L86" i="4"/>
  <c r="L87" i="4"/>
  <c r="L88" i="4"/>
  <c r="D58" i="4"/>
  <c r="D61" i="4"/>
  <c r="D59" i="4"/>
  <c r="D57" i="4"/>
  <c r="D60" i="4"/>
  <c r="F31" i="4"/>
  <c r="AY42" i="1" s="1"/>
  <c r="F28" i="4"/>
  <c r="F25" i="4"/>
  <c r="F24" i="4"/>
  <c r="F23" i="4"/>
  <c r="F33" i="4"/>
  <c r="F32" i="4"/>
  <c r="F26" i="4"/>
  <c r="F29" i="4"/>
  <c r="F27" i="4"/>
  <c r="F30" i="4"/>
  <c r="L32" i="4"/>
  <c r="L29" i="4"/>
  <c r="L26" i="4"/>
  <c r="L23" i="4"/>
  <c r="L24" i="4"/>
  <c r="L27" i="4"/>
  <c r="L33" i="4"/>
  <c r="L30" i="4"/>
  <c r="L31" i="4"/>
  <c r="L28" i="4"/>
  <c r="L25" i="4"/>
  <c r="I72" i="4"/>
  <c r="I73" i="4"/>
  <c r="I74" i="4"/>
  <c r="I75" i="4"/>
  <c r="I71" i="4"/>
  <c r="L52" i="4"/>
  <c r="L49" i="4"/>
  <c r="L54" i="4"/>
  <c r="L51" i="4"/>
  <c r="L56" i="4"/>
  <c r="K51" i="4"/>
  <c r="K52" i="4"/>
  <c r="K56" i="4"/>
  <c r="K54" i="4"/>
  <c r="K49" i="4"/>
  <c r="K89" i="4"/>
  <c r="K85" i="4"/>
  <c r="K88" i="4"/>
  <c r="K86" i="4"/>
  <c r="K87" i="4"/>
  <c r="D62" i="4"/>
  <c r="D63" i="4"/>
  <c r="F41" i="4"/>
  <c r="F38" i="4"/>
  <c r="F35" i="4"/>
  <c r="F43" i="4"/>
  <c r="F47" i="4"/>
  <c r="F44" i="4"/>
  <c r="F39" i="4"/>
  <c r="F37" i="4"/>
  <c r="F46" i="4"/>
  <c r="F42" i="4"/>
  <c r="F36" i="4"/>
  <c r="F48" i="4"/>
  <c r="F45" i="4"/>
  <c r="F40" i="4"/>
  <c r="AY42" i="19"/>
  <c r="AY42" i="20"/>
  <c r="E269" i="2"/>
  <c r="AM64" i="19" s="1"/>
  <c r="H269" i="2" s="1"/>
  <c r="K269" i="2" s="1"/>
  <c r="AM64" i="20" s="1"/>
  <c r="Q269" i="2" s="1"/>
  <c r="T269" i="2" s="1"/>
  <c r="E270" i="2"/>
  <c r="AM65" i="19" s="1"/>
  <c r="H270" i="2" s="1"/>
  <c r="K270" i="2" s="1"/>
  <c r="AM65" i="20" s="1"/>
  <c r="Q270" i="2" s="1"/>
  <c r="T270" i="2" s="1"/>
  <c r="E271" i="2"/>
  <c r="AM66" i="19" s="1"/>
  <c r="H271" i="2" s="1"/>
  <c r="K271" i="2" s="1"/>
  <c r="AM66" i="20" s="1"/>
  <c r="Q271" i="2" s="1"/>
  <c r="T271" i="2" s="1"/>
  <c r="E272" i="2"/>
  <c r="AM67" i="19" s="1"/>
  <c r="H272" i="2" s="1"/>
  <c r="K272" i="2" s="1"/>
  <c r="AM67" i="20" s="1"/>
  <c r="Q272" i="2" s="1"/>
  <c r="T272" i="2" s="1"/>
  <c r="E273" i="2"/>
  <c r="AM68" i="19" s="1"/>
  <c r="H273" i="2" s="1"/>
  <c r="K273" i="2" s="1"/>
  <c r="AM68" i="20" s="1"/>
  <c r="Q273" i="2" s="1"/>
  <c r="T273" i="2" s="1"/>
  <c r="E274" i="2"/>
  <c r="AM69" i="19" s="1"/>
  <c r="H274" i="2" s="1"/>
  <c r="K274" i="2" s="1"/>
  <c r="AM69" i="20" s="1"/>
  <c r="Q274" i="2" s="1"/>
  <c r="T274" i="2" s="1"/>
  <c r="E275" i="2"/>
  <c r="AM70" i="19" s="1"/>
  <c r="H275" i="2" s="1"/>
  <c r="K275" i="2" s="1"/>
  <c r="AM70" i="20" s="1"/>
  <c r="Q275" i="2" s="1"/>
  <c r="T275" i="2" s="1"/>
  <c r="E276" i="2"/>
  <c r="AM71" i="19" s="1"/>
  <c r="H276" i="2" s="1"/>
  <c r="K276" i="2" s="1"/>
  <c r="AM71" i="20" s="1"/>
  <c r="Q276" i="2" s="1"/>
  <c r="T276" i="2" s="1"/>
  <c r="E278" i="2"/>
  <c r="AM73" i="19" s="1"/>
  <c r="H278" i="2" s="1"/>
  <c r="K278" i="2" s="1"/>
  <c r="AM73" i="20" s="1"/>
  <c r="Q278" i="2" s="1"/>
  <c r="T278" i="2" s="1"/>
  <c r="E279" i="2"/>
  <c r="AM74" i="19" s="1"/>
  <c r="H279" i="2" s="1"/>
  <c r="K279" i="2" s="1"/>
  <c r="AM74" i="20" s="1"/>
  <c r="Q279" i="2" s="1"/>
  <c r="T279" i="2" s="1"/>
  <c r="E280" i="2"/>
  <c r="AM75" i="19" s="1"/>
  <c r="H280" i="2" s="1"/>
  <c r="K280" i="2" s="1"/>
  <c r="AM75" i="20" s="1"/>
  <c r="Q280" i="2" s="1"/>
  <c r="T280" i="2" s="1"/>
  <c r="E281" i="2"/>
  <c r="AM76" i="19" s="1"/>
  <c r="H281" i="2" s="1"/>
  <c r="K281" i="2" s="1"/>
  <c r="AM76" i="20" s="1"/>
  <c r="Q281" i="2" s="1"/>
  <c r="T281" i="2" s="1"/>
  <c r="E282" i="2"/>
  <c r="AM77" i="19" s="1"/>
  <c r="H282" i="2" s="1"/>
  <c r="K282" i="2" s="1"/>
  <c r="AM77" i="20" s="1"/>
  <c r="Q282" i="2" s="1"/>
  <c r="T282" i="2" s="1"/>
  <c r="E283" i="2"/>
  <c r="AM78" i="19" s="1"/>
  <c r="H283" i="2" s="1"/>
  <c r="K283" i="2" s="1"/>
  <c r="AM78" i="20" s="1"/>
  <c r="Q283" i="2" s="1"/>
  <c r="T283" i="2" s="1"/>
  <c r="E284" i="2"/>
  <c r="AM79" i="19" s="1"/>
  <c r="H284" i="2" s="1"/>
  <c r="K284" i="2" s="1"/>
  <c r="AM79" i="20" s="1"/>
  <c r="Q284" i="2" s="1"/>
  <c r="T284" i="2" s="1"/>
  <c r="E285" i="2"/>
  <c r="AM80" i="19" s="1"/>
  <c r="H285" i="2" s="1"/>
  <c r="K285" i="2" s="1"/>
  <c r="AM80" i="20" s="1"/>
  <c r="Q285" i="2" s="1"/>
  <c r="T285" i="2" s="1"/>
  <c r="E286" i="2"/>
  <c r="AM81" i="19" s="1"/>
  <c r="H286" i="2" s="1"/>
  <c r="K286" i="2" s="1"/>
  <c r="AM81" i="20" s="1"/>
  <c r="Q286" i="2" s="1"/>
  <c r="T286" i="2" s="1"/>
  <c r="E287" i="2"/>
  <c r="AM82" i="19" s="1"/>
  <c r="H287" i="2" s="1"/>
  <c r="K287" i="2" s="1"/>
  <c r="AM82" i="20" s="1"/>
  <c r="Q287" i="2" s="1"/>
  <c r="T287" i="2" s="1"/>
  <c r="E288" i="2"/>
  <c r="AM83" i="19" s="1"/>
  <c r="H288" i="2" s="1"/>
  <c r="K288" i="2" s="1"/>
  <c r="AM83" i="20" s="1"/>
  <c r="Q288" i="2" s="1"/>
  <c r="T288" i="2" s="1"/>
  <c r="E289" i="2"/>
  <c r="AM84" i="19" s="1"/>
  <c r="H289" i="2" s="1"/>
  <c r="K289" i="2" s="1"/>
  <c r="AM84" i="20" s="1"/>
  <c r="Q289" i="2" s="1"/>
  <c r="T289" i="2" s="1"/>
  <c r="E290" i="2"/>
  <c r="AM85" i="19" s="1"/>
  <c r="H290" i="2" s="1"/>
  <c r="K290" i="2" s="1"/>
  <c r="AM85" i="20" s="1"/>
  <c r="Q290" i="2" s="1"/>
  <c r="T290" i="2" s="1"/>
  <c r="E291" i="2"/>
  <c r="AM86" i="19" s="1"/>
  <c r="H291" i="2" s="1"/>
  <c r="K291" i="2" s="1"/>
  <c r="AM86" i="20" s="1"/>
  <c r="Q291" i="2" s="1"/>
  <c r="T291" i="2" s="1"/>
  <c r="E292" i="2"/>
  <c r="AM87" i="19" s="1"/>
  <c r="H292" i="2" s="1"/>
  <c r="K292" i="2" s="1"/>
  <c r="AM87" i="20" s="1"/>
  <c r="Q292" i="2" s="1"/>
  <c r="T292" i="2" s="1"/>
  <c r="E268" i="2"/>
  <c r="AM63" i="19" s="1"/>
  <c r="H268" i="2" s="1"/>
  <c r="K268" i="2" s="1"/>
  <c r="AM63" i="20" s="1"/>
  <c r="Q268" i="2" s="1"/>
  <c r="T268" i="2" s="1"/>
  <c r="E244" i="2"/>
  <c r="N64" i="19" s="1"/>
  <c r="H244" i="2" s="1"/>
  <c r="K244" i="2" s="1"/>
  <c r="N64" i="20" s="1"/>
  <c r="Q244" i="2" s="1"/>
  <c r="T244" i="2" s="1"/>
  <c r="E245" i="2"/>
  <c r="E246" i="2"/>
  <c r="E247" i="2"/>
  <c r="E248" i="2"/>
  <c r="E249" i="2"/>
  <c r="E250" i="2"/>
  <c r="E251" i="2"/>
  <c r="E252" i="2"/>
  <c r="E253" i="2"/>
  <c r="E254" i="2"/>
  <c r="E255" i="2"/>
  <c r="E256" i="2"/>
  <c r="E257" i="2"/>
  <c r="E258" i="2"/>
  <c r="E259" i="2"/>
  <c r="E260" i="2"/>
  <c r="E261" i="2"/>
  <c r="E263" i="2"/>
  <c r="E264" i="2"/>
  <c r="E265" i="2"/>
  <c r="E266" i="2"/>
  <c r="E267" i="2"/>
  <c r="N63" i="19"/>
  <c r="D269" i="2"/>
  <c r="AA64" i="19" s="1"/>
  <c r="D270" i="2"/>
  <c r="AA65" i="19" s="1"/>
  <c r="D271" i="2"/>
  <c r="AA66" i="19" s="1"/>
  <c r="D272" i="2"/>
  <c r="AA67" i="19" s="1"/>
  <c r="D273" i="2"/>
  <c r="AA68" i="19" s="1"/>
  <c r="D274" i="2"/>
  <c r="AA69" i="19" s="1"/>
  <c r="D275" i="2"/>
  <c r="AA70" i="19" s="1"/>
  <c r="D276" i="2"/>
  <c r="AA71" i="19" s="1"/>
  <c r="D278" i="2"/>
  <c r="AA73" i="19" s="1"/>
  <c r="D279" i="2"/>
  <c r="AA74" i="19" s="1"/>
  <c r="D280" i="2"/>
  <c r="AA75" i="19" s="1"/>
  <c r="D281" i="2"/>
  <c r="AA76" i="19" s="1"/>
  <c r="D282" i="2"/>
  <c r="AA77" i="19" s="1"/>
  <c r="D283" i="2"/>
  <c r="AA78" i="19" s="1"/>
  <c r="D284" i="2"/>
  <c r="AA79" i="19" s="1"/>
  <c r="D285" i="2"/>
  <c r="AA80" i="19" s="1"/>
  <c r="D286" i="2"/>
  <c r="AA81" i="19" s="1"/>
  <c r="D287" i="2"/>
  <c r="AA82" i="19" s="1"/>
  <c r="D288" i="2"/>
  <c r="AA83" i="19" s="1"/>
  <c r="D289" i="2"/>
  <c r="AA84" i="19" s="1"/>
  <c r="D290" i="2"/>
  <c r="AA85" i="19" s="1"/>
  <c r="D291" i="2"/>
  <c r="AA86" i="19" s="1"/>
  <c r="D292" i="2"/>
  <c r="AA87" i="19" s="1"/>
  <c r="D268" i="2"/>
  <c r="D244" i="2"/>
  <c r="B64" i="19" s="1"/>
  <c r="D245" i="2"/>
  <c r="B65" i="19" s="1"/>
  <c r="D246" i="2"/>
  <c r="B66" i="19" s="1"/>
  <c r="D247" i="2"/>
  <c r="B67" i="19" s="1"/>
  <c r="D248" i="2"/>
  <c r="B68" i="19" s="1"/>
  <c r="D249" i="2"/>
  <c r="B69" i="19" s="1"/>
  <c r="D250" i="2"/>
  <c r="B70" i="19" s="1"/>
  <c r="D251" i="2"/>
  <c r="B71" i="19" s="1"/>
  <c r="D252" i="2"/>
  <c r="B72" i="19" s="1"/>
  <c r="D253" i="2"/>
  <c r="B73" i="19" s="1"/>
  <c r="D254" i="2"/>
  <c r="B74" i="19" s="1"/>
  <c r="D255" i="2"/>
  <c r="B75" i="19" s="1"/>
  <c r="D256" i="2"/>
  <c r="B76" i="19" s="1"/>
  <c r="D257" i="2"/>
  <c r="B77" i="19" s="1"/>
  <c r="D258" i="2"/>
  <c r="B78" i="19" s="1"/>
  <c r="D259" i="2"/>
  <c r="B79" i="19" s="1"/>
  <c r="D260" i="2"/>
  <c r="B80" i="19" s="1"/>
  <c r="D261" i="2"/>
  <c r="B81" i="19" s="1"/>
  <c r="D263" i="2"/>
  <c r="B83" i="19" s="1"/>
  <c r="D264" i="2"/>
  <c r="B84" i="19" s="1"/>
  <c r="D265" i="2"/>
  <c r="B85" i="19" s="1"/>
  <c r="D266" i="2"/>
  <c r="B86" i="19" s="1"/>
  <c r="D267" i="2"/>
  <c r="B87" i="19" s="1"/>
  <c r="AT156" i="20" l="1"/>
  <c r="AI156" i="20"/>
  <c r="AC156" i="20"/>
  <c r="AW156" i="20"/>
  <c r="B156" i="20"/>
  <c r="H156" i="20"/>
  <c r="AN156" i="20"/>
  <c r="B157" i="20"/>
  <c r="Q161" i="2"/>
  <c r="T161" i="2" s="1"/>
  <c r="X162" i="2"/>
  <c r="W163" i="2"/>
  <c r="J163" i="2"/>
  <c r="N158" i="20" s="1"/>
  <c r="A165" i="2"/>
  <c r="D164" i="2"/>
  <c r="G164" i="2"/>
  <c r="H164" i="2"/>
  <c r="K164" i="2" s="1"/>
  <c r="G244" i="2"/>
  <c r="J244" i="2" s="1"/>
  <c r="AA63" i="19"/>
  <c r="G268" i="2" s="1"/>
  <c r="J268" i="2" s="1"/>
  <c r="AA63" i="20" s="1"/>
  <c r="P268" i="2" s="1"/>
  <c r="S268" i="2" s="1"/>
  <c r="AB34" i="19"/>
  <c r="AB34" i="1"/>
  <c r="AB34" i="20"/>
  <c r="AE33" i="20" s="1"/>
  <c r="G286" i="2"/>
  <c r="J286" i="2" s="1"/>
  <c r="G274" i="2"/>
  <c r="J274" i="2" s="1"/>
  <c r="N82" i="19"/>
  <c r="H262" i="2" s="1"/>
  <c r="K262" i="2" s="1"/>
  <c r="N70" i="19"/>
  <c r="H250" i="2" s="1"/>
  <c r="K250" i="2" s="1"/>
  <c r="N70" i="20" s="1"/>
  <c r="Q250" i="2" s="1"/>
  <c r="T250" i="2" s="1"/>
  <c r="G259" i="2"/>
  <c r="J259" i="2" s="1"/>
  <c r="G247" i="2"/>
  <c r="J247" i="2" s="1"/>
  <c r="G285" i="2"/>
  <c r="J285" i="2" s="1"/>
  <c r="G273" i="2"/>
  <c r="J273" i="2" s="1"/>
  <c r="N81" i="19"/>
  <c r="H261" i="2" s="1"/>
  <c r="K261" i="2" s="1"/>
  <c r="N81" i="20" s="1"/>
  <c r="Q261" i="2" s="1"/>
  <c r="T261" i="2" s="1"/>
  <c r="N69" i="19"/>
  <c r="H249" i="2" s="1"/>
  <c r="K249" i="2" s="1"/>
  <c r="N69" i="20" s="1"/>
  <c r="Q249" i="2" s="1"/>
  <c r="T249" i="2" s="1"/>
  <c r="G246" i="2"/>
  <c r="J246" i="2" s="1"/>
  <c r="G284" i="2"/>
  <c r="J284" i="2" s="1"/>
  <c r="G272" i="2"/>
  <c r="J272" i="2" s="1"/>
  <c r="AA67" i="20" s="1"/>
  <c r="N80" i="19"/>
  <c r="H260" i="2" s="1"/>
  <c r="K260" i="2" s="1"/>
  <c r="N80" i="20" s="1"/>
  <c r="Q260" i="2" s="1"/>
  <c r="T260" i="2" s="1"/>
  <c r="N68" i="19"/>
  <c r="H248" i="2" s="1"/>
  <c r="K248" i="2" s="1"/>
  <c r="N68" i="20" s="1"/>
  <c r="Q248" i="2" s="1"/>
  <c r="T248" i="2" s="1"/>
  <c r="G248" i="2"/>
  <c r="J248" i="2" s="1"/>
  <c r="G283" i="2"/>
  <c r="J283" i="2" s="1"/>
  <c r="G271" i="2"/>
  <c r="J271" i="2" s="1"/>
  <c r="N79" i="19"/>
  <c r="H259" i="2" s="1"/>
  <c r="K259" i="2" s="1"/>
  <c r="N79" i="20" s="1"/>
  <c r="Q259" i="2" s="1"/>
  <c r="T259" i="2" s="1"/>
  <c r="N67" i="19"/>
  <c r="H247" i="2" s="1"/>
  <c r="K247" i="2" s="1"/>
  <c r="N67" i="20" s="1"/>
  <c r="Q247" i="2" s="1"/>
  <c r="T247" i="2" s="1"/>
  <c r="G270" i="2"/>
  <c r="J270" i="2" s="1"/>
  <c r="N78" i="19"/>
  <c r="H258" i="2" s="1"/>
  <c r="K258" i="2" s="1"/>
  <c r="N78" i="20" s="1"/>
  <c r="Q258" i="2" s="1"/>
  <c r="T258" i="2" s="1"/>
  <c r="N66" i="19"/>
  <c r="H246" i="2" s="1"/>
  <c r="K246" i="2" s="1"/>
  <c r="N66" i="20" s="1"/>
  <c r="Q246" i="2" s="1"/>
  <c r="T246" i="2" s="1"/>
  <c r="G260" i="2"/>
  <c r="J260" i="2" s="1"/>
  <c r="G267" i="2"/>
  <c r="J267" i="2" s="1"/>
  <c r="G255" i="2"/>
  <c r="J255" i="2" s="1"/>
  <c r="G281" i="2"/>
  <c r="J281" i="2" s="1"/>
  <c r="G269" i="2"/>
  <c r="J269" i="2" s="1"/>
  <c r="N77" i="19"/>
  <c r="H257" i="2" s="1"/>
  <c r="K257" i="2" s="1"/>
  <c r="N77" i="20" s="1"/>
  <c r="Q257" i="2" s="1"/>
  <c r="T257" i="2" s="1"/>
  <c r="N65" i="19"/>
  <c r="H245" i="2" s="1"/>
  <c r="K245" i="2" s="1"/>
  <c r="N65" i="20" s="1"/>
  <c r="Q245" i="2" s="1"/>
  <c r="T245" i="2" s="1"/>
  <c r="G245" i="2"/>
  <c r="J245" i="2" s="1"/>
  <c r="G280" i="2"/>
  <c r="J280" i="2" s="1"/>
  <c r="H243" i="2"/>
  <c r="K243" i="2" s="1"/>
  <c r="N63" i="20" s="1"/>
  <c r="Q243" i="2" s="1"/>
  <c r="T243" i="2" s="1"/>
  <c r="N76" i="19"/>
  <c r="H256" i="2" s="1"/>
  <c r="K256" i="2" s="1"/>
  <c r="N76" i="20" s="1"/>
  <c r="Q256" i="2" s="1"/>
  <c r="T256" i="2" s="1"/>
  <c r="G282" i="2"/>
  <c r="J282" i="2" s="1"/>
  <c r="AA77" i="20" s="1"/>
  <c r="G265" i="2"/>
  <c r="J265" i="2" s="1"/>
  <c r="G253" i="2"/>
  <c r="J253" i="2" s="1"/>
  <c r="G291" i="2"/>
  <c r="J291" i="2" s="1"/>
  <c r="G279" i="2"/>
  <c r="J279" i="2" s="1"/>
  <c r="N87" i="19"/>
  <c r="H267" i="2" s="1"/>
  <c r="K267" i="2" s="1"/>
  <c r="N87" i="20" s="1"/>
  <c r="Q267" i="2" s="1"/>
  <c r="T267" i="2" s="1"/>
  <c r="N75" i="19"/>
  <c r="H255" i="2" s="1"/>
  <c r="K255" i="2" s="1"/>
  <c r="N75" i="20" s="1"/>
  <c r="Q255" i="2" s="1"/>
  <c r="T255" i="2" s="1"/>
  <c r="G257" i="2"/>
  <c r="J257" i="2" s="1"/>
  <c r="G264" i="2"/>
  <c r="J264" i="2" s="1"/>
  <c r="G290" i="2"/>
  <c r="J290" i="2" s="1"/>
  <c r="G278" i="2"/>
  <c r="J278" i="2" s="1"/>
  <c r="N86" i="19"/>
  <c r="H266" i="2" s="1"/>
  <c r="K266" i="2" s="1"/>
  <c r="N86" i="20" s="1"/>
  <c r="Q266" i="2" s="1"/>
  <c r="T266" i="2" s="1"/>
  <c r="N74" i="19"/>
  <c r="H254" i="2" s="1"/>
  <c r="K254" i="2" s="1"/>
  <c r="N74" i="20" s="1"/>
  <c r="Q254" i="2" s="1"/>
  <c r="T254" i="2" s="1"/>
  <c r="G258" i="2"/>
  <c r="J258" i="2" s="1"/>
  <c r="G256" i="2"/>
  <c r="J256" i="2" s="1"/>
  <c r="G292" i="2"/>
  <c r="J292" i="2" s="1"/>
  <c r="AA87" i="20" s="1"/>
  <c r="G252" i="2"/>
  <c r="J252" i="2" s="1"/>
  <c r="B72" i="20" s="1"/>
  <c r="G263" i="2"/>
  <c r="J263" i="2" s="1"/>
  <c r="G251" i="2"/>
  <c r="J251" i="2" s="1"/>
  <c r="G289" i="2"/>
  <c r="J289" i="2" s="1"/>
  <c r="G277" i="2"/>
  <c r="J277" i="2" s="1"/>
  <c r="N85" i="19"/>
  <c r="H265" i="2" s="1"/>
  <c r="K265" i="2" s="1"/>
  <c r="N85" i="20" s="1"/>
  <c r="Q265" i="2" s="1"/>
  <c r="T265" i="2" s="1"/>
  <c r="N73" i="19"/>
  <c r="H253" i="2" s="1"/>
  <c r="K253" i="2" s="1"/>
  <c r="N73" i="20" s="1"/>
  <c r="Q253" i="2" s="1"/>
  <c r="T253" i="2" s="1"/>
  <c r="G254" i="2"/>
  <c r="J254" i="2" s="1"/>
  <c r="G262" i="2"/>
  <c r="J262" i="2" s="1"/>
  <c r="B82" i="20" s="1"/>
  <c r="G250" i="2"/>
  <c r="J250" i="2" s="1"/>
  <c r="G288" i="2"/>
  <c r="J288" i="2" s="1"/>
  <c r="G276" i="2"/>
  <c r="J276" i="2" s="1"/>
  <c r="N84" i="19"/>
  <c r="H264" i="2" s="1"/>
  <c r="K264" i="2" s="1"/>
  <c r="N84" i="20" s="1"/>
  <c r="Q264" i="2" s="1"/>
  <c r="T264" i="2" s="1"/>
  <c r="N72" i="19"/>
  <c r="H252" i="2" s="1"/>
  <c r="K252" i="2" s="1"/>
  <c r="G266" i="2"/>
  <c r="J266" i="2" s="1"/>
  <c r="G261" i="2"/>
  <c r="J261" i="2" s="1"/>
  <c r="G249" i="2"/>
  <c r="J249" i="2" s="1"/>
  <c r="G287" i="2"/>
  <c r="J287" i="2" s="1"/>
  <c r="G275" i="2"/>
  <c r="J275" i="2" s="1"/>
  <c r="N83" i="19"/>
  <c r="H263" i="2" s="1"/>
  <c r="K263" i="2" s="1"/>
  <c r="N83" i="20" s="1"/>
  <c r="Q263" i="2" s="1"/>
  <c r="T263" i="2" s="1"/>
  <c r="N71" i="19"/>
  <c r="H251" i="2" s="1"/>
  <c r="K251" i="2" s="1"/>
  <c r="N71" i="20" s="1"/>
  <c r="Q251" i="2" s="1"/>
  <c r="T251" i="2" s="1"/>
  <c r="D95" i="2"/>
  <c r="BA30" i="1" s="1"/>
  <c r="AN158" i="20" l="1"/>
  <c r="AI158" i="20"/>
  <c r="AC158" i="20"/>
  <c r="AW158" i="20"/>
  <c r="B158" i="20"/>
  <c r="AT158" i="20"/>
  <c r="H158" i="20"/>
  <c r="B159" i="20"/>
  <c r="Q163" i="2" s="1"/>
  <c r="T163" i="2" s="1"/>
  <c r="AA70" i="20"/>
  <c r="P275" i="2" s="1"/>
  <c r="S275" i="2" s="1"/>
  <c r="AA71" i="20"/>
  <c r="P276" i="2" s="1"/>
  <c r="S276" i="2" s="1"/>
  <c r="B76" i="20"/>
  <c r="P256" i="2" s="1"/>
  <c r="S256" i="2" s="1"/>
  <c r="AA73" i="20"/>
  <c r="P278" i="2" s="1"/>
  <c r="S278" i="2" s="1"/>
  <c r="AA69" i="20"/>
  <c r="P274" i="2" s="1"/>
  <c r="S274" i="2" s="1"/>
  <c r="AA82" i="20"/>
  <c r="P287" i="2" s="1"/>
  <c r="S287" i="2" s="1"/>
  <c r="AA83" i="20"/>
  <c r="P288" i="2" s="1"/>
  <c r="S288" i="2" s="1"/>
  <c r="B71" i="20"/>
  <c r="P251" i="2" s="1"/>
  <c r="S251" i="2" s="1"/>
  <c r="B78" i="20"/>
  <c r="P258" i="2" s="1"/>
  <c r="S258" i="2" s="1"/>
  <c r="AA85" i="20"/>
  <c r="P290" i="2" s="1"/>
  <c r="S290" i="2" s="1"/>
  <c r="AA74" i="20"/>
  <c r="P279" i="2" s="1"/>
  <c r="S279" i="2" s="1"/>
  <c r="AA75" i="20"/>
  <c r="P280" i="2" s="1"/>
  <c r="S280" i="2" s="1"/>
  <c r="B87" i="20"/>
  <c r="P267" i="2" s="1"/>
  <c r="S267" i="2" s="1"/>
  <c r="B68" i="20"/>
  <c r="P248" i="2" s="1"/>
  <c r="S248" i="2" s="1"/>
  <c r="AA79" i="20"/>
  <c r="P284" i="2" s="1"/>
  <c r="S284" i="2" s="1"/>
  <c r="AA68" i="20"/>
  <c r="P273" i="2" s="1"/>
  <c r="S273" i="2" s="1"/>
  <c r="AA81" i="20"/>
  <c r="P286" i="2" s="1"/>
  <c r="S286" i="2" s="1"/>
  <c r="B74" i="20"/>
  <c r="P254" i="2" s="1"/>
  <c r="S254" i="2" s="1"/>
  <c r="AA72" i="20"/>
  <c r="P277" i="2" s="1"/>
  <c r="S277" i="2" s="1"/>
  <c r="B86" i="20"/>
  <c r="P266" i="2" s="1"/>
  <c r="S266" i="2" s="1"/>
  <c r="AA84" i="20"/>
  <c r="P289" i="2" s="1"/>
  <c r="S289" i="2" s="1"/>
  <c r="B85" i="20"/>
  <c r="P265" i="2" s="1"/>
  <c r="S265" i="2" s="1"/>
  <c r="B75" i="20"/>
  <c r="P255" i="2" s="1"/>
  <c r="S255" i="2" s="1"/>
  <c r="AA78" i="20"/>
  <c r="P283" i="2" s="1"/>
  <c r="S283" i="2" s="1"/>
  <c r="B79" i="20"/>
  <c r="P259" i="2" s="1"/>
  <c r="S259" i="2" s="1"/>
  <c r="B69" i="20"/>
  <c r="P249" i="2" s="1"/>
  <c r="S249" i="2" s="1"/>
  <c r="B70" i="20"/>
  <c r="P250" i="2" s="1"/>
  <c r="S250" i="2" s="1"/>
  <c r="B83" i="20"/>
  <c r="P263" i="2" s="1"/>
  <c r="S263" i="2" s="1"/>
  <c r="B84" i="20"/>
  <c r="P264" i="2" s="1"/>
  <c r="S264" i="2" s="1"/>
  <c r="B77" i="20"/>
  <c r="P257" i="2" s="1"/>
  <c r="S257" i="2" s="1"/>
  <c r="AA86" i="20"/>
  <c r="P291" i="2" s="1"/>
  <c r="S291" i="2" s="1"/>
  <c r="B65" i="20"/>
  <c r="P245" i="2" s="1"/>
  <c r="S245" i="2" s="1"/>
  <c r="AA64" i="20"/>
  <c r="P269" i="2" s="1"/>
  <c r="S269" i="2" s="1"/>
  <c r="AA65" i="20"/>
  <c r="P270" i="2" s="1"/>
  <c r="S270" i="2" s="1"/>
  <c r="B66" i="20"/>
  <c r="P246" i="2" s="1"/>
  <c r="S246" i="2" s="1"/>
  <c r="AA80" i="20"/>
  <c r="P285" i="2" s="1"/>
  <c r="S285" i="2" s="1"/>
  <c r="B64" i="20"/>
  <c r="P244" i="2" s="1"/>
  <c r="S244" i="2" s="1"/>
  <c r="B81" i="20"/>
  <c r="P261" i="2" s="1"/>
  <c r="S261" i="2" s="1"/>
  <c r="B73" i="20"/>
  <c r="P253" i="2" s="1"/>
  <c r="S253" i="2" s="1"/>
  <c r="AA76" i="20"/>
  <c r="P281" i="2" s="1"/>
  <c r="S281" i="2" s="1"/>
  <c r="B80" i="20"/>
  <c r="P260" i="2" s="1"/>
  <c r="S260" i="2" s="1"/>
  <c r="AA66" i="20"/>
  <c r="P271" i="2" s="1"/>
  <c r="S271" i="2" s="1"/>
  <c r="B67" i="20"/>
  <c r="P247" i="2" s="1"/>
  <c r="S247" i="2" s="1"/>
  <c r="Q162" i="2"/>
  <c r="T162" i="2" s="1"/>
  <c r="P262" i="2"/>
  <c r="S262" i="2" s="1"/>
  <c r="P292" i="2"/>
  <c r="S292" i="2" s="1"/>
  <c r="N72" i="20"/>
  <c r="Q252" i="2" s="1"/>
  <c r="T252" i="2" s="1"/>
  <c r="P282" i="2"/>
  <c r="S282" i="2" s="1"/>
  <c r="N82" i="20"/>
  <c r="Q262" i="2" s="1"/>
  <c r="T262" i="2" s="1"/>
  <c r="P252" i="2"/>
  <c r="S252" i="2" s="1"/>
  <c r="P272" i="2"/>
  <c r="S272" i="2" s="1"/>
  <c r="A166" i="2"/>
  <c r="D165" i="2"/>
  <c r="G165" i="2"/>
  <c r="H165" i="2"/>
  <c r="K165" i="2" s="1"/>
  <c r="X163" i="2"/>
  <c r="W164" i="2"/>
  <c r="J164" i="2"/>
  <c r="N160" i="20" s="1"/>
  <c r="AW25" i="20"/>
  <c r="AW26" i="20"/>
  <c r="AW27" i="20"/>
  <c r="AW28" i="20"/>
  <c r="AW29" i="20"/>
  <c r="AW31" i="20"/>
  <c r="AW32" i="20"/>
  <c r="AW34" i="20"/>
  <c r="E124" i="2"/>
  <c r="E126" i="2"/>
  <c r="E128" i="2"/>
  <c r="E130" i="2"/>
  <c r="E132" i="2"/>
  <c r="E134" i="2"/>
  <c r="E136" i="2"/>
  <c r="E122" i="2"/>
  <c r="B161" i="20" l="1"/>
  <c r="H160" i="20"/>
  <c r="AN160" i="20"/>
  <c r="B160" i="20"/>
  <c r="AI160" i="20"/>
  <c r="AC160" i="20"/>
  <c r="AW160" i="20"/>
  <c r="AT160" i="20"/>
  <c r="AA162" i="2"/>
  <c r="AB162" i="2" s="1"/>
  <c r="X164" i="2"/>
  <c r="P163" i="2"/>
  <c r="W165" i="2"/>
  <c r="J165" i="2"/>
  <c r="N162" i="20" s="1"/>
  <c r="A167" i="2"/>
  <c r="D166" i="2"/>
  <c r="G166" i="2"/>
  <c r="H166" i="2"/>
  <c r="K166" i="2" s="1"/>
  <c r="AW30" i="1"/>
  <c r="AW30" i="20"/>
  <c r="AW24" i="1"/>
  <c r="AW24" i="20"/>
  <c r="AW23" i="19"/>
  <c r="AW22" i="19"/>
  <c r="AW22" i="20"/>
  <c r="AW21" i="19"/>
  <c r="AW21" i="20"/>
  <c r="AW20" i="19"/>
  <c r="AW20" i="20"/>
  <c r="AW19" i="19"/>
  <c r="AW19" i="20"/>
  <c r="AW18" i="1"/>
  <c r="AW18" i="20"/>
  <c r="AW17" i="1"/>
  <c r="AW17" i="20"/>
  <c r="AW16" i="1"/>
  <c r="AW16" i="20"/>
  <c r="AW15" i="19"/>
  <c r="AW15" i="20"/>
  <c r="AW14" i="19"/>
  <c r="AW14" i="20"/>
  <c r="AW13" i="19"/>
  <c r="Y84" i="2"/>
  <c r="AW24" i="19"/>
  <c r="AW34" i="1"/>
  <c r="AW34" i="19"/>
  <c r="Y94" i="2"/>
  <c r="Y78" i="2"/>
  <c r="AW18" i="19"/>
  <c r="AW29" i="1"/>
  <c r="AW29" i="19"/>
  <c r="Y89" i="2"/>
  <c r="Y77" i="2"/>
  <c r="AW17" i="19"/>
  <c r="AW33" i="1"/>
  <c r="AW33" i="19"/>
  <c r="Y93" i="2"/>
  <c r="AW32" i="1"/>
  <c r="AW32" i="19"/>
  <c r="Y92" i="2"/>
  <c r="AW30" i="19"/>
  <c r="Y90" i="2"/>
  <c r="AW28" i="1"/>
  <c r="AW28" i="19"/>
  <c r="Y88" i="2"/>
  <c r="Y76" i="2"/>
  <c r="AW16" i="19"/>
  <c r="AW31" i="1"/>
  <c r="AW31" i="19"/>
  <c r="Y91" i="2"/>
  <c r="AW27" i="1"/>
  <c r="AW27" i="19"/>
  <c r="Y87" i="2"/>
  <c r="AW26" i="1"/>
  <c r="AW26" i="19"/>
  <c r="Y86" i="2"/>
  <c r="AW25" i="1"/>
  <c r="AW25" i="19"/>
  <c r="Y85" i="2"/>
  <c r="AW13" i="1"/>
  <c r="AW23" i="1"/>
  <c r="Y83" i="2"/>
  <c r="AW14" i="1"/>
  <c r="Y74" i="2"/>
  <c r="AW22" i="1"/>
  <c r="Y82" i="2"/>
  <c r="AW21" i="1"/>
  <c r="Y81" i="2"/>
  <c r="Z81" i="2" s="1"/>
  <c r="AW20" i="1"/>
  <c r="Y80" i="2"/>
  <c r="AW19" i="1"/>
  <c r="Y79" i="2"/>
  <c r="AW15" i="1"/>
  <c r="Y75" i="2"/>
  <c r="AT162" i="20" l="1"/>
  <c r="AN162" i="20"/>
  <c r="H162" i="20"/>
  <c r="AC162" i="20"/>
  <c r="AI162" i="20"/>
  <c r="B162" i="20"/>
  <c r="AW162" i="20"/>
  <c r="B163" i="20"/>
  <c r="Q165" i="2" s="1"/>
  <c r="T165" i="2" s="1"/>
  <c r="AA163" i="2"/>
  <c r="AB163" i="2" s="1"/>
  <c r="Q164" i="2"/>
  <c r="T164" i="2" s="1"/>
  <c r="S163" i="2"/>
  <c r="X165" i="2"/>
  <c r="A168" i="2"/>
  <c r="D167" i="2"/>
  <c r="G167" i="2"/>
  <c r="H167" i="2"/>
  <c r="K167" i="2" s="1"/>
  <c r="W166" i="2"/>
  <c r="J166" i="2"/>
  <c r="N164" i="20" s="1"/>
  <c r="F58" i="2"/>
  <c r="F47" i="19" s="1"/>
  <c r="F54" i="2"/>
  <c r="F43" i="19" s="1"/>
  <c r="F55" i="2"/>
  <c r="F44" i="19" s="1"/>
  <c r="F56" i="2"/>
  <c r="F45" i="19" s="1"/>
  <c r="F57" i="2"/>
  <c r="F46" i="19" s="1"/>
  <c r="F53" i="2"/>
  <c r="F42" i="19" s="1"/>
  <c r="AT164" i="20" l="1"/>
  <c r="AW164" i="20"/>
  <c r="B164" i="20"/>
  <c r="AI164" i="20"/>
  <c r="AC164" i="20"/>
  <c r="H164" i="20"/>
  <c r="AN164" i="20"/>
  <c r="B165" i="20"/>
  <c r="Z163" i="2"/>
  <c r="X166" i="2"/>
  <c r="J167" i="2"/>
  <c r="N166" i="20" s="1"/>
  <c r="B167" i="20" s="1"/>
  <c r="W167" i="2"/>
  <c r="P165" i="2"/>
  <c r="A169" i="2"/>
  <c r="D168" i="2"/>
  <c r="G168" i="2"/>
  <c r="H168" i="2"/>
  <c r="K168" i="2" s="1"/>
  <c r="L56" i="2"/>
  <c r="E45" i="20" s="1"/>
  <c r="R56" i="2" s="1"/>
  <c r="U56" i="2" s="1"/>
  <c r="L54" i="2"/>
  <c r="E43" i="20" s="1"/>
  <c r="R54" i="2" s="1"/>
  <c r="U54" i="2" s="1"/>
  <c r="L57" i="2"/>
  <c r="E46" i="20" s="1"/>
  <c r="R57" i="2" s="1"/>
  <c r="U57" i="2" s="1"/>
  <c r="L55" i="2"/>
  <c r="E44" i="20" s="1"/>
  <c r="R55" i="2" s="1"/>
  <c r="U55" i="2" s="1"/>
  <c r="L58" i="2"/>
  <c r="E47" i="20" s="1"/>
  <c r="R58" i="2" s="1"/>
  <c r="U58" i="2" s="1"/>
  <c r="L53" i="2"/>
  <c r="E42" i="20" s="1"/>
  <c r="A107" i="4"/>
  <c r="A109" i="4"/>
  <c r="A111" i="4"/>
  <c r="A108" i="4"/>
  <c r="A110" i="4"/>
  <c r="A112" i="4"/>
  <c r="D5" i="2"/>
  <c r="J5" i="2" s="1"/>
  <c r="S5" i="2" s="1"/>
  <c r="S3" i="20" s="1"/>
  <c r="D4" i="2"/>
  <c r="J4" i="2" s="1"/>
  <c r="S4" i="2" s="1"/>
  <c r="S2" i="20" s="1"/>
  <c r="D8" i="2"/>
  <c r="J8" i="2" s="1"/>
  <c r="S8" i="2" s="1"/>
  <c r="AG3" i="20" s="1"/>
  <c r="D7" i="2"/>
  <c r="J7" i="2" s="1"/>
  <c r="S7" i="2" s="1"/>
  <c r="AH2" i="20" s="1"/>
  <c r="D14" i="2"/>
  <c r="D18" i="2"/>
  <c r="D22" i="2"/>
  <c r="AN166" i="20" l="1"/>
  <c r="AT166" i="20"/>
  <c r="AC166" i="20"/>
  <c r="AW166" i="20"/>
  <c r="B166" i="20"/>
  <c r="H166" i="20"/>
  <c r="AI166" i="20"/>
  <c r="AA165" i="2"/>
  <c r="AB165" i="2" s="1"/>
  <c r="Z95" i="2"/>
  <c r="Q166" i="2"/>
  <c r="T166" i="2" s="1"/>
  <c r="X167" i="2"/>
  <c r="A170" i="2"/>
  <c r="D169" i="2"/>
  <c r="G169" i="2"/>
  <c r="H169" i="2"/>
  <c r="K169" i="2" s="1"/>
  <c r="S165" i="2"/>
  <c r="J168" i="2"/>
  <c r="N168" i="20" s="1"/>
  <c r="W168" i="2"/>
  <c r="R53" i="2"/>
  <c r="U53" i="2" s="1"/>
  <c r="BI10" i="1"/>
  <c r="E6" i="1"/>
  <c r="L6" i="19" s="1"/>
  <c r="AK6" i="1"/>
  <c r="AR6" i="19" s="1"/>
  <c r="AA6" i="1"/>
  <c r="AB6" i="19" s="1"/>
  <c r="C97" i="2"/>
  <c r="J97" i="2" s="1"/>
  <c r="S97" i="2" s="1"/>
  <c r="Y25" i="20" s="1"/>
  <c r="BC30" i="1"/>
  <c r="BI11" i="1"/>
  <c r="BI12" i="1"/>
  <c r="B50" i="2"/>
  <c r="B49" i="2"/>
  <c r="B48" i="2"/>
  <c r="B47" i="2"/>
  <c r="B46" i="2"/>
  <c r="B45" i="2"/>
  <c r="B44" i="2"/>
  <c r="B43" i="2"/>
  <c r="B42" i="2"/>
  <c r="B41" i="2"/>
  <c r="B40" i="2"/>
  <c r="B39" i="2"/>
  <c r="E27" i="20" s="1"/>
  <c r="B38" i="2"/>
  <c r="B37" i="2"/>
  <c r="B36" i="2"/>
  <c r="B35" i="2"/>
  <c r="B34" i="2"/>
  <c r="B33" i="2"/>
  <c r="B32" i="2"/>
  <c r="B31" i="2"/>
  <c r="B30" i="2"/>
  <c r="B29" i="2"/>
  <c r="B28" i="2"/>
  <c r="B27" i="2"/>
  <c r="B26" i="2"/>
  <c r="B25" i="2"/>
  <c r="B24" i="2"/>
  <c r="AS9" i="20"/>
  <c r="AS7" i="20"/>
  <c r="AC8" i="20"/>
  <c r="B169" i="20" l="1"/>
  <c r="AN168" i="20"/>
  <c r="H168" i="20"/>
  <c r="AI168" i="20"/>
  <c r="AC168" i="20"/>
  <c r="AW168" i="20"/>
  <c r="AT168" i="20"/>
  <c r="B168" i="20"/>
  <c r="Z165" i="2"/>
  <c r="I3" i="7"/>
  <c r="N3" i="7"/>
  <c r="E22" i="20"/>
  <c r="O7" i="7"/>
  <c r="J7" i="7"/>
  <c r="E26" i="20"/>
  <c r="K4" i="7"/>
  <c r="BG19" i="1" s="1"/>
  <c r="P4" i="7"/>
  <c r="E38" i="20"/>
  <c r="H7" i="7"/>
  <c r="M7" i="7"/>
  <c r="E16" i="20"/>
  <c r="O3" i="7"/>
  <c r="J3" i="7"/>
  <c r="E20" i="20"/>
  <c r="M5" i="7"/>
  <c r="H5" i="7"/>
  <c r="E24" i="20"/>
  <c r="G4" i="7"/>
  <c r="L4" i="7"/>
  <c r="E28" i="20"/>
  <c r="G5" i="7"/>
  <c r="L5" i="7"/>
  <c r="E32" i="20"/>
  <c r="P6" i="7"/>
  <c r="K6" i="7"/>
  <c r="BG21" i="1" s="1"/>
  <c r="E36" i="20"/>
  <c r="P7" i="7"/>
  <c r="K7" i="7"/>
  <c r="BG22" i="1" s="1"/>
  <c r="F18" i="19"/>
  <c r="H4" i="7"/>
  <c r="M4" i="7"/>
  <c r="E30" i="20"/>
  <c r="I6" i="7"/>
  <c r="N6" i="7"/>
  <c r="E34" i="20"/>
  <c r="I7" i="7"/>
  <c r="N7" i="7"/>
  <c r="E15" i="20"/>
  <c r="H3" i="7"/>
  <c r="M3" i="7"/>
  <c r="E19" i="20"/>
  <c r="N4" i="7"/>
  <c r="I4" i="7"/>
  <c r="E23" i="20"/>
  <c r="L3" i="7"/>
  <c r="G3" i="7"/>
  <c r="E31" i="20"/>
  <c r="M6" i="7"/>
  <c r="H6" i="7"/>
  <c r="E35" i="20"/>
  <c r="L6" i="7"/>
  <c r="G6" i="7"/>
  <c r="P3" i="7"/>
  <c r="K3" i="7"/>
  <c r="E17" i="20"/>
  <c r="J5" i="7"/>
  <c r="O5" i="7"/>
  <c r="E21" i="20"/>
  <c r="J6" i="7"/>
  <c r="O6" i="7"/>
  <c r="E25" i="20"/>
  <c r="O4" i="7"/>
  <c r="J4" i="7"/>
  <c r="E29" i="20"/>
  <c r="P5" i="7"/>
  <c r="K5" i="7"/>
  <c r="BG20" i="1" s="1"/>
  <c r="E33" i="20"/>
  <c r="J8" i="7"/>
  <c r="O8" i="7"/>
  <c r="E37" i="20"/>
  <c r="L7" i="7"/>
  <c r="G7" i="7"/>
  <c r="Q167" i="2"/>
  <c r="T167" i="2" s="1"/>
  <c r="BM12" i="1"/>
  <c r="E22" i="2"/>
  <c r="BM11" i="1"/>
  <c r="X168" i="2"/>
  <c r="J169" i="2"/>
  <c r="N170" i="20" s="1"/>
  <c r="W169" i="2"/>
  <c r="A171" i="2"/>
  <c r="D170" i="2"/>
  <c r="G170" i="2"/>
  <c r="H170" i="2"/>
  <c r="K170" i="2" s="1"/>
  <c r="BM10" i="1"/>
  <c r="AC10" i="1"/>
  <c r="AS10" i="1"/>
  <c r="M10" i="1"/>
  <c r="E14" i="20"/>
  <c r="E13" i="20"/>
  <c r="AS8" i="19"/>
  <c r="AS8" i="20"/>
  <c r="AC9" i="19"/>
  <c r="AC9" i="20"/>
  <c r="AC7" i="19"/>
  <c r="AC7" i="20"/>
  <c r="N55" i="20"/>
  <c r="N56" i="20"/>
  <c r="N54" i="20"/>
  <c r="M8" i="20"/>
  <c r="M7" i="20"/>
  <c r="AL42" i="20"/>
  <c r="B11" i="7"/>
  <c r="F38" i="19"/>
  <c r="F38" i="1"/>
  <c r="B4" i="7"/>
  <c r="F15" i="19"/>
  <c r="F15" i="1"/>
  <c r="F6" i="7"/>
  <c r="F28" i="19"/>
  <c r="F28" i="1"/>
  <c r="C7" i="7"/>
  <c r="F30" i="19"/>
  <c r="F30" i="1"/>
  <c r="E3" i="7"/>
  <c r="F14" i="19"/>
  <c r="F14" i="1"/>
  <c r="D3" i="7"/>
  <c r="F17" i="19"/>
  <c r="F17" i="1"/>
  <c r="B9" i="7"/>
  <c r="F31" i="19"/>
  <c r="F31" i="1"/>
  <c r="D6" i="7"/>
  <c r="F21" i="19"/>
  <c r="F21" i="1"/>
  <c r="F9" i="7"/>
  <c r="F33" i="19"/>
  <c r="F33" i="1"/>
  <c r="C5" i="7"/>
  <c r="F29" i="19"/>
  <c r="F29" i="1"/>
  <c r="E7" i="7"/>
  <c r="F22" i="19"/>
  <c r="F22" i="1"/>
  <c r="E10" i="7"/>
  <c r="F34" i="19"/>
  <c r="F34" i="1"/>
  <c r="C4" i="7"/>
  <c r="F20" i="19"/>
  <c r="F20" i="1"/>
  <c r="D7" i="7"/>
  <c r="F23" i="19"/>
  <c r="F23" i="1"/>
  <c r="E9" i="7"/>
  <c r="F35" i="19"/>
  <c r="F35" i="1"/>
  <c r="D9" i="7"/>
  <c r="F26" i="19"/>
  <c r="F26" i="1"/>
  <c r="B5" i="7"/>
  <c r="F16" i="19"/>
  <c r="F16" i="1"/>
  <c r="D4" i="7"/>
  <c r="F18" i="1"/>
  <c r="E5" i="7"/>
  <c r="F19" i="19"/>
  <c r="F19" i="1"/>
  <c r="E8" i="7"/>
  <c r="F32" i="19"/>
  <c r="F32" i="1"/>
  <c r="AE33" i="19"/>
  <c r="AE32" i="19"/>
  <c r="D8" i="7"/>
  <c r="F24" i="19"/>
  <c r="F24" i="1"/>
  <c r="C9" i="7"/>
  <c r="F36" i="19"/>
  <c r="F36" i="1"/>
  <c r="F27" i="19"/>
  <c r="F27" i="1"/>
  <c r="B3" i="7"/>
  <c r="F13" i="19"/>
  <c r="B6" i="7"/>
  <c r="F25" i="19"/>
  <c r="F25" i="1"/>
  <c r="B10" i="7"/>
  <c r="F37" i="19"/>
  <c r="F37" i="1"/>
  <c r="AS9" i="19"/>
  <c r="AS7" i="19"/>
  <c r="AC8" i="19"/>
  <c r="L55" i="19"/>
  <c r="N55" i="19" s="1"/>
  <c r="L56" i="19"/>
  <c r="N56" i="19" s="1"/>
  <c r="L54" i="19"/>
  <c r="N54" i="19" s="1"/>
  <c r="M9" i="19"/>
  <c r="M8" i="19"/>
  <c r="AL42" i="19"/>
  <c r="AS8" i="1"/>
  <c r="AC9" i="1"/>
  <c r="AC7" i="1"/>
  <c r="L55" i="1"/>
  <c r="N55" i="1" s="1"/>
  <c r="L54" i="1"/>
  <c r="N54" i="1" s="1"/>
  <c r="L56" i="1"/>
  <c r="N56" i="1" s="1"/>
  <c r="AL45" i="1"/>
  <c r="AL46" i="1"/>
  <c r="AL43" i="1"/>
  <c r="AL44" i="1"/>
  <c r="AL42" i="1"/>
  <c r="AS7" i="1"/>
  <c r="I15" i="9"/>
  <c r="AC8" i="1"/>
  <c r="AP45" i="1"/>
  <c r="M9" i="1"/>
  <c r="I18" i="9"/>
  <c r="I28" i="9"/>
  <c r="M7" i="1"/>
  <c r="I27" i="9"/>
  <c r="M8" i="1"/>
  <c r="I16" i="9"/>
  <c r="J28" i="20"/>
  <c r="J37" i="20"/>
  <c r="J44" i="20"/>
  <c r="J16" i="20"/>
  <c r="J33" i="20"/>
  <c r="J29" i="20"/>
  <c r="J32" i="20"/>
  <c r="J30" i="20"/>
  <c r="J38" i="20"/>
  <c r="J14" i="20"/>
  <c r="J46" i="20"/>
  <c r="J45" i="20"/>
  <c r="J47" i="20"/>
  <c r="J35" i="20"/>
  <c r="J36" i="20"/>
  <c r="K20" i="1"/>
  <c r="AS9" i="1"/>
  <c r="F13" i="1"/>
  <c r="E4" i="7"/>
  <c r="F7" i="7"/>
  <c r="D5" i="7"/>
  <c r="F8" i="7"/>
  <c r="C6" i="7"/>
  <c r="F3" i="7"/>
  <c r="B7" i="7"/>
  <c r="D10" i="7"/>
  <c r="F5" i="7"/>
  <c r="E6" i="7"/>
  <c r="F10" i="7"/>
  <c r="C3" i="7"/>
  <c r="F4" i="7"/>
  <c r="C8" i="7"/>
  <c r="C10" i="7"/>
  <c r="D13" i="1" l="1"/>
  <c r="D14" i="1"/>
  <c r="D28" i="1"/>
  <c r="W20" i="2"/>
  <c r="W19" i="2"/>
  <c r="W21" i="2"/>
  <c r="D36" i="1"/>
  <c r="E48" i="2" s="1"/>
  <c r="D18" i="1"/>
  <c r="E30" i="2" s="1"/>
  <c r="D18" i="19" s="1"/>
  <c r="D35" i="1"/>
  <c r="E47" i="2" s="1"/>
  <c r="D24" i="1"/>
  <c r="E36" i="2" s="1"/>
  <c r="K36" i="2" s="1"/>
  <c r="T36" i="2" s="1"/>
  <c r="D23" i="1"/>
  <c r="E35" i="2" s="1"/>
  <c r="D22" i="1"/>
  <c r="E34" i="2" s="1"/>
  <c r="K34" i="2" s="1"/>
  <c r="T34" i="2" s="1"/>
  <c r="D29" i="1"/>
  <c r="E41" i="2" s="1"/>
  <c r="D29" i="19" s="1"/>
  <c r="D31" i="1"/>
  <c r="E43" i="2" s="1"/>
  <c r="D17" i="1"/>
  <c r="E29" i="2" s="1"/>
  <c r="D15" i="1"/>
  <c r="E27" i="2" s="1"/>
  <c r="B171" i="20"/>
  <c r="H170" i="20"/>
  <c r="AN170" i="20"/>
  <c r="B170" i="20"/>
  <c r="AT170" i="20"/>
  <c r="AC170" i="20"/>
  <c r="AI170" i="20"/>
  <c r="AW170" i="20"/>
  <c r="D16" i="1"/>
  <c r="D25" i="1" s="1"/>
  <c r="E37" i="2" s="1"/>
  <c r="E40" i="2"/>
  <c r="D19" i="1"/>
  <c r="E31" i="2" s="1"/>
  <c r="K31" i="2" s="1"/>
  <c r="T31" i="2" s="1"/>
  <c r="D26" i="1"/>
  <c r="E38" i="2" s="1"/>
  <c r="K38" i="2" s="1"/>
  <c r="T38" i="2" s="1"/>
  <c r="D34" i="1"/>
  <c r="E46" i="2" s="1"/>
  <c r="D34" i="19" s="1"/>
  <c r="D21" i="1"/>
  <c r="E33" i="2" s="1"/>
  <c r="K33" i="2" s="1"/>
  <c r="T33" i="2" s="1"/>
  <c r="D30" i="1"/>
  <c r="E42" i="2" s="1"/>
  <c r="D30" i="19" s="1"/>
  <c r="D37" i="1"/>
  <c r="E49" i="2" s="1"/>
  <c r="K49" i="2" s="1"/>
  <c r="T49" i="2" s="1"/>
  <c r="D27" i="1"/>
  <c r="E39" i="2" s="1"/>
  <c r="K39" i="2" s="1"/>
  <c r="T39" i="2" s="1"/>
  <c r="D32" i="1"/>
  <c r="E44" i="2" s="1"/>
  <c r="D32" i="19" s="1"/>
  <c r="D20" i="1"/>
  <c r="E32" i="2" s="1"/>
  <c r="D20" i="19" s="1"/>
  <c r="D33" i="1"/>
  <c r="E45" i="2" s="1"/>
  <c r="K45" i="2" s="1"/>
  <c r="T45" i="2" s="1"/>
  <c r="E26" i="2"/>
  <c r="D14" i="19" s="1"/>
  <c r="D38" i="1"/>
  <c r="E50" i="2" s="1"/>
  <c r="K50" i="2" s="1"/>
  <c r="T50" i="2" s="1"/>
  <c r="C45" i="1"/>
  <c r="E55" i="2" s="1"/>
  <c r="C43" i="1"/>
  <c r="E53" i="2" s="1"/>
  <c r="C48" i="1"/>
  <c r="E58" i="2" s="1"/>
  <c r="C46" i="1"/>
  <c r="E56" i="2" s="1"/>
  <c r="C44" i="1"/>
  <c r="E54" i="2" s="1"/>
  <c r="C47" i="1"/>
  <c r="E57" i="2" s="1"/>
  <c r="E25" i="2"/>
  <c r="D23" i="19"/>
  <c r="K35" i="2"/>
  <c r="T35" i="2" s="1"/>
  <c r="K29" i="2"/>
  <c r="T29" i="2" s="1"/>
  <c r="D17" i="19"/>
  <c r="D36" i="19"/>
  <c r="K48" i="2"/>
  <c r="T48" i="2" s="1"/>
  <c r="K30" i="2"/>
  <c r="T30" i="2" s="1"/>
  <c r="K47" i="2"/>
  <c r="T47" i="2" s="1"/>
  <c r="D35" i="19"/>
  <c r="D22" i="19"/>
  <c r="D31" i="19"/>
  <c r="K43" i="2"/>
  <c r="T43" i="2" s="1"/>
  <c r="Q168" i="2"/>
  <c r="T168" i="2" s="1"/>
  <c r="E14" i="2"/>
  <c r="E18" i="2"/>
  <c r="K22" i="2"/>
  <c r="T22" i="2" s="1"/>
  <c r="X169" i="2"/>
  <c r="A172" i="2"/>
  <c r="D171" i="2"/>
  <c r="G171" i="2"/>
  <c r="H171" i="2"/>
  <c r="K171" i="2" s="1"/>
  <c r="J170" i="2"/>
  <c r="N172" i="20" s="1"/>
  <c r="W170" i="2"/>
  <c r="J34" i="20"/>
  <c r="K19" i="19"/>
  <c r="K17" i="19"/>
  <c r="J17" i="20"/>
  <c r="K15" i="19"/>
  <c r="J15" i="20"/>
  <c r="K24" i="1"/>
  <c r="K24" i="19"/>
  <c r="Y36" i="2"/>
  <c r="J48" i="1"/>
  <c r="K47" i="19"/>
  <c r="Y58" i="2"/>
  <c r="Z58" i="2" s="1"/>
  <c r="J47" i="1"/>
  <c r="K46" i="19"/>
  <c r="Y57" i="2"/>
  <c r="J46" i="1"/>
  <c r="K45" i="19"/>
  <c r="Y56" i="2"/>
  <c r="J45" i="1"/>
  <c r="K44" i="19"/>
  <c r="Y55" i="2"/>
  <c r="J43" i="1"/>
  <c r="K42" i="19"/>
  <c r="Y53" i="2"/>
  <c r="K38" i="1"/>
  <c r="K38" i="19"/>
  <c r="Y50" i="2"/>
  <c r="K37" i="19"/>
  <c r="Y49" i="2"/>
  <c r="K36" i="1"/>
  <c r="K36" i="19"/>
  <c r="Y48" i="2"/>
  <c r="K35" i="1"/>
  <c r="K35" i="19"/>
  <c r="Y47" i="2"/>
  <c r="K34" i="1"/>
  <c r="K34" i="19"/>
  <c r="Y46" i="2"/>
  <c r="K33" i="1"/>
  <c r="K33" i="19"/>
  <c r="Y45" i="2"/>
  <c r="K32" i="1"/>
  <c r="K32" i="19"/>
  <c r="Y44" i="2"/>
  <c r="K31" i="19"/>
  <c r="Y43" i="2"/>
  <c r="K30" i="1"/>
  <c r="K30" i="19"/>
  <c r="Y42" i="2"/>
  <c r="K29" i="1"/>
  <c r="K29" i="19"/>
  <c r="Y41" i="2"/>
  <c r="K28" i="1"/>
  <c r="K28" i="19"/>
  <c r="Y40" i="2"/>
  <c r="K27" i="1"/>
  <c r="K27" i="19"/>
  <c r="Y39" i="2"/>
  <c r="K21" i="1"/>
  <c r="K21" i="19"/>
  <c r="Y33" i="2"/>
  <c r="K26" i="1"/>
  <c r="K26" i="19"/>
  <c r="Y38" i="2"/>
  <c r="K23" i="1"/>
  <c r="K23" i="19"/>
  <c r="Y35" i="2"/>
  <c r="K22" i="1"/>
  <c r="K22" i="19"/>
  <c r="Y34" i="2"/>
  <c r="T54" i="19"/>
  <c r="T55" i="19"/>
  <c r="T56" i="19"/>
  <c r="T56" i="1"/>
  <c r="K18" i="1"/>
  <c r="K18" i="19"/>
  <c r="Y30" i="2"/>
  <c r="Y28" i="2"/>
  <c r="K16" i="19"/>
  <c r="Y26" i="2"/>
  <c r="K14" i="19"/>
  <c r="T55" i="1"/>
  <c r="Y31" i="2"/>
  <c r="K17" i="1"/>
  <c r="Y29" i="2"/>
  <c r="K15" i="1"/>
  <c r="Y27" i="2"/>
  <c r="T54" i="1"/>
  <c r="AE45" i="1"/>
  <c r="AF45" i="1"/>
  <c r="AG45" i="1"/>
  <c r="AI45" i="1"/>
  <c r="AH45" i="1"/>
  <c r="K19" i="1"/>
  <c r="K37" i="1"/>
  <c r="AP43" i="1"/>
  <c r="K31" i="1"/>
  <c r="I29" i="9"/>
  <c r="I6" i="9"/>
  <c r="I36" i="9"/>
  <c r="K14" i="1"/>
  <c r="I34" i="9"/>
  <c r="I22" i="9"/>
  <c r="K16" i="1"/>
  <c r="I26" i="9"/>
  <c r="J43" i="20"/>
  <c r="J13" i="20"/>
  <c r="Z34" i="2" l="1"/>
  <c r="Z39" i="2"/>
  <c r="Z36" i="2"/>
  <c r="Z30" i="2"/>
  <c r="Z29" i="2"/>
  <c r="Z45" i="2"/>
  <c r="Z49" i="2"/>
  <c r="Z38" i="2"/>
  <c r="Z43" i="2"/>
  <c r="Z48" i="2"/>
  <c r="Z35" i="2"/>
  <c r="Z31" i="2"/>
  <c r="Z47" i="2"/>
  <c r="Z50" i="2"/>
  <c r="Z33" i="2"/>
  <c r="K18" i="2"/>
  <c r="T18" i="2" s="1"/>
  <c r="W17" i="2"/>
  <c r="W15" i="2"/>
  <c r="W16" i="2"/>
  <c r="W11" i="2"/>
  <c r="W12" i="2"/>
  <c r="W13" i="2"/>
  <c r="K14" i="2"/>
  <c r="T14" i="2" s="1"/>
  <c r="W25" i="2"/>
  <c r="W59" i="2" s="1"/>
  <c r="BG16" i="1"/>
  <c r="BI16" i="1"/>
  <c r="BK16" i="1"/>
  <c r="K41" i="2"/>
  <c r="T41" i="2" s="1"/>
  <c r="D24" i="19"/>
  <c r="K27" i="2"/>
  <c r="T27" i="2" s="1"/>
  <c r="Z27" i="2" s="1"/>
  <c r="D15" i="19"/>
  <c r="K32" i="2"/>
  <c r="T32" i="2" s="1"/>
  <c r="Z32" i="2" s="1"/>
  <c r="D26" i="19"/>
  <c r="D37" i="19"/>
  <c r="AW172" i="20"/>
  <c r="H172" i="20"/>
  <c r="AI172" i="20"/>
  <c r="B172" i="20"/>
  <c r="AA170" i="2" s="1"/>
  <c r="AB170" i="2" s="1"/>
  <c r="AC172" i="20"/>
  <c r="AN172" i="20"/>
  <c r="AT172" i="20"/>
  <c r="B173" i="20"/>
  <c r="C26" i="20"/>
  <c r="C19" i="20"/>
  <c r="C24" i="20"/>
  <c r="C31" i="20"/>
  <c r="C23" i="20"/>
  <c r="C37" i="20"/>
  <c r="C21" i="20"/>
  <c r="C18" i="20"/>
  <c r="C36" i="20"/>
  <c r="K42" i="2"/>
  <c r="T42" i="2" s="1"/>
  <c r="Z42" i="2" s="1"/>
  <c r="C35" i="20"/>
  <c r="C17" i="20"/>
  <c r="C33" i="20"/>
  <c r="C27" i="20"/>
  <c r="C38" i="20"/>
  <c r="C22" i="20"/>
  <c r="D27" i="19"/>
  <c r="K46" i="2"/>
  <c r="T46" i="2" s="1"/>
  <c r="Z46" i="2" s="1"/>
  <c r="D28" i="19"/>
  <c r="K40" i="2"/>
  <c r="T40" i="2" s="1"/>
  <c r="Z40" i="2" s="1"/>
  <c r="D19" i="19"/>
  <c r="D38" i="19"/>
  <c r="E28" i="2"/>
  <c r="D16" i="19" s="1"/>
  <c r="D33" i="19"/>
  <c r="K44" i="2"/>
  <c r="T44" i="2" s="1"/>
  <c r="Z44" i="2" s="1"/>
  <c r="K26" i="2"/>
  <c r="T26" i="2" s="1"/>
  <c r="D21" i="19"/>
  <c r="K56" i="2"/>
  <c r="D45" i="19"/>
  <c r="K58" i="2"/>
  <c r="C46" i="20" s="1"/>
  <c r="Q57" i="2" s="1"/>
  <c r="T57" i="2" s="1"/>
  <c r="Z57" i="2" s="1"/>
  <c r="D47" i="19"/>
  <c r="D46" i="19"/>
  <c r="K57" i="2"/>
  <c r="K53" i="2"/>
  <c r="D42" i="19"/>
  <c r="K54" i="2"/>
  <c r="D43" i="19"/>
  <c r="D44" i="19"/>
  <c r="K55" i="2"/>
  <c r="AI4" i="1"/>
  <c r="K25" i="2"/>
  <c r="T25" i="2" s="1"/>
  <c r="D13" i="19"/>
  <c r="K37" i="2"/>
  <c r="T37" i="2" s="1"/>
  <c r="Z37" i="2" s="1"/>
  <c r="D25" i="19"/>
  <c r="Q169" i="2"/>
  <c r="T169" i="2" s="1"/>
  <c r="X170" i="2"/>
  <c r="J171" i="2"/>
  <c r="N174" i="20" s="1"/>
  <c r="B175" i="20" s="1"/>
  <c r="W171" i="2"/>
  <c r="A173" i="2"/>
  <c r="D172" i="2"/>
  <c r="G172" i="2"/>
  <c r="H172" i="2"/>
  <c r="K172" i="2" s="1"/>
  <c r="J44" i="1"/>
  <c r="K43" i="19"/>
  <c r="Y54" i="2"/>
  <c r="K25" i="1"/>
  <c r="K25" i="19"/>
  <c r="AP42" i="19"/>
  <c r="AP42" i="1"/>
  <c r="K13" i="19"/>
  <c r="AP44" i="1"/>
  <c r="AP46" i="1"/>
  <c r="AF43" i="1"/>
  <c r="AH43" i="1"/>
  <c r="AI43" i="1"/>
  <c r="AG43" i="1"/>
  <c r="AE43" i="1"/>
  <c r="K13" i="1"/>
  <c r="I30" i="9"/>
  <c r="C15" i="20" l="1"/>
  <c r="BL16" i="1"/>
  <c r="AB140" i="2"/>
  <c r="Z26" i="2"/>
  <c r="Z25" i="2"/>
  <c r="C29" i="20"/>
  <c r="Z41" i="2"/>
  <c r="C20" i="20"/>
  <c r="AT174" i="20"/>
  <c r="AC174" i="20"/>
  <c r="AW174" i="20"/>
  <c r="H174" i="20"/>
  <c r="AI174" i="20"/>
  <c r="AN174" i="20"/>
  <c r="B174" i="20"/>
  <c r="C30" i="20"/>
  <c r="T51" i="2"/>
  <c r="Z142" i="2" s="1"/>
  <c r="C14" i="20"/>
  <c r="C34" i="20"/>
  <c r="C32" i="20"/>
  <c r="K28" i="2"/>
  <c r="T28" i="2" s="1"/>
  <c r="C2849" i="23" s="1"/>
  <c r="J2849" i="23" s="1"/>
  <c r="C28" i="20"/>
  <c r="C45" i="20"/>
  <c r="Q56" i="2" s="1"/>
  <c r="T56" i="2" s="1"/>
  <c r="Z56" i="2" s="1"/>
  <c r="AI4" i="19"/>
  <c r="C25" i="20"/>
  <c r="C13" i="20"/>
  <c r="W23" i="2"/>
  <c r="Q170" i="2"/>
  <c r="T170" i="2" s="1"/>
  <c r="X171" i="2"/>
  <c r="A174" i="2"/>
  <c r="D173" i="2"/>
  <c r="G173" i="2"/>
  <c r="H173" i="2"/>
  <c r="K173" i="2" s="1"/>
  <c r="W172" i="2"/>
  <c r="J172" i="2"/>
  <c r="N176" i="20" s="1"/>
  <c r="AE42" i="20"/>
  <c r="AH42" i="20"/>
  <c r="AF42" i="20"/>
  <c r="AI42" i="20"/>
  <c r="AG42" i="20"/>
  <c r="AE42" i="1"/>
  <c r="AG42" i="1"/>
  <c r="AH42" i="1"/>
  <c r="AF42" i="1"/>
  <c r="AI42" i="1"/>
  <c r="AI42" i="19"/>
  <c r="AF42" i="19"/>
  <c r="AE42" i="19"/>
  <c r="AH42" i="19"/>
  <c r="AG42" i="19"/>
  <c r="AI46" i="1"/>
  <c r="AH46" i="1"/>
  <c r="AF46" i="1"/>
  <c r="AG46" i="1"/>
  <c r="AE46" i="1"/>
  <c r="AF44" i="1"/>
  <c r="AG44" i="1"/>
  <c r="AE44" i="1"/>
  <c r="AI44" i="1"/>
  <c r="AH44" i="1"/>
  <c r="D243" i="2"/>
  <c r="B63" i="19" s="1"/>
  <c r="D71" i="2"/>
  <c r="C182" i="23" l="1"/>
  <c r="J182" i="23" s="1"/>
  <c r="C1003" i="23"/>
  <c r="J1003" i="23" s="1"/>
  <c r="C59" i="23"/>
  <c r="J59" i="23" s="1"/>
  <c r="C187" i="23"/>
  <c r="J187" i="23" s="1"/>
  <c r="C315" i="23"/>
  <c r="J315" i="23" s="1"/>
  <c r="C591" i="23"/>
  <c r="J591" i="23" s="1"/>
  <c r="C1103" i="23"/>
  <c r="J1103" i="23" s="1"/>
  <c r="C2216" i="23"/>
  <c r="J2216" i="23" s="1"/>
  <c r="C318" i="23"/>
  <c r="J318" i="23" s="1"/>
  <c r="C8" i="23"/>
  <c r="J8" i="23" s="1"/>
  <c r="C136" i="23"/>
  <c r="J136" i="23" s="1"/>
  <c r="C274" i="23"/>
  <c r="J274" i="23" s="1"/>
  <c r="C1323" i="23"/>
  <c r="J1323" i="23" s="1"/>
  <c r="C91" i="23"/>
  <c r="J91" i="23" s="1"/>
  <c r="C219" i="23"/>
  <c r="J219" i="23" s="1"/>
  <c r="C347" i="23"/>
  <c r="J347" i="23" s="1"/>
  <c r="C719" i="23"/>
  <c r="J719" i="23" s="1"/>
  <c r="C1231" i="23"/>
  <c r="J1231" i="23" s="1"/>
  <c r="C3113" i="23"/>
  <c r="J3113" i="23" s="1"/>
  <c r="C507" i="23"/>
  <c r="J507" i="23" s="1"/>
  <c r="C40" i="23"/>
  <c r="J40" i="23" s="1"/>
  <c r="C168" i="23"/>
  <c r="J168" i="23" s="1"/>
  <c r="C362" i="23"/>
  <c r="J362" i="23" s="1"/>
  <c r="C2584" i="23"/>
  <c r="J2584" i="23" s="1"/>
  <c r="C123" i="23"/>
  <c r="J123" i="23" s="1"/>
  <c r="C251" i="23"/>
  <c r="J251" i="23" s="1"/>
  <c r="C379" i="23"/>
  <c r="J379" i="23" s="1"/>
  <c r="C847" i="23"/>
  <c r="J847" i="23" s="1"/>
  <c r="C1359" i="23"/>
  <c r="J1359" i="23" s="1"/>
  <c r="C106" i="23"/>
  <c r="J106" i="23" s="1"/>
  <c r="C923" i="23"/>
  <c r="J923" i="23" s="1"/>
  <c r="C72" i="23"/>
  <c r="J72" i="23" s="1"/>
  <c r="C200" i="23"/>
  <c r="J200" i="23" s="1"/>
  <c r="C86" i="23"/>
  <c r="J86" i="23" s="1"/>
  <c r="C603" i="23"/>
  <c r="J603" i="23" s="1"/>
  <c r="C27" i="23"/>
  <c r="J27" i="23" s="1"/>
  <c r="C155" i="23"/>
  <c r="J155" i="23" s="1"/>
  <c r="C283" i="23"/>
  <c r="J283" i="23" s="1"/>
  <c r="C463" i="23"/>
  <c r="J463" i="23" s="1"/>
  <c r="C975" i="23"/>
  <c r="J975" i="23" s="1"/>
  <c r="C1704" i="23"/>
  <c r="J1704" i="23" s="1"/>
  <c r="C214" i="23"/>
  <c r="J214" i="23" s="1"/>
  <c r="C1387" i="23"/>
  <c r="J1387" i="23" s="1"/>
  <c r="C104" i="23"/>
  <c r="J104" i="23" s="1"/>
  <c r="C30" i="23"/>
  <c r="J30" i="23" s="1"/>
  <c r="C226" i="23"/>
  <c r="J226" i="23" s="1"/>
  <c r="C427" i="23"/>
  <c r="J427" i="23" s="1"/>
  <c r="C1163" i="23"/>
  <c r="J1163" i="23" s="1"/>
  <c r="C11" i="23"/>
  <c r="J11" i="23" s="1"/>
  <c r="C75" i="23"/>
  <c r="J75" i="23" s="1"/>
  <c r="C139" i="23"/>
  <c r="J139" i="23" s="1"/>
  <c r="C203" i="23"/>
  <c r="J203" i="23" s="1"/>
  <c r="C267" i="23"/>
  <c r="J267" i="23" s="1"/>
  <c r="C331" i="23"/>
  <c r="J331" i="23" s="1"/>
  <c r="C399" i="23"/>
  <c r="J399" i="23" s="1"/>
  <c r="C655" i="23"/>
  <c r="J655" i="23" s="1"/>
  <c r="C911" i="23"/>
  <c r="J911" i="23" s="1"/>
  <c r="C1167" i="23"/>
  <c r="J1167" i="23" s="1"/>
  <c r="C1448" i="23"/>
  <c r="J1448" i="23" s="1"/>
  <c r="C2472" i="23"/>
  <c r="J2472" i="23" s="1"/>
  <c r="C162" i="23"/>
  <c r="J162" i="23" s="1"/>
  <c r="C370" i="23"/>
  <c r="J370" i="23" s="1"/>
  <c r="C1147" i="23"/>
  <c r="J1147" i="23" s="1"/>
  <c r="C24" i="23"/>
  <c r="J24" i="23" s="1"/>
  <c r="C88" i="23"/>
  <c r="J88" i="23" s="1"/>
  <c r="C152" i="23"/>
  <c r="J152" i="23" s="1"/>
  <c r="C216" i="23"/>
  <c r="J216" i="23" s="1"/>
  <c r="C280" i="23"/>
  <c r="J280" i="23" s="1"/>
  <c r="C344" i="23"/>
  <c r="J344" i="23" s="1"/>
  <c r="C451" i="23"/>
  <c r="J451" i="23" s="1"/>
  <c r="C707" i="23"/>
  <c r="J707" i="23" s="1"/>
  <c r="C963" i="23"/>
  <c r="J963" i="23" s="1"/>
  <c r="C1219" i="23"/>
  <c r="J1219" i="23" s="1"/>
  <c r="C1656" i="23"/>
  <c r="J1656" i="23" s="1"/>
  <c r="C2889" i="23"/>
  <c r="J2889" i="23" s="1"/>
  <c r="C150" i="23"/>
  <c r="J150" i="23" s="1"/>
  <c r="C326" i="23"/>
  <c r="J326" i="23" s="1"/>
  <c r="C891" i="23"/>
  <c r="J891" i="23" s="1"/>
  <c r="C2200" i="23"/>
  <c r="J2200" i="23" s="1"/>
  <c r="C53" i="23"/>
  <c r="J53" i="23" s="1"/>
  <c r="C117" i="23"/>
  <c r="J117" i="23" s="1"/>
  <c r="C181" i="23"/>
  <c r="J181" i="23" s="1"/>
  <c r="C245" i="23"/>
  <c r="J245" i="23" s="1"/>
  <c r="C309" i="23"/>
  <c r="J309" i="23" s="1"/>
  <c r="C373" i="23"/>
  <c r="J373" i="23" s="1"/>
  <c r="C567" i="23"/>
  <c r="J567" i="23" s="1"/>
  <c r="C823" i="23"/>
  <c r="J823" i="23" s="1"/>
  <c r="C1079" i="23"/>
  <c r="J1079" i="23" s="1"/>
  <c r="C1335" i="23"/>
  <c r="J1335" i="23" s="1"/>
  <c r="C2120" i="23"/>
  <c r="J2120" i="23" s="1"/>
  <c r="C412" i="23"/>
  <c r="J412" i="23" s="1"/>
  <c r="C476" i="23"/>
  <c r="J476" i="23" s="1"/>
  <c r="C540" i="23"/>
  <c r="J540" i="23" s="1"/>
  <c r="C604" i="23"/>
  <c r="J604" i="23" s="1"/>
  <c r="C668" i="23"/>
  <c r="J668" i="23" s="1"/>
  <c r="C732" i="23"/>
  <c r="J732" i="23" s="1"/>
  <c r="C796" i="23"/>
  <c r="J796" i="23" s="1"/>
  <c r="C860" i="23"/>
  <c r="J860" i="23" s="1"/>
  <c r="C924" i="23"/>
  <c r="J924" i="23" s="1"/>
  <c r="C988" i="23"/>
  <c r="J988" i="23" s="1"/>
  <c r="C1052" i="23"/>
  <c r="J1052" i="23" s="1"/>
  <c r="C1116" i="23"/>
  <c r="J1116" i="23" s="1"/>
  <c r="C1180" i="23"/>
  <c r="J1180" i="23" s="1"/>
  <c r="C1244" i="23"/>
  <c r="J1244" i="23" s="1"/>
  <c r="C1308" i="23"/>
  <c r="J1308" i="23" s="1"/>
  <c r="C1372" i="23"/>
  <c r="J1372" i="23" s="1"/>
  <c r="C1500" i="23"/>
  <c r="J1500" i="23" s="1"/>
  <c r="C1756" i="23"/>
  <c r="J1756" i="23" s="1"/>
  <c r="C2012" i="23"/>
  <c r="J2012" i="23" s="1"/>
  <c r="C2268" i="23"/>
  <c r="J2268" i="23" s="1"/>
  <c r="C2524" i="23"/>
  <c r="J2524" i="23" s="1"/>
  <c r="C401" i="23"/>
  <c r="J401" i="23" s="1"/>
  <c r="C465" i="23"/>
  <c r="J465" i="23" s="1"/>
  <c r="C529" i="23"/>
  <c r="J529" i="23" s="1"/>
  <c r="C593" i="23"/>
  <c r="J593" i="23" s="1"/>
  <c r="C657" i="23"/>
  <c r="J657" i="23" s="1"/>
  <c r="C721" i="23"/>
  <c r="J721" i="23" s="1"/>
  <c r="C785" i="23"/>
  <c r="J785" i="23" s="1"/>
  <c r="C849" i="23"/>
  <c r="J849" i="23" s="1"/>
  <c r="C913" i="23"/>
  <c r="J913" i="23" s="1"/>
  <c r="C1041" i="23"/>
  <c r="J1041" i="23" s="1"/>
  <c r="C1169" i="23"/>
  <c r="J1169" i="23" s="1"/>
  <c r="C194" i="23"/>
  <c r="J194" i="23" s="1"/>
  <c r="C374" i="23"/>
  <c r="J374" i="23" s="1"/>
  <c r="C1035" i="23"/>
  <c r="J1035" i="23" s="1"/>
  <c r="C4665" i="23"/>
  <c r="J4665" i="23" s="1"/>
  <c r="C63" i="23"/>
  <c r="J63" i="23" s="1"/>
  <c r="C127" i="23"/>
  <c r="J127" i="23" s="1"/>
  <c r="C191" i="23"/>
  <c r="J191" i="23" s="1"/>
  <c r="C255" i="23"/>
  <c r="J255" i="23" s="1"/>
  <c r="C319" i="23"/>
  <c r="J319" i="23" s="1"/>
  <c r="C383" i="23"/>
  <c r="J383" i="23" s="1"/>
  <c r="C607" i="23"/>
  <c r="J607" i="23" s="1"/>
  <c r="C863" i="23"/>
  <c r="J863" i="23" s="1"/>
  <c r="C1119" i="23"/>
  <c r="J1119" i="23" s="1"/>
  <c r="C1375" i="23"/>
  <c r="J1375" i="23" s="1"/>
  <c r="C2280" i="23"/>
  <c r="J2280" i="23" s="1"/>
  <c r="C118" i="23"/>
  <c r="J118" i="23" s="1"/>
  <c r="C330" i="23"/>
  <c r="J330" i="23" s="1"/>
  <c r="C971" i="23"/>
  <c r="J971" i="23" s="1"/>
  <c r="C12" i="23"/>
  <c r="J12" i="23" s="1"/>
  <c r="C76" i="23"/>
  <c r="J76" i="23" s="1"/>
  <c r="C140" i="23"/>
  <c r="J140" i="23" s="1"/>
  <c r="C204" i="23"/>
  <c r="J204" i="23" s="1"/>
  <c r="C268" i="23"/>
  <c r="J268" i="23" s="1"/>
  <c r="C332" i="23"/>
  <c r="J332" i="23" s="1"/>
  <c r="C403" i="23"/>
  <c r="J403" i="23" s="1"/>
  <c r="C659" i="23"/>
  <c r="J659" i="23" s="1"/>
  <c r="C915" i="23"/>
  <c r="J915" i="23" s="1"/>
  <c r="C1171" i="23"/>
  <c r="J1171" i="23" s="1"/>
  <c r="C1464" i="23"/>
  <c r="J1464" i="23" s="1"/>
  <c r="C2488" i="23"/>
  <c r="J2488" i="23" s="1"/>
  <c r="C114" i="23"/>
  <c r="J114" i="23" s="1"/>
  <c r="C290" i="23"/>
  <c r="J290" i="23" s="1"/>
  <c r="C763" i="23"/>
  <c r="J763" i="23" s="1"/>
  <c r="C1688" i="23"/>
  <c r="J1688" i="23" s="1"/>
  <c r="C41" i="23"/>
  <c r="J41" i="23" s="1"/>
  <c r="C105" i="23"/>
  <c r="J105" i="23" s="1"/>
  <c r="C169" i="23"/>
  <c r="J169" i="23" s="1"/>
  <c r="C233" i="23"/>
  <c r="J233" i="23" s="1"/>
  <c r="C297" i="23"/>
  <c r="J297" i="23" s="1"/>
  <c r="C361" i="23"/>
  <c r="J361" i="23" s="1"/>
  <c r="C519" i="23"/>
  <c r="J519" i="23" s="1"/>
  <c r="C775" i="23"/>
  <c r="J775" i="23" s="1"/>
  <c r="C1031" i="23"/>
  <c r="J1031" i="23" s="1"/>
  <c r="C1287" i="23"/>
  <c r="J1287" i="23" s="1"/>
  <c r="C1928" i="23"/>
  <c r="J1928" i="23" s="1"/>
  <c r="C400" i="23"/>
  <c r="J400" i="23" s="1"/>
  <c r="C464" i="23"/>
  <c r="J464" i="23" s="1"/>
  <c r="C528" i="23"/>
  <c r="J528" i="23" s="1"/>
  <c r="C592" i="23"/>
  <c r="J592" i="23" s="1"/>
  <c r="C656" i="23"/>
  <c r="J656" i="23" s="1"/>
  <c r="C720" i="23"/>
  <c r="J720" i="23" s="1"/>
  <c r="C784" i="23"/>
  <c r="J784" i="23" s="1"/>
  <c r="C848" i="23"/>
  <c r="J848" i="23" s="1"/>
  <c r="C912" i="23"/>
  <c r="J912" i="23" s="1"/>
  <c r="C976" i="23"/>
  <c r="J976" i="23" s="1"/>
  <c r="C1040" i="23"/>
  <c r="J1040" i="23" s="1"/>
  <c r="C1104" i="23"/>
  <c r="J1104" i="23" s="1"/>
  <c r="C1168" i="23"/>
  <c r="J1168" i="23" s="1"/>
  <c r="C1232" i="23"/>
  <c r="J1232" i="23" s="1"/>
  <c r="C1296" i="23"/>
  <c r="J1296" i="23" s="1"/>
  <c r="C1360" i="23"/>
  <c r="J1360" i="23" s="1"/>
  <c r="C1452" i="23"/>
  <c r="J1452" i="23" s="1"/>
  <c r="C1708" i="23"/>
  <c r="J1708" i="23" s="1"/>
  <c r="C1964" i="23"/>
  <c r="J1964" i="23" s="1"/>
  <c r="C2220" i="23"/>
  <c r="J2220" i="23" s="1"/>
  <c r="C2476" i="23"/>
  <c r="J2476" i="23" s="1"/>
  <c r="C3145" i="23"/>
  <c r="J3145" i="23" s="1"/>
  <c r="C453" i="23"/>
  <c r="J453" i="23" s="1"/>
  <c r="C517" i="23"/>
  <c r="J517" i="23" s="1"/>
  <c r="C581" i="23"/>
  <c r="J581" i="23" s="1"/>
  <c r="C645" i="23"/>
  <c r="J645" i="23" s="1"/>
  <c r="C709" i="23"/>
  <c r="J709" i="23" s="1"/>
  <c r="C773" i="23"/>
  <c r="J773" i="23" s="1"/>
  <c r="C837" i="23"/>
  <c r="J837" i="23" s="1"/>
  <c r="C901" i="23"/>
  <c r="J901" i="23" s="1"/>
  <c r="C1017" i="23"/>
  <c r="J1017" i="23" s="1"/>
  <c r="C1145" i="23"/>
  <c r="J1145" i="23" s="1"/>
  <c r="C110" i="23"/>
  <c r="J110" i="23" s="1"/>
  <c r="C298" i="23"/>
  <c r="J298" i="23" s="1"/>
  <c r="C699" i="23"/>
  <c r="J699" i="23" s="1"/>
  <c r="C1403" i="23"/>
  <c r="J1403" i="23" s="1"/>
  <c r="C35" i="23"/>
  <c r="J35" i="23" s="1"/>
  <c r="L35" i="23" s="1"/>
  <c r="K35" i="23" s="1"/>
  <c r="C99" i="23"/>
  <c r="J99" i="23" s="1"/>
  <c r="C163" i="23"/>
  <c r="J163" i="23" s="1"/>
  <c r="C227" i="23"/>
  <c r="J227" i="23" s="1"/>
  <c r="C291" i="23"/>
  <c r="J291" i="23" s="1"/>
  <c r="C355" i="23"/>
  <c r="J355" i="23" s="1"/>
  <c r="C495" i="23"/>
  <c r="J495" i="23" s="1"/>
  <c r="C751" i="23"/>
  <c r="J751" i="23" s="1"/>
  <c r="C1007" i="23"/>
  <c r="J1007" i="23" s="1"/>
  <c r="C1263" i="23"/>
  <c r="J1263" i="23" s="1"/>
  <c r="C1832" i="23"/>
  <c r="J1832" i="23" s="1"/>
  <c r="C18" i="23"/>
  <c r="J18" i="23" s="1"/>
  <c r="C242" i="23"/>
  <c r="J242" i="23" s="1"/>
  <c r="C619" i="23"/>
  <c r="J619" i="23" s="1"/>
  <c r="C1752" i="23"/>
  <c r="J1752" i="23" s="1"/>
  <c r="C48" i="23"/>
  <c r="J48" i="23" s="1"/>
  <c r="C112" i="23"/>
  <c r="J112" i="23" s="1"/>
  <c r="C176" i="23"/>
  <c r="J176" i="23" s="1"/>
  <c r="C240" i="23"/>
  <c r="J240" i="23" s="1"/>
  <c r="C304" i="23"/>
  <c r="J304" i="23" s="1"/>
  <c r="C368" i="23"/>
  <c r="J368" i="23" s="1"/>
  <c r="C547" i="23"/>
  <c r="J547" i="23" s="1"/>
  <c r="C803" i="23"/>
  <c r="J803" i="23" s="1"/>
  <c r="C1059" i="23"/>
  <c r="J1059" i="23" s="1"/>
  <c r="C1315" i="23"/>
  <c r="J1315" i="23" s="1"/>
  <c r="C2040" i="23"/>
  <c r="J2040" i="23" s="1"/>
  <c r="C42" i="23"/>
  <c r="J42" i="23" s="1"/>
  <c r="C210" i="23"/>
  <c r="J210" i="23" s="1"/>
  <c r="C443" i="23"/>
  <c r="J443" i="23" s="1"/>
  <c r="C1179" i="23"/>
  <c r="J1179" i="23" s="1"/>
  <c r="C13" i="23"/>
  <c r="J13" i="23" s="1"/>
  <c r="C77" i="23"/>
  <c r="J77" i="23" s="1"/>
  <c r="C141" i="23"/>
  <c r="J141" i="23" s="1"/>
  <c r="C205" i="23"/>
  <c r="J205" i="23" s="1"/>
  <c r="C269" i="23"/>
  <c r="J269" i="23" s="1"/>
  <c r="C333" i="23"/>
  <c r="J333" i="23" s="1"/>
  <c r="C407" i="23"/>
  <c r="J407" i="23" s="1"/>
  <c r="C663" i="23"/>
  <c r="J663" i="23" s="1"/>
  <c r="C919" i="23"/>
  <c r="J919" i="23" s="1"/>
  <c r="C1175" i="23"/>
  <c r="J1175" i="23" s="1"/>
  <c r="C1480" i="23"/>
  <c r="J1480" i="23" s="1"/>
  <c r="C2504" i="23"/>
  <c r="J2504" i="23" s="1"/>
  <c r="C436" i="23"/>
  <c r="J436" i="23" s="1"/>
  <c r="C500" i="23"/>
  <c r="J500" i="23" s="1"/>
  <c r="C564" i="23"/>
  <c r="J564" i="23" s="1"/>
  <c r="C628" i="23"/>
  <c r="J628" i="23" s="1"/>
  <c r="C692" i="23"/>
  <c r="J692" i="23" s="1"/>
  <c r="C756" i="23"/>
  <c r="J756" i="23" s="1"/>
  <c r="C820" i="23"/>
  <c r="J820" i="23" s="1"/>
  <c r="C884" i="23"/>
  <c r="J884" i="23" s="1"/>
  <c r="C948" i="23"/>
  <c r="J948" i="23" s="1"/>
  <c r="C1012" i="23"/>
  <c r="J1012" i="23" s="1"/>
  <c r="C1076" i="23"/>
  <c r="J1076" i="23" s="1"/>
  <c r="C1140" i="23"/>
  <c r="J1140" i="23" s="1"/>
  <c r="C1204" i="23"/>
  <c r="J1204" i="23" s="1"/>
  <c r="C1268" i="23"/>
  <c r="J1268" i="23" s="1"/>
  <c r="C1332" i="23"/>
  <c r="J1332" i="23" s="1"/>
  <c r="C1396" i="23"/>
  <c r="J1396" i="23" s="1"/>
  <c r="C1596" i="23"/>
  <c r="J1596" i="23" s="1"/>
  <c r="C1852" i="23"/>
  <c r="J1852" i="23" s="1"/>
  <c r="C2108" i="23"/>
  <c r="J2108" i="23" s="1"/>
  <c r="C2364" i="23"/>
  <c r="J2364" i="23" s="1"/>
  <c r="C2649" i="23"/>
  <c r="J2649" i="23" s="1"/>
  <c r="C425" i="23"/>
  <c r="J425" i="23" s="1"/>
  <c r="C489" i="23"/>
  <c r="J489" i="23" s="1"/>
  <c r="C553" i="23"/>
  <c r="J553" i="23" s="1"/>
  <c r="C617" i="23"/>
  <c r="J617" i="23" s="1"/>
  <c r="C681" i="23"/>
  <c r="J681" i="23" s="1"/>
  <c r="C745" i="23"/>
  <c r="J745" i="23" s="1"/>
  <c r="C809" i="23"/>
  <c r="J809" i="23" s="1"/>
  <c r="C873" i="23"/>
  <c r="J873" i="23" s="1"/>
  <c r="C961" i="23"/>
  <c r="J961" i="23" s="1"/>
  <c r="C1089" i="23"/>
  <c r="J1089" i="23" s="1"/>
  <c r="C22" i="23"/>
  <c r="J22" i="23" s="1"/>
  <c r="C218" i="23"/>
  <c r="J218" i="23" s="1"/>
  <c r="C397" i="23"/>
  <c r="J397" i="23" s="1"/>
  <c r="C1131" i="23"/>
  <c r="J1131" i="23" s="1"/>
  <c r="C7" i="23"/>
  <c r="J7" i="23" s="1"/>
  <c r="C71" i="23"/>
  <c r="J71" i="23" s="1"/>
  <c r="C135" i="23"/>
  <c r="J135" i="23" s="1"/>
  <c r="C199" i="23"/>
  <c r="J199" i="23" s="1"/>
  <c r="C263" i="23"/>
  <c r="J263" i="23" s="1"/>
  <c r="C327" i="23"/>
  <c r="J327" i="23" s="1"/>
  <c r="C391" i="23"/>
  <c r="J391" i="23" s="1"/>
  <c r="C639" i="23"/>
  <c r="J639" i="23" s="1"/>
  <c r="C895" i="23"/>
  <c r="J895" i="23" s="1"/>
  <c r="C1151" i="23"/>
  <c r="J1151" i="23" s="1"/>
  <c r="C1407" i="23"/>
  <c r="J1407" i="23" s="1"/>
  <c r="C2408" i="23"/>
  <c r="J2408" i="23" s="1"/>
  <c r="C146" i="23"/>
  <c r="J146" i="23" s="1"/>
  <c r="C358" i="23"/>
  <c r="J358" i="23" s="1"/>
  <c r="C1067" i="23"/>
  <c r="J1067" i="23" s="1"/>
  <c r="C20" i="23"/>
  <c r="J20" i="23" s="1"/>
  <c r="C84" i="23"/>
  <c r="J84" i="23" s="1"/>
  <c r="C148" i="23"/>
  <c r="J148" i="23" s="1"/>
  <c r="C212" i="23"/>
  <c r="J212" i="23" s="1"/>
  <c r="C276" i="23"/>
  <c r="J276" i="23" s="1"/>
  <c r="C340" i="23"/>
  <c r="J340" i="23" s="1"/>
  <c r="C435" i="23"/>
  <c r="J435" i="23" s="1"/>
  <c r="C691" i="23"/>
  <c r="J691" i="23" s="1"/>
  <c r="C947" i="23"/>
  <c r="J947" i="23" s="1"/>
  <c r="C1203" i="23"/>
  <c r="J1203" i="23" s="1"/>
  <c r="C1592" i="23"/>
  <c r="J1592" i="23" s="1"/>
  <c r="C2639" i="23"/>
  <c r="J2639" i="23" s="1"/>
  <c r="C138" i="23"/>
  <c r="J138" i="23" s="1"/>
  <c r="C314" i="23"/>
  <c r="J314" i="23" s="1"/>
  <c r="C859" i="23"/>
  <c r="J859" i="23" s="1"/>
  <c r="C2072" i="23"/>
  <c r="J2072" i="23" s="1"/>
  <c r="C49" i="23"/>
  <c r="J49" i="23" s="1"/>
  <c r="L49" i="23" s="1"/>
  <c r="K49" i="23" s="1"/>
  <c r="C113" i="23"/>
  <c r="J113" i="23" s="1"/>
  <c r="C177" i="23"/>
  <c r="J177" i="23" s="1"/>
  <c r="C241" i="23"/>
  <c r="J241" i="23" s="1"/>
  <c r="C305" i="23"/>
  <c r="J305" i="23" s="1"/>
  <c r="C369" i="23"/>
  <c r="J369" i="23" s="1"/>
  <c r="C551" i="23"/>
  <c r="J551" i="23" s="1"/>
  <c r="C807" i="23"/>
  <c r="J807" i="23" s="1"/>
  <c r="C1063" i="23"/>
  <c r="J1063" i="23" s="1"/>
  <c r="C1319" i="23"/>
  <c r="J1319" i="23" s="1"/>
  <c r="C2056" i="23"/>
  <c r="J2056" i="23" s="1"/>
  <c r="C408" i="23"/>
  <c r="J408" i="23" s="1"/>
  <c r="C472" i="23"/>
  <c r="J472" i="23" s="1"/>
  <c r="C536" i="23"/>
  <c r="J536" i="23" s="1"/>
  <c r="C600" i="23"/>
  <c r="J600" i="23" s="1"/>
  <c r="C664" i="23"/>
  <c r="J664" i="23" s="1"/>
  <c r="C728" i="23"/>
  <c r="J728" i="23" s="1"/>
  <c r="C792" i="23"/>
  <c r="J792" i="23" s="1"/>
  <c r="C856" i="23"/>
  <c r="J856" i="23" s="1"/>
  <c r="C920" i="23"/>
  <c r="J920" i="23" s="1"/>
  <c r="C984" i="23"/>
  <c r="J984" i="23" s="1"/>
  <c r="C1048" i="23"/>
  <c r="J1048" i="23" s="1"/>
  <c r="C1112" i="23"/>
  <c r="J1112" i="23" s="1"/>
  <c r="C1176" i="23"/>
  <c r="J1176" i="23" s="1"/>
  <c r="C1240" i="23"/>
  <c r="J1240" i="23" s="1"/>
  <c r="C1304" i="23"/>
  <c r="J1304" i="23" s="1"/>
  <c r="C1368" i="23"/>
  <c r="J1368" i="23" s="1"/>
  <c r="C1484" i="23"/>
  <c r="J1484" i="23" s="1"/>
  <c r="C1740" i="23"/>
  <c r="J1740" i="23" s="1"/>
  <c r="C1996" i="23"/>
  <c r="J1996" i="23" s="1"/>
  <c r="C2252" i="23"/>
  <c r="J2252" i="23" s="1"/>
  <c r="C2508" i="23"/>
  <c r="J2508" i="23" s="1"/>
  <c r="C3537" i="23"/>
  <c r="J3537" i="23" s="1"/>
  <c r="C461" i="23"/>
  <c r="J461" i="23" s="1"/>
  <c r="C525" i="23"/>
  <c r="J525" i="23" s="1"/>
  <c r="C589" i="23"/>
  <c r="J589" i="23" s="1"/>
  <c r="C653" i="23"/>
  <c r="J653" i="23" s="1"/>
  <c r="C717" i="23"/>
  <c r="J717" i="23" s="1"/>
  <c r="C781" i="23"/>
  <c r="J781" i="23" s="1"/>
  <c r="C845" i="23"/>
  <c r="J845" i="23" s="1"/>
  <c r="C909" i="23"/>
  <c r="J909" i="23" s="1"/>
  <c r="C1033" i="23"/>
  <c r="J1033" i="23" s="1"/>
  <c r="C1161" i="23"/>
  <c r="J1161" i="23" s="1"/>
  <c r="C957" i="23"/>
  <c r="J957" i="23" s="1"/>
  <c r="C1021" i="23"/>
  <c r="J1021" i="23" s="1"/>
  <c r="C1085" i="23"/>
  <c r="J1085" i="23" s="1"/>
  <c r="C1149" i="23"/>
  <c r="J1149" i="23" s="1"/>
  <c r="C1213" i="23"/>
  <c r="J1213" i="23" s="1"/>
  <c r="C1277" i="23"/>
  <c r="J1277" i="23" s="1"/>
  <c r="C1341" i="23"/>
  <c r="J1341" i="23" s="1"/>
  <c r="C1405" i="23"/>
  <c r="J1405" i="23" s="1"/>
  <c r="C1632" i="23"/>
  <c r="J1632" i="23" s="1"/>
  <c r="C1888" i="23"/>
  <c r="J1888" i="23" s="1"/>
  <c r="C2144" i="23"/>
  <c r="J2144" i="23" s="1"/>
  <c r="C2400" i="23"/>
  <c r="J2400" i="23" s="1"/>
  <c r="C2793" i="23"/>
  <c r="J2793" i="23" s="1"/>
  <c r="C426" i="23"/>
  <c r="J426" i="23" s="1"/>
  <c r="C490" i="23"/>
  <c r="J490" i="23" s="1"/>
  <c r="C554" i="23"/>
  <c r="J554" i="23" s="1"/>
  <c r="C618" i="23"/>
  <c r="J618" i="23" s="1"/>
  <c r="C682" i="23"/>
  <c r="J682" i="23" s="1"/>
  <c r="C746" i="23"/>
  <c r="J746" i="23" s="1"/>
  <c r="C810" i="23"/>
  <c r="J810" i="23" s="1"/>
  <c r="C874" i="23"/>
  <c r="J874" i="23" s="1"/>
  <c r="C938" i="23"/>
  <c r="J938" i="23" s="1"/>
  <c r="C1002" i="23"/>
  <c r="J1002" i="23" s="1"/>
  <c r="C1066" i="23"/>
  <c r="J1066" i="23" s="1"/>
  <c r="C1130" i="23"/>
  <c r="J1130" i="23" s="1"/>
  <c r="C1194" i="23"/>
  <c r="J1194" i="23" s="1"/>
  <c r="C1258" i="23"/>
  <c r="J1258" i="23" s="1"/>
  <c r="C1322" i="23"/>
  <c r="J1322" i="23" s="1"/>
  <c r="C1386" i="23"/>
  <c r="J1386" i="23" s="1"/>
  <c r="C1556" i="23"/>
  <c r="J1556" i="23" s="1"/>
  <c r="C1812" i="23"/>
  <c r="J1812" i="23" s="1"/>
  <c r="C2068" i="23"/>
  <c r="J2068" i="23" s="1"/>
  <c r="C2324" i="23"/>
  <c r="J2324" i="23" s="1"/>
  <c r="C2580" i="23"/>
  <c r="J2580" i="23" s="1"/>
  <c r="C1429" i="23"/>
  <c r="J1429" i="23" s="1"/>
  <c r="C1493" i="23"/>
  <c r="J1493" i="23" s="1"/>
  <c r="C1557" i="23"/>
  <c r="J1557" i="23" s="1"/>
  <c r="C1621" i="23"/>
  <c r="J1621" i="23" s="1"/>
  <c r="C1685" i="23"/>
  <c r="J1685" i="23" s="1"/>
  <c r="C1749" i="23"/>
  <c r="J1749" i="23" s="1"/>
  <c r="C1813" i="23"/>
  <c r="J1813" i="23" s="1"/>
  <c r="C1877" i="23"/>
  <c r="J1877" i="23" s="1"/>
  <c r="C1941" i="23"/>
  <c r="J1941" i="23" s="1"/>
  <c r="C2005" i="23"/>
  <c r="J2005" i="23" s="1"/>
  <c r="C2069" i="23"/>
  <c r="J2069" i="23" s="1"/>
  <c r="C2133" i="23"/>
  <c r="J2133" i="23" s="1"/>
  <c r="C2197" i="23"/>
  <c r="J2197" i="23" s="1"/>
  <c r="C2261" i="23"/>
  <c r="J2261" i="23" s="1"/>
  <c r="C2325" i="23"/>
  <c r="J2325" i="23" s="1"/>
  <c r="C2389" i="23"/>
  <c r="J2389" i="23" s="1"/>
  <c r="C2453" i="23"/>
  <c r="J2453" i="23" s="1"/>
  <c r="C2517" i="23"/>
  <c r="J2517" i="23" s="1"/>
  <c r="C2581" i="23"/>
  <c r="J2581" i="23" s="1"/>
  <c r="C2749" i="23"/>
  <c r="J2749" i="23" s="1"/>
  <c r="C3005" i="23"/>
  <c r="J3005" i="23" s="1"/>
  <c r="C4047" i="23"/>
  <c r="J4047" i="23" s="1"/>
  <c r="C1474" i="23"/>
  <c r="J1474" i="23" s="1"/>
  <c r="C1538" i="23"/>
  <c r="J1538" i="23" s="1"/>
  <c r="C1602" i="23"/>
  <c r="J1602" i="23" s="1"/>
  <c r="C1666" i="23"/>
  <c r="J1666" i="23" s="1"/>
  <c r="C1730" i="23"/>
  <c r="J1730" i="23" s="1"/>
  <c r="C1794" i="23"/>
  <c r="J1794" i="23" s="1"/>
  <c r="C1858" i="23"/>
  <c r="J1858" i="23" s="1"/>
  <c r="C1922" i="23"/>
  <c r="J1922" i="23" s="1"/>
  <c r="C1986" i="23"/>
  <c r="J1986" i="23" s="1"/>
  <c r="C2050" i="23"/>
  <c r="J2050" i="23" s="1"/>
  <c r="C2114" i="23"/>
  <c r="J2114" i="23" s="1"/>
  <c r="C2178" i="23"/>
  <c r="J2178" i="23" s="1"/>
  <c r="C2242" i="23"/>
  <c r="J2242" i="23" s="1"/>
  <c r="C2306" i="23"/>
  <c r="J2306" i="23" s="1"/>
  <c r="C2370" i="23"/>
  <c r="J2370" i="23" s="1"/>
  <c r="C2434" i="23"/>
  <c r="J2434" i="23" s="1"/>
  <c r="C2498" i="23"/>
  <c r="J2498" i="23" s="1"/>
  <c r="C2562" i="23"/>
  <c r="J2562" i="23" s="1"/>
  <c r="C2673" i="23"/>
  <c r="J2673" i="23" s="1"/>
  <c r="C2929" i="23"/>
  <c r="J2929" i="23" s="1"/>
  <c r="C3377" i="23"/>
  <c r="J3377" i="23" s="1"/>
  <c r="C1459" i="23"/>
  <c r="J1459" i="23" s="1"/>
  <c r="C1523" i="23"/>
  <c r="J1523" i="23" s="1"/>
  <c r="C1587" i="23"/>
  <c r="J1587" i="23" s="1"/>
  <c r="C1651" i="23"/>
  <c r="J1651" i="23" s="1"/>
  <c r="C1715" i="23"/>
  <c r="J1715" i="23" s="1"/>
  <c r="C1779" i="23"/>
  <c r="J1779" i="23" s="1"/>
  <c r="C1843" i="23"/>
  <c r="J1843" i="23" s="1"/>
  <c r="C1907" i="23"/>
  <c r="J1907" i="23" s="1"/>
  <c r="C1971" i="23"/>
  <c r="J1971" i="23" s="1"/>
  <c r="C2035" i="23"/>
  <c r="J2035" i="23" s="1"/>
  <c r="C2099" i="23"/>
  <c r="J2099" i="23" s="1"/>
  <c r="C2163" i="23"/>
  <c r="J2163" i="23" s="1"/>
  <c r="C1201" i="23"/>
  <c r="J1201" i="23" s="1"/>
  <c r="C1265" i="23"/>
  <c r="J1265" i="23" s="1"/>
  <c r="C1329" i="23"/>
  <c r="J1329" i="23" s="1"/>
  <c r="C1393" i="23"/>
  <c r="J1393" i="23" s="1"/>
  <c r="C1584" i="23"/>
  <c r="J1584" i="23" s="1"/>
  <c r="C1840" i="23"/>
  <c r="J1840" i="23" s="1"/>
  <c r="C2096" i="23"/>
  <c r="J2096" i="23" s="1"/>
  <c r="C2352" i="23"/>
  <c r="J2352" i="23" s="1"/>
  <c r="C2623" i="23"/>
  <c r="J2623" i="23" s="1"/>
  <c r="C414" i="23"/>
  <c r="J414" i="23" s="1"/>
  <c r="C478" i="23"/>
  <c r="J478" i="23" s="1"/>
  <c r="C542" i="23"/>
  <c r="J542" i="23" s="1"/>
  <c r="C606" i="23"/>
  <c r="J606" i="23" s="1"/>
  <c r="C670" i="23"/>
  <c r="J670" i="23" s="1"/>
  <c r="C734" i="23"/>
  <c r="J734" i="23" s="1"/>
  <c r="C798" i="23"/>
  <c r="J798" i="23" s="1"/>
  <c r="C862" i="23"/>
  <c r="J862" i="23" s="1"/>
  <c r="C926" i="23"/>
  <c r="J926" i="23" s="1"/>
  <c r="C990" i="23"/>
  <c r="J990" i="23" s="1"/>
  <c r="C1054" i="23"/>
  <c r="J1054" i="23" s="1"/>
  <c r="C1118" i="23"/>
  <c r="J1118" i="23" s="1"/>
  <c r="C1182" i="23"/>
  <c r="J1182" i="23" s="1"/>
  <c r="C1246" i="23"/>
  <c r="J1246" i="23" s="1"/>
  <c r="C1310" i="23"/>
  <c r="J1310" i="23" s="1"/>
  <c r="C1374" i="23"/>
  <c r="J1374" i="23" s="1"/>
  <c r="C1508" i="23"/>
  <c r="J1508" i="23" s="1"/>
  <c r="C1764" i="23"/>
  <c r="J1764" i="23" s="1"/>
  <c r="C2020" i="23"/>
  <c r="J2020" i="23" s="1"/>
  <c r="C2276" i="23"/>
  <c r="J2276" i="23" s="1"/>
  <c r="C2532" i="23"/>
  <c r="J2532" i="23" s="1"/>
  <c r="C1417" i="23"/>
  <c r="J1417" i="23" s="1"/>
  <c r="C1481" i="23"/>
  <c r="J1481" i="23" s="1"/>
  <c r="C1545" i="23"/>
  <c r="J1545" i="23" s="1"/>
  <c r="C1609" i="23"/>
  <c r="J1609" i="23" s="1"/>
  <c r="C1673" i="23"/>
  <c r="J1673" i="23" s="1"/>
  <c r="C1737" i="23"/>
  <c r="J1737" i="23" s="1"/>
  <c r="C1801" i="23"/>
  <c r="J1801" i="23" s="1"/>
  <c r="C1865" i="23"/>
  <c r="J1865" i="23" s="1"/>
  <c r="C1929" i="23"/>
  <c r="J1929" i="23" s="1"/>
  <c r="C1993" i="23"/>
  <c r="J1993" i="23" s="1"/>
  <c r="C2057" i="23"/>
  <c r="J2057" i="23" s="1"/>
  <c r="C2121" i="23"/>
  <c r="J2121" i="23" s="1"/>
  <c r="C2185" i="23"/>
  <c r="J2185" i="23" s="1"/>
  <c r="C2249" i="23"/>
  <c r="J2249" i="23" s="1"/>
  <c r="C2313" i="23"/>
  <c r="J2313" i="23" s="1"/>
  <c r="C2377" i="23"/>
  <c r="J2377" i="23" s="1"/>
  <c r="C2441" i="23"/>
  <c r="J2441" i="23" s="1"/>
  <c r="C2505" i="23"/>
  <c r="J2505" i="23" s="1"/>
  <c r="C2569" i="23"/>
  <c r="J2569" i="23" s="1"/>
  <c r="C2701" i="23"/>
  <c r="J2701" i="23" s="1"/>
  <c r="C2957" i="23"/>
  <c r="J2957" i="23" s="1"/>
  <c r="C3489" i="23"/>
  <c r="J3489" i="23" s="1"/>
  <c r="C1462" i="23"/>
  <c r="J1462" i="23" s="1"/>
  <c r="C1526" i="23"/>
  <c r="J1526" i="23" s="1"/>
  <c r="C1590" i="23"/>
  <c r="J1590" i="23" s="1"/>
  <c r="C1654" i="23"/>
  <c r="J1654" i="23" s="1"/>
  <c r="C1718" i="23"/>
  <c r="J1718" i="23" s="1"/>
  <c r="C1782" i="23"/>
  <c r="J1782" i="23" s="1"/>
  <c r="C1846" i="23"/>
  <c r="J1846" i="23" s="1"/>
  <c r="C1910" i="23"/>
  <c r="J1910" i="23" s="1"/>
  <c r="C1974" i="23"/>
  <c r="J1974" i="23" s="1"/>
  <c r="C2038" i="23"/>
  <c r="J2038" i="23" s="1"/>
  <c r="C2102" i="23"/>
  <c r="J2102" i="23" s="1"/>
  <c r="C2166" i="23"/>
  <c r="J2166" i="23" s="1"/>
  <c r="C2230" i="23"/>
  <c r="J2230" i="23" s="1"/>
  <c r="C2294" i="23"/>
  <c r="J2294" i="23" s="1"/>
  <c r="C2358" i="23"/>
  <c r="J2358" i="23" s="1"/>
  <c r="C2422" i="23"/>
  <c r="J2422" i="23" s="1"/>
  <c r="C2486" i="23"/>
  <c r="J2486" i="23" s="1"/>
  <c r="C2550" i="23"/>
  <c r="J2550" i="23" s="1"/>
  <c r="C2635" i="23"/>
  <c r="J2635" i="23" s="1"/>
  <c r="C2881" i="23"/>
  <c r="J2881" i="23" s="1"/>
  <c r="C3225" i="23"/>
  <c r="J3225" i="23" s="1"/>
  <c r="C1447" i="23"/>
  <c r="J1447" i="23" s="1"/>
  <c r="C1511" i="23"/>
  <c r="J1511" i="23" s="1"/>
  <c r="C1575" i="23"/>
  <c r="J1575" i="23" s="1"/>
  <c r="C1639" i="23"/>
  <c r="J1639" i="23" s="1"/>
  <c r="C1703" i="23"/>
  <c r="J1703" i="23" s="1"/>
  <c r="C1767" i="23"/>
  <c r="J1767" i="23" s="1"/>
  <c r="C1831" i="23"/>
  <c r="J1831" i="23" s="1"/>
  <c r="C1895" i="23"/>
  <c r="J1895" i="23" s="1"/>
  <c r="C1959" i="23"/>
  <c r="J1959" i="23" s="1"/>
  <c r="C2023" i="23"/>
  <c r="J2023" i="23" s="1"/>
  <c r="C2087" i="23"/>
  <c r="J2087" i="23" s="1"/>
  <c r="C2151" i="23"/>
  <c r="J2151" i="23" s="1"/>
  <c r="C2215" i="23"/>
  <c r="J2215" i="23" s="1"/>
  <c r="C965" i="23"/>
  <c r="J965" i="23" s="1"/>
  <c r="C1029" i="23"/>
  <c r="J1029" i="23" s="1"/>
  <c r="C1093" i="23"/>
  <c r="J1093" i="23" s="1"/>
  <c r="C1157" i="23"/>
  <c r="J1157" i="23" s="1"/>
  <c r="C1221" i="23"/>
  <c r="J1221" i="23" s="1"/>
  <c r="C1285" i="23"/>
  <c r="J1285" i="23" s="1"/>
  <c r="C1349" i="23"/>
  <c r="J1349" i="23" s="1"/>
  <c r="C1413" i="23"/>
  <c r="J1413" i="23" s="1"/>
  <c r="C1664" i="23"/>
  <c r="J1664" i="23" s="1"/>
  <c r="C1920" i="23"/>
  <c r="J1920" i="23" s="1"/>
  <c r="C2176" i="23"/>
  <c r="J2176" i="23" s="1"/>
  <c r="C2432" i="23"/>
  <c r="J2432" i="23" s="1"/>
  <c r="C2921" i="23"/>
  <c r="J2921" i="23" s="1"/>
  <c r="C434" i="23"/>
  <c r="J434" i="23" s="1"/>
  <c r="C498" i="23"/>
  <c r="J498" i="23" s="1"/>
  <c r="C562" i="23"/>
  <c r="J562" i="23" s="1"/>
  <c r="C626" i="23"/>
  <c r="J626" i="23" s="1"/>
  <c r="C690" i="23"/>
  <c r="J690" i="23" s="1"/>
  <c r="C754" i="23"/>
  <c r="J754" i="23" s="1"/>
  <c r="C818" i="23"/>
  <c r="J818" i="23" s="1"/>
  <c r="C882" i="23"/>
  <c r="J882" i="23" s="1"/>
  <c r="C946" i="23"/>
  <c r="J946" i="23" s="1"/>
  <c r="C1010" i="23"/>
  <c r="J1010" i="23" s="1"/>
  <c r="C1074" i="23"/>
  <c r="J1074" i="23" s="1"/>
  <c r="C1138" i="23"/>
  <c r="J1138" i="23" s="1"/>
  <c r="C1202" i="23"/>
  <c r="J1202" i="23" s="1"/>
  <c r="C1266" i="23"/>
  <c r="J1266" i="23" s="1"/>
  <c r="C1330" i="23"/>
  <c r="J1330" i="23" s="1"/>
  <c r="C1394" i="23"/>
  <c r="J1394" i="23" s="1"/>
  <c r="C1588" i="23"/>
  <c r="J1588" i="23" s="1"/>
  <c r="C1844" i="23"/>
  <c r="J1844" i="23" s="1"/>
  <c r="C2100" i="23"/>
  <c r="J2100" i="23" s="1"/>
  <c r="C2356" i="23"/>
  <c r="J2356" i="23" s="1"/>
  <c r="C2631" i="23"/>
  <c r="J2631" i="23" s="1"/>
  <c r="C1437" i="23"/>
  <c r="J1437" i="23" s="1"/>
  <c r="C1501" i="23"/>
  <c r="J1501" i="23" s="1"/>
  <c r="C1565" i="23"/>
  <c r="J1565" i="23" s="1"/>
  <c r="C1629" i="23"/>
  <c r="J1629" i="23" s="1"/>
  <c r="C1693" i="23"/>
  <c r="J1693" i="23" s="1"/>
  <c r="C1757" i="23"/>
  <c r="J1757" i="23" s="1"/>
  <c r="C1821" i="23"/>
  <c r="J1821" i="23" s="1"/>
  <c r="C1885" i="23"/>
  <c r="J1885" i="23" s="1"/>
  <c r="C1949" i="23"/>
  <c r="J1949" i="23" s="1"/>
  <c r="C2013" i="23"/>
  <c r="J2013" i="23" s="1"/>
  <c r="C2077" i="23"/>
  <c r="J2077" i="23" s="1"/>
  <c r="C2141" i="23"/>
  <c r="J2141" i="23" s="1"/>
  <c r="C2205" i="23"/>
  <c r="J2205" i="23" s="1"/>
  <c r="C2269" i="23"/>
  <c r="J2269" i="23" s="1"/>
  <c r="C2333" i="23"/>
  <c r="J2333" i="23" s="1"/>
  <c r="C2397" i="23"/>
  <c r="J2397" i="23" s="1"/>
  <c r="C2461" i="23"/>
  <c r="J2461" i="23" s="1"/>
  <c r="C2525" i="23"/>
  <c r="J2525" i="23" s="1"/>
  <c r="C2589" i="23"/>
  <c r="J2589" i="23" s="1"/>
  <c r="C2781" i="23"/>
  <c r="J2781" i="23" s="1"/>
  <c r="C3037" i="23"/>
  <c r="J3037" i="23" s="1"/>
  <c r="C1418" i="23"/>
  <c r="J1418" i="23" s="1"/>
  <c r="C1482" i="23"/>
  <c r="J1482" i="23" s="1"/>
  <c r="C1546" i="23"/>
  <c r="J1546" i="23" s="1"/>
  <c r="C1610" i="23"/>
  <c r="J1610" i="23" s="1"/>
  <c r="C1674" i="23"/>
  <c r="J1674" i="23" s="1"/>
  <c r="C1738" i="23"/>
  <c r="J1738" i="23" s="1"/>
  <c r="C1802" i="23"/>
  <c r="J1802" i="23" s="1"/>
  <c r="C1866" i="23"/>
  <c r="J1866" i="23" s="1"/>
  <c r="C1930" i="23"/>
  <c r="J1930" i="23" s="1"/>
  <c r="C1994" i="23"/>
  <c r="J1994" i="23" s="1"/>
  <c r="C2058" i="23"/>
  <c r="J2058" i="23" s="1"/>
  <c r="C2122" i="23"/>
  <c r="J2122" i="23" s="1"/>
  <c r="C2186" i="23"/>
  <c r="J2186" i="23" s="1"/>
  <c r="C2250" i="23"/>
  <c r="J2250" i="23" s="1"/>
  <c r="C2314" i="23"/>
  <c r="J2314" i="23" s="1"/>
  <c r="C2378" i="23"/>
  <c r="J2378" i="23" s="1"/>
  <c r="C2442" i="23"/>
  <c r="J2442" i="23" s="1"/>
  <c r="C2506" i="23"/>
  <c r="J2506" i="23" s="1"/>
  <c r="C2570" i="23"/>
  <c r="J2570" i="23" s="1"/>
  <c r="C2705" i="23"/>
  <c r="J2705" i="23" s="1"/>
  <c r="C2961" i="23"/>
  <c r="J2961" i="23" s="1"/>
  <c r="C3505" i="23"/>
  <c r="J3505" i="23" s="1"/>
  <c r="C1467" i="23"/>
  <c r="J1467" i="23" s="1"/>
  <c r="C1531" i="23"/>
  <c r="J1531" i="23" s="1"/>
  <c r="C1595" i="23"/>
  <c r="J1595" i="23" s="1"/>
  <c r="C1659" i="23"/>
  <c r="J1659" i="23" s="1"/>
  <c r="C1723" i="23"/>
  <c r="J1723" i="23" s="1"/>
  <c r="C1787" i="23"/>
  <c r="J1787" i="23" s="1"/>
  <c r="C1867" i="23"/>
  <c r="J1867" i="23" s="1"/>
  <c r="C1995" i="23"/>
  <c r="J1995" i="23" s="1"/>
  <c r="C2123" i="23"/>
  <c r="J2123" i="23" s="1"/>
  <c r="C1225" i="23"/>
  <c r="J1225" i="23" s="1"/>
  <c r="C1353" i="23"/>
  <c r="J1353" i="23" s="1"/>
  <c r="C1680" i="23"/>
  <c r="J1680" i="23" s="1"/>
  <c r="C2192" i="23"/>
  <c r="J2192" i="23" s="1"/>
  <c r="C2985" i="23"/>
  <c r="J2985" i="23" s="1"/>
  <c r="C502" i="23"/>
  <c r="J502" i="23" s="1"/>
  <c r="C630" i="23"/>
  <c r="J630" i="23" s="1"/>
  <c r="C758" i="23"/>
  <c r="J758" i="23" s="1"/>
  <c r="C886" i="23"/>
  <c r="J886" i="23" s="1"/>
  <c r="C1014" i="23"/>
  <c r="J1014" i="23" s="1"/>
  <c r="C1142" i="23"/>
  <c r="J1142" i="23" s="1"/>
  <c r="C1270" i="23"/>
  <c r="J1270" i="23" s="1"/>
  <c r="C1398" i="23"/>
  <c r="J1398" i="23" s="1"/>
  <c r="C1860" i="23"/>
  <c r="J1860" i="23" s="1"/>
  <c r="C2372" i="23"/>
  <c r="J2372" i="23" s="1"/>
  <c r="C1441" i="23"/>
  <c r="J1441" i="23" s="1"/>
  <c r="C1569" i="23"/>
  <c r="J1569" i="23" s="1"/>
  <c r="C1697" i="23"/>
  <c r="J1697" i="23" s="1"/>
  <c r="C1825" i="23"/>
  <c r="J1825" i="23" s="1"/>
  <c r="C1953" i="23"/>
  <c r="J1953" i="23" s="1"/>
  <c r="C2081" i="23"/>
  <c r="J2081" i="23" s="1"/>
  <c r="C2209" i="23"/>
  <c r="J2209" i="23" s="1"/>
  <c r="C2337" i="23"/>
  <c r="J2337" i="23" s="1"/>
  <c r="C2465" i="23"/>
  <c r="J2465" i="23" s="1"/>
  <c r="C2593" i="23"/>
  <c r="J2593" i="23" s="1"/>
  <c r="C3057" i="23"/>
  <c r="J3057" i="23" s="1"/>
  <c r="C1486" i="23"/>
  <c r="J1486" i="23" s="1"/>
  <c r="C1614" i="23"/>
  <c r="J1614" i="23" s="1"/>
  <c r="C1742" i="23"/>
  <c r="J1742" i="23" s="1"/>
  <c r="C1870" i="23"/>
  <c r="J1870" i="23" s="1"/>
  <c r="C1998" i="23"/>
  <c r="J1998" i="23" s="1"/>
  <c r="C2126" i="23"/>
  <c r="J2126" i="23" s="1"/>
  <c r="C2254" i="23"/>
  <c r="J2254" i="23" s="1"/>
  <c r="C2382" i="23"/>
  <c r="J2382" i="23" s="1"/>
  <c r="C2510" i="23"/>
  <c r="J2510" i="23" s="1"/>
  <c r="C2721" i="23"/>
  <c r="J2721" i="23" s="1"/>
  <c r="C232" i="23"/>
  <c r="J232" i="23" s="1"/>
  <c r="C296" i="23"/>
  <c r="J296" i="23" s="1"/>
  <c r="C360" i="23"/>
  <c r="J360" i="23" s="1"/>
  <c r="C515" i="23"/>
  <c r="J515" i="23" s="1"/>
  <c r="C771" i="23"/>
  <c r="J771" i="23" s="1"/>
  <c r="C1027" i="23"/>
  <c r="J1027" i="23" s="1"/>
  <c r="C1283" i="23"/>
  <c r="J1283" i="23" s="1"/>
  <c r="C1912" i="23"/>
  <c r="J1912" i="23" s="1"/>
  <c r="C26" i="23"/>
  <c r="J26" i="23" s="1"/>
  <c r="C186" i="23"/>
  <c r="J186" i="23" s="1"/>
  <c r="C378" i="23"/>
  <c r="J378" i="23" s="1"/>
  <c r="C1083" i="23"/>
  <c r="J1083" i="23" s="1"/>
  <c r="C5" i="23"/>
  <c r="J5" i="23" s="1"/>
  <c r="C69" i="23"/>
  <c r="J69" i="23" s="1"/>
  <c r="C133" i="23"/>
  <c r="J133" i="23" s="1"/>
  <c r="C197" i="23"/>
  <c r="J197" i="23" s="1"/>
  <c r="C261" i="23"/>
  <c r="J261" i="23" s="1"/>
  <c r="C325" i="23"/>
  <c r="J325" i="23" s="1"/>
  <c r="C389" i="23"/>
  <c r="J389" i="23" s="1"/>
  <c r="C631" i="23"/>
  <c r="J631" i="23" s="1"/>
  <c r="C887" i="23"/>
  <c r="J887" i="23" s="1"/>
  <c r="C1143" i="23"/>
  <c r="J1143" i="23" s="1"/>
  <c r="C1399" i="23"/>
  <c r="J1399" i="23" s="1"/>
  <c r="C2376" i="23"/>
  <c r="J2376" i="23" s="1"/>
  <c r="C428" i="23"/>
  <c r="J428" i="23" s="1"/>
  <c r="C492" i="23"/>
  <c r="J492" i="23" s="1"/>
  <c r="C556" i="23"/>
  <c r="J556" i="23" s="1"/>
  <c r="C620" i="23"/>
  <c r="J620" i="23" s="1"/>
  <c r="C684" i="23"/>
  <c r="J684" i="23" s="1"/>
  <c r="C748" i="23"/>
  <c r="J748" i="23" s="1"/>
  <c r="C812" i="23"/>
  <c r="J812" i="23" s="1"/>
  <c r="C876" i="23"/>
  <c r="J876" i="23" s="1"/>
  <c r="C940" i="23"/>
  <c r="J940" i="23" s="1"/>
  <c r="C1004" i="23"/>
  <c r="J1004" i="23" s="1"/>
  <c r="C1068" i="23"/>
  <c r="J1068" i="23" s="1"/>
  <c r="C1132" i="23"/>
  <c r="J1132" i="23" s="1"/>
  <c r="C1196" i="23"/>
  <c r="J1196" i="23" s="1"/>
  <c r="C1260" i="23"/>
  <c r="J1260" i="23" s="1"/>
  <c r="C1324" i="23"/>
  <c r="J1324" i="23" s="1"/>
  <c r="C1388" i="23"/>
  <c r="J1388" i="23" s="1"/>
  <c r="C1564" i="23"/>
  <c r="J1564" i="23" s="1"/>
  <c r="C1820" i="23"/>
  <c r="J1820" i="23" s="1"/>
  <c r="C2076" i="23"/>
  <c r="J2076" i="23" s="1"/>
  <c r="C2332" i="23"/>
  <c r="J2332" i="23" s="1"/>
  <c r="C2588" i="23"/>
  <c r="J2588" i="23" s="1"/>
  <c r="C417" i="23"/>
  <c r="J417" i="23" s="1"/>
  <c r="C481" i="23"/>
  <c r="J481" i="23" s="1"/>
  <c r="C545" i="23"/>
  <c r="J545" i="23" s="1"/>
  <c r="C609" i="23"/>
  <c r="J609" i="23" s="1"/>
  <c r="C673" i="23"/>
  <c r="J673" i="23" s="1"/>
  <c r="C737" i="23"/>
  <c r="J737" i="23" s="1"/>
  <c r="C801" i="23"/>
  <c r="J801" i="23" s="1"/>
  <c r="C865" i="23"/>
  <c r="J865" i="23" s="1"/>
  <c r="C945" i="23"/>
  <c r="J945" i="23" s="1"/>
  <c r="C1073" i="23"/>
  <c r="J1073" i="23" s="1"/>
  <c r="C46" i="23"/>
  <c r="J46" i="23" s="1"/>
  <c r="C238" i="23"/>
  <c r="J238" i="23" s="1"/>
  <c r="C475" i="23"/>
  <c r="J475" i="23" s="1"/>
  <c r="C1195" i="23"/>
  <c r="J1195" i="23" s="1"/>
  <c r="C15" i="23"/>
  <c r="J15" i="23" s="1"/>
  <c r="C79" i="23"/>
  <c r="J79" i="23" s="1"/>
  <c r="C143" i="23"/>
  <c r="J143" i="23" s="1"/>
  <c r="C207" i="23"/>
  <c r="J207" i="23" s="1"/>
  <c r="C271" i="23"/>
  <c r="J271" i="23" s="1"/>
  <c r="C335" i="23"/>
  <c r="J335" i="23" s="1"/>
  <c r="C415" i="23"/>
  <c r="J415" i="23" s="1"/>
  <c r="C671" i="23"/>
  <c r="J671" i="23" s="1"/>
  <c r="C927" i="23"/>
  <c r="J927" i="23" s="1"/>
  <c r="C1183" i="23"/>
  <c r="J1183" i="23" s="1"/>
  <c r="C1512" i="23"/>
  <c r="J1512" i="23" s="1"/>
  <c r="C2536" i="23"/>
  <c r="J2536" i="23" s="1"/>
  <c r="C174" i="23"/>
  <c r="J174" i="23" s="1"/>
  <c r="C382" i="23"/>
  <c r="J382" i="23" s="1"/>
  <c r="C1243" i="23"/>
  <c r="J1243" i="23" s="1"/>
  <c r="C28" i="23"/>
  <c r="J28" i="23" s="1"/>
  <c r="C92" i="23"/>
  <c r="J92" i="23" s="1"/>
  <c r="C156" i="23"/>
  <c r="J156" i="23" s="1"/>
  <c r="C220" i="23"/>
  <c r="J220" i="23" s="1"/>
  <c r="C284" i="23"/>
  <c r="J284" i="23" s="1"/>
  <c r="C348" i="23"/>
  <c r="J348" i="23" s="1"/>
  <c r="C467" i="23"/>
  <c r="J467" i="23" s="1"/>
  <c r="C723" i="23"/>
  <c r="J723" i="23" s="1"/>
  <c r="C979" i="23"/>
  <c r="J979" i="23" s="1"/>
  <c r="C1235" i="23"/>
  <c r="J1235" i="23" s="1"/>
  <c r="C1720" i="23"/>
  <c r="J1720" i="23" s="1"/>
  <c r="C3241" i="23"/>
  <c r="J3241" i="23" s="1"/>
  <c r="C154" i="23"/>
  <c r="J154" i="23" s="1"/>
  <c r="C338" i="23"/>
  <c r="J338" i="23" s="1"/>
  <c r="C955" i="23"/>
  <c r="J955" i="23" s="1"/>
  <c r="C2328" i="23"/>
  <c r="J2328" i="23" s="1"/>
  <c r="C57" i="23"/>
  <c r="J57" i="23" s="1"/>
  <c r="C121" i="23"/>
  <c r="J121" i="23" s="1"/>
  <c r="C185" i="23"/>
  <c r="J185" i="23" s="1"/>
  <c r="C249" i="23"/>
  <c r="J249" i="23" s="1"/>
  <c r="C313" i="23"/>
  <c r="J313" i="23" s="1"/>
  <c r="C377" i="23"/>
  <c r="J377" i="23" s="1"/>
  <c r="C583" i="23"/>
  <c r="J583" i="23" s="1"/>
  <c r="C839" i="23"/>
  <c r="J839" i="23" s="1"/>
  <c r="C1095" i="23"/>
  <c r="J1095" i="23" s="1"/>
  <c r="C1351" i="23"/>
  <c r="J1351" i="23" s="1"/>
  <c r="C2184" i="23"/>
  <c r="J2184" i="23" s="1"/>
  <c r="C416" i="23"/>
  <c r="J416" i="23" s="1"/>
  <c r="C480" i="23"/>
  <c r="J480" i="23" s="1"/>
  <c r="C544" i="23"/>
  <c r="J544" i="23" s="1"/>
  <c r="C608" i="23"/>
  <c r="J608" i="23" s="1"/>
  <c r="C672" i="23"/>
  <c r="J672" i="23" s="1"/>
  <c r="C736" i="23"/>
  <c r="J736" i="23" s="1"/>
  <c r="C800" i="23"/>
  <c r="J800" i="23" s="1"/>
  <c r="C864" i="23"/>
  <c r="J864" i="23" s="1"/>
  <c r="C928" i="23"/>
  <c r="J928" i="23" s="1"/>
  <c r="C992" i="23"/>
  <c r="J992" i="23" s="1"/>
  <c r="C1056" i="23"/>
  <c r="J1056" i="23" s="1"/>
  <c r="C1120" i="23"/>
  <c r="J1120" i="23" s="1"/>
  <c r="C1184" i="23"/>
  <c r="J1184" i="23" s="1"/>
  <c r="C1248" i="23"/>
  <c r="J1248" i="23" s="1"/>
  <c r="C1312" i="23"/>
  <c r="J1312" i="23" s="1"/>
  <c r="C1376" i="23"/>
  <c r="J1376" i="23" s="1"/>
  <c r="C1516" i="23"/>
  <c r="J1516" i="23" s="1"/>
  <c r="C1772" i="23"/>
  <c r="J1772" i="23" s="1"/>
  <c r="C2028" i="23"/>
  <c r="J2028" i="23" s="1"/>
  <c r="C2284" i="23"/>
  <c r="J2284" i="23" s="1"/>
  <c r="C2540" i="23"/>
  <c r="J2540" i="23" s="1"/>
  <c r="C405" i="23"/>
  <c r="J405" i="23" s="1"/>
  <c r="C469" i="23"/>
  <c r="J469" i="23" s="1"/>
  <c r="C533" i="23"/>
  <c r="J533" i="23" s="1"/>
  <c r="C597" i="23"/>
  <c r="J597" i="23" s="1"/>
  <c r="C661" i="23"/>
  <c r="J661" i="23" s="1"/>
  <c r="C725" i="23"/>
  <c r="J725" i="23" s="1"/>
  <c r="C789" i="23"/>
  <c r="J789" i="23" s="1"/>
  <c r="C853" i="23"/>
  <c r="J853" i="23" s="1"/>
  <c r="C921" i="23"/>
  <c r="J921" i="23" s="1"/>
  <c r="C1049" i="23"/>
  <c r="J1049" i="23" s="1"/>
  <c r="C1177" i="23"/>
  <c r="J1177" i="23" s="1"/>
  <c r="C158" i="23"/>
  <c r="J158" i="23" s="1"/>
  <c r="C346" i="23"/>
  <c r="J346" i="23" s="1"/>
  <c r="C907" i="23"/>
  <c r="J907" i="23" s="1"/>
  <c r="C2136" i="23"/>
  <c r="J2136" i="23" s="1"/>
  <c r="C51" i="23"/>
  <c r="J51" i="23" s="1"/>
  <c r="C115" i="23"/>
  <c r="J115" i="23" s="1"/>
  <c r="C179" i="23"/>
  <c r="J179" i="23" s="1"/>
  <c r="C243" i="23"/>
  <c r="J243" i="23" s="1"/>
  <c r="C307" i="23"/>
  <c r="J307" i="23" s="1"/>
  <c r="C371" i="23"/>
  <c r="J371" i="23" s="1"/>
  <c r="C559" i="23"/>
  <c r="J559" i="23" s="1"/>
  <c r="C815" i="23"/>
  <c r="J815" i="23" s="1"/>
  <c r="C1071" i="23"/>
  <c r="J1071" i="23" s="1"/>
  <c r="C1327" i="23"/>
  <c r="J1327" i="23" s="1"/>
  <c r="C2088" i="23"/>
  <c r="J2088" i="23" s="1"/>
  <c r="C78" i="23"/>
  <c r="J78" i="23" s="1"/>
  <c r="C294" i="23"/>
  <c r="J294" i="23" s="1"/>
  <c r="C827" i="23"/>
  <c r="J827" i="23" s="1"/>
  <c r="C3017" i="23"/>
  <c r="J3017" i="23" s="1"/>
  <c r="C64" i="23"/>
  <c r="J64" i="23" s="1"/>
  <c r="C128" i="23"/>
  <c r="J128" i="23" s="1"/>
  <c r="C192" i="23"/>
  <c r="J192" i="23" s="1"/>
  <c r="C256" i="23"/>
  <c r="J256" i="23" s="1"/>
  <c r="C320" i="23"/>
  <c r="J320" i="23" s="1"/>
  <c r="C384" i="23"/>
  <c r="J384" i="23" s="1"/>
  <c r="C611" i="23"/>
  <c r="J611" i="23" s="1"/>
  <c r="C867" i="23"/>
  <c r="J867" i="23" s="1"/>
  <c r="C1123" i="23"/>
  <c r="J1123" i="23" s="1"/>
  <c r="C1379" i="23"/>
  <c r="J1379" i="23" s="1"/>
  <c r="C2296" i="23"/>
  <c r="J2296" i="23" s="1"/>
  <c r="C82" i="23"/>
  <c r="J82" i="23" s="1"/>
  <c r="C258" i="23"/>
  <c r="J258" i="23" s="1"/>
  <c r="C635" i="23"/>
  <c r="J635" i="23" s="1"/>
  <c r="C1355" i="23"/>
  <c r="J1355" i="23" s="1"/>
  <c r="C29" i="23"/>
  <c r="J29" i="23" s="1"/>
  <c r="C93" i="23"/>
  <c r="J93" i="23" s="1"/>
  <c r="C157" i="23"/>
  <c r="J157" i="23" s="1"/>
  <c r="C221" i="23"/>
  <c r="J221" i="23" s="1"/>
  <c r="C285" i="23"/>
  <c r="J285" i="23" s="1"/>
  <c r="C349" i="23"/>
  <c r="J349" i="23" s="1"/>
  <c r="C471" i="23"/>
  <c r="J471" i="23" s="1"/>
  <c r="C727" i="23"/>
  <c r="J727" i="23" s="1"/>
  <c r="C983" i="23"/>
  <c r="J983" i="23" s="1"/>
  <c r="C1239" i="23"/>
  <c r="J1239" i="23" s="1"/>
  <c r="C1736" i="23"/>
  <c r="J1736" i="23" s="1"/>
  <c r="C3473" i="23"/>
  <c r="J3473" i="23" s="1"/>
  <c r="C452" i="23"/>
  <c r="J452" i="23" s="1"/>
  <c r="C516" i="23"/>
  <c r="J516" i="23" s="1"/>
  <c r="C580" i="23"/>
  <c r="J580" i="23" s="1"/>
  <c r="C644" i="23"/>
  <c r="J644" i="23" s="1"/>
  <c r="C708" i="23"/>
  <c r="J708" i="23" s="1"/>
  <c r="C772" i="23"/>
  <c r="J772" i="23" s="1"/>
  <c r="C836" i="23"/>
  <c r="J836" i="23" s="1"/>
  <c r="C900" i="23"/>
  <c r="J900" i="23" s="1"/>
  <c r="C964" i="23"/>
  <c r="J964" i="23" s="1"/>
  <c r="C1028" i="23"/>
  <c r="J1028" i="23" s="1"/>
  <c r="C1092" i="23"/>
  <c r="J1092" i="23" s="1"/>
  <c r="C1156" i="23"/>
  <c r="J1156" i="23" s="1"/>
  <c r="C1220" i="23"/>
  <c r="J1220" i="23" s="1"/>
  <c r="C1284" i="23"/>
  <c r="J1284" i="23" s="1"/>
  <c r="C1348" i="23"/>
  <c r="J1348" i="23" s="1"/>
  <c r="C1412" i="23"/>
  <c r="J1412" i="23" s="1"/>
  <c r="C1660" i="23"/>
  <c r="J1660" i="23" s="1"/>
  <c r="C1916" i="23"/>
  <c r="J1916" i="23" s="1"/>
  <c r="C2172" i="23"/>
  <c r="J2172" i="23" s="1"/>
  <c r="C2428" i="23"/>
  <c r="J2428" i="23" s="1"/>
  <c r="C2905" i="23"/>
  <c r="J2905" i="23" s="1"/>
  <c r="C441" i="23"/>
  <c r="J441" i="23" s="1"/>
  <c r="C505" i="23"/>
  <c r="J505" i="23" s="1"/>
  <c r="C569" i="23"/>
  <c r="J569" i="23" s="1"/>
  <c r="C633" i="23"/>
  <c r="J633" i="23" s="1"/>
  <c r="C697" i="23"/>
  <c r="J697" i="23" s="1"/>
  <c r="C761" i="23"/>
  <c r="J761" i="23" s="1"/>
  <c r="C825" i="23"/>
  <c r="J825" i="23" s="1"/>
  <c r="C889" i="23"/>
  <c r="J889" i="23" s="1"/>
  <c r="C993" i="23"/>
  <c r="J993" i="23" s="1"/>
  <c r="C1121" i="23"/>
  <c r="J1121" i="23" s="1"/>
  <c r="C74" i="23"/>
  <c r="J74" i="23" s="1"/>
  <c r="C262" i="23"/>
  <c r="J262" i="23" s="1"/>
  <c r="C555" i="23"/>
  <c r="J555" i="23" s="1"/>
  <c r="C1275" i="23"/>
  <c r="J1275" i="23" s="1"/>
  <c r="C23" i="23"/>
  <c r="J23" i="23" s="1"/>
  <c r="C87" i="23"/>
  <c r="J87" i="23" s="1"/>
  <c r="C151" i="23"/>
  <c r="J151" i="23" s="1"/>
  <c r="C215" i="23"/>
  <c r="J215" i="23" s="1"/>
  <c r="C279" i="23"/>
  <c r="J279" i="23" s="1"/>
  <c r="C343" i="23"/>
  <c r="J343" i="23" s="1"/>
  <c r="C447" i="23"/>
  <c r="J447" i="23" s="1"/>
  <c r="C703" i="23"/>
  <c r="J703" i="23" s="1"/>
  <c r="C959" i="23"/>
  <c r="J959" i="23" s="1"/>
  <c r="C1215" i="23"/>
  <c r="J1215" i="23" s="1"/>
  <c r="C1640" i="23"/>
  <c r="J1640" i="23" s="1"/>
  <c r="C2825" i="23"/>
  <c r="J2825" i="23" s="1"/>
  <c r="C202" i="23"/>
  <c r="J202" i="23" s="1"/>
  <c r="C459" i="23"/>
  <c r="J459" i="23" s="1"/>
  <c r="C1339" i="23"/>
  <c r="J1339" i="23" s="1"/>
  <c r="C36" i="23"/>
  <c r="J36" i="23" s="1"/>
  <c r="L36" i="23" s="1"/>
  <c r="K36" i="23" s="1"/>
  <c r="C100" i="23"/>
  <c r="J100" i="23" s="1"/>
  <c r="C164" i="23"/>
  <c r="J164" i="23" s="1"/>
  <c r="C228" i="23"/>
  <c r="J228" i="23" s="1"/>
  <c r="C292" i="23"/>
  <c r="J292" i="23" s="1"/>
  <c r="C356" i="23"/>
  <c r="J356" i="23" s="1"/>
  <c r="C499" i="23"/>
  <c r="J499" i="23" s="1"/>
  <c r="C755" i="23"/>
  <c r="J755" i="23" s="1"/>
  <c r="C1011" i="23"/>
  <c r="J1011" i="23" s="1"/>
  <c r="C1267" i="23"/>
  <c r="J1267" i="23" s="1"/>
  <c r="C1848" i="23"/>
  <c r="J1848" i="23" s="1"/>
  <c r="C14" i="23"/>
  <c r="J14" i="23" s="1"/>
  <c r="C178" i="23"/>
  <c r="J178" i="23" s="1"/>
  <c r="C366" i="23"/>
  <c r="J366" i="23" s="1"/>
  <c r="C1051" i="23"/>
  <c r="J1051" i="23" s="1"/>
  <c r="C2761" i="23"/>
  <c r="J2761" i="23" s="1"/>
  <c r="C65" i="23"/>
  <c r="J65" i="23" s="1"/>
  <c r="C129" i="23"/>
  <c r="J129" i="23" s="1"/>
  <c r="C193" i="23"/>
  <c r="J193" i="23" s="1"/>
  <c r="C257" i="23"/>
  <c r="J257" i="23" s="1"/>
  <c r="C321" i="23"/>
  <c r="J321" i="23" s="1"/>
  <c r="C385" i="23"/>
  <c r="J385" i="23" s="1"/>
  <c r="C615" i="23"/>
  <c r="J615" i="23" s="1"/>
  <c r="C871" i="23"/>
  <c r="J871" i="23" s="1"/>
  <c r="C1127" i="23"/>
  <c r="J1127" i="23" s="1"/>
  <c r="C1383" i="23"/>
  <c r="J1383" i="23" s="1"/>
  <c r="C2312" i="23"/>
  <c r="J2312" i="23" s="1"/>
  <c r="C424" i="23"/>
  <c r="J424" i="23" s="1"/>
  <c r="C488" i="23"/>
  <c r="J488" i="23" s="1"/>
  <c r="C552" i="23"/>
  <c r="J552" i="23" s="1"/>
  <c r="C616" i="23"/>
  <c r="J616" i="23" s="1"/>
  <c r="C680" i="23"/>
  <c r="J680" i="23" s="1"/>
  <c r="C744" i="23"/>
  <c r="J744" i="23" s="1"/>
  <c r="C808" i="23"/>
  <c r="J808" i="23" s="1"/>
  <c r="C872" i="23"/>
  <c r="J872" i="23" s="1"/>
  <c r="C936" i="23"/>
  <c r="J936" i="23" s="1"/>
  <c r="C1000" i="23"/>
  <c r="J1000" i="23" s="1"/>
  <c r="C1064" i="23"/>
  <c r="J1064" i="23" s="1"/>
  <c r="C1128" i="23"/>
  <c r="J1128" i="23" s="1"/>
  <c r="C1192" i="23"/>
  <c r="J1192" i="23" s="1"/>
  <c r="C1256" i="23"/>
  <c r="J1256" i="23" s="1"/>
  <c r="C1320" i="23"/>
  <c r="J1320" i="23" s="1"/>
  <c r="C1384" i="23"/>
  <c r="J1384" i="23" s="1"/>
  <c r="C1548" i="23"/>
  <c r="J1548" i="23" s="1"/>
  <c r="C1804" i="23"/>
  <c r="J1804" i="23" s="1"/>
  <c r="C2060" i="23"/>
  <c r="J2060" i="23" s="1"/>
  <c r="C2316" i="23"/>
  <c r="J2316" i="23" s="1"/>
  <c r="C2572" i="23"/>
  <c r="J2572" i="23" s="1"/>
  <c r="C413" i="23"/>
  <c r="J413" i="23" s="1"/>
  <c r="C477" i="23"/>
  <c r="J477" i="23" s="1"/>
  <c r="C541" i="23"/>
  <c r="J541" i="23" s="1"/>
  <c r="C605" i="23"/>
  <c r="J605" i="23" s="1"/>
  <c r="C669" i="23"/>
  <c r="J669" i="23" s="1"/>
  <c r="C733" i="23"/>
  <c r="J733" i="23" s="1"/>
  <c r="C797" i="23"/>
  <c r="J797" i="23" s="1"/>
  <c r="C861" i="23"/>
  <c r="J861" i="23" s="1"/>
  <c r="C937" i="23"/>
  <c r="J937" i="23" s="1"/>
  <c r="C1065" i="23"/>
  <c r="J1065" i="23" s="1"/>
  <c r="C1193" i="23"/>
  <c r="J1193" i="23" s="1"/>
  <c r="C973" i="23"/>
  <c r="J973" i="23" s="1"/>
  <c r="C1037" i="23"/>
  <c r="J1037" i="23" s="1"/>
  <c r="C1101" i="23"/>
  <c r="J1101" i="23" s="1"/>
  <c r="C1165" i="23"/>
  <c r="J1165" i="23" s="1"/>
  <c r="C1229" i="23"/>
  <c r="J1229" i="23" s="1"/>
  <c r="C1293" i="23"/>
  <c r="J1293" i="23" s="1"/>
  <c r="C1357" i="23"/>
  <c r="J1357" i="23" s="1"/>
  <c r="C1440" i="23"/>
  <c r="J1440" i="23" s="1"/>
  <c r="C1696" i="23"/>
  <c r="J1696" i="23" s="1"/>
  <c r="C1952" i="23"/>
  <c r="J1952" i="23" s="1"/>
  <c r="C2208" i="23"/>
  <c r="J2208" i="23" s="1"/>
  <c r="C2464" i="23"/>
  <c r="J2464" i="23" s="1"/>
  <c r="C3049" i="23"/>
  <c r="J3049" i="23" s="1"/>
  <c r="C442" i="23"/>
  <c r="J442" i="23" s="1"/>
  <c r="C506" i="23"/>
  <c r="J506" i="23" s="1"/>
  <c r="C570" i="23"/>
  <c r="J570" i="23" s="1"/>
  <c r="C634" i="23"/>
  <c r="J634" i="23" s="1"/>
  <c r="C698" i="23"/>
  <c r="J698" i="23" s="1"/>
  <c r="L698" i="23" s="1"/>
  <c r="C762" i="23"/>
  <c r="J762" i="23" s="1"/>
  <c r="C826" i="23"/>
  <c r="J826" i="23" s="1"/>
  <c r="C890" i="23"/>
  <c r="J890" i="23" s="1"/>
  <c r="C954" i="23"/>
  <c r="J954" i="23" s="1"/>
  <c r="C1018" i="23"/>
  <c r="J1018" i="23" s="1"/>
  <c r="C1082" i="23"/>
  <c r="J1082" i="23" s="1"/>
  <c r="C1146" i="23"/>
  <c r="J1146" i="23" s="1"/>
  <c r="C1210" i="23"/>
  <c r="J1210" i="23" s="1"/>
  <c r="C1274" i="23"/>
  <c r="J1274" i="23" s="1"/>
  <c r="C1338" i="23"/>
  <c r="J1338" i="23" s="1"/>
  <c r="C1402" i="23"/>
  <c r="J1402" i="23" s="1"/>
  <c r="C1620" i="23"/>
  <c r="J1620" i="23" s="1"/>
  <c r="C1876" i="23"/>
  <c r="J1876" i="23" s="1"/>
  <c r="C2132" i="23"/>
  <c r="J2132" i="23" s="1"/>
  <c r="C2388" i="23"/>
  <c r="J2388" i="23" s="1"/>
  <c r="C2745" i="23"/>
  <c r="J2745" i="23" s="1"/>
  <c r="C1445" i="23"/>
  <c r="J1445" i="23" s="1"/>
  <c r="C1509" i="23"/>
  <c r="J1509" i="23" s="1"/>
  <c r="C1573" i="23"/>
  <c r="J1573" i="23" s="1"/>
  <c r="C1637" i="23"/>
  <c r="J1637" i="23" s="1"/>
  <c r="C1701" i="23"/>
  <c r="J1701" i="23" s="1"/>
  <c r="C1765" i="23"/>
  <c r="J1765" i="23" s="1"/>
  <c r="C1829" i="23"/>
  <c r="J1829" i="23" s="1"/>
  <c r="C1893" i="23"/>
  <c r="J1893" i="23" s="1"/>
  <c r="C1957" i="23"/>
  <c r="J1957" i="23" s="1"/>
  <c r="C2021" i="23"/>
  <c r="J2021" i="23" s="1"/>
  <c r="C2085" i="23"/>
  <c r="J2085" i="23" s="1"/>
  <c r="C2149" i="23"/>
  <c r="J2149" i="23" s="1"/>
  <c r="C2213" i="23"/>
  <c r="J2213" i="23" s="1"/>
  <c r="C2277" i="23"/>
  <c r="J2277" i="23" s="1"/>
  <c r="C2341" i="23"/>
  <c r="J2341" i="23" s="1"/>
  <c r="C2405" i="23"/>
  <c r="J2405" i="23" s="1"/>
  <c r="C2469" i="23"/>
  <c r="J2469" i="23" s="1"/>
  <c r="C2533" i="23"/>
  <c r="J2533" i="23" s="1"/>
  <c r="C2601" i="23"/>
  <c r="J2601" i="23" s="1"/>
  <c r="C2813" i="23"/>
  <c r="J2813" i="23" s="1"/>
  <c r="C3089" i="23"/>
  <c r="J3089" i="23" s="1"/>
  <c r="C1426" i="23"/>
  <c r="J1426" i="23" s="1"/>
  <c r="C1490" i="23"/>
  <c r="J1490" i="23" s="1"/>
  <c r="C1554" i="23"/>
  <c r="J1554" i="23" s="1"/>
  <c r="C1618" i="23"/>
  <c r="J1618" i="23" s="1"/>
  <c r="C1682" i="23"/>
  <c r="J1682" i="23" s="1"/>
  <c r="C1746" i="23"/>
  <c r="J1746" i="23" s="1"/>
  <c r="C1810" i="23"/>
  <c r="J1810" i="23" s="1"/>
  <c r="C1874" i="23"/>
  <c r="J1874" i="23" s="1"/>
  <c r="C1938" i="23"/>
  <c r="J1938" i="23" s="1"/>
  <c r="C2002" i="23"/>
  <c r="J2002" i="23" s="1"/>
  <c r="C2066" i="23"/>
  <c r="J2066" i="23" s="1"/>
  <c r="C2130" i="23"/>
  <c r="J2130" i="23" s="1"/>
  <c r="C2194" i="23"/>
  <c r="J2194" i="23" s="1"/>
  <c r="C2258" i="23"/>
  <c r="J2258" i="23" s="1"/>
  <c r="C2322" i="23"/>
  <c r="J2322" i="23" s="1"/>
  <c r="C2386" i="23"/>
  <c r="J2386" i="23" s="1"/>
  <c r="C2450" i="23"/>
  <c r="J2450" i="23" s="1"/>
  <c r="C2514" i="23"/>
  <c r="J2514" i="23" s="1"/>
  <c r="C2578" i="23"/>
  <c r="J2578" i="23" s="1"/>
  <c r="C2737" i="23"/>
  <c r="J2737" i="23" s="1"/>
  <c r="C2993" i="23"/>
  <c r="J2993" i="23" s="1"/>
  <c r="C3855" i="23"/>
  <c r="J3855" i="23" s="1"/>
  <c r="C1475" i="23"/>
  <c r="J1475" i="23" s="1"/>
  <c r="C1539" i="23"/>
  <c r="J1539" i="23" s="1"/>
  <c r="C1603" i="23"/>
  <c r="J1603" i="23" s="1"/>
  <c r="C1667" i="23"/>
  <c r="J1667" i="23" s="1"/>
  <c r="C1731" i="23"/>
  <c r="J1731" i="23" s="1"/>
  <c r="C1795" i="23"/>
  <c r="J1795" i="23" s="1"/>
  <c r="C1859" i="23"/>
  <c r="J1859" i="23" s="1"/>
  <c r="C1923" i="23"/>
  <c r="J1923" i="23" s="1"/>
  <c r="C1987" i="23"/>
  <c r="J1987" i="23" s="1"/>
  <c r="C2051" i="23"/>
  <c r="J2051" i="23" s="1"/>
  <c r="C2115" i="23"/>
  <c r="J2115" i="23" s="1"/>
  <c r="C2179" i="23"/>
  <c r="J2179" i="23" s="1"/>
  <c r="C1217" i="23"/>
  <c r="J1217" i="23" s="1"/>
  <c r="C1281" i="23"/>
  <c r="J1281" i="23" s="1"/>
  <c r="C1345" i="23"/>
  <c r="J1345" i="23" s="1"/>
  <c r="C1409" i="23"/>
  <c r="J1409" i="23" s="1"/>
  <c r="C1648" i="23"/>
  <c r="J1648" i="23" s="1"/>
  <c r="C1904" i="23"/>
  <c r="J1904" i="23" s="1"/>
  <c r="C2160" i="23"/>
  <c r="J2160" i="23" s="1"/>
  <c r="C2416" i="23"/>
  <c r="J2416" i="23" s="1"/>
  <c r="C2857" i="23"/>
  <c r="J2857" i="23" s="1"/>
  <c r="C430" i="23"/>
  <c r="J430" i="23" s="1"/>
  <c r="C494" i="23"/>
  <c r="J494" i="23" s="1"/>
  <c r="C558" i="23"/>
  <c r="J558" i="23" s="1"/>
  <c r="C622" i="23"/>
  <c r="J622" i="23" s="1"/>
  <c r="C686" i="23"/>
  <c r="J686" i="23" s="1"/>
  <c r="C750" i="23"/>
  <c r="J750" i="23" s="1"/>
  <c r="C814" i="23"/>
  <c r="J814" i="23" s="1"/>
  <c r="C878" i="23"/>
  <c r="J878" i="23" s="1"/>
  <c r="C942" i="23"/>
  <c r="J942" i="23" s="1"/>
  <c r="C1006" i="23"/>
  <c r="J1006" i="23" s="1"/>
  <c r="C1070" i="23"/>
  <c r="J1070" i="23" s="1"/>
  <c r="C1134" i="23"/>
  <c r="J1134" i="23" s="1"/>
  <c r="C1198" i="23"/>
  <c r="J1198" i="23" s="1"/>
  <c r="C1262" i="23"/>
  <c r="J1262" i="23" s="1"/>
  <c r="C1326" i="23"/>
  <c r="J1326" i="23" s="1"/>
  <c r="C1390" i="23"/>
  <c r="J1390" i="23" s="1"/>
  <c r="C1572" i="23"/>
  <c r="J1572" i="23" s="1"/>
  <c r="C1828" i="23"/>
  <c r="J1828" i="23" s="1"/>
  <c r="C2084" i="23"/>
  <c r="J2084" i="23" s="1"/>
  <c r="C2340" i="23"/>
  <c r="J2340" i="23" s="1"/>
  <c r="C2599" i="23"/>
  <c r="J2599" i="23" s="1"/>
  <c r="C1433" i="23"/>
  <c r="J1433" i="23" s="1"/>
  <c r="C1497" i="23"/>
  <c r="J1497" i="23" s="1"/>
  <c r="C1561" i="23"/>
  <c r="J1561" i="23" s="1"/>
  <c r="C1625" i="23"/>
  <c r="J1625" i="23" s="1"/>
  <c r="C1689" i="23"/>
  <c r="J1689" i="23" s="1"/>
  <c r="C1753" i="23"/>
  <c r="J1753" i="23" s="1"/>
  <c r="C1817" i="23"/>
  <c r="J1817" i="23" s="1"/>
  <c r="C1881" i="23"/>
  <c r="J1881" i="23" s="1"/>
  <c r="C1945" i="23"/>
  <c r="J1945" i="23" s="1"/>
  <c r="C2009" i="23"/>
  <c r="J2009" i="23" s="1"/>
  <c r="C2073" i="23"/>
  <c r="J2073" i="23" s="1"/>
  <c r="C2137" i="23"/>
  <c r="J2137" i="23" s="1"/>
  <c r="C2201" i="23"/>
  <c r="J2201" i="23" s="1"/>
  <c r="C2265" i="23"/>
  <c r="J2265" i="23" s="1"/>
  <c r="C2329" i="23"/>
  <c r="J2329" i="23" s="1"/>
  <c r="C2393" i="23"/>
  <c r="J2393" i="23" s="1"/>
  <c r="C2457" i="23"/>
  <c r="J2457" i="23" s="1"/>
  <c r="C2521" i="23"/>
  <c r="J2521" i="23" s="1"/>
  <c r="C2585" i="23"/>
  <c r="J2585" i="23" s="1"/>
  <c r="C2765" i="23"/>
  <c r="J2765" i="23" s="1"/>
  <c r="C3021" i="23"/>
  <c r="J3021" i="23" s="1"/>
  <c r="C1414" i="23"/>
  <c r="J1414" i="23" s="1"/>
  <c r="C1478" i="23"/>
  <c r="J1478" i="23" s="1"/>
  <c r="C1542" i="23"/>
  <c r="J1542" i="23" s="1"/>
  <c r="C1606" i="23"/>
  <c r="J1606" i="23" s="1"/>
  <c r="C1670" i="23"/>
  <c r="J1670" i="23" s="1"/>
  <c r="C1734" i="23"/>
  <c r="J1734" i="23" s="1"/>
  <c r="C1798" i="23"/>
  <c r="J1798" i="23" s="1"/>
  <c r="C1862" i="23"/>
  <c r="J1862" i="23" s="1"/>
  <c r="C1926" i="23"/>
  <c r="J1926" i="23" s="1"/>
  <c r="C1990" i="23"/>
  <c r="J1990" i="23" s="1"/>
  <c r="C2054" i="23"/>
  <c r="J2054" i="23" s="1"/>
  <c r="C2118" i="23"/>
  <c r="J2118" i="23" s="1"/>
  <c r="C2182" i="23"/>
  <c r="J2182" i="23" s="1"/>
  <c r="C2246" i="23"/>
  <c r="J2246" i="23" s="1"/>
  <c r="C2310" i="23"/>
  <c r="J2310" i="23" s="1"/>
  <c r="C2374" i="23"/>
  <c r="J2374" i="23" s="1"/>
  <c r="C2438" i="23"/>
  <c r="J2438" i="23" s="1"/>
  <c r="C2502" i="23"/>
  <c r="J2502" i="23" s="1"/>
  <c r="C2566" i="23"/>
  <c r="J2566" i="23" s="1"/>
  <c r="C2689" i="23"/>
  <c r="J2689" i="23" s="1"/>
  <c r="C2945" i="23"/>
  <c r="J2945" i="23" s="1"/>
  <c r="C3441" i="23"/>
  <c r="J3441" i="23" s="1"/>
  <c r="C1463" i="23"/>
  <c r="J1463" i="23" s="1"/>
  <c r="C1527" i="23"/>
  <c r="J1527" i="23" s="1"/>
  <c r="C1591" i="23"/>
  <c r="J1591" i="23" s="1"/>
  <c r="C1655" i="23"/>
  <c r="J1655" i="23" s="1"/>
  <c r="C1719" i="23"/>
  <c r="J1719" i="23" s="1"/>
  <c r="C1783" i="23"/>
  <c r="J1783" i="23" s="1"/>
  <c r="C1847" i="23"/>
  <c r="J1847" i="23" s="1"/>
  <c r="C1911" i="23"/>
  <c r="J1911" i="23" s="1"/>
  <c r="C1975" i="23"/>
  <c r="J1975" i="23" s="1"/>
  <c r="C2039" i="23"/>
  <c r="J2039" i="23" s="1"/>
  <c r="C2103" i="23"/>
  <c r="J2103" i="23" s="1"/>
  <c r="C2167" i="23"/>
  <c r="J2167" i="23" s="1"/>
  <c r="C917" i="23"/>
  <c r="J917" i="23" s="1"/>
  <c r="C981" i="23"/>
  <c r="J981" i="23" s="1"/>
  <c r="C1045" i="23"/>
  <c r="J1045" i="23" s="1"/>
  <c r="C1109" i="23"/>
  <c r="J1109" i="23" s="1"/>
  <c r="C1173" i="23"/>
  <c r="J1173" i="23" s="1"/>
  <c r="C1237" i="23"/>
  <c r="J1237" i="23" s="1"/>
  <c r="C1301" i="23"/>
  <c r="J1301" i="23" s="1"/>
  <c r="C1365" i="23"/>
  <c r="J1365" i="23" s="1"/>
  <c r="C1472" i="23"/>
  <c r="J1472" i="23" s="1"/>
  <c r="C1728" i="23"/>
  <c r="J1728" i="23" s="1"/>
  <c r="C1984" i="23"/>
  <c r="J1984" i="23" s="1"/>
  <c r="C2240" i="23"/>
  <c r="J2240" i="23" s="1"/>
  <c r="C2496" i="23"/>
  <c r="J2496" i="23" s="1"/>
  <c r="C3345" i="23"/>
  <c r="J3345" i="23" s="1"/>
  <c r="C450" i="23"/>
  <c r="J450" i="23" s="1"/>
  <c r="C514" i="23"/>
  <c r="J514" i="23" s="1"/>
  <c r="C578" i="23"/>
  <c r="J578" i="23" s="1"/>
  <c r="C642" i="23"/>
  <c r="J642" i="23" s="1"/>
  <c r="C706" i="23"/>
  <c r="J706" i="23" s="1"/>
  <c r="C770" i="23"/>
  <c r="J770" i="23" s="1"/>
  <c r="C834" i="23"/>
  <c r="J834" i="23" s="1"/>
  <c r="C898" i="23"/>
  <c r="J898" i="23" s="1"/>
  <c r="C962" i="23"/>
  <c r="J962" i="23" s="1"/>
  <c r="C1026" i="23"/>
  <c r="J1026" i="23" s="1"/>
  <c r="C1090" i="23"/>
  <c r="J1090" i="23" s="1"/>
  <c r="C1154" i="23"/>
  <c r="J1154" i="23" s="1"/>
  <c r="C1218" i="23"/>
  <c r="J1218" i="23" s="1"/>
  <c r="C1282" i="23"/>
  <c r="J1282" i="23" s="1"/>
  <c r="C1346" i="23"/>
  <c r="J1346" i="23" s="1"/>
  <c r="C1410" i="23"/>
  <c r="J1410" i="23" s="1"/>
  <c r="C1652" i="23"/>
  <c r="J1652" i="23" s="1"/>
  <c r="C1908" i="23"/>
  <c r="J1908" i="23" s="1"/>
  <c r="C2164" i="23"/>
  <c r="J2164" i="23" s="1"/>
  <c r="C2420" i="23"/>
  <c r="J2420" i="23" s="1"/>
  <c r="C2873" i="23"/>
  <c r="J2873" i="23" s="1"/>
  <c r="C1453" i="23"/>
  <c r="J1453" i="23" s="1"/>
  <c r="C1517" i="23"/>
  <c r="J1517" i="23" s="1"/>
  <c r="C1581" i="23"/>
  <c r="J1581" i="23" s="1"/>
  <c r="C1645" i="23"/>
  <c r="J1645" i="23" s="1"/>
  <c r="C1709" i="23"/>
  <c r="J1709" i="23" s="1"/>
  <c r="C1773" i="23"/>
  <c r="J1773" i="23" s="1"/>
  <c r="C1837" i="23"/>
  <c r="J1837" i="23" s="1"/>
  <c r="C1901" i="23"/>
  <c r="J1901" i="23" s="1"/>
  <c r="C1965" i="23"/>
  <c r="J1965" i="23" s="1"/>
  <c r="C2029" i="23"/>
  <c r="J2029" i="23" s="1"/>
  <c r="C2093" i="23"/>
  <c r="J2093" i="23" s="1"/>
  <c r="C2157" i="23"/>
  <c r="J2157" i="23" s="1"/>
  <c r="C2221" i="23"/>
  <c r="J2221" i="23" s="1"/>
  <c r="C2285" i="23"/>
  <c r="J2285" i="23" s="1"/>
  <c r="C2349" i="23"/>
  <c r="J2349" i="23" s="1"/>
  <c r="C2413" i="23"/>
  <c r="J2413" i="23" s="1"/>
  <c r="C2477" i="23"/>
  <c r="J2477" i="23" s="1"/>
  <c r="C2541" i="23"/>
  <c r="J2541" i="23" s="1"/>
  <c r="C2617" i="23"/>
  <c r="J2617" i="23" s="1"/>
  <c r="C2845" i="23"/>
  <c r="J2845" i="23" s="1"/>
  <c r="C3153" i="23"/>
  <c r="J3153" i="23" s="1"/>
  <c r="C1434" i="23"/>
  <c r="J1434" i="23" s="1"/>
  <c r="C1498" i="23"/>
  <c r="J1498" i="23" s="1"/>
  <c r="C1562" i="23"/>
  <c r="J1562" i="23" s="1"/>
  <c r="C1626" i="23"/>
  <c r="J1626" i="23" s="1"/>
  <c r="C1690" i="23"/>
  <c r="J1690" i="23" s="1"/>
  <c r="C1754" i="23"/>
  <c r="J1754" i="23" s="1"/>
  <c r="C1818" i="23"/>
  <c r="J1818" i="23" s="1"/>
  <c r="C1882" i="23"/>
  <c r="J1882" i="23" s="1"/>
  <c r="C1946" i="23"/>
  <c r="J1946" i="23" s="1"/>
  <c r="C2010" i="23"/>
  <c r="J2010" i="23" s="1"/>
  <c r="C2074" i="23"/>
  <c r="J2074" i="23" s="1"/>
  <c r="C2138" i="23"/>
  <c r="J2138" i="23" s="1"/>
  <c r="C2202" i="23"/>
  <c r="J2202" i="23" s="1"/>
  <c r="C2266" i="23"/>
  <c r="J2266" i="23" s="1"/>
  <c r="C2330" i="23"/>
  <c r="J2330" i="23" s="1"/>
  <c r="C2394" i="23"/>
  <c r="J2394" i="23" s="1"/>
  <c r="C2458" i="23"/>
  <c r="J2458" i="23" s="1"/>
  <c r="C2522" i="23"/>
  <c r="J2522" i="23" s="1"/>
  <c r="C2586" i="23"/>
  <c r="J2586" i="23" s="1"/>
  <c r="C2769" i="23"/>
  <c r="J2769" i="23" s="1"/>
  <c r="C3025" i="23"/>
  <c r="J3025" i="23" s="1"/>
  <c r="C1419" i="23"/>
  <c r="J1419" i="23" s="1"/>
  <c r="C1483" i="23"/>
  <c r="J1483" i="23" s="1"/>
  <c r="C1547" i="23"/>
  <c r="J1547" i="23" s="1"/>
  <c r="C1611" i="23"/>
  <c r="J1611" i="23" s="1"/>
  <c r="C1675" i="23"/>
  <c r="J1675" i="23" s="1"/>
  <c r="C1739" i="23"/>
  <c r="J1739" i="23" s="1"/>
  <c r="C1803" i="23"/>
  <c r="J1803" i="23" s="1"/>
  <c r="C1899" i="23"/>
  <c r="J1899" i="23" s="1"/>
  <c r="C2027" i="23"/>
  <c r="J2027" i="23" s="1"/>
  <c r="C2155" i="23"/>
  <c r="J2155" i="23" s="1"/>
  <c r="C1257" i="23"/>
  <c r="J1257" i="23" s="1"/>
  <c r="C1385" i="23"/>
  <c r="J1385" i="23" s="1"/>
  <c r="C1808" i="23"/>
  <c r="J1808" i="23" s="1"/>
  <c r="C2320" i="23"/>
  <c r="J2320" i="23" s="1"/>
  <c r="C406" i="23"/>
  <c r="J406" i="23" s="1"/>
  <c r="C534" i="23"/>
  <c r="J534" i="23" s="1"/>
  <c r="C662" i="23"/>
  <c r="J662" i="23" s="1"/>
  <c r="C790" i="23"/>
  <c r="J790" i="23" s="1"/>
  <c r="C918" i="23"/>
  <c r="J918" i="23" s="1"/>
  <c r="C1046" i="23"/>
  <c r="J1046" i="23" s="1"/>
  <c r="C1174" i="23"/>
  <c r="J1174" i="23" s="1"/>
  <c r="C1302" i="23"/>
  <c r="J1302" i="23" s="1"/>
  <c r="C1476" i="23"/>
  <c r="J1476" i="23" s="1"/>
  <c r="C1988" i="23"/>
  <c r="J1988" i="23" s="1"/>
  <c r="C2500" i="23"/>
  <c r="J2500" i="23" s="1"/>
  <c r="C1473" i="23"/>
  <c r="J1473" i="23" s="1"/>
  <c r="C1601" i="23"/>
  <c r="J1601" i="23" s="1"/>
  <c r="C1729" i="23"/>
  <c r="J1729" i="23" s="1"/>
  <c r="C1857" i="23"/>
  <c r="J1857" i="23" s="1"/>
  <c r="C1985" i="23"/>
  <c r="J1985" i="23" s="1"/>
  <c r="C2113" i="23"/>
  <c r="J2113" i="23" s="1"/>
  <c r="C2241" i="23"/>
  <c r="J2241" i="23" s="1"/>
  <c r="C2369" i="23"/>
  <c r="J2369" i="23" s="1"/>
  <c r="C2497" i="23"/>
  <c r="J2497" i="23" s="1"/>
  <c r="C2669" i="23"/>
  <c r="J2669" i="23" s="1"/>
  <c r="C3361" i="23"/>
  <c r="J3361" i="23" s="1"/>
  <c r="C1518" i="23"/>
  <c r="J1518" i="23" s="1"/>
  <c r="C1646" i="23"/>
  <c r="J1646" i="23" s="1"/>
  <c r="C1774" i="23"/>
  <c r="J1774" i="23" s="1"/>
  <c r="C1902" i="23"/>
  <c r="J1902" i="23" s="1"/>
  <c r="C2030" i="23"/>
  <c r="J2030" i="23" s="1"/>
  <c r="C2158" i="23"/>
  <c r="J2158" i="23" s="1"/>
  <c r="C2286" i="23"/>
  <c r="J2286" i="23" s="1"/>
  <c r="C2414" i="23"/>
  <c r="J2414" i="23" s="1"/>
  <c r="C2542" i="23"/>
  <c r="J2542" i="23" s="1"/>
  <c r="C4951" i="23"/>
  <c r="J4951" i="23" s="1"/>
  <c r="C4887" i="23"/>
  <c r="J4887" i="23" s="1"/>
  <c r="C4823" i="23"/>
  <c r="J4823" i="23" s="1"/>
  <c r="C4759" i="23"/>
  <c r="J4759" i="23" s="1"/>
  <c r="C4695" i="23"/>
  <c r="J4695" i="23" s="1"/>
  <c r="C4970" i="23"/>
  <c r="J4970" i="23" s="1"/>
  <c r="C4906" i="23"/>
  <c r="J4906" i="23" s="1"/>
  <c r="C4842" i="23"/>
  <c r="J4842" i="23" s="1"/>
  <c r="C4778" i="23"/>
  <c r="J4778" i="23" s="1"/>
  <c r="C4714" i="23"/>
  <c r="J4714" i="23" s="1"/>
  <c r="C4989" i="23"/>
  <c r="J4989" i="23" s="1"/>
  <c r="C4925" i="23"/>
  <c r="J4925" i="23" s="1"/>
  <c r="C4861" i="23"/>
  <c r="J4861" i="23" s="1"/>
  <c r="C4797" i="23"/>
  <c r="J4797" i="23" s="1"/>
  <c r="C4733" i="23"/>
  <c r="J4733" i="23" s="1"/>
  <c r="C4669" i="23"/>
  <c r="J4669" i="23" s="1"/>
  <c r="C4940" i="23"/>
  <c r="J4940" i="23" s="1"/>
  <c r="C4876" i="23"/>
  <c r="J4876" i="23" s="1"/>
  <c r="C4812" i="23"/>
  <c r="J4812" i="23" s="1"/>
  <c r="C4748" i="23"/>
  <c r="J4748" i="23" s="1"/>
  <c r="C4684" i="23"/>
  <c r="J4684" i="23" s="1"/>
  <c r="C4979" i="23"/>
  <c r="J4979" i="23" s="1"/>
  <c r="C4915" i="23"/>
  <c r="J4915" i="23" s="1"/>
  <c r="C4851" i="23"/>
  <c r="J4851" i="23" s="1"/>
  <c r="C4787" i="23"/>
  <c r="J4787" i="23" s="1"/>
  <c r="C4723" i="23"/>
  <c r="J4723" i="23" s="1"/>
  <c r="C4998" i="23"/>
  <c r="J4998" i="23" s="1"/>
  <c r="C4934" i="23"/>
  <c r="J4934" i="23" s="1"/>
  <c r="C4870" i="23"/>
  <c r="J4870" i="23" s="1"/>
  <c r="C4806" i="23"/>
  <c r="J4806" i="23" s="1"/>
  <c r="C4742" i="23"/>
  <c r="J4742" i="23" s="1"/>
  <c r="C4678" i="23"/>
  <c r="J4678" i="23" s="1"/>
  <c r="C4953" i="23"/>
  <c r="J4953" i="23" s="1"/>
  <c r="C4889" i="23"/>
  <c r="J4889" i="23" s="1"/>
  <c r="C4825" i="23"/>
  <c r="J4825" i="23" s="1"/>
  <c r="C4761" i="23"/>
  <c r="J4761" i="23" s="1"/>
  <c r="C4697" i="23"/>
  <c r="J4697" i="23" s="1"/>
  <c r="C4968" i="23"/>
  <c r="J4968" i="23" s="1"/>
  <c r="C4904" i="23"/>
  <c r="J4904" i="23" s="1"/>
  <c r="C4959" i="23"/>
  <c r="J4959" i="23" s="1"/>
  <c r="C4895" i="23"/>
  <c r="J4895" i="23" s="1"/>
  <c r="C4831" i="23"/>
  <c r="J4831" i="23" s="1"/>
  <c r="C4767" i="23"/>
  <c r="J4767" i="23" s="1"/>
  <c r="C4703" i="23"/>
  <c r="J4703" i="23" s="1"/>
  <c r="C4978" i="23"/>
  <c r="J4978" i="23" s="1"/>
  <c r="C4914" i="23"/>
  <c r="J4914" i="23" s="1"/>
  <c r="C4850" i="23"/>
  <c r="J4850" i="23" s="1"/>
  <c r="C4786" i="23"/>
  <c r="J4786" i="23" s="1"/>
  <c r="C4722" i="23"/>
  <c r="J4722" i="23" s="1"/>
  <c r="C4997" i="23"/>
  <c r="J4997" i="23" s="1"/>
  <c r="C4933" i="23"/>
  <c r="J4933" i="23" s="1"/>
  <c r="C4869" i="23"/>
  <c r="J4869" i="23" s="1"/>
  <c r="C4805" i="23"/>
  <c r="J4805" i="23" s="1"/>
  <c r="C4741" i="23"/>
  <c r="J4741" i="23" s="1"/>
  <c r="C4677" i="23"/>
  <c r="J4677" i="23" s="1"/>
  <c r="C4948" i="23"/>
  <c r="J4948" i="23" s="1"/>
  <c r="C4884" i="23"/>
  <c r="J4884" i="23" s="1"/>
  <c r="C4939" i="23"/>
  <c r="J4939" i="23" s="1"/>
  <c r="C4875" i="23"/>
  <c r="J4875" i="23" s="1"/>
  <c r="C4811" i="23"/>
  <c r="J4811" i="23" s="1"/>
  <c r="C4747" i="23"/>
  <c r="J4747" i="23" s="1"/>
  <c r="C4683" i="23"/>
  <c r="J4683" i="23" s="1"/>
  <c r="C4958" i="23"/>
  <c r="J4958" i="23" s="1"/>
  <c r="C4894" i="23"/>
  <c r="J4894" i="23" s="1"/>
  <c r="C4830" i="23"/>
  <c r="J4830" i="23" s="1"/>
  <c r="C4766" i="23"/>
  <c r="J4766" i="23" s="1"/>
  <c r="C4702" i="23"/>
  <c r="J4702" i="23" s="1"/>
  <c r="C4977" i="23"/>
  <c r="J4977" i="23" s="1"/>
  <c r="C4913" i="23"/>
  <c r="J4913" i="23" s="1"/>
  <c r="C4849" i="23"/>
  <c r="J4849" i="23" s="1"/>
  <c r="C4785" i="23"/>
  <c r="J4785" i="23" s="1"/>
  <c r="C4721" i="23"/>
  <c r="J4721" i="23" s="1"/>
  <c r="C4992" i="23"/>
  <c r="J4992" i="23" s="1"/>
  <c r="C4928" i="23"/>
  <c r="J4928" i="23" s="1"/>
  <c r="C4864" i="23"/>
  <c r="J4864" i="23" s="1"/>
  <c r="C4800" i="23"/>
  <c r="J4800" i="23" s="1"/>
  <c r="C4736" i="23"/>
  <c r="J4736" i="23" s="1"/>
  <c r="C4672" i="23"/>
  <c r="J4672" i="23" s="1"/>
  <c r="C4808" i="23"/>
  <c r="J4808" i="23" s="1"/>
  <c r="C4680" i="23"/>
  <c r="J4680" i="23" s="1"/>
  <c r="C4601" i="23"/>
  <c r="J4601" i="23" s="1"/>
  <c r="C4537" i="23"/>
  <c r="J4537" i="23" s="1"/>
  <c r="C4473" i="23"/>
  <c r="J4473" i="23" s="1"/>
  <c r="C4409" i="23"/>
  <c r="J4409" i="23" s="1"/>
  <c r="C4345" i="23"/>
  <c r="J4345" i="23" s="1"/>
  <c r="C4616" i="23"/>
  <c r="J4616" i="23" s="1"/>
  <c r="C4552" i="23"/>
  <c r="J4552" i="23" s="1"/>
  <c r="C4488" i="23"/>
  <c r="J4488" i="23" s="1"/>
  <c r="C4424" i="23"/>
  <c r="J4424" i="23" s="1"/>
  <c r="C4360" i="23"/>
  <c r="J4360" i="23" s="1"/>
  <c r="C4635" i="23"/>
  <c r="J4635" i="23" s="1"/>
  <c r="C4571" i="23"/>
  <c r="J4571" i="23" s="1"/>
  <c r="C4507" i="23"/>
  <c r="J4507" i="23" s="1"/>
  <c r="C4443" i="23"/>
  <c r="J4443" i="23" s="1"/>
  <c r="C4379" i="23"/>
  <c r="J4379" i="23" s="1"/>
  <c r="C4610" i="23"/>
  <c r="J4610" i="23" s="1"/>
  <c r="C4354" i="23"/>
  <c r="J4354" i="23" s="1"/>
  <c r="C4269" i="23"/>
  <c r="J4269" i="23" s="1"/>
  <c r="C4205" i="23"/>
  <c r="J4205" i="23" s="1"/>
  <c r="C4141" i="23"/>
  <c r="J4141" i="23" s="1"/>
  <c r="C4077" i="23"/>
  <c r="J4077" i="23" s="1"/>
  <c r="C4442" i="23"/>
  <c r="J4442" i="23" s="1"/>
  <c r="C4291" i="23"/>
  <c r="J4291" i="23" s="1"/>
  <c r="C4227" i="23"/>
  <c r="J4227" i="23" s="1"/>
  <c r="C4163" i="23"/>
  <c r="J4163" i="23" s="1"/>
  <c r="C4099" i="23"/>
  <c r="J4099" i="23" s="1"/>
  <c r="C4398" i="23"/>
  <c r="J4398" i="23" s="1"/>
  <c r="C4216" i="23"/>
  <c r="J4216" i="23" s="1"/>
  <c r="C4088" i="23"/>
  <c r="J4088" i="23" s="1"/>
  <c r="C4014" i="23"/>
  <c r="J4014" i="23" s="1"/>
  <c r="C3950" i="23"/>
  <c r="J3950" i="23" s="1"/>
  <c r="C3886" i="23"/>
  <c r="J3886" i="23" s="1"/>
  <c r="C3822" i="23"/>
  <c r="J3822" i="23" s="1"/>
  <c r="C3758" i="23"/>
  <c r="J3758" i="23" s="1"/>
  <c r="C3694" i="23"/>
  <c r="J3694" i="23" s="1"/>
  <c r="C3630" i="23"/>
  <c r="J3630" i="23" s="1"/>
  <c r="C3566" i="23"/>
  <c r="J3566" i="23" s="1"/>
  <c r="C4294" i="23"/>
  <c r="J4294" i="23" s="1"/>
  <c r="C4166" i="23"/>
  <c r="J4166" i="23" s="1"/>
  <c r="C4053" i="23"/>
  <c r="J4053" i="23" s="1"/>
  <c r="C3989" i="23"/>
  <c r="J3989" i="23" s="1"/>
  <c r="C4772" i="23"/>
  <c r="J4772" i="23" s="1"/>
  <c r="C4645" i="23"/>
  <c r="J4645" i="23" s="1"/>
  <c r="C4581" i="23"/>
  <c r="J4581" i="23" s="1"/>
  <c r="C4517" i="23"/>
  <c r="J4517" i="23" s="1"/>
  <c r="C4453" i="23"/>
  <c r="J4453" i="23" s="1"/>
  <c r="C4389" i="23"/>
  <c r="J4389" i="23" s="1"/>
  <c r="C4660" i="23"/>
  <c r="J4660" i="23" s="1"/>
  <c r="C4596" i="23"/>
  <c r="J4596" i="23" s="1"/>
  <c r="C4532" i="23"/>
  <c r="J4532" i="23" s="1"/>
  <c r="C4468" i="23"/>
  <c r="J4468" i="23" s="1"/>
  <c r="C4404" i="23"/>
  <c r="J4404" i="23" s="1"/>
  <c r="C4340" i="23"/>
  <c r="J4340" i="23" s="1"/>
  <c r="C4615" i="23"/>
  <c r="J4615" i="23" s="1"/>
  <c r="C4551" i="23"/>
  <c r="J4551" i="23" s="1"/>
  <c r="C4487" i="23"/>
  <c r="J4487" i="23" s="1"/>
  <c r="C4423" i="23"/>
  <c r="J4423" i="23" s="1"/>
  <c r="C4359" i="23"/>
  <c r="J4359" i="23" s="1"/>
  <c r="C4530" i="23"/>
  <c r="J4530" i="23" s="1"/>
  <c r="C4313" i="23"/>
  <c r="J4313" i="23" s="1"/>
  <c r="C4249" i="23"/>
  <c r="J4249" i="23" s="1"/>
  <c r="C4185" i="23"/>
  <c r="J4185" i="23" s="1"/>
  <c r="C4121" i="23"/>
  <c r="J4121" i="23" s="1"/>
  <c r="C4618" i="23"/>
  <c r="J4618" i="23" s="1"/>
  <c r="C4362" i="23"/>
  <c r="J4362" i="23" s="1"/>
  <c r="C4271" i="23"/>
  <c r="J4271" i="23" s="1"/>
  <c r="C4207" i="23"/>
  <c r="J4207" i="23" s="1"/>
  <c r="C4143" i="23"/>
  <c r="J4143" i="23" s="1"/>
  <c r="C4079" i="23"/>
  <c r="J4079" i="23" s="1"/>
  <c r="C4304" i="23"/>
  <c r="J4304" i="23" s="1"/>
  <c r="C4176" i="23"/>
  <c r="J4176" i="23" s="1"/>
  <c r="C4058" i="23"/>
  <c r="J4058" i="23" s="1"/>
  <c r="C3994" i="23"/>
  <c r="J3994" i="23" s="1"/>
  <c r="C3930" i="23"/>
  <c r="J3930" i="23" s="1"/>
  <c r="C3866" i="23"/>
  <c r="J3866" i="23" s="1"/>
  <c r="C3802" i="23"/>
  <c r="J3802" i="23" s="1"/>
  <c r="C3738" i="23"/>
  <c r="J3738" i="23" s="1"/>
  <c r="C3674" i="23"/>
  <c r="J3674" i="23" s="1"/>
  <c r="C3610" i="23"/>
  <c r="J3610" i="23" s="1"/>
  <c r="C4550" i="23"/>
  <c r="J4550" i="23" s="1"/>
  <c r="C4254" i="23"/>
  <c r="J4254" i="23" s="1"/>
  <c r="C4126" i="23"/>
  <c r="J4126" i="23" s="1"/>
  <c r="C4033" i="23"/>
  <c r="J4033" i="23" s="1"/>
  <c r="C4856" i="23"/>
  <c r="J4856" i="23" s="1"/>
  <c r="C4728" i="23"/>
  <c r="J4728" i="23" s="1"/>
  <c r="C4625" i="23"/>
  <c r="J4625" i="23" s="1"/>
  <c r="C4561" i="23"/>
  <c r="J4561" i="23" s="1"/>
  <c r="C4497" i="23"/>
  <c r="J4497" i="23" s="1"/>
  <c r="C4433" i="23"/>
  <c r="J4433" i="23" s="1"/>
  <c r="C4369" i="23"/>
  <c r="J4369" i="23" s="1"/>
  <c r="C4640" i="23"/>
  <c r="J4640" i="23" s="1"/>
  <c r="C4576" i="23"/>
  <c r="J4576" i="23" s="1"/>
  <c r="C4512" i="23"/>
  <c r="J4512" i="23" s="1"/>
  <c r="C4448" i="23"/>
  <c r="J4448" i="23" s="1"/>
  <c r="C4384" i="23"/>
  <c r="J4384" i="23" s="1"/>
  <c r="C4659" i="23"/>
  <c r="J4659" i="23" s="1"/>
  <c r="C4595" i="23"/>
  <c r="J4595" i="23" s="1"/>
  <c r="C4531" i="23"/>
  <c r="J4531" i="23" s="1"/>
  <c r="C4467" i="23"/>
  <c r="J4467" i="23" s="1"/>
  <c r="C4403" i="23"/>
  <c r="J4403" i="23" s="1"/>
  <c r="C4339" i="23"/>
  <c r="J4339" i="23" s="1"/>
  <c r="C4450" i="23"/>
  <c r="J4450" i="23" s="1"/>
  <c r="C4293" i="23"/>
  <c r="J4293" i="23" s="1"/>
  <c r="C4229" i="23"/>
  <c r="J4229" i="23" s="1"/>
  <c r="C4165" i="23"/>
  <c r="J4165" i="23" s="1"/>
  <c r="C4101" i="23"/>
  <c r="J4101" i="23" s="1"/>
  <c r="C4538" i="23"/>
  <c r="J4538" i="23" s="1"/>
  <c r="C4315" i="23"/>
  <c r="J4315" i="23" s="1"/>
  <c r="C4251" i="23"/>
  <c r="J4251" i="23" s="1"/>
  <c r="C4187" i="23"/>
  <c r="J4187" i="23" s="1"/>
  <c r="C4123" i="23"/>
  <c r="J4123" i="23" s="1"/>
  <c r="C4590" i="23"/>
  <c r="J4590" i="23" s="1"/>
  <c r="C4264" i="23"/>
  <c r="J4264" i="23" s="1"/>
  <c r="C4136" i="23"/>
  <c r="J4136" i="23" s="1"/>
  <c r="C4038" i="23"/>
  <c r="J4038" i="23" s="1"/>
  <c r="C3974" i="23"/>
  <c r="J3974" i="23" s="1"/>
  <c r="C3910" i="23"/>
  <c r="J3910" i="23" s="1"/>
  <c r="C3846" i="23"/>
  <c r="J3846" i="23" s="1"/>
  <c r="C3782" i="23"/>
  <c r="J3782" i="23" s="1"/>
  <c r="C3718" i="23"/>
  <c r="J3718" i="23" s="1"/>
  <c r="C3654" i="23"/>
  <c r="J3654" i="23" s="1"/>
  <c r="C3590" i="23"/>
  <c r="J3590" i="23" s="1"/>
  <c r="C4390" i="23"/>
  <c r="J4390" i="23" s="1"/>
  <c r="C4214" i="23"/>
  <c r="J4214" i="23" s="1"/>
  <c r="C4086" i="23"/>
  <c r="J4086" i="23" s="1"/>
  <c r="C4013" i="23"/>
  <c r="J4013" i="23" s="1"/>
  <c r="C4820" i="23"/>
  <c r="J4820" i="23" s="1"/>
  <c r="C4692" i="23"/>
  <c r="J4692" i="23" s="1"/>
  <c r="C4605" i="23"/>
  <c r="J4605" i="23" s="1"/>
  <c r="C4541" i="23"/>
  <c r="J4541" i="23" s="1"/>
  <c r="C4477" i="23"/>
  <c r="J4477" i="23" s="1"/>
  <c r="C4413" i="23"/>
  <c r="J4413" i="23" s="1"/>
  <c r="C4349" i="23"/>
  <c r="J4349" i="23" s="1"/>
  <c r="C4620" i="23"/>
  <c r="J4620" i="23" s="1"/>
  <c r="C4556" i="23"/>
  <c r="J4556" i="23" s="1"/>
  <c r="C4492" i="23"/>
  <c r="J4492" i="23" s="1"/>
  <c r="C4428" i="23"/>
  <c r="J4428" i="23" s="1"/>
  <c r="C4364" i="23"/>
  <c r="J4364" i="23" s="1"/>
  <c r="C4639" i="23"/>
  <c r="J4639" i="23" s="1"/>
  <c r="C4575" i="23"/>
  <c r="J4575" i="23" s="1"/>
  <c r="C4511" i="23"/>
  <c r="J4511" i="23" s="1"/>
  <c r="C4447" i="23"/>
  <c r="J4447" i="23" s="1"/>
  <c r="C4383" i="23"/>
  <c r="J4383" i="23" s="1"/>
  <c r="C4626" i="23"/>
  <c r="J4626" i="23" s="1"/>
  <c r="C4370" i="23"/>
  <c r="J4370" i="23" s="1"/>
  <c r="C4273" i="23"/>
  <c r="J4273" i="23" s="1"/>
  <c r="C4209" i="23"/>
  <c r="J4209" i="23" s="1"/>
  <c r="C4145" i="23"/>
  <c r="J4145" i="23" s="1"/>
  <c r="C4081" i="23"/>
  <c r="J4081" i="23" s="1"/>
  <c r="C4458" i="23"/>
  <c r="J4458" i="23" s="1"/>
  <c r="C4295" i="23"/>
  <c r="J4295" i="23" s="1"/>
  <c r="C4231" i="23"/>
  <c r="J4231" i="23" s="1"/>
  <c r="C4167" i="23"/>
  <c r="J4167" i="23" s="1"/>
  <c r="C4103" i="23"/>
  <c r="J4103" i="23" s="1"/>
  <c r="C4430" i="23"/>
  <c r="J4430" i="23" s="1"/>
  <c r="C4224" i="23"/>
  <c r="J4224" i="23" s="1"/>
  <c r="C4096" i="23"/>
  <c r="J4096" i="23" s="1"/>
  <c r="C4018" i="23"/>
  <c r="J4018" i="23" s="1"/>
  <c r="C3954" i="23"/>
  <c r="J3954" i="23" s="1"/>
  <c r="C3890" i="23"/>
  <c r="J3890" i="23" s="1"/>
  <c r="C3826" i="23"/>
  <c r="J3826" i="23" s="1"/>
  <c r="C3762" i="23"/>
  <c r="J3762" i="23" s="1"/>
  <c r="C3698" i="23"/>
  <c r="J3698" i="23" s="1"/>
  <c r="C3634" i="23"/>
  <c r="J3634" i="23" s="1"/>
  <c r="C3570" i="23"/>
  <c r="J3570" i="23" s="1"/>
  <c r="C4302" i="23"/>
  <c r="J4302" i="23" s="1"/>
  <c r="C4174" i="23"/>
  <c r="J4174" i="23" s="1"/>
  <c r="C4057" i="23"/>
  <c r="J4057" i="23" s="1"/>
  <c r="C3993" i="23"/>
  <c r="J3993" i="23" s="1"/>
  <c r="C3929" i="23"/>
  <c r="J3929" i="23" s="1"/>
  <c r="C3865" i="23"/>
  <c r="J3865" i="23" s="1"/>
  <c r="C3801" i="23"/>
  <c r="J3801" i="23" s="1"/>
  <c r="C3737" i="23"/>
  <c r="J3737" i="23" s="1"/>
  <c r="C3673" i="23"/>
  <c r="J3673" i="23" s="1"/>
  <c r="C3609" i="23"/>
  <c r="J3609" i="23" s="1"/>
  <c r="C4542" i="23"/>
  <c r="J4542" i="23" s="1"/>
  <c r="C4252" i="23"/>
  <c r="J4252" i="23" s="1"/>
  <c r="C4124" i="23"/>
  <c r="J4124" i="23" s="1"/>
  <c r="C4032" i="23"/>
  <c r="J4032" i="23" s="1"/>
  <c r="C3968" i="23"/>
  <c r="J3968" i="23" s="1"/>
  <c r="C3904" i="23"/>
  <c r="J3904" i="23" s="1"/>
  <c r="C3840" i="23"/>
  <c r="J3840" i="23" s="1"/>
  <c r="C3776" i="23"/>
  <c r="J3776" i="23" s="1"/>
  <c r="C3712" i="23"/>
  <c r="J3712" i="23" s="1"/>
  <c r="C3648" i="23"/>
  <c r="J3648" i="23" s="1"/>
  <c r="C3584" i="23"/>
  <c r="J3584" i="23" s="1"/>
  <c r="C4114" i="23"/>
  <c r="J4114" i="23" s="1"/>
  <c r="C3835" i="23"/>
  <c r="J3835" i="23" s="1"/>
  <c r="C3579" i="23"/>
  <c r="J3579" i="23" s="1"/>
  <c r="C3500" i="23"/>
  <c r="J3500" i="23" s="1"/>
  <c r="C3436" i="23"/>
  <c r="J3436" i="23" s="1"/>
  <c r="C3372" i="23"/>
  <c r="J3372" i="23" s="1"/>
  <c r="C3308" i="23"/>
  <c r="J3308" i="23" s="1"/>
  <c r="C3244" i="23"/>
  <c r="J3244" i="23" s="1"/>
  <c r="C3180" i="23"/>
  <c r="J3180" i="23" s="1"/>
  <c r="C3116" i="23"/>
  <c r="J3116" i="23" s="1"/>
  <c r="C3052" i="23"/>
  <c r="J3052" i="23" s="1"/>
  <c r="C3991" i="23"/>
  <c r="J3991" i="23" s="1"/>
  <c r="C3735" i="23"/>
  <c r="J3735" i="23" s="1"/>
  <c r="C3539" i="23"/>
  <c r="J3539" i="23" s="1"/>
  <c r="C3475" i="23"/>
  <c r="J3475" i="23" s="1"/>
  <c r="C3411" i="23"/>
  <c r="J3411" i="23" s="1"/>
  <c r="C3347" i="23"/>
  <c r="J3347" i="23" s="1"/>
  <c r="C3283" i="23"/>
  <c r="J3283" i="23" s="1"/>
  <c r="C4051" i="23"/>
  <c r="J4051" i="23" s="1"/>
  <c r="C3795" i="23"/>
  <c r="J3795" i="23" s="1"/>
  <c r="C3554" i="23"/>
  <c r="J3554" i="23" s="1"/>
  <c r="C3490" i="23"/>
  <c r="J3490" i="23" s="1"/>
  <c r="C3426" i="23"/>
  <c r="J3426" i="23" s="1"/>
  <c r="C3362" i="23"/>
  <c r="J3362" i="23" s="1"/>
  <c r="C3298" i="23"/>
  <c r="J3298" i="23" s="1"/>
  <c r="C3234" i="23"/>
  <c r="J3234" i="23" s="1"/>
  <c r="C3170" i="23"/>
  <c r="J3170" i="23" s="1"/>
  <c r="C3106" i="23"/>
  <c r="J3106" i="23" s="1"/>
  <c r="C4250" i="23"/>
  <c r="J4250" i="23" s="1"/>
  <c r="C3453" i="23"/>
  <c r="J3453" i="23" s="1"/>
  <c r="C3231" i="23"/>
  <c r="J3231" i="23" s="1"/>
  <c r="C3103" i="23"/>
  <c r="J3103" i="23" s="1"/>
  <c r="C3012" i="23"/>
  <c r="J3012" i="23" s="1"/>
  <c r="C2948" i="23"/>
  <c r="J2948" i="23" s="1"/>
  <c r="C2884" i="23"/>
  <c r="J2884" i="23" s="1"/>
  <c r="C2820" i="23"/>
  <c r="J2820" i="23" s="1"/>
  <c r="C2756" i="23"/>
  <c r="J2756" i="23" s="1"/>
  <c r="C2692" i="23"/>
  <c r="J2692" i="23" s="1"/>
  <c r="C2628" i="23"/>
  <c r="J2628" i="23" s="1"/>
  <c r="C3759" i="23"/>
  <c r="J3759" i="23" s="1"/>
  <c r="C3353" i="23"/>
  <c r="J3353" i="23" s="1"/>
  <c r="C3181" i="23"/>
  <c r="J3181" i="23" s="1"/>
  <c r="C3053" i="23"/>
  <c r="J3053" i="23" s="1"/>
  <c r="C2987" i="23"/>
  <c r="J2987" i="23" s="1"/>
  <c r="C2923" i="23"/>
  <c r="J2923" i="23" s="1"/>
  <c r="C2859" i="23"/>
  <c r="J2859" i="23" s="1"/>
  <c r="C2795" i="23"/>
  <c r="J2795" i="23" s="1"/>
  <c r="C2731" i="23"/>
  <c r="J2731" i="23" s="1"/>
  <c r="C2667" i="23"/>
  <c r="J2667" i="23" s="1"/>
  <c r="C3557" i="23"/>
  <c r="J3557" i="23" s="1"/>
  <c r="C3301" i="23"/>
  <c r="J3301" i="23" s="1"/>
  <c r="C3155" i="23"/>
  <c r="J3155" i="23" s="1"/>
  <c r="C3038" i="23"/>
  <c r="J3038" i="23" s="1"/>
  <c r="C2974" i="23"/>
  <c r="J2974" i="23" s="1"/>
  <c r="C2910" i="23"/>
  <c r="J2910" i="23" s="1"/>
  <c r="C2846" i="23"/>
  <c r="J2846" i="23" s="1"/>
  <c r="C2782" i="23"/>
  <c r="J2782" i="23" s="1"/>
  <c r="C2718" i="23"/>
  <c r="J2718" i="23" s="1"/>
  <c r="C2654" i="23"/>
  <c r="J2654" i="23" s="1"/>
  <c r="C4282" i="23"/>
  <c r="J4282" i="23" s="1"/>
  <c r="C3013" i="23"/>
  <c r="J3013" i="23" s="1"/>
  <c r="C2757" i="23"/>
  <c r="J2757" i="23" s="1"/>
  <c r="C2583" i="23"/>
  <c r="J2583" i="23" s="1"/>
  <c r="C2519" i="23"/>
  <c r="J2519" i="23" s="1"/>
  <c r="C2455" i="23"/>
  <c r="J2455" i="23" s="1"/>
  <c r="C2391" i="23"/>
  <c r="J2391" i="23" s="1"/>
  <c r="C2327" i="23"/>
  <c r="J2327" i="23" s="1"/>
  <c r="C2263" i="23"/>
  <c r="J2263" i="23" s="1"/>
  <c r="C3957" i="23"/>
  <c r="J3957" i="23" s="1"/>
  <c r="C3893" i="23"/>
  <c r="J3893" i="23" s="1"/>
  <c r="C3829" i="23"/>
  <c r="J3829" i="23" s="1"/>
  <c r="C3765" i="23"/>
  <c r="J3765" i="23" s="1"/>
  <c r="C3701" i="23"/>
  <c r="J3701" i="23" s="1"/>
  <c r="C3637" i="23"/>
  <c r="J3637" i="23" s="1"/>
  <c r="C3573" i="23"/>
  <c r="J3573" i="23" s="1"/>
  <c r="C4308" i="23"/>
  <c r="J4308" i="23" s="1"/>
  <c r="C4180" i="23"/>
  <c r="J4180" i="23" s="1"/>
  <c r="C4060" i="23"/>
  <c r="J4060" i="23" s="1"/>
  <c r="C3996" i="23"/>
  <c r="J3996" i="23" s="1"/>
  <c r="C3932" i="23"/>
  <c r="J3932" i="23" s="1"/>
  <c r="C3868" i="23"/>
  <c r="J3868" i="23" s="1"/>
  <c r="C3804" i="23"/>
  <c r="J3804" i="23" s="1"/>
  <c r="C3740" i="23"/>
  <c r="J3740" i="23" s="1"/>
  <c r="C3676" i="23"/>
  <c r="J3676" i="23" s="1"/>
  <c r="C3612" i="23"/>
  <c r="J3612" i="23" s="1"/>
  <c r="C4374" i="23"/>
  <c r="J4374" i="23" s="1"/>
  <c r="C3947" i="23"/>
  <c r="J3947" i="23" s="1"/>
  <c r="C3691" i="23"/>
  <c r="J3691" i="23" s="1"/>
  <c r="C3528" i="23"/>
  <c r="J3528" i="23" s="1"/>
  <c r="C3464" i="23"/>
  <c r="J3464" i="23" s="1"/>
  <c r="C3400" i="23"/>
  <c r="J3400" i="23" s="1"/>
  <c r="C3336" i="23"/>
  <c r="J3336" i="23" s="1"/>
  <c r="C3272" i="23"/>
  <c r="J3272" i="23" s="1"/>
  <c r="C3208" i="23"/>
  <c r="J3208" i="23" s="1"/>
  <c r="C3144" i="23"/>
  <c r="J3144" i="23" s="1"/>
  <c r="C3080" i="23"/>
  <c r="J3080" i="23" s="1"/>
  <c r="C4138" i="23"/>
  <c r="J4138" i="23" s="1"/>
  <c r="C3847" i="23"/>
  <c r="J3847" i="23" s="1"/>
  <c r="C3591" i="23"/>
  <c r="J3591" i="23" s="1"/>
  <c r="C3503" i="23"/>
  <c r="J3503" i="23" s="1"/>
  <c r="C3439" i="23"/>
  <c r="J3439" i="23" s="1"/>
  <c r="C3375" i="23"/>
  <c r="J3375" i="23" s="1"/>
  <c r="C3311" i="23"/>
  <c r="J3311" i="23" s="1"/>
  <c r="C4258" i="23"/>
  <c r="J4258" i="23" s="1"/>
  <c r="C3907" i="23"/>
  <c r="J3907" i="23" s="1"/>
  <c r="C3651" i="23"/>
  <c r="J3651" i="23" s="1"/>
  <c r="C3518" i="23"/>
  <c r="J3518" i="23" s="1"/>
  <c r="C3454" i="23"/>
  <c r="J3454" i="23" s="1"/>
  <c r="C3390" i="23"/>
  <c r="J3390" i="23" s="1"/>
  <c r="C3326" i="23"/>
  <c r="J3326" i="23" s="1"/>
  <c r="C3262" i="23"/>
  <c r="J3262" i="23" s="1"/>
  <c r="C3198" i="23"/>
  <c r="J3198" i="23" s="1"/>
  <c r="C3134" i="23"/>
  <c r="J3134" i="23" s="1"/>
  <c r="C3070" i="23"/>
  <c r="J3070" i="23" s="1"/>
  <c r="C3583" i="23"/>
  <c r="J3583" i="23" s="1"/>
  <c r="C3309" i="23"/>
  <c r="J3309" i="23" s="1"/>
  <c r="C3159" i="23"/>
  <c r="J3159" i="23" s="1"/>
  <c r="C3040" i="23"/>
  <c r="J3040" i="23" s="1"/>
  <c r="C2976" i="23"/>
  <c r="J2976" i="23" s="1"/>
  <c r="C2912" i="23"/>
  <c r="J2912" i="23" s="1"/>
  <c r="C2848" i="23"/>
  <c r="J2848" i="23" s="1"/>
  <c r="C2784" i="23"/>
  <c r="J2784" i="23" s="1"/>
  <c r="C2720" i="23"/>
  <c r="J2720" i="23" s="1"/>
  <c r="C2656" i="23"/>
  <c r="J2656" i="23" s="1"/>
  <c r="C4406" i="23"/>
  <c r="J4406" i="23" s="1"/>
  <c r="C3465" i="23"/>
  <c r="J3465" i="23" s="1"/>
  <c r="C3237" i="23"/>
  <c r="J3237" i="23" s="1"/>
  <c r="C3109" i="23"/>
  <c r="J3109" i="23" s="1"/>
  <c r="C3015" i="23"/>
  <c r="J3015" i="23" s="1"/>
  <c r="C2951" i="23"/>
  <c r="J2951" i="23" s="1"/>
  <c r="C2887" i="23"/>
  <c r="J2887" i="23" s="1"/>
  <c r="C2823" i="23"/>
  <c r="J2823" i="23" s="1"/>
  <c r="C2759" i="23"/>
  <c r="J2759" i="23" s="1"/>
  <c r="C2695" i="23"/>
  <c r="J2695" i="23" s="1"/>
  <c r="C3999" i="23"/>
  <c r="J3999" i="23" s="1"/>
  <c r="C3413" i="23"/>
  <c r="J3413" i="23" s="1"/>
  <c r="C3211" i="23"/>
  <c r="J3211" i="23" s="1"/>
  <c r="C3083" i="23"/>
  <c r="J3083" i="23" s="1"/>
  <c r="C3002" i="23"/>
  <c r="J3002" i="23" s="1"/>
  <c r="C2938" i="23"/>
  <c r="J2938" i="23" s="1"/>
  <c r="C2874" i="23"/>
  <c r="J2874" i="23" s="1"/>
  <c r="C2810" i="23"/>
  <c r="J2810" i="23" s="1"/>
  <c r="C2746" i="23"/>
  <c r="J2746" i="23" s="1"/>
  <c r="C2682" i="23"/>
  <c r="J2682" i="23" s="1"/>
  <c r="C2618" i="23"/>
  <c r="J2618" i="23" s="1"/>
  <c r="C3201" i="23"/>
  <c r="J3201" i="23" s="1"/>
  <c r="C2869" i="23"/>
  <c r="J2869" i="23" s="1"/>
  <c r="C2629" i="23"/>
  <c r="J2629" i="23" s="1"/>
  <c r="C2547" i="23"/>
  <c r="J2547" i="23" s="1"/>
  <c r="C2483" i="23"/>
  <c r="J2483" i="23" s="1"/>
  <c r="C2419" i="23"/>
  <c r="J2419" i="23" s="1"/>
  <c r="C2355" i="23"/>
  <c r="J2355" i="23" s="1"/>
  <c r="C2291" i="23"/>
  <c r="J2291" i="23" s="1"/>
  <c r="C2227" i="23"/>
  <c r="J2227" i="23" s="1"/>
  <c r="C3921" i="23"/>
  <c r="J3921" i="23" s="1"/>
  <c r="C3857" i="23"/>
  <c r="J3857" i="23" s="1"/>
  <c r="C3793" i="23"/>
  <c r="J3793" i="23" s="1"/>
  <c r="C3729" i="23"/>
  <c r="J3729" i="23" s="1"/>
  <c r="C3665" i="23"/>
  <c r="J3665" i="23" s="1"/>
  <c r="C3601" i="23"/>
  <c r="J3601" i="23" s="1"/>
  <c r="C4478" i="23"/>
  <c r="J4478" i="23" s="1"/>
  <c r="C4236" i="23"/>
  <c r="J4236" i="23" s="1"/>
  <c r="C4108" i="23"/>
  <c r="J4108" i="23" s="1"/>
  <c r="C4024" i="23"/>
  <c r="J4024" i="23" s="1"/>
  <c r="C3960" i="23"/>
  <c r="J3960" i="23" s="1"/>
  <c r="C3896" i="23"/>
  <c r="J3896" i="23" s="1"/>
  <c r="C3832" i="23"/>
  <c r="J3832" i="23" s="1"/>
  <c r="C3768" i="23"/>
  <c r="J3768" i="23" s="1"/>
  <c r="C3704" i="23"/>
  <c r="J3704" i="23" s="1"/>
  <c r="C3640" i="23"/>
  <c r="J3640" i="23" s="1"/>
  <c r="C3576" i="23"/>
  <c r="J3576" i="23" s="1"/>
  <c r="C4059" i="23"/>
  <c r="J4059" i="23" s="1"/>
  <c r="C3803" i="23"/>
  <c r="J3803" i="23" s="1"/>
  <c r="C3556" i="23"/>
  <c r="J3556" i="23" s="1"/>
  <c r="C3492" i="23"/>
  <c r="J3492" i="23" s="1"/>
  <c r="C3428" i="23"/>
  <c r="J3428" i="23" s="1"/>
  <c r="C3364" i="23"/>
  <c r="J3364" i="23" s="1"/>
  <c r="C3300" i="23"/>
  <c r="J3300" i="23" s="1"/>
  <c r="C3236" i="23"/>
  <c r="J3236" i="23" s="1"/>
  <c r="C3172" i="23"/>
  <c r="J3172" i="23" s="1"/>
  <c r="C3108" i="23"/>
  <c r="J3108" i="23" s="1"/>
  <c r="C4470" i="23"/>
  <c r="J4470" i="23" s="1"/>
  <c r="C3959" i="23"/>
  <c r="J3959" i="23" s="1"/>
  <c r="C3703" i="23"/>
  <c r="J3703" i="23" s="1"/>
  <c r="C3531" i="23"/>
  <c r="J3531" i="23" s="1"/>
  <c r="C3467" i="23"/>
  <c r="J3467" i="23" s="1"/>
  <c r="C3403" i="23"/>
  <c r="J3403" i="23" s="1"/>
  <c r="C3339" i="23"/>
  <c r="J3339" i="23" s="1"/>
  <c r="C3275" i="23"/>
  <c r="J3275" i="23" s="1"/>
  <c r="C4019" i="23"/>
  <c r="J4019" i="23" s="1"/>
  <c r="C3763" i="23"/>
  <c r="J3763" i="23" s="1"/>
  <c r="C3546" i="23"/>
  <c r="J3546" i="23" s="1"/>
  <c r="C3482" i="23"/>
  <c r="J3482" i="23" s="1"/>
  <c r="C3418" i="23"/>
  <c r="J3418" i="23" s="1"/>
  <c r="C3354" i="23"/>
  <c r="J3354" i="23" s="1"/>
  <c r="C3290" i="23"/>
  <c r="J3290" i="23" s="1"/>
  <c r="C3226" i="23"/>
  <c r="J3226" i="23" s="1"/>
  <c r="C3162" i="23"/>
  <c r="J3162" i="23" s="1"/>
  <c r="C3098" i="23"/>
  <c r="J3098" i="23" s="1"/>
  <c r="C4031" i="23"/>
  <c r="J4031" i="23" s="1"/>
  <c r="C3421" i="23"/>
  <c r="J3421" i="23" s="1"/>
  <c r="C3215" i="23"/>
  <c r="J3215" i="23" s="1"/>
  <c r="C3087" i="23"/>
  <c r="J3087" i="23" s="1"/>
  <c r="C3004" i="23"/>
  <c r="J3004" i="23" s="1"/>
  <c r="C2940" i="23"/>
  <c r="J2940" i="23" s="1"/>
  <c r="C2876" i="23"/>
  <c r="J2876" i="23" s="1"/>
  <c r="C2812" i="23"/>
  <c r="J2812" i="23" s="1"/>
  <c r="C2748" i="23"/>
  <c r="J2748" i="23" s="1"/>
  <c r="C2684" i="23"/>
  <c r="J2684" i="23" s="1"/>
  <c r="C2620" i="23"/>
  <c r="J2620" i="23" s="1"/>
  <c r="C3631" i="23"/>
  <c r="J3631" i="23" s="1"/>
  <c r="C3321" i="23"/>
  <c r="J3321" i="23" s="1"/>
  <c r="C3165" i="23"/>
  <c r="J3165" i="23" s="1"/>
  <c r="C3043" i="23"/>
  <c r="J3043" i="23" s="1"/>
  <c r="C2979" i="23"/>
  <c r="J2979" i="23" s="1"/>
  <c r="C2915" i="23"/>
  <c r="J2915" i="23" s="1"/>
  <c r="C2851" i="23"/>
  <c r="J2851" i="23" s="1"/>
  <c r="C2787" i="23"/>
  <c r="J2787" i="23" s="1"/>
  <c r="C2723" i="23"/>
  <c r="J2723" i="23" s="1"/>
  <c r="C2659" i="23"/>
  <c r="J2659" i="23" s="1"/>
  <c r="C3525" i="23"/>
  <c r="J3525" i="23" s="1"/>
  <c r="C3269" i="23"/>
  <c r="J3269" i="23" s="1"/>
  <c r="C3139" i="23"/>
  <c r="J3139" i="23" s="1"/>
  <c r="C3030" i="23"/>
  <c r="J3030" i="23" s="1"/>
  <c r="C2966" i="23"/>
  <c r="J2966" i="23" s="1"/>
  <c r="C2902" i="23"/>
  <c r="J2902" i="23" s="1"/>
  <c r="C2838" i="23"/>
  <c r="J2838" i="23" s="1"/>
  <c r="C2774" i="23"/>
  <c r="J2774" i="23" s="1"/>
  <c r="C2710" i="23"/>
  <c r="J2710" i="23" s="1"/>
  <c r="C2646" i="23"/>
  <c r="J2646" i="23" s="1"/>
  <c r="C3663" i="23"/>
  <c r="J3663" i="23" s="1"/>
  <c r="C2981" i="23"/>
  <c r="J2981" i="23" s="1"/>
  <c r="C2725" i="23"/>
  <c r="J2725" i="23" s="1"/>
  <c r="C2575" i="23"/>
  <c r="J2575" i="23" s="1"/>
  <c r="C2511" i="23"/>
  <c r="J2511" i="23" s="1"/>
  <c r="C2447" i="23"/>
  <c r="J2447" i="23" s="1"/>
  <c r="C2383" i="23"/>
  <c r="J2383" i="23" s="1"/>
  <c r="C2319" i="23"/>
  <c r="J2319" i="23" s="1"/>
  <c r="C2255" i="23"/>
  <c r="J2255" i="23" s="1"/>
  <c r="C3933" i="23"/>
  <c r="J3933" i="23" s="1"/>
  <c r="C3869" i="23"/>
  <c r="J3869" i="23" s="1"/>
  <c r="C3805" i="23"/>
  <c r="J3805" i="23" s="1"/>
  <c r="C3741" i="23"/>
  <c r="J3741" i="23" s="1"/>
  <c r="C3677" i="23"/>
  <c r="J3677" i="23" s="1"/>
  <c r="C3613" i="23"/>
  <c r="J3613" i="23" s="1"/>
  <c r="C4574" i="23"/>
  <c r="J4574" i="23" s="1"/>
  <c r="C4260" i="23"/>
  <c r="J4260" i="23" s="1"/>
  <c r="C4132" i="23"/>
  <c r="J4132" i="23" s="1"/>
  <c r="C4036" i="23"/>
  <c r="J4036" i="23" s="1"/>
  <c r="C3972" i="23"/>
  <c r="J3972" i="23" s="1"/>
  <c r="C3908" i="23"/>
  <c r="J3908" i="23" s="1"/>
  <c r="C3844" i="23"/>
  <c r="J3844" i="23" s="1"/>
  <c r="C3780" i="23"/>
  <c r="J3780" i="23" s="1"/>
  <c r="C3716" i="23"/>
  <c r="J3716" i="23" s="1"/>
  <c r="C3652" i="23"/>
  <c r="J3652" i="23" s="1"/>
  <c r="C3588" i="23"/>
  <c r="J3588" i="23" s="1"/>
  <c r="C4146" i="23"/>
  <c r="J4146" i="23" s="1"/>
  <c r="C3851" i="23"/>
  <c r="J3851" i="23" s="1"/>
  <c r="C3595" i="23"/>
  <c r="J3595" i="23" s="1"/>
  <c r="C3504" i="23"/>
  <c r="J3504" i="23" s="1"/>
  <c r="C3440" i="23"/>
  <c r="J3440" i="23" s="1"/>
  <c r="C3376" i="23"/>
  <c r="J3376" i="23" s="1"/>
  <c r="C3312" i="23"/>
  <c r="J3312" i="23" s="1"/>
  <c r="C3248" i="23"/>
  <c r="J3248" i="23" s="1"/>
  <c r="C3184" i="23"/>
  <c r="J3184" i="23" s="1"/>
  <c r="C3120" i="23"/>
  <c r="J3120" i="23" s="1"/>
  <c r="C3056" i="23"/>
  <c r="J3056" i="23" s="1"/>
  <c r="C4007" i="23"/>
  <c r="J4007" i="23" s="1"/>
  <c r="C3751" i="23"/>
  <c r="J3751" i="23" s="1"/>
  <c r="C3543" i="23"/>
  <c r="J3543" i="23" s="1"/>
  <c r="C3479" i="23"/>
  <c r="J3479" i="23" s="1"/>
  <c r="C3415" i="23"/>
  <c r="J3415" i="23" s="1"/>
  <c r="C3351" i="23"/>
  <c r="J3351" i="23" s="1"/>
  <c r="C3287" i="23"/>
  <c r="J3287" i="23" s="1"/>
  <c r="C4067" i="23"/>
  <c r="J4067" i="23" s="1"/>
  <c r="C3811" i="23"/>
  <c r="J3811" i="23" s="1"/>
  <c r="C3558" i="23"/>
  <c r="J3558" i="23" s="1"/>
  <c r="C3494" i="23"/>
  <c r="J3494" i="23" s="1"/>
  <c r="C3430" i="23"/>
  <c r="J3430" i="23" s="1"/>
  <c r="C3366" i="23"/>
  <c r="J3366" i="23" s="1"/>
  <c r="C3302" i="23"/>
  <c r="J3302" i="23" s="1"/>
  <c r="C3238" i="23"/>
  <c r="J3238" i="23" s="1"/>
  <c r="C3174" i="23"/>
  <c r="J3174" i="23" s="1"/>
  <c r="C3110" i="23"/>
  <c r="J3110" i="23" s="1"/>
  <c r="C4534" i="23"/>
  <c r="J4534" i="23" s="1"/>
  <c r="C3469" i="23"/>
  <c r="J3469" i="23" s="1"/>
  <c r="C3239" i="23"/>
  <c r="J3239" i="23" s="1"/>
  <c r="C3111" i="23"/>
  <c r="J3111" i="23" s="1"/>
  <c r="C3016" i="23"/>
  <c r="J3016" i="23" s="1"/>
  <c r="C2952" i="23"/>
  <c r="J2952" i="23" s="1"/>
  <c r="C2888" i="23"/>
  <c r="J2888" i="23" s="1"/>
  <c r="C2824" i="23"/>
  <c r="J2824" i="23" s="1"/>
  <c r="C2760" i="23"/>
  <c r="J2760" i="23" s="1"/>
  <c r="C2696" i="23"/>
  <c r="J2696" i="23" s="1"/>
  <c r="C2632" i="23"/>
  <c r="J2632" i="23" s="1"/>
  <c r="C3823" i="23"/>
  <c r="J3823" i="23" s="1"/>
  <c r="C3369" i="23"/>
  <c r="J3369" i="23" s="1"/>
  <c r="C3189" i="23"/>
  <c r="J3189" i="23" s="1"/>
  <c r="C3061" i="23"/>
  <c r="J3061" i="23" s="1"/>
  <c r="C2991" i="23"/>
  <c r="J2991" i="23" s="1"/>
  <c r="C2927" i="23"/>
  <c r="J2927" i="23" s="1"/>
  <c r="C2863" i="23"/>
  <c r="J2863" i="23" s="1"/>
  <c r="C2799" i="23"/>
  <c r="J2799" i="23" s="1"/>
  <c r="C2735" i="23"/>
  <c r="J2735" i="23" s="1"/>
  <c r="C2671" i="23"/>
  <c r="J2671" i="23" s="1"/>
  <c r="C3615" i="23"/>
  <c r="J3615" i="23" s="1"/>
  <c r="C3317" i="23"/>
  <c r="J3317" i="23" s="1"/>
  <c r="C3163" i="23"/>
  <c r="J3163" i="23" s="1"/>
  <c r="C3042" i="23"/>
  <c r="J3042" i="23" s="1"/>
  <c r="C2978" i="23"/>
  <c r="J2978" i="23" s="1"/>
  <c r="C2914" i="23"/>
  <c r="J2914" i="23" s="1"/>
  <c r="C2850" i="23"/>
  <c r="J2850" i="23" s="1"/>
  <c r="C2786" i="23"/>
  <c r="J2786" i="23" s="1"/>
  <c r="C2722" i="23"/>
  <c r="J2722" i="23" s="1"/>
  <c r="C2658" i="23"/>
  <c r="J2658" i="23" s="1"/>
  <c r="C2594" i="23"/>
  <c r="J2594" i="23" s="1"/>
  <c r="C3029" i="23"/>
  <c r="J3029" i="23" s="1"/>
  <c r="C2773" i="23"/>
  <c r="J2773" i="23" s="1"/>
  <c r="C2587" i="23"/>
  <c r="J2587" i="23" s="1"/>
  <c r="C2523" i="23"/>
  <c r="J2523" i="23" s="1"/>
  <c r="C2459" i="23"/>
  <c r="J2459" i="23" s="1"/>
  <c r="C2395" i="23"/>
  <c r="J2395" i="23" s="1"/>
  <c r="C2331" i="23"/>
  <c r="J2331" i="23" s="1"/>
  <c r="C2267" i="23"/>
  <c r="J2267" i="23" s="1"/>
  <c r="C2207" i="23"/>
  <c r="J2207" i="23" s="1"/>
  <c r="C2143" i="23"/>
  <c r="J2143" i="23" s="1"/>
  <c r="C2079" i="23"/>
  <c r="J2079" i="23" s="1"/>
  <c r="C2015" i="23"/>
  <c r="J2015" i="23" s="1"/>
  <c r="C1951" i="23"/>
  <c r="J1951" i="23" s="1"/>
  <c r="C1887" i="23"/>
  <c r="J1887" i="23" s="1"/>
  <c r="C1823" i="23"/>
  <c r="J1823" i="23" s="1"/>
  <c r="C1759" i="23"/>
  <c r="J1759" i="23" s="1"/>
  <c r="C1695" i="23"/>
  <c r="J1695" i="23" s="1"/>
  <c r="C1631" i="23"/>
  <c r="J1631" i="23" s="1"/>
  <c r="C1567" i="23"/>
  <c r="J1567" i="23" s="1"/>
  <c r="C1503" i="23"/>
  <c r="J1503" i="23" s="1"/>
  <c r="C1439" i="23"/>
  <c r="J1439" i="23" s="1"/>
  <c r="C4999" i="23"/>
  <c r="J4999" i="23" s="1"/>
  <c r="C4935" i="23"/>
  <c r="J4935" i="23" s="1"/>
  <c r="C4871" i="23"/>
  <c r="J4871" i="23" s="1"/>
  <c r="C4807" i="23"/>
  <c r="J4807" i="23" s="1"/>
  <c r="C4743" i="23"/>
  <c r="J4743" i="23" s="1"/>
  <c r="C4679" i="23"/>
  <c r="J4679" i="23" s="1"/>
  <c r="C4954" i="23"/>
  <c r="J4954" i="23" s="1"/>
  <c r="C4890" i="23"/>
  <c r="J4890" i="23" s="1"/>
  <c r="C4826" i="23"/>
  <c r="J4826" i="23" s="1"/>
  <c r="C4762" i="23"/>
  <c r="J4762" i="23" s="1"/>
  <c r="C4698" i="23"/>
  <c r="J4698" i="23" s="1"/>
  <c r="C4973" i="23"/>
  <c r="J4973" i="23" s="1"/>
  <c r="C4909" i="23"/>
  <c r="J4909" i="23" s="1"/>
  <c r="C4845" i="23"/>
  <c r="J4845" i="23" s="1"/>
  <c r="C4781" i="23"/>
  <c r="J4781" i="23" s="1"/>
  <c r="C4717" i="23"/>
  <c r="J4717" i="23" s="1"/>
  <c r="C4988" i="23"/>
  <c r="J4988" i="23" s="1"/>
  <c r="C4924" i="23"/>
  <c r="J4924" i="23" s="1"/>
  <c r="C4860" i="23"/>
  <c r="J4860" i="23" s="1"/>
  <c r="C4796" i="23"/>
  <c r="J4796" i="23" s="1"/>
  <c r="C4732" i="23"/>
  <c r="J4732" i="23" s="1"/>
  <c r="C4668" i="23"/>
  <c r="J4668" i="23" s="1"/>
  <c r="C4963" i="23"/>
  <c r="J4963" i="23" s="1"/>
  <c r="C4899" i="23"/>
  <c r="J4899" i="23" s="1"/>
  <c r="C4835" i="23"/>
  <c r="J4835" i="23" s="1"/>
  <c r="C4771" i="23"/>
  <c r="J4771" i="23" s="1"/>
  <c r="C4707" i="23"/>
  <c r="J4707" i="23" s="1"/>
  <c r="C4982" i="23"/>
  <c r="J4982" i="23" s="1"/>
  <c r="C4918" i="23"/>
  <c r="J4918" i="23" s="1"/>
  <c r="C4854" i="23"/>
  <c r="J4854" i="23" s="1"/>
  <c r="C4790" i="23"/>
  <c r="J4790" i="23" s="1"/>
  <c r="C4726" i="23"/>
  <c r="J4726" i="23" s="1"/>
  <c r="C4662" i="23"/>
  <c r="J4662" i="23" s="1"/>
  <c r="C4937" i="23"/>
  <c r="J4937" i="23" s="1"/>
  <c r="C4873" i="23"/>
  <c r="J4873" i="23" s="1"/>
  <c r="C4809" i="23"/>
  <c r="J4809" i="23" s="1"/>
  <c r="C4745" i="23"/>
  <c r="J4745" i="23" s="1"/>
  <c r="C4681" i="23"/>
  <c r="J4681" i="23" s="1"/>
  <c r="C4952" i="23"/>
  <c r="J4952" i="23" s="1"/>
  <c r="C4888" i="23"/>
  <c r="J4888" i="23" s="1"/>
  <c r="C4943" i="23"/>
  <c r="J4943" i="23" s="1"/>
  <c r="C4879" i="23"/>
  <c r="J4879" i="23" s="1"/>
  <c r="C4815" i="23"/>
  <c r="J4815" i="23" s="1"/>
  <c r="C4751" i="23"/>
  <c r="J4751" i="23" s="1"/>
  <c r="C4687" i="23"/>
  <c r="J4687" i="23" s="1"/>
  <c r="C4962" i="23"/>
  <c r="J4962" i="23" s="1"/>
  <c r="C4898" i="23"/>
  <c r="J4898" i="23" s="1"/>
  <c r="C4834" i="23"/>
  <c r="J4834" i="23" s="1"/>
  <c r="C4770" i="23"/>
  <c r="J4770" i="23" s="1"/>
  <c r="C4706" i="23"/>
  <c r="J4706" i="23" s="1"/>
  <c r="C4981" i="23"/>
  <c r="J4981" i="23" s="1"/>
  <c r="C4917" i="23"/>
  <c r="J4917" i="23" s="1"/>
  <c r="C4853" i="23"/>
  <c r="J4853" i="23" s="1"/>
  <c r="C4789" i="23"/>
  <c r="J4789" i="23" s="1"/>
  <c r="C4725" i="23"/>
  <c r="J4725" i="23" s="1"/>
  <c r="C4996" i="23"/>
  <c r="J4996" i="23" s="1"/>
  <c r="C4932" i="23"/>
  <c r="J4932" i="23" s="1"/>
  <c r="C4987" i="23"/>
  <c r="J4987" i="23" s="1"/>
  <c r="C4923" i="23"/>
  <c r="J4923" i="23" s="1"/>
  <c r="C4859" i="23"/>
  <c r="J4859" i="23" s="1"/>
  <c r="C4795" i="23"/>
  <c r="J4795" i="23" s="1"/>
  <c r="C4731" i="23"/>
  <c r="J4731" i="23" s="1"/>
  <c r="C4667" i="23"/>
  <c r="J4667" i="23" s="1"/>
  <c r="C4942" i="23"/>
  <c r="J4942" i="23" s="1"/>
  <c r="C4878" i="23"/>
  <c r="J4878" i="23" s="1"/>
  <c r="C4814" i="23"/>
  <c r="J4814" i="23" s="1"/>
  <c r="C4750" i="23"/>
  <c r="J4750" i="23" s="1"/>
  <c r="C4686" i="23"/>
  <c r="J4686" i="23" s="1"/>
  <c r="C4961" i="23"/>
  <c r="J4961" i="23" s="1"/>
  <c r="C4897" i="23"/>
  <c r="J4897" i="23" s="1"/>
  <c r="C4833" i="23"/>
  <c r="J4833" i="23" s="1"/>
  <c r="C4769" i="23"/>
  <c r="J4769" i="23" s="1"/>
  <c r="C4705" i="23"/>
  <c r="J4705" i="23" s="1"/>
  <c r="C4976" i="23"/>
  <c r="J4976" i="23" s="1"/>
  <c r="C4912" i="23"/>
  <c r="J4912" i="23" s="1"/>
  <c r="C4848" i="23"/>
  <c r="J4848" i="23" s="1"/>
  <c r="C4784" i="23"/>
  <c r="J4784" i="23" s="1"/>
  <c r="C4720" i="23"/>
  <c r="J4720" i="23" s="1"/>
  <c r="C4657" i="23"/>
  <c r="J4657" i="23" s="1"/>
  <c r="C4776" i="23"/>
  <c r="J4776" i="23" s="1"/>
  <c r="C4649" i="23"/>
  <c r="J4649" i="23" s="1"/>
  <c r="C4585" i="23"/>
  <c r="J4585" i="23" s="1"/>
  <c r="C4521" i="23"/>
  <c r="J4521" i="23" s="1"/>
  <c r="C4457" i="23"/>
  <c r="J4457" i="23" s="1"/>
  <c r="C4393" i="23"/>
  <c r="J4393" i="23" s="1"/>
  <c r="C4329" i="23"/>
  <c r="J4329" i="23" s="1"/>
  <c r="C4600" i="23"/>
  <c r="J4600" i="23" s="1"/>
  <c r="C4536" i="23"/>
  <c r="J4536" i="23" s="1"/>
  <c r="C4472" i="23"/>
  <c r="J4472" i="23" s="1"/>
  <c r="C4408" i="23"/>
  <c r="J4408" i="23" s="1"/>
  <c r="C4344" i="23"/>
  <c r="J4344" i="23" s="1"/>
  <c r="C4619" i="23"/>
  <c r="J4619" i="23" s="1"/>
  <c r="C4555" i="23"/>
  <c r="J4555" i="23" s="1"/>
  <c r="C4491" i="23"/>
  <c r="J4491" i="23" s="1"/>
  <c r="C4427" i="23"/>
  <c r="J4427" i="23" s="1"/>
  <c r="C4363" i="23"/>
  <c r="J4363" i="23" s="1"/>
  <c r="C4546" i="23"/>
  <c r="J4546" i="23" s="1"/>
  <c r="C4317" i="23"/>
  <c r="J4317" i="23" s="1"/>
  <c r="C4253" i="23"/>
  <c r="J4253" i="23" s="1"/>
  <c r="C4189" i="23"/>
  <c r="J4189" i="23" s="1"/>
  <c r="C4125" i="23"/>
  <c r="J4125" i="23" s="1"/>
  <c r="C4634" i="23"/>
  <c r="J4634" i="23" s="1"/>
  <c r="C4378" i="23"/>
  <c r="J4378" i="23" s="1"/>
  <c r="C4275" i="23"/>
  <c r="J4275" i="23" s="1"/>
  <c r="C4211" i="23"/>
  <c r="J4211" i="23" s="1"/>
  <c r="C4147" i="23"/>
  <c r="J4147" i="23" s="1"/>
  <c r="C4083" i="23"/>
  <c r="J4083" i="23" s="1"/>
  <c r="C4312" i="23"/>
  <c r="J4312" i="23" s="1"/>
  <c r="C4184" i="23"/>
  <c r="J4184" i="23" s="1"/>
  <c r="C4062" i="23"/>
  <c r="J4062" i="23" s="1"/>
  <c r="C3998" i="23"/>
  <c r="J3998" i="23" s="1"/>
  <c r="C3934" i="23"/>
  <c r="J3934" i="23" s="1"/>
  <c r="C3870" i="23"/>
  <c r="J3870" i="23" s="1"/>
  <c r="C3806" i="23"/>
  <c r="J3806" i="23" s="1"/>
  <c r="C3742" i="23"/>
  <c r="J3742" i="23" s="1"/>
  <c r="C3678" i="23"/>
  <c r="J3678" i="23" s="1"/>
  <c r="C3614" i="23"/>
  <c r="J3614" i="23" s="1"/>
  <c r="C4582" i="23"/>
  <c r="J4582" i="23" s="1"/>
  <c r="C4262" i="23"/>
  <c r="J4262" i="23" s="1"/>
  <c r="C4134" i="23"/>
  <c r="J4134" i="23" s="1"/>
  <c r="C4037" i="23"/>
  <c r="J4037" i="23" s="1"/>
  <c r="C4868" i="23"/>
  <c r="J4868" i="23" s="1"/>
  <c r="C4740" i="23"/>
  <c r="J4740" i="23" s="1"/>
  <c r="C4629" i="23"/>
  <c r="J4629" i="23" s="1"/>
  <c r="C4565" i="23"/>
  <c r="J4565" i="23" s="1"/>
  <c r="C4501" i="23"/>
  <c r="J4501" i="23" s="1"/>
  <c r="C4437" i="23"/>
  <c r="J4437" i="23" s="1"/>
  <c r="C4373" i="23"/>
  <c r="J4373" i="23" s="1"/>
  <c r="C4644" i="23"/>
  <c r="J4644" i="23" s="1"/>
  <c r="C4580" i="23"/>
  <c r="J4580" i="23" s="1"/>
  <c r="C4516" i="23"/>
  <c r="J4516" i="23" s="1"/>
  <c r="C4452" i="23"/>
  <c r="J4452" i="23" s="1"/>
  <c r="C4388" i="23"/>
  <c r="J4388" i="23" s="1"/>
  <c r="C4324" i="23"/>
  <c r="J4324" i="23" s="1"/>
  <c r="C4599" i="23"/>
  <c r="J4599" i="23" s="1"/>
  <c r="C4535" i="23"/>
  <c r="J4535" i="23" s="1"/>
  <c r="C4471" i="23"/>
  <c r="J4471" i="23" s="1"/>
  <c r="C4407" i="23"/>
  <c r="J4407" i="23" s="1"/>
  <c r="C4343" i="23"/>
  <c r="J4343" i="23" s="1"/>
  <c r="C4466" i="23"/>
  <c r="J4466" i="23" s="1"/>
  <c r="C4297" i="23"/>
  <c r="J4297" i="23" s="1"/>
  <c r="C4233" i="23"/>
  <c r="J4233" i="23" s="1"/>
  <c r="C4169" i="23"/>
  <c r="J4169" i="23" s="1"/>
  <c r="C4105" i="23"/>
  <c r="J4105" i="23" s="1"/>
  <c r="C4554" i="23"/>
  <c r="J4554" i="23" s="1"/>
  <c r="C4319" i="23"/>
  <c r="J4319" i="23" s="1"/>
  <c r="C4255" i="23"/>
  <c r="J4255" i="23" s="1"/>
  <c r="C4191" i="23"/>
  <c r="J4191" i="23" s="1"/>
  <c r="C4127" i="23"/>
  <c r="J4127" i="23" s="1"/>
  <c r="C4622" i="23"/>
  <c r="J4622" i="23" s="1"/>
  <c r="C4272" i="23"/>
  <c r="J4272" i="23" s="1"/>
  <c r="C4144" i="23"/>
  <c r="J4144" i="23" s="1"/>
  <c r="C4042" i="23"/>
  <c r="J4042" i="23" s="1"/>
  <c r="C3978" i="23"/>
  <c r="J3978" i="23" s="1"/>
  <c r="C3914" i="23"/>
  <c r="J3914" i="23" s="1"/>
  <c r="C3850" i="23"/>
  <c r="J3850" i="23" s="1"/>
  <c r="C3786" i="23"/>
  <c r="J3786" i="23" s="1"/>
  <c r="C3722" i="23"/>
  <c r="J3722" i="23" s="1"/>
  <c r="C3658" i="23"/>
  <c r="J3658" i="23" s="1"/>
  <c r="C3594" i="23"/>
  <c r="J3594" i="23" s="1"/>
  <c r="C4422" i="23"/>
  <c r="J4422" i="23" s="1"/>
  <c r="C4222" i="23"/>
  <c r="J4222" i="23" s="1"/>
  <c r="C4094" i="23"/>
  <c r="J4094" i="23" s="1"/>
  <c r="C4017" i="23"/>
  <c r="J4017" i="23" s="1"/>
  <c r="C4824" i="23"/>
  <c r="J4824" i="23" s="1"/>
  <c r="C4696" i="23"/>
  <c r="J4696" i="23" s="1"/>
  <c r="C4609" i="23"/>
  <c r="J4609" i="23" s="1"/>
  <c r="C4545" i="23"/>
  <c r="J4545" i="23" s="1"/>
  <c r="C4481" i="23"/>
  <c r="J4481" i="23" s="1"/>
  <c r="C4417" i="23"/>
  <c r="J4417" i="23" s="1"/>
  <c r="C4353" i="23"/>
  <c r="J4353" i="23" s="1"/>
  <c r="C4624" i="23"/>
  <c r="J4624" i="23" s="1"/>
  <c r="C4560" i="23"/>
  <c r="J4560" i="23" s="1"/>
  <c r="C4496" i="23"/>
  <c r="J4496" i="23" s="1"/>
  <c r="C4432" i="23"/>
  <c r="J4432" i="23" s="1"/>
  <c r="C4368" i="23"/>
  <c r="J4368" i="23" s="1"/>
  <c r="C4643" i="23"/>
  <c r="J4643" i="23" s="1"/>
  <c r="C4579" i="23"/>
  <c r="J4579" i="23" s="1"/>
  <c r="C4515" i="23"/>
  <c r="J4515" i="23" s="1"/>
  <c r="C4451" i="23"/>
  <c r="J4451" i="23" s="1"/>
  <c r="C4387" i="23"/>
  <c r="J4387" i="23" s="1"/>
  <c r="C4642" i="23"/>
  <c r="J4642" i="23" s="1"/>
  <c r="C4386" i="23"/>
  <c r="J4386" i="23" s="1"/>
  <c r="C4277" i="23"/>
  <c r="J4277" i="23" s="1"/>
  <c r="C4213" i="23"/>
  <c r="J4213" i="23" s="1"/>
  <c r="C4149" i="23"/>
  <c r="J4149" i="23" s="1"/>
  <c r="C4085" i="23"/>
  <c r="J4085" i="23" s="1"/>
  <c r="C4474" i="23"/>
  <c r="J4474" i="23" s="1"/>
  <c r="C4299" i="23"/>
  <c r="J4299" i="23" s="1"/>
  <c r="C4235" i="23"/>
  <c r="J4235" i="23" s="1"/>
  <c r="C4171" i="23"/>
  <c r="J4171" i="23" s="1"/>
  <c r="C4107" i="23"/>
  <c r="J4107" i="23" s="1"/>
  <c r="C4462" i="23"/>
  <c r="J4462" i="23" s="1"/>
  <c r="C4232" i="23"/>
  <c r="J4232" i="23" s="1"/>
  <c r="C4104" i="23"/>
  <c r="J4104" i="23" s="1"/>
  <c r="C4022" i="23"/>
  <c r="J4022" i="23" s="1"/>
  <c r="C3958" i="23"/>
  <c r="J3958" i="23" s="1"/>
  <c r="C3894" i="23"/>
  <c r="J3894" i="23" s="1"/>
  <c r="C3830" i="23"/>
  <c r="J3830" i="23" s="1"/>
  <c r="C3766" i="23"/>
  <c r="J3766" i="23" s="1"/>
  <c r="C3702" i="23"/>
  <c r="J3702" i="23" s="1"/>
  <c r="C3638" i="23"/>
  <c r="J3638" i="23" s="1"/>
  <c r="C3574" i="23"/>
  <c r="J3574" i="23" s="1"/>
  <c r="C4310" i="23"/>
  <c r="J4310" i="23" s="1"/>
  <c r="C4182" i="23"/>
  <c r="J4182" i="23" s="1"/>
  <c r="C4061" i="23"/>
  <c r="J4061" i="23" s="1"/>
  <c r="C3997" i="23"/>
  <c r="J3997" i="23" s="1"/>
  <c r="C4788" i="23"/>
  <c r="J4788" i="23" s="1"/>
  <c r="C4661" i="23"/>
  <c r="J4661" i="23" s="1"/>
  <c r="C4589" i="23"/>
  <c r="J4589" i="23" s="1"/>
  <c r="C4525" i="23"/>
  <c r="J4525" i="23" s="1"/>
  <c r="C4461" i="23"/>
  <c r="J4461" i="23" s="1"/>
  <c r="C4397" i="23"/>
  <c r="J4397" i="23" s="1"/>
  <c r="C4333" i="23"/>
  <c r="J4333" i="23" s="1"/>
  <c r="C4604" i="23"/>
  <c r="J4604" i="23" s="1"/>
  <c r="C4540" i="23"/>
  <c r="J4540" i="23" s="1"/>
  <c r="C4476" i="23"/>
  <c r="J4476" i="23" s="1"/>
  <c r="C4412" i="23"/>
  <c r="J4412" i="23" s="1"/>
  <c r="C4348" i="23"/>
  <c r="J4348" i="23" s="1"/>
  <c r="C4623" i="23"/>
  <c r="J4623" i="23" s="1"/>
  <c r="C4559" i="23"/>
  <c r="J4559" i="23" s="1"/>
  <c r="C4495" i="23"/>
  <c r="J4495" i="23" s="1"/>
  <c r="C4431" i="23"/>
  <c r="J4431" i="23" s="1"/>
  <c r="C4367" i="23"/>
  <c r="J4367" i="23" s="1"/>
  <c r="C4562" i="23"/>
  <c r="J4562" i="23" s="1"/>
  <c r="C4321" i="23"/>
  <c r="J4321" i="23" s="1"/>
  <c r="C4257" i="23"/>
  <c r="J4257" i="23" s="1"/>
  <c r="C4193" i="23"/>
  <c r="J4193" i="23" s="1"/>
  <c r="C4129" i="23"/>
  <c r="J4129" i="23" s="1"/>
  <c r="C4650" i="23"/>
  <c r="J4650" i="23" s="1"/>
  <c r="C4394" i="23"/>
  <c r="J4394" i="23" s="1"/>
  <c r="C4279" i="23"/>
  <c r="J4279" i="23" s="1"/>
  <c r="C4215" i="23"/>
  <c r="J4215" i="23" s="1"/>
  <c r="C4151" i="23"/>
  <c r="J4151" i="23" s="1"/>
  <c r="C4087" i="23"/>
  <c r="J4087" i="23" s="1"/>
  <c r="C4320" i="23"/>
  <c r="J4320" i="23" s="1"/>
  <c r="C4192" i="23"/>
  <c r="J4192" i="23" s="1"/>
  <c r="C4066" i="23"/>
  <c r="J4066" i="23" s="1"/>
  <c r="C4002" i="23"/>
  <c r="J4002" i="23" s="1"/>
  <c r="C3938" i="23"/>
  <c r="J3938" i="23" s="1"/>
  <c r="C3874" i="23"/>
  <c r="J3874" i="23" s="1"/>
  <c r="C3810" i="23"/>
  <c r="J3810" i="23" s="1"/>
  <c r="C3746" i="23"/>
  <c r="J3746" i="23" s="1"/>
  <c r="C3682" i="23"/>
  <c r="J3682" i="23" s="1"/>
  <c r="C3618" i="23"/>
  <c r="J3618" i="23" s="1"/>
  <c r="C4614" i="23"/>
  <c r="J4614" i="23" s="1"/>
  <c r="C4270" i="23"/>
  <c r="J4270" i="23" s="1"/>
  <c r="C4142" i="23"/>
  <c r="J4142" i="23" s="1"/>
  <c r="C4041" i="23"/>
  <c r="J4041" i="23" s="1"/>
  <c r="C3977" i="23"/>
  <c r="J3977" i="23" s="1"/>
  <c r="C3913" i="23"/>
  <c r="J3913" i="23" s="1"/>
  <c r="C3849" i="23"/>
  <c r="J3849" i="23" s="1"/>
  <c r="C3785" i="23"/>
  <c r="J3785" i="23" s="1"/>
  <c r="C3721" i="23"/>
  <c r="J3721" i="23" s="1"/>
  <c r="C3657" i="23"/>
  <c r="J3657" i="23" s="1"/>
  <c r="C3593" i="23"/>
  <c r="J3593" i="23" s="1"/>
  <c r="C4414" i="23"/>
  <c r="J4414" i="23" s="1"/>
  <c r="C4220" i="23"/>
  <c r="J4220" i="23" s="1"/>
  <c r="C4092" i="23"/>
  <c r="J4092" i="23" s="1"/>
  <c r="C4016" i="23"/>
  <c r="J4016" i="23" s="1"/>
  <c r="C3952" i="23"/>
  <c r="J3952" i="23" s="1"/>
  <c r="C3888" i="23"/>
  <c r="J3888" i="23" s="1"/>
  <c r="C3824" i="23"/>
  <c r="J3824" i="23" s="1"/>
  <c r="C3760" i="23"/>
  <c r="J3760" i="23" s="1"/>
  <c r="C3696" i="23"/>
  <c r="J3696" i="23" s="1"/>
  <c r="C3632" i="23"/>
  <c r="J3632" i="23" s="1"/>
  <c r="C3568" i="23"/>
  <c r="J3568" i="23" s="1"/>
  <c r="C4027" i="23"/>
  <c r="J4027" i="23" s="1"/>
  <c r="C3771" i="23"/>
  <c r="J3771" i="23" s="1"/>
  <c r="C3548" i="23"/>
  <c r="J3548" i="23" s="1"/>
  <c r="C3484" i="23"/>
  <c r="J3484" i="23" s="1"/>
  <c r="C3420" i="23"/>
  <c r="J3420" i="23" s="1"/>
  <c r="C3356" i="23"/>
  <c r="J3356" i="23" s="1"/>
  <c r="C3292" i="23"/>
  <c r="J3292" i="23" s="1"/>
  <c r="C3228" i="23"/>
  <c r="J3228" i="23" s="1"/>
  <c r="C3164" i="23"/>
  <c r="J3164" i="23" s="1"/>
  <c r="C3100" i="23"/>
  <c r="J3100" i="23" s="1"/>
  <c r="C4298" i="23"/>
  <c r="J4298" i="23" s="1"/>
  <c r="C3927" i="23"/>
  <c r="J3927" i="23" s="1"/>
  <c r="C3671" i="23"/>
  <c r="J3671" i="23" s="1"/>
  <c r="C3523" i="23"/>
  <c r="J3523" i="23" s="1"/>
  <c r="C3459" i="23"/>
  <c r="J3459" i="23" s="1"/>
  <c r="C3395" i="23"/>
  <c r="J3395" i="23" s="1"/>
  <c r="C3331" i="23"/>
  <c r="J3331" i="23" s="1"/>
  <c r="C3267" i="23"/>
  <c r="J3267" i="23" s="1"/>
  <c r="C3987" i="23"/>
  <c r="J3987" i="23" s="1"/>
  <c r="C3731" i="23"/>
  <c r="J3731" i="23" s="1"/>
  <c r="C3538" i="23"/>
  <c r="J3538" i="23" s="1"/>
  <c r="C3474" i="23"/>
  <c r="J3474" i="23" s="1"/>
  <c r="C3410" i="23"/>
  <c r="J3410" i="23" s="1"/>
  <c r="C3346" i="23"/>
  <c r="J3346" i="23" s="1"/>
  <c r="C3282" i="23"/>
  <c r="J3282" i="23" s="1"/>
  <c r="C3218" i="23"/>
  <c r="J3218" i="23" s="1"/>
  <c r="C3154" i="23"/>
  <c r="J3154" i="23" s="1"/>
  <c r="C3090" i="23"/>
  <c r="J3090" i="23" s="1"/>
  <c r="C3903" i="23"/>
  <c r="J3903" i="23" s="1"/>
  <c r="C3389" i="23"/>
  <c r="J3389" i="23" s="1"/>
  <c r="C3199" i="23"/>
  <c r="J3199" i="23" s="1"/>
  <c r="C3071" i="23"/>
  <c r="J3071" i="23" s="1"/>
  <c r="C2996" i="23"/>
  <c r="J2996" i="23" s="1"/>
  <c r="C2932" i="23"/>
  <c r="J2932" i="23" s="1"/>
  <c r="C2868" i="23"/>
  <c r="J2868" i="23" s="1"/>
  <c r="C2804" i="23"/>
  <c r="J2804" i="23" s="1"/>
  <c r="C2740" i="23"/>
  <c r="J2740" i="23" s="1"/>
  <c r="C2676" i="23"/>
  <c r="J2676" i="23" s="1"/>
  <c r="C2612" i="23"/>
  <c r="J2612" i="23" s="1"/>
  <c r="C3545" i="23"/>
  <c r="J3545" i="23" s="1"/>
  <c r="C3289" i="23"/>
  <c r="J3289" i="23" s="1"/>
  <c r="C3149" i="23"/>
  <c r="J3149" i="23" s="1"/>
  <c r="C3035" i="23"/>
  <c r="J3035" i="23" s="1"/>
  <c r="C2971" i="23"/>
  <c r="J2971" i="23" s="1"/>
  <c r="C2907" i="23"/>
  <c r="J2907" i="23" s="1"/>
  <c r="C2843" i="23"/>
  <c r="J2843" i="23" s="1"/>
  <c r="C2779" i="23"/>
  <c r="J2779" i="23" s="1"/>
  <c r="C2715" i="23"/>
  <c r="J2715" i="23" s="1"/>
  <c r="C2651" i="23"/>
  <c r="J2651" i="23" s="1"/>
  <c r="C3493" i="23"/>
  <c r="J3493" i="23" s="1"/>
  <c r="C3251" i="23"/>
  <c r="J3251" i="23" s="1"/>
  <c r="C3123" i="23"/>
  <c r="J3123" i="23" s="1"/>
  <c r="C3022" i="23"/>
  <c r="J3022" i="23" s="1"/>
  <c r="C2958" i="23"/>
  <c r="J2958" i="23" s="1"/>
  <c r="C2894" i="23"/>
  <c r="J2894" i="23" s="1"/>
  <c r="C2830" i="23"/>
  <c r="J2830" i="23" s="1"/>
  <c r="C2766" i="23"/>
  <c r="J2766" i="23" s="1"/>
  <c r="C2702" i="23"/>
  <c r="J2702" i="23" s="1"/>
  <c r="C2638" i="23"/>
  <c r="J2638" i="23" s="1"/>
  <c r="C3457" i="23"/>
  <c r="J3457" i="23" s="1"/>
  <c r="C2949" i="23"/>
  <c r="J2949" i="23" s="1"/>
  <c r="C2693" i="23"/>
  <c r="J2693" i="23" s="1"/>
  <c r="C2567" i="23"/>
  <c r="J2567" i="23" s="1"/>
  <c r="C2503" i="23"/>
  <c r="J2503" i="23" s="1"/>
  <c r="C2439" i="23"/>
  <c r="J2439" i="23" s="1"/>
  <c r="C2375" i="23"/>
  <c r="J2375" i="23" s="1"/>
  <c r="C2311" i="23"/>
  <c r="J2311" i="23" s="1"/>
  <c r="C2247" i="23"/>
  <c r="J2247" i="23" s="1"/>
  <c r="C3941" i="23"/>
  <c r="J3941" i="23" s="1"/>
  <c r="C3877" i="23"/>
  <c r="J3877" i="23" s="1"/>
  <c r="C3813" i="23"/>
  <c r="J3813" i="23" s="1"/>
  <c r="C3749" i="23"/>
  <c r="J3749" i="23" s="1"/>
  <c r="C3685" i="23"/>
  <c r="J3685" i="23" s="1"/>
  <c r="C3621" i="23"/>
  <c r="J3621" i="23" s="1"/>
  <c r="C4638" i="23"/>
  <c r="J4638" i="23" s="1"/>
  <c r="C4276" i="23"/>
  <c r="J4276" i="23" s="1"/>
  <c r="C4148" i="23"/>
  <c r="J4148" i="23" s="1"/>
  <c r="C4044" i="23"/>
  <c r="J4044" i="23" s="1"/>
  <c r="C3980" i="23"/>
  <c r="J3980" i="23" s="1"/>
  <c r="C3916" i="23"/>
  <c r="J3916" i="23" s="1"/>
  <c r="C3852" i="23"/>
  <c r="J3852" i="23" s="1"/>
  <c r="C3788" i="23"/>
  <c r="J3788" i="23" s="1"/>
  <c r="C3724" i="23"/>
  <c r="J3724" i="23" s="1"/>
  <c r="C3660" i="23"/>
  <c r="J3660" i="23" s="1"/>
  <c r="C3596" i="23"/>
  <c r="J3596" i="23" s="1"/>
  <c r="C4210" i="23"/>
  <c r="J4210" i="23" s="1"/>
  <c r="C3883" i="23"/>
  <c r="J3883" i="23" s="1"/>
  <c r="C3627" i="23"/>
  <c r="J3627" i="23" s="1"/>
  <c r="C3512" i="23"/>
  <c r="J3512" i="23" s="1"/>
  <c r="C3448" i="23"/>
  <c r="J3448" i="23" s="1"/>
  <c r="C3384" i="23"/>
  <c r="J3384" i="23" s="1"/>
  <c r="C3320" i="23"/>
  <c r="J3320" i="23" s="1"/>
  <c r="C3256" i="23"/>
  <c r="J3256" i="23" s="1"/>
  <c r="C3192" i="23"/>
  <c r="J3192" i="23" s="1"/>
  <c r="C3128" i="23"/>
  <c r="J3128" i="23" s="1"/>
  <c r="C3064" i="23"/>
  <c r="J3064" i="23" s="1"/>
  <c r="C4039" i="23"/>
  <c r="J4039" i="23" s="1"/>
  <c r="C3783" i="23"/>
  <c r="J3783" i="23" s="1"/>
  <c r="C3551" i="23"/>
  <c r="J3551" i="23" s="1"/>
  <c r="C3487" i="23"/>
  <c r="J3487" i="23" s="1"/>
  <c r="C3423" i="23"/>
  <c r="J3423" i="23" s="1"/>
  <c r="C3359" i="23"/>
  <c r="J3359" i="23" s="1"/>
  <c r="C3295" i="23"/>
  <c r="J3295" i="23" s="1"/>
  <c r="C4130" i="23"/>
  <c r="J4130" i="23" s="1"/>
  <c r="C3843" i="23"/>
  <c r="J3843" i="23" s="1"/>
  <c r="C3587" i="23"/>
  <c r="J3587" i="23" s="1"/>
  <c r="C3502" i="23"/>
  <c r="J3502" i="23" s="1"/>
  <c r="C3438" i="23"/>
  <c r="J3438" i="23" s="1"/>
  <c r="C3374" i="23"/>
  <c r="J3374" i="23" s="1"/>
  <c r="C3310" i="23"/>
  <c r="J3310" i="23" s="1"/>
  <c r="C3246" i="23"/>
  <c r="J3246" i="23" s="1"/>
  <c r="C3182" i="23"/>
  <c r="J3182" i="23" s="1"/>
  <c r="C3118" i="23"/>
  <c r="J3118" i="23" s="1"/>
  <c r="C3054" i="23"/>
  <c r="J3054" i="23" s="1"/>
  <c r="C3501" i="23"/>
  <c r="J3501" i="23" s="1"/>
  <c r="C3255" i="23"/>
  <c r="J3255" i="23" s="1"/>
  <c r="C3127" i="23"/>
  <c r="J3127" i="23" s="1"/>
  <c r="C3024" i="23"/>
  <c r="J3024" i="23" s="1"/>
  <c r="C2960" i="23"/>
  <c r="J2960" i="23" s="1"/>
  <c r="C2896" i="23"/>
  <c r="J2896" i="23" s="1"/>
  <c r="C2832" i="23"/>
  <c r="J2832" i="23" s="1"/>
  <c r="C2768" i="23"/>
  <c r="J2768" i="23" s="1"/>
  <c r="C2704" i="23"/>
  <c r="J2704" i="23" s="1"/>
  <c r="C2640" i="23"/>
  <c r="J2640" i="23" s="1"/>
  <c r="C3951" i="23"/>
  <c r="J3951" i="23" s="1"/>
  <c r="C3401" i="23"/>
  <c r="J3401" i="23" s="1"/>
  <c r="C3205" i="23"/>
  <c r="J3205" i="23" s="1"/>
  <c r="C3077" i="23"/>
  <c r="J3077" i="23" s="1"/>
  <c r="C2999" i="23"/>
  <c r="J2999" i="23" s="1"/>
  <c r="C2935" i="23"/>
  <c r="J2935" i="23" s="1"/>
  <c r="C2871" i="23"/>
  <c r="J2871" i="23" s="1"/>
  <c r="C2807" i="23"/>
  <c r="J2807" i="23" s="1"/>
  <c r="C2743" i="23"/>
  <c r="J2743" i="23" s="1"/>
  <c r="C2679" i="23"/>
  <c r="J2679" i="23" s="1"/>
  <c r="C3743" i="23"/>
  <c r="J3743" i="23" s="1"/>
  <c r="C3349" i="23"/>
  <c r="J3349" i="23" s="1"/>
  <c r="C3179" i="23"/>
  <c r="J3179" i="23" s="1"/>
  <c r="C3051" i="23"/>
  <c r="J3051" i="23" s="1"/>
  <c r="C2986" i="23"/>
  <c r="J2986" i="23" s="1"/>
  <c r="C2922" i="23"/>
  <c r="J2922" i="23" s="1"/>
  <c r="C2858" i="23"/>
  <c r="J2858" i="23" s="1"/>
  <c r="C2794" i="23"/>
  <c r="J2794" i="23" s="1"/>
  <c r="C2730" i="23"/>
  <c r="J2730" i="23" s="1"/>
  <c r="C2666" i="23"/>
  <c r="J2666" i="23" s="1"/>
  <c r="C2602" i="23"/>
  <c r="J2602" i="23" s="1"/>
  <c r="C3073" i="23"/>
  <c r="J3073" i="23" s="1"/>
  <c r="C2805" i="23"/>
  <c r="J2805" i="23" s="1"/>
  <c r="C2597" i="23"/>
  <c r="J2597" i="23" s="1"/>
  <c r="C2531" i="23"/>
  <c r="J2531" i="23" s="1"/>
  <c r="C2467" i="23"/>
  <c r="J2467" i="23" s="1"/>
  <c r="C2403" i="23"/>
  <c r="J2403" i="23" s="1"/>
  <c r="C2339" i="23"/>
  <c r="J2339" i="23" s="1"/>
  <c r="C2275" i="23"/>
  <c r="J2275" i="23" s="1"/>
  <c r="C3969" i="23"/>
  <c r="J3969" i="23" s="1"/>
  <c r="C3905" i="23"/>
  <c r="J3905" i="23" s="1"/>
  <c r="C3841" i="23"/>
  <c r="J3841" i="23" s="1"/>
  <c r="C3777" i="23"/>
  <c r="J3777" i="23" s="1"/>
  <c r="C3713" i="23"/>
  <c r="J3713" i="23" s="1"/>
  <c r="C3649" i="23"/>
  <c r="J3649" i="23" s="1"/>
  <c r="C3585" i="23"/>
  <c r="J3585" i="23" s="1"/>
  <c r="C4350" i="23"/>
  <c r="J4350" i="23" s="1"/>
  <c r="C4204" i="23"/>
  <c r="J4204" i="23" s="1"/>
  <c r="C4076" i="23"/>
  <c r="J4076" i="23" s="1"/>
  <c r="C4008" i="23"/>
  <c r="J4008" i="23" s="1"/>
  <c r="C3944" i="23"/>
  <c r="J3944" i="23" s="1"/>
  <c r="C3880" i="23"/>
  <c r="J3880" i="23" s="1"/>
  <c r="C3816" i="23"/>
  <c r="J3816" i="23" s="1"/>
  <c r="C3752" i="23"/>
  <c r="J3752" i="23" s="1"/>
  <c r="C3688" i="23"/>
  <c r="J3688" i="23" s="1"/>
  <c r="C3624" i="23"/>
  <c r="J3624" i="23" s="1"/>
  <c r="C3560" i="23"/>
  <c r="J3560" i="23" s="1"/>
  <c r="C3995" i="23"/>
  <c r="J3995" i="23" s="1"/>
  <c r="C3739" i="23"/>
  <c r="J3739" i="23" s="1"/>
  <c r="C3540" i="23"/>
  <c r="J3540" i="23" s="1"/>
  <c r="C3476" i="23"/>
  <c r="J3476" i="23" s="1"/>
  <c r="C3412" i="23"/>
  <c r="J3412" i="23" s="1"/>
  <c r="C3348" i="23"/>
  <c r="J3348" i="23" s="1"/>
  <c r="C3284" i="23"/>
  <c r="J3284" i="23" s="1"/>
  <c r="C3220" i="23"/>
  <c r="J3220" i="23" s="1"/>
  <c r="C3156" i="23"/>
  <c r="J3156" i="23" s="1"/>
  <c r="C3092" i="23"/>
  <c r="J3092" i="23" s="1"/>
  <c r="C4234" i="23"/>
  <c r="J4234" i="23" s="1"/>
  <c r="C3895" i="23"/>
  <c r="J3895" i="23" s="1"/>
  <c r="C3639" i="23"/>
  <c r="J3639" i="23" s="1"/>
  <c r="C3515" i="23"/>
  <c r="J3515" i="23" s="1"/>
  <c r="C3451" i="23"/>
  <c r="J3451" i="23" s="1"/>
  <c r="C3387" i="23"/>
  <c r="J3387" i="23" s="1"/>
  <c r="C3323" i="23"/>
  <c r="J3323" i="23" s="1"/>
  <c r="C4438" i="23"/>
  <c r="J4438" i="23" s="1"/>
  <c r="C3955" i="23"/>
  <c r="J3955" i="23" s="1"/>
  <c r="C3699" i="23"/>
  <c r="J3699" i="23" s="1"/>
  <c r="C3530" i="23"/>
  <c r="J3530" i="23" s="1"/>
  <c r="C3466" i="23"/>
  <c r="J3466" i="23" s="1"/>
  <c r="C3402" i="23"/>
  <c r="J3402" i="23" s="1"/>
  <c r="C3338" i="23"/>
  <c r="J3338" i="23" s="1"/>
  <c r="C3274" i="23"/>
  <c r="J3274" i="23" s="1"/>
  <c r="C3210" i="23"/>
  <c r="J3210" i="23" s="1"/>
  <c r="C3146" i="23"/>
  <c r="J3146" i="23" s="1"/>
  <c r="C3082" i="23"/>
  <c r="J3082" i="23" s="1"/>
  <c r="C3775" i="23"/>
  <c r="J3775" i="23" s="1"/>
  <c r="C3357" i="23"/>
  <c r="J3357" i="23" s="1"/>
  <c r="C3183" i="23"/>
  <c r="J3183" i="23" s="1"/>
  <c r="C3055" i="23"/>
  <c r="J3055" i="23" s="1"/>
  <c r="C2988" i="23"/>
  <c r="J2988" i="23" s="1"/>
  <c r="C2924" i="23"/>
  <c r="J2924" i="23" s="1"/>
  <c r="C2860" i="23"/>
  <c r="J2860" i="23" s="1"/>
  <c r="C2796" i="23"/>
  <c r="J2796" i="23" s="1"/>
  <c r="C2732" i="23"/>
  <c r="J2732" i="23" s="1"/>
  <c r="C2668" i="23"/>
  <c r="J2668" i="23" s="1"/>
  <c r="C2604" i="23"/>
  <c r="J2604" i="23" s="1"/>
  <c r="C3513" i="23"/>
  <c r="J3513" i="23" s="1"/>
  <c r="C3261" i="23"/>
  <c r="J3261" i="23" s="1"/>
  <c r="C3133" i="23"/>
  <c r="J3133" i="23" s="1"/>
  <c r="C3027" i="23"/>
  <c r="J3027" i="23" s="1"/>
  <c r="C2963" i="23"/>
  <c r="J2963" i="23" s="1"/>
  <c r="C2899" i="23"/>
  <c r="J2899" i="23" s="1"/>
  <c r="C2835" i="23"/>
  <c r="J2835" i="23" s="1"/>
  <c r="C2771" i="23"/>
  <c r="J2771" i="23" s="1"/>
  <c r="C2707" i="23"/>
  <c r="J2707" i="23" s="1"/>
  <c r="C4314" i="23"/>
  <c r="J4314" i="23" s="1"/>
  <c r="C3461" i="23"/>
  <c r="J3461" i="23" s="1"/>
  <c r="C3235" i="23"/>
  <c r="J3235" i="23" s="1"/>
  <c r="C3107" i="23"/>
  <c r="J3107" i="23" s="1"/>
  <c r="C3014" i="23"/>
  <c r="J3014" i="23" s="1"/>
  <c r="C2950" i="23"/>
  <c r="J2950" i="23" s="1"/>
  <c r="C2886" i="23"/>
  <c r="J2886" i="23" s="1"/>
  <c r="C2822" i="23"/>
  <c r="J2822" i="23" s="1"/>
  <c r="C2758" i="23"/>
  <c r="J2758" i="23" s="1"/>
  <c r="C2694" i="23"/>
  <c r="J2694" i="23" s="1"/>
  <c r="C2630" i="23"/>
  <c r="J2630" i="23" s="1"/>
  <c r="C3329" i="23"/>
  <c r="J3329" i="23" s="1"/>
  <c r="C2917" i="23"/>
  <c r="J2917" i="23" s="1"/>
  <c r="C2661" i="23"/>
  <c r="J2661" i="23" s="1"/>
  <c r="C2559" i="23"/>
  <c r="J2559" i="23" s="1"/>
  <c r="C2495" i="23"/>
  <c r="J2495" i="23" s="1"/>
  <c r="C2431" i="23"/>
  <c r="J2431" i="23" s="1"/>
  <c r="C2367" i="23"/>
  <c r="J2367" i="23" s="1"/>
  <c r="C2303" i="23"/>
  <c r="J2303" i="23" s="1"/>
  <c r="C2239" i="23"/>
  <c r="J2239" i="23" s="1"/>
  <c r="C3917" i="23"/>
  <c r="J3917" i="23" s="1"/>
  <c r="C3853" i="23"/>
  <c r="J3853" i="23" s="1"/>
  <c r="C3789" i="23"/>
  <c r="J3789" i="23" s="1"/>
  <c r="C3725" i="23"/>
  <c r="J3725" i="23" s="1"/>
  <c r="C3661" i="23"/>
  <c r="J3661" i="23" s="1"/>
  <c r="C3597" i="23"/>
  <c r="J3597" i="23" s="1"/>
  <c r="C4446" i="23"/>
  <c r="J4446" i="23" s="1"/>
  <c r="C4228" i="23"/>
  <c r="J4228" i="23" s="1"/>
  <c r="C4100" i="23"/>
  <c r="J4100" i="23" s="1"/>
  <c r="C4020" i="23"/>
  <c r="J4020" i="23" s="1"/>
  <c r="C3956" i="23"/>
  <c r="J3956" i="23" s="1"/>
  <c r="C3892" i="23"/>
  <c r="J3892" i="23" s="1"/>
  <c r="C3828" i="23"/>
  <c r="J3828" i="23" s="1"/>
  <c r="C3764" i="23"/>
  <c r="J3764" i="23" s="1"/>
  <c r="C3700" i="23"/>
  <c r="J3700" i="23" s="1"/>
  <c r="C3636" i="23"/>
  <c r="J3636" i="23" s="1"/>
  <c r="C3572" i="23"/>
  <c r="J3572" i="23" s="1"/>
  <c r="C4043" i="23"/>
  <c r="J4043" i="23" s="1"/>
  <c r="C3787" i="23"/>
  <c r="J3787" i="23" s="1"/>
  <c r="C3552" i="23"/>
  <c r="J3552" i="23" s="1"/>
  <c r="C3488" i="23"/>
  <c r="J3488" i="23" s="1"/>
  <c r="C3424" i="23"/>
  <c r="J3424" i="23" s="1"/>
  <c r="C3360" i="23"/>
  <c r="J3360" i="23" s="1"/>
  <c r="C3296" i="23"/>
  <c r="J3296" i="23" s="1"/>
  <c r="C3232" i="23"/>
  <c r="J3232" i="23" s="1"/>
  <c r="C3168" i="23"/>
  <c r="J3168" i="23" s="1"/>
  <c r="C3104" i="23"/>
  <c r="J3104" i="23" s="1"/>
  <c r="C4342" i="23"/>
  <c r="J4342" i="23" s="1"/>
  <c r="C3943" i="23"/>
  <c r="J3943" i="23" s="1"/>
  <c r="C3687" i="23"/>
  <c r="J3687" i="23" s="1"/>
  <c r="C3527" i="23"/>
  <c r="J3527" i="23" s="1"/>
  <c r="C3463" i="23"/>
  <c r="J3463" i="23" s="1"/>
  <c r="C3399" i="23"/>
  <c r="J3399" i="23" s="1"/>
  <c r="C3335" i="23"/>
  <c r="J3335" i="23" s="1"/>
  <c r="C3271" i="23"/>
  <c r="J3271" i="23" s="1"/>
  <c r="C4003" i="23"/>
  <c r="J4003" i="23" s="1"/>
  <c r="C3747" i="23"/>
  <c r="J3747" i="23" s="1"/>
  <c r="C3542" i="23"/>
  <c r="J3542" i="23" s="1"/>
  <c r="C3478" i="23"/>
  <c r="J3478" i="23" s="1"/>
  <c r="C3414" i="23"/>
  <c r="J3414" i="23" s="1"/>
  <c r="C3350" i="23"/>
  <c r="J3350" i="23" s="1"/>
  <c r="C3286" i="23"/>
  <c r="J3286" i="23" s="1"/>
  <c r="C3222" i="23"/>
  <c r="J3222" i="23" s="1"/>
  <c r="C3158" i="23"/>
  <c r="J3158" i="23" s="1"/>
  <c r="C3094" i="23"/>
  <c r="J3094" i="23" s="1"/>
  <c r="C3967" i="23"/>
  <c r="J3967" i="23" s="1"/>
  <c r="C3405" i="23"/>
  <c r="J3405" i="23" s="1"/>
  <c r="C3207" i="23"/>
  <c r="J3207" i="23" s="1"/>
  <c r="C3079" i="23"/>
  <c r="J3079" i="23" s="1"/>
  <c r="C3000" i="23"/>
  <c r="J3000" i="23" s="1"/>
  <c r="C2936" i="23"/>
  <c r="J2936" i="23" s="1"/>
  <c r="C2872" i="23"/>
  <c r="J2872" i="23" s="1"/>
  <c r="C2808" i="23"/>
  <c r="J2808" i="23" s="1"/>
  <c r="C2744" i="23"/>
  <c r="J2744" i="23" s="1"/>
  <c r="C2680" i="23"/>
  <c r="J2680" i="23" s="1"/>
  <c r="C2616" i="23"/>
  <c r="J2616" i="23" s="1"/>
  <c r="C3567" i="23"/>
  <c r="J3567" i="23" s="1"/>
  <c r="C3305" i="23"/>
  <c r="J3305" i="23" s="1"/>
  <c r="C3157" i="23"/>
  <c r="J3157" i="23" s="1"/>
  <c r="C3039" i="23"/>
  <c r="J3039" i="23" s="1"/>
  <c r="C2975" i="23"/>
  <c r="J2975" i="23" s="1"/>
  <c r="C2911" i="23"/>
  <c r="J2911" i="23" s="1"/>
  <c r="C2847" i="23"/>
  <c r="J2847" i="23" s="1"/>
  <c r="C2783" i="23"/>
  <c r="J2783" i="23" s="1"/>
  <c r="C2719" i="23"/>
  <c r="J2719" i="23" s="1"/>
  <c r="C2655" i="23"/>
  <c r="J2655" i="23" s="1"/>
  <c r="C3509" i="23"/>
  <c r="J3509" i="23" s="1"/>
  <c r="C3259" i="23"/>
  <c r="J3259" i="23" s="1"/>
  <c r="C3131" i="23"/>
  <c r="J3131" i="23" s="1"/>
  <c r="C3026" i="23"/>
  <c r="J3026" i="23" s="1"/>
  <c r="C2962" i="23"/>
  <c r="J2962" i="23" s="1"/>
  <c r="C2898" i="23"/>
  <c r="J2898" i="23" s="1"/>
  <c r="C2834" i="23"/>
  <c r="J2834" i="23" s="1"/>
  <c r="C2770" i="23"/>
  <c r="J2770" i="23" s="1"/>
  <c r="C2706" i="23"/>
  <c r="J2706" i="23" s="1"/>
  <c r="C2642" i="23"/>
  <c r="J2642" i="23" s="1"/>
  <c r="C3521" i="23"/>
  <c r="J3521" i="23" s="1"/>
  <c r="C2965" i="23"/>
  <c r="J2965" i="23" s="1"/>
  <c r="C2709" i="23"/>
  <c r="J2709" i="23" s="1"/>
  <c r="C2571" i="23"/>
  <c r="J2571" i="23" s="1"/>
  <c r="C2507" i="23"/>
  <c r="J2507" i="23" s="1"/>
  <c r="C2443" i="23"/>
  <c r="J2443" i="23" s="1"/>
  <c r="C2379" i="23"/>
  <c r="J2379" i="23" s="1"/>
  <c r="C2315" i="23"/>
  <c r="J2315" i="23" s="1"/>
  <c r="C2251" i="23"/>
  <c r="J2251" i="23" s="1"/>
  <c r="C2191" i="23"/>
  <c r="J2191" i="23" s="1"/>
  <c r="C2127" i="23"/>
  <c r="J2127" i="23" s="1"/>
  <c r="C2063" i="23"/>
  <c r="J2063" i="23" s="1"/>
  <c r="C1999" i="23"/>
  <c r="J1999" i="23" s="1"/>
  <c r="C1935" i="23"/>
  <c r="J1935" i="23" s="1"/>
  <c r="C1871" i="23"/>
  <c r="J1871" i="23" s="1"/>
  <c r="C1807" i="23"/>
  <c r="J1807" i="23" s="1"/>
  <c r="C1743" i="23"/>
  <c r="J1743" i="23" s="1"/>
  <c r="C1679" i="23"/>
  <c r="J1679" i="23" s="1"/>
  <c r="C1615" i="23"/>
  <c r="J1615" i="23" s="1"/>
  <c r="C1551" i="23"/>
  <c r="J1551" i="23" s="1"/>
  <c r="C1487" i="23"/>
  <c r="J1487" i="23" s="1"/>
  <c r="C1423" i="23"/>
  <c r="J1423" i="23" s="1"/>
  <c r="C3041" i="23"/>
  <c r="J3041" i="23" s="1"/>
  <c r="C2785" i="23"/>
  <c r="J2785" i="23" s="1"/>
  <c r="C2590" i="23"/>
  <c r="J2590" i="23" s="1"/>
  <c r="C2526" i="23"/>
  <c r="J2526" i="23" s="1"/>
  <c r="C2462" i="23"/>
  <c r="J2462" i="23" s="1"/>
  <c r="C2398" i="23"/>
  <c r="J2398" i="23" s="1"/>
  <c r="C2334" i="23"/>
  <c r="J2334" i="23" s="1"/>
  <c r="C2270" i="23"/>
  <c r="J2270" i="23" s="1"/>
  <c r="C2206" i="23"/>
  <c r="J2206" i="23" s="1"/>
  <c r="C2142" i="23"/>
  <c r="J2142" i="23" s="1"/>
  <c r="C2078" i="23"/>
  <c r="J2078" i="23" s="1"/>
  <c r="C2014" i="23"/>
  <c r="J2014" i="23" s="1"/>
  <c r="C1950" i="23"/>
  <c r="J1950" i="23" s="1"/>
  <c r="C1886" i="23"/>
  <c r="J1886" i="23" s="1"/>
  <c r="C1822" i="23"/>
  <c r="J1822" i="23" s="1"/>
  <c r="C1758" i="23"/>
  <c r="J1758" i="23" s="1"/>
  <c r="C1694" i="23"/>
  <c r="J1694" i="23" s="1"/>
  <c r="C1630" i="23"/>
  <c r="J1630" i="23" s="1"/>
  <c r="C1566" i="23"/>
  <c r="J1566" i="23" s="1"/>
  <c r="C1502" i="23"/>
  <c r="J1502" i="23" s="1"/>
  <c r="C1438" i="23"/>
  <c r="J1438" i="23" s="1"/>
  <c r="C3185" i="23"/>
  <c r="J3185" i="23" s="1"/>
  <c r="C2861" i="23"/>
  <c r="J2861" i="23" s="1"/>
  <c r="C2625" i="23"/>
  <c r="J2625" i="23" s="1"/>
  <c r="C2545" i="23"/>
  <c r="J2545" i="23" s="1"/>
  <c r="C2481" i="23"/>
  <c r="J2481" i="23" s="1"/>
  <c r="C2417" i="23"/>
  <c r="J2417" i="23" s="1"/>
  <c r="C2353" i="23"/>
  <c r="J2353" i="23" s="1"/>
  <c r="C2289" i="23"/>
  <c r="J2289" i="23" s="1"/>
  <c r="C2225" i="23"/>
  <c r="J2225" i="23" s="1"/>
  <c r="C2161" i="23"/>
  <c r="J2161" i="23" s="1"/>
  <c r="C2097" i="23"/>
  <c r="J2097" i="23" s="1"/>
  <c r="C2033" i="23"/>
  <c r="J2033" i="23" s="1"/>
  <c r="C1969" i="23"/>
  <c r="J1969" i="23" s="1"/>
  <c r="C1905" i="23"/>
  <c r="J1905" i="23" s="1"/>
  <c r="C1841" i="23"/>
  <c r="J1841" i="23" s="1"/>
  <c r="C1777" i="23"/>
  <c r="J1777" i="23" s="1"/>
  <c r="C1713" i="23"/>
  <c r="J1713" i="23" s="1"/>
  <c r="C1649" i="23"/>
  <c r="J1649" i="23" s="1"/>
  <c r="C1585" i="23"/>
  <c r="J1585" i="23" s="1"/>
  <c r="C1521" i="23"/>
  <c r="J1521" i="23" s="1"/>
  <c r="C1457" i="23"/>
  <c r="J1457" i="23" s="1"/>
  <c r="C2937" i="23"/>
  <c r="J2937" i="23" s="1"/>
  <c r="C2436" i="23"/>
  <c r="J2436" i="23" s="1"/>
  <c r="C2180" i="23"/>
  <c r="J2180" i="23" s="1"/>
  <c r="C1924" i="23"/>
  <c r="J1924" i="23" s="1"/>
  <c r="C1668" i="23"/>
  <c r="J1668" i="23" s="1"/>
  <c r="C1415" i="23"/>
  <c r="J1415" i="23" s="1"/>
  <c r="C1350" i="23"/>
  <c r="J1350" i="23" s="1"/>
  <c r="C1286" i="23"/>
  <c r="J1286" i="23" s="1"/>
  <c r="C1222" i="23"/>
  <c r="J1222" i="23" s="1"/>
  <c r="C1158" i="23"/>
  <c r="J1158" i="23" s="1"/>
  <c r="C1094" i="23"/>
  <c r="J1094" i="23" s="1"/>
  <c r="C1030" i="23"/>
  <c r="J1030" i="23" s="1"/>
  <c r="C966" i="23"/>
  <c r="J966" i="23" s="1"/>
  <c r="C902" i="23"/>
  <c r="J902" i="23" s="1"/>
  <c r="C838" i="23"/>
  <c r="J838" i="23" s="1"/>
  <c r="C774" i="23"/>
  <c r="J774" i="23" s="1"/>
  <c r="C710" i="23"/>
  <c r="J710" i="23" s="1"/>
  <c r="C646" i="23"/>
  <c r="J646" i="23" s="1"/>
  <c r="C582" i="23"/>
  <c r="J582" i="23" s="1"/>
  <c r="C518" i="23"/>
  <c r="J518" i="23" s="1"/>
  <c r="C454" i="23"/>
  <c r="J454" i="23" s="1"/>
  <c r="C3727" i="23"/>
  <c r="J3727" i="23" s="1"/>
  <c r="C2512" i="23"/>
  <c r="J2512" i="23" s="1"/>
  <c r="C2256" i="23"/>
  <c r="J2256" i="23" s="1"/>
  <c r="C2000" i="23"/>
  <c r="J2000" i="23" s="1"/>
  <c r="C1744" i="23"/>
  <c r="J1744" i="23" s="1"/>
  <c r="C1488" i="23"/>
  <c r="J1488" i="23" s="1"/>
  <c r="C1369" i="23"/>
  <c r="J1369" i="23" s="1"/>
  <c r="C1305" i="23"/>
  <c r="J1305" i="23" s="1"/>
  <c r="C1241" i="23"/>
  <c r="J1241" i="23" s="1"/>
  <c r="C2203" i="23"/>
  <c r="J2203" i="23" s="1"/>
  <c r="C2139" i="23"/>
  <c r="J2139" i="23" s="1"/>
  <c r="C2075" i="23"/>
  <c r="J2075" i="23" s="1"/>
  <c r="C2011" i="23"/>
  <c r="J2011" i="23" s="1"/>
  <c r="C1947" i="23"/>
  <c r="J1947" i="23" s="1"/>
  <c r="C1883" i="23"/>
  <c r="J1883" i="23" s="1"/>
  <c r="C4983" i="23"/>
  <c r="J4983" i="23" s="1"/>
  <c r="C4919" i="23"/>
  <c r="J4919" i="23" s="1"/>
  <c r="C4855" i="23"/>
  <c r="J4855" i="23" s="1"/>
  <c r="C4791" i="23"/>
  <c r="J4791" i="23" s="1"/>
  <c r="C4727" i="23"/>
  <c r="J4727" i="23" s="1"/>
  <c r="C4663" i="23"/>
  <c r="J4663" i="23" s="1"/>
  <c r="C4938" i="23"/>
  <c r="J4938" i="23" s="1"/>
  <c r="C4874" i="23"/>
  <c r="J4874" i="23" s="1"/>
  <c r="C4810" i="23"/>
  <c r="J4810" i="23" s="1"/>
  <c r="C4746" i="23"/>
  <c r="J4746" i="23" s="1"/>
  <c r="C4682" i="23"/>
  <c r="J4682" i="23" s="1"/>
  <c r="C4957" i="23"/>
  <c r="J4957" i="23" s="1"/>
  <c r="C4893" i="23"/>
  <c r="J4893" i="23" s="1"/>
  <c r="C4829" i="23"/>
  <c r="J4829" i="23" s="1"/>
  <c r="C4765" i="23"/>
  <c r="J4765" i="23" s="1"/>
  <c r="C4701" i="23"/>
  <c r="J4701" i="23" s="1"/>
  <c r="C4972" i="23"/>
  <c r="J4972" i="23" s="1"/>
  <c r="C4908" i="23"/>
  <c r="J4908" i="23" s="1"/>
  <c r="C4844" i="23"/>
  <c r="J4844" i="23" s="1"/>
  <c r="C4780" i="23"/>
  <c r="J4780" i="23" s="1"/>
  <c r="C4716" i="23"/>
  <c r="J4716" i="23" s="1"/>
  <c r="C4653" i="23"/>
  <c r="J4653" i="23" s="1"/>
  <c r="C4947" i="23"/>
  <c r="J4947" i="23" s="1"/>
  <c r="C4883" i="23"/>
  <c r="J4883" i="23" s="1"/>
  <c r="C4819" i="23"/>
  <c r="J4819" i="23" s="1"/>
  <c r="C4755" i="23"/>
  <c r="J4755" i="23" s="1"/>
  <c r="C4691" i="23"/>
  <c r="J4691" i="23" s="1"/>
  <c r="C4966" i="23"/>
  <c r="J4966" i="23" s="1"/>
  <c r="C4902" i="23"/>
  <c r="J4902" i="23" s="1"/>
  <c r="C4838" i="23"/>
  <c r="J4838" i="23" s="1"/>
  <c r="C4774" i="23"/>
  <c r="J4774" i="23" s="1"/>
  <c r="C4710" i="23"/>
  <c r="J4710" i="23" s="1"/>
  <c r="C4985" i="23"/>
  <c r="J4985" i="23" s="1"/>
  <c r="C4921" i="23"/>
  <c r="J4921" i="23" s="1"/>
  <c r="C4857" i="23"/>
  <c r="J4857" i="23" s="1"/>
  <c r="C4793" i="23"/>
  <c r="J4793" i="23" s="1"/>
  <c r="C4729" i="23"/>
  <c r="J4729" i="23" s="1"/>
  <c r="C5000" i="23"/>
  <c r="J5000" i="23" s="1"/>
  <c r="C4936" i="23"/>
  <c r="J4936" i="23" s="1"/>
  <c r="C4991" i="23"/>
  <c r="J4991" i="23" s="1"/>
  <c r="C4927" i="23"/>
  <c r="J4927" i="23" s="1"/>
  <c r="C4863" i="23"/>
  <c r="J4863" i="23" s="1"/>
  <c r="C4799" i="23"/>
  <c r="J4799" i="23" s="1"/>
  <c r="C4735" i="23"/>
  <c r="J4735" i="23" s="1"/>
  <c r="C4671" i="23"/>
  <c r="J4671" i="23" s="1"/>
  <c r="C4946" i="23"/>
  <c r="J4946" i="23" s="1"/>
  <c r="C4882" i="23"/>
  <c r="J4882" i="23" s="1"/>
  <c r="C4818" i="23"/>
  <c r="J4818" i="23" s="1"/>
  <c r="C4754" i="23"/>
  <c r="J4754" i="23" s="1"/>
  <c r="C4690" i="23"/>
  <c r="J4690" i="23" s="1"/>
  <c r="C4965" i="23"/>
  <c r="J4965" i="23" s="1"/>
  <c r="C4901" i="23"/>
  <c r="J4901" i="23" s="1"/>
  <c r="C4837" i="23"/>
  <c r="J4837" i="23" s="1"/>
  <c r="C4773" i="23"/>
  <c r="J4773" i="23" s="1"/>
  <c r="C4709" i="23"/>
  <c r="J4709" i="23" s="1"/>
  <c r="C4980" i="23"/>
  <c r="J4980" i="23" s="1"/>
  <c r="C4916" i="23"/>
  <c r="J4916" i="23" s="1"/>
  <c r="C4971" i="23"/>
  <c r="J4971" i="23" s="1"/>
  <c r="C4907" i="23"/>
  <c r="J4907" i="23" s="1"/>
  <c r="C4843" i="23"/>
  <c r="J4843" i="23" s="1"/>
  <c r="C4779" i="23"/>
  <c r="J4779" i="23" s="1"/>
  <c r="C4715" i="23"/>
  <c r="J4715" i="23" s="1"/>
  <c r="C4990" i="23"/>
  <c r="J4990" i="23" s="1"/>
  <c r="C4926" i="23"/>
  <c r="J4926" i="23" s="1"/>
  <c r="C4862" i="23"/>
  <c r="J4862" i="23" s="1"/>
  <c r="C4798" i="23"/>
  <c r="J4798" i="23" s="1"/>
  <c r="C4734" i="23"/>
  <c r="J4734" i="23" s="1"/>
  <c r="C4670" i="23"/>
  <c r="J4670" i="23" s="1"/>
  <c r="C4945" i="23"/>
  <c r="J4945" i="23" s="1"/>
  <c r="C4881" i="23"/>
  <c r="J4881" i="23" s="1"/>
  <c r="C4817" i="23"/>
  <c r="J4817" i="23" s="1"/>
  <c r="C4753" i="23"/>
  <c r="J4753" i="23" s="1"/>
  <c r="C4689" i="23"/>
  <c r="J4689" i="23" s="1"/>
  <c r="C4960" i="23"/>
  <c r="J4960" i="23" s="1"/>
  <c r="C4896" i="23"/>
  <c r="J4896" i="23" s="1"/>
  <c r="C4832" i="23"/>
  <c r="J4832" i="23" s="1"/>
  <c r="C4768" i="23"/>
  <c r="J4768" i="23" s="1"/>
  <c r="C4704" i="23"/>
  <c r="J4704" i="23" s="1"/>
  <c r="C4872" i="23"/>
  <c r="J4872" i="23" s="1"/>
  <c r="C4744" i="23"/>
  <c r="J4744" i="23" s="1"/>
  <c r="C4633" i="23"/>
  <c r="J4633" i="23" s="1"/>
  <c r="C4569" i="23"/>
  <c r="J4569" i="23" s="1"/>
  <c r="C4505" i="23"/>
  <c r="J4505" i="23" s="1"/>
  <c r="C4441" i="23"/>
  <c r="J4441" i="23" s="1"/>
  <c r="C4377" i="23"/>
  <c r="J4377" i="23" s="1"/>
  <c r="C4648" i="23"/>
  <c r="J4648" i="23" s="1"/>
  <c r="C4584" i="23"/>
  <c r="J4584" i="23" s="1"/>
  <c r="C4520" i="23"/>
  <c r="J4520" i="23" s="1"/>
  <c r="C4456" i="23"/>
  <c r="J4456" i="23" s="1"/>
  <c r="C4392" i="23"/>
  <c r="J4392" i="23" s="1"/>
  <c r="C4328" i="23"/>
  <c r="J4328" i="23" s="1"/>
  <c r="C4603" i="23"/>
  <c r="J4603" i="23" s="1"/>
  <c r="C4539" i="23"/>
  <c r="J4539" i="23" s="1"/>
  <c r="C4475" i="23"/>
  <c r="J4475" i="23" s="1"/>
  <c r="C4411" i="23"/>
  <c r="J4411" i="23" s="1"/>
  <c r="C4347" i="23"/>
  <c r="J4347" i="23" s="1"/>
  <c r="C4482" i="23"/>
  <c r="J4482" i="23" s="1"/>
  <c r="C4301" i="23"/>
  <c r="J4301" i="23" s="1"/>
  <c r="C4237" i="23"/>
  <c r="J4237" i="23" s="1"/>
  <c r="C4173" i="23"/>
  <c r="J4173" i="23" s="1"/>
  <c r="C4109" i="23"/>
  <c r="J4109" i="23" s="1"/>
  <c r="C4570" i="23"/>
  <c r="J4570" i="23" s="1"/>
  <c r="C4323" i="23"/>
  <c r="J4323" i="23" s="1"/>
  <c r="C4259" i="23"/>
  <c r="J4259" i="23" s="1"/>
  <c r="C4195" i="23"/>
  <c r="J4195" i="23" s="1"/>
  <c r="C4131" i="23"/>
  <c r="J4131" i="23" s="1"/>
  <c r="C4654" i="23"/>
  <c r="J4654" i="23" s="1"/>
  <c r="C4280" i="23"/>
  <c r="J4280" i="23" s="1"/>
  <c r="C4152" i="23"/>
  <c r="J4152" i="23" s="1"/>
  <c r="C4046" i="23"/>
  <c r="J4046" i="23" s="1"/>
  <c r="C3982" i="23"/>
  <c r="J3982" i="23" s="1"/>
  <c r="C3918" i="23"/>
  <c r="J3918" i="23" s="1"/>
  <c r="C3854" i="23"/>
  <c r="J3854" i="23" s="1"/>
  <c r="C3790" i="23"/>
  <c r="J3790" i="23" s="1"/>
  <c r="C3726" i="23"/>
  <c r="J3726" i="23" s="1"/>
  <c r="C3662" i="23"/>
  <c r="J3662" i="23" s="1"/>
  <c r="C3598" i="23"/>
  <c r="J3598" i="23" s="1"/>
  <c r="C4454" i="23"/>
  <c r="J4454" i="23" s="1"/>
  <c r="C4230" i="23"/>
  <c r="J4230" i="23" s="1"/>
  <c r="C4102" i="23"/>
  <c r="J4102" i="23" s="1"/>
  <c r="C4021" i="23"/>
  <c r="J4021" i="23" s="1"/>
  <c r="C4836" i="23"/>
  <c r="J4836" i="23" s="1"/>
  <c r="C4708" i="23"/>
  <c r="J4708" i="23" s="1"/>
  <c r="C4613" i="23"/>
  <c r="J4613" i="23" s="1"/>
  <c r="C4549" i="23"/>
  <c r="J4549" i="23" s="1"/>
  <c r="C4485" i="23"/>
  <c r="J4485" i="23" s="1"/>
  <c r="C4421" i="23"/>
  <c r="J4421" i="23" s="1"/>
  <c r="C4357" i="23"/>
  <c r="J4357" i="23" s="1"/>
  <c r="C4628" i="23"/>
  <c r="J4628" i="23" s="1"/>
  <c r="C4564" i="23"/>
  <c r="J4564" i="23" s="1"/>
  <c r="C4500" i="23"/>
  <c r="J4500" i="23" s="1"/>
  <c r="C4436" i="23"/>
  <c r="J4436" i="23" s="1"/>
  <c r="C4372" i="23"/>
  <c r="J4372" i="23" s="1"/>
  <c r="C4647" i="23"/>
  <c r="J4647" i="23" s="1"/>
  <c r="C4583" i="23"/>
  <c r="J4583" i="23" s="1"/>
  <c r="C4519" i="23"/>
  <c r="J4519" i="23" s="1"/>
  <c r="C4455" i="23"/>
  <c r="J4455" i="23" s="1"/>
  <c r="C4391" i="23"/>
  <c r="J4391" i="23" s="1"/>
  <c r="C4658" i="23"/>
  <c r="J4658" i="23" s="1"/>
  <c r="C4402" i="23"/>
  <c r="J4402" i="23" s="1"/>
  <c r="C4281" i="23"/>
  <c r="J4281" i="23" s="1"/>
  <c r="C4217" i="23"/>
  <c r="J4217" i="23" s="1"/>
  <c r="C4153" i="23"/>
  <c r="J4153" i="23" s="1"/>
  <c r="C4089" i="23"/>
  <c r="J4089" i="23" s="1"/>
  <c r="C4490" i="23"/>
  <c r="J4490" i="23" s="1"/>
  <c r="C4303" i="23"/>
  <c r="J4303" i="23" s="1"/>
  <c r="C4239" i="23"/>
  <c r="J4239" i="23" s="1"/>
  <c r="C4175" i="23"/>
  <c r="J4175" i="23" s="1"/>
  <c r="C4111" i="23"/>
  <c r="J4111" i="23" s="1"/>
  <c r="C4494" i="23"/>
  <c r="J4494" i="23" s="1"/>
  <c r="C4240" i="23"/>
  <c r="J4240" i="23" s="1"/>
  <c r="C4112" i="23"/>
  <c r="J4112" i="23" s="1"/>
  <c r="C4026" i="23"/>
  <c r="J4026" i="23" s="1"/>
  <c r="C3962" i="23"/>
  <c r="J3962" i="23" s="1"/>
  <c r="C3898" i="23"/>
  <c r="J3898" i="23" s="1"/>
  <c r="C3834" i="23"/>
  <c r="J3834" i="23" s="1"/>
  <c r="C3770" i="23"/>
  <c r="J3770" i="23" s="1"/>
  <c r="C3706" i="23"/>
  <c r="J3706" i="23" s="1"/>
  <c r="C3642" i="23"/>
  <c r="J3642" i="23" s="1"/>
  <c r="C3578" i="23"/>
  <c r="J3578" i="23" s="1"/>
  <c r="C4318" i="23"/>
  <c r="J4318" i="23" s="1"/>
  <c r="C4190" i="23"/>
  <c r="J4190" i="23" s="1"/>
  <c r="C4065" i="23"/>
  <c r="J4065" i="23" s="1"/>
  <c r="C4001" i="23"/>
  <c r="J4001" i="23" s="1"/>
  <c r="C4792" i="23"/>
  <c r="J4792" i="23" s="1"/>
  <c r="C4664" i="23"/>
  <c r="J4664" i="23" s="1"/>
  <c r="C4593" i="23"/>
  <c r="J4593" i="23" s="1"/>
  <c r="C4529" i="23"/>
  <c r="J4529" i="23" s="1"/>
  <c r="C4465" i="23"/>
  <c r="J4465" i="23" s="1"/>
  <c r="C4401" i="23"/>
  <c r="J4401" i="23" s="1"/>
  <c r="C4337" i="23"/>
  <c r="J4337" i="23" s="1"/>
  <c r="C4608" i="23"/>
  <c r="J4608" i="23" s="1"/>
  <c r="C4544" i="23"/>
  <c r="J4544" i="23" s="1"/>
  <c r="C4480" i="23"/>
  <c r="J4480" i="23" s="1"/>
  <c r="C4416" i="23"/>
  <c r="J4416" i="23" s="1"/>
  <c r="C4352" i="23"/>
  <c r="J4352" i="23" s="1"/>
  <c r="C4627" i="23"/>
  <c r="J4627" i="23" s="1"/>
  <c r="C4563" i="23"/>
  <c r="J4563" i="23" s="1"/>
  <c r="C4499" i="23"/>
  <c r="J4499" i="23" s="1"/>
  <c r="C4435" i="23"/>
  <c r="J4435" i="23" s="1"/>
  <c r="C4371" i="23"/>
  <c r="J4371" i="23" s="1"/>
  <c r="C4578" i="23"/>
  <c r="J4578" i="23" s="1"/>
  <c r="C4326" i="23"/>
  <c r="J4326" i="23" s="1"/>
  <c r="C4261" i="23"/>
  <c r="J4261" i="23" s="1"/>
  <c r="C4197" i="23"/>
  <c r="J4197" i="23" s="1"/>
  <c r="C4133" i="23"/>
  <c r="J4133" i="23" s="1"/>
  <c r="C4069" i="23"/>
  <c r="J4069" i="23" s="1"/>
  <c r="C4410" i="23"/>
  <c r="J4410" i="23" s="1"/>
  <c r="C4283" i="23"/>
  <c r="J4283" i="23" s="1"/>
  <c r="C4219" i="23"/>
  <c r="J4219" i="23" s="1"/>
  <c r="C4155" i="23"/>
  <c r="J4155" i="23" s="1"/>
  <c r="C4091" i="23"/>
  <c r="J4091" i="23" s="1"/>
  <c r="C4334" i="23"/>
  <c r="J4334" i="23" s="1"/>
  <c r="C4200" i="23"/>
  <c r="J4200" i="23" s="1"/>
  <c r="C4072" i="23"/>
  <c r="J4072" i="23" s="1"/>
  <c r="C4006" i="23"/>
  <c r="J4006" i="23" s="1"/>
  <c r="C3942" i="23"/>
  <c r="J3942" i="23" s="1"/>
  <c r="C3878" i="23"/>
  <c r="J3878" i="23" s="1"/>
  <c r="C3814" i="23"/>
  <c r="J3814" i="23" s="1"/>
  <c r="C3750" i="23"/>
  <c r="J3750" i="23" s="1"/>
  <c r="C3686" i="23"/>
  <c r="J3686" i="23" s="1"/>
  <c r="C3622" i="23"/>
  <c r="J3622" i="23" s="1"/>
  <c r="C4646" i="23"/>
  <c r="J4646" i="23" s="1"/>
  <c r="C4278" i="23"/>
  <c r="J4278" i="23" s="1"/>
  <c r="C4150" i="23"/>
  <c r="J4150" i="23" s="1"/>
  <c r="C4045" i="23"/>
  <c r="J4045" i="23" s="1"/>
  <c r="C3981" i="23"/>
  <c r="J3981" i="23" s="1"/>
  <c r="C4756" i="23"/>
  <c r="J4756" i="23" s="1"/>
  <c r="C4637" i="23"/>
  <c r="J4637" i="23" s="1"/>
  <c r="C4573" i="23"/>
  <c r="J4573" i="23" s="1"/>
  <c r="C4509" i="23"/>
  <c r="J4509" i="23" s="1"/>
  <c r="C4445" i="23"/>
  <c r="J4445" i="23" s="1"/>
  <c r="C4381" i="23"/>
  <c r="J4381" i="23" s="1"/>
  <c r="C4652" i="23"/>
  <c r="J4652" i="23" s="1"/>
  <c r="C4588" i="23"/>
  <c r="J4588" i="23" s="1"/>
  <c r="C4524" i="23"/>
  <c r="J4524" i="23" s="1"/>
  <c r="C4460" i="23"/>
  <c r="J4460" i="23" s="1"/>
  <c r="C4396" i="23"/>
  <c r="J4396" i="23" s="1"/>
  <c r="C4332" i="23"/>
  <c r="J4332" i="23" s="1"/>
  <c r="C4607" i="23"/>
  <c r="J4607" i="23" s="1"/>
  <c r="C4543" i="23"/>
  <c r="J4543" i="23" s="1"/>
  <c r="C4479" i="23"/>
  <c r="J4479" i="23" s="1"/>
  <c r="C4415" i="23"/>
  <c r="J4415" i="23" s="1"/>
  <c r="C4351" i="23"/>
  <c r="J4351" i="23" s="1"/>
  <c r="C4498" i="23"/>
  <c r="J4498" i="23" s="1"/>
  <c r="C4305" i="23"/>
  <c r="J4305" i="23" s="1"/>
  <c r="C4241" i="23"/>
  <c r="J4241" i="23" s="1"/>
  <c r="C4177" i="23"/>
  <c r="J4177" i="23" s="1"/>
  <c r="C4113" i="23"/>
  <c r="J4113" i="23" s="1"/>
  <c r="C4586" i="23"/>
  <c r="J4586" i="23" s="1"/>
  <c r="C4330" i="23"/>
  <c r="J4330" i="23" s="1"/>
  <c r="C4263" i="23"/>
  <c r="J4263" i="23" s="1"/>
  <c r="C4199" i="23"/>
  <c r="J4199" i="23" s="1"/>
  <c r="C4135" i="23"/>
  <c r="J4135" i="23" s="1"/>
  <c r="C4071" i="23"/>
  <c r="J4071" i="23" s="1"/>
  <c r="C4288" i="23"/>
  <c r="J4288" i="23" s="1"/>
  <c r="C4160" i="23"/>
  <c r="J4160" i="23" s="1"/>
  <c r="C4050" i="23"/>
  <c r="J4050" i="23" s="1"/>
  <c r="C3986" i="23"/>
  <c r="J3986" i="23" s="1"/>
  <c r="C3922" i="23"/>
  <c r="J3922" i="23" s="1"/>
  <c r="C3858" i="23"/>
  <c r="J3858" i="23" s="1"/>
  <c r="C3794" i="23"/>
  <c r="J3794" i="23" s="1"/>
  <c r="C3730" i="23"/>
  <c r="J3730" i="23" s="1"/>
  <c r="C3666" i="23"/>
  <c r="J3666" i="23" s="1"/>
  <c r="C3602" i="23"/>
  <c r="J3602" i="23" s="1"/>
  <c r="C4486" i="23"/>
  <c r="J4486" i="23" s="1"/>
  <c r="C4238" i="23"/>
  <c r="J4238" i="23" s="1"/>
  <c r="C4110" i="23"/>
  <c r="J4110" i="23" s="1"/>
  <c r="C4025" i="23"/>
  <c r="J4025" i="23" s="1"/>
  <c r="C3961" i="23"/>
  <c r="J3961" i="23" s="1"/>
  <c r="C3897" i="23"/>
  <c r="J3897" i="23" s="1"/>
  <c r="C3833" i="23"/>
  <c r="J3833" i="23" s="1"/>
  <c r="C3769" i="23"/>
  <c r="J3769" i="23" s="1"/>
  <c r="C3705" i="23"/>
  <c r="J3705" i="23" s="1"/>
  <c r="C3641" i="23"/>
  <c r="J3641" i="23" s="1"/>
  <c r="C3577" i="23"/>
  <c r="J3577" i="23" s="1"/>
  <c r="C4316" i="23"/>
  <c r="J4316" i="23" s="1"/>
  <c r="C4188" i="23"/>
  <c r="J4188" i="23" s="1"/>
  <c r="C4064" i="23"/>
  <c r="J4064" i="23" s="1"/>
  <c r="C4000" i="23"/>
  <c r="J4000" i="23" s="1"/>
  <c r="C3936" i="23"/>
  <c r="J3936" i="23" s="1"/>
  <c r="C3872" i="23"/>
  <c r="J3872" i="23" s="1"/>
  <c r="C3808" i="23"/>
  <c r="J3808" i="23" s="1"/>
  <c r="C3744" i="23"/>
  <c r="J3744" i="23" s="1"/>
  <c r="C3680" i="23"/>
  <c r="J3680" i="23" s="1"/>
  <c r="C3616" i="23"/>
  <c r="J3616" i="23" s="1"/>
  <c r="C4502" i="23"/>
  <c r="J4502" i="23" s="1"/>
  <c r="C3963" i="23"/>
  <c r="J3963" i="23" s="1"/>
  <c r="C3707" i="23"/>
  <c r="J3707" i="23" s="1"/>
  <c r="C3532" i="23"/>
  <c r="J3532" i="23" s="1"/>
  <c r="C3468" i="23"/>
  <c r="J3468" i="23" s="1"/>
  <c r="C3404" i="23"/>
  <c r="J3404" i="23" s="1"/>
  <c r="C3340" i="23"/>
  <c r="J3340" i="23" s="1"/>
  <c r="C3276" i="23"/>
  <c r="J3276" i="23" s="1"/>
  <c r="C3212" i="23"/>
  <c r="J3212" i="23" s="1"/>
  <c r="C3148" i="23"/>
  <c r="J3148" i="23" s="1"/>
  <c r="C3084" i="23"/>
  <c r="J3084" i="23" s="1"/>
  <c r="C4170" i="23"/>
  <c r="J4170" i="23" s="1"/>
  <c r="C3863" i="23"/>
  <c r="J3863" i="23" s="1"/>
  <c r="C3607" i="23"/>
  <c r="J3607" i="23" s="1"/>
  <c r="C3507" i="23"/>
  <c r="J3507" i="23" s="1"/>
  <c r="C3443" i="23"/>
  <c r="J3443" i="23" s="1"/>
  <c r="C3379" i="23"/>
  <c r="J3379" i="23" s="1"/>
  <c r="C3315" i="23"/>
  <c r="J3315" i="23" s="1"/>
  <c r="C4290" i="23"/>
  <c r="J4290" i="23" s="1"/>
  <c r="C3923" i="23"/>
  <c r="J3923" i="23" s="1"/>
  <c r="C3667" i="23"/>
  <c r="J3667" i="23" s="1"/>
  <c r="C3522" i="23"/>
  <c r="J3522" i="23" s="1"/>
  <c r="C3458" i="23"/>
  <c r="J3458" i="23" s="1"/>
  <c r="C3394" i="23"/>
  <c r="J3394" i="23" s="1"/>
  <c r="C3330" i="23"/>
  <c r="J3330" i="23" s="1"/>
  <c r="C3266" i="23"/>
  <c r="J3266" i="23" s="1"/>
  <c r="C3202" i="23"/>
  <c r="J3202" i="23" s="1"/>
  <c r="C3138" i="23"/>
  <c r="J3138" i="23" s="1"/>
  <c r="C3074" i="23"/>
  <c r="J3074" i="23" s="1"/>
  <c r="C3647" i="23"/>
  <c r="J3647" i="23" s="1"/>
  <c r="C3325" i="23"/>
  <c r="J3325" i="23" s="1"/>
  <c r="C3167" i="23"/>
  <c r="J3167" i="23" s="1"/>
  <c r="C3044" i="23"/>
  <c r="J3044" i="23" s="1"/>
  <c r="C2980" i="23"/>
  <c r="J2980" i="23" s="1"/>
  <c r="C2916" i="23"/>
  <c r="J2916" i="23" s="1"/>
  <c r="C2852" i="23"/>
  <c r="J2852" i="23" s="1"/>
  <c r="C2788" i="23"/>
  <c r="J2788" i="23" s="1"/>
  <c r="C2724" i="23"/>
  <c r="J2724" i="23" s="1"/>
  <c r="C2660" i="23"/>
  <c r="J2660" i="23" s="1"/>
  <c r="C2596" i="23"/>
  <c r="J2596" i="23" s="1"/>
  <c r="C3481" i="23"/>
  <c r="J3481" i="23" s="1"/>
  <c r="C3245" i="23"/>
  <c r="J3245" i="23" s="1"/>
  <c r="C3117" i="23"/>
  <c r="J3117" i="23" s="1"/>
  <c r="C3019" i="23"/>
  <c r="J3019" i="23" s="1"/>
  <c r="C2955" i="23"/>
  <c r="J2955" i="23" s="1"/>
  <c r="C2891" i="23"/>
  <c r="J2891" i="23" s="1"/>
  <c r="C2827" i="23"/>
  <c r="J2827" i="23" s="1"/>
  <c r="C2763" i="23"/>
  <c r="J2763" i="23" s="1"/>
  <c r="C2699" i="23"/>
  <c r="J2699" i="23" s="1"/>
  <c r="C4063" i="23"/>
  <c r="J4063" i="23" s="1"/>
  <c r="C3429" i="23"/>
  <c r="J3429" i="23" s="1"/>
  <c r="C3219" i="23"/>
  <c r="J3219" i="23" s="1"/>
  <c r="C3091" i="23"/>
  <c r="J3091" i="23" s="1"/>
  <c r="C3006" i="23"/>
  <c r="J3006" i="23" s="1"/>
  <c r="C2942" i="23"/>
  <c r="J2942" i="23" s="1"/>
  <c r="C2878" i="23"/>
  <c r="J2878" i="23" s="1"/>
  <c r="C2814" i="23"/>
  <c r="J2814" i="23" s="1"/>
  <c r="C2750" i="23"/>
  <c r="J2750" i="23" s="1"/>
  <c r="C2686" i="23"/>
  <c r="J2686" i="23" s="1"/>
  <c r="C2622" i="23"/>
  <c r="J2622" i="23" s="1"/>
  <c r="C3233" i="23"/>
  <c r="J3233" i="23" s="1"/>
  <c r="C2885" i="23"/>
  <c r="J2885" i="23" s="1"/>
  <c r="C2637" i="23"/>
  <c r="J2637" i="23" s="1"/>
  <c r="C2551" i="23"/>
  <c r="J2551" i="23" s="1"/>
  <c r="C2487" i="23"/>
  <c r="J2487" i="23" s="1"/>
  <c r="C2423" i="23"/>
  <c r="J2423" i="23" s="1"/>
  <c r="C2359" i="23"/>
  <c r="J2359" i="23" s="1"/>
  <c r="C2295" i="23"/>
  <c r="J2295" i="23" s="1"/>
  <c r="C2231" i="23"/>
  <c r="J2231" i="23" s="1"/>
  <c r="C3925" i="23"/>
  <c r="J3925" i="23" s="1"/>
  <c r="C3861" i="23"/>
  <c r="J3861" i="23" s="1"/>
  <c r="C3797" i="23"/>
  <c r="J3797" i="23" s="1"/>
  <c r="C3733" i="23"/>
  <c r="J3733" i="23" s="1"/>
  <c r="C3669" i="23"/>
  <c r="J3669" i="23" s="1"/>
  <c r="C3605" i="23"/>
  <c r="J3605" i="23" s="1"/>
  <c r="C4510" i="23"/>
  <c r="J4510" i="23" s="1"/>
  <c r="C4244" i="23"/>
  <c r="J4244" i="23" s="1"/>
  <c r="C4116" i="23"/>
  <c r="J4116" i="23" s="1"/>
  <c r="C4028" i="23"/>
  <c r="J4028" i="23" s="1"/>
  <c r="C3964" i="23"/>
  <c r="J3964" i="23" s="1"/>
  <c r="C3900" i="23"/>
  <c r="J3900" i="23" s="1"/>
  <c r="C3836" i="23"/>
  <c r="J3836" i="23" s="1"/>
  <c r="C3772" i="23"/>
  <c r="J3772" i="23" s="1"/>
  <c r="C3708" i="23"/>
  <c r="J3708" i="23" s="1"/>
  <c r="C3644" i="23"/>
  <c r="J3644" i="23" s="1"/>
  <c r="C3580" i="23"/>
  <c r="J3580" i="23" s="1"/>
  <c r="C4082" i="23"/>
  <c r="J4082" i="23" s="1"/>
  <c r="C3819" i="23"/>
  <c r="J3819" i="23" s="1"/>
  <c r="C3563" i="23"/>
  <c r="J3563" i="23" s="1"/>
  <c r="C3496" i="23"/>
  <c r="J3496" i="23" s="1"/>
  <c r="C3432" i="23"/>
  <c r="J3432" i="23" s="1"/>
  <c r="C3368" i="23"/>
  <c r="J3368" i="23" s="1"/>
  <c r="C3304" i="23"/>
  <c r="J3304" i="23" s="1"/>
  <c r="C3240" i="23"/>
  <c r="J3240" i="23" s="1"/>
  <c r="C3176" i="23"/>
  <c r="J3176" i="23" s="1"/>
  <c r="C3112" i="23"/>
  <c r="J3112" i="23" s="1"/>
  <c r="C4598" i="23"/>
  <c r="J4598" i="23" s="1"/>
  <c r="C3975" i="23"/>
  <c r="J3975" i="23" s="1"/>
  <c r="C3719" i="23"/>
  <c r="J3719" i="23" s="1"/>
  <c r="C3535" i="23"/>
  <c r="J3535" i="23" s="1"/>
  <c r="C3471" i="23"/>
  <c r="J3471" i="23" s="1"/>
  <c r="C3407" i="23"/>
  <c r="J3407" i="23" s="1"/>
  <c r="C3343" i="23"/>
  <c r="J3343" i="23" s="1"/>
  <c r="C3279" i="23"/>
  <c r="J3279" i="23" s="1"/>
  <c r="C4035" i="23"/>
  <c r="J4035" i="23" s="1"/>
  <c r="C3779" i="23"/>
  <c r="J3779" i="23" s="1"/>
  <c r="C3550" i="23"/>
  <c r="J3550" i="23" s="1"/>
  <c r="C3486" i="23"/>
  <c r="J3486" i="23" s="1"/>
  <c r="C3422" i="23"/>
  <c r="J3422" i="23" s="1"/>
  <c r="C3358" i="23"/>
  <c r="J3358" i="23" s="1"/>
  <c r="C3294" i="23"/>
  <c r="J3294" i="23" s="1"/>
  <c r="C3230" i="23"/>
  <c r="J3230" i="23" s="1"/>
  <c r="C3166" i="23"/>
  <c r="J3166" i="23" s="1"/>
  <c r="C3102" i="23"/>
  <c r="J3102" i="23" s="1"/>
  <c r="C4122" i="23"/>
  <c r="J4122" i="23" s="1"/>
  <c r="C3437" i="23"/>
  <c r="J3437" i="23" s="1"/>
  <c r="C3223" i="23"/>
  <c r="J3223" i="23" s="1"/>
  <c r="C3095" i="23"/>
  <c r="J3095" i="23" s="1"/>
  <c r="C3008" i="23"/>
  <c r="J3008" i="23" s="1"/>
  <c r="C2944" i="23"/>
  <c r="J2944" i="23" s="1"/>
  <c r="C2880" i="23"/>
  <c r="J2880" i="23" s="1"/>
  <c r="C2816" i="23"/>
  <c r="J2816" i="23" s="1"/>
  <c r="C2752" i="23"/>
  <c r="J2752" i="23" s="1"/>
  <c r="C2688" i="23"/>
  <c r="J2688" i="23" s="1"/>
  <c r="C2624" i="23"/>
  <c r="J2624" i="23" s="1"/>
  <c r="C3695" i="23"/>
  <c r="J3695" i="23" s="1"/>
  <c r="C3337" i="23"/>
  <c r="J3337" i="23" s="1"/>
  <c r="C3173" i="23"/>
  <c r="J3173" i="23" s="1"/>
  <c r="C3047" i="23"/>
  <c r="J3047" i="23" s="1"/>
  <c r="C2983" i="23"/>
  <c r="J2983" i="23" s="1"/>
  <c r="C2919" i="23"/>
  <c r="J2919" i="23" s="1"/>
  <c r="C2855" i="23"/>
  <c r="J2855" i="23" s="1"/>
  <c r="C2791" i="23"/>
  <c r="J2791" i="23" s="1"/>
  <c r="C2727" i="23"/>
  <c r="J2727" i="23" s="1"/>
  <c r="C2663" i="23"/>
  <c r="J2663" i="23" s="1"/>
  <c r="C3541" i="23"/>
  <c r="J3541" i="23" s="1"/>
  <c r="C3285" i="23"/>
  <c r="J3285" i="23" s="1"/>
  <c r="C3147" i="23"/>
  <c r="J3147" i="23" s="1"/>
  <c r="C3034" i="23"/>
  <c r="J3034" i="23" s="1"/>
  <c r="C2970" i="23"/>
  <c r="J2970" i="23" s="1"/>
  <c r="C2906" i="23"/>
  <c r="J2906" i="23" s="1"/>
  <c r="C2842" i="23"/>
  <c r="J2842" i="23" s="1"/>
  <c r="C2778" i="23"/>
  <c r="J2778" i="23" s="1"/>
  <c r="C2714" i="23"/>
  <c r="J2714" i="23" s="1"/>
  <c r="C2650" i="23"/>
  <c r="J2650" i="23" s="1"/>
  <c r="C3919" i="23"/>
  <c r="J3919" i="23" s="1"/>
  <c r="C2997" i="23"/>
  <c r="J2997" i="23" s="1"/>
  <c r="C2741" i="23"/>
  <c r="J2741" i="23" s="1"/>
  <c r="C2579" i="23"/>
  <c r="J2579" i="23" s="1"/>
  <c r="C2515" i="23"/>
  <c r="J2515" i="23" s="1"/>
  <c r="C2451" i="23"/>
  <c r="J2451" i="23" s="1"/>
  <c r="C2387" i="23"/>
  <c r="J2387" i="23" s="1"/>
  <c r="C2323" i="23"/>
  <c r="J2323" i="23" s="1"/>
  <c r="C2259" i="23"/>
  <c r="J2259" i="23" s="1"/>
  <c r="C3953" i="23"/>
  <c r="J3953" i="23" s="1"/>
  <c r="C3889" i="23"/>
  <c r="J3889" i="23" s="1"/>
  <c r="C3825" i="23"/>
  <c r="J3825" i="23" s="1"/>
  <c r="C3761" i="23"/>
  <c r="J3761" i="23" s="1"/>
  <c r="C3697" i="23"/>
  <c r="J3697" i="23" s="1"/>
  <c r="C3633" i="23"/>
  <c r="J3633" i="23" s="1"/>
  <c r="C3569" i="23"/>
  <c r="J3569" i="23" s="1"/>
  <c r="C4300" i="23"/>
  <c r="J4300" i="23" s="1"/>
  <c r="C4172" i="23"/>
  <c r="J4172" i="23" s="1"/>
  <c r="C4056" i="23"/>
  <c r="J4056" i="23" s="1"/>
  <c r="C3992" i="23"/>
  <c r="J3992" i="23" s="1"/>
  <c r="C3928" i="23"/>
  <c r="J3928" i="23" s="1"/>
  <c r="C3864" i="23"/>
  <c r="J3864" i="23" s="1"/>
  <c r="C3800" i="23"/>
  <c r="J3800" i="23" s="1"/>
  <c r="C3736" i="23"/>
  <c r="J3736" i="23" s="1"/>
  <c r="C3672" i="23"/>
  <c r="J3672" i="23" s="1"/>
  <c r="C3608" i="23"/>
  <c r="J3608" i="23" s="1"/>
  <c r="C4306" i="23"/>
  <c r="J4306" i="23" s="1"/>
  <c r="C3931" i="23"/>
  <c r="J3931" i="23" s="1"/>
  <c r="C3675" i="23"/>
  <c r="J3675" i="23" s="1"/>
  <c r="C3524" i="23"/>
  <c r="J3524" i="23" s="1"/>
  <c r="C3460" i="23"/>
  <c r="J3460" i="23" s="1"/>
  <c r="C3396" i="23"/>
  <c r="J3396" i="23" s="1"/>
  <c r="C3332" i="23"/>
  <c r="J3332" i="23" s="1"/>
  <c r="C3268" i="23"/>
  <c r="J3268" i="23" s="1"/>
  <c r="C3204" i="23"/>
  <c r="J3204" i="23" s="1"/>
  <c r="C3140" i="23"/>
  <c r="J3140" i="23" s="1"/>
  <c r="C3076" i="23"/>
  <c r="J3076" i="23" s="1"/>
  <c r="C4106" i="23"/>
  <c r="J4106" i="23" s="1"/>
  <c r="C3831" i="23"/>
  <c r="J3831" i="23" s="1"/>
  <c r="C3575" i="23"/>
  <c r="J3575" i="23" s="1"/>
  <c r="C3499" i="23"/>
  <c r="J3499" i="23" s="1"/>
  <c r="C3435" i="23"/>
  <c r="J3435" i="23" s="1"/>
  <c r="C3371" i="23"/>
  <c r="J3371" i="23" s="1"/>
  <c r="C3307" i="23"/>
  <c r="J3307" i="23" s="1"/>
  <c r="C4226" i="23"/>
  <c r="J4226" i="23" s="1"/>
  <c r="C3891" i="23"/>
  <c r="J3891" i="23" s="1"/>
  <c r="C3635" i="23"/>
  <c r="J3635" i="23" s="1"/>
  <c r="C3514" i="23"/>
  <c r="J3514" i="23" s="1"/>
  <c r="C3450" i="23"/>
  <c r="J3450" i="23" s="1"/>
  <c r="C3386" i="23"/>
  <c r="J3386" i="23" s="1"/>
  <c r="C3322" i="23"/>
  <c r="J3322" i="23" s="1"/>
  <c r="C3258" i="23"/>
  <c r="J3258" i="23" s="1"/>
  <c r="C3194" i="23"/>
  <c r="J3194" i="23" s="1"/>
  <c r="C3130" i="23"/>
  <c r="J3130" i="23" s="1"/>
  <c r="C3066" i="23"/>
  <c r="J3066" i="23" s="1"/>
  <c r="C3549" i="23"/>
  <c r="J3549" i="23" s="1"/>
  <c r="C3293" i="23"/>
  <c r="J3293" i="23" s="1"/>
  <c r="C3151" i="23"/>
  <c r="J3151" i="23" s="1"/>
  <c r="C3036" i="23"/>
  <c r="J3036" i="23" s="1"/>
  <c r="C2972" i="23"/>
  <c r="J2972" i="23" s="1"/>
  <c r="C2908" i="23"/>
  <c r="J2908" i="23" s="1"/>
  <c r="C2844" i="23"/>
  <c r="J2844" i="23" s="1"/>
  <c r="C2780" i="23"/>
  <c r="J2780" i="23" s="1"/>
  <c r="C2716" i="23"/>
  <c r="J2716" i="23" s="1"/>
  <c r="C2652" i="23"/>
  <c r="J2652" i="23" s="1"/>
  <c r="C4218" i="23"/>
  <c r="J4218" i="23" s="1"/>
  <c r="C3449" i="23"/>
  <c r="J3449" i="23" s="1"/>
  <c r="C3229" i="23"/>
  <c r="J3229" i="23" s="1"/>
  <c r="C3101" i="23"/>
  <c r="J3101" i="23" s="1"/>
  <c r="C3011" i="23"/>
  <c r="J3011" i="23" s="1"/>
  <c r="C2947" i="23"/>
  <c r="J2947" i="23" s="1"/>
  <c r="C2883" i="23"/>
  <c r="J2883" i="23" s="1"/>
  <c r="C2819" i="23"/>
  <c r="J2819" i="23" s="1"/>
  <c r="C2755" i="23"/>
  <c r="J2755" i="23" s="1"/>
  <c r="C2691" i="23"/>
  <c r="J2691" i="23" s="1"/>
  <c r="C3935" i="23"/>
  <c r="J3935" i="23" s="1"/>
  <c r="C3397" i="23"/>
  <c r="J3397" i="23" s="1"/>
  <c r="C3203" i="23"/>
  <c r="J3203" i="23" s="1"/>
  <c r="C3075" i="23"/>
  <c r="J3075" i="23" s="1"/>
  <c r="C2998" i="23"/>
  <c r="J2998" i="23" s="1"/>
  <c r="C2934" i="23"/>
  <c r="J2934" i="23" s="1"/>
  <c r="C2870" i="23"/>
  <c r="J2870" i="23" s="1"/>
  <c r="C2806" i="23"/>
  <c r="J2806" i="23" s="1"/>
  <c r="C2742" i="23"/>
  <c r="J2742" i="23" s="1"/>
  <c r="C2678" i="23"/>
  <c r="J2678" i="23" s="1"/>
  <c r="C2614" i="23"/>
  <c r="J2614" i="23" s="1"/>
  <c r="C3169" i="23"/>
  <c r="J3169" i="23" s="1"/>
  <c r="C2853" i="23"/>
  <c r="J2853" i="23" s="1"/>
  <c r="C2621" i="23"/>
  <c r="J2621" i="23" s="1"/>
  <c r="C2543" i="23"/>
  <c r="J2543" i="23" s="1"/>
  <c r="C2479" i="23"/>
  <c r="J2479" i="23" s="1"/>
  <c r="C2415" i="23"/>
  <c r="J2415" i="23" s="1"/>
  <c r="C2351" i="23"/>
  <c r="J2351" i="23" s="1"/>
  <c r="C2287" i="23"/>
  <c r="J2287" i="23" s="1"/>
  <c r="C3965" i="23"/>
  <c r="J3965" i="23" s="1"/>
  <c r="C3901" i="23"/>
  <c r="J3901" i="23" s="1"/>
  <c r="C3837" i="23"/>
  <c r="J3837" i="23" s="1"/>
  <c r="C3773" i="23"/>
  <c r="J3773" i="23" s="1"/>
  <c r="C3709" i="23"/>
  <c r="J3709" i="23" s="1"/>
  <c r="C3645" i="23"/>
  <c r="J3645" i="23" s="1"/>
  <c r="C3581" i="23"/>
  <c r="J3581" i="23" s="1"/>
  <c r="C4325" i="23"/>
  <c r="J4325" i="23" s="1"/>
  <c r="C4196" i="23"/>
  <c r="J4196" i="23" s="1"/>
  <c r="C4068" i="23"/>
  <c r="J4068" i="23" s="1"/>
  <c r="C4004" i="23"/>
  <c r="J4004" i="23" s="1"/>
  <c r="C3940" i="23"/>
  <c r="J3940" i="23" s="1"/>
  <c r="C3876" i="23"/>
  <c r="J3876" i="23" s="1"/>
  <c r="C3812" i="23"/>
  <c r="J3812" i="23" s="1"/>
  <c r="C3748" i="23"/>
  <c r="J3748" i="23" s="1"/>
  <c r="C3684" i="23"/>
  <c r="J3684" i="23" s="1"/>
  <c r="C3620" i="23"/>
  <c r="J3620" i="23" s="1"/>
  <c r="C4630" i="23"/>
  <c r="J4630" i="23" s="1"/>
  <c r="C3979" i="23"/>
  <c r="J3979" i="23" s="1"/>
  <c r="C3723" i="23"/>
  <c r="J3723" i="23" s="1"/>
  <c r="C3536" i="23"/>
  <c r="J3536" i="23" s="1"/>
  <c r="C3472" i="23"/>
  <c r="J3472" i="23" s="1"/>
  <c r="C3408" i="23"/>
  <c r="J3408" i="23" s="1"/>
  <c r="C3344" i="23"/>
  <c r="J3344" i="23" s="1"/>
  <c r="C3280" i="23"/>
  <c r="J3280" i="23" s="1"/>
  <c r="C3216" i="23"/>
  <c r="J3216" i="23" s="1"/>
  <c r="C3152" i="23"/>
  <c r="J3152" i="23" s="1"/>
  <c r="C3088" i="23"/>
  <c r="J3088" i="23" s="1"/>
  <c r="C4202" i="23"/>
  <c r="J4202" i="23" s="1"/>
  <c r="C3879" i="23"/>
  <c r="J3879" i="23" s="1"/>
  <c r="C3623" i="23"/>
  <c r="J3623" i="23" s="1"/>
  <c r="C3511" i="23"/>
  <c r="J3511" i="23" s="1"/>
  <c r="C3447" i="23"/>
  <c r="J3447" i="23" s="1"/>
  <c r="C3383" i="23"/>
  <c r="J3383" i="23" s="1"/>
  <c r="C3319" i="23"/>
  <c r="J3319" i="23" s="1"/>
  <c r="C4322" i="23"/>
  <c r="J4322" i="23" s="1"/>
  <c r="C3939" i="23"/>
  <c r="J3939" i="23" s="1"/>
  <c r="C3683" i="23"/>
  <c r="J3683" i="23" s="1"/>
  <c r="C3526" i="23"/>
  <c r="J3526" i="23" s="1"/>
  <c r="C3462" i="23"/>
  <c r="J3462" i="23" s="1"/>
  <c r="C3398" i="23"/>
  <c r="J3398" i="23" s="1"/>
  <c r="C3334" i="23"/>
  <c r="J3334" i="23" s="1"/>
  <c r="C3270" i="23"/>
  <c r="J3270" i="23" s="1"/>
  <c r="C3206" i="23"/>
  <c r="J3206" i="23" s="1"/>
  <c r="C3142" i="23"/>
  <c r="J3142" i="23" s="1"/>
  <c r="C3078" i="23"/>
  <c r="J3078" i="23" s="1"/>
  <c r="C3711" i="23"/>
  <c r="J3711" i="23" s="1"/>
  <c r="C3341" i="23"/>
  <c r="J3341" i="23" s="1"/>
  <c r="C3175" i="23"/>
  <c r="J3175" i="23" s="1"/>
  <c r="C3048" i="23"/>
  <c r="J3048" i="23" s="1"/>
  <c r="C2984" i="23"/>
  <c r="J2984" i="23" s="1"/>
  <c r="C2920" i="23"/>
  <c r="J2920" i="23" s="1"/>
  <c r="C2856" i="23"/>
  <c r="J2856" i="23" s="1"/>
  <c r="C2792" i="23"/>
  <c r="J2792" i="23" s="1"/>
  <c r="C2728" i="23"/>
  <c r="J2728" i="23" s="1"/>
  <c r="C2664" i="23"/>
  <c r="J2664" i="23" s="1"/>
  <c r="C2600" i="23"/>
  <c r="J2600" i="23" s="1"/>
  <c r="C3497" i="23"/>
  <c r="J3497" i="23" s="1"/>
  <c r="C3253" i="23"/>
  <c r="J3253" i="23" s="1"/>
  <c r="C3125" i="23"/>
  <c r="J3125" i="23" s="1"/>
  <c r="C3023" i="23"/>
  <c r="J3023" i="23" s="1"/>
  <c r="C2959" i="23"/>
  <c r="J2959" i="23" s="1"/>
  <c r="C2895" i="23"/>
  <c r="J2895" i="23" s="1"/>
  <c r="C2831" i="23"/>
  <c r="J2831" i="23" s="1"/>
  <c r="C2767" i="23"/>
  <c r="J2767" i="23" s="1"/>
  <c r="C2703" i="23"/>
  <c r="J2703" i="23" s="1"/>
  <c r="C4186" i="23"/>
  <c r="J4186" i="23" s="1"/>
  <c r="C3445" i="23"/>
  <c r="J3445" i="23" s="1"/>
  <c r="C3227" i="23"/>
  <c r="J3227" i="23" s="1"/>
  <c r="C3099" i="23"/>
  <c r="J3099" i="23" s="1"/>
  <c r="C3010" i="23"/>
  <c r="J3010" i="23" s="1"/>
  <c r="C2946" i="23"/>
  <c r="J2946" i="23" s="1"/>
  <c r="C2882" i="23"/>
  <c r="J2882" i="23" s="1"/>
  <c r="C2818" i="23"/>
  <c r="J2818" i="23" s="1"/>
  <c r="C2754" i="23"/>
  <c r="J2754" i="23" s="1"/>
  <c r="C2690" i="23"/>
  <c r="J2690" i="23" s="1"/>
  <c r="C2626" i="23"/>
  <c r="J2626" i="23" s="1"/>
  <c r="C3265" i="23"/>
  <c r="J3265" i="23" s="1"/>
  <c r="C2901" i="23"/>
  <c r="J2901" i="23" s="1"/>
  <c r="C2645" i="23"/>
  <c r="J2645" i="23" s="1"/>
  <c r="C2555" i="23"/>
  <c r="J2555" i="23" s="1"/>
  <c r="C2491" i="23"/>
  <c r="J2491" i="23" s="1"/>
  <c r="C2427" i="23"/>
  <c r="J2427" i="23" s="1"/>
  <c r="C2363" i="23"/>
  <c r="J2363" i="23" s="1"/>
  <c r="C2299" i="23"/>
  <c r="J2299" i="23" s="1"/>
  <c r="C2235" i="23"/>
  <c r="J2235" i="23" s="1"/>
  <c r="C2175" i="23"/>
  <c r="J2175" i="23" s="1"/>
  <c r="C2111" i="23"/>
  <c r="J2111" i="23" s="1"/>
  <c r="C2047" i="23"/>
  <c r="J2047" i="23" s="1"/>
  <c r="C1983" i="23"/>
  <c r="J1983" i="23" s="1"/>
  <c r="C1919" i="23"/>
  <c r="J1919" i="23" s="1"/>
  <c r="C1855" i="23"/>
  <c r="J1855" i="23" s="1"/>
  <c r="C1791" i="23"/>
  <c r="J1791" i="23" s="1"/>
  <c r="C1727" i="23"/>
  <c r="J1727" i="23" s="1"/>
  <c r="C1663" i="23"/>
  <c r="J1663" i="23" s="1"/>
  <c r="C1599" i="23"/>
  <c r="J1599" i="23" s="1"/>
  <c r="C1535" i="23"/>
  <c r="J1535" i="23" s="1"/>
  <c r="C1471" i="23"/>
  <c r="J1471" i="23" s="1"/>
  <c r="C3599" i="23"/>
  <c r="J3599" i="23" s="1"/>
  <c r="C2977" i="23"/>
  <c r="J2977" i="23" s="1"/>
  <c r="C4967" i="23"/>
  <c r="J4967" i="23" s="1"/>
  <c r="C4903" i="23"/>
  <c r="J4903" i="23" s="1"/>
  <c r="C4839" i="23"/>
  <c r="J4839" i="23" s="1"/>
  <c r="C4775" i="23"/>
  <c r="J4775" i="23" s="1"/>
  <c r="C4711" i="23"/>
  <c r="J4711" i="23" s="1"/>
  <c r="C4986" i="23"/>
  <c r="J4986" i="23" s="1"/>
  <c r="C4922" i="23"/>
  <c r="J4922" i="23" s="1"/>
  <c r="C4858" i="23"/>
  <c r="J4858" i="23" s="1"/>
  <c r="C4794" i="23"/>
  <c r="J4794" i="23" s="1"/>
  <c r="C4730" i="23"/>
  <c r="J4730" i="23" s="1"/>
  <c r="C4666" i="23"/>
  <c r="J4666" i="23" s="1"/>
  <c r="C4941" i="23"/>
  <c r="J4941" i="23" s="1"/>
  <c r="C4877" i="23"/>
  <c r="J4877" i="23" s="1"/>
  <c r="C4813" i="23"/>
  <c r="J4813" i="23" s="1"/>
  <c r="C4749" i="23"/>
  <c r="J4749" i="23" s="1"/>
  <c r="C4685" i="23"/>
  <c r="J4685" i="23" s="1"/>
  <c r="C4956" i="23"/>
  <c r="J4956" i="23" s="1"/>
  <c r="C4892" i="23"/>
  <c r="J4892" i="23" s="1"/>
  <c r="C4828" i="23"/>
  <c r="J4828" i="23" s="1"/>
  <c r="C4764" i="23"/>
  <c r="J4764" i="23" s="1"/>
  <c r="C4700" i="23"/>
  <c r="J4700" i="23" s="1"/>
  <c r="C4995" i="23"/>
  <c r="J4995" i="23" s="1"/>
  <c r="C4931" i="23"/>
  <c r="J4931" i="23" s="1"/>
  <c r="C4867" i="23"/>
  <c r="J4867" i="23" s="1"/>
  <c r="C4803" i="23"/>
  <c r="J4803" i="23" s="1"/>
  <c r="C4739" i="23"/>
  <c r="J4739" i="23" s="1"/>
  <c r="C4675" i="23"/>
  <c r="J4675" i="23" s="1"/>
  <c r="C4950" i="23"/>
  <c r="J4950" i="23" s="1"/>
  <c r="C4886" i="23"/>
  <c r="J4886" i="23" s="1"/>
  <c r="C4822" i="23"/>
  <c r="J4822" i="23" s="1"/>
  <c r="C4758" i="23"/>
  <c r="J4758" i="23" s="1"/>
  <c r="C4694" i="23"/>
  <c r="J4694" i="23" s="1"/>
  <c r="C4969" i="23"/>
  <c r="J4969" i="23" s="1"/>
  <c r="C4905" i="23"/>
  <c r="J4905" i="23" s="1"/>
  <c r="C4841" i="23"/>
  <c r="J4841" i="23" s="1"/>
  <c r="C4777" i="23"/>
  <c r="J4777" i="23" s="1"/>
  <c r="C4713" i="23"/>
  <c r="J4713" i="23" s="1"/>
  <c r="C4984" i="23"/>
  <c r="J4984" i="23" s="1"/>
  <c r="C4920" i="23"/>
  <c r="J4920" i="23" s="1"/>
  <c r="C4975" i="23"/>
  <c r="J4975" i="23" s="1"/>
  <c r="C4911" i="23"/>
  <c r="J4911" i="23" s="1"/>
  <c r="C4847" i="23"/>
  <c r="J4847" i="23" s="1"/>
  <c r="C4783" i="23"/>
  <c r="J4783" i="23" s="1"/>
  <c r="C4719" i="23"/>
  <c r="J4719" i="23" s="1"/>
  <c r="C4994" i="23"/>
  <c r="J4994" i="23" s="1"/>
  <c r="C4930" i="23"/>
  <c r="J4930" i="23" s="1"/>
  <c r="C4866" i="23"/>
  <c r="J4866" i="23" s="1"/>
  <c r="C4802" i="23"/>
  <c r="J4802" i="23" s="1"/>
  <c r="C4738" i="23"/>
  <c r="J4738" i="23" s="1"/>
  <c r="C4674" i="23"/>
  <c r="J4674" i="23" s="1"/>
  <c r="C4949" i="23"/>
  <c r="J4949" i="23" s="1"/>
  <c r="C4885" i="23"/>
  <c r="J4885" i="23" s="1"/>
  <c r="C4821" i="23"/>
  <c r="J4821" i="23" s="1"/>
  <c r="C4757" i="23"/>
  <c r="J4757" i="23" s="1"/>
  <c r="C4693" i="23"/>
  <c r="J4693" i="23" s="1"/>
  <c r="C4964" i="23"/>
  <c r="J4964" i="23" s="1"/>
  <c r="C4900" i="23"/>
  <c r="J4900" i="23" s="1"/>
  <c r="C4955" i="23"/>
  <c r="J4955" i="23" s="1"/>
  <c r="C4891" i="23"/>
  <c r="J4891" i="23" s="1"/>
  <c r="C4827" i="23"/>
  <c r="J4827" i="23" s="1"/>
  <c r="C4763" i="23"/>
  <c r="J4763" i="23" s="1"/>
  <c r="C4699" i="23"/>
  <c r="J4699" i="23" s="1"/>
  <c r="C4974" i="23"/>
  <c r="J4974" i="23" s="1"/>
  <c r="C4910" i="23"/>
  <c r="J4910" i="23" s="1"/>
  <c r="C4846" i="23"/>
  <c r="J4846" i="23" s="1"/>
  <c r="C4782" i="23"/>
  <c r="J4782" i="23" s="1"/>
  <c r="C4718" i="23"/>
  <c r="J4718" i="23" s="1"/>
  <c r="C4993" i="23"/>
  <c r="J4993" i="23" s="1"/>
  <c r="C4929" i="23"/>
  <c r="J4929" i="23" s="1"/>
  <c r="C4865" i="23"/>
  <c r="J4865" i="23" s="1"/>
  <c r="C4801" i="23"/>
  <c r="J4801" i="23" s="1"/>
  <c r="C4737" i="23"/>
  <c r="J4737" i="23" s="1"/>
  <c r="C4673" i="23"/>
  <c r="J4673" i="23" s="1"/>
  <c r="C4944" i="23"/>
  <c r="J4944" i="23" s="1"/>
  <c r="C4880" i="23"/>
  <c r="J4880" i="23" s="1"/>
  <c r="C4816" i="23"/>
  <c r="J4816" i="23" s="1"/>
  <c r="C4752" i="23"/>
  <c r="J4752" i="23" s="1"/>
  <c r="C4688" i="23"/>
  <c r="J4688" i="23" s="1"/>
  <c r="C4840" i="23"/>
  <c r="J4840" i="23" s="1"/>
  <c r="C4712" i="23"/>
  <c r="J4712" i="23" s="1"/>
  <c r="C4617" i="23"/>
  <c r="J4617" i="23" s="1"/>
  <c r="C4553" i="23"/>
  <c r="J4553" i="23" s="1"/>
  <c r="C4489" i="23"/>
  <c r="J4489" i="23" s="1"/>
  <c r="C4425" i="23"/>
  <c r="J4425" i="23" s="1"/>
  <c r="C4361" i="23"/>
  <c r="J4361" i="23" s="1"/>
  <c r="C4632" i="23"/>
  <c r="J4632" i="23" s="1"/>
  <c r="C4568" i="23"/>
  <c r="J4568" i="23" s="1"/>
  <c r="C4504" i="23"/>
  <c r="J4504" i="23" s="1"/>
  <c r="C4440" i="23"/>
  <c r="J4440" i="23" s="1"/>
  <c r="C4376" i="23"/>
  <c r="J4376" i="23" s="1"/>
  <c r="C4651" i="23"/>
  <c r="J4651" i="23" s="1"/>
  <c r="C4587" i="23"/>
  <c r="J4587" i="23" s="1"/>
  <c r="C4523" i="23"/>
  <c r="J4523" i="23" s="1"/>
  <c r="C4459" i="23"/>
  <c r="J4459" i="23" s="1"/>
  <c r="C4395" i="23"/>
  <c r="J4395" i="23" s="1"/>
  <c r="C4331" i="23"/>
  <c r="J4331" i="23" s="1"/>
  <c r="C4418" i="23"/>
  <c r="J4418" i="23" s="1"/>
  <c r="C4285" i="23"/>
  <c r="J4285" i="23" s="1"/>
  <c r="C4221" i="23"/>
  <c r="J4221" i="23" s="1"/>
  <c r="C4157" i="23"/>
  <c r="J4157" i="23" s="1"/>
  <c r="C4093" i="23"/>
  <c r="J4093" i="23" s="1"/>
  <c r="C4506" i="23"/>
  <c r="J4506" i="23" s="1"/>
  <c r="C4307" i="23"/>
  <c r="J4307" i="23" s="1"/>
  <c r="C4243" i="23"/>
  <c r="J4243" i="23" s="1"/>
  <c r="C4179" i="23"/>
  <c r="J4179" i="23" s="1"/>
  <c r="C4115" i="23"/>
  <c r="J4115" i="23" s="1"/>
  <c r="C4526" i="23"/>
  <c r="J4526" i="23" s="1"/>
  <c r="C4248" i="23"/>
  <c r="J4248" i="23" s="1"/>
  <c r="C4120" i="23"/>
  <c r="J4120" i="23" s="1"/>
  <c r="C4030" i="23"/>
  <c r="J4030" i="23" s="1"/>
  <c r="C3966" i="23"/>
  <c r="J3966" i="23" s="1"/>
  <c r="C3902" i="23"/>
  <c r="J3902" i="23" s="1"/>
  <c r="C3838" i="23"/>
  <c r="J3838" i="23" s="1"/>
  <c r="C3774" i="23"/>
  <c r="J3774" i="23" s="1"/>
  <c r="C3710" i="23"/>
  <c r="J3710" i="23" s="1"/>
  <c r="C3646" i="23"/>
  <c r="J3646" i="23" s="1"/>
  <c r="C3582" i="23"/>
  <c r="J3582" i="23" s="1"/>
  <c r="C4327" i="23"/>
  <c r="J4327" i="23" s="1"/>
  <c r="C4198" i="23"/>
  <c r="J4198" i="23" s="1"/>
  <c r="C4070" i="23"/>
  <c r="J4070" i="23" s="1"/>
  <c r="C4005" i="23"/>
  <c r="J4005" i="23" s="1"/>
  <c r="C4804" i="23"/>
  <c r="J4804" i="23" s="1"/>
  <c r="C4676" i="23"/>
  <c r="J4676" i="23" s="1"/>
  <c r="C4597" i="23"/>
  <c r="J4597" i="23" s="1"/>
  <c r="C4533" i="23"/>
  <c r="J4533" i="23" s="1"/>
  <c r="C4469" i="23"/>
  <c r="J4469" i="23" s="1"/>
  <c r="C4405" i="23"/>
  <c r="J4405" i="23" s="1"/>
  <c r="C4341" i="23"/>
  <c r="J4341" i="23" s="1"/>
  <c r="C4612" i="23"/>
  <c r="J4612" i="23" s="1"/>
  <c r="C4548" i="23"/>
  <c r="J4548" i="23" s="1"/>
  <c r="C4484" i="23"/>
  <c r="J4484" i="23" s="1"/>
  <c r="C4420" i="23"/>
  <c r="J4420" i="23" s="1"/>
  <c r="C4356" i="23"/>
  <c r="J4356" i="23" s="1"/>
  <c r="C4631" i="23"/>
  <c r="J4631" i="23" s="1"/>
  <c r="C4567" i="23"/>
  <c r="J4567" i="23" s="1"/>
  <c r="C4503" i="23"/>
  <c r="J4503" i="23" s="1"/>
  <c r="C4439" i="23"/>
  <c r="J4439" i="23" s="1"/>
  <c r="C4375" i="23"/>
  <c r="J4375" i="23" s="1"/>
  <c r="C4594" i="23"/>
  <c r="J4594" i="23" s="1"/>
  <c r="C4338" i="23"/>
  <c r="J4338" i="23" s="1"/>
  <c r="C4265" i="23"/>
  <c r="J4265" i="23" s="1"/>
  <c r="C4201" i="23"/>
  <c r="J4201" i="23" s="1"/>
  <c r="C4137" i="23"/>
  <c r="J4137" i="23" s="1"/>
  <c r="C4073" i="23"/>
  <c r="J4073" i="23" s="1"/>
  <c r="C4426" i="23"/>
  <c r="J4426" i="23" s="1"/>
  <c r="C4287" i="23"/>
  <c r="J4287" i="23" s="1"/>
  <c r="C4223" i="23"/>
  <c r="J4223" i="23" s="1"/>
  <c r="C4159" i="23"/>
  <c r="J4159" i="23" s="1"/>
  <c r="C4095" i="23"/>
  <c r="J4095" i="23" s="1"/>
  <c r="C4366" i="23"/>
  <c r="J4366" i="23" s="1"/>
  <c r="C4208" i="23"/>
  <c r="J4208" i="23" s="1"/>
  <c r="C4080" i="23"/>
  <c r="J4080" i="23" s="1"/>
  <c r="C4010" i="23"/>
  <c r="J4010" i="23" s="1"/>
  <c r="C3946" i="23"/>
  <c r="J3946" i="23" s="1"/>
  <c r="C3882" i="23"/>
  <c r="J3882" i="23" s="1"/>
  <c r="C3818" i="23"/>
  <c r="J3818" i="23" s="1"/>
  <c r="C3754" i="23"/>
  <c r="J3754" i="23" s="1"/>
  <c r="C3690" i="23"/>
  <c r="J3690" i="23" s="1"/>
  <c r="C3626" i="23"/>
  <c r="J3626" i="23" s="1"/>
  <c r="C3562" i="23"/>
  <c r="J3562" i="23" s="1"/>
  <c r="C4286" i="23"/>
  <c r="J4286" i="23" s="1"/>
  <c r="C4158" i="23"/>
  <c r="J4158" i="23" s="1"/>
  <c r="C4049" i="23"/>
  <c r="J4049" i="23" s="1"/>
  <c r="C3985" i="23"/>
  <c r="J3985" i="23" s="1"/>
  <c r="C4760" i="23"/>
  <c r="J4760" i="23" s="1"/>
  <c r="C4641" i="23"/>
  <c r="J4641" i="23" s="1"/>
  <c r="C4577" i="23"/>
  <c r="J4577" i="23" s="1"/>
  <c r="C4513" i="23"/>
  <c r="J4513" i="23" s="1"/>
  <c r="C4449" i="23"/>
  <c r="J4449" i="23" s="1"/>
  <c r="C4385" i="23"/>
  <c r="J4385" i="23" s="1"/>
  <c r="C4656" i="23"/>
  <c r="J4656" i="23" s="1"/>
  <c r="C4592" i="23"/>
  <c r="J4592" i="23" s="1"/>
  <c r="C4528" i="23"/>
  <c r="J4528" i="23" s="1"/>
  <c r="C4464" i="23"/>
  <c r="J4464" i="23" s="1"/>
  <c r="C4400" i="23"/>
  <c r="J4400" i="23" s="1"/>
  <c r="C4336" i="23"/>
  <c r="J4336" i="23" s="1"/>
  <c r="C4611" i="23"/>
  <c r="J4611" i="23" s="1"/>
  <c r="C4547" i="23"/>
  <c r="J4547" i="23" s="1"/>
  <c r="C4483" i="23"/>
  <c r="J4483" i="23" s="1"/>
  <c r="C4419" i="23"/>
  <c r="J4419" i="23" s="1"/>
  <c r="C4355" i="23"/>
  <c r="J4355" i="23" s="1"/>
  <c r="C4514" i="23"/>
  <c r="J4514" i="23" s="1"/>
  <c r="C4309" i="23"/>
  <c r="J4309" i="23" s="1"/>
  <c r="C4245" i="23"/>
  <c r="J4245" i="23" s="1"/>
  <c r="C4181" i="23"/>
  <c r="J4181" i="23" s="1"/>
  <c r="C4117" i="23"/>
  <c r="J4117" i="23" s="1"/>
  <c r="C4602" i="23"/>
  <c r="J4602" i="23" s="1"/>
  <c r="C4346" i="23"/>
  <c r="J4346" i="23" s="1"/>
  <c r="C4267" i="23"/>
  <c r="J4267" i="23" s="1"/>
  <c r="C4203" i="23"/>
  <c r="J4203" i="23" s="1"/>
  <c r="C4139" i="23"/>
  <c r="J4139" i="23" s="1"/>
  <c r="C4075" i="23"/>
  <c r="J4075" i="23" s="1"/>
  <c r="C4296" i="23"/>
  <c r="J4296" i="23" s="1"/>
  <c r="C4168" i="23"/>
  <c r="J4168" i="23" s="1"/>
  <c r="C4054" i="23"/>
  <c r="J4054" i="23" s="1"/>
  <c r="C3990" i="23"/>
  <c r="J3990" i="23" s="1"/>
  <c r="C3926" i="23"/>
  <c r="J3926" i="23" s="1"/>
  <c r="C3862" i="23"/>
  <c r="J3862" i="23" s="1"/>
  <c r="C3798" i="23"/>
  <c r="J3798" i="23" s="1"/>
  <c r="C3734" i="23"/>
  <c r="J3734" i="23" s="1"/>
  <c r="C3670" i="23"/>
  <c r="J3670" i="23" s="1"/>
  <c r="C3606" i="23"/>
  <c r="J3606" i="23" s="1"/>
  <c r="C4518" i="23"/>
  <c r="J4518" i="23" s="1"/>
  <c r="C4246" i="23"/>
  <c r="J4246" i="23" s="1"/>
  <c r="C4118" i="23"/>
  <c r="J4118" i="23" s="1"/>
  <c r="C4029" i="23"/>
  <c r="J4029" i="23" s="1"/>
  <c r="C4852" i="23"/>
  <c r="J4852" i="23" s="1"/>
  <c r="C4724" i="23"/>
  <c r="J4724" i="23" s="1"/>
  <c r="C4621" i="23"/>
  <c r="J4621" i="23" s="1"/>
  <c r="C4557" i="23"/>
  <c r="J4557" i="23" s="1"/>
  <c r="C4493" i="23"/>
  <c r="J4493" i="23" s="1"/>
  <c r="C4429" i="23"/>
  <c r="J4429" i="23" s="1"/>
  <c r="C4365" i="23"/>
  <c r="J4365" i="23" s="1"/>
  <c r="C4636" i="23"/>
  <c r="J4636" i="23" s="1"/>
  <c r="C4572" i="23"/>
  <c r="J4572" i="23" s="1"/>
  <c r="C4508" i="23"/>
  <c r="J4508" i="23" s="1"/>
  <c r="C4444" i="23"/>
  <c r="J4444" i="23" s="1"/>
  <c r="C4380" i="23"/>
  <c r="J4380" i="23" s="1"/>
  <c r="C4655" i="23"/>
  <c r="J4655" i="23" s="1"/>
  <c r="C4591" i="23"/>
  <c r="J4591" i="23" s="1"/>
  <c r="C4527" i="23"/>
  <c r="J4527" i="23" s="1"/>
  <c r="C4463" i="23"/>
  <c r="J4463" i="23" s="1"/>
  <c r="C4399" i="23"/>
  <c r="J4399" i="23" s="1"/>
  <c r="C4335" i="23"/>
  <c r="J4335" i="23" s="1"/>
  <c r="C4434" i="23"/>
  <c r="J4434" i="23" s="1"/>
  <c r="C4289" i="23"/>
  <c r="J4289" i="23" s="1"/>
  <c r="C4225" i="23"/>
  <c r="J4225" i="23" s="1"/>
  <c r="C4161" i="23"/>
  <c r="J4161" i="23" s="1"/>
  <c r="C4097" i="23"/>
  <c r="J4097" i="23" s="1"/>
  <c r="C4522" i="23"/>
  <c r="J4522" i="23" s="1"/>
  <c r="C4311" i="23"/>
  <c r="J4311" i="23" s="1"/>
  <c r="C4247" i="23"/>
  <c r="J4247" i="23" s="1"/>
  <c r="C4183" i="23"/>
  <c r="J4183" i="23" s="1"/>
  <c r="C4119" i="23"/>
  <c r="J4119" i="23" s="1"/>
  <c r="C4558" i="23"/>
  <c r="J4558" i="23" s="1"/>
  <c r="C4256" i="23"/>
  <c r="J4256" i="23" s="1"/>
  <c r="C4128" i="23"/>
  <c r="J4128" i="23" s="1"/>
  <c r="C4034" i="23"/>
  <c r="J4034" i="23" s="1"/>
  <c r="C3970" i="23"/>
  <c r="J3970" i="23" s="1"/>
  <c r="C3906" i="23"/>
  <c r="J3906" i="23" s="1"/>
  <c r="C3842" i="23"/>
  <c r="J3842" i="23" s="1"/>
  <c r="C3778" i="23"/>
  <c r="J3778" i="23" s="1"/>
  <c r="C3714" i="23"/>
  <c r="J3714" i="23" s="1"/>
  <c r="C3650" i="23"/>
  <c r="J3650" i="23" s="1"/>
  <c r="C3586" i="23"/>
  <c r="J3586" i="23" s="1"/>
  <c r="C4358" i="23"/>
  <c r="J4358" i="23" s="1"/>
  <c r="C4206" i="23"/>
  <c r="J4206" i="23" s="1"/>
  <c r="C4078" i="23"/>
  <c r="J4078" i="23" s="1"/>
  <c r="C4009" i="23"/>
  <c r="J4009" i="23" s="1"/>
  <c r="C3945" i="23"/>
  <c r="J3945" i="23" s="1"/>
  <c r="C3881" i="23"/>
  <c r="J3881" i="23" s="1"/>
  <c r="C3817" i="23"/>
  <c r="J3817" i="23" s="1"/>
  <c r="C3753" i="23"/>
  <c r="J3753" i="23" s="1"/>
  <c r="C3689" i="23"/>
  <c r="J3689" i="23" s="1"/>
  <c r="C3625" i="23"/>
  <c r="J3625" i="23" s="1"/>
  <c r="C3561" i="23"/>
  <c r="J3561" i="23" s="1"/>
  <c r="C4284" i="23"/>
  <c r="J4284" i="23" s="1"/>
  <c r="C4156" i="23"/>
  <c r="J4156" i="23" s="1"/>
  <c r="C4048" i="23"/>
  <c r="J4048" i="23" s="1"/>
  <c r="C3984" i="23"/>
  <c r="J3984" i="23" s="1"/>
  <c r="C3920" i="23"/>
  <c r="J3920" i="23" s="1"/>
  <c r="C3856" i="23"/>
  <c r="J3856" i="23" s="1"/>
  <c r="C3792" i="23"/>
  <c r="J3792" i="23" s="1"/>
  <c r="C3728" i="23"/>
  <c r="J3728" i="23" s="1"/>
  <c r="C3664" i="23"/>
  <c r="J3664" i="23" s="1"/>
  <c r="C3600" i="23"/>
  <c r="J3600" i="23" s="1"/>
  <c r="C4242" i="23"/>
  <c r="J4242" i="23" s="1"/>
  <c r="C3899" i="23"/>
  <c r="J3899" i="23" s="1"/>
  <c r="C3643" i="23"/>
  <c r="J3643" i="23" s="1"/>
  <c r="C3516" i="23"/>
  <c r="J3516" i="23" s="1"/>
  <c r="C3452" i="23"/>
  <c r="J3452" i="23" s="1"/>
  <c r="C3388" i="23"/>
  <c r="J3388" i="23" s="1"/>
  <c r="C3324" i="23"/>
  <c r="J3324" i="23" s="1"/>
  <c r="C3260" i="23"/>
  <c r="J3260" i="23" s="1"/>
  <c r="C3196" i="23"/>
  <c r="J3196" i="23" s="1"/>
  <c r="C3132" i="23"/>
  <c r="J3132" i="23" s="1"/>
  <c r="C3068" i="23"/>
  <c r="J3068" i="23" s="1"/>
  <c r="C4055" i="23"/>
  <c r="J4055" i="23" s="1"/>
  <c r="C3799" i="23"/>
  <c r="J3799" i="23" s="1"/>
  <c r="C3555" i="23"/>
  <c r="J3555" i="23" s="1"/>
  <c r="C3491" i="23"/>
  <c r="J3491" i="23" s="1"/>
  <c r="C3427" i="23"/>
  <c r="J3427" i="23" s="1"/>
  <c r="C3363" i="23"/>
  <c r="J3363" i="23" s="1"/>
  <c r="C3299" i="23"/>
  <c r="J3299" i="23" s="1"/>
  <c r="C4162" i="23"/>
  <c r="J4162" i="23" s="1"/>
  <c r="C3859" i="23"/>
  <c r="J3859" i="23" s="1"/>
  <c r="C3603" i="23"/>
  <c r="J3603" i="23" s="1"/>
  <c r="C3506" i="23"/>
  <c r="J3506" i="23" s="1"/>
  <c r="C3442" i="23"/>
  <c r="J3442" i="23" s="1"/>
  <c r="C3378" i="23"/>
  <c r="J3378" i="23" s="1"/>
  <c r="C3314" i="23"/>
  <c r="J3314" i="23" s="1"/>
  <c r="C3250" i="23"/>
  <c r="J3250" i="23" s="1"/>
  <c r="C3186" i="23"/>
  <c r="J3186" i="23" s="1"/>
  <c r="C3122" i="23"/>
  <c r="J3122" i="23" s="1"/>
  <c r="C3058" i="23"/>
  <c r="J3058" i="23" s="1"/>
  <c r="C3517" i="23"/>
  <c r="J3517" i="23" s="1"/>
  <c r="C3263" i="23"/>
  <c r="J3263" i="23" s="1"/>
  <c r="C3135" i="23"/>
  <c r="J3135" i="23" s="1"/>
  <c r="C3028" i="23"/>
  <c r="J3028" i="23" s="1"/>
  <c r="C2964" i="23"/>
  <c r="J2964" i="23" s="1"/>
  <c r="C2900" i="23"/>
  <c r="J2900" i="23" s="1"/>
  <c r="C2836" i="23"/>
  <c r="J2836" i="23" s="1"/>
  <c r="C2772" i="23"/>
  <c r="J2772" i="23" s="1"/>
  <c r="C2708" i="23"/>
  <c r="J2708" i="23" s="1"/>
  <c r="C2644" i="23"/>
  <c r="J2644" i="23" s="1"/>
  <c r="C4015" i="23"/>
  <c r="J4015" i="23" s="1"/>
  <c r="C3417" i="23"/>
  <c r="J3417" i="23" s="1"/>
  <c r="C3213" i="23"/>
  <c r="J3213" i="23" s="1"/>
  <c r="C3085" i="23"/>
  <c r="J3085" i="23" s="1"/>
  <c r="C3003" i="23"/>
  <c r="J3003" i="23" s="1"/>
  <c r="C2939" i="23"/>
  <c r="J2939" i="23" s="1"/>
  <c r="C2875" i="23"/>
  <c r="J2875" i="23" s="1"/>
  <c r="C2811" i="23"/>
  <c r="J2811" i="23" s="1"/>
  <c r="C2747" i="23"/>
  <c r="J2747" i="23" s="1"/>
  <c r="C2683" i="23"/>
  <c r="J2683" i="23" s="1"/>
  <c r="C3807" i="23"/>
  <c r="J3807" i="23" s="1"/>
  <c r="C3365" i="23"/>
  <c r="J3365" i="23" s="1"/>
  <c r="C3187" i="23"/>
  <c r="J3187" i="23" s="1"/>
  <c r="C3059" i="23"/>
  <c r="J3059" i="23" s="1"/>
  <c r="C2990" i="23"/>
  <c r="J2990" i="23" s="1"/>
  <c r="C2926" i="23"/>
  <c r="J2926" i="23" s="1"/>
  <c r="C2862" i="23"/>
  <c r="J2862" i="23" s="1"/>
  <c r="C2798" i="23"/>
  <c r="J2798" i="23" s="1"/>
  <c r="C2734" i="23"/>
  <c r="J2734" i="23" s="1"/>
  <c r="C2670" i="23"/>
  <c r="J2670" i="23" s="1"/>
  <c r="C2606" i="23"/>
  <c r="J2606" i="23" s="1"/>
  <c r="C3105" i="23"/>
  <c r="J3105" i="23" s="1"/>
  <c r="C2821" i="23"/>
  <c r="J2821" i="23" s="1"/>
  <c r="C2605" i="23"/>
  <c r="J2605" i="23" s="1"/>
  <c r="C2535" i="23"/>
  <c r="J2535" i="23" s="1"/>
  <c r="C2471" i="23"/>
  <c r="J2471" i="23" s="1"/>
  <c r="C2407" i="23"/>
  <c r="J2407" i="23" s="1"/>
  <c r="C2343" i="23"/>
  <c r="J2343" i="23" s="1"/>
  <c r="C2279" i="23"/>
  <c r="J2279" i="23" s="1"/>
  <c r="C3973" i="23"/>
  <c r="J3973" i="23" s="1"/>
  <c r="C3909" i="23"/>
  <c r="J3909" i="23" s="1"/>
  <c r="C3845" i="23"/>
  <c r="J3845" i="23" s="1"/>
  <c r="C3781" i="23"/>
  <c r="J3781" i="23" s="1"/>
  <c r="C3717" i="23"/>
  <c r="J3717" i="23" s="1"/>
  <c r="C3653" i="23"/>
  <c r="J3653" i="23" s="1"/>
  <c r="C3589" i="23"/>
  <c r="J3589" i="23" s="1"/>
  <c r="C4382" i="23"/>
  <c r="J4382" i="23" s="1"/>
  <c r="C4212" i="23"/>
  <c r="J4212" i="23" s="1"/>
  <c r="C4084" i="23"/>
  <c r="J4084" i="23" s="1"/>
  <c r="C4012" i="23"/>
  <c r="J4012" i="23" s="1"/>
  <c r="C3948" i="23"/>
  <c r="J3948" i="23" s="1"/>
  <c r="C3884" i="23"/>
  <c r="J3884" i="23" s="1"/>
  <c r="C3820" i="23"/>
  <c r="J3820" i="23" s="1"/>
  <c r="C3756" i="23"/>
  <c r="J3756" i="23" s="1"/>
  <c r="C3692" i="23"/>
  <c r="J3692" i="23" s="1"/>
  <c r="C3628" i="23"/>
  <c r="J3628" i="23" s="1"/>
  <c r="C3564" i="23"/>
  <c r="J3564" i="23" s="1"/>
  <c r="C4011" i="23"/>
  <c r="J4011" i="23" s="1"/>
  <c r="C3755" i="23"/>
  <c r="J3755" i="23" s="1"/>
  <c r="C3544" i="23"/>
  <c r="J3544" i="23" s="1"/>
  <c r="C3480" i="23"/>
  <c r="J3480" i="23" s="1"/>
  <c r="C3416" i="23"/>
  <c r="J3416" i="23" s="1"/>
  <c r="C3352" i="23"/>
  <c r="J3352" i="23" s="1"/>
  <c r="C3288" i="23"/>
  <c r="J3288" i="23" s="1"/>
  <c r="C3224" i="23"/>
  <c r="J3224" i="23" s="1"/>
  <c r="C3160" i="23"/>
  <c r="J3160" i="23" s="1"/>
  <c r="C3096" i="23"/>
  <c r="J3096" i="23" s="1"/>
  <c r="C4266" i="23"/>
  <c r="J4266" i="23" s="1"/>
  <c r="C3911" i="23"/>
  <c r="J3911" i="23" s="1"/>
  <c r="C3655" i="23"/>
  <c r="J3655" i="23" s="1"/>
  <c r="C3519" i="23"/>
  <c r="J3519" i="23" s="1"/>
  <c r="C3455" i="23"/>
  <c r="J3455" i="23" s="1"/>
  <c r="C3391" i="23"/>
  <c r="J3391" i="23" s="1"/>
  <c r="C3327" i="23"/>
  <c r="J3327" i="23" s="1"/>
  <c r="C4566" i="23"/>
  <c r="J4566" i="23" s="1"/>
  <c r="C3971" i="23"/>
  <c r="J3971" i="23" s="1"/>
  <c r="C3715" i="23"/>
  <c r="J3715" i="23" s="1"/>
  <c r="C3534" i="23"/>
  <c r="J3534" i="23" s="1"/>
  <c r="C3470" i="23"/>
  <c r="J3470" i="23" s="1"/>
  <c r="C3406" i="23"/>
  <c r="J3406" i="23" s="1"/>
  <c r="C3342" i="23"/>
  <c r="J3342" i="23" s="1"/>
  <c r="C3278" i="23"/>
  <c r="J3278" i="23" s="1"/>
  <c r="C3214" i="23"/>
  <c r="J3214" i="23" s="1"/>
  <c r="C3150" i="23"/>
  <c r="J3150" i="23" s="1"/>
  <c r="C3086" i="23"/>
  <c r="J3086" i="23" s="1"/>
  <c r="C3839" i="23"/>
  <c r="J3839" i="23" s="1"/>
  <c r="C3373" i="23"/>
  <c r="J3373" i="23" s="1"/>
  <c r="C3191" i="23"/>
  <c r="J3191" i="23" s="1"/>
  <c r="C3063" i="23"/>
  <c r="J3063" i="23" s="1"/>
  <c r="C2992" i="23"/>
  <c r="J2992" i="23" s="1"/>
  <c r="C2928" i="23"/>
  <c r="J2928" i="23" s="1"/>
  <c r="C2864" i="23"/>
  <c r="J2864" i="23" s="1"/>
  <c r="C2800" i="23"/>
  <c r="J2800" i="23" s="1"/>
  <c r="C2736" i="23"/>
  <c r="J2736" i="23" s="1"/>
  <c r="C2672" i="23"/>
  <c r="J2672" i="23" s="1"/>
  <c r="C2608" i="23"/>
  <c r="J2608" i="23" s="1"/>
  <c r="C3529" i="23"/>
  <c r="J3529" i="23" s="1"/>
  <c r="C3273" i="23"/>
  <c r="J3273" i="23" s="1"/>
  <c r="C3141" i="23"/>
  <c r="J3141" i="23" s="1"/>
  <c r="C3031" i="23"/>
  <c r="J3031" i="23" s="1"/>
  <c r="C2967" i="23"/>
  <c r="J2967" i="23" s="1"/>
  <c r="C2903" i="23"/>
  <c r="J2903" i="23" s="1"/>
  <c r="C2839" i="23"/>
  <c r="J2839" i="23" s="1"/>
  <c r="C2775" i="23"/>
  <c r="J2775" i="23" s="1"/>
  <c r="C2711" i="23"/>
  <c r="J2711" i="23" s="1"/>
  <c r="C2647" i="23"/>
  <c r="J2647" i="23" s="1"/>
  <c r="C3477" i="23"/>
  <c r="J3477" i="23" s="1"/>
  <c r="C3243" i="23"/>
  <c r="J3243" i="23" s="1"/>
  <c r="C3115" i="23"/>
  <c r="J3115" i="23" s="1"/>
  <c r="C3018" i="23"/>
  <c r="J3018" i="23" s="1"/>
  <c r="C2954" i="23"/>
  <c r="J2954" i="23" s="1"/>
  <c r="C2890" i="23"/>
  <c r="J2890" i="23" s="1"/>
  <c r="C2826" i="23"/>
  <c r="J2826" i="23" s="1"/>
  <c r="C2762" i="23"/>
  <c r="J2762" i="23" s="1"/>
  <c r="C2698" i="23"/>
  <c r="J2698" i="23" s="1"/>
  <c r="C2634" i="23"/>
  <c r="J2634" i="23" s="1"/>
  <c r="C3393" i="23"/>
  <c r="J3393" i="23" s="1"/>
  <c r="C2933" i="23"/>
  <c r="J2933" i="23" s="1"/>
  <c r="C2677" i="23"/>
  <c r="J2677" i="23" s="1"/>
  <c r="C2563" i="23"/>
  <c r="J2563" i="23" s="1"/>
  <c r="C2499" i="23"/>
  <c r="J2499" i="23" s="1"/>
  <c r="C2435" i="23"/>
  <c r="J2435" i="23" s="1"/>
  <c r="C2371" i="23"/>
  <c r="J2371" i="23" s="1"/>
  <c r="C2307" i="23"/>
  <c r="J2307" i="23" s="1"/>
  <c r="C2243" i="23"/>
  <c r="J2243" i="23" s="1"/>
  <c r="C3937" i="23"/>
  <c r="J3937" i="23" s="1"/>
  <c r="C3873" i="23"/>
  <c r="J3873" i="23" s="1"/>
  <c r="C3809" i="23"/>
  <c r="J3809" i="23" s="1"/>
  <c r="C3745" i="23"/>
  <c r="J3745" i="23" s="1"/>
  <c r="C3681" i="23"/>
  <c r="J3681" i="23" s="1"/>
  <c r="C3617" i="23"/>
  <c r="J3617" i="23" s="1"/>
  <c r="C4606" i="23"/>
  <c r="J4606" i="23" s="1"/>
  <c r="C4268" i="23"/>
  <c r="J4268" i="23" s="1"/>
  <c r="C4140" i="23"/>
  <c r="J4140" i="23" s="1"/>
  <c r="C4040" i="23"/>
  <c r="J4040" i="23" s="1"/>
  <c r="C3976" i="23"/>
  <c r="J3976" i="23" s="1"/>
  <c r="C3912" i="23"/>
  <c r="J3912" i="23" s="1"/>
  <c r="C3848" i="23"/>
  <c r="J3848" i="23" s="1"/>
  <c r="C3784" i="23"/>
  <c r="J3784" i="23" s="1"/>
  <c r="C3720" i="23"/>
  <c r="J3720" i="23" s="1"/>
  <c r="C3656" i="23"/>
  <c r="J3656" i="23" s="1"/>
  <c r="C3592" i="23"/>
  <c r="J3592" i="23" s="1"/>
  <c r="C4178" i="23"/>
  <c r="J4178" i="23" s="1"/>
  <c r="C3867" i="23"/>
  <c r="J3867" i="23" s="1"/>
  <c r="C3611" i="23"/>
  <c r="J3611" i="23" s="1"/>
  <c r="C3508" i="23"/>
  <c r="J3508" i="23" s="1"/>
  <c r="C3444" i="23"/>
  <c r="J3444" i="23" s="1"/>
  <c r="C3380" i="23"/>
  <c r="J3380" i="23" s="1"/>
  <c r="C3316" i="23"/>
  <c r="J3316" i="23" s="1"/>
  <c r="C3252" i="23"/>
  <c r="J3252" i="23" s="1"/>
  <c r="C3188" i="23"/>
  <c r="J3188" i="23" s="1"/>
  <c r="C3124" i="23"/>
  <c r="J3124" i="23" s="1"/>
  <c r="C3060" i="23"/>
  <c r="J3060" i="23" s="1"/>
  <c r="C4023" i="23"/>
  <c r="J4023" i="23" s="1"/>
  <c r="C3767" i="23"/>
  <c r="J3767" i="23" s="1"/>
  <c r="C3547" i="23"/>
  <c r="J3547" i="23" s="1"/>
  <c r="C3483" i="23"/>
  <c r="J3483" i="23" s="1"/>
  <c r="C3419" i="23"/>
  <c r="J3419" i="23" s="1"/>
  <c r="C3355" i="23"/>
  <c r="J3355" i="23" s="1"/>
  <c r="C3291" i="23"/>
  <c r="J3291" i="23" s="1"/>
  <c r="C4098" i="23"/>
  <c r="J4098" i="23" s="1"/>
  <c r="C3827" i="23"/>
  <c r="J3827" i="23" s="1"/>
  <c r="C3571" i="23"/>
  <c r="J3571" i="23" s="1"/>
  <c r="C3498" i="23"/>
  <c r="J3498" i="23" s="1"/>
  <c r="C3434" i="23"/>
  <c r="J3434" i="23" s="1"/>
  <c r="C3370" i="23"/>
  <c r="J3370" i="23" s="1"/>
  <c r="C3306" i="23"/>
  <c r="J3306" i="23" s="1"/>
  <c r="C3242" i="23"/>
  <c r="J3242" i="23" s="1"/>
  <c r="C3178" i="23"/>
  <c r="J3178" i="23" s="1"/>
  <c r="C3114" i="23"/>
  <c r="J3114" i="23" s="1"/>
  <c r="C3050" i="23"/>
  <c r="J3050" i="23" s="1"/>
  <c r="C3485" i="23"/>
  <c r="J3485" i="23" s="1"/>
  <c r="C3247" i="23"/>
  <c r="J3247" i="23" s="1"/>
  <c r="C3119" i="23"/>
  <c r="J3119" i="23" s="1"/>
  <c r="C3020" i="23"/>
  <c r="J3020" i="23" s="1"/>
  <c r="C2956" i="23"/>
  <c r="J2956" i="23" s="1"/>
  <c r="C2892" i="23"/>
  <c r="J2892" i="23" s="1"/>
  <c r="C2828" i="23"/>
  <c r="J2828" i="23" s="1"/>
  <c r="C2764" i="23"/>
  <c r="J2764" i="23" s="1"/>
  <c r="C2700" i="23"/>
  <c r="J2700" i="23" s="1"/>
  <c r="C2636" i="23"/>
  <c r="J2636" i="23" s="1"/>
  <c r="C3887" i="23"/>
  <c r="J3887" i="23" s="1"/>
  <c r="C3385" i="23"/>
  <c r="J3385" i="23" s="1"/>
  <c r="C3197" i="23"/>
  <c r="J3197" i="23" s="1"/>
  <c r="C3069" i="23"/>
  <c r="J3069" i="23" s="1"/>
  <c r="C2995" i="23"/>
  <c r="J2995" i="23" s="1"/>
  <c r="C2931" i="23"/>
  <c r="J2931" i="23" s="1"/>
  <c r="C2867" i="23"/>
  <c r="J2867" i="23" s="1"/>
  <c r="C2803" i="23"/>
  <c r="J2803" i="23" s="1"/>
  <c r="C2739" i="23"/>
  <c r="J2739" i="23" s="1"/>
  <c r="C2675" i="23"/>
  <c r="J2675" i="23" s="1"/>
  <c r="C3679" i="23"/>
  <c r="J3679" i="23" s="1"/>
  <c r="C3333" i="23"/>
  <c r="J3333" i="23" s="1"/>
  <c r="C3171" i="23"/>
  <c r="J3171" i="23" s="1"/>
  <c r="C3046" i="23"/>
  <c r="J3046" i="23" s="1"/>
  <c r="C2982" i="23"/>
  <c r="J2982" i="23" s="1"/>
  <c r="C2918" i="23"/>
  <c r="J2918" i="23" s="1"/>
  <c r="C2854" i="23"/>
  <c r="J2854" i="23" s="1"/>
  <c r="C2790" i="23"/>
  <c r="J2790" i="23" s="1"/>
  <c r="C2726" i="23"/>
  <c r="J2726" i="23" s="1"/>
  <c r="C2662" i="23"/>
  <c r="J2662" i="23" s="1"/>
  <c r="C2598" i="23"/>
  <c r="J2598" i="23" s="1"/>
  <c r="C3045" i="23"/>
  <c r="J3045" i="23" s="1"/>
  <c r="C2789" i="23"/>
  <c r="J2789" i="23" s="1"/>
  <c r="C2591" i="23"/>
  <c r="J2591" i="23" s="1"/>
  <c r="C2527" i="23"/>
  <c r="J2527" i="23" s="1"/>
  <c r="C2463" i="23"/>
  <c r="J2463" i="23" s="1"/>
  <c r="C2399" i="23"/>
  <c r="J2399" i="23" s="1"/>
  <c r="C2335" i="23"/>
  <c r="J2335" i="23" s="1"/>
  <c r="C2271" i="23"/>
  <c r="J2271" i="23" s="1"/>
  <c r="C3949" i="23"/>
  <c r="J3949" i="23" s="1"/>
  <c r="C3885" i="23"/>
  <c r="J3885" i="23" s="1"/>
  <c r="C3821" i="23"/>
  <c r="J3821" i="23" s="1"/>
  <c r="C3757" i="23"/>
  <c r="J3757" i="23" s="1"/>
  <c r="C3693" i="23"/>
  <c r="J3693" i="23" s="1"/>
  <c r="C3629" i="23"/>
  <c r="J3629" i="23" s="1"/>
  <c r="C3565" i="23"/>
  <c r="J3565" i="23" s="1"/>
  <c r="C4292" i="23"/>
  <c r="J4292" i="23" s="1"/>
  <c r="C4164" i="23"/>
  <c r="J4164" i="23" s="1"/>
  <c r="C4052" i="23"/>
  <c r="J4052" i="23" s="1"/>
  <c r="C3988" i="23"/>
  <c r="J3988" i="23" s="1"/>
  <c r="C3924" i="23"/>
  <c r="J3924" i="23" s="1"/>
  <c r="C3860" i="23"/>
  <c r="J3860" i="23" s="1"/>
  <c r="C3796" i="23"/>
  <c r="J3796" i="23" s="1"/>
  <c r="C3732" i="23"/>
  <c r="J3732" i="23" s="1"/>
  <c r="C3668" i="23"/>
  <c r="J3668" i="23" s="1"/>
  <c r="C3604" i="23"/>
  <c r="J3604" i="23" s="1"/>
  <c r="C4274" i="23"/>
  <c r="J4274" i="23" s="1"/>
  <c r="C3915" i="23"/>
  <c r="J3915" i="23" s="1"/>
  <c r="C3659" i="23"/>
  <c r="J3659" i="23" s="1"/>
  <c r="C3520" i="23"/>
  <c r="J3520" i="23" s="1"/>
  <c r="C3456" i="23"/>
  <c r="J3456" i="23" s="1"/>
  <c r="C3392" i="23"/>
  <c r="J3392" i="23" s="1"/>
  <c r="C3328" i="23"/>
  <c r="J3328" i="23" s="1"/>
  <c r="C3264" i="23"/>
  <c r="J3264" i="23" s="1"/>
  <c r="C3200" i="23"/>
  <c r="J3200" i="23" s="1"/>
  <c r="C3136" i="23"/>
  <c r="J3136" i="23" s="1"/>
  <c r="C3072" i="23"/>
  <c r="J3072" i="23" s="1"/>
  <c r="C4074" i="23"/>
  <c r="J4074" i="23" s="1"/>
  <c r="C3815" i="23"/>
  <c r="J3815" i="23" s="1"/>
  <c r="C3559" i="23"/>
  <c r="J3559" i="23" s="1"/>
  <c r="C3495" i="23"/>
  <c r="J3495" i="23" s="1"/>
  <c r="C3431" i="23"/>
  <c r="J3431" i="23" s="1"/>
  <c r="C3367" i="23"/>
  <c r="J3367" i="23" s="1"/>
  <c r="C3303" i="23"/>
  <c r="J3303" i="23" s="1"/>
  <c r="C4194" i="23"/>
  <c r="J4194" i="23" s="1"/>
  <c r="C3875" i="23"/>
  <c r="J3875" i="23" s="1"/>
  <c r="C3619" i="23"/>
  <c r="J3619" i="23" s="1"/>
  <c r="C3510" i="23"/>
  <c r="J3510" i="23" s="1"/>
  <c r="C3446" i="23"/>
  <c r="J3446" i="23" s="1"/>
  <c r="C3382" i="23"/>
  <c r="J3382" i="23" s="1"/>
  <c r="C3318" i="23"/>
  <c r="J3318" i="23" s="1"/>
  <c r="C3254" i="23"/>
  <c r="J3254" i="23" s="1"/>
  <c r="C3190" i="23"/>
  <c r="J3190" i="23" s="1"/>
  <c r="C3126" i="23"/>
  <c r="J3126" i="23" s="1"/>
  <c r="C3062" i="23"/>
  <c r="J3062" i="23" s="1"/>
  <c r="C3533" i="23"/>
  <c r="J3533" i="23" s="1"/>
  <c r="C3277" i="23"/>
  <c r="J3277" i="23" s="1"/>
  <c r="C3143" i="23"/>
  <c r="J3143" i="23" s="1"/>
  <c r="C3032" i="23"/>
  <c r="J3032" i="23" s="1"/>
  <c r="C2968" i="23"/>
  <c r="J2968" i="23" s="1"/>
  <c r="C2904" i="23"/>
  <c r="J2904" i="23" s="1"/>
  <c r="C2840" i="23"/>
  <c r="J2840" i="23" s="1"/>
  <c r="C2776" i="23"/>
  <c r="J2776" i="23" s="1"/>
  <c r="C2712" i="23"/>
  <c r="J2712" i="23" s="1"/>
  <c r="C2648" i="23"/>
  <c r="J2648" i="23" s="1"/>
  <c r="C4090" i="23"/>
  <c r="J4090" i="23" s="1"/>
  <c r="C3433" i="23"/>
  <c r="J3433" i="23" s="1"/>
  <c r="C3221" i="23"/>
  <c r="J3221" i="23" s="1"/>
  <c r="C3093" i="23"/>
  <c r="J3093" i="23" s="1"/>
  <c r="C3007" i="23"/>
  <c r="J3007" i="23" s="1"/>
  <c r="C2943" i="23"/>
  <c r="J2943" i="23" s="1"/>
  <c r="C2879" i="23"/>
  <c r="J2879" i="23" s="1"/>
  <c r="C2815" i="23"/>
  <c r="J2815" i="23" s="1"/>
  <c r="C2751" i="23"/>
  <c r="J2751" i="23" s="1"/>
  <c r="C2687" i="23"/>
  <c r="J2687" i="23" s="1"/>
  <c r="C3871" i="23"/>
  <c r="J3871" i="23" s="1"/>
  <c r="C3381" i="23"/>
  <c r="J3381" i="23" s="1"/>
  <c r="C3195" i="23"/>
  <c r="J3195" i="23" s="1"/>
  <c r="C3067" i="23"/>
  <c r="J3067" i="23" s="1"/>
  <c r="C2994" i="23"/>
  <c r="J2994" i="23" s="1"/>
  <c r="C2930" i="23"/>
  <c r="J2930" i="23" s="1"/>
  <c r="C2866" i="23"/>
  <c r="J2866" i="23" s="1"/>
  <c r="C2802" i="23"/>
  <c r="J2802" i="23" s="1"/>
  <c r="C2738" i="23"/>
  <c r="J2738" i="23" s="1"/>
  <c r="C2674" i="23"/>
  <c r="J2674" i="23" s="1"/>
  <c r="C2610" i="23"/>
  <c r="J2610" i="23" s="1"/>
  <c r="C3137" i="23"/>
  <c r="J3137" i="23" s="1"/>
  <c r="C2837" i="23"/>
  <c r="J2837" i="23" s="1"/>
  <c r="C2613" i="23"/>
  <c r="J2613" i="23" s="1"/>
  <c r="C2539" i="23"/>
  <c r="J2539" i="23" s="1"/>
  <c r="C2475" i="23"/>
  <c r="J2475" i="23" s="1"/>
  <c r="C2411" i="23"/>
  <c r="J2411" i="23" s="1"/>
  <c r="C2347" i="23"/>
  <c r="J2347" i="23" s="1"/>
  <c r="C2283" i="23"/>
  <c r="J2283" i="23" s="1"/>
  <c r="C2223" i="23"/>
  <c r="J2223" i="23" s="1"/>
  <c r="C2159" i="23"/>
  <c r="J2159" i="23" s="1"/>
  <c r="C2095" i="23"/>
  <c r="J2095" i="23" s="1"/>
  <c r="C2031" i="23"/>
  <c r="J2031" i="23" s="1"/>
  <c r="C1967" i="23"/>
  <c r="J1967" i="23" s="1"/>
  <c r="C1903" i="23"/>
  <c r="J1903" i="23" s="1"/>
  <c r="C1839" i="23"/>
  <c r="J1839" i="23" s="1"/>
  <c r="C1775" i="23"/>
  <c r="J1775" i="23" s="1"/>
  <c r="C1711" i="23"/>
  <c r="J1711" i="23" s="1"/>
  <c r="C1647" i="23"/>
  <c r="J1647" i="23" s="1"/>
  <c r="C1583" i="23"/>
  <c r="J1583" i="23" s="1"/>
  <c r="C1519" i="23"/>
  <c r="J1519" i="23" s="1"/>
  <c r="C1455" i="23"/>
  <c r="J1455" i="23" s="1"/>
  <c r="C3313" i="23"/>
  <c r="J3313" i="23" s="1"/>
  <c r="C2913" i="23"/>
  <c r="J2913" i="23" s="1"/>
  <c r="C2657" i="23"/>
  <c r="J2657" i="23" s="1"/>
  <c r="C2558" i="23"/>
  <c r="J2558" i="23" s="1"/>
  <c r="C2494" i="23"/>
  <c r="J2494" i="23" s="1"/>
  <c r="C2430" i="23"/>
  <c r="J2430" i="23" s="1"/>
  <c r="C2366" i="23"/>
  <c r="J2366" i="23" s="1"/>
  <c r="C2302" i="23"/>
  <c r="J2302" i="23" s="1"/>
  <c r="C2238" i="23"/>
  <c r="J2238" i="23" s="1"/>
  <c r="C2174" i="23"/>
  <c r="J2174" i="23" s="1"/>
  <c r="C2110" i="23"/>
  <c r="J2110" i="23" s="1"/>
  <c r="C2046" i="23"/>
  <c r="J2046" i="23" s="1"/>
  <c r="C1982" i="23"/>
  <c r="J1982" i="23" s="1"/>
  <c r="C1918" i="23"/>
  <c r="J1918" i="23" s="1"/>
  <c r="C1854" i="23"/>
  <c r="J1854" i="23" s="1"/>
  <c r="C1790" i="23"/>
  <c r="J1790" i="23" s="1"/>
  <c r="C1726" i="23"/>
  <c r="J1726" i="23" s="1"/>
  <c r="C1662" i="23"/>
  <c r="J1662" i="23" s="1"/>
  <c r="C1598" i="23"/>
  <c r="J1598" i="23" s="1"/>
  <c r="C1534" i="23"/>
  <c r="J1534" i="23" s="1"/>
  <c r="C1470" i="23"/>
  <c r="J1470" i="23" s="1"/>
  <c r="C3791" i="23"/>
  <c r="J3791" i="23" s="1"/>
  <c r="C2989" i="23"/>
  <c r="J2989" i="23" s="1"/>
  <c r="C2733" i="23"/>
  <c r="J2733" i="23" s="1"/>
  <c r="C2577" i="23"/>
  <c r="J2577" i="23" s="1"/>
  <c r="C2513" i="23"/>
  <c r="J2513" i="23" s="1"/>
  <c r="C2449" i="23"/>
  <c r="J2449" i="23" s="1"/>
  <c r="C2385" i="23"/>
  <c r="J2385" i="23" s="1"/>
  <c r="C2321" i="23"/>
  <c r="J2321" i="23" s="1"/>
  <c r="C2257" i="23"/>
  <c r="J2257" i="23" s="1"/>
  <c r="C2193" i="23"/>
  <c r="J2193" i="23" s="1"/>
  <c r="C2129" i="23"/>
  <c r="J2129" i="23" s="1"/>
  <c r="C2065" i="23"/>
  <c r="J2065" i="23" s="1"/>
  <c r="C2001" i="23"/>
  <c r="J2001" i="23" s="1"/>
  <c r="C1937" i="23"/>
  <c r="J1937" i="23" s="1"/>
  <c r="C1873" i="23"/>
  <c r="J1873" i="23" s="1"/>
  <c r="C1809" i="23"/>
  <c r="J1809" i="23" s="1"/>
  <c r="C1745" i="23"/>
  <c r="J1745" i="23" s="1"/>
  <c r="C1681" i="23"/>
  <c r="J1681" i="23" s="1"/>
  <c r="C1617" i="23"/>
  <c r="J1617" i="23" s="1"/>
  <c r="C1553" i="23"/>
  <c r="J1553" i="23" s="1"/>
  <c r="C1489" i="23"/>
  <c r="J1489" i="23" s="1"/>
  <c r="C1425" i="23"/>
  <c r="J1425" i="23" s="1"/>
  <c r="C2564" i="23"/>
  <c r="J2564" i="23" s="1"/>
  <c r="C2308" i="23"/>
  <c r="J2308" i="23" s="1"/>
  <c r="C2052" i="23"/>
  <c r="J2052" i="23" s="1"/>
  <c r="C1796" i="23"/>
  <c r="J1796" i="23" s="1"/>
  <c r="C1540" i="23"/>
  <c r="J1540" i="23" s="1"/>
  <c r="C1382" i="23"/>
  <c r="J1382" i="23" s="1"/>
  <c r="C1318" i="23"/>
  <c r="J1318" i="23" s="1"/>
  <c r="C1254" i="23"/>
  <c r="J1254" i="23" s="1"/>
  <c r="C1190" i="23"/>
  <c r="J1190" i="23" s="1"/>
  <c r="C1126" i="23"/>
  <c r="J1126" i="23" s="1"/>
  <c r="C1062" i="23"/>
  <c r="J1062" i="23" s="1"/>
  <c r="C998" i="23"/>
  <c r="J998" i="23" s="1"/>
  <c r="C934" i="23"/>
  <c r="J934" i="23" s="1"/>
  <c r="C870" i="23"/>
  <c r="J870" i="23" s="1"/>
  <c r="C806" i="23"/>
  <c r="J806" i="23" s="1"/>
  <c r="C742" i="23"/>
  <c r="J742" i="23" s="1"/>
  <c r="C678" i="23"/>
  <c r="J678" i="23" s="1"/>
  <c r="C614" i="23"/>
  <c r="J614" i="23" s="1"/>
  <c r="C550" i="23"/>
  <c r="J550" i="23" s="1"/>
  <c r="C486" i="23"/>
  <c r="J486" i="23" s="1"/>
  <c r="C422" i="23"/>
  <c r="J422" i="23" s="1"/>
  <c r="C2729" i="23"/>
  <c r="J2729" i="23" s="1"/>
  <c r="C2384" i="23"/>
  <c r="J2384" i="23" s="1"/>
  <c r="C2128" i="23"/>
  <c r="J2128" i="23" s="1"/>
  <c r="C1872" i="23"/>
  <c r="J1872" i="23" s="1"/>
  <c r="C1616" i="23"/>
  <c r="J1616" i="23" s="1"/>
  <c r="C1401" i="23"/>
  <c r="J1401" i="23" s="1"/>
  <c r="C1337" i="23"/>
  <c r="J1337" i="23" s="1"/>
  <c r="C1273" i="23"/>
  <c r="J1273" i="23" s="1"/>
  <c r="C1209" i="23"/>
  <c r="J1209" i="23" s="1"/>
  <c r="C2171" i="23"/>
  <c r="J2171" i="23" s="1"/>
  <c r="C2107" i="23"/>
  <c r="J2107" i="23" s="1"/>
  <c r="C2043" i="23"/>
  <c r="J2043" i="23" s="1"/>
  <c r="C1979" i="23"/>
  <c r="J1979" i="23" s="1"/>
  <c r="C1915" i="23"/>
  <c r="J1915" i="23" s="1"/>
  <c r="C1851" i="23"/>
  <c r="J1851" i="23" s="1"/>
  <c r="C134" i="23"/>
  <c r="J134" i="23" s="1"/>
  <c r="C322" i="23"/>
  <c r="J322" i="23" s="1"/>
  <c r="C795" i="23"/>
  <c r="J795" i="23" s="1"/>
  <c r="C1816" i="23"/>
  <c r="J1816" i="23" s="1"/>
  <c r="C43" i="23"/>
  <c r="J43" i="23" s="1"/>
  <c r="C107" i="23"/>
  <c r="J107" i="23" s="1"/>
  <c r="C171" i="23"/>
  <c r="J171" i="23" s="1"/>
  <c r="C235" i="23"/>
  <c r="J235" i="23" s="1"/>
  <c r="C299" i="23"/>
  <c r="J299" i="23" s="1"/>
  <c r="C363" i="23"/>
  <c r="J363" i="23" s="1"/>
  <c r="C527" i="23"/>
  <c r="J527" i="23" s="1"/>
  <c r="C783" i="23"/>
  <c r="J783" i="23" s="1"/>
  <c r="C1039" i="23"/>
  <c r="J1039" i="23" s="1"/>
  <c r="C1295" i="23"/>
  <c r="J1295" i="23" s="1"/>
  <c r="C1960" i="23"/>
  <c r="J1960" i="23" s="1"/>
  <c r="C50" i="23"/>
  <c r="J50" i="23" s="1"/>
  <c r="C266" i="23"/>
  <c r="J266" i="23" s="1"/>
  <c r="C715" i="23"/>
  <c r="J715" i="23" s="1"/>
  <c r="C2264" i="23"/>
  <c r="J2264" i="23" s="1"/>
  <c r="C56" i="23"/>
  <c r="J56" i="23" s="1"/>
  <c r="C120" i="23"/>
  <c r="J120" i="23" s="1"/>
  <c r="C184" i="23"/>
  <c r="J184" i="23" s="1"/>
  <c r="C248" i="23"/>
  <c r="J248" i="23" s="1"/>
  <c r="L248" i="23" s="1"/>
  <c r="K248" i="23" s="1"/>
  <c r="C312" i="23"/>
  <c r="J312" i="23" s="1"/>
  <c r="C376" i="23"/>
  <c r="J376" i="23" s="1"/>
  <c r="C579" i="23"/>
  <c r="J579" i="23" s="1"/>
  <c r="C835" i="23"/>
  <c r="J835" i="23" s="1"/>
  <c r="C1091" i="23"/>
  <c r="J1091" i="23" s="1"/>
  <c r="C1347" i="23"/>
  <c r="J1347" i="23" s="1"/>
  <c r="C2168" i="23"/>
  <c r="J2168" i="23" s="1"/>
  <c r="C62" i="23"/>
  <c r="J62" i="23" s="1"/>
  <c r="C234" i="23"/>
  <c r="J234" i="23" s="1"/>
  <c r="C539" i="23"/>
  <c r="J539" i="23" s="1"/>
  <c r="C1259" i="23"/>
  <c r="J1259" i="23" s="1"/>
  <c r="C21" i="23"/>
  <c r="J21" i="23" s="1"/>
  <c r="C85" i="23"/>
  <c r="J85" i="23" s="1"/>
  <c r="C149" i="23"/>
  <c r="J149" i="23" s="1"/>
  <c r="C213" i="23"/>
  <c r="J213" i="23" s="1"/>
  <c r="C277" i="23"/>
  <c r="J277" i="23" s="1"/>
  <c r="C341" i="23"/>
  <c r="J341" i="23" s="1"/>
  <c r="C439" i="23"/>
  <c r="J439" i="23" s="1"/>
  <c r="C695" i="23"/>
  <c r="J695" i="23" s="1"/>
  <c r="C951" i="23"/>
  <c r="J951" i="23" s="1"/>
  <c r="C1207" i="23"/>
  <c r="J1207" i="23" s="1"/>
  <c r="C1608" i="23"/>
  <c r="J1608" i="23" s="1"/>
  <c r="C2697" i="23"/>
  <c r="J2697" i="23" s="1"/>
  <c r="C444" i="23"/>
  <c r="J444" i="23" s="1"/>
  <c r="L444" i="23" s="1"/>
  <c r="C508" i="23"/>
  <c r="J508" i="23" s="1"/>
  <c r="C572" i="23"/>
  <c r="J572" i="23" s="1"/>
  <c r="C636" i="23"/>
  <c r="J636" i="23" s="1"/>
  <c r="C700" i="23"/>
  <c r="J700" i="23" s="1"/>
  <c r="C764" i="23"/>
  <c r="J764" i="23" s="1"/>
  <c r="C828" i="23"/>
  <c r="J828" i="23" s="1"/>
  <c r="C892" i="23"/>
  <c r="J892" i="23" s="1"/>
  <c r="C956" i="23"/>
  <c r="J956" i="23" s="1"/>
  <c r="C1020" i="23"/>
  <c r="J1020" i="23" s="1"/>
  <c r="C1084" i="23"/>
  <c r="J1084" i="23" s="1"/>
  <c r="C1148" i="23"/>
  <c r="J1148" i="23" s="1"/>
  <c r="C1212" i="23"/>
  <c r="J1212" i="23" s="1"/>
  <c r="C1276" i="23"/>
  <c r="J1276" i="23" s="1"/>
  <c r="C1340" i="23"/>
  <c r="J1340" i="23" s="1"/>
  <c r="C1404" i="23"/>
  <c r="J1404" i="23" s="1"/>
  <c r="C1628" i="23"/>
  <c r="J1628" i="23" s="1"/>
  <c r="C1884" i="23"/>
  <c r="J1884" i="23" s="1"/>
  <c r="C2140" i="23"/>
  <c r="J2140" i="23" s="1"/>
  <c r="C2396" i="23"/>
  <c r="J2396" i="23" s="1"/>
  <c r="C2777" i="23"/>
  <c r="J2777" i="23" s="1"/>
  <c r="C433" i="23"/>
  <c r="J433" i="23" s="1"/>
  <c r="C497" i="23"/>
  <c r="J497" i="23" s="1"/>
  <c r="C561" i="23"/>
  <c r="J561" i="23" s="1"/>
  <c r="C625" i="23"/>
  <c r="J625" i="23" s="1"/>
  <c r="C689" i="23"/>
  <c r="J689" i="23" s="1"/>
  <c r="C753" i="23"/>
  <c r="J753" i="23" s="1"/>
  <c r="C817" i="23"/>
  <c r="J817" i="23" s="1"/>
  <c r="C881" i="23"/>
  <c r="J881" i="23" s="1"/>
  <c r="C977" i="23"/>
  <c r="J977" i="23" s="1"/>
  <c r="C1105" i="23"/>
  <c r="J1105" i="23" s="1"/>
  <c r="C102" i="23"/>
  <c r="J102" i="23" s="1"/>
  <c r="C286" i="23"/>
  <c r="J286" i="23" s="1"/>
  <c r="C651" i="23"/>
  <c r="J651" i="23" s="1"/>
  <c r="C1371" i="23"/>
  <c r="J1371" i="23" s="1"/>
  <c r="C31" i="23"/>
  <c r="J31" i="23" s="1"/>
  <c r="C95" i="23"/>
  <c r="J95" i="23" s="1"/>
  <c r="C159" i="23"/>
  <c r="J159" i="23" s="1"/>
  <c r="C223" i="23"/>
  <c r="J223" i="23" s="1"/>
  <c r="C287" i="23"/>
  <c r="J287" i="23" s="1"/>
  <c r="C351" i="23"/>
  <c r="J351" i="23" s="1"/>
  <c r="C479" i="23"/>
  <c r="J479" i="23" s="1"/>
  <c r="C735" i="23"/>
  <c r="J735" i="23" s="1"/>
  <c r="C991" i="23"/>
  <c r="J991" i="23" s="1"/>
  <c r="C1247" i="23"/>
  <c r="J1247" i="23" s="1"/>
  <c r="C1768" i="23"/>
  <c r="J1768" i="23" s="1"/>
  <c r="C2" i="23"/>
  <c r="J2" i="23" s="1"/>
  <c r="C230" i="23"/>
  <c r="J230" i="23" s="1"/>
  <c r="C571" i="23"/>
  <c r="J571" i="23" s="1"/>
  <c r="C1496" i="23"/>
  <c r="J1496" i="23" s="1"/>
  <c r="C44" i="23"/>
  <c r="J44" i="23" s="1"/>
  <c r="C108" i="23"/>
  <c r="J108" i="23" s="1"/>
  <c r="C172" i="23"/>
  <c r="J172" i="23" s="1"/>
  <c r="C236" i="23"/>
  <c r="J236" i="23" s="1"/>
  <c r="C300" i="23"/>
  <c r="J300" i="23" s="1"/>
  <c r="C364" i="23"/>
  <c r="J364" i="23" s="1"/>
  <c r="C531" i="23"/>
  <c r="J531" i="23" s="1"/>
  <c r="C787" i="23"/>
  <c r="J787" i="23" s="1"/>
  <c r="C1043" i="23"/>
  <c r="J1043" i="23" s="1"/>
  <c r="C1299" i="23"/>
  <c r="J1299" i="23" s="1"/>
  <c r="C1976" i="23"/>
  <c r="J1976" i="23" s="1"/>
  <c r="C34" i="23"/>
  <c r="J34" i="23" s="1"/>
  <c r="L34" i="23" s="1"/>
  <c r="K34" i="23" s="1"/>
  <c r="C198" i="23"/>
  <c r="J198" i="23" s="1"/>
  <c r="C390" i="23"/>
  <c r="J390" i="23" s="1"/>
  <c r="C1115" i="23"/>
  <c r="J1115" i="23" s="1"/>
  <c r="C9" i="23"/>
  <c r="J9" i="23" s="1"/>
  <c r="C73" i="23"/>
  <c r="J73" i="23" s="1"/>
  <c r="C137" i="23"/>
  <c r="J137" i="23" s="1"/>
  <c r="C201" i="23"/>
  <c r="J201" i="23" s="1"/>
  <c r="C265" i="23"/>
  <c r="J265" i="23" s="1"/>
  <c r="C329" i="23"/>
  <c r="J329" i="23" s="1"/>
  <c r="C395" i="23"/>
  <c r="J395" i="23" s="1"/>
  <c r="C647" i="23"/>
  <c r="J647" i="23" s="1"/>
  <c r="C903" i="23"/>
  <c r="J903" i="23" s="1"/>
  <c r="C1159" i="23"/>
  <c r="J1159" i="23" s="1"/>
  <c r="C1416" i="23"/>
  <c r="J1416" i="23" s="1"/>
  <c r="C2440" i="23"/>
  <c r="J2440" i="23" s="1"/>
  <c r="C432" i="23"/>
  <c r="J432" i="23" s="1"/>
  <c r="C496" i="23"/>
  <c r="J496" i="23" s="1"/>
  <c r="C560" i="23"/>
  <c r="J560" i="23" s="1"/>
  <c r="C624" i="23"/>
  <c r="J624" i="23" s="1"/>
  <c r="C688" i="23"/>
  <c r="J688" i="23" s="1"/>
  <c r="C752" i="23"/>
  <c r="J752" i="23" s="1"/>
  <c r="C816" i="23"/>
  <c r="J816" i="23" s="1"/>
  <c r="C880" i="23"/>
  <c r="J880" i="23" s="1"/>
  <c r="C944" i="23"/>
  <c r="J944" i="23" s="1"/>
  <c r="C1008" i="23"/>
  <c r="J1008" i="23" s="1"/>
  <c r="C1072" i="23"/>
  <c r="J1072" i="23" s="1"/>
  <c r="C1136" i="23"/>
  <c r="J1136" i="23" s="1"/>
  <c r="C1200" i="23"/>
  <c r="J1200" i="23" s="1"/>
  <c r="C1264" i="23"/>
  <c r="J1264" i="23" s="1"/>
  <c r="C1328" i="23"/>
  <c r="J1328" i="23" s="1"/>
  <c r="C1392" i="23"/>
  <c r="J1392" i="23" s="1"/>
  <c r="C1580" i="23"/>
  <c r="J1580" i="23" s="1"/>
  <c r="C1836" i="23"/>
  <c r="J1836" i="23" s="1"/>
  <c r="C2092" i="23"/>
  <c r="J2092" i="23" s="1"/>
  <c r="C2348" i="23"/>
  <c r="J2348" i="23" s="1"/>
  <c r="C2615" i="23"/>
  <c r="J2615" i="23" s="1"/>
  <c r="C421" i="23"/>
  <c r="J421" i="23" s="1"/>
  <c r="C485" i="23"/>
  <c r="J485" i="23" s="1"/>
  <c r="C549" i="23"/>
  <c r="J549" i="23" s="1"/>
  <c r="C613" i="23"/>
  <c r="J613" i="23" s="1"/>
  <c r="C677" i="23"/>
  <c r="J677" i="23" s="1"/>
  <c r="C741" i="23"/>
  <c r="J741" i="23" s="1"/>
  <c r="C805" i="23"/>
  <c r="J805" i="23" s="1"/>
  <c r="C869" i="23"/>
  <c r="J869" i="23" s="1"/>
  <c r="C953" i="23"/>
  <c r="J953" i="23" s="1"/>
  <c r="C1081" i="23"/>
  <c r="J1081" i="23" s="1"/>
  <c r="C10" i="23"/>
  <c r="J10" i="23" s="1"/>
  <c r="C206" i="23"/>
  <c r="J206" i="23" s="1"/>
  <c r="C386" i="23"/>
  <c r="J386" i="23" s="1"/>
  <c r="C1099" i="23"/>
  <c r="J1099" i="23" s="1"/>
  <c r="C3" i="23"/>
  <c r="J3" i="23" s="1"/>
  <c r="C67" i="23"/>
  <c r="J67" i="23" s="1"/>
  <c r="C131" i="23"/>
  <c r="J131" i="23" s="1"/>
  <c r="C195" i="23"/>
  <c r="J195" i="23" s="1"/>
  <c r="C259" i="23"/>
  <c r="J259" i="23" s="1"/>
  <c r="C323" i="23"/>
  <c r="J323" i="23" s="1"/>
  <c r="C387" i="23"/>
  <c r="J387" i="23" s="1"/>
  <c r="C623" i="23"/>
  <c r="J623" i="23" s="1"/>
  <c r="C879" i="23"/>
  <c r="J879" i="23" s="1"/>
  <c r="C1135" i="23"/>
  <c r="J1135" i="23" s="1"/>
  <c r="C1391" i="23"/>
  <c r="J1391" i="23" s="1"/>
  <c r="C2344" i="23"/>
  <c r="J2344" i="23" s="1"/>
  <c r="C130" i="23"/>
  <c r="J130" i="23" s="1"/>
  <c r="C342" i="23"/>
  <c r="J342" i="23" s="1"/>
  <c r="C1019" i="23"/>
  <c r="J1019" i="23" s="1"/>
  <c r="C16" i="23"/>
  <c r="J16" i="23" s="1"/>
  <c r="C80" i="23"/>
  <c r="J80" i="23" s="1"/>
  <c r="C144" i="23"/>
  <c r="J144" i="23" s="1"/>
  <c r="C208" i="23"/>
  <c r="J208" i="23" s="1"/>
  <c r="C272" i="23"/>
  <c r="J272" i="23" s="1"/>
  <c r="C336" i="23"/>
  <c r="J336" i="23" s="1"/>
  <c r="C419" i="23"/>
  <c r="J419" i="23" s="1"/>
  <c r="C675" i="23"/>
  <c r="J675" i="23" s="1"/>
  <c r="C931" i="23"/>
  <c r="J931" i="23" s="1"/>
  <c r="C1187" i="23"/>
  <c r="J1187" i="23" s="1"/>
  <c r="C1528" i="23"/>
  <c r="J1528" i="23" s="1"/>
  <c r="C2552" i="23"/>
  <c r="J2552" i="23" s="1"/>
  <c r="C126" i="23"/>
  <c r="J126" i="23" s="1"/>
  <c r="C302" i="23"/>
  <c r="J302" i="23" s="1"/>
  <c r="C811" i="23"/>
  <c r="J811" i="23" s="1"/>
  <c r="C1880" i="23"/>
  <c r="J1880" i="23" s="1"/>
  <c r="C45" i="23"/>
  <c r="J45" i="23" s="1"/>
  <c r="C109" i="23"/>
  <c r="J109" i="23" s="1"/>
  <c r="C173" i="23"/>
  <c r="J173" i="23" s="1"/>
  <c r="C237" i="23"/>
  <c r="J237" i="23" s="1"/>
  <c r="C301" i="23"/>
  <c r="J301" i="23" s="1"/>
  <c r="C365" i="23"/>
  <c r="J365" i="23" s="1"/>
  <c r="C535" i="23"/>
  <c r="J535" i="23" s="1"/>
  <c r="C791" i="23"/>
  <c r="J791" i="23" s="1"/>
  <c r="C1047" i="23"/>
  <c r="J1047" i="23" s="1"/>
  <c r="C1303" i="23"/>
  <c r="J1303" i="23" s="1"/>
  <c r="C1992" i="23"/>
  <c r="J1992" i="23" s="1"/>
  <c r="C404" i="23"/>
  <c r="J404" i="23" s="1"/>
  <c r="C468" i="23"/>
  <c r="J468" i="23" s="1"/>
  <c r="C532" i="23"/>
  <c r="J532" i="23" s="1"/>
  <c r="C596" i="23"/>
  <c r="J596" i="23" s="1"/>
  <c r="C660" i="23"/>
  <c r="J660" i="23" s="1"/>
  <c r="C724" i="23"/>
  <c r="J724" i="23" s="1"/>
  <c r="C788" i="23"/>
  <c r="J788" i="23" s="1"/>
  <c r="C852" i="23"/>
  <c r="J852" i="23" s="1"/>
  <c r="C916" i="23"/>
  <c r="J916" i="23" s="1"/>
  <c r="C980" i="23"/>
  <c r="J980" i="23" s="1"/>
  <c r="C1044" i="23"/>
  <c r="J1044" i="23" s="1"/>
  <c r="C1108" i="23"/>
  <c r="J1108" i="23" s="1"/>
  <c r="C1172" i="23"/>
  <c r="J1172" i="23" s="1"/>
  <c r="C1236" i="23"/>
  <c r="J1236" i="23" s="1"/>
  <c r="C1300" i="23"/>
  <c r="J1300" i="23" s="1"/>
  <c r="C1364" i="23"/>
  <c r="J1364" i="23" s="1"/>
  <c r="C1468" i="23"/>
  <c r="J1468" i="23" s="1"/>
  <c r="C1724" i="23"/>
  <c r="J1724" i="23" s="1"/>
  <c r="C1980" i="23"/>
  <c r="J1980" i="23" s="1"/>
  <c r="C2236" i="23"/>
  <c r="J2236" i="23" s="1"/>
  <c r="C2492" i="23"/>
  <c r="J2492" i="23" s="1"/>
  <c r="C3281" i="23"/>
  <c r="J3281" i="23" s="1"/>
  <c r="C457" i="23"/>
  <c r="J457" i="23" s="1"/>
  <c r="C521" i="23"/>
  <c r="J521" i="23" s="1"/>
  <c r="C585" i="23"/>
  <c r="J585" i="23" s="1"/>
  <c r="C649" i="23"/>
  <c r="J649" i="23" s="1"/>
  <c r="C713" i="23"/>
  <c r="J713" i="23" s="1"/>
  <c r="C777" i="23"/>
  <c r="J777" i="23" s="1"/>
  <c r="C841" i="23"/>
  <c r="J841" i="23" s="1"/>
  <c r="C905" i="23"/>
  <c r="J905" i="23" s="1"/>
  <c r="C1025" i="23"/>
  <c r="J1025" i="23" s="1"/>
  <c r="C1153" i="23"/>
  <c r="J1153" i="23" s="1"/>
  <c r="C122" i="23"/>
  <c r="J122" i="23" s="1"/>
  <c r="C310" i="23"/>
  <c r="J310" i="23" s="1"/>
  <c r="C747" i="23"/>
  <c r="J747" i="23" s="1"/>
  <c r="C1560" i="23"/>
  <c r="J1560" i="23" s="1"/>
  <c r="C39" i="23"/>
  <c r="J39" i="23" s="1"/>
  <c r="L39" i="23" s="1"/>
  <c r="K39" i="23" s="1"/>
  <c r="C103" i="23"/>
  <c r="J103" i="23" s="1"/>
  <c r="C167" i="23"/>
  <c r="J167" i="23" s="1"/>
  <c r="C231" i="23"/>
  <c r="J231" i="23" s="1"/>
  <c r="C295" i="23"/>
  <c r="J295" i="23" s="1"/>
  <c r="C359" i="23"/>
  <c r="J359" i="23" s="1"/>
  <c r="C511" i="23"/>
  <c r="J511" i="23" s="1"/>
  <c r="C767" i="23"/>
  <c r="J767" i="23" s="1"/>
  <c r="C1023" i="23"/>
  <c r="J1023" i="23" s="1"/>
  <c r="C1279" i="23"/>
  <c r="J1279" i="23" s="1"/>
  <c r="C1896" i="23"/>
  <c r="J1896" i="23" s="1"/>
  <c r="C38" i="23"/>
  <c r="J38" i="23" s="1"/>
  <c r="C254" i="23"/>
  <c r="J254" i="23" s="1"/>
  <c r="C667" i="23"/>
  <c r="J667" i="23" s="1"/>
  <c r="C2008" i="23"/>
  <c r="J2008" i="23" s="1"/>
  <c r="C52" i="23"/>
  <c r="J52" i="23" s="1"/>
  <c r="C116" i="23"/>
  <c r="J116" i="23" s="1"/>
  <c r="C180" i="23"/>
  <c r="J180" i="23" s="1"/>
  <c r="C244" i="23"/>
  <c r="J244" i="23" s="1"/>
  <c r="C308" i="23"/>
  <c r="J308" i="23" s="1"/>
  <c r="C372" i="23"/>
  <c r="J372" i="23" s="1"/>
  <c r="C563" i="23"/>
  <c r="J563" i="23" s="1"/>
  <c r="C819" i="23"/>
  <c r="J819" i="23" s="1"/>
  <c r="C1075" i="23"/>
  <c r="J1075" i="23" s="1"/>
  <c r="C1331" i="23"/>
  <c r="J1331" i="23" s="1"/>
  <c r="C2104" i="23"/>
  <c r="J2104" i="23" s="1"/>
  <c r="C54" i="23"/>
  <c r="J54" i="23" s="1"/>
  <c r="C222" i="23"/>
  <c r="J222" i="23" s="1"/>
  <c r="C491" i="23"/>
  <c r="J491" i="23" s="1"/>
  <c r="C1211" i="23"/>
  <c r="J1211" i="23" s="1"/>
  <c r="C17" i="23"/>
  <c r="J17" i="23" s="1"/>
  <c r="C81" i="23"/>
  <c r="J81" i="23" s="1"/>
  <c r="C145" i="23"/>
  <c r="J145" i="23" s="1"/>
  <c r="C209" i="23"/>
  <c r="J209" i="23" s="1"/>
  <c r="C273" i="23"/>
  <c r="J273" i="23" s="1"/>
  <c r="C337" i="23"/>
  <c r="J337" i="23" s="1"/>
  <c r="C423" i="23"/>
  <c r="J423" i="23" s="1"/>
  <c r="C679" i="23"/>
  <c r="J679" i="23" s="1"/>
  <c r="C935" i="23"/>
  <c r="J935" i="23" s="1"/>
  <c r="C1191" i="23"/>
  <c r="J1191" i="23" s="1"/>
  <c r="C1544" i="23"/>
  <c r="J1544" i="23" s="1"/>
  <c r="C2568" i="23"/>
  <c r="J2568" i="23" s="1"/>
  <c r="C440" i="23"/>
  <c r="J440" i="23" s="1"/>
  <c r="C504" i="23"/>
  <c r="J504" i="23" s="1"/>
  <c r="L504" i="23" s="1"/>
  <c r="K504" i="23" s="1"/>
  <c r="C568" i="23"/>
  <c r="J568" i="23" s="1"/>
  <c r="C632" i="23"/>
  <c r="J632" i="23" s="1"/>
  <c r="C696" i="23"/>
  <c r="J696" i="23" s="1"/>
  <c r="C760" i="23"/>
  <c r="J760" i="23" s="1"/>
  <c r="C824" i="23"/>
  <c r="J824" i="23" s="1"/>
  <c r="C888" i="23"/>
  <c r="J888" i="23" s="1"/>
  <c r="C952" i="23"/>
  <c r="J952" i="23" s="1"/>
  <c r="C1016" i="23"/>
  <c r="J1016" i="23" s="1"/>
  <c r="C1080" i="23"/>
  <c r="J1080" i="23" s="1"/>
  <c r="C1144" i="23"/>
  <c r="J1144" i="23" s="1"/>
  <c r="C1208" i="23"/>
  <c r="J1208" i="23" s="1"/>
  <c r="C1272" i="23"/>
  <c r="J1272" i="23" s="1"/>
  <c r="C1336" i="23"/>
  <c r="J1336" i="23" s="1"/>
  <c r="C1400" i="23"/>
  <c r="J1400" i="23" s="1"/>
  <c r="C1612" i="23"/>
  <c r="J1612" i="23" s="1"/>
  <c r="C1868" i="23"/>
  <c r="J1868" i="23" s="1"/>
  <c r="C2124" i="23"/>
  <c r="J2124" i="23" s="1"/>
  <c r="C2380" i="23"/>
  <c r="J2380" i="23" s="1"/>
  <c r="C2713" i="23"/>
  <c r="J2713" i="23" s="1"/>
  <c r="C429" i="23"/>
  <c r="J429" i="23" s="1"/>
  <c r="C493" i="23"/>
  <c r="J493" i="23" s="1"/>
  <c r="C557" i="23"/>
  <c r="J557" i="23" s="1"/>
  <c r="C621" i="23"/>
  <c r="J621" i="23" s="1"/>
  <c r="C685" i="23"/>
  <c r="J685" i="23" s="1"/>
  <c r="C749" i="23"/>
  <c r="J749" i="23" s="1"/>
  <c r="C813" i="23"/>
  <c r="J813" i="23" s="1"/>
  <c r="C877" i="23"/>
  <c r="J877" i="23" s="1"/>
  <c r="C969" i="23"/>
  <c r="J969" i="23" s="1"/>
  <c r="C1097" i="23"/>
  <c r="J1097" i="23" s="1"/>
  <c r="C925" i="23"/>
  <c r="J925" i="23" s="1"/>
  <c r="C989" i="23"/>
  <c r="J989" i="23" s="1"/>
  <c r="C1053" i="23"/>
  <c r="J1053" i="23" s="1"/>
  <c r="C1117" i="23"/>
  <c r="J1117" i="23" s="1"/>
  <c r="C1181" i="23"/>
  <c r="J1181" i="23" s="1"/>
  <c r="C1245" i="23"/>
  <c r="J1245" i="23" s="1"/>
  <c r="C1309" i="23"/>
  <c r="J1309" i="23" s="1"/>
  <c r="C1373" i="23"/>
  <c r="J1373" i="23" s="1"/>
  <c r="C1504" i="23"/>
  <c r="J1504" i="23" s="1"/>
  <c r="C1760" i="23"/>
  <c r="J1760" i="23" s="1"/>
  <c r="C2016" i="23"/>
  <c r="J2016" i="23" s="1"/>
  <c r="C2272" i="23"/>
  <c r="J2272" i="23" s="1"/>
  <c r="C2528" i="23"/>
  <c r="J2528" i="23" s="1"/>
  <c r="C394" i="23"/>
  <c r="J394" i="23" s="1"/>
  <c r="C458" i="23"/>
  <c r="J458" i="23" s="1"/>
  <c r="C522" i="23"/>
  <c r="J522" i="23" s="1"/>
  <c r="C586" i="23"/>
  <c r="J586" i="23" s="1"/>
  <c r="C650" i="23"/>
  <c r="J650" i="23" s="1"/>
  <c r="C714" i="23"/>
  <c r="J714" i="23" s="1"/>
  <c r="C778" i="23"/>
  <c r="J778" i="23" s="1"/>
  <c r="C842" i="23"/>
  <c r="J842" i="23" s="1"/>
  <c r="C906" i="23"/>
  <c r="J906" i="23" s="1"/>
  <c r="C970" i="23"/>
  <c r="J970" i="23" s="1"/>
  <c r="C1034" i="23"/>
  <c r="J1034" i="23" s="1"/>
  <c r="C1098" i="23"/>
  <c r="J1098" i="23" s="1"/>
  <c r="C1162" i="23"/>
  <c r="J1162" i="23" s="1"/>
  <c r="C1226" i="23"/>
  <c r="J1226" i="23" s="1"/>
  <c r="C1290" i="23"/>
  <c r="J1290" i="23" s="1"/>
  <c r="C1354" i="23"/>
  <c r="J1354" i="23" s="1"/>
  <c r="C1428" i="23"/>
  <c r="J1428" i="23" s="1"/>
  <c r="C1684" i="23"/>
  <c r="J1684" i="23" s="1"/>
  <c r="C1940" i="23"/>
  <c r="J1940" i="23" s="1"/>
  <c r="C2196" i="23"/>
  <c r="J2196" i="23" s="1"/>
  <c r="C2452" i="23"/>
  <c r="J2452" i="23" s="1"/>
  <c r="C3001" i="23"/>
  <c r="J3001" i="23" s="1"/>
  <c r="C1461" i="23"/>
  <c r="J1461" i="23" s="1"/>
  <c r="C1525" i="23"/>
  <c r="J1525" i="23" s="1"/>
  <c r="C1589" i="23"/>
  <c r="J1589" i="23" s="1"/>
  <c r="C1653" i="23"/>
  <c r="J1653" i="23" s="1"/>
  <c r="C1717" i="23"/>
  <c r="J1717" i="23" s="1"/>
  <c r="C1781" i="23"/>
  <c r="J1781" i="23" s="1"/>
  <c r="C1845" i="23"/>
  <c r="J1845" i="23" s="1"/>
  <c r="C1909" i="23"/>
  <c r="J1909" i="23" s="1"/>
  <c r="C1973" i="23"/>
  <c r="J1973" i="23" s="1"/>
  <c r="C2037" i="23"/>
  <c r="J2037" i="23" s="1"/>
  <c r="C2101" i="23"/>
  <c r="J2101" i="23" s="1"/>
  <c r="C2165" i="23"/>
  <c r="J2165" i="23" s="1"/>
  <c r="C2229" i="23"/>
  <c r="J2229" i="23" s="1"/>
  <c r="C2293" i="23"/>
  <c r="J2293" i="23" s="1"/>
  <c r="C2357" i="23"/>
  <c r="J2357" i="23" s="1"/>
  <c r="C2421" i="23"/>
  <c r="J2421" i="23" s="1"/>
  <c r="C2485" i="23"/>
  <c r="J2485" i="23" s="1"/>
  <c r="C2549" i="23"/>
  <c r="J2549" i="23" s="1"/>
  <c r="C2633" i="23"/>
  <c r="J2633" i="23" s="1"/>
  <c r="C2877" i="23"/>
  <c r="J2877" i="23" s="1"/>
  <c r="C3217" i="23"/>
  <c r="J3217" i="23" s="1"/>
  <c r="C1442" i="23"/>
  <c r="J1442" i="23" s="1"/>
  <c r="C1506" i="23"/>
  <c r="J1506" i="23" s="1"/>
  <c r="C1570" i="23"/>
  <c r="J1570" i="23" s="1"/>
  <c r="C1634" i="23"/>
  <c r="J1634" i="23" s="1"/>
  <c r="C1698" i="23"/>
  <c r="J1698" i="23" s="1"/>
  <c r="C1762" i="23"/>
  <c r="J1762" i="23" s="1"/>
  <c r="C1826" i="23"/>
  <c r="J1826" i="23" s="1"/>
  <c r="C1890" i="23"/>
  <c r="J1890" i="23" s="1"/>
  <c r="C1954" i="23"/>
  <c r="J1954" i="23" s="1"/>
  <c r="C2018" i="23"/>
  <c r="J2018" i="23" s="1"/>
  <c r="C2082" i="23"/>
  <c r="J2082" i="23" s="1"/>
  <c r="C2146" i="23"/>
  <c r="J2146" i="23" s="1"/>
  <c r="C2210" i="23"/>
  <c r="J2210" i="23" s="1"/>
  <c r="C2274" i="23"/>
  <c r="J2274" i="23" s="1"/>
  <c r="C2338" i="23"/>
  <c r="J2338" i="23" s="1"/>
  <c r="C2402" i="23"/>
  <c r="J2402" i="23" s="1"/>
  <c r="C2466" i="23"/>
  <c r="J2466" i="23" s="1"/>
  <c r="C2530" i="23"/>
  <c r="J2530" i="23" s="1"/>
  <c r="C2595" i="23"/>
  <c r="J2595" i="23" s="1"/>
  <c r="C2801" i="23"/>
  <c r="J2801" i="23" s="1"/>
  <c r="C3065" i="23"/>
  <c r="J3065" i="23" s="1"/>
  <c r="C1427" i="23"/>
  <c r="J1427" i="23" s="1"/>
  <c r="C1491" i="23"/>
  <c r="J1491" i="23" s="1"/>
  <c r="C1555" i="23"/>
  <c r="J1555" i="23" s="1"/>
  <c r="C1619" i="23"/>
  <c r="J1619" i="23" s="1"/>
  <c r="C1683" i="23"/>
  <c r="J1683" i="23" s="1"/>
  <c r="C1747" i="23"/>
  <c r="J1747" i="23" s="1"/>
  <c r="C1811" i="23"/>
  <c r="J1811" i="23" s="1"/>
  <c r="C1875" i="23"/>
  <c r="J1875" i="23" s="1"/>
  <c r="C1939" i="23"/>
  <c r="J1939" i="23" s="1"/>
  <c r="C2003" i="23"/>
  <c r="J2003" i="23" s="1"/>
  <c r="C2067" i="23"/>
  <c r="J2067" i="23" s="1"/>
  <c r="C2131" i="23"/>
  <c r="J2131" i="23" s="1"/>
  <c r="C2195" i="23"/>
  <c r="J2195" i="23" s="1"/>
  <c r="C1233" i="23"/>
  <c r="J1233" i="23" s="1"/>
  <c r="C1297" i="23"/>
  <c r="J1297" i="23" s="1"/>
  <c r="C1361" i="23"/>
  <c r="J1361" i="23" s="1"/>
  <c r="C1456" i="23"/>
  <c r="J1456" i="23" s="1"/>
  <c r="C1712" i="23"/>
  <c r="J1712" i="23" s="1"/>
  <c r="C1968" i="23"/>
  <c r="J1968" i="23" s="1"/>
  <c r="C2224" i="23"/>
  <c r="J2224" i="23" s="1"/>
  <c r="C2480" i="23"/>
  <c r="J2480" i="23" s="1"/>
  <c r="C3177" i="23"/>
  <c r="J3177" i="23" s="1"/>
  <c r="C446" i="23"/>
  <c r="J446" i="23" s="1"/>
  <c r="C510" i="23"/>
  <c r="J510" i="23" s="1"/>
  <c r="C574" i="23"/>
  <c r="J574" i="23" s="1"/>
  <c r="C638" i="23"/>
  <c r="J638" i="23" s="1"/>
  <c r="C702" i="23"/>
  <c r="J702" i="23" s="1"/>
  <c r="C766" i="23"/>
  <c r="J766" i="23" s="1"/>
  <c r="C830" i="23"/>
  <c r="J830" i="23" s="1"/>
  <c r="C894" i="23"/>
  <c r="J894" i="23" s="1"/>
  <c r="C958" i="23"/>
  <c r="J958" i="23" s="1"/>
  <c r="C1022" i="23"/>
  <c r="J1022" i="23" s="1"/>
  <c r="C1086" i="23"/>
  <c r="J1086" i="23" s="1"/>
  <c r="C1150" i="23"/>
  <c r="J1150" i="23" s="1"/>
  <c r="C1214" i="23"/>
  <c r="J1214" i="23" s="1"/>
  <c r="C1278" i="23"/>
  <c r="J1278" i="23" s="1"/>
  <c r="C1342" i="23"/>
  <c r="J1342" i="23" s="1"/>
  <c r="C1406" i="23"/>
  <c r="J1406" i="23" s="1"/>
  <c r="C1636" i="23"/>
  <c r="J1636" i="23" s="1"/>
  <c r="C1892" i="23"/>
  <c r="J1892" i="23" s="1"/>
  <c r="C2148" i="23"/>
  <c r="J2148" i="23" s="1"/>
  <c r="C2404" i="23"/>
  <c r="J2404" i="23" s="1"/>
  <c r="C2809" i="23"/>
  <c r="J2809" i="23" s="1"/>
  <c r="C1449" i="23"/>
  <c r="J1449" i="23" s="1"/>
  <c r="C1513" i="23"/>
  <c r="J1513" i="23" s="1"/>
  <c r="C1577" i="23"/>
  <c r="J1577" i="23" s="1"/>
  <c r="C1641" i="23"/>
  <c r="J1641" i="23" s="1"/>
  <c r="C1705" i="23"/>
  <c r="J1705" i="23" s="1"/>
  <c r="C1769" i="23"/>
  <c r="J1769" i="23" s="1"/>
  <c r="C1833" i="23"/>
  <c r="J1833" i="23" s="1"/>
  <c r="C1897" i="23"/>
  <c r="J1897" i="23" s="1"/>
  <c r="C1961" i="23"/>
  <c r="J1961" i="23" s="1"/>
  <c r="C2025" i="23"/>
  <c r="J2025" i="23" s="1"/>
  <c r="C2089" i="23"/>
  <c r="J2089" i="23" s="1"/>
  <c r="C2153" i="23"/>
  <c r="J2153" i="23" s="1"/>
  <c r="C2217" i="23"/>
  <c r="J2217" i="23" s="1"/>
  <c r="C2281" i="23"/>
  <c r="J2281" i="23" s="1"/>
  <c r="C2345" i="23"/>
  <c r="J2345" i="23" s="1"/>
  <c r="C2409" i="23"/>
  <c r="J2409" i="23" s="1"/>
  <c r="C2473" i="23"/>
  <c r="J2473" i="23" s="1"/>
  <c r="C2537" i="23"/>
  <c r="J2537" i="23" s="1"/>
  <c r="C2609" i="23"/>
  <c r="J2609" i="23" s="1"/>
  <c r="C2829" i="23"/>
  <c r="J2829" i="23" s="1"/>
  <c r="C3121" i="23"/>
  <c r="J3121" i="23" s="1"/>
  <c r="C1430" i="23"/>
  <c r="J1430" i="23" s="1"/>
  <c r="C1494" i="23"/>
  <c r="J1494" i="23" s="1"/>
  <c r="C1558" i="23"/>
  <c r="J1558" i="23" s="1"/>
  <c r="C1622" i="23"/>
  <c r="J1622" i="23" s="1"/>
  <c r="C1686" i="23"/>
  <c r="J1686" i="23" s="1"/>
  <c r="C1750" i="23"/>
  <c r="J1750" i="23" s="1"/>
  <c r="C1814" i="23"/>
  <c r="J1814" i="23" s="1"/>
  <c r="C1878" i="23"/>
  <c r="J1878" i="23" s="1"/>
  <c r="C1942" i="23"/>
  <c r="J1942" i="23" s="1"/>
  <c r="C2006" i="23"/>
  <c r="J2006" i="23" s="1"/>
  <c r="C2070" i="23"/>
  <c r="J2070" i="23" s="1"/>
  <c r="C2134" i="23"/>
  <c r="J2134" i="23" s="1"/>
  <c r="C2198" i="23"/>
  <c r="J2198" i="23" s="1"/>
  <c r="C2262" i="23"/>
  <c r="J2262" i="23" s="1"/>
  <c r="C2326" i="23"/>
  <c r="J2326" i="23" s="1"/>
  <c r="C2390" i="23"/>
  <c r="J2390" i="23" s="1"/>
  <c r="C2454" i="23"/>
  <c r="J2454" i="23" s="1"/>
  <c r="C2518" i="23"/>
  <c r="J2518" i="23" s="1"/>
  <c r="C2582" i="23"/>
  <c r="J2582" i="23" s="1"/>
  <c r="C2753" i="23"/>
  <c r="J2753" i="23" s="1"/>
  <c r="C3009" i="23"/>
  <c r="J3009" i="23" s="1"/>
  <c r="C4154" i="23"/>
  <c r="J4154" i="23" s="1"/>
  <c r="C1479" i="23"/>
  <c r="J1479" i="23" s="1"/>
  <c r="C1543" i="23"/>
  <c r="J1543" i="23" s="1"/>
  <c r="C1607" i="23"/>
  <c r="J1607" i="23" s="1"/>
  <c r="C1671" i="23"/>
  <c r="J1671" i="23" s="1"/>
  <c r="C1735" i="23"/>
  <c r="J1735" i="23" s="1"/>
  <c r="C1799" i="23"/>
  <c r="J1799" i="23" s="1"/>
  <c r="C1863" i="23"/>
  <c r="J1863" i="23" s="1"/>
  <c r="C1927" i="23"/>
  <c r="J1927" i="23" s="1"/>
  <c r="C1991" i="23"/>
  <c r="J1991" i="23" s="1"/>
  <c r="C2055" i="23"/>
  <c r="J2055" i="23" s="1"/>
  <c r="C2119" i="23"/>
  <c r="J2119" i="23" s="1"/>
  <c r="C2183" i="23"/>
  <c r="J2183" i="23" s="1"/>
  <c r="C933" i="23"/>
  <c r="J933" i="23" s="1"/>
  <c r="C997" i="23"/>
  <c r="J997" i="23" s="1"/>
  <c r="C1061" i="23"/>
  <c r="J1061" i="23" s="1"/>
  <c r="C1125" i="23"/>
  <c r="J1125" i="23" s="1"/>
  <c r="C1189" i="23"/>
  <c r="J1189" i="23" s="1"/>
  <c r="C1253" i="23"/>
  <c r="J1253" i="23" s="1"/>
  <c r="C1317" i="23"/>
  <c r="J1317" i="23" s="1"/>
  <c r="C1381" i="23"/>
  <c r="J1381" i="23" s="1"/>
  <c r="C1536" i="23"/>
  <c r="J1536" i="23" s="1"/>
  <c r="C1792" i="23"/>
  <c r="J1792" i="23" s="1"/>
  <c r="C2048" i="23"/>
  <c r="J2048" i="23" s="1"/>
  <c r="C2304" i="23"/>
  <c r="J2304" i="23" s="1"/>
  <c r="C2560" i="23"/>
  <c r="J2560" i="23" s="1"/>
  <c r="C402" i="23"/>
  <c r="J402" i="23" s="1"/>
  <c r="C466" i="23"/>
  <c r="J466" i="23" s="1"/>
  <c r="C530" i="23"/>
  <c r="J530" i="23" s="1"/>
  <c r="C594" i="23"/>
  <c r="J594" i="23" s="1"/>
  <c r="C658" i="23"/>
  <c r="J658" i="23" s="1"/>
  <c r="C722" i="23"/>
  <c r="J722" i="23" s="1"/>
  <c r="C786" i="23"/>
  <c r="J786" i="23" s="1"/>
  <c r="C850" i="23"/>
  <c r="J850" i="23" s="1"/>
  <c r="C914" i="23"/>
  <c r="J914" i="23" s="1"/>
  <c r="C978" i="23"/>
  <c r="J978" i="23" s="1"/>
  <c r="C1042" i="23"/>
  <c r="J1042" i="23" s="1"/>
  <c r="C1106" i="23"/>
  <c r="J1106" i="23" s="1"/>
  <c r="C1170" i="23"/>
  <c r="J1170" i="23" s="1"/>
  <c r="C1234" i="23"/>
  <c r="J1234" i="23" s="1"/>
  <c r="C1298" i="23"/>
  <c r="J1298" i="23" s="1"/>
  <c r="C1362" i="23"/>
  <c r="J1362" i="23" s="1"/>
  <c r="C1460" i="23"/>
  <c r="J1460" i="23" s="1"/>
  <c r="C1716" i="23"/>
  <c r="J1716" i="23" s="1"/>
  <c r="C1972" i="23"/>
  <c r="J1972" i="23" s="1"/>
  <c r="C2228" i="23"/>
  <c r="J2228" i="23" s="1"/>
  <c r="C2484" i="23"/>
  <c r="J2484" i="23" s="1"/>
  <c r="C3209" i="23"/>
  <c r="J3209" i="23" s="1"/>
  <c r="C1469" i="23"/>
  <c r="J1469" i="23" s="1"/>
  <c r="C1533" i="23"/>
  <c r="J1533" i="23" s="1"/>
  <c r="C1597" i="23"/>
  <c r="J1597" i="23" s="1"/>
  <c r="C1661" i="23"/>
  <c r="J1661" i="23" s="1"/>
  <c r="C1725" i="23"/>
  <c r="J1725" i="23" s="1"/>
  <c r="C1789" i="23"/>
  <c r="J1789" i="23" s="1"/>
  <c r="C1853" i="23"/>
  <c r="J1853" i="23" s="1"/>
  <c r="C1917" i="23"/>
  <c r="J1917" i="23" s="1"/>
  <c r="C1981" i="23"/>
  <c r="J1981" i="23" s="1"/>
  <c r="C2045" i="23"/>
  <c r="J2045" i="23" s="1"/>
  <c r="C2109" i="23"/>
  <c r="J2109" i="23" s="1"/>
  <c r="C2173" i="23"/>
  <c r="J2173" i="23" s="1"/>
  <c r="C2237" i="23"/>
  <c r="J2237" i="23" s="1"/>
  <c r="C2301" i="23"/>
  <c r="J2301" i="23" s="1"/>
  <c r="C2365" i="23"/>
  <c r="J2365" i="23" s="1"/>
  <c r="C2429" i="23"/>
  <c r="J2429" i="23" s="1"/>
  <c r="C2493" i="23"/>
  <c r="J2493" i="23" s="1"/>
  <c r="C2557" i="23"/>
  <c r="J2557" i="23" s="1"/>
  <c r="C2653" i="23"/>
  <c r="J2653" i="23" s="1"/>
  <c r="C2909" i="23"/>
  <c r="J2909" i="23" s="1"/>
  <c r="C3297" i="23"/>
  <c r="J3297" i="23" s="1"/>
  <c r="C1450" i="23"/>
  <c r="J1450" i="23" s="1"/>
  <c r="C1514" i="23"/>
  <c r="J1514" i="23" s="1"/>
  <c r="C1578" i="23"/>
  <c r="J1578" i="23" s="1"/>
  <c r="C1642" i="23"/>
  <c r="J1642" i="23" s="1"/>
  <c r="C1706" i="23"/>
  <c r="J1706" i="23" s="1"/>
  <c r="C1770" i="23"/>
  <c r="J1770" i="23" s="1"/>
  <c r="C1834" i="23"/>
  <c r="J1834" i="23" s="1"/>
  <c r="C1898" i="23"/>
  <c r="J1898" i="23" s="1"/>
  <c r="C1962" i="23"/>
  <c r="J1962" i="23" s="1"/>
  <c r="C2026" i="23"/>
  <c r="J2026" i="23" s="1"/>
  <c r="C2090" i="23"/>
  <c r="J2090" i="23" s="1"/>
  <c r="C2154" i="23"/>
  <c r="J2154" i="23" s="1"/>
  <c r="C2218" i="23"/>
  <c r="J2218" i="23" s="1"/>
  <c r="C2282" i="23"/>
  <c r="J2282" i="23" s="1"/>
  <c r="C2346" i="23"/>
  <c r="J2346" i="23" s="1"/>
  <c r="C2410" i="23"/>
  <c r="J2410" i="23" s="1"/>
  <c r="C2474" i="23"/>
  <c r="J2474" i="23" s="1"/>
  <c r="C2538" i="23"/>
  <c r="J2538" i="23" s="1"/>
  <c r="C2611" i="23"/>
  <c r="J2611" i="23" s="1"/>
  <c r="C2833" i="23"/>
  <c r="J2833" i="23" s="1"/>
  <c r="C3129" i="23"/>
  <c r="J3129" i="23" s="1"/>
  <c r="C1435" i="23"/>
  <c r="J1435" i="23" s="1"/>
  <c r="C1499" i="23"/>
  <c r="J1499" i="23" s="1"/>
  <c r="C1563" i="23"/>
  <c r="J1563" i="23" s="1"/>
  <c r="C1627" i="23"/>
  <c r="J1627" i="23" s="1"/>
  <c r="C1691" i="23"/>
  <c r="J1691" i="23" s="1"/>
  <c r="C1755" i="23"/>
  <c r="J1755" i="23" s="1"/>
  <c r="C1819" i="23"/>
  <c r="J1819" i="23" s="1"/>
  <c r="C1931" i="23"/>
  <c r="J1931" i="23" s="1"/>
  <c r="C2059" i="23"/>
  <c r="J2059" i="23" s="1"/>
  <c r="C2187" i="23"/>
  <c r="J2187" i="23" s="1"/>
  <c r="C1289" i="23"/>
  <c r="J1289" i="23" s="1"/>
  <c r="C1424" i="23"/>
  <c r="J1424" i="23" s="1"/>
  <c r="C1936" i="23"/>
  <c r="J1936" i="23" s="1"/>
  <c r="C2448" i="23"/>
  <c r="J2448" i="23" s="1"/>
  <c r="C438" i="23"/>
  <c r="J438" i="23" s="1"/>
  <c r="C566" i="23"/>
  <c r="J566" i="23" s="1"/>
  <c r="C694" i="23"/>
  <c r="J694" i="23" s="1"/>
  <c r="C822" i="23"/>
  <c r="J822" i="23" s="1"/>
  <c r="C950" i="23"/>
  <c r="J950" i="23" s="1"/>
  <c r="C1078" i="23"/>
  <c r="J1078" i="23" s="1"/>
  <c r="C1206" i="23"/>
  <c r="J1206" i="23" s="1"/>
  <c r="C1334" i="23"/>
  <c r="J1334" i="23" s="1"/>
  <c r="C1604" i="23"/>
  <c r="J1604" i="23" s="1"/>
  <c r="C2116" i="23"/>
  <c r="J2116" i="23" s="1"/>
  <c r="C2681" i="23"/>
  <c r="J2681" i="23" s="1"/>
  <c r="C1505" i="23"/>
  <c r="J1505" i="23" s="1"/>
  <c r="C1633" i="23"/>
  <c r="J1633" i="23" s="1"/>
  <c r="C1761" i="23"/>
  <c r="J1761" i="23" s="1"/>
  <c r="C1889" i="23"/>
  <c r="J1889" i="23" s="1"/>
  <c r="C2017" i="23"/>
  <c r="J2017" i="23" s="1"/>
  <c r="C2145" i="23"/>
  <c r="J2145" i="23" s="1"/>
  <c r="C2273" i="23"/>
  <c r="J2273" i="23" s="1"/>
  <c r="C2401" i="23"/>
  <c r="J2401" i="23" s="1"/>
  <c r="C2529" i="23"/>
  <c r="J2529" i="23" s="1"/>
  <c r="C2797" i="23"/>
  <c r="J2797" i="23" s="1"/>
  <c r="C1422" i="23"/>
  <c r="J1422" i="23" s="1"/>
  <c r="C1550" i="23"/>
  <c r="J1550" i="23" s="1"/>
  <c r="C1678" i="23"/>
  <c r="J1678" i="23" s="1"/>
  <c r="C1806" i="23"/>
  <c r="J1806" i="23" s="1"/>
  <c r="C1934" i="23"/>
  <c r="J1934" i="23" s="1"/>
  <c r="C2062" i="23"/>
  <c r="J2062" i="23" s="1"/>
  <c r="C2190" i="23"/>
  <c r="J2190" i="23" s="1"/>
  <c r="C2318" i="23"/>
  <c r="J2318" i="23" s="1"/>
  <c r="C2446" i="23"/>
  <c r="J2446" i="23" s="1"/>
  <c r="C2574" i="23"/>
  <c r="J2574" i="23" s="1"/>
  <c r="C3161" i="23"/>
  <c r="J3161" i="23" s="1"/>
  <c r="C264" i="23"/>
  <c r="J264" i="23" s="1"/>
  <c r="C328" i="23"/>
  <c r="J328" i="23" s="1"/>
  <c r="C393" i="23"/>
  <c r="J393" i="23" s="1"/>
  <c r="C643" i="23"/>
  <c r="J643" i="23" s="1"/>
  <c r="C899" i="23"/>
  <c r="J899" i="23" s="1"/>
  <c r="C1155" i="23"/>
  <c r="J1155" i="23" s="1"/>
  <c r="C1411" i="23"/>
  <c r="J1411" i="23" s="1"/>
  <c r="C2424" i="23"/>
  <c r="J2424" i="23" s="1"/>
  <c r="C98" i="23"/>
  <c r="J98" i="23" s="1"/>
  <c r="C282" i="23"/>
  <c r="J282" i="23" s="1"/>
  <c r="C731" i="23"/>
  <c r="J731" i="23" s="1"/>
  <c r="C1624" i="23"/>
  <c r="J1624" i="23" s="1"/>
  <c r="C37" i="23"/>
  <c r="J37" i="23" s="1"/>
  <c r="L37" i="23" s="1"/>
  <c r="K37" i="23" s="1"/>
  <c r="C101" i="23"/>
  <c r="J101" i="23" s="1"/>
  <c r="C165" i="23"/>
  <c r="J165" i="23" s="1"/>
  <c r="C229" i="23"/>
  <c r="J229" i="23" s="1"/>
  <c r="C293" i="23"/>
  <c r="J293" i="23" s="1"/>
  <c r="C357" i="23"/>
  <c r="J357" i="23" s="1"/>
  <c r="C503" i="23"/>
  <c r="J503" i="23" s="1"/>
  <c r="C759" i="23"/>
  <c r="J759" i="23" s="1"/>
  <c r="C1015" i="23"/>
  <c r="J1015" i="23" s="1"/>
  <c r="C1271" i="23"/>
  <c r="J1271" i="23" s="1"/>
  <c r="C1864" i="23"/>
  <c r="J1864" i="23" s="1"/>
  <c r="C396" i="23"/>
  <c r="J396" i="23" s="1"/>
  <c r="C460" i="23"/>
  <c r="J460" i="23" s="1"/>
  <c r="C524" i="23"/>
  <c r="J524" i="23" s="1"/>
  <c r="C588" i="23"/>
  <c r="J588" i="23" s="1"/>
  <c r="C652" i="23"/>
  <c r="J652" i="23" s="1"/>
  <c r="C716" i="23"/>
  <c r="J716" i="23" s="1"/>
  <c r="C780" i="23"/>
  <c r="J780" i="23" s="1"/>
  <c r="C844" i="23"/>
  <c r="J844" i="23" s="1"/>
  <c r="C908" i="23"/>
  <c r="J908" i="23" s="1"/>
  <c r="C972" i="23"/>
  <c r="J972" i="23" s="1"/>
  <c r="C1036" i="23"/>
  <c r="J1036" i="23" s="1"/>
  <c r="C1100" i="23"/>
  <c r="J1100" i="23" s="1"/>
  <c r="C1164" i="23"/>
  <c r="J1164" i="23" s="1"/>
  <c r="C1228" i="23"/>
  <c r="J1228" i="23" s="1"/>
  <c r="C1292" i="23"/>
  <c r="J1292" i="23" s="1"/>
  <c r="C1356" i="23"/>
  <c r="J1356" i="23" s="1"/>
  <c r="C1436" i="23"/>
  <c r="J1436" i="23" s="1"/>
  <c r="C1692" i="23"/>
  <c r="J1692" i="23" s="1"/>
  <c r="C1948" i="23"/>
  <c r="J1948" i="23" s="1"/>
  <c r="C2204" i="23"/>
  <c r="J2204" i="23" s="1"/>
  <c r="C2460" i="23"/>
  <c r="J2460" i="23" s="1"/>
  <c r="C3033" i="23"/>
  <c r="J3033" i="23" s="1"/>
  <c r="C449" i="23"/>
  <c r="J449" i="23" s="1"/>
  <c r="C513" i="23"/>
  <c r="J513" i="23" s="1"/>
  <c r="C577" i="23"/>
  <c r="J577" i="23" s="1"/>
  <c r="C641" i="23"/>
  <c r="J641" i="23" s="1"/>
  <c r="C705" i="23"/>
  <c r="J705" i="23" s="1"/>
  <c r="C769" i="23"/>
  <c r="J769" i="23" s="1"/>
  <c r="C833" i="23"/>
  <c r="J833" i="23" s="1"/>
  <c r="C897" i="23"/>
  <c r="J897" i="23" s="1"/>
  <c r="C1009" i="23"/>
  <c r="J1009" i="23" s="1"/>
  <c r="C1137" i="23"/>
  <c r="J1137" i="23" s="1"/>
  <c r="C142" i="23"/>
  <c r="J142" i="23" s="1"/>
  <c r="C334" i="23"/>
  <c r="J334" i="23" s="1"/>
  <c r="C843" i="23"/>
  <c r="J843" i="23" s="1"/>
  <c r="C1944" i="23"/>
  <c r="J1944" i="23" s="1"/>
  <c r="C47" i="23"/>
  <c r="J47" i="23" s="1"/>
  <c r="L47" i="23" s="1"/>
  <c r="K47" i="23" s="1"/>
  <c r="C111" i="23"/>
  <c r="J111" i="23" s="1"/>
  <c r="C175" i="23"/>
  <c r="J175" i="23" s="1"/>
  <c r="C239" i="23"/>
  <c r="J239" i="23" s="1"/>
  <c r="C303" i="23"/>
  <c r="J303" i="23" s="1"/>
  <c r="C367" i="23"/>
  <c r="J367" i="23" s="1"/>
  <c r="C543" i="23"/>
  <c r="J543" i="23" s="1"/>
  <c r="C799" i="23"/>
  <c r="J799" i="23" s="1"/>
  <c r="C1055" i="23"/>
  <c r="J1055" i="23" s="1"/>
  <c r="C1311" i="23"/>
  <c r="J1311" i="23" s="1"/>
  <c r="C2024" i="23"/>
  <c r="J2024" i="23" s="1"/>
  <c r="C66" i="23"/>
  <c r="J66" i="23" s="1"/>
  <c r="C278" i="23"/>
  <c r="J278" i="23" s="1"/>
  <c r="C779" i="23"/>
  <c r="J779" i="23" s="1"/>
  <c r="C2456" i="23"/>
  <c r="J2456" i="23" s="1"/>
  <c r="C60" i="23"/>
  <c r="J60" i="23" s="1"/>
  <c r="C124" i="23"/>
  <c r="J124" i="23" s="1"/>
  <c r="C188" i="23"/>
  <c r="J188" i="23" s="1"/>
  <c r="C252" i="23"/>
  <c r="J252" i="23" s="1"/>
  <c r="C316" i="23"/>
  <c r="J316" i="23" s="1"/>
  <c r="C380" i="23"/>
  <c r="J380" i="23" s="1"/>
  <c r="C595" i="23"/>
  <c r="J595" i="23" s="1"/>
  <c r="C851" i="23"/>
  <c r="J851" i="23" s="1"/>
  <c r="C1107" i="23"/>
  <c r="J1107" i="23" s="1"/>
  <c r="C1363" i="23"/>
  <c r="J1363" i="23" s="1"/>
  <c r="C2232" i="23"/>
  <c r="J2232" i="23" s="1"/>
  <c r="C70" i="23"/>
  <c r="J70" i="23" s="1"/>
  <c r="C246" i="23"/>
  <c r="J246" i="23" s="1"/>
  <c r="C587" i="23"/>
  <c r="J587" i="23" s="1"/>
  <c r="C1307" i="23"/>
  <c r="J1307" i="23" s="1"/>
  <c r="C25" i="23"/>
  <c r="J25" i="23" s="1"/>
  <c r="C89" i="23"/>
  <c r="J89" i="23" s="1"/>
  <c r="C153" i="23"/>
  <c r="J153" i="23" s="1"/>
  <c r="C217" i="23"/>
  <c r="J217" i="23" s="1"/>
  <c r="C281" i="23"/>
  <c r="J281" i="23" s="1"/>
  <c r="C345" i="23"/>
  <c r="J345" i="23" s="1"/>
  <c r="C455" i="23"/>
  <c r="J455" i="23" s="1"/>
  <c r="C711" i="23"/>
  <c r="J711" i="23" s="1"/>
  <c r="C967" i="23"/>
  <c r="J967" i="23" s="1"/>
  <c r="C1223" i="23"/>
  <c r="J1223" i="23" s="1"/>
  <c r="C1672" i="23"/>
  <c r="J1672" i="23" s="1"/>
  <c r="C2953" i="23"/>
  <c r="J2953" i="23" s="1"/>
  <c r="C448" i="23"/>
  <c r="J448" i="23" s="1"/>
  <c r="C512" i="23"/>
  <c r="J512" i="23" s="1"/>
  <c r="C576" i="23"/>
  <c r="J576" i="23" s="1"/>
  <c r="C640" i="23"/>
  <c r="J640" i="23" s="1"/>
  <c r="C704" i="23"/>
  <c r="J704" i="23" s="1"/>
  <c r="C768" i="23"/>
  <c r="J768" i="23" s="1"/>
  <c r="C832" i="23"/>
  <c r="J832" i="23" s="1"/>
  <c r="C896" i="23"/>
  <c r="J896" i="23" s="1"/>
  <c r="C960" i="23"/>
  <c r="J960" i="23" s="1"/>
  <c r="C1024" i="23"/>
  <c r="J1024" i="23" s="1"/>
  <c r="C1088" i="23"/>
  <c r="J1088" i="23" s="1"/>
  <c r="C1152" i="23"/>
  <c r="J1152" i="23" s="1"/>
  <c r="C1216" i="23"/>
  <c r="J1216" i="23" s="1"/>
  <c r="C1280" i="23"/>
  <c r="J1280" i="23" s="1"/>
  <c r="C1344" i="23"/>
  <c r="J1344" i="23" s="1"/>
  <c r="C1408" i="23"/>
  <c r="J1408" i="23" s="1"/>
  <c r="C1644" i="23"/>
  <c r="J1644" i="23" s="1"/>
  <c r="C1900" i="23"/>
  <c r="J1900" i="23" s="1"/>
  <c r="C2156" i="23"/>
  <c r="J2156" i="23" s="1"/>
  <c r="C2412" i="23"/>
  <c r="J2412" i="23" s="1"/>
  <c r="C2841" i="23"/>
  <c r="J2841" i="23" s="1"/>
  <c r="C437" i="23"/>
  <c r="J437" i="23" s="1"/>
  <c r="C501" i="23"/>
  <c r="J501" i="23" s="1"/>
  <c r="C565" i="23"/>
  <c r="J565" i="23" s="1"/>
  <c r="C629" i="23"/>
  <c r="J629" i="23" s="1"/>
  <c r="C693" i="23"/>
  <c r="J693" i="23" s="1"/>
  <c r="C757" i="23"/>
  <c r="J757" i="23" s="1"/>
  <c r="C821" i="23"/>
  <c r="J821" i="23" s="1"/>
  <c r="C885" i="23"/>
  <c r="J885" i="23" s="1"/>
  <c r="C985" i="23"/>
  <c r="J985" i="23" s="1"/>
  <c r="C1113" i="23"/>
  <c r="J1113" i="23" s="1"/>
  <c r="C58" i="23"/>
  <c r="J58" i="23" s="1"/>
  <c r="C250" i="23"/>
  <c r="J250" i="23" s="1"/>
  <c r="C523" i="23"/>
  <c r="J523" i="23" s="1"/>
  <c r="C1227" i="23"/>
  <c r="J1227" i="23" s="1"/>
  <c r="C19" i="23"/>
  <c r="J19" i="23" s="1"/>
  <c r="C83" i="23"/>
  <c r="J83" i="23" s="1"/>
  <c r="C147" i="23"/>
  <c r="J147" i="23" s="1"/>
  <c r="C211" i="23"/>
  <c r="J211" i="23" s="1"/>
  <c r="C275" i="23"/>
  <c r="J275" i="23" s="1"/>
  <c r="C339" i="23"/>
  <c r="J339" i="23" s="1"/>
  <c r="C431" i="23"/>
  <c r="J431" i="23" s="1"/>
  <c r="C687" i="23"/>
  <c r="J687" i="23" s="1"/>
  <c r="C943" i="23"/>
  <c r="J943" i="23" s="1"/>
  <c r="C1199" i="23"/>
  <c r="J1199" i="23" s="1"/>
  <c r="C1576" i="23"/>
  <c r="J1576" i="23" s="1"/>
  <c r="C2607" i="23"/>
  <c r="J2607" i="23" s="1"/>
  <c r="C190" i="23"/>
  <c r="J190" i="23" s="1"/>
  <c r="C411" i="23"/>
  <c r="J411" i="23" s="1"/>
  <c r="C1291" i="23"/>
  <c r="J1291" i="23" s="1"/>
  <c r="C32" i="23"/>
  <c r="J32" i="23" s="1"/>
  <c r="C96" i="23"/>
  <c r="J96" i="23" s="1"/>
  <c r="C160" i="23"/>
  <c r="J160" i="23" s="1"/>
  <c r="C224" i="23"/>
  <c r="J224" i="23" s="1"/>
  <c r="C288" i="23"/>
  <c r="J288" i="23" s="1"/>
  <c r="C352" i="23"/>
  <c r="J352" i="23" s="1"/>
  <c r="C483" i="23"/>
  <c r="J483" i="23" s="1"/>
  <c r="C739" i="23"/>
  <c r="J739" i="23" s="1"/>
  <c r="C995" i="23"/>
  <c r="J995" i="23" s="1"/>
  <c r="C1251" i="23"/>
  <c r="J1251" i="23" s="1"/>
  <c r="C1784" i="23"/>
  <c r="J1784" i="23" s="1"/>
  <c r="C6" i="23"/>
  <c r="J6" i="23" s="1"/>
  <c r="C166" i="23"/>
  <c r="J166" i="23" s="1"/>
  <c r="C350" i="23"/>
  <c r="J350" i="23" s="1"/>
  <c r="C987" i="23"/>
  <c r="J987" i="23" s="1"/>
  <c r="C2520" i="23"/>
  <c r="J2520" i="23" s="1"/>
  <c r="C61" i="23"/>
  <c r="J61" i="23" s="1"/>
  <c r="C125" i="23"/>
  <c r="J125" i="23" s="1"/>
  <c r="C189" i="23"/>
  <c r="J189" i="23" s="1"/>
  <c r="C253" i="23"/>
  <c r="J253" i="23" s="1"/>
  <c r="C317" i="23"/>
  <c r="J317" i="23" s="1"/>
  <c r="C381" i="23"/>
  <c r="J381" i="23" s="1"/>
  <c r="C599" i="23"/>
  <c r="J599" i="23" s="1"/>
  <c r="C855" i="23"/>
  <c r="J855" i="23" s="1"/>
  <c r="C1111" i="23"/>
  <c r="J1111" i="23" s="1"/>
  <c r="C1367" i="23"/>
  <c r="J1367" i="23" s="1"/>
  <c r="C2248" i="23"/>
  <c r="J2248" i="23" s="1"/>
  <c r="C420" i="23"/>
  <c r="J420" i="23" s="1"/>
  <c r="C484" i="23"/>
  <c r="J484" i="23" s="1"/>
  <c r="C548" i="23"/>
  <c r="J548" i="23" s="1"/>
  <c r="C612" i="23"/>
  <c r="J612" i="23" s="1"/>
  <c r="C676" i="23"/>
  <c r="J676" i="23" s="1"/>
  <c r="C740" i="23"/>
  <c r="J740" i="23" s="1"/>
  <c r="C804" i="23"/>
  <c r="J804" i="23" s="1"/>
  <c r="C868" i="23"/>
  <c r="J868" i="23" s="1"/>
  <c r="C932" i="23"/>
  <c r="J932" i="23" s="1"/>
  <c r="C996" i="23"/>
  <c r="J996" i="23" s="1"/>
  <c r="C1060" i="23"/>
  <c r="J1060" i="23" s="1"/>
  <c r="C1124" i="23"/>
  <c r="J1124" i="23" s="1"/>
  <c r="C1188" i="23"/>
  <c r="J1188" i="23" s="1"/>
  <c r="C1252" i="23"/>
  <c r="J1252" i="23" s="1"/>
  <c r="C1316" i="23"/>
  <c r="J1316" i="23" s="1"/>
  <c r="C1380" i="23"/>
  <c r="J1380" i="23" s="1"/>
  <c r="C1532" i="23"/>
  <c r="J1532" i="23" s="1"/>
  <c r="C1788" i="23"/>
  <c r="J1788" i="23" s="1"/>
  <c r="C2044" i="23"/>
  <c r="J2044" i="23" s="1"/>
  <c r="C2300" i="23"/>
  <c r="J2300" i="23" s="1"/>
  <c r="C2556" i="23"/>
  <c r="J2556" i="23" s="1"/>
  <c r="C409" i="23"/>
  <c r="J409" i="23" s="1"/>
  <c r="C473" i="23"/>
  <c r="J473" i="23" s="1"/>
  <c r="C537" i="23"/>
  <c r="J537" i="23" s="1"/>
  <c r="C601" i="23"/>
  <c r="J601" i="23" s="1"/>
  <c r="C665" i="23"/>
  <c r="J665" i="23" s="1"/>
  <c r="C729" i="23"/>
  <c r="J729" i="23" s="1"/>
  <c r="C793" i="23"/>
  <c r="J793" i="23" s="1"/>
  <c r="C857" i="23"/>
  <c r="J857" i="23" s="1"/>
  <c r="C929" i="23"/>
  <c r="J929" i="23" s="1"/>
  <c r="C1057" i="23"/>
  <c r="J1057" i="23" s="1"/>
  <c r="C1185" i="23"/>
  <c r="J1185" i="23" s="1"/>
  <c r="C170" i="23"/>
  <c r="J170" i="23" s="1"/>
  <c r="C354" i="23"/>
  <c r="J354" i="23" s="1"/>
  <c r="C939" i="23"/>
  <c r="J939" i="23" s="1"/>
  <c r="C2392" i="23"/>
  <c r="J2392" i="23" s="1"/>
  <c r="C55" i="23"/>
  <c r="J55" i="23" s="1"/>
  <c r="C119" i="23"/>
  <c r="J119" i="23" s="1"/>
  <c r="C183" i="23"/>
  <c r="J183" i="23" s="1"/>
  <c r="C247" i="23"/>
  <c r="J247" i="23" s="1"/>
  <c r="C311" i="23"/>
  <c r="J311" i="23" s="1"/>
  <c r="C375" i="23"/>
  <c r="J375" i="23" s="1"/>
  <c r="C575" i="23"/>
  <c r="J575" i="23" s="1"/>
  <c r="C831" i="23"/>
  <c r="J831" i="23" s="1"/>
  <c r="C1087" i="23"/>
  <c r="J1087" i="23" s="1"/>
  <c r="C1343" i="23"/>
  <c r="J1343" i="23" s="1"/>
  <c r="C2152" i="23"/>
  <c r="J2152" i="23" s="1"/>
  <c r="C94" i="23"/>
  <c r="J94" i="23" s="1"/>
  <c r="C306" i="23"/>
  <c r="J306" i="23" s="1"/>
  <c r="C875" i="23"/>
  <c r="J875" i="23" s="1"/>
  <c r="C4" i="23"/>
  <c r="J4" i="23" s="1"/>
  <c r="C68" i="23"/>
  <c r="J68" i="23" s="1"/>
  <c r="C132" i="23"/>
  <c r="J132" i="23" s="1"/>
  <c r="C196" i="23"/>
  <c r="J196" i="23" s="1"/>
  <c r="C260" i="23"/>
  <c r="J260" i="23" s="1"/>
  <c r="C324" i="23"/>
  <c r="J324" i="23" s="1"/>
  <c r="C388" i="23"/>
  <c r="J388" i="23" s="1"/>
  <c r="C627" i="23"/>
  <c r="J627" i="23" s="1"/>
  <c r="C883" i="23"/>
  <c r="J883" i="23" s="1"/>
  <c r="C1139" i="23"/>
  <c r="J1139" i="23" s="1"/>
  <c r="C1395" i="23"/>
  <c r="J1395" i="23" s="1"/>
  <c r="C2360" i="23"/>
  <c r="J2360" i="23" s="1"/>
  <c r="C90" i="23"/>
  <c r="J90" i="23" s="1"/>
  <c r="C270" i="23"/>
  <c r="J270" i="23" s="1"/>
  <c r="C683" i="23"/>
  <c r="J683" i="23" s="1"/>
  <c r="C1432" i="23"/>
  <c r="J1432" i="23" s="1"/>
  <c r="C33" i="23"/>
  <c r="J33" i="23" s="1"/>
  <c r="L33" i="23" s="1"/>
  <c r="K33" i="23" s="1"/>
  <c r="C97" i="23"/>
  <c r="J97" i="23" s="1"/>
  <c r="C161" i="23"/>
  <c r="J161" i="23" s="1"/>
  <c r="C225" i="23"/>
  <c r="J225" i="23" s="1"/>
  <c r="C289" i="23"/>
  <c r="J289" i="23" s="1"/>
  <c r="C353" i="23"/>
  <c r="J353" i="23" s="1"/>
  <c r="C487" i="23"/>
  <c r="J487" i="23" s="1"/>
  <c r="C743" i="23"/>
  <c r="J743" i="23" s="1"/>
  <c r="C999" i="23"/>
  <c r="J999" i="23" s="1"/>
  <c r="C1255" i="23"/>
  <c r="J1255" i="23" s="1"/>
  <c r="C1800" i="23"/>
  <c r="J1800" i="23" s="1"/>
  <c r="C392" i="23"/>
  <c r="J392" i="23" s="1"/>
  <c r="C456" i="23"/>
  <c r="J456" i="23" s="1"/>
  <c r="C520" i="23"/>
  <c r="J520" i="23" s="1"/>
  <c r="C584" i="23"/>
  <c r="J584" i="23" s="1"/>
  <c r="C648" i="23"/>
  <c r="J648" i="23" s="1"/>
  <c r="C712" i="23"/>
  <c r="J712" i="23" s="1"/>
  <c r="C776" i="23"/>
  <c r="J776" i="23" s="1"/>
  <c r="C840" i="23"/>
  <c r="J840" i="23" s="1"/>
  <c r="C904" i="23"/>
  <c r="J904" i="23" s="1"/>
  <c r="C968" i="23"/>
  <c r="J968" i="23" s="1"/>
  <c r="C1032" i="23"/>
  <c r="J1032" i="23" s="1"/>
  <c r="C1096" i="23"/>
  <c r="J1096" i="23" s="1"/>
  <c r="C1160" i="23"/>
  <c r="J1160" i="23" s="1"/>
  <c r="C1224" i="23"/>
  <c r="J1224" i="23" s="1"/>
  <c r="C1288" i="23"/>
  <c r="J1288" i="23" s="1"/>
  <c r="C1352" i="23"/>
  <c r="J1352" i="23" s="1"/>
  <c r="C1420" i="23"/>
  <c r="J1420" i="23" s="1"/>
  <c r="C1676" i="23"/>
  <c r="J1676" i="23" s="1"/>
  <c r="C1932" i="23"/>
  <c r="J1932" i="23" s="1"/>
  <c r="C2188" i="23"/>
  <c r="J2188" i="23" s="1"/>
  <c r="C2444" i="23"/>
  <c r="J2444" i="23" s="1"/>
  <c r="C2969" i="23"/>
  <c r="J2969" i="23" s="1"/>
  <c r="C445" i="23"/>
  <c r="J445" i="23" s="1"/>
  <c r="C509" i="23"/>
  <c r="J509" i="23" s="1"/>
  <c r="C573" i="23"/>
  <c r="J573" i="23" s="1"/>
  <c r="C637" i="23"/>
  <c r="J637" i="23" s="1"/>
  <c r="C701" i="23"/>
  <c r="J701" i="23" s="1"/>
  <c r="C765" i="23"/>
  <c r="J765" i="23" s="1"/>
  <c r="C829" i="23"/>
  <c r="J829" i="23" s="1"/>
  <c r="C893" i="23"/>
  <c r="J893" i="23" s="1"/>
  <c r="C1001" i="23"/>
  <c r="J1001" i="23" s="1"/>
  <c r="C1129" i="23"/>
  <c r="J1129" i="23" s="1"/>
  <c r="C941" i="23"/>
  <c r="J941" i="23" s="1"/>
  <c r="C1005" i="23"/>
  <c r="J1005" i="23" s="1"/>
  <c r="C1069" i="23"/>
  <c r="J1069" i="23" s="1"/>
  <c r="C1133" i="23"/>
  <c r="J1133" i="23" s="1"/>
  <c r="C1197" i="23"/>
  <c r="J1197" i="23" s="1"/>
  <c r="C1261" i="23"/>
  <c r="J1261" i="23" s="1"/>
  <c r="C1325" i="23"/>
  <c r="J1325" i="23" s="1"/>
  <c r="C1389" i="23"/>
  <c r="J1389" i="23" s="1"/>
  <c r="C1568" i="23"/>
  <c r="J1568" i="23" s="1"/>
  <c r="C1824" i="23"/>
  <c r="J1824" i="23" s="1"/>
  <c r="C2080" i="23"/>
  <c r="J2080" i="23" s="1"/>
  <c r="C2336" i="23"/>
  <c r="J2336" i="23" s="1"/>
  <c r="C2592" i="23"/>
  <c r="J2592" i="23" s="1"/>
  <c r="C410" i="23"/>
  <c r="J410" i="23" s="1"/>
  <c r="C474" i="23"/>
  <c r="J474" i="23" s="1"/>
  <c r="C538" i="23"/>
  <c r="J538" i="23" s="1"/>
  <c r="C602" i="23"/>
  <c r="J602" i="23" s="1"/>
  <c r="C666" i="23"/>
  <c r="J666" i="23" s="1"/>
  <c r="C730" i="23"/>
  <c r="J730" i="23" s="1"/>
  <c r="C794" i="23"/>
  <c r="J794" i="23" s="1"/>
  <c r="C858" i="23"/>
  <c r="J858" i="23" s="1"/>
  <c r="C922" i="23"/>
  <c r="J922" i="23" s="1"/>
  <c r="C986" i="23"/>
  <c r="J986" i="23" s="1"/>
  <c r="C1050" i="23"/>
  <c r="J1050" i="23" s="1"/>
  <c r="C1114" i="23"/>
  <c r="J1114" i="23" s="1"/>
  <c r="C1178" i="23"/>
  <c r="J1178" i="23" s="1"/>
  <c r="C1242" i="23"/>
  <c r="J1242" i="23" s="1"/>
  <c r="C1306" i="23"/>
  <c r="J1306" i="23" s="1"/>
  <c r="C1370" i="23"/>
  <c r="J1370" i="23" s="1"/>
  <c r="C1492" i="23"/>
  <c r="J1492" i="23" s="1"/>
  <c r="C1748" i="23"/>
  <c r="J1748" i="23" s="1"/>
  <c r="C2004" i="23"/>
  <c r="J2004" i="23" s="1"/>
  <c r="C2260" i="23"/>
  <c r="J2260" i="23" s="1"/>
  <c r="C2516" i="23"/>
  <c r="J2516" i="23" s="1"/>
  <c r="C3983" i="23"/>
  <c r="J3983" i="23" s="1"/>
  <c r="C1477" i="23"/>
  <c r="J1477" i="23" s="1"/>
  <c r="C1541" i="23"/>
  <c r="J1541" i="23" s="1"/>
  <c r="C1605" i="23"/>
  <c r="J1605" i="23" s="1"/>
  <c r="C1669" i="23"/>
  <c r="J1669" i="23" s="1"/>
  <c r="C1733" i="23"/>
  <c r="J1733" i="23" s="1"/>
  <c r="C1797" i="23"/>
  <c r="J1797" i="23" s="1"/>
  <c r="C1861" i="23"/>
  <c r="J1861" i="23" s="1"/>
  <c r="C1925" i="23"/>
  <c r="J1925" i="23" s="1"/>
  <c r="C1989" i="23"/>
  <c r="J1989" i="23" s="1"/>
  <c r="C2053" i="23"/>
  <c r="J2053" i="23" s="1"/>
  <c r="C2117" i="23"/>
  <c r="J2117" i="23" s="1"/>
  <c r="C2181" i="23"/>
  <c r="J2181" i="23" s="1"/>
  <c r="C2245" i="23"/>
  <c r="J2245" i="23" s="1"/>
  <c r="C2309" i="23"/>
  <c r="J2309" i="23" s="1"/>
  <c r="C2373" i="23"/>
  <c r="J2373" i="23" s="1"/>
  <c r="C2437" i="23"/>
  <c r="J2437" i="23" s="1"/>
  <c r="C2501" i="23"/>
  <c r="J2501" i="23" s="1"/>
  <c r="C2565" i="23"/>
  <c r="J2565" i="23" s="1"/>
  <c r="C2685" i="23"/>
  <c r="J2685" i="23" s="1"/>
  <c r="C2941" i="23"/>
  <c r="J2941" i="23" s="1"/>
  <c r="C3425" i="23"/>
  <c r="J3425" i="23" s="1"/>
  <c r="C1458" i="23"/>
  <c r="J1458" i="23" s="1"/>
  <c r="C1522" i="23"/>
  <c r="J1522" i="23" s="1"/>
  <c r="C1586" i="23"/>
  <c r="J1586" i="23" s="1"/>
  <c r="C1650" i="23"/>
  <c r="J1650" i="23" s="1"/>
  <c r="C1714" i="23"/>
  <c r="J1714" i="23" s="1"/>
  <c r="C1778" i="23"/>
  <c r="J1778" i="23" s="1"/>
  <c r="C1842" i="23"/>
  <c r="J1842" i="23" s="1"/>
  <c r="C1906" i="23"/>
  <c r="J1906" i="23" s="1"/>
  <c r="C1970" i="23"/>
  <c r="J1970" i="23" s="1"/>
  <c r="C2034" i="23"/>
  <c r="J2034" i="23" s="1"/>
  <c r="C2098" i="23"/>
  <c r="J2098" i="23" s="1"/>
  <c r="C2162" i="23"/>
  <c r="J2162" i="23" s="1"/>
  <c r="C2226" i="23"/>
  <c r="J2226" i="23" s="1"/>
  <c r="C2290" i="23"/>
  <c r="J2290" i="23" s="1"/>
  <c r="C2354" i="23"/>
  <c r="J2354" i="23" s="1"/>
  <c r="C2418" i="23"/>
  <c r="J2418" i="23" s="1"/>
  <c r="C2482" i="23"/>
  <c r="J2482" i="23" s="1"/>
  <c r="C2546" i="23"/>
  <c r="J2546" i="23" s="1"/>
  <c r="C2627" i="23"/>
  <c r="J2627" i="23" s="1"/>
  <c r="C2865" i="23"/>
  <c r="J2865" i="23" s="1"/>
  <c r="C3193" i="23"/>
  <c r="J3193" i="23" s="1"/>
  <c r="C1443" i="23"/>
  <c r="J1443" i="23" s="1"/>
  <c r="C1507" i="23"/>
  <c r="J1507" i="23" s="1"/>
  <c r="C1571" i="23"/>
  <c r="J1571" i="23" s="1"/>
  <c r="C1635" i="23"/>
  <c r="J1635" i="23" s="1"/>
  <c r="C1699" i="23"/>
  <c r="J1699" i="23" s="1"/>
  <c r="C1763" i="23"/>
  <c r="J1763" i="23" s="1"/>
  <c r="C1827" i="23"/>
  <c r="J1827" i="23" s="1"/>
  <c r="C1891" i="23"/>
  <c r="J1891" i="23" s="1"/>
  <c r="C1955" i="23"/>
  <c r="J1955" i="23" s="1"/>
  <c r="C2019" i="23"/>
  <c r="J2019" i="23" s="1"/>
  <c r="C2083" i="23"/>
  <c r="J2083" i="23" s="1"/>
  <c r="C2147" i="23"/>
  <c r="J2147" i="23" s="1"/>
  <c r="C2211" i="23"/>
  <c r="J2211" i="23" s="1"/>
  <c r="C1249" i="23"/>
  <c r="J1249" i="23" s="1"/>
  <c r="C1313" i="23"/>
  <c r="J1313" i="23" s="1"/>
  <c r="C1377" i="23"/>
  <c r="J1377" i="23" s="1"/>
  <c r="C1520" i="23"/>
  <c r="J1520" i="23" s="1"/>
  <c r="C1776" i="23"/>
  <c r="J1776" i="23" s="1"/>
  <c r="C2032" i="23"/>
  <c r="J2032" i="23" s="1"/>
  <c r="C2288" i="23"/>
  <c r="J2288" i="23" s="1"/>
  <c r="C2544" i="23"/>
  <c r="J2544" i="23" s="1"/>
  <c r="C398" i="23"/>
  <c r="J398" i="23" s="1"/>
  <c r="C462" i="23"/>
  <c r="J462" i="23" s="1"/>
  <c r="C526" i="23"/>
  <c r="J526" i="23" s="1"/>
  <c r="C590" i="23"/>
  <c r="J590" i="23" s="1"/>
  <c r="C654" i="23"/>
  <c r="J654" i="23" s="1"/>
  <c r="C718" i="23"/>
  <c r="J718" i="23" s="1"/>
  <c r="C782" i="23"/>
  <c r="J782" i="23" s="1"/>
  <c r="C846" i="23"/>
  <c r="J846" i="23" s="1"/>
  <c r="C910" i="23"/>
  <c r="J910" i="23" s="1"/>
  <c r="C974" i="23"/>
  <c r="J974" i="23" s="1"/>
  <c r="C1038" i="23"/>
  <c r="J1038" i="23" s="1"/>
  <c r="C1102" i="23"/>
  <c r="J1102" i="23" s="1"/>
  <c r="C1166" i="23"/>
  <c r="J1166" i="23" s="1"/>
  <c r="C1230" i="23"/>
  <c r="J1230" i="23" s="1"/>
  <c r="C1294" i="23"/>
  <c r="J1294" i="23" s="1"/>
  <c r="C1358" i="23"/>
  <c r="J1358" i="23" s="1"/>
  <c r="C1444" i="23"/>
  <c r="J1444" i="23" s="1"/>
  <c r="C1700" i="23"/>
  <c r="J1700" i="23" s="1"/>
  <c r="C1956" i="23"/>
  <c r="J1956" i="23" s="1"/>
  <c r="C2212" i="23"/>
  <c r="J2212" i="23" s="1"/>
  <c r="C2468" i="23"/>
  <c r="J2468" i="23" s="1"/>
  <c r="C3081" i="23"/>
  <c r="J3081" i="23" s="1"/>
  <c r="C1465" i="23"/>
  <c r="J1465" i="23" s="1"/>
  <c r="C1529" i="23"/>
  <c r="J1529" i="23" s="1"/>
  <c r="C1593" i="23"/>
  <c r="J1593" i="23" s="1"/>
  <c r="C1657" i="23"/>
  <c r="J1657" i="23" s="1"/>
  <c r="C1721" i="23"/>
  <c r="J1721" i="23" s="1"/>
  <c r="C1785" i="23"/>
  <c r="J1785" i="23" s="1"/>
  <c r="C1849" i="23"/>
  <c r="J1849" i="23" s="1"/>
  <c r="C1913" i="23"/>
  <c r="J1913" i="23" s="1"/>
  <c r="C1977" i="23"/>
  <c r="J1977" i="23" s="1"/>
  <c r="C2041" i="23"/>
  <c r="J2041" i="23" s="1"/>
  <c r="C2105" i="23"/>
  <c r="J2105" i="23" s="1"/>
  <c r="C2169" i="23"/>
  <c r="J2169" i="23" s="1"/>
  <c r="C2233" i="23"/>
  <c r="J2233" i="23" s="1"/>
  <c r="C2297" i="23"/>
  <c r="J2297" i="23" s="1"/>
  <c r="C2361" i="23"/>
  <c r="J2361" i="23" s="1"/>
  <c r="C2425" i="23"/>
  <c r="J2425" i="23" s="1"/>
  <c r="C2489" i="23"/>
  <c r="J2489" i="23" s="1"/>
  <c r="C2553" i="23"/>
  <c r="J2553" i="23" s="1"/>
  <c r="C2641" i="23"/>
  <c r="J2641" i="23" s="1"/>
  <c r="C2893" i="23"/>
  <c r="J2893" i="23" s="1"/>
  <c r="C3249" i="23"/>
  <c r="J3249" i="23" s="1"/>
  <c r="C1446" i="23"/>
  <c r="J1446" i="23" s="1"/>
  <c r="C1510" i="23"/>
  <c r="J1510" i="23" s="1"/>
  <c r="C1574" i="23"/>
  <c r="J1574" i="23" s="1"/>
  <c r="C1638" i="23"/>
  <c r="J1638" i="23" s="1"/>
  <c r="C1702" i="23"/>
  <c r="J1702" i="23" s="1"/>
  <c r="C1766" i="23"/>
  <c r="J1766" i="23" s="1"/>
  <c r="C1830" i="23"/>
  <c r="J1830" i="23" s="1"/>
  <c r="C1894" i="23"/>
  <c r="J1894" i="23" s="1"/>
  <c r="C1958" i="23"/>
  <c r="J1958" i="23" s="1"/>
  <c r="C2022" i="23"/>
  <c r="J2022" i="23" s="1"/>
  <c r="C2086" i="23"/>
  <c r="J2086" i="23" s="1"/>
  <c r="C2150" i="23"/>
  <c r="J2150" i="23" s="1"/>
  <c r="C2214" i="23"/>
  <c r="J2214" i="23" s="1"/>
  <c r="C2278" i="23"/>
  <c r="J2278" i="23" s="1"/>
  <c r="C2342" i="23"/>
  <c r="J2342" i="23" s="1"/>
  <c r="C2406" i="23"/>
  <c r="J2406" i="23" s="1"/>
  <c r="C2470" i="23"/>
  <c r="J2470" i="23" s="1"/>
  <c r="C2534" i="23"/>
  <c r="J2534" i="23" s="1"/>
  <c r="C2603" i="23"/>
  <c r="J2603" i="23" s="1"/>
  <c r="C2817" i="23"/>
  <c r="J2817" i="23" s="1"/>
  <c r="C3097" i="23"/>
  <c r="J3097" i="23" s="1"/>
  <c r="C1431" i="23"/>
  <c r="J1431" i="23" s="1"/>
  <c r="C1495" i="23"/>
  <c r="J1495" i="23" s="1"/>
  <c r="C1559" i="23"/>
  <c r="J1559" i="23" s="1"/>
  <c r="C1623" i="23"/>
  <c r="J1623" i="23" s="1"/>
  <c r="C1687" i="23"/>
  <c r="J1687" i="23" s="1"/>
  <c r="C1751" i="23"/>
  <c r="J1751" i="23" s="1"/>
  <c r="C1815" i="23"/>
  <c r="J1815" i="23" s="1"/>
  <c r="C1879" i="23"/>
  <c r="J1879" i="23" s="1"/>
  <c r="C1943" i="23"/>
  <c r="J1943" i="23" s="1"/>
  <c r="C2007" i="23"/>
  <c r="J2007" i="23" s="1"/>
  <c r="C2071" i="23"/>
  <c r="J2071" i="23" s="1"/>
  <c r="C2135" i="23"/>
  <c r="J2135" i="23" s="1"/>
  <c r="C2199" i="23"/>
  <c r="J2199" i="23" s="1"/>
  <c r="C949" i="23"/>
  <c r="J949" i="23" s="1"/>
  <c r="C1013" i="23"/>
  <c r="J1013" i="23" s="1"/>
  <c r="C1077" i="23"/>
  <c r="J1077" i="23" s="1"/>
  <c r="C1141" i="23"/>
  <c r="J1141" i="23" s="1"/>
  <c r="C1205" i="23"/>
  <c r="J1205" i="23" s="1"/>
  <c r="C1269" i="23"/>
  <c r="J1269" i="23" s="1"/>
  <c r="C1333" i="23"/>
  <c r="J1333" i="23" s="1"/>
  <c r="C1397" i="23"/>
  <c r="J1397" i="23" s="1"/>
  <c r="C1600" i="23"/>
  <c r="J1600" i="23" s="1"/>
  <c r="C1856" i="23"/>
  <c r="J1856" i="23" s="1"/>
  <c r="C2112" i="23"/>
  <c r="J2112" i="23" s="1"/>
  <c r="C2368" i="23"/>
  <c r="J2368" i="23" s="1"/>
  <c r="C2665" i="23"/>
  <c r="J2665" i="23" s="1"/>
  <c r="C418" i="23"/>
  <c r="J418" i="23" s="1"/>
  <c r="C482" i="23"/>
  <c r="J482" i="23" s="1"/>
  <c r="C546" i="23"/>
  <c r="J546" i="23" s="1"/>
  <c r="C610" i="23"/>
  <c r="J610" i="23" s="1"/>
  <c r="C674" i="23"/>
  <c r="J674" i="23" s="1"/>
  <c r="C738" i="23"/>
  <c r="J738" i="23" s="1"/>
  <c r="C802" i="23"/>
  <c r="J802" i="23" s="1"/>
  <c r="C866" i="23"/>
  <c r="J866" i="23" s="1"/>
  <c r="C930" i="23"/>
  <c r="J930" i="23" s="1"/>
  <c r="C994" i="23"/>
  <c r="J994" i="23" s="1"/>
  <c r="C1058" i="23"/>
  <c r="J1058" i="23" s="1"/>
  <c r="C1122" i="23"/>
  <c r="J1122" i="23" s="1"/>
  <c r="C1186" i="23"/>
  <c r="J1186" i="23" s="1"/>
  <c r="C1250" i="23"/>
  <c r="J1250" i="23" s="1"/>
  <c r="C1314" i="23"/>
  <c r="J1314" i="23" s="1"/>
  <c r="C1378" i="23"/>
  <c r="J1378" i="23" s="1"/>
  <c r="C1524" i="23"/>
  <c r="J1524" i="23" s="1"/>
  <c r="C1780" i="23"/>
  <c r="J1780" i="23" s="1"/>
  <c r="C2036" i="23"/>
  <c r="J2036" i="23" s="1"/>
  <c r="C2292" i="23"/>
  <c r="J2292" i="23" s="1"/>
  <c r="C2548" i="23"/>
  <c r="J2548" i="23" s="1"/>
  <c r="C1421" i="23"/>
  <c r="J1421" i="23" s="1"/>
  <c r="C1485" i="23"/>
  <c r="J1485" i="23" s="1"/>
  <c r="C1549" i="23"/>
  <c r="J1549" i="23" s="1"/>
  <c r="C1613" i="23"/>
  <c r="J1613" i="23" s="1"/>
  <c r="C1677" i="23"/>
  <c r="J1677" i="23" s="1"/>
  <c r="C1741" i="23"/>
  <c r="J1741" i="23" s="1"/>
  <c r="C1805" i="23"/>
  <c r="J1805" i="23" s="1"/>
  <c r="C1869" i="23"/>
  <c r="J1869" i="23" s="1"/>
  <c r="C1933" i="23"/>
  <c r="J1933" i="23" s="1"/>
  <c r="C1997" i="23"/>
  <c r="J1997" i="23" s="1"/>
  <c r="C2061" i="23"/>
  <c r="J2061" i="23" s="1"/>
  <c r="C2125" i="23"/>
  <c r="J2125" i="23" s="1"/>
  <c r="C2189" i="23"/>
  <c r="J2189" i="23" s="1"/>
  <c r="C2253" i="23"/>
  <c r="J2253" i="23" s="1"/>
  <c r="C2317" i="23"/>
  <c r="J2317" i="23" s="1"/>
  <c r="C2381" i="23"/>
  <c r="J2381" i="23" s="1"/>
  <c r="C2445" i="23"/>
  <c r="J2445" i="23" s="1"/>
  <c r="C2509" i="23"/>
  <c r="J2509" i="23" s="1"/>
  <c r="C2573" i="23"/>
  <c r="J2573" i="23" s="1"/>
  <c r="C2717" i="23"/>
  <c r="J2717" i="23" s="1"/>
  <c r="C2973" i="23"/>
  <c r="J2973" i="23" s="1"/>
  <c r="C3553" i="23"/>
  <c r="J3553" i="23" s="1"/>
  <c r="C1466" i="23"/>
  <c r="J1466" i="23" s="1"/>
  <c r="C1530" i="23"/>
  <c r="J1530" i="23" s="1"/>
  <c r="C1594" i="23"/>
  <c r="J1594" i="23" s="1"/>
  <c r="C1658" i="23"/>
  <c r="J1658" i="23" s="1"/>
  <c r="C1722" i="23"/>
  <c r="J1722" i="23" s="1"/>
  <c r="C1786" i="23"/>
  <c r="J1786" i="23" s="1"/>
  <c r="C1850" i="23"/>
  <c r="J1850" i="23" s="1"/>
  <c r="C1914" i="23"/>
  <c r="J1914" i="23" s="1"/>
  <c r="C1978" i="23"/>
  <c r="J1978" i="23" s="1"/>
  <c r="C2042" i="23"/>
  <c r="J2042" i="23" s="1"/>
  <c r="C2106" i="23"/>
  <c r="J2106" i="23" s="1"/>
  <c r="C2170" i="23"/>
  <c r="J2170" i="23" s="1"/>
  <c r="C2234" i="23"/>
  <c r="J2234" i="23" s="1"/>
  <c r="C2298" i="23"/>
  <c r="J2298" i="23" s="1"/>
  <c r="C2362" i="23"/>
  <c r="J2362" i="23" s="1"/>
  <c r="C2426" i="23"/>
  <c r="J2426" i="23" s="1"/>
  <c r="C2490" i="23"/>
  <c r="J2490" i="23" s="1"/>
  <c r="C2554" i="23"/>
  <c r="J2554" i="23" s="1"/>
  <c r="C2643" i="23"/>
  <c r="J2643" i="23" s="1"/>
  <c r="C2897" i="23"/>
  <c r="J2897" i="23" s="1"/>
  <c r="C3257" i="23"/>
  <c r="J3257" i="23" s="1"/>
  <c r="C1451" i="23"/>
  <c r="J1451" i="23" s="1"/>
  <c r="C1515" i="23"/>
  <c r="J1515" i="23" s="1"/>
  <c r="C1579" i="23"/>
  <c r="J1579" i="23" s="1"/>
  <c r="C1643" i="23"/>
  <c r="J1643" i="23" s="1"/>
  <c r="C1707" i="23"/>
  <c r="J1707" i="23" s="1"/>
  <c r="C1771" i="23"/>
  <c r="J1771" i="23" s="1"/>
  <c r="C1835" i="23"/>
  <c r="J1835" i="23" s="1"/>
  <c r="C1963" i="23"/>
  <c r="J1963" i="23" s="1"/>
  <c r="C2091" i="23"/>
  <c r="J2091" i="23" s="1"/>
  <c r="C2219" i="23"/>
  <c r="J2219" i="23" s="1"/>
  <c r="C1321" i="23"/>
  <c r="J1321" i="23" s="1"/>
  <c r="C1552" i="23"/>
  <c r="J1552" i="23" s="1"/>
  <c r="C2064" i="23"/>
  <c r="J2064" i="23" s="1"/>
  <c r="C2576" i="23"/>
  <c r="J2576" i="23" s="1"/>
  <c r="C470" i="23"/>
  <c r="J470" i="23" s="1"/>
  <c r="C598" i="23"/>
  <c r="J598" i="23" s="1"/>
  <c r="C726" i="23"/>
  <c r="J726" i="23" s="1"/>
  <c r="C854" i="23"/>
  <c r="J854" i="23" s="1"/>
  <c r="C982" i="23"/>
  <c r="J982" i="23" s="1"/>
  <c r="C1110" i="23"/>
  <c r="J1110" i="23" s="1"/>
  <c r="C1238" i="23"/>
  <c r="J1238" i="23" s="1"/>
  <c r="C1366" i="23"/>
  <c r="J1366" i="23" s="1"/>
  <c r="C1732" i="23"/>
  <c r="J1732" i="23" s="1"/>
  <c r="C2244" i="23"/>
  <c r="J2244" i="23" s="1"/>
  <c r="C3409" i="23"/>
  <c r="J3409" i="23" s="1"/>
  <c r="C1537" i="23"/>
  <c r="J1537" i="23" s="1"/>
  <c r="C1665" i="23"/>
  <c r="J1665" i="23" s="1"/>
  <c r="C1793" i="23"/>
  <c r="J1793" i="23" s="1"/>
  <c r="C1921" i="23"/>
  <c r="J1921" i="23" s="1"/>
  <c r="C2049" i="23"/>
  <c r="J2049" i="23" s="1"/>
  <c r="C2177" i="23"/>
  <c r="J2177" i="23" s="1"/>
  <c r="C2305" i="23"/>
  <c r="J2305" i="23" s="1"/>
  <c r="C2433" i="23"/>
  <c r="J2433" i="23" s="1"/>
  <c r="C2561" i="23"/>
  <c r="J2561" i="23" s="1"/>
  <c r="C2925" i="23"/>
  <c r="J2925" i="23" s="1"/>
  <c r="C1454" i="23"/>
  <c r="J1454" i="23" s="1"/>
  <c r="C1582" i="23"/>
  <c r="J1582" i="23" s="1"/>
  <c r="C1710" i="23"/>
  <c r="J1710" i="23" s="1"/>
  <c r="C1838" i="23"/>
  <c r="J1838" i="23" s="1"/>
  <c r="C1966" i="23"/>
  <c r="J1966" i="23" s="1"/>
  <c r="C2094" i="23"/>
  <c r="J2094" i="23" s="1"/>
  <c r="C2222" i="23"/>
  <c r="J2222" i="23" s="1"/>
  <c r="C2350" i="23"/>
  <c r="J2350" i="23" s="1"/>
  <c r="C2478" i="23"/>
  <c r="J2478" i="23" s="1"/>
  <c r="C2619" i="23"/>
  <c r="J2619" i="23" s="1"/>
  <c r="Z28" i="2"/>
  <c r="L41" i="23"/>
  <c r="K41" i="23" s="1"/>
  <c r="L519" i="23"/>
  <c r="K519" i="23" s="1"/>
  <c r="L42" i="23"/>
  <c r="K42" i="23" s="1"/>
  <c r="AN176" i="20"/>
  <c r="AT176" i="20"/>
  <c r="AC176" i="20"/>
  <c r="B176" i="20"/>
  <c r="AW176" i="20"/>
  <c r="AI176" i="20"/>
  <c r="H176" i="20"/>
  <c r="B177" i="20"/>
  <c r="Q172" i="2" s="1"/>
  <c r="T172" i="2" s="1"/>
  <c r="C44" i="20"/>
  <c r="Q55" i="2" s="1"/>
  <c r="T55" i="2" s="1"/>
  <c r="Z55" i="2" s="1"/>
  <c r="C16" i="20"/>
  <c r="Z140" i="2"/>
  <c r="W140" i="2"/>
  <c r="Q171" i="2"/>
  <c r="T171" i="2" s="1"/>
  <c r="J173" i="2"/>
  <c r="N178" i="20" s="1"/>
  <c r="W173" i="2"/>
  <c r="X172" i="2"/>
  <c r="A175" i="2"/>
  <c r="D174" i="2"/>
  <c r="G174" i="2"/>
  <c r="H174" i="2"/>
  <c r="K174" i="2" s="1"/>
  <c r="G243" i="2"/>
  <c r="J243" i="2" s="1"/>
  <c r="B63" i="20" s="1"/>
  <c r="P243" i="2" s="1"/>
  <c r="S243" i="2" s="1"/>
  <c r="I61" i="2"/>
  <c r="L61" i="2" s="1"/>
  <c r="Y25" i="1"/>
  <c r="Y25" i="19"/>
  <c r="Q101" i="2"/>
  <c r="T101" i="2" s="1"/>
  <c r="K698" i="23"/>
  <c r="K444" i="23"/>
  <c r="L3126" i="23" l="1"/>
  <c r="K3126" i="23" s="1"/>
  <c r="L1151" i="23"/>
  <c r="K1151" i="23" s="1"/>
  <c r="L514" i="23"/>
  <c r="K514" i="23" s="1"/>
  <c r="L597" i="23"/>
  <c r="L513" i="23"/>
  <c r="K513" i="23" s="1"/>
  <c r="L528" i="23"/>
  <c r="K528" i="23" s="1"/>
  <c r="L172" i="23"/>
  <c r="L1204" i="23"/>
  <c r="K1204" i="23" s="1"/>
  <c r="L343" i="23"/>
  <c r="L2592" i="23"/>
  <c r="K2592" i="23" s="1"/>
  <c r="L520" i="23"/>
  <c r="K520" i="23" s="1"/>
  <c r="L168" i="23"/>
  <c r="L477" i="23"/>
  <c r="L2528" i="23"/>
  <c r="K2528" i="23" s="1"/>
  <c r="L712" i="23"/>
  <c r="L228" i="23"/>
  <c r="L1172" i="23"/>
  <c r="L399" i="23"/>
  <c r="L165" i="23"/>
  <c r="L472" i="23"/>
  <c r="K472" i="23" s="1"/>
  <c r="L144" i="23"/>
  <c r="L1092" i="23"/>
  <c r="K1092" i="23" s="1"/>
  <c r="L315" i="23"/>
  <c r="L1911" i="23"/>
  <c r="K1911" i="23" s="1"/>
  <c r="L1724" i="23"/>
  <c r="K1724" i="23" s="1"/>
  <c r="L1045" i="23"/>
  <c r="L1228" i="23"/>
  <c r="L81" i="23"/>
  <c r="L1192" i="23"/>
  <c r="K1192" i="23" s="1"/>
  <c r="L348" i="23"/>
  <c r="L92" i="23"/>
  <c r="L327" i="23"/>
  <c r="K327" i="23" s="1"/>
  <c r="L53" i="23"/>
  <c r="L920" i="23"/>
  <c r="L216" i="23"/>
  <c r="K216" i="23" s="1"/>
  <c r="L1380" i="23"/>
  <c r="L452" i="23"/>
  <c r="L45" i="23"/>
  <c r="L648" i="23"/>
  <c r="K648" i="23" s="1"/>
  <c r="L212" i="23"/>
  <c r="K212" i="23" s="1"/>
  <c r="L1108" i="23"/>
  <c r="L319" i="23"/>
  <c r="L1952" i="23"/>
  <c r="K1952" i="23" s="1"/>
  <c r="L568" i="23"/>
  <c r="K568" i="23" s="1"/>
  <c r="L128" i="23"/>
  <c r="K128" i="23" s="1"/>
  <c r="L525" i="23"/>
  <c r="K525" i="23" s="1"/>
  <c r="L231" i="23"/>
  <c r="L1691" i="23"/>
  <c r="K1691" i="23" s="1"/>
  <c r="L1407" i="23"/>
  <c r="K1407" i="23" s="1"/>
  <c r="L1154" i="23"/>
  <c r="K1154" i="23" s="1"/>
  <c r="L1556" i="23"/>
  <c r="L484" i="23"/>
  <c r="L413" i="23"/>
  <c r="L157" i="23"/>
  <c r="L872" i="23"/>
  <c r="L332" i="23"/>
  <c r="K332" i="23" s="1"/>
  <c r="L1332" i="23"/>
  <c r="K1332" i="23" s="1"/>
  <c r="L311" i="23"/>
  <c r="L1112" i="23"/>
  <c r="L392" i="23"/>
  <c r="L1872" i="23"/>
  <c r="K1872" i="23" s="1"/>
  <c r="L371" i="23"/>
  <c r="K371" i="23" s="1"/>
  <c r="L141" i="23"/>
  <c r="K141" i="23" s="1"/>
  <c r="L196" i="23"/>
  <c r="K196" i="23" s="1"/>
  <c r="L533" i="23"/>
  <c r="L235" i="23"/>
  <c r="L2937" i="23"/>
  <c r="K2937" i="23" s="1"/>
  <c r="L432" i="23"/>
  <c r="K432" i="23" s="1"/>
  <c r="L112" i="23"/>
  <c r="L1220" i="23"/>
  <c r="L283" i="23"/>
  <c r="L1087" i="23"/>
  <c r="K1087" i="23" s="1"/>
  <c r="L2282" i="23"/>
  <c r="K2282" i="23" s="1"/>
  <c r="L3131" i="23"/>
  <c r="K3131" i="23" s="1"/>
  <c r="L175" i="23"/>
  <c r="L1253" i="23"/>
  <c r="K1253" i="23" s="1"/>
  <c r="L1170" i="23"/>
  <c r="L2549" i="23"/>
  <c r="K2549" i="23" s="1"/>
  <c r="L3281" i="23"/>
  <c r="K3281" i="23" s="1"/>
  <c r="L1356" i="23"/>
  <c r="L3640" i="23"/>
  <c r="K3640" i="23" s="1"/>
  <c r="L482" i="23"/>
  <c r="L2645" i="23"/>
  <c r="K2645" i="23" s="1"/>
  <c r="L2364" i="23"/>
  <c r="K2364" i="23" s="1"/>
  <c r="L2373" i="23"/>
  <c r="K2373" i="23" s="1"/>
  <c r="L2070" i="23"/>
  <c r="K2070" i="23" s="1"/>
  <c r="L2231" i="23"/>
  <c r="K2231" i="23" s="1"/>
  <c r="L481" i="23"/>
  <c r="L581" i="23"/>
  <c r="K581" i="23" s="1"/>
  <c r="L498" i="23"/>
  <c r="L2841" i="23"/>
  <c r="K2841" i="23" s="1"/>
  <c r="L2670" i="23"/>
  <c r="K2670" i="23" s="1"/>
  <c r="L3628" i="23"/>
  <c r="K3628" i="23" s="1"/>
  <c r="L3455" i="23"/>
  <c r="K3455" i="23" s="1"/>
  <c r="L4232" i="23"/>
  <c r="K4232" i="23" s="1"/>
  <c r="L4488" i="23"/>
  <c r="K4488" i="23" s="1"/>
  <c r="L4831" i="23"/>
  <c r="K4831" i="23" s="1"/>
  <c r="L521" i="23"/>
  <c r="K521" i="23" s="1"/>
  <c r="L2608" i="23"/>
  <c r="K2608" i="23" s="1"/>
  <c r="L282" i="23"/>
  <c r="L2368" i="23"/>
  <c r="K2368" i="23" s="1"/>
  <c r="L1828" i="23"/>
  <c r="K1828" i="23" s="1"/>
  <c r="L1030" i="23"/>
  <c r="K1030" i="23" s="1"/>
  <c r="L1496" i="23"/>
  <c r="L2520" i="23"/>
  <c r="K2520" i="23" s="1"/>
  <c r="L643" i="23"/>
  <c r="K643" i="23" s="1"/>
  <c r="L1155" i="23"/>
  <c r="K1155" i="23" s="1"/>
  <c r="L1513" i="23"/>
  <c r="K1513" i="23" s="1"/>
  <c r="L1833" i="23"/>
  <c r="K1833" i="23" s="1"/>
  <c r="L2153" i="23"/>
  <c r="K2153" i="23" s="1"/>
  <c r="L2473" i="23"/>
  <c r="K2473" i="23" s="1"/>
  <c r="L3272" i="23"/>
  <c r="K3272" i="23" s="1"/>
  <c r="L2118" i="23"/>
  <c r="K2118" i="23" s="1"/>
  <c r="L2458" i="23"/>
  <c r="K2458" i="23" s="1"/>
  <c r="L1695" i="23"/>
  <c r="K1695" i="23" s="1"/>
  <c r="L2171" i="23"/>
  <c r="K2171" i="23" s="1"/>
  <c r="L2938" i="23"/>
  <c r="K2938" i="23" s="1"/>
  <c r="L2636" i="23"/>
  <c r="K2636" i="23" s="1"/>
  <c r="L3578" i="23"/>
  <c r="K3578" i="23" s="1"/>
  <c r="L4006" i="23"/>
  <c r="K4006" i="23" s="1"/>
  <c r="L4445" i="23"/>
  <c r="K4445" i="23" s="1"/>
  <c r="L4527" i="23"/>
  <c r="K4527" i="23" s="1"/>
  <c r="L4783" i="23"/>
  <c r="K4783" i="23" s="1"/>
  <c r="L2160" i="23"/>
  <c r="K2160" i="23" s="1"/>
  <c r="L341" i="23"/>
  <c r="K341" i="23" s="1"/>
  <c r="L720" i="23"/>
  <c r="L1234" i="23"/>
  <c r="L1423" i="23"/>
  <c r="L2357" i="23"/>
  <c r="K2357" i="23" s="1"/>
  <c r="L1711" i="23"/>
  <c r="K1711" i="23" s="1"/>
  <c r="L3537" i="23"/>
  <c r="K3537" i="23" s="1"/>
  <c r="L297" i="23"/>
  <c r="L118" i="23"/>
  <c r="L1397" i="23"/>
  <c r="K1397" i="23" s="1"/>
  <c r="L1314" i="23"/>
  <c r="L1247" i="23"/>
  <c r="L1925" i="23"/>
  <c r="K1925" i="23" s="1"/>
  <c r="L1479" i="23"/>
  <c r="K1479" i="23" s="1"/>
  <c r="L652" i="23"/>
  <c r="K652" i="23" s="1"/>
  <c r="L1157" i="23"/>
  <c r="K1157" i="23" s="1"/>
  <c r="L2793" i="23"/>
  <c r="K2793" i="23" s="1"/>
  <c r="L2453" i="23"/>
  <c r="K2453" i="23" s="1"/>
  <c r="L2518" i="23"/>
  <c r="K2518" i="23" s="1"/>
  <c r="L2811" i="23"/>
  <c r="K2811" i="23" s="1"/>
  <c r="L3519" i="23"/>
  <c r="K3519" i="23" s="1"/>
  <c r="L3951" i="23"/>
  <c r="K3951" i="23" s="1"/>
  <c r="L4639" i="23"/>
  <c r="K4639" i="23" s="1"/>
  <c r="L4812" i="23"/>
  <c r="K4812" i="23" s="1"/>
  <c r="L1052" i="23"/>
  <c r="L298" i="23"/>
  <c r="L1248" i="23"/>
  <c r="K1248" i="23" s="1"/>
  <c r="L681" i="23"/>
  <c r="L1065" i="23"/>
  <c r="L1636" i="23"/>
  <c r="K1636" i="23" s="1"/>
  <c r="L2701" i="23"/>
  <c r="K2701" i="23" s="1"/>
  <c r="L726" i="23"/>
  <c r="L1046" i="23"/>
  <c r="L1366" i="23"/>
  <c r="L595" i="23"/>
  <c r="L851" i="23"/>
  <c r="L1363" i="23"/>
  <c r="L2060" i="23"/>
  <c r="K2060" i="23" s="1"/>
  <c r="L1721" i="23"/>
  <c r="K1721" i="23" s="1"/>
  <c r="L2041" i="23"/>
  <c r="K2041" i="23" s="1"/>
  <c r="L2489" i="23"/>
  <c r="K2489" i="23" s="1"/>
  <c r="L3037" i="23"/>
  <c r="K3037" i="23" s="1"/>
  <c r="L1646" i="23"/>
  <c r="K1646" i="23" s="1"/>
  <c r="L1966" i="23"/>
  <c r="K1966" i="23" s="1"/>
  <c r="L2566" i="23"/>
  <c r="K2566" i="23" s="1"/>
  <c r="L1719" i="23"/>
  <c r="K1719" i="23" s="1"/>
  <c r="L2203" i="23"/>
  <c r="K2203" i="23" s="1"/>
  <c r="L2714" i="23"/>
  <c r="K2714" i="23" s="1"/>
  <c r="L2699" i="23"/>
  <c r="K2699" i="23" s="1"/>
  <c r="L2956" i="23"/>
  <c r="K2956" i="23" s="1"/>
  <c r="L3471" i="23"/>
  <c r="K3471" i="23" s="1"/>
  <c r="L3903" i="23"/>
  <c r="K3903" i="23" s="1"/>
  <c r="L4418" i="23"/>
  <c r="K4418" i="23" s="1"/>
  <c r="L497" i="23"/>
  <c r="L2702" i="23"/>
  <c r="K2702" i="23" s="1"/>
  <c r="L3288" i="23"/>
  <c r="K3288" i="23" s="1"/>
  <c r="L2876" i="23"/>
  <c r="K2876" i="23" s="1"/>
  <c r="L976" i="23"/>
  <c r="L530" i="23"/>
  <c r="K530" i="23" s="1"/>
  <c r="L1231" i="23"/>
  <c r="L2165" i="23"/>
  <c r="K2165" i="23" s="1"/>
  <c r="L3608" i="23"/>
  <c r="K3608" i="23" s="1"/>
  <c r="L2940" i="23"/>
  <c r="K2940" i="23" s="1"/>
  <c r="L313" i="23"/>
  <c r="L438" i="23"/>
  <c r="L799" i="23"/>
  <c r="L1658" i="23"/>
  <c r="K1658" i="23" s="1"/>
  <c r="L1563" i="23"/>
  <c r="L253" i="23"/>
  <c r="K253" i="23" s="1"/>
  <c r="L1221" i="23"/>
  <c r="L1138" i="23"/>
  <c r="K1138" i="23" s="1"/>
  <c r="L1327" i="23"/>
  <c r="K1327" i="23" s="1"/>
  <c r="L2005" i="23"/>
  <c r="K2005" i="23" s="1"/>
  <c r="L1930" i="23"/>
  <c r="K1930" i="23" s="1"/>
  <c r="L2902" i="23"/>
  <c r="K2902" i="23" s="1"/>
  <c r="L3327" i="23"/>
  <c r="K3327" i="23" s="1"/>
  <c r="L4182" i="23"/>
  <c r="K4182" i="23" s="1"/>
  <c r="L4104" i="23"/>
  <c r="K4104" i="23" s="1"/>
  <c r="L4616" i="23"/>
  <c r="K4616" i="23" s="1"/>
  <c r="L4959" i="23"/>
  <c r="K4959" i="23" s="1"/>
  <c r="L860" i="23"/>
  <c r="L250" i="23"/>
  <c r="K250" i="23" s="1"/>
  <c r="L569" i="23"/>
  <c r="K569" i="23" s="1"/>
  <c r="L889" i="23"/>
  <c r="K889" i="23" s="1"/>
  <c r="L1273" i="23"/>
  <c r="L2953" i="23"/>
  <c r="K2953" i="23" s="1"/>
  <c r="L742" i="23"/>
  <c r="L1062" i="23"/>
  <c r="L1446" i="23"/>
  <c r="L2392" i="23"/>
  <c r="K2392" i="23" s="1"/>
  <c r="L867" i="23"/>
  <c r="L1187" i="23"/>
  <c r="K1187" i="23" s="1"/>
  <c r="L1868" i="23"/>
  <c r="K1868" i="23" s="1"/>
  <c r="L1481" i="23"/>
  <c r="K1481" i="23" s="1"/>
  <c r="L1801" i="23"/>
  <c r="K1801" i="23" s="1"/>
  <c r="L2121" i="23"/>
  <c r="K2121" i="23" s="1"/>
  <c r="L2441" i="23"/>
  <c r="K2441" i="23" s="1"/>
  <c r="L3101" i="23"/>
  <c r="K3101" i="23" s="1"/>
  <c r="L1790" i="23"/>
  <c r="K1790" i="23" s="1"/>
  <c r="L2246" i="23"/>
  <c r="K2246" i="23" s="1"/>
  <c r="L2586" i="23"/>
  <c r="K2586" i="23" s="1"/>
  <c r="L1655" i="23"/>
  <c r="K1655" i="23" s="1"/>
  <c r="L2897" i="23"/>
  <c r="K2897" i="23" s="1"/>
  <c r="L1282" i="23"/>
  <c r="L2068" i="23"/>
  <c r="K2068" i="23" s="1"/>
  <c r="L342" i="23"/>
  <c r="K342" i="23" s="1"/>
  <c r="L353" i="23"/>
  <c r="L428" i="23"/>
  <c r="K428" i="23" s="1"/>
  <c r="L108" i="23"/>
  <c r="L948" i="23"/>
  <c r="K948" i="23" s="1"/>
  <c r="L279" i="23"/>
  <c r="L1240" i="23"/>
  <c r="L424" i="23"/>
  <c r="K424" i="23" s="1"/>
  <c r="L104" i="23"/>
  <c r="L275" i="23"/>
  <c r="L1504" i="23"/>
  <c r="L512" i="23"/>
  <c r="K512" i="23" s="1"/>
  <c r="L164" i="23"/>
  <c r="L916" i="23"/>
  <c r="L335" i="23"/>
  <c r="K335" i="23" s="1"/>
  <c r="L336" i="23"/>
  <c r="K336" i="23" s="1"/>
  <c r="L80" i="23"/>
  <c r="L836" i="23"/>
  <c r="L131" i="23"/>
  <c r="K131" i="23" s="1"/>
  <c r="L2538" i="23"/>
  <c r="K2538" i="23" s="1"/>
  <c r="L1023" i="23"/>
  <c r="K1023" i="23" s="1"/>
  <c r="L789" i="23"/>
  <c r="L445" i="23"/>
  <c r="L61" i="23"/>
  <c r="L936" i="23"/>
  <c r="L284" i="23"/>
  <c r="L612" i="23"/>
  <c r="L263" i="23"/>
  <c r="K263" i="23" s="1"/>
  <c r="L103" i="23"/>
  <c r="K103" i="23" s="1"/>
  <c r="L664" i="23"/>
  <c r="L88" i="23"/>
  <c r="K88" i="23" s="1"/>
  <c r="L1124" i="23"/>
  <c r="L323" i="23"/>
  <c r="L91" i="23"/>
  <c r="K91" i="23" s="1"/>
  <c r="L480" i="23"/>
  <c r="L148" i="23"/>
  <c r="L852" i="23"/>
  <c r="L147" i="23"/>
  <c r="L1336" i="23"/>
  <c r="L448" i="23"/>
  <c r="L64" i="23"/>
  <c r="L427" i="23"/>
  <c r="K427" i="23" s="1"/>
  <c r="L83" i="23"/>
  <c r="L2366" i="23"/>
  <c r="K2366" i="23" s="1"/>
  <c r="L895" i="23"/>
  <c r="K895" i="23" s="1"/>
  <c r="L898" i="23"/>
  <c r="K898" i="23" s="1"/>
  <c r="L1237" i="23"/>
  <c r="L214" i="23"/>
  <c r="K214" i="23" s="1"/>
  <c r="L321" i="23"/>
  <c r="L67" i="23"/>
  <c r="L616" i="23"/>
  <c r="L204" i="23"/>
  <c r="K204" i="23" s="1"/>
  <c r="L1076" i="23"/>
  <c r="K1076" i="23" s="1"/>
  <c r="L149" i="23"/>
  <c r="L856" i="23"/>
  <c r="L200" i="23"/>
  <c r="K200" i="23" s="1"/>
  <c r="L1316" i="23"/>
  <c r="L307" i="23"/>
  <c r="L43" i="23"/>
  <c r="K43" i="23" s="1"/>
  <c r="L68" i="23"/>
  <c r="L431" i="23"/>
  <c r="K431" i="23" s="1"/>
  <c r="L95" i="23"/>
  <c r="K95" i="23" s="1"/>
  <c r="L1272" i="23"/>
  <c r="L304" i="23"/>
  <c r="L48" i="23"/>
  <c r="K48" i="23" s="1"/>
  <c r="L964" i="23"/>
  <c r="K964" i="23" s="1"/>
  <c r="L207" i="23"/>
  <c r="K207" i="23" s="1"/>
  <c r="L1343" i="23"/>
  <c r="L2039" i="23"/>
  <c r="K2039" i="23" s="1"/>
  <c r="L3217" i="23"/>
  <c r="K3217" i="23" s="1"/>
  <c r="L230" i="23"/>
  <c r="L1620" i="23"/>
  <c r="K1620" i="23" s="1"/>
  <c r="L847" i="23"/>
  <c r="L3464" i="23"/>
  <c r="K3464" i="23" s="1"/>
  <c r="L153" i="23"/>
  <c r="L54" i="23"/>
  <c r="L821" i="23"/>
  <c r="L738" i="23"/>
  <c r="L671" i="23"/>
  <c r="L1605" i="23"/>
  <c r="K1605" i="23" s="1"/>
  <c r="L2638" i="23"/>
  <c r="K2638" i="23" s="1"/>
  <c r="L2410" i="23"/>
  <c r="K2410" i="23" s="1"/>
  <c r="L3029" i="23"/>
  <c r="K3029" i="23" s="1"/>
  <c r="L1420" i="23"/>
  <c r="L837" i="23"/>
  <c r="L754" i="23"/>
  <c r="L1199" i="23"/>
  <c r="K1199" i="23" s="1"/>
  <c r="L2430" i="23"/>
  <c r="K2430" i="23" s="1"/>
  <c r="L2812" i="23"/>
  <c r="K2812" i="23" s="1"/>
  <c r="L3798" i="23"/>
  <c r="K3798" i="23" s="1"/>
  <c r="L4402" i="23"/>
  <c r="K4402" i="23" s="1"/>
  <c r="L4741" i="23"/>
  <c r="K4741" i="23" s="1"/>
  <c r="L4748" i="23"/>
  <c r="K4748" i="23" s="1"/>
  <c r="L732" i="23"/>
  <c r="L90" i="23"/>
  <c r="K90" i="23" s="1"/>
  <c r="L346" i="23"/>
  <c r="L1369" i="23"/>
  <c r="L2084" i="23"/>
  <c r="K2084" i="23" s="1"/>
  <c r="L1286" i="23"/>
  <c r="L1752" i="23"/>
  <c r="K1752" i="23" s="1"/>
  <c r="L3161" i="23"/>
  <c r="K3161" i="23" s="1"/>
  <c r="L771" i="23"/>
  <c r="L1347" i="23"/>
  <c r="L1577" i="23"/>
  <c r="K1577" i="23" s="1"/>
  <c r="L1897" i="23"/>
  <c r="K1897" i="23" s="1"/>
  <c r="L2281" i="23"/>
  <c r="K2281" i="23" s="1"/>
  <c r="L2537" i="23"/>
  <c r="K2537" i="23" s="1"/>
  <c r="L1566" i="23"/>
  <c r="K1566" i="23" s="1"/>
  <c r="L2202" i="23"/>
  <c r="K2202" i="23" s="1"/>
  <c r="L2542" i="23"/>
  <c r="K2542" i="23" s="1"/>
  <c r="L1787" i="23"/>
  <c r="K1787" i="23" s="1"/>
  <c r="L2427" i="23"/>
  <c r="K2427" i="23" s="1"/>
  <c r="L3142" i="23"/>
  <c r="K3142" i="23" s="1"/>
  <c r="L2892" i="23"/>
  <c r="K2892" i="23" s="1"/>
  <c r="L4157" i="23"/>
  <c r="K4157" i="23" s="1"/>
  <c r="L4262" i="23"/>
  <c r="K4262" i="23" s="1"/>
  <c r="L3928" i="23"/>
  <c r="K3928" i="23" s="1"/>
  <c r="L4693" i="23"/>
  <c r="K4693" i="23" s="1"/>
  <c r="L4700" i="23"/>
  <c r="K4700" i="23" s="1"/>
  <c r="L59" i="23"/>
  <c r="L1292" i="23"/>
  <c r="L2560" i="23"/>
  <c r="K2560" i="23" s="1"/>
  <c r="L2568" i="23"/>
  <c r="K2568" i="23" s="1"/>
  <c r="L1589" i="23"/>
  <c r="L2046" i="23"/>
  <c r="K2046" i="23" s="1"/>
  <c r="L2199" i="23"/>
  <c r="K2199" i="23" s="1"/>
  <c r="L105" i="23"/>
  <c r="L365" i="23"/>
  <c r="L374" i="23"/>
  <c r="K374" i="23" s="1"/>
  <c r="L546" i="23"/>
  <c r="L479" i="23"/>
  <c r="L1596" i="23"/>
  <c r="L2181" i="23"/>
  <c r="K2181" i="23" s="1"/>
  <c r="L2747" i="23"/>
  <c r="K2747" i="23" s="1"/>
  <c r="L2288" i="23"/>
  <c r="K2288" i="23" s="1"/>
  <c r="L1413" i="23"/>
  <c r="L1685" i="23"/>
  <c r="K1685" i="23" s="1"/>
  <c r="L1610" i="23"/>
  <c r="K1610" i="23" s="1"/>
  <c r="L1499" i="23"/>
  <c r="L3068" i="23"/>
  <c r="K3068" i="23" s="1"/>
  <c r="L3921" i="23"/>
  <c r="K3921" i="23" s="1"/>
  <c r="L4207" i="23"/>
  <c r="K4207" i="23" s="1"/>
  <c r="L4552" i="23"/>
  <c r="K4552" i="23" s="1"/>
  <c r="L377" i="23"/>
  <c r="K377" i="23" s="1"/>
  <c r="L1308" i="23"/>
  <c r="L426" i="23"/>
  <c r="K426" i="23" s="1"/>
  <c r="L1600" i="23"/>
  <c r="L809" i="23"/>
  <c r="L1129" i="23"/>
  <c r="L1892" i="23"/>
  <c r="K1892" i="23" s="1"/>
  <c r="L470" i="23"/>
  <c r="K470" i="23" s="1"/>
  <c r="L790" i="23"/>
  <c r="L1110" i="23"/>
  <c r="L2584" i="23"/>
  <c r="K2584" i="23" s="1"/>
  <c r="L659" i="23"/>
  <c r="K659" i="23" s="1"/>
  <c r="L915" i="23"/>
  <c r="L1427" i="23"/>
  <c r="L2316" i="23"/>
  <c r="K2316" i="23" s="1"/>
  <c r="L1785" i="23"/>
  <c r="K1785" i="23" s="1"/>
  <c r="L2169" i="23"/>
  <c r="K2169" i="23" s="1"/>
  <c r="L2553" i="23"/>
  <c r="K2553" i="23" s="1"/>
  <c r="L3528" i="23"/>
  <c r="K3528" i="23" s="1"/>
  <c r="L1710" i="23"/>
  <c r="K1710" i="23" s="1"/>
  <c r="L2054" i="23"/>
  <c r="K2054" i="23" s="1"/>
  <c r="L2681" i="23"/>
  <c r="K2681" i="23" s="1"/>
  <c r="L1819" i="23"/>
  <c r="K1819" i="23" s="1"/>
  <c r="L2459" i="23"/>
  <c r="K2459" i="23" s="1"/>
  <c r="L2842" i="23"/>
  <c r="K2842" i="23" s="1"/>
  <c r="L2955" i="23"/>
  <c r="K2955" i="23" s="1"/>
  <c r="L3297" i="23"/>
  <c r="K3297" i="23" s="1"/>
  <c r="L3729" i="23"/>
  <c r="K3729" i="23" s="1"/>
  <c r="L4159" i="23"/>
  <c r="K4159" i="23" s="1"/>
  <c r="L4335" i="23"/>
  <c r="K4335" i="23" s="1"/>
  <c r="L2416" i="23"/>
  <c r="K2416" i="23" s="1"/>
  <c r="L1562" i="23"/>
  <c r="L1783" i="23"/>
  <c r="K1783" i="23" s="1"/>
  <c r="L229" i="23"/>
  <c r="L613" i="23"/>
  <c r="L1298" i="23"/>
  <c r="L2556" i="23"/>
  <c r="K2556" i="23" s="1"/>
  <c r="L2421" i="23"/>
  <c r="K2421" i="23" s="1"/>
  <c r="L1815" i="23"/>
  <c r="K1815" i="23" s="1"/>
  <c r="L57" i="23"/>
  <c r="L397" i="23"/>
  <c r="L1296" i="23"/>
  <c r="L1055" i="23"/>
  <c r="L1914" i="23"/>
  <c r="K1914" i="23" s="1"/>
  <c r="L2870" i="23"/>
  <c r="K2870" i="23" s="1"/>
  <c r="L908" i="23"/>
  <c r="L2516" i="23"/>
  <c r="K2516" i="23" s="1"/>
  <c r="L1394" i="23"/>
  <c r="K1394" i="23" s="1"/>
  <c r="L1916" i="23"/>
  <c r="K1916" i="23" s="1"/>
  <c r="L2261" i="23"/>
  <c r="K2261" i="23" s="1"/>
  <c r="L2262" i="23"/>
  <c r="K2262" i="23" s="1"/>
  <c r="L3652" i="23"/>
  <c r="K3652" i="23" s="1"/>
  <c r="L3583" i="23"/>
  <c r="K3583" i="23" s="1"/>
  <c r="L3759" i="23"/>
  <c r="K3759" i="23" s="1"/>
  <c r="L4481" i="23"/>
  <c r="K4481" i="23" s="1"/>
  <c r="L4869" i="23"/>
  <c r="K4869" i="23" s="1"/>
  <c r="L393" i="23"/>
  <c r="L1116" i="23"/>
  <c r="L800" i="23"/>
  <c r="L633" i="23"/>
  <c r="L1017" i="23"/>
  <c r="K1017" i="23" s="1"/>
  <c r="L1401" i="23"/>
  <c r="K1401" i="23" s="1"/>
  <c r="L486" i="23"/>
  <c r="L806" i="23"/>
  <c r="L1190" i="23"/>
  <c r="K1190" i="23" s="1"/>
  <c r="L1624" i="23"/>
  <c r="K1624" i="23" s="1"/>
  <c r="L483" i="23"/>
  <c r="L931" i="23"/>
  <c r="L1379" i="23"/>
  <c r="L2124" i="23"/>
  <c r="K2124" i="23" s="1"/>
  <c r="L1545" i="23"/>
  <c r="L1865" i="23"/>
  <c r="K1865" i="23" s="1"/>
  <c r="L2249" i="23"/>
  <c r="K2249" i="23" s="1"/>
  <c r="L2569" i="23"/>
  <c r="K2569" i="23" s="1"/>
  <c r="L3957" i="23"/>
  <c r="K3957" i="23" s="1"/>
  <c r="L1854" i="23"/>
  <c r="K1854" i="23" s="1"/>
  <c r="L2330" i="23"/>
  <c r="K2330" i="23" s="1"/>
  <c r="L2737" i="23"/>
  <c r="K2737" i="23" s="1"/>
  <c r="L1851" i="23"/>
  <c r="K1851" i="23" s="1"/>
  <c r="L1498" i="23"/>
  <c r="L1026" i="23"/>
  <c r="K1026" i="23" s="1"/>
  <c r="L1109" i="23"/>
  <c r="L86" i="23"/>
  <c r="L225" i="23"/>
  <c r="L300" i="23"/>
  <c r="L44" i="23"/>
  <c r="K44" i="23" s="1"/>
  <c r="L485" i="23"/>
  <c r="L203" i="23"/>
  <c r="K203" i="23" s="1"/>
  <c r="L984" i="23"/>
  <c r="L360" i="23"/>
  <c r="L2384" i="23"/>
  <c r="K2384" i="23" s="1"/>
  <c r="L77" i="23"/>
  <c r="L1224" i="23"/>
  <c r="L356" i="23"/>
  <c r="L100" i="23"/>
  <c r="K100" i="23" s="1"/>
  <c r="L644" i="23"/>
  <c r="K644" i="23" s="1"/>
  <c r="L271" i="23"/>
  <c r="K271" i="23" s="1"/>
  <c r="L79" i="23"/>
  <c r="L272" i="23"/>
  <c r="L2000" i="23"/>
  <c r="K2000" i="23" s="1"/>
  <c r="L557" i="23"/>
  <c r="L3132" i="23"/>
  <c r="K3132" i="23" s="1"/>
  <c r="L1882" i="23"/>
  <c r="K1882" i="23" s="1"/>
  <c r="L511" i="23"/>
  <c r="K511" i="23" s="1"/>
  <c r="L278" i="23"/>
  <c r="L273" i="23"/>
  <c r="L115" i="23"/>
  <c r="L680" i="23"/>
  <c r="L220" i="23"/>
  <c r="L457" i="23"/>
  <c r="K457" i="23" s="1"/>
  <c r="L167" i="23"/>
  <c r="L1432" i="23"/>
  <c r="L408" i="23"/>
  <c r="L24" i="23"/>
  <c r="L868" i="23"/>
  <c r="L159" i="23"/>
  <c r="L1160" i="23"/>
  <c r="L404" i="23"/>
  <c r="L20" i="23"/>
  <c r="L565" i="23"/>
  <c r="K565" i="23" s="1"/>
  <c r="L133" i="23"/>
  <c r="K133" i="23" s="1"/>
  <c r="L1080" i="23"/>
  <c r="K1080" i="23" s="1"/>
  <c r="L384" i="23"/>
  <c r="K384" i="23" s="1"/>
  <c r="L3129" i="23"/>
  <c r="K3129" i="23" s="1"/>
  <c r="L363" i="23"/>
  <c r="L2620" i="23"/>
  <c r="K2620" i="23" s="1"/>
  <c r="L1754" i="23"/>
  <c r="K1754" i="23" s="1"/>
  <c r="L2504" i="23"/>
  <c r="K2504" i="23" s="1"/>
  <c r="L642" i="23"/>
  <c r="K642" i="23" s="1"/>
  <c r="L981" i="23"/>
  <c r="L135" i="23"/>
  <c r="K135" i="23" s="1"/>
  <c r="L129" i="23"/>
  <c r="K129" i="23" s="1"/>
  <c r="L1384" i="23"/>
  <c r="L464" i="23"/>
  <c r="K464" i="23" s="1"/>
  <c r="L76" i="23"/>
  <c r="L820" i="23"/>
  <c r="L55" i="23"/>
  <c r="L600" i="23"/>
  <c r="L72" i="23"/>
  <c r="L1060" i="23"/>
  <c r="L239" i="23"/>
  <c r="L388" i="23"/>
  <c r="L4" i="23"/>
  <c r="L367" i="23"/>
  <c r="L101" i="23"/>
  <c r="K101" i="23" s="1"/>
  <c r="L1016" i="23"/>
  <c r="K1016" i="23" s="1"/>
  <c r="L240" i="23"/>
  <c r="L2512" i="23"/>
  <c r="K2512" i="23" s="1"/>
  <c r="L692" i="23"/>
  <c r="L575" i="23"/>
  <c r="K575" i="23" s="1"/>
  <c r="L1980" i="23"/>
  <c r="K1980" i="23" s="1"/>
  <c r="L2551" i="23"/>
  <c r="K2551" i="23" s="1"/>
  <c r="L325" i="23"/>
  <c r="L741" i="23"/>
  <c r="L658" i="23"/>
  <c r="K658" i="23" s="1"/>
  <c r="L1103" i="23"/>
  <c r="K1103" i="23" s="1"/>
  <c r="L2583" i="23"/>
  <c r="K2583" i="23" s="1"/>
  <c r="L217" i="23"/>
  <c r="K217" i="23" s="1"/>
  <c r="L310" i="23"/>
  <c r="L1077" i="23"/>
  <c r="K1077" i="23" s="1"/>
  <c r="L994" i="23"/>
  <c r="L927" i="23"/>
  <c r="L1861" i="23"/>
  <c r="K1861" i="23" s="1"/>
  <c r="L1530" i="23"/>
  <c r="K1530" i="23" s="1"/>
  <c r="L3057" i="23"/>
  <c r="K3057" i="23" s="1"/>
  <c r="L3372" i="23"/>
  <c r="K3372" i="23" s="1"/>
  <c r="L326" i="23"/>
  <c r="K326" i="23" s="1"/>
  <c r="L1093" i="23"/>
  <c r="K1093" i="23" s="1"/>
  <c r="L1010" i="23"/>
  <c r="L1455" i="23"/>
  <c r="L1755" i="23"/>
  <c r="K1755" i="23" s="1"/>
  <c r="L3665" i="23"/>
  <c r="K3665" i="23" s="1"/>
  <c r="L3887" i="23"/>
  <c r="K3887" i="23" s="1"/>
  <c r="L4658" i="23"/>
  <c r="K4658" i="23" s="1"/>
  <c r="L4997" i="23"/>
  <c r="K4997" i="23" s="1"/>
  <c r="L361" i="23"/>
  <c r="L988" i="23"/>
  <c r="L154" i="23"/>
  <c r="L410" i="23"/>
  <c r="L1433" i="23"/>
  <c r="L2340" i="23"/>
  <c r="K2340" i="23" s="1"/>
  <c r="L1350" i="23"/>
  <c r="L2008" i="23"/>
  <c r="K2008" i="23" s="1"/>
  <c r="L515" i="23"/>
  <c r="K515" i="23" s="1"/>
  <c r="L899" i="23"/>
  <c r="L2508" i="23"/>
  <c r="K2508" i="23" s="1"/>
  <c r="L1641" i="23"/>
  <c r="K1641" i="23" s="1"/>
  <c r="L2025" i="23"/>
  <c r="K2025" i="23" s="1"/>
  <c r="L2345" i="23"/>
  <c r="K2345" i="23" s="1"/>
  <c r="L2717" i="23"/>
  <c r="K2717" i="23" s="1"/>
  <c r="L1758" i="23"/>
  <c r="K1758" i="23" s="1"/>
  <c r="L2286" i="23"/>
  <c r="K2286" i="23" s="1"/>
  <c r="L2913" i="23"/>
  <c r="K2913" i="23" s="1"/>
  <c r="L1915" i="23"/>
  <c r="K1915" i="23" s="1"/>
  <c r="L2555" i="23"/>
  <c r="K2555" i="23" s="1"/>
  <c r="L2635" i="23"/>
  <c r="K2635" i="23" s="1"/>
  <c r="L3148" i="23"/>
  <c r="K3148" i="23" s="1"/>
  <c r="L3663" i="23"/>
  <c r="K3663" i="23" s="1"/>
  <c r="L3839" i="23"/>
  <c r="K3839" i="23" s="1"/>
  <c r="L4354" i="23"/>
  <c r="K4354" i="23" s="1"/>
  <c r="L4949" i="23"/>
  <c r="K4949" i="23" s="1"/>
  <c r="L4956" i="23"/>
  <c r="K4956" i="23" s="1"/>
  <c r="L213" i="23"/>
  <c r="K213" i="23" s="1"/>
  <c r="L38" i="23"/>
  <c r="K38" i="23" s="1"/>
  <c r="L1317" i="23"/>
  <c r="K1317" i="23" s="1"/>
  <c r="L655" i="23"/>
  <c r="K655" i="23" s="1"/>
  <c r="L1845" i="23"/>
  <c r="K1845" i="23" s="1"/>
  <c r="L2390" i="23"/>
  <c r="K2390" i="23" s="1"/>
  <c r="L3190" i="23"/>
  <c r="K3190" i="23" s="1"/>
  <c r="L169" i="23"/>
  <c r="L588" i="23"/>
  <c r="L1040" i="23"/>
  <c r="L802" i="23"/>
  <c r="L735" i="23"/>
  <c r="L2621" i="23"/>
  <c r="K2621" i="23" s="1"/>
  <c r="L2829" i="23"/>
  <c r="K2829" i="23" s="1"/>
  <c r="L4249" i="23"/>
  <c r="K4249" i="23" s="1"/>
  <c r="L645" i="23"/>
  <c r="K645" i="23" s="1"/>
  <c r="L1330" i="23"/>
  <c r="K1330" i="23" s="1"/>
  <c r="L1941" i="23"/>
  <c r="K1941" i="23" s="1"/>
  <c r="L1866" i="23"/>
  <c r="K1866" i="23" s="1"/>
  <c r="L2391" i="23"/>
  <c r="K2391" i="23" s="1"/>
  <c r="L3242" i="23"/>
  <c r="K3242" i="23" s="1"/>
  <c r="L4118" i="23"/>
  <c r="K4118" i="23" s="1"/>
  <c r="L3784" i="23"/>
  <c r="K3784" i="23" s="1"/>
  <c r="L4805" i="23"/>
  <c r="K4805" i="23" s="1"/>
  <c r="L553" i="23"/>
  <c r="L3" i="23"/>
  <c r="L736" i="23"/>
  <c r="L2629" i="23"/>
  <c r="K2629" i="23" s="1"/>
  <c r="L873" i="23"/>
  <c r="L1193" i="23"/>
  <c r="K1193" i="23" s="1"/>
  <c r="L2148" i="23"/>
  <c r="K2148" i="23" s="1"/>
  <c r="L534" i="23"/>
  <c r="L854" i="23"/>
  <c r="L1238" i="23"/>
  <c r="L467" i="23"/>
  <c r="K467" i="23" s="1"/>
  <c r="L723" i="23"/>
  <c r="L979" i="23"/>
  <c r="L1548" i="23"/>
  <c r="L1529" i="23"/>
  <c r="K1529" i="23" s="1"/>
  <c r="L1913" i="23"/>
  <c r="K1913" i="23" s="1"/>
  <c r="L2233" i="23"/>
  <c r="K2233" i="23" s="1"/>
  <c r="L2617" i="23"/>
  <c r="K2617" i="23" s="1"/>
  <c r="L1518" i="23"/>
  <c r="K1518" i="23" s="1"/>
  <c r="L1838" i="23"/>
  <c r="K1838" i="23" s="1"/>
  <c r="L2138" i="23"/>
  <c r="K2138" i="23" s="1"/>
  <c r="L2993" i="23"/>
  <c r="K2993" i="23" s="1"/>
  <c r="L1947" i="23"/>
  <c r="K1947" i="23" s="1"/>
  <c r="L2587" i="23"/>
  <c r="K2587" i="23" s="1"/>
  <c r="L2970" i="23"/>
  <c r="K2970" i="23" s="1"/>
  <c r="L3211" i="23"/>
  <c r="K3211" i="23" s="1"/>
  <c r="L3553" i="23"/>
  <c r="K3553" i="23" s="1"/>
  <c r="L4070" i="23"/>
  <c r="K4070" i="23" s="1"/>
  <c r="L3992" i="23"/>
  <c r="K3992" i="23" s="1"/>
  <c r="L4504" i="23"/>
  <c r="K4504" i="23" s="1"/>
  <c r="L959" i="23"/>
  <c r="K959" i="23" s="1"/>
  <c r="L1818" i="23"/>
  <c r="K1818" i="23" s="1"/>
  <c r="L2295" i="23"/>
  <c r="K2295" i="23" s="1"/>
  <c r="L357" i="23"/>
  <c r="L869" i="23"/>
  <c r="L3893" i="23"/>
  <c r="K3893" i="23" s="1"/>
  <c r="L1653" i="23"/>
  <c r="K1653" i="23" s="1"/>
  <c r="L2134" i="23"/>
  <c r="K2134" i="23" s="1"/>
  <c r="L2327" i="23"/>
  <c r="K2327" i="23" s="1"/>
  <c r="L121" i="23"/>
  <c r="L844" i="23"/>
  <c r="L1461" i="23"/>
  <c r="L1852" i="23"/>
  <c r="K1852" i="23" s="1"/>
  <c r="L2238" i="23"/>
  <c r="K2238" i="23" s="1"/>
  <c r="L3003" i="23"/>
  <c r="K3003" i="23" s="1"/>
  <c r="L87" i="23"/>
  <c r="K87" i="23" s="1"/>
  <c r="L626" i="23"/>
  <c r="L815" i="23"/>
  <c r="L1493" i="23"/>
  <c r="L2517" i="23"/>
  <c r="K2517" i="23" s="1"/>
  <c r="L1583" i="23"/>
  <c r="K1583" i="23" s="1"/>
  <c r="L3498" i="23"/>
  <c r="K3498" i="23" s="1"/>
  <c r="L4177" i="23"/>
  <c r="K4177" i="23" s="1"/>
  <c r="L4015" i="23"/>
  <c r="K4015" i="23" s="1"/>
  <c r="L4530" i="23"/>
  <c r="K4530" i="23" s="1"/>
  <c r="L4786" i="23"/>
  <c r="K4786" i="23" s="1"/>
  <c r="L460" i="23"/>
  <c r="K460" i="23" s="1"/>
  <c r="L58" i="23"/>
  <c r="L1056" i="23"/>
  <c r="L761" i="23"/>
  <c r="L1081" i="23"/>
  <c r="K1081" i="23" s="1"/>
  <c r="L1465" i="23"/>
  <c r="L550" i="23"/>
  <c r="L934" i="23"/>
  <c r="L1254" i="23"/>
  <c r="K1254" i="23" s="1"/>
  <c r="L1880" i="23"/>
  <c r="K1880" i="23" s="1"/>
  <c r="L675" i="23"/>
  <c r="L995" i="23"/>
  <c r="L1443" i="23"/>
  <c r="L2380" i="23"/>
  <c r="K2380" i="23" s="1"/>
  <c r="L1609" i="23"/>
  <c r="K1609" i="23" s="1"/>
  <c r="L1993" i="23"/>
  <c r="K1993" i="23" s="1"/>
  <c r="L2313" i="23"/>
  <c r="K2313" i="23" s="1"/>
  <c r="L2646" i="23"/>
  <c r="K2646" i="23" s="1"/>
  <c r="L1534" i="23"/>
  <c r="K1534" i="23" s="1"/>
  <c r="L2074" i="23"/>
  <c r="K2074" i="23" s="1"/>
  <c r="L2414" i="23"/>
  <c r="K2414" i="23" s="1"/>
  <c r="L3089" i="23"/>
  <c r="K3089" i="23" s="1"/>
  <c r="L2363" i="23"/>
  <c r="K2363" i="23" s="1"/>
  <c r="L3473" i="23"/>
  <c r="K3473" i="23" s="1"/>
  <c r="L2236" i="23"/>
  <c r="K2236" i="23" s="1"/>
  <c r="L770" i="23"/>
  <c r="L853" i="23"/>
  <c r="L1520" i="23"/>
  <c r="K1520" i="23" s="1"/>
  <c r="L97" i="23"/>
  <c r="K97" i="23" s="1"/>
  <c r="L236" i="23"/>
  <c r="L1460" i="23"/>
  <c r="L407" i="23"/>
  <c r="L151" i="23"/>
  <c r="L728" i="23"/>
  <c r="L296" i="23"/>
  <c r="L660" i="23"/>
  <c r="K660" i="23" s="1"/>
  <c r="L139" i="23"/>
  <c r="K139" i="23" s="1"/>
  <c r="L968" i="23"/>
  <c r="K968" i="23" s="1"/>
  <c r="L292" i="23"/>
  <c r="L2320" i="23"/>
  <c r="K2320" i="23" s="1"/>
  <c r="L469" i="23"/>
  <c r="K469" i="23" s="1"/>
  <c r="L187" i="23"/>
  <c r="L2208" i="23"/>
  <c r="K2208" i="23" s="1"/>
  <c r="L208" i="23"/>
  <c r="K208" i="23" s="1"/>
  <c r="L1348" i="23"/>
  <c r="L443" i="23"/>
  <c r="L2806" i="23"/>
  <c r="K2806" i="23" s="1"/>
  <c r="L2957" i="23"/>
  <c r="K2957" i="23" s="1"/>
  <c r="L1301" i="23"/>
  <c r="L22" i="23"/>
  <c r="L145" i="23"/>
  <c r="L1448" i="23"/>
  <c r="L496" i="23"/>
  <c r="L156" i="23"/>
  <c r="L391" i="23"/>
  <c r="L181" i="23"/>
  <c r="L1176" i="23"/>
  <c r="L344" i="23"/>
  <c r="L2128" i="23"/>
  <c r="K2128" i="23" s="1"/>
  <c r="L580" i="23"/>
  <c r="K580" i="23" s="1"/>
  <c r="L173" i="23"/>
  <c r="L904" i="23"/>
  <c r="L340" i="23"/>
  <c r="K340" i="23" s="1"/>
  <c r="L2064" i="23"/>
  <c r="K2064" i="23" s="1"/>
  <c r="L383" i="23"/>
  <c r="K383" i="23" s="1"/>
  <c r="L31" i="23"/>
  <c r="L824" i="23"/>
  <c r="L256" i="23"/>
  <c r="K256" i="23" s="1"/>
  <c r="L1744" i="23"/>
  <c r="K1744" i="23" s="1"/>
  <c r="L299" i="23"/>
  <c r="L2773" i="23"/>
  <c r="K2773" i="23" s="1"/>
  <c r="L2597" i="23"/>
  <c r="K2597" i="23" s="1"/>
  <c r="L2580" i="23"/>
  <c r="K2580" i="23" s="1"/>
  <c r="L725" i="23"/>
  <c r="L972" i="23"/>
  <c r="L65" i="23"/>
  <c r="L1128" i="23"/>
  <c r="L396" i="23"/>
  <c r="L12" i="23"/>
  <c r="L375" i="23"/>
  <c r="K375" i="23" s="1"/>
  <c r="L1368" i="23"/>
  <c r="L459" i="23"/>
  <c r="K459" i="23" s="1"/>
  <c r="L8" i="23"/>
  <c r="L804" i="23"/>
  <c r="L111" i="23"/>
  <c r="L324" i="23"/>
  <c r="L1808" i="23"/>
  <c r="K1808" i="23" s="1"/>
  <c r="L303" i="23"/>
  <c r="L219" i="23"/>
  <c r="L760" i="23"/>
  <c r="L176" i="23"/>
  <c r="L1488" i="23"/>
  <c r="L347" i="23"/>
  <c r="L831" i="23"/>
  <c r="L3213" i="23"/>
  <c r="K3213" i="23" s="1"/>
  <c r="L2934" i="23"/>
  <c r="K2934" i="23" s="1"/>
  <c r="L421" i="23"/>
  <c r="K421" i="23" s="1"/>
  <c r="L997" i="23"/>
  <c r="L914" i="23"/>
  <c r="L1359" i="23"/>
  <c r="L3195" i="23"/>
  <c r="K3195" i="23" s="1"/>
  <c r="L465" i="23"/>
  <c r="K465" i="23" s="1"/>
  <c r="L784" i="23"/>
  <c r="L1333" i="23"/>
  <c r="K1333" i="23" s="1"/>
  <c r="L1250" i="23"/>
  <c r="K1250" i="23" s="1"/>
  <c r="L1439" i="23"/>
  <c r="L2117" i="23"/>
  <c r="K2117" i="23" s="1"/>
  <c r="L1786" i="23"/>
  <c r="K1786" i="23" s="1"/>
  <c r="L1735" i="23"/>
  <c r="K1735" i="23" s="1"/>
  <c r="L349" i="23"/>
  <c r="L848" i="23"/>
  <c r="L1349" i="23"/>
  <c r="L1266" i="23"/>
  <c r="K1266" i="23" s="1"/>
  <c r="L2428" i="23"/>
  <c r="K2428" i="23" s="1"/>
  <c r="L3157" i="23"/>
  <c r="K3157" i="23" s="1"/>
  <c r="L3626" i="23"/>
  <c r="K3626" i="23" s="1"/>
  <c r="L4637" i="23"/>
  <c r="K4637" i="23" s="1"/>
  <c r="L4575" i="23"/>
  <c r="K4575" i="23" s="1"/>
  <c r="L4914" i="23"/>
  <c r="K4914" i="23" s="1"/>
  <c r="L425" i="23"/>
  <c r="K425" i="23" s="1"/>
  <c r="L1244" i="23"/>
  <c r="L218" i="23"/>
  <c r="L492" i="23"/>
  <c r="L1572" i="23"/>
  <c r="K1572" i="23" s="1"/>
  <c r="L2596" i="23"/>
  <c r="K2596" i="23" s="1"/>
  <c r="L1414" i="23"/>
  <c r="L2264" i="23"/>
  <c r="K2264" i="23" s="1"/>
  <c r="L579" i="23"/>
  <c r="K579" i="23" s="1"/>
  <c r="L1091" i="23"/>
  <c r="K1091" i="23" s="1"/>
  <c r="L3113" i="23"/>
  <c r="K3113" i="23" s="1"/>
  <c r="L1769" i="23"/>
  <c r="K1769" i="23" s="1"/>
  <c r="L2089" i="23"/>
  <c r="K2089" i="23" s="1"/>
  <c r="L2409" i="23"/>
  <c r="K2409" i="23" s="1"/>
  <c r="L2973" i="23"/>
  <c r="K2973" i="23" s="1"/>
  <c r="L1886" i="23"/>
  <c r="K1886" i="23" s="1"/>
  <c r="L2374" i="23"/>
  <c r="K2374" i="23" s="1"/>
  <c r="L1611" i="23"/>
  <c r="K1611" i="23" s="1"/>
  <c r="L2043" i="23"/>
  <c r="K2043" i="23" s="1"/>
  <c r="L2810" i="23"/>
  <c r="K2810" i="23" s="1"/>
  <c r="L2891" i="23"/>
  <c r="K2891" i="23" s="1"/>
  <c r="L3801" i="23"/>
  <c r="K3801" i="23" s="1"/>
  <c r="L3750" i="23"/>
  <c r="K3750" i="23" s="1"/>
  <c r="L4095" i="23"/>
  <c r="K4095" i="23" s="1"/>
  <c r="L4610" i="23"/>
  <c r="K4610" i="23" s="1"/>
  <c r="L4866" i="23"/>
  <c r="K4866" i="23" s="1"/>
  <c r="L1388" i="23"/>
  <c r="K1388" i="23" s="1"/>
  <c r="L277" i="23"/>
  <c r="L294" i="23"/>
  <c r="L978" i="23"/>
  <c r="L911" i="23"/>
  <c r="L2101" i="23"/>
  <c r="K2101" i="23" s="1"/>
  <c r="L2977" i="23"/>
  <c r="K2977" i="23" s="1"/>
  <c r="L2684" i="23"/>
  <c r="K2684" i="23" s="1"/>
  <c r="L233" i="23"/>
  <c r="L2032" i="23"/>
  <c r="K2032" i="23" s="1"/>
  <c r="L885" i="23"/>
  <c r="K885" i="23" s="1"/>
  <c r="L1058" i="23"/>
  <c r="L991" i="23"/>
  <c r="L1669" i="23"/>
  <c r="K1669" i="23" s="1"/>
  <c r="L2494" i="23"/>
  <c r="K2494" i="23" s="1"/>
  <c r="L301" i="23"/>
  <c r="L901" i="23"/>
  <c r="L1660" i="23"/>
  <c r="K1660" i="23" s="1"/>
  <c r="L2197" i="23"/>
  <c r="K2197" i="23" s="1"/>
  <c r="L2174" i="23"/>
  <c r="K2174" i="23" s="1"/>
  <c r="L2774" i="23"/>
  <c r="K2774" i="23" s="1"/>
  <c r="L3690" i="23"/>
  <c r="K3690" i="23" s="1"/>
  <c r="L4537" i="23"/>
  <c r="K4537" i="23" s="1"/>
  <c r="L4466" i="23"/>
  <c r="K4466" i="23" s="1"/>
  <c r="L4895" i="23"/>
  <c r="K4895" i="23" s="1"/>
  <c r="L796" i="23"/>
  <c r="L106" i="23"/>
  <c r="L992" i="23"/>
  <c r="L617" i="23"/>
  <c r="L937" i="23"/>
  <c r="L1385" i="23"/>
  <c r="L2404" i="23"/>
  <c r="K2404" i="23" s="1"/>
  <c r="L598" i="23"/>
  <c r="L982" i="23"/>
  <c r="L1302" i="23"/>
  <c r="L531" i="23"/>
  <c r="L787" i="23"/>
  <c r="L1171" i="23"/>
  <c r="L1804" i="23"/>
  <c r="K1804" i="23" s="1"/>
  <c r="L1657" i="23"/>
  <c r="K1657" i="23" s="1"/>
  <c r="L1977" i="23"/>
  <c r="K1977" i="23" s="1"/>
  <c r="L2297" i="23"/>
  <c r="K2297" i="23" s="1"/>
  <c r="L2781" i="23"/>
  <c r="K2781" i="23" s="1"/>
  <c r="L1582" i="23"/>
  <c r="K1582" i="23" s="1"/>
  <c r="L1902" i="23"/>
  <c r="K1902" i="23" s="1"/>
  <c r="L2394" i="23"/>
  <c r="K2394" i="23" s="1"/>
  <c r="L1631" i="23"/>
  <c r="K1631" i="23" s="1"/>
  <c r="L2075" i="23"/>
  <c r="K2075" i="23" s="1"/>
  <c r="L2917" i="23"/>
  <c r="K2917" i="23" s="1"/>
  <c r="L3206" i="23"/>
  <c r="K3206" i="23" s="1"/>
  <c r="L2700" i="23"/>
  <c r="K2700" i="23" s="1"/>
  <c r="L3215" i="23"/>
  <c r="K3215" i="23" s="1"/>
  <c r="L4345" i="23"/>
  <c r="K4345" i="23" s="1"/>
  <c r="L4248" i="23"/>
  <c r="K4248" i="23" s="1"/>
  <c r="L4674" i="23"/>
  <c r="K4674" i="23" s="1"/>
  <c r="L1472" i="23"/>
  <c r="K1472" i="23" s="1"/>
  <c r="L2110" i="23"/>
  <c r="K2110" i="23" s="1"/>
  <c r="L3496" i="23"/>
  <c r="K3496" i="23" s="1"/>
  <c r="L1776" i="23"/>
  <c r="K1776" i="23" s="1"/>
  <c r="L1125" i="23"/>
  <c r="L975" i="23"/>
  <c r="L1909" i="23"/>
  <c r="K1909" i="23" s="1"/>
  <c r="L2474" i="23"/>
  <c r="K2474" i="23" s="1"/>
  <c r="L2683" i="23"/>
  <c r="K2683" i="23" s="1"/>
  <c r="L185" i="23"/>
  <c r="L182" i="23"/>
  <c r="L2452" i="23"/>
  <c r="K2452" i="23" s="1"/>
  <c r="L3085" i="23"/>
  <c r="K3085" i="23" s="1"/>
  <c r="L2582" i="23"/>
  <c r="K2582" i="23" s="1"/>
  <c r="L3434" i="23"/>
  <c r="K3434" i="23" s="1"/>
  <c r="L1360" i="23"/>
  <c r="L882" i="23"/>
  <c r="K882" i="23" s="1"/>
  <c r="L1071" i="23"/>
  <c r="L1749" i="23"/>
  <c r="K1749" i="23" s="1"/>
  <c r="L1674" i="23"/>
  <c r="K1674" i="23" s="1"/>
  <c r="L2519" i="23"/>
  <c r="K2519" i="23" s="1"/>
  <c r="L3837" i="23"/>
  <c r="K3837" i="23" s="1"/>
  <c r="L3926" i="23"/>
  <c r="K3926" i="23" s="1"/>
  <c r="L4271" i="23"/>
  <c r="K4271" i="23" s="1"/>
  <c r="L4447" i="23"/>
  <c r="K4447" i="23" s="1"/>
  <c r="L4703" i="23"/>
  <c r="K4703" i="23" s="1"/>
  <c r="L604" i="23"/>
  <c r="L122" i="23"/>
  <c r="L1856" i="23"/>
  <c r="K1856" i="23" s="1"/>
  <c r="L825" i="23"/>
  <c r="L1145" i="23"/>
  <c r="K1145" i="23" s="1"/>
  <c r="L2468" i="23"/>
  <c r="K2468" i="23" s="1"/>
  <c r="L678" i="23"/>
  <c r="L998" i="23"/>
  <c r="L1382" i="23"/>
  <c r="L2136" i="23"/>
  <c r="K2136" i="23" s="1"/>
  <c r="L739" i="23"/>
  <c r="L1123" i="23"/>
  <c r="L1612" i="23"/>
  <c r="K1612" i="23" s="1"/>
  <c r="L2653" i="23"/>
  <c r="K2653" i="23" s="1"/>
  <c r="L1737" i="23"/>
  <c r="K1737" i="23" s="1"/>
  <c r="L2057" i="23"/>
  <c r="K2057" i="23" s="1"/>
  <c r="L2377" i="23"/>
  <c r="K2377" i="23" s="1"/>
  <c r="L2845" i="23"/>
  <c r="K2845" i="23" s="1"/>
  <c r="L1598" i="23"/>
  <c r="L2158" i="23"/>
  <c r="K2158" i="23" s="1"/>
  <c r="L2502" i="23"/>
  <c r="K2502" i="23" s="1"/>
  <c r="L1483" i="23"/>
  <c r="K1483" i="23" s="1"/>
  <c r="L2491" i="23"/>
  <c r="K2491" i="23" s="1"/>
  <c r="L2874" i="23"/>
  <c r="K2874" i="23" s="1"/>
  <c r="L2764" i="23"/>
  <c r="K2764" i="23" s="1"/>
  <c r="L3617" i="23"/>
  <c r="K3617" i="23" s="1"/>
  <c r="L3279" i="23"/>
  <c r="K3279" i="23" s="1"/>
  <c r="L4601" i="23"/>
  <c r="K4601" i="23" s="1"/>
  <c r="L4312" i="23"/>
  <c r="K4312" i="23" s="1"/>
  <c r="L4821" i="23"/>
  <c r="K4821" i="23" s="1"/>
  <c r="L245" i="23"/>
  <c r="L422" i="23"/>
  <c r="K422" i="23" s="1"/>
  <c r="L594" i="23"/>
  <c r="L527" i="23"/>
  <c r="K527" i="23" s="1"/>
  <c r="L1717" i="23"/>
  <c r="K1717" i="23" s="1"/>
  <c r="L1943" i="23"/>
  <c r="K1943" i="23" s="1"/>
  <c r="L3196" i="23"/>
  <c r="K3196" i="23" s="1"/>
  <c r="L429" i="23"/>
  <c r="K429" i="23" s="1"/>
  <c r="L1269" i="23"/>
  <c r="K1269" i="23" s="1"/>
  <c r="L1186" i="23"/>
  <c r="L1541" i="23"/>
  <c r="L2565" i="23"/>
  <c r="K2565" i="23" s="1"/>
  <c r="L2326" i="23"/>
  <c r="K2326" i="23" s="1"/>
  <c r="L3392" i="23"/>
  <c r="K3392" i="23" s="1"/>
  <c r="L6" i="23"/>
  <c r="L1285" i="23"/>
  <c r="L1202" i="23"/>
  <c r="K1202" i="23" s="1"/>
  <c r="L2069" i="23"/>
  <c r="K2069" i="23" s="1"/>
  <c r="L2346" i="23"/>
  <c r="K2346" i="23" s="1"/>
  <c r="L2674" i="23"/>
  <c r="K2674" i="23" s="1"/>
  <c r="L4093" i="23"/>
  <c r="K4093" i="23" s="1"/>
  <c r="L4246" i="23"/>
  <c r="K4246" i="23" s="1"/>
  <c r="L4168" i="23"/>
  <c r="K4168" i="23" s="1"/>
  <c r="L4850" i="23"/>
  <c r="K4850" i="23" s="1"/>
  <c r="L10" i="23"/>
  <c r="L394" i="23"/>
  <c r="L1120" i="23"/>
  <c r="L777" i="23"/>
  <c r="L1161" i="23"/>
  <c r="L1508" i="23"/>
  <c r="L2532" i="23"/>
  <c r="K2532" i="23" s="1"/>
  <c r="L822" i="23"/>
  <c r="L1142" i="23"/>
  <c r="K1142" i="23" s="1"/>
  <c r="L2200" i="23"/>
  <c r="K2200" i="23" s="1"/>
  <c r="L627" i="23"/>
  <c r="L1011" i="23"/>
  <c r="K1011" i="23" s="1"/>
  <c r="L1459" i="23"/>
  <c r="L2444" i="23"/>
  <c r="K2444" i="23" s="1"/>
  <c r="L1689" i="23"/>
  <c r="K1689" i="23" s="1"/>
  <c r="L2073" i="23"/>
  <c r="K2073" i="23" s="1"/>
  <c r="L2393" i="23"/>
  <c r="K2393" i="23" s="1"/>
  <c r="L1678" i="23"/>
  <c r="K1678" i="23" s="1"/>
  <c r="L2010" i="23"/>
  <c r="K2010" i="23" s="1"/>
  <c r="L2438" i="23"/>
  <c r="K2438" i="23" s="1"/>
  <c r="L1503" i="23"/>
  <c r="L2267" i="23"/>
  <c r="K2267" i="23" s="1"/>
  <c r="L3173" i="23"/>
  <c r="K3173" i="23" s="1"/>
  <c r="L3083" i="23"/>
  <c r="K3083" i="23" s="1"/>
  <c r="L3258" i="23"/>
  <c r="K3258" i="23" s="1"/>
  <c r="L3599" i="23"/>
  <c r="K3599" i="23" s="1"/>
  <c r="L4031" i="23"/>
  <c r="K4031" i="23" s="1"/>
  <c r="L4632" i="23"/>
  <c r="K4632" i="23" s="1"/>
  <c r="L4892" i="23"/>
  <c r="K4892" i="23" s="1"/>
  <c r="L46" i="23"/>
  <c r="K46" i="23" s="1"/>
  <c r="L752" i="23"/>
  <c r="L2809" i="23"/>
  <c r="K2809" i="23" s="1"/>
  <c r="L877" i="23"/>
  <c r="L1197" i="23"/>
  <c r="K1197" i="23" s="1"/>
  <c r="L538" i="23"/>
  <c r="L858" i="23"/>
  <c r="L1178" i="23"/>
  <c r="L2088" i="23"/>
  <c r="K2088" i="23" s="1"/>
  <c r="L663" i="23"/>
  <c r="L1175" i="23"/>
  <c r="L1820" i="23"/>
  <c r="K1820" i="23" s="1"/>
  <c r="L2429" i="23"/>
  <c r="K2429" i="23" s="1"/>
  <c r="L3053" i="23"/>
  <c r="K3053" i="23" s="1"/>
  <c r="L1714" i="23"/>
  <c r="K1714" i="23" s="1"/>
  <c r="L2314" i="23"/>
  <c r="K2314" i="23" s="1"/>
  <c r="L1551" i="23"/>
  <c r="L2471" i="23"/>
  <c r="K2471" i="23" s="1"/>
  <c r="L2982" i="23"/>
  <c r="K2982" i="23" s="1"/>
  <c r="L3268" i="23"/>
  <c r="K3268" i="23" s="1"/>
  <c r="L3658" i="23"/>
  <c r="K3658" i="23" s="1"/>
  <c r="L4086" i="23"/>
  <c r="K4086" i="23" s="1"/>
  <c r="L4008" i="23"/>
  <c r="K4008" i="23" s="1"/>
  <c r="L4773" i="23"/>
  <c r="K4773" i="23" s="1"/>
  <c r="L764" i="23"/>
  <c r="L162" i="23"/>
  <c r="L508" i="23"/>
  <c r="K508" i="23" s="1"/>
  <c r="L1474" i="23"/>
  <c r="K1474" i="23" s="1"/>
  <c r="L737" i="23"/>
  <c r="L1121" i="23"/>
  <c r="L1604" i="23"/>
  <c r="L2637" i="23"/>
  <c r="K2637" i="23" s="1"/>
  <c r="L718" i="23"/>
  <c r="L1038" i="23"/>
  <c r="L523" i="23"/>
  <c r="K523" i="23" s="1"/>
  <c r="L907" i="23"/>
  <c r="L1772" i="23"/>
  <c r="K1772" i="23" s="1"/>
  <c r="L2481" i="23"/>
  <c r="K2481" i="23" s="1"/>
  <c r="L3005" i="23"/>
  <c r="K3005" i="23" s="1"/>
  <c r="L1894" i="23"/>
  <c r="K1894" i="23" s="1"/>
  <c r="L2382" i="23"/>
  <c r="K2382" i="23" s="1"/>
  <c r="L2961" i="23"/>
  <c r="K2961" i="23" s="1"/>
  <c r="L1803" i="23"/>
  <c r="K1803" i="23" s="1"/>
  <c r="L2853" i="23"/>
  <c r="K2853" i="23" s="1"/>
  <c r="L2667" i="23"/>
  <c r="K2667" i="23" s="1"/>
  <c r="L3521" i="23"/>
  <c r="K3521" i="23" s="1"/>
  <c r="L3439" i="23"/>
  <c r="K3439" i="23" s="1"/>
  <c r="L4294" i="23"/>
  <c r="K4294" i="23" s="1"/>
  <c r="L4216" i="23"/>
  <c r="K4216" i="23" s="1"/>
  <c r="L4725" i="23"/>
  <c r="K4725" i="23" s="1"/>
  <c r="L4988" i="23"/>
  <c r="K4988" i="23" s="1"/>
  <c r="L3580" i="23"/>
  <c r="K3580" i="23" s="1"/>
  <c r="L2815" i="23"/>
  <c r="K2815" i="23" s="1"/>
  <c r="L126" i="23"/>
  <c r="K126" i="23" s="1"/>
  <c r="L816" i="23"/>
  <c r="L1470" i="23"/>
  <c r="K1470" i="23" s="1"/>
  <c r="L3017" i="23"/>
  <c r="K3017" i="23" s="1"/>
  <c r="L1640" i="23"/>
  <c r="K1640" i="23" s="1"/>
  <c r="L2713" i="23"/>
  <c r="K2713" i="23" s="1"/>
  <c r="L807" i="23"/>
  <c r="L1485" i="23"/>
  <c r="L1869" i="23"/>
  <c r="K1869" i="23" s="1"/>
  <c r="L2189" i="23"/>
  <c r="K2189" i="23" s="1"/>
  <c r="L2861" i="23"/>
  <c r="K2861" i="23" s="1"/>
  <c r="L1666" i="23"/>
  <c r="K1666" i="23" s="1"/>
  <c r="L1994" i="23"/>
  <c r="K1994" i="23" s="1"/>
  <c r="L2590" i="23"/>
  <c r="K2590" i="23" s="1"/>
  <c r="L1575" i="23"/>
  <c r="K1575" i="23" s="1"/>
  <c r="L2375" i="23"/>
  <c r="K2375" i="23" s="1"/>
  <c r="L3500" i="23"/>
  <c r="K3500" i="23" s="1"/>
  <c r="L3036" i="23"/>
  <c r="K3036" i="23" s="1"/>
  <c r="L3295" i="23"/>
  <c r="K3295" i="23" s="1"/>
  <c r="L4150" i="23"/>
  <c r="K4150" i="23" s="1"/>
  <c r="L3816" i="23"/>
  <c r="K3816" i="23" s="1"/>
  <c r="L4328" i="23"/>
  <c r="K4328" i="23" s="1"/>
  <c r="L1340" i="23"/>
  <c r="L114" i="23"/>
  <c r="L768" i="23"/>
  <c r="L1668" i="23"/>
  <c r="K1668" i="23" s="1"/>
  <c r="L798" i="23"/>
  <c r="L667" i="23"/>
  <c r="L1115" i="23"/>
  <c r="L1580" i="23"/>
  <c r="K1580" i="23" s="1"/>
  <c r="L2604" i="23"/>
  <c r="K2604" i="23" s="1"/>
  <c r="L1729" i="23"/>
  <c r="K1729" i="23" s="1"/>
  <c r="L2049" i="23"/>
  <c r="K2049" i="23" s="1"/>
  <c r="L2369" i="23"/>
  <c r="K2369" i="23" s="1"/>
  <c r="L2062" i="23"/>
  <c r="K2062" i="23" s="1"/>
  <c r="L2574" i="23"/>
  <c r="K2574" i="23" s="1"/>
  <c r="L1559" i="23"/>
  <c r="L2475" i="23"/>
  <c r="K2475" i="23" s="1"/>
  <c r="L2986" i="23"/>
  <c r="K2986" i="23" s="1"/>
  <c r="L2732" i="23"/>
  <c r="K2732" i="23" s="1"/>
  <c r="L4185" i="23"/>
  <c r="K4185" i="23" s="1"/>
  <c r="L3503" i="23"/>
  <c r="K3503" i="23" s="1"/>
  <c r="L4024" i="23"/>
  <c r="K4024" i="23" s="1"/>
  <c r="L3002" i="23"/>
  <c r="K3002" i="23" s="1"/>
  <c r="L2687" i="23"/>
  <c r="K2687" i="23" s="1"/>
  <c r="L270" i="23"/>
  <c r="K270" i="23" s="1"/>
  <c r="L2176" i="23"/>
  <c r="K2176" i="23" s="1"/>
  <c r="L909" i="23"/>
  <c r="L1357" i="23"/>
  <c r="L2036" i="23"/>
  <c r="K2036" i="23" s="1"/>
  <c r="L1466" i="23"/>
  <c r="L503" i="23"/>
  <c r="K503" i="23" s="1"/>
  <c r="L951" i="23"/>
  <c r="K951" i="23" s="1"/>
  <c r="L1399" i="23"/>
  <c r="K1399" i="23" s="1"/>
  <c r="L2204" i="23"/>
  <c r="K2204" i="23" s="1"/>
  <c r="L1693" i="23"/>
  <c r="K1693" i="23" s="1"/>
  <c r="L2077" i="23"/>
  <c r="K2077" i="23" s="1"/>
  <c r="L2397" i="23"/>
  <c r="K2397" i="23" s="1"/>
  <c r="L1490" i="23"/>
  <c r="L1810" i="23"/>
  <c r="K1810" i="23" s="1"/>
  <c r="L2442" i="23"/>
  <c r="K2442" i="23" s="1"/>
  <c r="L1595" i="23"/>
  <c r="L2279" i="23"/>
  <c r="K2279" i="23" s="1"/>
  <c r="L3845" i="23"/>
  <c r="K3845" i="23" s="1"/>
  <c r="L3941" i="23"/>
  <c r="K3941" i="23" s="1"/>
  <c r="L4305" i="23"/>
  <c r="K4305" i="23" s="1"/>
  <c r="L4136" i="23"/>
  <c r="K4136" i="23" s="1"/>
  <c r="L4392" i="23"/>
  <c r="K4392" i="23" s="1"/>
  <c r="L4991" i="23"/>
  <c r="K4991" i="23" s="1"/>
  <c r="L1148" i="23"/>
  <c r="K1148" i="23" s="1"/>
  <c r="L1984" i="23"/>
  <c r="K1984" i="23" s="1"/>
  <c r="L833" i="23"/>
  <c r="L1153" i="23"/>
  <c r="K1153" i="23" s="1"/>
  <c r="L3081" i="23"/>
  <c r="K3081" i="23" s="1"/>
  <c r="L2777" i="23"/>
  <c r="K2777" i="23" s="1"/>
  <c r="L939" i="23"/>
  <c r="L1387" i="23"/>
  <c r="K1387" i="23" s="1"/>
  <c r="L2412" i="23"/>
  <c r="K2412" i="23" s="1"/>
  <c r="L1681" i="23"/>
  <c r="K1681" i="23" s="1"/>
  <c r="L2001" i="23"/>
  <c r="K2001" i="23" s="1"/>
  <c r="L2321" i="23"/>
  <c r="K2321" i="23" s="1"/>
  <c r="L1542" i="23"/>
  <c r="L1862" i="23"/>
  <c r="K1862" i="23" s="1"/>
  <c r="L2342" i="23"/>
  <c r="K2342" i="23" s="1"/>
  <c r="L3121" i="23"/>
  <c r="K3121" i="23" s="1"/>
  <c r="L2251" i="23"/>
  <c r="K2251" i="23" s="1"/>
  <c r="L2890" i="23"/>
  <c r="K2890" i="23" s="1"/>
  <c r="L2796" i="23"/>
  <c r="K2796" i="23" s="1"/>
  <c r="L3226" i="23"/>
  <c r="K3226" i="23" s="1"/>
  <c r="L4166" i="23"/>
  <c r="K4166" i="23" s="1"/>
  <c r="L3832" i="23"/>
  <c r="K3832" i="23" s="1"/>
  <c r="L4344" i="23"/>
  <c r="K4344" i="23" s="1"/>
  <c r="L4687" i="23"/>
  <c r="K4687" i="23" s="1"/>
  <c r="L3082" i="23"/>
  <c r="K3082" i="23" s="1"/>
  <c r="L3708" i="23"/>
  <c r="K3708" i="23" s="1"/>
  <c r="L94" i="23"/>
  <c r="K94" i="23" s="1"/>
  <c r="L944" i="23"/>
  <c r="L669" i="23"/>
  <c r="L989" i="23"/>
  <c r="L1373" i="23"/>
  <c r="L2100" i="23"/>
  <c r="K2100" i="23" s="1"/>
  <c r="L586" i="23"/>
  <c r="L906" i="23"/>
  <c r="L1226" i="23"/>
  <c r="L3256" i="23"/>
  <c r="K3256" i="23" s="1"/>
  <c r="L903" i="23"/>
  <c r="L1351" i="23"/>
  <c r="L2268" i="23"/>
  <c r="K2268" i="23" s="1"/>
  <c r="L3336" i="23"/>
  <c r="K3336" i="23" s="1"/>
  <c r="L1762" i="23"/>
  <c r="K1762" i="23" s="1"/>
  <c r="L2294" i="23"/>
  <c r="K2294" i="23" s="1"/>
  <c r="L2649" i="23"/>
  <c r="K2649" i="23" s="1"/>
  <c r="L1927" i="23"/>
  <c r="K1927" i="23" s="1"/>
  <c r="L2822" i="23"/>
  <c r="K2822" i="23" s="1"/>
  <c r="L3163" i="23"/>
  <c r="K3163" i="23" s="1"/>
  <c r="L3249" i="23"/>
  <c r="K3249" i="23" s="1"/>
  <c r="L3423" i="23"/>
  <c r="K3423" i="23" s="1"/>
  <c r="L3855" i="23"/>
  <c r="K3855" i="23" s="1"/>
  <c r="L4370" i="23"/>
  <c r="K4370" i="23" s="1"/>
  <c r="L4882" i="23"/>
  <c r="K4882" i="23" s="1"/>
  <c r="L505" i="23"/>
  <c r="K505" i="23" s="1"/>
  <c r="L1468" i="23"/>
  <c r="L210" i="23"/>
  <c r="K210" i="23" s="1"/>
  <c r="L896" i="23"/>
  <c r="K896" i="23" s="1"/>
  <c r="L657" i="23"/>
  <c r="K657" i="23" s="1"/>
  <c r="L977" i="23"/>
  <c r="L2564" i="23"/>
  <c r="K2564" i="23" s="1"/>
  <c r="L702" i="23"/>
  <c r="L1022" i="23"/>
  <c r="K1022" i="23" s="1"/>
  <c r="L1471" i="23"/>
  <c r="K1471" i="23" s="1"/>
  <c r="L507" i="23"/>
  <c r="K507" i="23" s="1"/>
  <c r="L1275" i="23"/>
  <c r="L2529" i="23"/>
  <c r="K2529" i="23" s="1"/>
  <c r="L3197" i="23"/>
  <c r="K3197" i="23" s="1"/>
  <c r="L1750" i="23"/>
  <c r="K1750" i="23" s="1"/>
  <c r="L2446" i="23"/>
  <c r="K2446" i="23" s="1"/>
  <c r="L1687" i="23"/>
  <c r="K1687" i="23" s="1"/>
  <c r="L3304" i="23"/>
  <c r="K3304" i="23" s="1"/>
  <c r="L4101" i="23"/>
  <c r="K4101" i="23" s="1"/>
  <c r="L2860" i="23"/>
  <c r="K2860" i="23" s="1"/>
  <c r="L3713" i="23"/>
  <c r="K3713" i="23" s="1"/>
  <c r="L3631" i="23"/>
  <c r="K3631" i="23" s="1"/>
  <c r="L4063" i="23"/>
  <c r="K4063" i="23" s="1"/>
  <c r="L4578" i="23"/>
  <c r="K4578" i="23" s="1"/>
  <c r="L4751" i="23"/>
  <c r="K4751" i="23" s="1"/>
  <c r="L3162" i="23"/>
  <c r="K3162" i="23" s="1"/>
  <c r="L3039" i="23"/>
  <c r="K3039" i="23" s="1"/>
  <c r="L3536" i="23"/>
  <c r="K3536" i="23" s="1"/>
  <c r="L3040" i="23"/>
  <c r="K3040" i="23" s="1"/>
  <c r="L4005" i="23"/>
  <c r="K4005" i="23" s="1"/>
  <c r="L3573" i="23"/>
  <c r="K3573" i="23" s="1"/>
  <c r="L3278" i="23"/>
  <c r="K3278" i="23" s="1"/>
  <c r="L3662" i="23"/>
  <c r="K3662" i="23" s="1"/>
  <c r="L3427" i="23"/>
  <c r="K3427" i="23" s="1"/>
  <c r="L3809" i="23"/>
  <c r="K3809" i="23" s="1"/>
  <c r="L3834" i="23"/>
  <c r="K3834" i="23" s="1"/>
  <c r="L4154" i="23"/>
  <c r="K4154" i="23" s="1"/>
  <c r="L3859" i="23"/>
  <c r="K3859" i="23" s="1"/>
  <c r="L4243" i="23"/>
  <c r="K4243" i="23" s="1"/>
  <c r="L3820" i="23"/>
  <c r="K3820" i="23" s="1"/>
  <c r="L4140" i="23"/>
  <c r="K4140" i="23" s="1"/>
  <c r="L4502" i="23"/>
  <c r="K4502" i="23" s="1"/>
  <c r="L4483" i="23"/>
  <c r="K4483" i="23" s="1"/>
  <c r="L4460" i="23"/>
  <c r="K4460" i="23" s="1"/>
  <c r="L4905" i="23"/>
  <c r="K4905" i="23" s="1"/>
  <c r="L4675" i="23"/>
  <c r="K4675" i="23" s="1"/>
  <c r="L4995" i="23"/>
  <c r="K4995" i="23" s="1"/>
  <c r="L1871" i="23"/>
  <c r="K1871" i="23" s="1"/>
  <c r="L2383" i="23"/>
  <c r="K2383" i="23" s="1"/>
  <c r="L3125" i="23"/>
  <c r="K3125" i="23" s="1"/>
  <c r="L2958" i="23"/>
  <c r="K2958" i="23" s="1"/>
  <c r="L3468" i="23"/>
  <c r="K3468" i="23" s="1"/>
  <c r="L2771" i="23"/>
  <c r="K2771" i="23" s="1"/>
  <c r="L3155" i="23"/>
  <c r="K3155" i="23" s="1"/>
  <c r="L2644" i="23"/>
  <c r="K2644" i="23" s="1"/>
  <c r="L3028" i="23"/>
  <c r="K3028" i="23" s="1"/>
  <c r="L3305" i="23"/>
  <c r="K3305" i="23" s="1"/>
  <c r="L3689" i="23"/>
  <c r="K3689" i="23" s="1"/>
  <c r="L3266" i="23"/>
  <c r="K3266" i="23" s="1"/>
  <c r="L3650" i="23"/>
  <c r="K3650" i="23" s="1"/>
  <c r="L3223" i="23"/>
  <c r="K3223" i="23" s="1"/>
  <c r="L3607" i="23"/>
  <c r="K3607" i="23" s="1"/>
  <c r="L4273" i="23"/>
  <c r="K4273" i="23" s="1"/>
  <c r="L4014" i="23"/>
  <c r="K4014" i="23" s="1"/>
  <c r="L4377" i="23"/>
  <c r="K4377" i="23" s="1"/>
  <c r="L3975" i="23"/>
  <c r="K3975" i="23" s="1"/>
  <c r="L4477" i="23"/>
  <c r="K4477" i="23" s="1"/>
  <c r="L4064" i="23"/>
  <c r="K4064" i="23" s="1"/>
  <c r="L4577" i="23"/>
  <c r="K4577" i="23" s="1"/>
  <c r="L4343" i="23"/>
  <c r="K4343" i="23" s="1"/>
  <c r="L4384" i="23"/>
  <c r="K4384" i="23" s="1"/>
  <c r="L4701" i="23"/>
  <c r="K4701" i="23" s="1"/>
  <c r="L4682" i="23"/>
  <c r="K4682" i="23" s="1"/>
  <c r="L4663" i="23"/>
  <c r="K4663" i="23" s="1"/>
  <c r="L4708" i="23"/>
  <c r="K4708" i="23" s="1"/>
  <c r="L1986" i="23"/>
  <c r="K1986" i="23" s="1"/>
  <c r="L2370" i="23"/>
  <c r="K2370" i="23" s="1"/>
  <c r="L2633" i="23"/>
  <c r="K2633" i="23" s="1"/>
  <c r="L1843" i="23"/>
  <c r="K1843" i="23" s="1"/>
  <c r="L2483" i="23"/>
  <c r="K2483" i="23" s="1"/>
  <c r="L3432" i="23"/>
  <c r="K3432" i="23" s="1"/>
  <c r="L2994" i="23"/>
  <c r="K2994" i="23" s="1"/>
  <c r="L4293" i="23"/>
  <c r="K4293" i="23" s="1"/>
  <c r="L2935" i="23"/>
  <c r="K2935" i="23" s="1"/>
  <c r="L4533" i="23"/>
  <c r="K4533" i="23" s="1"/>
  <c r="L2936" i="23"/>
  <c r="K2936" i="23" s="1"/>
  <c r="L2927" i="23"/>
  <c r="K2927" i="23" s="1"/>
  <c r="L3600" i="23"/>
  <c r="K3600" i="23" s="1"/>
  <c r="L2864" i="23"/>
  <c r="K2864" i="23" s="1"/>
  <c r="L3184" i="23"/>
  <c r="K3184" i="23" s="1"/>
  <c r="L3397" i="23"/>
  <c r="K3397" i="23" s="1"/>
  <c r="L3717" i="23"/>
  <c r="K3717" i="23" s="1"/>
  <c r="L3422" i="23"/>
  <c r="K3422" i="23" s="1"/>
  <c r="L3678" i="23"/>
  <c r="K3678" i="23" s="1"/>
  <c r="L3315" i="23"/>
  <c r="K3315" i="23" s="1"/>
  <c r="L3635" i="23"/>
  <c r="K3635" i="23" s="1"/>
  <c r="L3786" i="23"/>
  <c r="K3786" i="23" s="1"/>
  <c r="L4042" i="23"/>
  <c r="K4042" i="23" s="1"/>
  <c r="L4489" i="23"/>
  <c r="K4489" i="23" s="1"/>
  <c r="L4003" i="23"/>
  <c r="K4003" i="23" s="1"/>
  <c r="L4589" i="23"/>
  <c r="K4589" i="23" s="1"/>
  <c r="L4028" i="23"/>
  <c r="K4028" i="23" s="1"/>
  <c r="L4433" i="23"/>
  <c r="K4433" i="23" s="1"/>
  <c r="L4582" i="23"/>
  <c r="K4582" i="23" s="1"/>
  <c r="L4563" i="23"/>
  <c r="K4563" i="23" s="1"/>
  <c r="L4540" i="23"/>
  <c r="K4540" i="23" s="1"/>
  <c r="L4793" i="23"/>
  <c r="K4793" i="23" s="1"/>
  <c r="L4902" i="23"/>
  <c r="K4902" i="23" s="1"/>
  <c r="L4672" i="23"/>
  <c r="K4672" i="23" s="1"/>
  <c r="L2079" i="23"/>
  <c r="K2079" i="23" s="1"/>
  <c r="L2591" i="23"/>
  <c r="K2591" i="23" s="1"/>
  <c r="L2846" i="23"/>
  <c r="K2846" i="23" s="1"/>
  <c r="L3276" i="23"/>
  <c r="K3276" i="23" s="1"/>
  <c r="L2851" i="23"/>
  <c r="K2851" i="23" s="1"/>
  <c r="L3296" i="23"/>
  <c r="K3296" i="23" s="1"/>
  <c r="L2788" i="23"/>
  <c r="K2788" i="23" s="1"/>
  <c r="L3108" i="23"/>
  <c r="K3108" i="23" s="1"/>
  <c r="L4069" i="23"/>
  <c r="K4069" i="23" s="1"/>
  <c r="L3513" i="23"/>
  <c r="K3513" i="23" s="1"/>
  <c r="L3282" i="23"/>
  <c r="K3282" i="23" s="1"/>
  <c r="L3666" i="23"/>
  <c r="K3666" i="23" s="1"/>
  <c r="L3431" i="23"/>
  <c r="K3431" i="23" s="1"/>
  <c r="L4081" i="23"/>
  <c r="K4081" i="23" s="1"/>
  <c r="L3966" i="23"/>
  <c r="K3966" i="23" s="1"/>
  <c r="L3799" i="23"/>
  <c r="K3799" i="23" s="1"/>
  <c r="L4119" i="23"/>
  <c r="K4119" i="23" s="1"/>
  <c r="L3824" i="23"/>
  <c r="K3824" i="23" s="1"/>
  <c r="L4144" i="23"/>
  <c r="K4144" i="23" s="1"/>
  <c r="L4378" i="23"/>
  <c r="K4378" i="23" s="1"/>
  <c r="L4487" i="23"/>
  <c r="K4487" i="23" s="1"/>
  <c r="L4528" i="23"/>
  <c r="K4528" i="23" s="1"/>
  <c r="L4845" i="23"/>
  <c r="K4845" i="23" s="1"/>
  <c r="L4890" i="23"/>
  <c r="K4890" i="23" s="1"/>
  <c r="L4807" i="23"/>
  <c r="K4807" i="23" s="1"/>
  <c r="L4916" i="23"/>
  <c r="K4916" i="23" s="1"/>
  <c r="L2130" i="23"/>
  <c r="K2130" i="23" s="1"/>
  <c r="L2386" i="23"/>
  <c r="K2386" i="23" s="1"/>
  <c r="L3137" i="23"/>
  <c r="K3137" i="23" s="1"/>
  <c r="L1987" i="23"/>
  <c r="K1987" i="23" s="1"/>
  <c r="L2563" i="23"/>
  <c r="K2563" i="23" s="1"/>
  <c r="L3688" i="23"/>
  <c r="K3688" i="23" s="1"/>
  <c r="L3074" i="23"/>
  <c r="K3074" i="23" s="1"/>
  <c r="L2631" i="23"/>
  <c r="K2631" i="23" s="1"/>
  <c r="L2951" i="23"/>
  <c r="K2951" i="23" s="1"/>
  <c r="L3440" i="23"/>
  <c r="K3440" i="23" s="1"/>
  <c r="L2952" i="23"/>
  <c r="K2952" i="23" s="1"/>
  <c r="L3135" i="23"/>
  <c r="K3135" i="23" s="1"/>
  <c r="L2752" i="23"/>
  <c r="K2752" i="23" s="1"/>
  <c r="L3072" i="23"/>
  <c r="K3072" i="23" s="1"/>
  <c r="L3668" i="23"/>
  <c r="K3668" i="23" s="1"/>
  <c r="L3541" i="23"/>
  <c r="K3541" i="23" s="1"/>
  <c r="L4009" i="23"/>
  <c r="K4009" i="23" s="1"/>
  <c r="L3374" i="23"/>
  <c r="K3374" i="23" s="1"/>
  <c r="L3853" i="23"/>
  <c r="K3853" i="23" s="1"/>
  <c r="L3331" i="23"/>
  <c r="K3331" i="23" s="1"/>
  <c r="L3715" i="23"/>
  <c r="K3715" i="23" s="1"/>
  <c r="L3802" i="23"/>
  <c r="K3802" i="23" s="1"/>
  <c r="L4122" i="23"/>
  <c r="K4122" i="23" s="1"/>
  <c r="L3763" i="23"/>
  <c r="K3763" i="23" s="1"/>
  <c r="L4083" i="23"/>
  <c r="K4083" i="23" s="1"/>
  <c r="L4653" i="23"/>
  <c r="K4653" i="23" s="1"/>
  <c r="L4108" i="23"/>
  <c r="K4108" i="23" s="1"/>
  <c r="L4470" i="23"/>
  <c r="K4470" i="23" s="1"/>
  <c r="L4579" i="23"/>
  <c r="K4579" i="23" s="1"/>
  <c r="L4492" i="23"/>
  <c r="K4492" i="23" s="1"/>
  <c r="L4873" i="23"/>
  <c r="K4873" i="23" s="1"/>
  <c r="L4854" i="23"/>
  <c r="K4854" i="23" s="1"/>
  <c r="L4752" i="23"/>
  <c r="K4752" i="23" s="1"/>
  <c r="L1839" i="23"/>
  <c r="K1839" i="23" s="1"/>
  <c r="L2607" i="23"/>
  <c r="K2607" i="23" s="1"/>
  <c r="L2862" i="23"/>
  <c r="K2862" i="23" s="1"/>
  <c r="L3118" i="23"/>
  <c r="K3118" i="23" s="1"/>
  <c r="L2675" i="23"/>
  <c r="K2675" i="23" s="1"/>
  <c r="L2995" i="23"/>
  <c r="K2995" i="23" s="1"/>
  <c r="L3616" i="23"/>
  <c r="K3616" i="23" s="1"/>
  <c r="L2932" i="23"/>
  <c r="K2932" i="23" s="1"/>
  <c r="L4341" i="23"/>
  <c r="K4341" i="23" s="1"/>
  <c r="L3465" i="23"/>
  <c r="K3465" i="23" s="1"/>
  <c r="L4217" i="23"/>
  <c r="K4217" i="23" s="1"/>
  <c r="L3554" i="23"/>
  <c r="K3554" i="23" s="1"/>
  <c r="L4061" i="23"/>
  <c r="K4061" i="23" s="1"/>
  <c r="L3447" i="23"/>
  <c r="K3447" i="23" s="1"/>
  <c r="L3889" i="23"/>
  <c r="K3889" i="23" s="1"/>
  <c r="L3854" i="23"/>
  <c r="K3854" i="23" s="1"/>
  <c r="L4174" i="23"/>
  <c r="K4174" i="23" s="1"/>
  <c r="L3815" i="23"/>
  <c r="K3815" i="23" s="1"/>
  <c r="L4135" i="23"/>
  <c r="K4135" i="23" s="1"/>
  <c r="L3904" i="23"/>
  <c r="K3904" i="23" s="1"/>
  <c r="L4224" i="23"/>
  <c r="K4224" i="23" s="1"/>
  <c r="L4650" i="23"/>
  <c r="K4650" i="23" s="1"/>
  <c r="L4631" i="23"/>
  <c r="K4631" i="23" s="1"/>
  <c r="L4669" i="23"/>
  <c r="K4669" i="23" s="1"/>
  <c r="L4989" i="23"/>
  <c r="K4989" i="23" s="1"/>
  <c r="L4970" i="23"/>
  <c r="K4970" i="23" s="1"/>
  <c r="L4951" i="23"/>
  <c r="K4951" i="23" s="1"/>
  <c r="L4868" i="23"/>
  <c r="K4868" i="23" s="1"/>
  <c r="L2466" i="23"/>
  <c r="K2466" i="23" s="1"/>
  <c r="L1939" i="23"/>
  <c r="K1939" i="23" s="1"/>
  <c r="L2515" i="23"/>
  <c r="K2515" i="23" s="1"/>
  <c r="L2770" i="23"/>
  <c r="K2770" i="23" s="1"/>
  <c r="L3090" i="23"/>
  <c r="K3090" i="23" s="1"/>
  <c r="L3781" i="23"/>
  <c r="K3781" i="23" s="1"/>
  <c r="L2967" i="23"/>
  <c r="K2967" i="23" s="1"/>
  <c r="L3861" i="23"/>
  <c r="K3861" i="23" s="1"/>
  <c r="L2904" i="23"/>
  <c r="K2904" i="23" s="1"/>
  <c r="L2959" i="23"/>
  <c r="K2959" i="23" s="1"/>
  <c r="L3472" i="23"/>
  <c r="K3472" i="23" s="1"/>
  <c r="L2896" i="23"/>
  <c r="K2896" i="23" s="1"/>
  <c r="L3220" i="23"/>
  <c r="K3220" i="23" s="1"/>
  <c r="L3365" i="23"/>
  <c r="K3365" i="23" s="1"/>
  <c r="L3685" i="23"/>
  <c r="K3685" i="23" s="1"/>
  <c r="L3326" i="23"/>
  <c r="K3326" i="23" s="1"/>
  <c r="L3646" i="23"/>
  <c r="K3646" i="23" s="1"/>
  <c r="L3347" i="23"/>
  <c r="K3347" i="23" s="1"/>
  <c r="L3667" i="23"/>
  <c r="K3667" i="23" s="1"/>
  <c r="L4010" i="23"/>
  <c r="K4010" i="23" s="1"/>
  <c r="L4617" i="23"/>
  <c r="K4617" i="23" s="1"/>
  <c r="L4035" i="23"/>
  <c r="K4035" i="23" s="1"/>
  <c r="L3740" i="23"/>
  <c r="K3740" i="23" s="1"/>
  <c r="L4060" i="23"/>
  <c r="K4060" i="23" s="1"/>
  <c r="L4561" i="23"/>
  <c r="K4561" i="23" s="1"/>
  <c r="L4614" i="23"/>
  <c r="K4614" i="23" s="1"/>
  <c r="L4595" i="23"/>
  <c r="K4595" i="23" s="1"/>
  <c r="L4572" i="23"/>
  <c r="K4572" i="23" s="1"/>
  <c r="L4825" i="23"/>
  <c r="K4825" i="23" s="1"/>
  <c r="L4787" i="23"/>
  <c r="K4787" i="23" s="1"/>
  <c r="L4768" i="23"/>
  <c r="K4768" i="23" s="1"/>
  <c r="L2047" i="23"/>
  <c r="K2047" i="23" s="1"/>
  <c r="L2495" i="23"/>
  <c r="K2495" i="23" s="1"/>
  <c r="L2750" i="23"/>
  <c r="K2750" i="23" s="1"/>
  <c r="L3134" i="23"/>
  <c r="K3134" i="23" s="1"/>
  <c r="L2755" i="23"/>
  <c r="K2755" i="23" s="1"/>
  <c r="L3075" i="23"/>
  <c r="K3075" i="23" s="1"/>
  <c r="L2756" i="23"/>
  <c r="K2756" i="23" s="1"/>
  <c r="L3204" i="23"/>
  <c r="K3204" i="23" s="1"/>
  <c r="L3289" i="23"/>
  <c r="K3289" i="23" s="1"/>
  <c r="L3673" i="23"/>
  <c r="K3673" i="23" s="1"/>
  <c r="L3250" i="23"/>
  <c r="K3250" i="23" s="1"/>
  <c r="L3570" i="23"/>
  <c r="K3570" i="23" s="1"/>
  <c r="L3271" i="23"/>
  <c r="K3271" i="23" s="1"/>
  <c r="L3655" i="23"/>
  <c r="K3655" i="23" s="1"/>
  <c r="L3742" i="23"/>
  <c r="K3742" i="23" s="1"/>
  <c r="L4126" i="23"/>
  <c r="K4126" i="23" s="1"/>
  <c r="L4569" i="23"/>
  <c r="K4569" i="23" s="1"/>
  <c r="L4023" i="23"/>
  <c r="K4023" i="23" s="1"/>
  <c r="L4413" i="23"/>
  <c r="K4413" i="23" s="1"/>
  <c r="L3920" i="23"/>
  <c r="K3920" i="23" s="1"/>
  <c r="L4304" i="23"/>
  <c r="K4304" i="23" s="1"/>
  <c r="L4474" i="23"/>
  <c r="K4474" i="23" s="1"/>
  <c r="L4455" i="23"/>
  <c r="K4455" i="23" s="1"/>
  <c r="L4368" i="23"/>
  <c r="K4368" i="23" s="1"/>
  <c r="L4749" i="23"/>
  <c r="K4749" i="23" s="1"/>
  <c r="L4730" i="23"/>
  <c r="K4730" i="23" s="1"/>
  <c r="L4839" i="23"/>
  <c r="K4839" i="23" s="1"/>
  <c r="L4820" i="23"/>
  <c r="K4820" i="23" s="1"/>
  <c r="L2162" i="23"/>
  <c r="K2162" i="23" s="1"/>
  <c r="L2546" i="23"/>
  <c r="K2546" i="23" s="1"/>
  <c r="L1571" i="23"/>
  <c r="K1571" i="23" s="1"/>
  <c r="L2147" i="23"/>
  <c r="K2147" i="23" s="1"/>
  <c r="L2698" i="23"/>
  <c r="K2698" i="23" s="1"/>
  <c r="L2850" i="23"/>
  <c r="K2850" i="23" s="1"/>
  <c r="L3170" i="23"/>
  <c r="K3170" i="23" s="1"/>
  <c r="L2663" i="23"/>
  <c r="K2663" i="23" s="1"/>
  <c r="L3047" i="23"/>
  <c r="K3047" i="23" s="1"/>
  <c r="L3568" i="23"/>
  <c r="K3568" i="23" s="1"/>
  <c r="L3048" i="23"/>
  <c r="K3048" i="23" s="1"/>
  <c r="L3636" i="23"/>
  <c r="K3636" i="23" s="1"/>
  <c r="L3469" i="23"/>
  <c r="K3469" i="23" s="1"/>
  <c r="L3977" i="23"/>
  <c r="K3977" i="23" s="1"/>
  <c r="L3430" i="23"/>
  <c r="K3430" i="23" s="1"/>
  <c r="L3686" i="23"/>
  <c r="K3686" i="23" s="1"/>
  <c r="L3259" i="23"/>
  <c r="K3259" i="23" s="1"/>
  <c r="L3643" i="23"/>
  <c r="K3643" i="23" s="1"/>
  <c r="L3922" i="23"/>
  <c r="K3922" i="23" s="1"/>
  <c r="L4306" i="23"/>
  <c r="K4306" i="23" s="1"/>
  <c r="L4139" i="23"/>
  <c r="K4139" i="23" s="1"/>
  <c r="L3780" i="23"/>
  <c r="K3780" i="23" s="1"/>
  <c r="L4036" i="23"/>
  <c r="K4036" i="23" s="1"/>
  <c r="L4334" i="23"/>
  <c r="K4334" i="23" s="1"/>
  <c r="L4654" i="23"/>
  <c r="K4654" i="23" s="1"/>
  <c r="L4635" i="23"/>
  <c r="K4635" i="23" s="1"/>
  <c r="L4737" i="23"/>
  <c r="K4737" i="23" s="1"/>
  <c r="L4699" i="23"/>
  <c r="K4699" i="23" s="1"/>
  <c r="L4808" i="23"/>
  <c r="K4808" i="23" s="1"/>
  <c r="L3700" i="23"/>
  <c r="K3700" i="23" s="1"/>
  <c r="L3549" i="23"/>
  <c r="K3549" i="23" s="1"/>
  <c r="L4297" i="23"/>
  <c r="K4297" i="23" s="1"/>
  <c r="L3510" i="23"/>
  <c r="K3510" i="23" s="1"/>
  <c r="L3339" i="23"/>
  <c r="K3339" i="23" s="1"/>
  <c r="L3723" i="23"/>
  <c r="K3723" i="23" s="1"/>
  <c r="L3810" i="23"/>
  <c r="K3810" i="23" s="1"/>
  <c r="L4130" i="23"/>
  <c r="K4130" i="23" s="1"/>
  <c r="L3899" i="23"/>
  <c r="K3899" i="23" s="1"/>
  <c r="L4219" i="23"/>
  <c r="K4219" i="23" s="1"/>
  <c r="L3796" i="23"/>
  <c r="K3796" i="23" s="1"/>
  <c r="L4180" i="23"/>
  <c r="K4180" i="23" s="1"/>
  <c r="L4414" i="23"/>
  <c r="K4414" i="23" s="1"/>
  <c r="L4395" i="23"/>
  <c r="K4395" i="23" s="1"/>
  <c r="L4372" i="23"/>
  <c r="K4372" i="23" s="1"/>
  <c r="L4689" i="23"/>
  <c r="K4689" i="23" s="1"/>
  <c r="L4798" i="23"/>
  <c r="K4798" i="23" s="1"/>
  <c r="L4696" i="23"/>
  <c r="K4696" i="23" s="1"/>
  <c r="L3245" i="23"/>
  <c r="K3245" i="23" s="1"/>
  <c r="L3565" i="23"/>
  <c r="K3565" i="23" s="1"/>
  <c r="L4485" i="23"/>
  <c r="K4485" i="23" s="1"/>
  <c r="L3590" i="23"/>
  <c r="K3590" i="23" s="1"/>
  <c r="L3227" i="23"/>
  <c r="K3227" i="23" s="1"/>
  <c r="L3547" i="23"/>
  <c r="K3547" i="23" s="1"/>
  <c r="L3762" i="23"/>
  <c r="K3762" i="23" s="1"/>
  <c r="L4082" i="23"/>
  <c r="K4082" i="23" s="1"/>
  <c r="L4649" i="23"/>
  <c r="K4649" i="23" s="1"/>
  <c r="L4107" i="23"/>
  <c r="K4107" i="23" s="1"/>
  <c r="L3748" i="23"/>
  <c r="K3748" i="23" s="1"/>
  <c r="L4068" i="23"/>
  <c r="K4068" i="23" s="1"/>
  <c r="L4366" i="23"/>
  <c r="K4366" i="23" s="1"/>
  <c r="L4347" i="23"/>
  <c r="K4347" i="23" s="1"/>
  <c r="L4324" i="23"/>
  <c r="K4324" i="23" s="1"/>
  <c r="L4705" i="23"/>
  <c r="K4705" i="23" s="1"/>
  <c r="L4814" i="23"/>
  <c r="K4814" i="23" s="1"/>
  <c r="L4859" i="23"/>
  <c r="K4859" i="23" s="1"/>
  <c r="L4776" i="23"/>
  <c r="K4776" i="23" s="1"/>
  <c r="L3389" i="23"/>
  <c r="K3389" i="23" s="1"/>
  <c r="L3645" i="23"/>
  <c r="K3645" i="23" s="1"/>
  <c r="L3286" i="23"/>
  <c r="K3286" i="23" s="1"/>
  <c r="L3606" i="23"/>
  <c r="K3606" i="23" s="1"/>
  <c r="L3307" i="23"/>
  <c r="K3307" i="23" s="1"/>
  <c r="L3627" i="23"/>
  <c r="K3627" i="23" s="1"/>
  <c r="L4453" i="23"/>
  <c r="K4453" i="23" s="1"/>
  <c r="L4098" i="23"/>
  <c r="K4098" i="23" s="1"/>
  <c r="L3739" i="23"/>
  <c r="K3739" i="23" s="1"/>
  <c r="L4059" i="23"/>
  <c r="K4059" i="23" s="1"/>
  <c r="L4557" i="23"/>
  <c r="K4557" i="23" s="1"/>
  <c r="L4148" i="23"/>
  <c r="K4148" i="23" s="1"/>
  <c r="L4657" i="23"/>
  <c r="K4657" i="23" s="1"/>
  <c r="L4427" i="23"/>
  <c r="K4427" i="23" s="1"/>
  <c r="L4404" i="23"/>
  <c r="K4404" i="23" s="1"/>
  <c r="L4721" i="23"/>
  <c r="K4721" i="23" s="1"/>
  <c r="L4766" i="23"/>
  <c r="K4766" i="23" s="1"/>
  <c r="L4747" i="23"/>
  <c r="K4747" i="23" s="1"/>
  <c r="L4664" i="23"/>
  <c r="K4664" i="23" s="1"/>
  <c r="L2423" i="23"/>
  <c r="K2423" i="23" s="1"/>
  <c r="L1090" i="23"/>
  <c r="K1090" i="23" s="1"/>
  <c r="L2544" i="23"/>
  <c r="K2544" i="23" s="1"/>
  <c r="L560" i="23"/>
  <c r="L517" i="23"/>
  <c r="K517" i="23" s="1"/>
  <c r="L7" i="23"/>
  <c r="L355" i="23"/>
  <c r="L1236" i="23"/>
  <c r="L1208" i="23"/>
  <c r="K1208" i="23" s="1"/>
  <c r="L331" i="23"/>
  <c r="K331" i="23" s="1"/>
  <c r="L2407" i="23"/>
  <c r="K2407" i="23" s="1"/>
  <c r="L1822" i="23"/>
  <c r="K1822" i="23" s="1"/>
  <c r="L1438" i="23"/>
  <c r="L2741" i="23"/>
  <c r="K2741" i="23" s="1"/>
  <c r="L2277" i="23"/>
  <c r="K2277" i="23" s="1"/>
  <c r="L2021" i="23"/>
  <c r="K2021" i="23" s="1"/>
  <c r="L1765" i="23"/>
  <c r="K1765" i="23" s="1"/>
  <c r="L1509" i="23"/>
  <c r="L2881" i="23"/>
  <c r="K2881" i="23" s="1"/>
  <c r="L2312" i="23"/>
  <c r="K2312" i="23" s="1"/>
  <c r="L2056" i="23"/>
  <c r="K2056" i="23" s="1"/>
  <c r="L1800" i="23"/>
  <c r="K1800" i="23" s="1"/>
  <c r="L1544" i="23"/>
  <c r="L1288" i="23"/>
  <c r="L1675" i="23"/>
  <c r="K1675" i="23" s="1"/>
  <c r="L1134" i="23"/>
  <c r="L878" i="23"/>
  <c r="L622" i="23"/>
  <c r="L366" i="23"/>
  <c r="L2007" i="23"/>
  <c r="K2007" i="23" s="1"/>
  <c r="L1217" i="23"/>
  <c r="L2090" i="23"/>
  <c r="K2090" i="23" s="1"/>
  <c r="L1834" i="23"/>
  <c r="K1834" i="23" s="1"/>
  <c r="L1578" i="23"/>
  <c r="K1578" i="23" s="1"/>
  <c r="L1322" i="23"/>
  <c r="K1322" i="23" s="1"/>
  <c r="L2417" i="23"/>
  <c r="K2417" i="23" s="1"/>
  <c r="L2161" i="23"/>
  <c r="K2161" i="23" s="1"/>
  <c r="L1905" i="23"/>
  <c r="K1905" i="23" s="1"/>
  <c r="L1649" i="23"/>
  <c r="K1649" i="23" s="1"/>
  <c r="L1393" i="23"/>
  <c r="K1393" i="23" s="1"/>
  <c r="L2463" i="23"/>
  <c r="K2463" i="23" s="1"/>
  <c r="L2196" i="23"/>
  <c r="K2196" i="23" s="1"/>
  <c r="L1876" i="23"/>
  <c r="K1876" i="23" s="1"/>
  <c r="L1492" i="23"/>
  <c r="L2573" i="23"/>
  <c r="K2573" i="23" s="1"/>
  <c r="L1467" i="23"/>
  <c r="L1082" i="23"/>
  <c r="K1082" i="23" s="1"/>
  <c r="L826" i="23"/>
  <c r="L570" i="23"/>
  <c r="K570" i="23" s="1"/>
  <c r="L314" i="23"/>
  <c r="L1799" i="23"/>
  <c r="K1799" i="23" s="1"/>
  <c r="L1165" i="23"/>
  <c r="L2038" i="23"/>
  <c r="K2038" i="23" s="1"/>
  <c r="L1782" i="23"/>
  <c r="K1782" i="23" s="1"/>
  <c r="L1526" i="23"/>
  <c r="K1526" i="23" s="1"/>
  <c r="L3386" i="23"/>
  <c r="K3386" i="23" s="1"/>
  <c r="L2365" i="23"/>
  <c r="K2365" i="23" s="1"/>
  <c r="L2109" i="23"/>
  <c r="K2109" i="23" s="1"/>
  <c r="L1853" i="23"/>
  <c r="K1853" i="23" s="1"/>
  <c r="L1597" i="23"/>
  <c r="L1341" i="23"/>
  <c r="L2400" i="23"/>
  <c r="K2400" i="23" s="1"/>
  <c r="L2080" i="23"/>
  <c r="K2080" i="23" s="1"/>
  <c r="L1760" i="23"/>
  <c r="K1760" i="23" s="1"/>
  <c r="L1440" i="23"/>
  <c r="L2283" i="23"/>
  <c r="K2283" i="23" s="1"/>
  <c r="L1291" i="23"/>
  <c r="L966" i="23"/>
  <c r="K966" i="23" s="1"/>
  <c r="L710" i="23"/>
  <c r="L454" i="23"/>
  <c r="K454" i="23" s="1"/>
  <c r="L2103" i="23"/>
  <c r="K2103" i="23" s="1"/>
  <c r="L1177" i="23"/>
  <c r="L921" i="23"/>
  <c r="L665" i="23"/>
  <c r="L409" i="23"/>
  <c r="L2179" i="23"/>
  <c r="K2179" i="23" s="1"/>
  <c r="L1260" i="23"/>
  <c r="K1260" i="23" s="1"/>
  <c r="L1004" i="23"/>
  <c r="L748" i="23"/>
  <c r="L364" i="23"/>
  <c r="L699" i="23"/>
  <c r="L9" i="23"/>
  <c r="L1903" i="23"/>
  <c r="K1903" i="23" s="1"/>
  <c r="L423" i="23"/>
  <c r="K423" i="23" s="1"/>
  <c r="L2015" i="23"/>
  <c r="K2015" i="23" s="1"/>
  <c r="L451" i="23"/>
  <c r="L242" i="23"/>
  <c r="L4976" i="23"/>
  <c r="K4976" i="23" s="1"/>
  <c r="L1013" i="23"/>
  <c r="K1013" i="23" s="1"/>
  <c r="L629" i="23"/>
  <c r="L309" i="23"/>
  <c r="L1779" i="23"/>
  <c r="K1779" i="23" s="1"/>
  <c r="L1032" i="23"/>
  <c r="K1032" i="23" s="1"/>
  <c r="L456" i="23"/>
  <c r="K456" i="23" s="1"/>
  <c r="L1067" i="23"/>
  <c r="L134" i="23"/>
  <c r="K134" i="23" s="1"/>
  <c r="L143" i="23"/>
  <c r="L535" i="23"/>
  <c r="L1075" i="23"/>
  <c r="K1075" i="23" s="1"/>
  <c r="L1215" i="23"/>
  <c r="L4994" i="23"/>
  <c r="K4994" i="23" s="1"/>
  <c r="L1137" i="23"/>
  <c r="K1137" i="23" s="1"/>
  <c r="L881" i="23"/>
  <c r="K881" i="23" s="1"/>
  <c r="L625" i="23"/>
  <c r="L305" i="23"/>
  <c r="L1763" i="23"/>
  <c r="K1763" i="23" s="1"/>
  <c r="L1028" i="23"/>
  <c r="K1028" i="23" s="1"/>
  <c r="L516" i="23"/>
  <c r="K516" i="23" s="1"/>
  <c r="L795" i="23"/>
  <c r="L66" i="23"/>
  <c r="L1031" i="23"/>
  <c r="K1031" i="23" s="1"/>
  <c r="L189" i="23"/>
  <c r="K189" i="23" s="1"/>
  <c r="L1375" i="23"/>
  <c r="L291" i="23"/>
  <c r="L4948" i="23"/>
  <c r="K4948" i="23" s="1"/>
  <c r="L4901" i="23"/>
  <c r="K4901" i="23" s="1"/>
  <c r="L1021" i="23"/>
  <c r="K1021" i="23" s="1"/>
  <c r="L765" i="23"/>
  <c r="L509" i="23"/>
  <c r="K509" i="23" s="1"/>
  <c r="L2323" i="23"/>
  <c r="K2323" i="23" s="1"/>
  <c r="L1311" i="23"/>
  <c r="L912" i="23"/>
  <c r="L1535" i="23"/>
  <c r="L206" i="23"/>
  <c r="K206" i="23" s="1"/>
  <c r="L2525" i="23"/>
  <c r="K2525" i="23" s="1"/>
  <c r="L201" i="23"/>
  <c r="K201" i="23" s="1"/>
  <c r="L1107" i="23"/>
  <c r="L607" i="23"/>
  <c r="L4898" i="23"/>
  <c r="K4898" i="23" s="1"/>
  <c r="L402" i="23"/>
  <c r="L1614" i="23"/>
  <c r="K1614" i="23" s="1"/>
  <c r="L1358" i="23"/>
  <c r="L2464" i="23"/>
  <c r="K2464" i="23" s="1"/>
  <c r="L1877" i="23"/>
  <c r="K1877" i="23" s="1"/>
  <c r="L1429" i="23"/>
  <c r="L2561" i="23"/>
  <c r="K2561" i="23" s="1"/>
  <c r="L2104" i="23"/>
  <c r="K2104" i="23" s="1"/>
  <c r="L1848" i="23"/>
  <c r="K1848" i="23" s="1"/>
  <c r="L1592" i="23"/>
  <c r="L3888" i="23"/>
  <c r="K3888" i="23" s="1"/>
  <c r="L1355" i="23"/>
  <c r="L1054" i="23"/>
  <c r="L734" i="23"/>
  <c r="L414" i="23"/>
  <c r="L1265" i="23"/>
  <c r="K1265" i="23" s="1"/>
  <c r="L1690" i="23"/>
  <c r="K1690" i="23" s="1"/>
  <c r="L2984" i="23"/>
  <c r="K2984" i="23" s="1"/>
  <c r="L2273" i="23"/>
  <c r="K2273" i="23" s="1"/>
  <c r="L2017" i="23"/>
  <c r="K2017" i="23" s="1"/>
  <c r="L1761" i="23"/>
  <c r="K1761" i="23" s="1"/>
  <c r="L1505" i="23"/>
  <c r="L2244" i="23"/>
  <c r="K2244" i="23" s="1"/>
  <c r="L1924" i="23"/>
  <c r="K1924" i="23" s="1"/>
  <c r="L1476" i="23"/>
  <c r="K1476" i="23" s="1"/>
  <c r="L1403" i="23"/>
  <c r="K1403" i="23" s="1"/>
  <c r="L1002" i="23"/>
  <c r="L618" i="23"/>
  <c r="L2247" i="23"/>
  <c r="K2247" i="23" s="1"/>
  <c r="L2476" i="23"/>
  <c r="K2476" i="23" s="1"/>
  <c r="L2022" i="23"/>
  <c r="K2022" i="23" s="1"/>
  <c r="L1574" i="23"/>
  <c r="K1574" i="23" s="1"/>
  <c r="L2349" i="23"/>
  <c r="K2349" i="23" s="1"/>
  <c r="L2029" i="23"/>
  <c r="K2029" i="23" s="1"/>
  <c r="L1645" i="23"/>
  <c r="K1645" i="23" s="1"/>
  <c r="L1325" i="23"/>
  <c r="K1325" i="23" s="1"/>
  <c r="L1936" i="23"/>
  <c r="K1936" i="23" s="1"/>
  <c r="L1424" i="23"/>
  <c r="L1014" i="23"/>
  <c r="K1014" i="23" s="1"/>
  <c r="L1527" i="23"/>
  <c r="K1527" i="23" s="1"/>
  <c r="L585" i="23"/>
  <c r="K585" i="23" s="1"/>
  <c r="L1859" i="23"/>
  <c r="K1859" i="23" s="1"/>
  <c r="L668" i="23"/>
  <c r="L1727" i="23"/>
  <c r="K1727" i="23" s="1"/>
  <c r="L379" i="23"/>
  <c r="K379" i="23" s="1"/>
  <c r="L1127" i="23"/>
  <c r="L1759" i="23"/>
  <c r="K1759" i="23" s="1"/>
  <c r="L1615" i="23"/>
  <c r="K1615" i="23" s="1"/>
  <c r="L4889" i="23"/>
  <c r="K4889" i="23" s="1"/>
  <c r="L805" i="23"/>
  <c r="L2227" i="23"/>
  <c r="K2227" i="23" s="1"/>
  <c r="L952" i="23"/>
  <c r="K952" i="23" s="1"/>
  <c r="L257" i="23"/>
  <c r="K257" i="23" s="1"/>
  <c r="L177" i="23"/>
  <c r="L1267" i="23"/>
  <c r="K1267" i="23" s="1"/>
  <c r="L2319" i="23"/>
  <c r="K2319" i="23" s="1"/>
  <c r="L4920" i="23"/>
  <c r="K4920" i="23" s="1"/>
  <c r="L4921" i="23"/>
  <c r="K4921" i="23" s="1"/>
  <c r="L417" i="23"/>
  <c r="K417" i="23" s="1"/>
  <c r="L1699" i="23"/>
  <c r="K1699" i="23" s="1"/>
  <c r="L884" i="23"/>
  <c r="K884" i="23" s="1"/>
  <c r="L436" i="23"/>
  <c r="L1243" i="23"/>
  <c r="L455" i="23"/>
  <c r="K455" i="23" s="1"/>
  <c r="L1251" i="23"/>
  <c r="K1251" i="23" s="1"/>
  <c r="L52" i="23"/>
  <c r="K52" i="23" s="1"/>
  <c r="L4936" i="23"/>
  <c r="K4936" i="23" s="1"/>
  <c r="L493" i="23"/>
  <c r="L1747" i="23"/>
  <c r="K1747" i="23" s="1"/>
  <c r="L576" i="23"/>
  <c r="K576" i="23" s="1"/>
  <c r="L267" i="23"/>
  <c r="K267" i="23" s="1"/>
  <c r="L261" i="23"/>
  <c r="K261" i="23" s="1"/>
  <c r="L1167" i="23"/>
  <c r="L4974" i="23"/>
  <c r="K4974" i="23" s="1"/>
  <c r="L2613" i="23"/>
  <c r="K2613" i="23" s="1"/>
  <c r="L1477" i="23"/>
  <c r="K1477" i="23" s="1"/>
  <c r="L1768" i="23"/>
  <c r="K1768" i="23" s="1"/>
  <c r="L1547" i="23"/>
  <c r="L334" i="23"/>
  <c r="K334" i="23" s="1"/>
  <c r="L1802" i="23"/>
  <c r="K1802" i="23" s="1"/>
  <c r="L2385" i="23"/>
  <c r="K2385" i="23" s="1"/>
  <c r="L1361" i="23"/>
  <c r="L1652" i="23"/>
  <c r="K1652" i="23" s="1"/>
  <c r="L986" i="23"/>
  <c r="L1415" i="23"/>
  <c r="L1430" i="23"/>
  <c r="L1757" i="23"/>
  <c r="K1757" i="23" s="1"/>
  <c r="L2048" i="23"/>
  <c r="K2048" i="23" s="1"/>
  <c r="L1643" i="23"/>
  <c r="K1643" i="23" s="1"/>
  <c r="L358" i="23"/>
  <c r="L697" i="23"/>
  <c r="L1036" i="23"/>
  <c r="L268" i="23"/>
  <c r="K268" i="23" s="1"/>
  <c r="L1063" i="23"/>
  <c r="L835" i="23"/>
  <c r="L4961" i="23"/>
  <c r="K4961" i="23" s="1"/>
  <c r="L661" i="23"/>
  <c r="L1000" i="23"/>
  <c r="L232" i="23"/>
  <c r="L51" i="23"/>
  <c r="K51" i="23" s="1"/>
  <c r="L435" i="23"/>
  <c r="L1105" i="23"/>
  <c r="L1891" i="23"/>
  <c r="K1891" i="23" s="1"/>
  <c r="L932" i="23"/>
  <c r="L411" i="23"/>
  <c r="L223" i="23"/>
  <c r="L797" i="23"/>
  <c r="L1136" i="23"/>
  <c r="K1136" i="23" s="1"/>
  <c r="L1227" i="23"/>
  <c r="L439" i="23"/>
  <c r="L2191" i="23"/>
  <c r="K2191" i="23" s="1"/>
  <c r="L1639" i="23"/>
  <c r="K1639" i="23" s="1"/>
  <c r="L2293" i="23"/>
  <c r="K2293" i="23" s="1"/>
  <c r="L2945" i="23"/>
  <c r="K2945" i="23" s="1"/>
  <c r="L1560" i="23"/>
  <c r="L1150" i="23"/>
  <c r="K1150" i="23" s="1"/>
  <c r="L2071" i="23"/>
  <c r="K2071" i="23" s="1"/>
  <c r="L1594" i="23"/>
  <c r="L1921" i="23"/>
  <c r="K1921" i="23" s="1"/>
  <c r="L2212" i="23"/>
  <c r="K2212" i="23" s="1"/>
  <c r="L2299" i="23"/>
  <c r="K2299" i="23" s="1"/>
  <c r="L522" i="23"/>
  <c r="K522" i="23" s="1"/>
  <c r="L1990" i="23"/>
  <c r="K1990" i="23" s="1"/>
  <c r="L2317" i="23"/>
  <c r="K2317" i="23" s="1"/>
  <c r="L3178" i="23"/>
  <c r="K3178" i="23" s="1"/>
  <c r="L1584" i="23"/>
  <c r="K1584" i="23" s="1"/>
  <c r="L918" i="23"/>
  <c r="L1257" i="23"/>
  <c r="K1257" i="23" s="1"/>
  <c r="L2605" i="23"/>
  <c r="K2605" i="23" s="1"/>
  <c r="L572" i="23"/>
  <c r="K572" i="23" s="1"/>
  <c r="L186" i="23"/>
  <c r="L117" i="23"/>
  <c r="L60" i="23"/>
  <c r="L965" i="23"/>
  <c r="K965" i="23" s="1"/>
  <c r="L1331" i="23"/>
  <c r="K1331" i="23" s="1"/>
  <c r="L280" i="23"/>
  <c r="L1111" i="23"/>
  <c r="L152" i="23"/>
  <c r="L961" i="23"/>
  <c r="K961" i="23" s="1"/>
  <c r="L1319" i="23"/>
  <c r="K1319" i="23" s="1"/>
  <c r="L276" i="23"/>
  <c r="L1095" i="23"/>
  <c r="K1095" i="23" s="1"/>
  <c r="L84" i="23"/>
  <c r="K84" i="23" s="1"/>
  <c r="L1101" i="23"/>
  <c r="K1101" i="23" s="1"/>
  <c r="L1875" i="23"/>
  <c r="K1875" i="23" s="1"/>
  <c r="L416" i="23"/>
  <c r="K416" i="23" s="1"/>
  <c r="L30" i="23"/>
  <c r="L1823" i="23"/>
  <c r="K1823" i="23" s="1"/>
  <c r="L27" i="23"/>
  <c r="L2585" i="23"/>
  <c r="K2585" i="23" s="1"/>
  <c r="L866" i="23"/>
  <c r="L1532" i="23"/>
  <c r="K1532" i="23" s="1"/>
  <c r="L2833" i="23"/>
  <c r="K2833" i="23" s="1"/>
  <c r="L2265" i="23"/>
  <c r="K2265" i="23" s="1"/>
  <c r="L1938" i="23"/>
  <c r="K1938" i="23" s="1"/>
  <c r="L2650" i="23"/>
  <c r="K2650" i="23" s="1"/>
  <c r="L3006" i="23"/>
  <c r="K3006" i="23" s="1"/>
  <c r="L3147" i="23"/>
  <c r="K3147" i="23" s="1"/>
  <c r="L3566" i="23"/>
  <c r="K3566" i="23" s="1"/>
  <c r="L3649" i="23"/>
  <c r="K3649" i="23" s="1"/>
  <c r="L2697" i="23"/>
  <c r="K2697" i="23" s="1"/>
  <c r="L2647" i="23"/>
  <c r="K2647" i="23" s="1"/>
  <c r="L3000" i="23"/>
  <c r="K3000" i="23" s="1"/>
  <c r="L3168" i="23"/>
  <c r="K3168" i="23" s="1"/>
  <c r="L3560" i="23"/>
  <c r="K3560" i="23" s="1"/>
  <c r="L3822" i="23"/>
  <c r="K3822" i="23" s="1"/>
  <c r="L2619" i="23"/>
  <c r="K2619" i="23" s="1"/>
  <c r="L2964" i="23"/>
  <c r="K2964" i="23" s="1"/>
  <c r="L3140" i="23"/>
  <c r="K3140" i="23" s="1"/>
  <c r="L3504" i="23"/>
  <c r="K3504" i="23" s="1"/>
  <c r="L3774" i="23"/>
  <c r="K3774" i="23" s="1"/>
  <c r="L3198" i="23"/>
  <c r="K3198" i="23" s="1"/>
  <c r="L2712" i="23"/>
  <c r="K2712" i="23" s="1"/>
  <c r="L3620" i="23"/>
  <c r="K3620" i="23" s="1"/>
  <c r="L3233" i="23"/>
  <c r="K3233" i="23" s="1"/>
  <c r="L4048" i="23"/>
  <c r="K4048" i="23" s="1"/>
  <c r="L3871" i="23"/>
  <c r="K3871" i="23" s="1"/>
  <c r="L4088" i="23"/>
  <c r="K4088" i="23" s="1"/>
  <c r="L3862" i="23"/>
  <c r="K3862" i="23" s="1"/>
  <c r="L4102" i="23"/>
  <c r="K4102" i="23" s="1"/>
  <c r="L4327" i="23"/>
  <c r="K4327" i="23" s="1"/>
  <c r="L3527" i="23"/>
  <c r="K3527" i="23" s="1"/>
  <c r="L4103" i="23"/>
  <c r="K4103" i="23" s="1"/>
  <c r="L4348" i="23"/>
  <c r="K4348" i="23" s="1"/>
  <c r="L3915" i="23"/>
  <c r="K3915" i="23" s="1"/>
  <c r="L4132" i="23"/>
  <c r="K4132" i="23" s="1"/>
  <c r="L4365" i="23"/>
  <c r="K4365" i="23" s="1"/>
  <c r="L4681" i="23"/>
  <c r="K4681" i="23" s="1"/>
  <c r="L4692" i="23"/>
  <c r="K4692" i="23" s="1"/>
  <c r="L4667" i="23"/>
  <c r="K4667" i="23" s="1"/>
  <c r="L4521" i="23"/>
  <c r="K4521" i="23" s="1"/>
  <c r="L4837" i="23"/>
  <c r="K4837" i="23" s="1"/>
  <c r="L562" i="23"/>
  <c r="K562" i="23" s="1"/>
  <c r="L2472" i="23"/>
  <c r="K2472" i="23" s="1"/>
  <c r="L2252" i="23"/>
  <c r="K2252" i="23" s="1"/>
  <c r="L1961" i="23"/>
  <c r="K1961" i="23" s="1"/>
  <c r="L1634" i="23"/>
  <c r="K1634" i="23" s="1"/>
  <c r="L2873" i="23"/>
  <c r="K2873" i="23" s="1"/>
  <c r="L2691" i="23"/>
  <c r="K2691" i="23" s="1"/>
  <c r="L3158" i="23"/>
  <c r="K3158" i="23" s="1"/>
  <c r="L3212" i="23"/>
  <c r="K3212" i="23" s="1"/>
  <c r="L3676" i="23"/>
  <c r="K3676" i="23" s="1"/>
  <c r="L2218" i="23"/>
  <c r="K2218" i="23" s="1"/>
  <c r="L3102" i="23"/>
  <c r="K3102" i="23" s="1"/>
  <c r="L2688" i="23"/>
  <c r="K2688" i="23" s="1"/>
  <c r="L3572" i="23"/>
  <c r="K3572" i="23" s="1"/>
  <c r="L3209" i="23"/>
  <c r="K3209" i="23" s="1"/>
  <c r="L4021" i="23"/>
  <c r="K4021" i="23" s="1"/>
  <c r="L3004" i="23"/>
  <c r="K3004" i="23" s="1"/>
  <c r="L2660" i="23"/>
  <c r="K2660" i="23" s="1"/>
  <c r="L3516" i="23"/>
  <c r="K3516" i="23" s="1"/>
  <c r="L3181" i="23"/>
  <c r="K3181" i="23" s="1"/>
  <c r="L3993" i="23"/>
  <c r="K3993" i="23" s="1"/>
  <c r="L2742" i="23"/>
  <c r="K2742" i="23" s="1"/>
  <c r="L3362" i="23"/>
  <c r="K3362" i="23" s="1"/>
  <c r="L3239" i="23"/>
  <c r="K3239" i="23" s="1"/>
  <c r="L3880" i="23"/>
  <c r="K3880" i="23" s="1"/>
  <c r="L3741" i="23"/>
  <c r="K3741" i="23" s="1"/>
  <c r="L3567" i="23"/>
  <c r="K3567" i="23" s="1"/>
  <c r="L4143" i="23"/>
  <c r="K4143" i="23" s="1"/>
  <c r="L4388" i="23"/>
  <c r="K4388" i="23" s="1"/>
  <c r="L3907" i="23"/>
  <c r="K3907" i="23" s="1"/>
  <c r="L4124" i="23"/>
  <c r="K4124" i="23" s="1"/>
  <c r="L3898" i="23"/>
  <c r="K3898" i="23" s="1"/>
  <c r="L4138" i="23"/>
  <c r="K4138" i="23" s="1"/>
  <c r="L4363" i="23"/>
  <c r="K4363" i="23" s="1"/>
  <c r="L3611" i="23"/>
  <c r="K3611" i="23" s="1"/>
  <c r="L4187" i="23"/>
  <c r="K4187" i="23" s="1"/>
  <c r="L4432" i="23"/>
  <c r="K4432" i="23" s="1"/>
  <c r="L4640" i="23"/>
  <c r="K4640" i="23" s="1"/>
  <c r="L4727" i="23"/>
  <c r="K4727" i="23" s="1"/>
  <c r="L4469" i="23"/>
  <c r="K4469" i="23" s="1"/>
  <c r="L4785" i="23"/>
  <c r="K4785" i="23" s="1"/>
  <c r="L4796" i="23"/>
  <c r="K4796" i="23" s="1"/>
  <c r="L1321" i="23"/>
  <c r="K1321" i="23" s="1"/>
  <c r="L962" i="23"/>
  <c r="K962" i="23" s="1"/>
  <c r="L1628" i="23"/>
  <c r="K1628" i="23" s="1"/>
  <c r="L1337" i="23"/>
  <c r="L2361" i="23"/>
  <c r="K2361" i="23" s="1"/>
  <c r="L2034" i="23"/>
  <c r="K2034" i="23" s="1"/>
  <c r="L2746" i="23"/>
  <c r="K2746" i="23" s="1"/>
  <c r="L3378" i="23"/>
  <c r="K3378" i="23" s="1"/>
  <c r="L3243" i="23"/>
  <c r="K3243" i="23" s="1"/>
  <c r="L3896" i="23"/>
  <c r="K3896" i="23" s="1"/>
  <c r="L3745" i="23"/>
  <c r="K3745" i="23" s="1"/>
  <c r="L3338" i="23"/>
  <c r="K3338" i="23" s="1"/>
  <c r="L2743" i="23"/>
  <c r="K2743" i="23" s="1"/>
  <c r="L3366" i="23"/>
  <c r="K3366" i="23" s="1"/>
  <c r="L3264" i="23"/>
  <c r="K3264" i="23" s="1"/>
  <c r="L3884" i="23"/>
  <c r="K3884" i="23" s="1"/>
  <c r="L2969" i="23"/>
  <c r="K2969" i="23" s="1"/>
  <c r="L2715" i="23"/>
  <c r="K2715" i="23" s="1"/>
  <c r="L3254" i="23"/>
  <c r="K3254" i="23" s="1"/>
  <c r="L3236" i="23"/>
  <c r="K3236" i="23" s="1"/>
  <c r="L3772" i="23"/>
  <c r="K3772" i="23" s="1"/>
  <c r="L2338" i="23"/>
  <c r="K2338" i="23" s="1"/>
  <c r="L3776" i="23"/>
  <c r="K3776" i="23" s="1"/>
  <c r="L2808" i="23"/>
  <c r="K2808" i="23" s="1"/>
  <c r="L4004" i="23"/>
  <c r="K4004" i="23" s="1"/>
  <c r="L3329" i="23"/>
  <c r="K3329" i="23" s="1"/>
  <c r="L4710" i="23"/>
  <c r="K4710" i="23" s="1"/>
  <c r="L3967" i="23"/>
  <c r="K3967" i="23" s="1"/>
  <c r="L4184" i="23"/>
  <c r="K4184" i="23" s="1"/>
  <c r="L3958" i="23"/>
  <c r="K3958" i="23" s="1"/>
  <c r="L4198" i="23"/>
  <c r="K4198" i="23" s="1"/>
  <c r="L4423" i="23"/>
  <c r="K4423" i="23" s="1"/>
  <c r="L3623" i="23"/>
  <c r="K3623" i="23" s="1"/>
  <c r="L4199" i="23"/>
  <c r="K4199" i="23" s="1"/>
  <c r="L4444" i="23"/>
  <c r="K4444" i="23" s="1"/>
  <c r="L4011" i="23"/>
  <c r="K4011" i="23" s="1"/>
  <c r="L4228" i="23"/>
  <c r="K4228" i="23" s="1"/>
  <c r="L4461" i="23"/>
  <c r="K4461" i="23" s="1"/>
  <c r="L4777" i="23"/>
  <c r="K4777" i="23" s="1"/>
  <c r="L4788" i="23"/>
  <c r="K4788" i="23" s="1"/>
  <c r="L4763" i="23"/>
  <c r="K4763" i="23" s="1"/>
  <c r="L4706" i="23"/>
  <c r="K4706" i="23" s="1"/>
  <c r="L786" i="23"/>
  <c r="L1452" i="23"/>
  <c r="L2513" i="23"/>
  <c r="K2513" i="23" s="1"/>
  <c r="L2185" i="23"/>
  <c r="K2185" i="23" s="1"/>
  <c r="L1858" i="23"/>
  <c r="K1858" i="23" s="1"/>
  <c r="L2570" i="23"/>
  <c r="K2570" i="23" s="1"/>
  <c r="L2915" i="23"/>
  <c r="K2915" i="23" s="1"/>
  <c r="L3067" i="23"/>
  <c r="K3067" i="23" s="1"/>
  <c r="L3436" i="23"/>
  <c r="K3436" i="23" s="1"/>
  <c r="L3569" i="23"/>
  <c r="K3569" i="23" s="1"/>
  <c r="L2449" i="23"/>
  <c r="K2449" i="23" s="1"/>
  <c r="L2567" i="23"/>
  <c r="K2567" i="23" s="1"/>
  <c r="L2912" i="23"/>
  <c r="K2912" i="23" s="1"/>
  <c r="L3088" i="23"/>
  <c r="K3088" i="23" s="1"/>
  <c r="L3433" i="23"/>
  <c r="K3433" i="23" s="1"/>
  <c r="L3722" i="23"/>
  <c r="K3722" i="23" s="1"/>
  <c r="L2539" i="23"/>
  <c r="K2539" i="23" s="1"/>
  <c r="L2884" i="23"/>
  <c r="K2884" i="23" s="1"/>
  <c r="L3060" i="23"/>
  <c r="K3060" i="23" s="1"/>
  <c r="L3405" i="23"/>
  <c r="K3405" i="23" s="1"/>
  <c r="L3694" i="23"/>
  <c r="K3694" i="23" s="1"/>
  <c r="L2966" i="23"/>
  <c r="K2966" i="23" s="1"/>
  <c r="L2632" i="23"/>
  <c r="K2632" i="23" s="1"/>
  <c r="L3463" i="23"/>
  <c r="K3463" i="23" s="1"/>
  <c r="L3153" i="23"/>
  <c r="K3153" i="23" s="1"/>
  <c r="L3965" i="23"/>
  <c r="K3965" i="23" s="1"/>
  <c r="L3791" i="23"/>
  <c r="K3791" i="23" s="1"/>
  <c r="L4482" i="23"/>
  <c r="K4482" i="23" s="1"/>
  <c r="L4846" i="23"/>
  <c r="K4846" i="23" s="1"/>
  <c r="L4458" i="23"/>
  <c r="K4458" i="23" s="1"/>
  <c r="L4406" i="23"/>
  <c r="K4406" i="23" s="1"/>
  <c r="L4330" i="23"/>
  <c r="K4330" i="23" s="1"/>
  <c r="L4462" i="23"/>
  <c r="K4462" i="23" s="1"/>
  <c r="L4613" i="23"/>
  <c r="K4613" i="23" s="1"/>
  <c r="L3835" i="23"/>
  <c r="K3835" i="23" s="1"/>
  <c r="L4879" i="23"/>
  <c r="K4879" i="23" s="1"/>
  <c r="L4734" i="23"/>
  <c r="K4734" i="23" s="1"/>
  <c r="L4864" i="23"/>
  <c r="K4864" i="23" s="1"/>
  <c r="L4612" i="23"/>
  <c r="K4612" i="23" s="1"/>
  <c r="L4587" i="23"/>
  <c r="K4587" i="23" s="1"/>
  <c r="L4441" i="23"/>
  <c r="K4441" i="23" s="1"/>
  <c r="L4757" i="23"/>
  <c r="K4757" i="23" s="1"/>
  <c r="L2763" i="23"/>
  <c r="K2763" i="23" s="1"/>
  <c r="L3020" i="23"/>
  <c r="K3020" i="23" s="1"/>
  <c r="L4313" i="23"/>
  <c r="K4313" i="23" s="1"/>
  <c r="L3985" i="23"/>
  <c r="K3985" i="23" s="1"/>
  <c r="L4223" i="23"/>
  <c r="K4223" i="23" s="1"/>
  <c r="L4399" i="23"/>
  <c r="K4399" i="23" s="1"/>
  <c r="L4828" i="23"/>
  <c r="K4828" i="23" s="1"/>
  <c r="L389" i="23"/>
  <c r="L677" i="23"/>
  <c r="L850" i="23"/>
  <c r="L783" i="23"/>
  <c r="L1973" i="23"/>
  <c r="K1973" i="23" s="1"/>
  <c r="L2455" i="23"/>
  <c r="K2455" i="23" s="1"/>
  <c r="L3370" i="23"/>
  <c r="K3370" i="23" s="1"/>
  <c r="L1100" i="23"/>
  <c r="K1100" i="23" s="1"/>
  <c r="L2889" i="23"/>
  <c r="K2889" i="23" s="1"/>
  <c r="L1442" i="23"/>
  <c r="L1797" i="23"/>
  <c r="K1797" i="23" s="1"/>
  <c r="L3720" i="23"/>
  <c r="K3720" i="23" s="1"/>
  <c r="L1647" i="23"/>
  <c r="K1647" i="23" s="1"/>
  <c r="L3345" i="23"/>
  <c r="K3345" i="23" s="1"/>
  <c r="L262" i="23"/>
  <c r="K262" i="23" s="1"/>
  <c r="L3145" i="23"/>
  <c r="K3145" i="23" s="1"/>
  <c r="L1458" i="23"/>
  <c r="L1482" i="23"/>
  <c r="K1482" i="23" s="1"/>
  <c r="L2801" i="23"/>
  <c r="K2801" i="23" s="1"/>
  <c r="L3062" i="23"/>
  <c r="K3062" i="23" s="1"/>
  <c r="L3391" i="23"/>
  <c r="K3391" i="23" s="1"/>
  <c r="L4079" i="23"/>
  <c r="K4079" i="23" s="1"/>
  <c r="L4594" i="23"/>
  <c r="K4594" i="23" s="1"/>
  <c r="L4940" i="23"/>
  <c r="K4940" i="23" s="1"/>
  <c r="L74" i="23"/>
  <c r="L461" i="23"/>
  <c r="K461" i="23" s="1"/>
  <c r="L2112" i="23"/>
  <c r="K2112" i="23" s="1"/>
  <c r="L905" i="23"/>
  <c r="L1225" i="23"/>
  <c r="L1764" i="23"/>
  <c r="K1764" i="23" s="1"/>
  <c r="L566" i="23"/>
  <c r="K566" i="23" s="1"/>
  <c r="L886" i="23"/>
  <c r="K886" i="23" s="1"/>
  <c r="L1206" i="23"/>
  <c r="K1206" i="23" s="1"/>
  <c r="L2456" i="23"/>
  <c r="K2456" i="23" s="1"/>
  <c r="L691" i="23"/>
  <c r="L1139" i="23"/>
  <c r="K1139" i="23" s="1"/>
  <c r="L1676" i="23"/>
  <c r="K1676" i="23" s="1"/>
  <c r="L2857" i="23"/>
  <c r="K2857" i="23" s="1"/>
  <c r="L1817" i="23"/>
  <c r="K1817" i="23" s="1"/>
  <c r="L2137" i="23"/>
  <c r="K2137" i="23" s="1"/>
  <c r="L2678" i="23"/>
  <c r="K2678" i="23" s="1"/>
  <c r="L1742" i="23"/>
  <c r="K1742" i="23" s="1"/>
  <c r="L2094" i="23"/>
  <c r="K2094" i="23" s="1"/>
  <c r="L2522" i="23"/>
  <c r="K2522" i="23" s="1"/>
  <c r="L1591" i="23"/>
  <c r="L2395" i="23"/>
  <c r="K2395" i="23" s="1"/>
  <c r="L2778" i="23"/>
  <c r="K2778" i="23" s="1"/>
  <c r="L3084" i="23"/>
  <c r="K3084" i="23" s="1"/>
  <c r="L3514" i="23"/>
  <c r="K3514" i="23" s="1"/>
  <c r="L4241" i="23"/>
  <c r="K4241" i="23" s="1"/>
  <c r="L4120" i="23"/>
  <c r="K4120" i="23" s="1"/>
  <c r="L4802" i="23"/>
  <c r="K4802" i="23" s="1"/>
  <c r="L1324" i="23"/>
  <c r="K1324" i="23" s="1"/>
  <c r="L110" i="23"/>
  <c r="L1008" i="23"/>
  <c r="L621" i="23"/>
  <c r="L941" i="23"/>
  <c r="L1261" i="23"/>
  <c r="K1261" i="23" s="1"/>
  <c r="L602" i="23"/>
  <c r="L922" i="23"/>
  <c r="L1306" i="23"/>
  <c r="L2344" i="23"/>
  <c r="K2344" i="23" s="1"/>
  <c r="L727" i="23"/>
  <c r="L1239" i="23"/>
  <c r="L2076" i="23"/>
  <c r="K2076" i="23" s="1"/>
  <c r="L2493" i="23"/>
  <c r="K2493" i="23" s="1"/>
  <c r="L3592" i="23"/>
  <c r="K3592" i="23" s="1"/>
  <c r="L1842" i="23"/>
  <c r="K1842" i="23" s="1"/>
  <c r="L2398" i="23"/>
  <c r="K2398" i="23" s="1"/>
  <c r="L1831" i="23"/>
  <c r="K1831" i="23" s="1"/>
  <c r="L2965" i="23"/>
  <c r="K2965" i="23" s="1"/>
  <c r="L3244" i="23"/>
  <c r="K3244" i="23" s="1"/>
  <c r="L3313" i="23"/>
  <c r="K3313" i="23" s="1"/>
  <c r="L3487" i="23"/>
  <c r="K3487" i="23" s="1"/>
  <c r="L4409" i="23"/>
  <c r="K4409" i="23" s="1"/>
  <c r="L4434" i="23"/>
  <c r="K4434" i="23" s="1"/>
  <c r="L4946" i="23"/>
  <c r="K4946" i="23" s="1"/>
  <c r="L1020" i="23"/>
  <c r="K1020" i="23" s="1"/>
  <c r="L226" i="23"/>
  <c r="L704" i="23"/>
  <c r="L2496" i="23"/>
  <c r="K2496" i="23" s="1"/>
  <c r="L865" i="23"/>
  <c r="L1249" i="23"/>
  <c r="K1249" i="23" s="1"/>
  <c r="L1860" i="23"/>
  <c r="K1860" i="23" s="1"/>
  <c r="L462" i="23"/>
  <c r="K462" i="23" s="1"/>
  <c r="L782" i="23"/>
  <c r="L1166" i="23"/>
  <c r="L651" i="23"/>
  <c r="K651" i="23" s="1"/>
  <c r="L971" i="23"/>
  <c r="K971" i="23" s="1"/>
  <c r="L2028" i="23"/>
  <c r="K2028" i="23" s="1"/>
  <c r="L2545" i="23"/>
  <c r="K2545" i="23" s="1"/>
  <c r="L1510" i="23"/>
  <c r="L2042" i="23"/>
  <c r="K2042" i="23" s="1"/>
  <c r="L2470" i="23"/>
  <c r="K2470" i="23" s="1"/>
  <c r="L3544" i="23"/>
  <c r="K3544" i="23" s="1"/>
  <c r="L2059" i="23"/>
  <c r="K2059" i="23" s="1"/>
  <c r="L4085" i="23"/>
  <c r="K4085" i="23" s="1"/>
  <c r="L2923" i="23"/>
  <c r="K2923" i="23" s="1"/>
  <c r="L3929" i="23"/>
  <c r="K3929" i="23" s="1"/>
  <c r="L3695" i="23"/>
  <c r="K3695" i="23" s="1"/>
  <c r="L4127" i="23"/>
  <c r="K4127" i="23" s="1"/>
  <c r="L4386" i="23"/>
  <c r="K4386" i="23" s="1"/>
  <c r="L4981" i="23"/>
  <c r="K4981" i="23" s="1"/>
  <c r="L3050" i="23"/>
  <c r="K3050" i="23" s="1"/>
  <c r="L4165" i="23"/>
  <c r="K4165" i="23" s="1"/>
  <c r="L2943" i="23"/>
  <c r="K2943" i="23" s="1"/>
  <c r="L318" i="23"/>
  <c r="L1072" i="23"/>
  <c r="L1716" i="23"/>
  <c r="K1716" i="23" s="1"/>
  <c r="L682" i="23"/>
  <c r="L1896" i="23"/>
  <c r="K1896" i="23" s="1"/>
  <c r="L487" i="23"/>
  <c r="L871" i="23"/>
  <c r="L1613" i="23"/>
  <c r="K1613" i="23" s="1"/>
  <c r="L1933" i="23"/>
  <c r="K1933" i="23" s="1"/>
  <c r="L2253" i="23"/>
  <c r="K2253" i="23" s="1"/>
  <c r="L3117" i="23"/>
  <c r="K3117" i="23" s="1"/>
  <c r="L1730" i="23"/>
  <c r="K1730" i="23" s="1"/>
  <c r="L2250" i="23"/>
  <c r="K2250" i="23" s="1"/>
  <c r="L2769" i="23"/>
  <c r="K2769" i="23" s="1"/>
  <c r="L1743" i="23"/>
  <c r="K1743" i="23" s="1"/>
  <c r="L2503" i="23"/>
  <c r="K2503" i="23" s="1"/>
  <c r="L2779" i="23"/>
  <c r="K2779" i="23" s="1"/>
  <c r="L3377" i="23"/>
  <c r="K3377" i="23" s="1"/>
  <c r="L3551" i="23"/>
  <c r="K3551" i="23" s="1"/>
  <c r="L3727" i="23"/>
  <c r="K3727" i="23" s="1"/>
  <c r="L4072" i="23"/>
  <c r="K4072" i="23" s="1"/>
  <c r="L4754" i="23"/>
  <c r="K4754" i="23" s="1"/>
  <c r="L1968" i="23"/>
  <c r="K1968" i="23" s="1"/>
  <c r="L178" i="23"/>
  <c r="L1024" i="23"/>
  <c r="K1024" i="23" s="1"/>
  <c r="L2436" i="23"/>
  <c r="K2436" i="23" s="1"/>
  <c r="L2616" i="23"/>
  <c r="K2616" i="23" s="1"/>
  <c r="L731" i="23"/>
  <c r="L1179" i="23"/>
  <c r="L1836" i="23"/>
  <c r="K1836" i="23" s="1"/>
  <c r="L1473" i="23"/>
  <c r="K1473" i="23" s="1"/>
  <c r="L1793" i="23"/>
  <c r="K1793" i="23" s="1"/>
  <c r="L2113" i="23"/>
  <c r="K2113" i="23" s="1"/>
  <c r="L2497" i="23"/>
  <c r="K2497" i="23" s="1"/>
  <c r="L2234" i="23"/>
  <c r="K2234" i="23" s="1"/>
  <c r="L2705" i="23"/>
  <c r="K2705" i="23" s="1"/>
  <c r="L1963" i="23"/>
  <c r="K1963" i="23" s="1"/>
  <c r="L2603" i="23"/>
  <c r="K2603" i="23" s="1"/>
  <c r="L3308" i="23"/>
  <c r="K3308" i="23" s="1"/>
  <c r="L2988" i="23"/>
  <c r="K2988" i="23" s="1"/>
  <c r="L3418" i="23"/>
  <c r="K3418" i="23" s="1"/>
  <c r="L3846" i="23"/>
  <c r="K3846" i="23" s="1"/>
  <c r="L4280" i="23"/>
  <c r="K4280" i="23" s="1"/>
  <c r="L3066" i="23"/>
  <c r="K3066" i="23" s="1"/>
  <c r="L2751" i="23"/>
  <c r="K2751" i="23" s="1"/>
  <c r="L398" i="23"/>
  <c r="L653" i="23"/>
  <c r="K653" i="23" s="1"/>
  <c r="L973" i="23"/>
  <c r="L1421" i="23"/>
  <c r="L2292" i="23"/>
  <c r="K2292" i="23" s="1"/>
  <c r="L1704" i="23"/>
  <c r="K1704" i="23" s="1"/>
  <c r="L695" i="23"/>
  <c r="L1015" i="23"/>
  <c r="K1015" i="23" s="1"/>
  <c r="L1463" i="23"/>
  <c r="L2921" i="23"/>
  <c r="K2921" i="23" s="1"/>
  <c r="L1821" i="23"/>
  <c r="K1821" i="23" s="1"/>
  <c r="L2141" i="23"/>
  <c r="K2141" i="23" s="1"/>
  <c r="L2461" i="23"/>
  <c r="K2461" i="23" s="1"/>
  <c r="L1554" i="23"/>
  <c r="L1874" i="23"/>
  <c r="K1874" i="23" s="1"/>
  <c r="L2526" i="23"/>
  <c r="K2526" i="23" s="1"/>
  <c r="L1679" i="23"/>
  <c r="K1679" i="23" s="1"/>
  <c r="L2535" i="23"/>
  <c r="K2535" i="23" s="1"/>
  <c r="L2843" i="23"/>
  <c r="K2843" i="23" s="1"/>
  <c r="L3697" i="23"/>
  <c r="K3697" i="23" s="1"/>
  <c r="L4214" i="23"/>
  <c r="K4214" i="23" s="1"/>
  <c r="L4609" i="23"/>
  <c r="K4609" i="23" s="1"/>
  <c r="L4648" i="23"/>
  <c r="K4648" i="23" s="1"/>
  <c r="L401" i="23"/>
  <c r="L1404" i="23"/>
  <c r="K1404" i="23" s="1"/>
  <c r="L322" i="23"/>
  <c r="L577" i="23"/>
  <c r="K577" i="23" s="1"/>
  <c r="L897" i="23"/>
  <c r="K897" i="23" s="1"/>
  <c r="L1281" i="23"/>
  <c r="L1326" i="23"/>
  <c r="K1326" i="23" s="1"/>
  <c r="L491" i="23"/>
  <c r="L1131" i="23"/>
  <c r="L1644" i="23"/>
  <c r="K1644" i="23" s="1"/>
  <c r="L2729" i="23"/>
  <c r="K2729" i="23" s="1"/>
  <c r="L1745" i="23"/>
  <c r="K1745" i="23" s="1"/>
  <c r="L2065" i="23"/>
  <c r="K2065" i="23" s="1"/>
  <c r="L2577" i="23"/>
  <c r="K2577" i="23" s="1"/>
  <c r="L1606" i="23"/>
  <c r="K1606" i="23" s="1"/>
  <c r="L1926" i="23"/>
  <c r="K1926" i="23" s="1"/>
  <c r="L2426" i="23"/>
  <c r="K2426" i="23" s="1"/>
  <c r="L1579" i="23"/>
  <c r="K1579" i="23" s="1"/>
  <c r="L2507" i="23"/>
  <c r="K2507" i="23" s="1"/>
  <c r="L3046" i="23"/>
  <c r="K3046" i="23" s="1"/>
  <c r="L3052" i="23"/>
  <c r="K3052" i="23" s="1"/>
  <c r="L3482" i="23"/>
  <c r="K3482" i="23" s="1"/>
  <c r="L3743" i="23"/>
  <c r="K3743" i="23" s="1"/>
  <c r="L4417" i="23"/>
  <c r="K4417" i="23" s="1"/>
  <c r="L4600" i="23"/>
  <c r="K4600" i="23" s="1"/>
  <c r="L4943" i="23"/>
  <c r="K4943" i="23" s="1"/>
  <c r="L3146" i="23"/>
  <c r="K3146" i="23" s="1"/>
  <c r="L2639" i="23"/>
  <c r="K2639" i="23" s="1"/>
  <c r="L158" i="23"/>
  <c r="L1200" i="23"/>
  <c r="K1200" i="23" s="1"/>
  <c r="L733" i="23"/>
  <c r="L1117" i="23"/>
  <c r="L1437" i="23"/>
  <c r="L2356" i="23"/>
  <c r="K2356" i="23" s="1"/>
  <c r="L650" i="23"/>
  <c r="K650" i="23" s="1"/>
  <c r="L970" i="23"/>
  <c r="K970" i="23" s="1"/>
  <c r="L1354" i="23"/>
  <c r="L583" i="23"/>
  <c r="K583" i="23" s="1"/>
  <c r="L967" i="23"/>
  <c r="K967" i="23" s="1"/>
  <c r="L1500" i="23"/>
  <c r="L1709" i="23"/>
  <c r="K1709" i="23" s="1"/>
  <c r="L1506" i="23"/>
  <c r="L1826" i="23"/>
  <c r="K1826" i="23" s="1"/>
  <c r="L2378" i="23"/>
  <c r="K2378" i="23" s="1"/>
  <c r="L3480" i="23"/>
  <c r="K3480" i="23" s="1"/>
  <c r="L2183" i="23"/>
  <c r="K2183" i="23" s="1"/>
  <c r="L2950" i="23"/>
  <c r="K2950" i="23" s="1"/>
  <c r="L2652" i="23"/>
  <c r="K2652" i="23" s="1"/>
  <c r="L3505" i="23"/>
  <c r="K3505" i="23" s="1"/>
  <c r="L3679" i="23"/>
  <c r="K3679" i="23" s="1"/>
  <c r="L4509" i="23"/>
  <c r="K4509" i="23" s="1"/>
  <c r="L4626" i="23"/>
  <c r="K4626" i="23" s="1"/>
  <c r="L4799" i="23"/>
  <c r="K4799" i="23" s="1"/>
  <c r="L700" i="23"/>
  <c r="L119" i="23"/>
  <c r="L274" i="23"/>
  <c r="L1152" i="23"/>
  <c r="K1152" i="23" s="1"/>
  <c r="L721" i="23"/>
  <c r="L1041" i="23"/>
  <c r="L3704" i="23"/>
  <c r="K3704" i="23" s="1"/>
  <c r="L766" i="23"/>
  <c r="L1086" i="23"/>
  <c r="K1086" i="23" s="1"/>
  <c r="L2232" i="23"/>
  <c r="K2232" i="23" s="1"/>
  <c r="L571" i="23"/>
  <c r="K571" i="23" s="1"/>
  <c r="L1339" i="23"/>
  <c r="L2593" i="23"/>
  <c r="K2593" i="23" s="1"/>
  <c r="L1494" i="23"/>
  <c r="L1814" i="23"/>
  <c r="K1814" i="23" s="1"/>
  <c r="L2618" i="23"/>
  <c r="K2618" i="23" s="1"/>
  <c r="L1899" i="23"/>
  <c r="K1899" i="23" s="1"/>
  <c r="L2794" i="23"/>
  <c r="K2794" i="23" s="1"/>
  <c r="L2859" i="23"/>
  <c r="K2859" i="23" s="1"/>
  <c r="L3116" i="23"/>
  <c r="K3116" i="23" s="1"/>
  <c r="L3546" i="23"/>
  <c r="K3546" i="23" s="1"/>
  <c r="L3974" i="23"/>
  <c r="K3974" i="23" s="1"/>
  <c r="L4319" i="23"/>
  <c r="K4319" i="23" s="1"/>
  <c r="L4408" i="23"/>
  <c r="K4408" i="23" s="1"/>
  <c r="L4668" i="23"/>
  <c r="K4668" i="23" s="1"/>
  <c r="L2655" i="23"/>
  <c r="K2655" i="23" s="1"/>
  <c r="L3103" i="23"/>
  <c r="K3103" i="23" s="1"/>
  <c r="L2720" i="23"/>
  <c r="K2720" i="23" s="1"/>
  <c r="L3104" i="23"/>
  <c r="K3104" i="23" s="1"/>
  <c r="L3253" i="23"/>
  <c r="K3253" i="23" s="1"/>
  <c r="L3637" i="23"/>
  <c r="K3637" i="23" s="1"/>
  <c r="L3406" i="23"/>
  <c r="K3406" i="23" s="1"/>
  <c r="L3981" i="23"/>
  <c r="K3981" i="23" s="1"/>
  <c r="L3491" i="23"/>
  <c r="K3491" i="23" s="1"/>
  <c r="L4065" i="23"/>
  <c r="K4065" i="23" s="1"/>
  <c r="L3962" i="23"/>
  <c r="K3962" i="23" s="1"/>
  <c r="L4218" i="23"/>
  <c r="K4218" i="23" s="1"/>
  <c r="L3923" i="23"/>
  <c r="K3923" i="23" s="1"/>
  <c r="L4307" i="23"/>
  <c r="K4307" i="23" s="1"/>
  <c r="L3948" i="23"/>
  <c r="K3948" i="23" s="1"/>
  <c r="L4204" i="23"/>
  <c r="K4204" i="23" s="1"/>
  <c r="L4566" i="23"/>
  <c r="K4566" i="23" s="1"/>
  <c r="L4547" i="23"/>
  <c r="K4547" i="23" s="1"/>
  <c r="L4652" i="23"/>
  <c r="K4652" i="23" s="1"/>
  <c r="L4694" i="23"/>
  <c r="K4694" i="23" s="1"/>
  <c r="L4739" i="23"/>
  <c r="K4739" i="23" s="1"/>
  <c r="L4720" i="23"/>
  <c r="K4720" i="23" s="1"/>
  <c r="L1935" i="23"/>
  <c r="K1935" i="23" s="1"/>
  <c r="L2511" i="23"/>
  <c r="K2511" i="23" s="1"/>
  <c r="L4405" i="23"/>
  <c r="K4405" i="23" s="1"/>
  <c r="L3086" i="23"/>
  <c r="K3086" i="23" s="1"/>
  <c r="L3724" i="23"/>
  <c r="K3724" i="23" s="1"/>
  <c r="L2899" i="23"/>
  <c r="K2899" i="23" s="1"/>
  <c r="L3232" i="23"/>
  <c r="K3232" i="23" s="1"/>
  <c r="L2772" i="23"/>
  <c r="K2772" i="23" s="1"/>
  <c r="L3156" i="23"/>
  <c r="K3156" i="23" s="1"/>
  <c r="L3369" i="23"/>
  <c r="K3369" i="23" s="1"/>
  <c r="L3833" i="23"/>
  <c r="K3833" i="23" s="1"/>
  <c r="L3394" i="23"/>
  <c r="K3394" i="23" s="1"/>
  <c r="L3714" i="23"/>
  <c r="K3714" i="23" s="1"/>
  <c r="L3351" i="23"/>
  <c r="K3351" i="23" s="1"/>
  <c r="L3671" i="23"/>
  <c r="K3671" i="23" s="1"/>
  <c r="L3758" i="23"/>
  <c r="K3758" i="23" s="1"/>
  <c r="L4078" i="23"/>
  <c r="K4078" i="23" s="1"/>
  <c r="L4633" i="23"/>
  <c r="K4633" i="23" s="1"/>
  <c r="L4167" i="23"/>
  <c r="K4167" i="23" s="1"/>
  <c r="L3872" i="23"/>
  <c r="K3872" i="23" s="1"/>
  <c r="L4128" i="23"/>
  <c r="K4128" i="23" s="1"/>
  <c r="L4362" i="23"/>
  <c r="K4362" i="23" s="1"/>
  <c r="L4407" i="23"/>
  <c r="K4407" i="23" s="1"/>
  <c r="L4448" i="23"/>
  <c r="K4448" i="23" s="1"/>
  <c r="L4765" i="23"/>
  <c r="K4765" i="23" s="1"/>
  <c r="L4746" i="23"/>
  <c r="K4746" i="23" s="1"/>
  <c r="L4791" i="23"/>
  <c r="K4791" i="23" s="1"/>
  <c r="L4772" i="23"/>
  <c r="K4772" i="23" s="1"/>
  <c r="L2050" i="23"/>
  <c r="K2050" i="23" s="1"/>
  <c r="L2434" i="23"/>
  <c r="K2434" i="23" s="1"/>
  <c r="L3672" i="23"/>
  <c r="K3672" i="23" s="1"/>
  <c r="L1907" i="23"/>
  <c r="K1907" i="23" s="1"/>
  <c r="L2547" i="23"/>
  <c r="K2547" i="23" s="1"/>
  <c r="L2802" i="23"/>
  <c r="K2802" i="23" s="1"/>
  <c r="L3058" i="23"/>
  <c r="K3058" i="23" s="1"/>
  <c r="L2679" i="23"/>
  <c r="K2679" i="23" s="1"/>
  <c r="L2999" i="23"/>
  <c r="K2999" i="23" s="1"/>
  <c r="L2680" i="23"/>
  <c r="K2680" i="23" s="1"/>
  <c r="L3128" i="23"/>
  <c r="K3128" i="23" s="1"/>
  <c r="L2991" i="23"/>
  <c r="K2991" i="23" s="1"/>
  <c r="L4245" i="23"/>
  <c r="K4245" i="23" s="1"/>
  <c r="L2928" i="23"/>
  <c r="K2928" i="23" s="1"/>
  <c r="L3604" i="23"/>
  <c r="K3604" i="23" s="1"/>
  <c r="L3461" i="23"/>
  <c r="K3461" i="23" s="1"/>
  <c r="L3945" i="23"/>
  <c r="K3945" i="23" s="1"/>
  <c r="L3486" i="23"/>
  <c r="K3486" i="23" s="1"/>
  <c r="L4045" i="23"/>
  <c r="K4045" i="23" s="1"/>
  <c r="L3443" i="23"/>
  <c r="K3443" i="23" s="1"/>
  <c r="L3873" i="23"/>
  <c r="K3873" i="23" s="1"/>
  <c r="L3850" i="23"/>
  <c r="K3850" i="23" s="1"/>
  <c r="L4170" i="23"/>
  <c r="K4170" i="23" s="1"/>
  <c r="L3747" i="23"/>
  <c r="K3747" i="23" s="1"/>
  <c r="L4131" i="23"/>
  <c r="K4131" i="23" s="1"/>
  <c r="L3836" i="23"/>
  <c r="K3836" i="23" s="1"/>
  <c r="L4156" i="23"/>
  <c r="K4156" i="23" s="1"/>
  <c r="L4326" i="23"/>
  <c r="K4326" i="23" s="1"/>
  <c r="L4646" i="23"/>
  <c r="K4646" i="23" s="1"/>
  <c r="L4627" i="23"/>
  <c r="K4627" i="23" s="1"/>
  <c r="L4604" i="23"/>
  <c r="K4604" i="23" s="1"/>
  <c r="L4985" i="23"/>
  <c r="K4985" i="23" s="1"/>
  <c r="L4755" i="23"/>
  <c r="K4755" i="23" s="1"/>
  <c r="L4736" i="23"/>
  <c r="K4736" i="23" s="1"/>
  <c r="L2271" i="23"/>
  <c r="K2271" i="23" s="1"/>
  <c r="L2690" i="23"/>
  <c r="K2690" i="23" s="1"/>
  <c r="L2974" i="23"/>
  <c r="K2974" i="23" s="1"/>
  <c r="L3973" i="23"/>
  <c r="K3973" i="23" s="1"/>
  <c r="L3043" i="23"/>
  <c r="K3043" i="23" s="1"/>
  <c r="L3552" i="23"/>
  <c r="K3552" i="23" s="1"/>
  <c r="L2852" i="23"/>
  <c r="K2852" i="23" s="1"/>
  <c r="L3172" i="23"/>
  <c r="K3172" i="23" s="1"/>
  <c r="L3321" i="23"/>
  <c r="K3321" i="23" s="1"/>
  <c r="L3577" i="23"/>
  <c r="K3577" i="23" s="1"/>
  <c r="L3410" i="23"/>
  <c r="K3410" i="23" s="1"/>
  <c r="L4253" i="23"/>
  <c r="K4253" i="23" s="1"/>
  <c r="L3495" i="23"/>
  <c r="K3495" i="23" s="1"/>
  <c r="L4389" i="23"/>
  <c r="K4389" i="23" s="1"/>
  <c r="L4094" i="23"/>
  <c r="K4094" i="23" s="1"/>
  <c r="L3863" i="23"/>
  <c r="K3863" i="23" s="1"/>
  <c r="L4183" i="23"/>
  <c r="K4183" i="23" s="1"/>
  <c r="L3952" i="23"/>
  <c r="K3952" i="23" s="1"/>
  <c r="L4272" i="23"/>
  <c r="K4272" i="23" s="1"/>
  <c r="L4506" i="23"/>
  <c r="K4506" i="23" s="1"/>
  <c r="L4551" i="23"/>
  <c r="K4551" i="23" s="1"/>
  <c r="L4592" i="23"/>
  <c r="K4592" i="23" s="1"/>
  <c r="L4698" i="23"/>
  <c r="K4698" i="23" s="1"/>
  <c r="L4954" i="23"/>
  <c r="K4954" i="23" s="1"/>
  <c r="L4935" i="23"/>
  <c r="K4935" i="23" s="1"/>
  <c r="L4980" i="23"/>
  <c r="K4980" i="23" s="1"/>
  <c r="L2194" i="23"/>
  <c r="K2194" i="23" s="1"/>
  <c r="L2514" i="23"/>
  <c r="K2514" i="23" s="1"/>
  <c r="L1539" i="23"/>
  <c r="L2051" i="23"/>
  <c r="K2051" i="23" s="1"/>
  <c r="L2634" i="23"/>
  <c r="K2634" i="23" s="1"/>
  <c r="L2754" i="23"/>
  <c r="K2754" i="23" s="1"/>
  <c r="L3138" i="23"/>
  <c r="K3138" i="23" s="1"/>
  <c r="L2695" i="23"/>
  <c r="K2695" i="23" s="1"/>
  <c r="L3015" i="23"/>
  <c r="K3015" i="23" s="1"/>
  <c r="L2696" i="23"/>
  <c r="K2696" i="23" s="1"/>
  <c r="L3016" i="23"/>
  <c r="K3016" i="23" s="1"/>
  <c r="L3199" i="23"/>
  <c r="K3199" i="23" s="1"/>
  <c r="L2816" i="23"/>
  <c r="K2816" i="23" s="1"/>
  <c r="L3136" i="23"/>
  <c r="K3136" i="23" s="1"/>
  <c r="L3221" i="23"/>
  <c r="K3221" i="23" s="1"/>
  <c r="L3605" i="23"/>
  <c r="K3605" i="23" s="1"/>
  <c r="L4265" i="23"/>
  <c r="K4265" i="23" s="1"/>
  <c r="L3438" i="23"/>
  <c r="K3438" i="23" s="1"/>
  <c r="L4109" i="23"/>
  <c r="K4109" i="23" s="1"/>
  <c r="L3395" i="23"/>
  <c r="K3395" i="23" s="1"/>
  <c r="L3937" i="23"/>
  <c r="K3937" i="23" s="1"/>
  <c r="L3930" i="23"/>
  <c r="K3930" i="23" s="1"/>
  <c r="L4250" i="23"/>
  <c r="K4250" i="23" s="1"/>
  <c r="L3827" i="23"/>
  <c r="K3827" i="23" s="1"/>
  <c r="L4147" i="23"/>
  <c r="K4147" i="23" s="1"/>
  <c r="L3852" i="23"/>
  <c r="K3852" i="23" s="1"/>
  <c r="L4236" i="23"/>
  <c r="K4236" i="23" s="1"/>
  <c r="L4323" i="23"/>
  <c r="K4323" i="23" s="1"/>
  <c r="L4643" i="23"/>
  <c r="K4643" i="23" s="1"/>
  <c r="L4620" i="23"/>
  <c r="K4620" i="23" s="1"/>
  <c r="L4662" i="23"/>
  <c r="K4662" i="23" s="1"/>
  <c r="L4707" i="23"/>
  <c r="K4707" i="23" s="1"/>
  <c r="L4816" i="23"/>
  <c r="K4816" i="23" s="1"/>
  <c r="L2159" i="23"/>
  <c r="K2159" i="23" s="1"/>
  <c r="L2997" i="23"/>
  <c r="K2997" i="23" s="1"/>
  <c r="L2926" i="23"/>
  <c r="K2926" i="23" s="1"/>
  <c r="L3340" i="23"/>
  <c r="K3340" i="23" s="1"/>
  <c r="L2803" i="23"/>
  <c r="K2803" i="23" s="1"/>
  <c r="L3059" i="23"/>
  <c r="K3059" i="23" s="1"/>
  <c r="L2676" i="23"/>
  <c r="K2676" i="23" s="1"/>
  <c r="L3124" i="23"/>
  <c r="K3124" i="23" s="1"/>
  <c r="L3273" i="23"/>
  <c r="K3273" i="23" s="1"/>
  <c r="L3593" i="23"/>
  <c r="K3593" i="23" s="1"/>
  <c r="L3298" i="23"/>
  <c r="K3298" i="23" s="1"/>
  <c r="L3618" i="23"/>
  <c r="K3618" i="23" s="1"/>
  <c r="L4317" i="23"/>
  <c r="K4317" i="23" s="1"/>
  <c r="L3511" i="23"/>
  <c r="K3511" i="23" s="1"/>
  <c r="L4145" i="23"/>
  <c r="K4145" i="23" s="1"/>
  <c r="L3982" i="23"/>
  <c r="K3982" i="23" s="1"/>
  <c r="L4302" i="23"/>
  <c r="K4302" i="23" s="1"/>
  <c r="L3943" i="23"/>
  <c r="K3943" i="23" s="1"/>
  <c r="L4263" i="23"/>
  <c r="K4263" i="23" s="1"/>
  <c r="L3968" i="23"/>
  <c r="K3968" i="23" s="1"/>
  <c r="L4288" i="23"/>
  <c r="K4288" i="23" s="1"/>
  <c r="L4375" i="23"/>
  <c r="K4375" i="23" s="1"/>
  <c r="L4352" i="23"/>
  <c r="K4352" i="23" s="1"/>
  <c r="L4733" i="23"/>
  <c r="K4733" i="23" s="1"/>
  <c r="L4778" i="23"/>
  <c r="K4778" i="23" s="1"/>
  <c r="L4759" i="23"/>
  <c r="K4759" i="23" s="1"/>
  <c r="L4676" i="23"/>
  <c r="K4676" i="23" s="1"/>
  <c r="L2018" i="23"/>
  <c r="K2018" i="23" s="1"/>
  <c r="L2594" i="23"/>
  <c r="K2594" i="23" s="1"/>
  <c r="L2131" i="23"/>
  <c r="K2131" i="23" s="1"/>
  <c r="L2666" i="23"/>
  <c r="K2666" i="23" s="1"/>
  <c r="L2834" i="23"/>
  <c r="K2834" i="23" s="1"/>
  <c r="L3154" i="23"/>
  <c r="K3154" i="23" s="1"/>
  <c r="L2711" i="23"/>
  <c r="K2711" i="23" s="1"/>
  <c r="L3095" i="23"/>
  <c r="K3095" i="23" s="1"/>
  <c r="L2648" i="23"/>
  <c r="K2648" i="23" s="1"/>
  <c r="L3032" i="23"/>
  <c r="K3032" i="23" s="1"/>
  <c r="L3023" i="23"/>
  <c r="K3023" i="23" s="1"/>
  <c r="L2640" i="23"/>
  <c r="K2640" i="23" s="1"/>
  <c r="L2960" i="23"/>
  <c r="K2960" i="23" s="1"/>
  <c r="L3476" i="23"/>
  <c r="K3476" i="23" s="1"/>
  <c r="L3429" i="23"/>
  <c r="K3429" i="23" s="1"/>
  <c r="L3817" i="23"/>
  <c r="K3817" i="23" s="1"/>
  <c r="L3390" i="23"/>
  <c r="K3390" i="23" s="1"/>
  <c r="L3710" i="23"/>
  <c r="K3710" i="23" s="1"/>
  <c r="L3411" i="23"/>
  <c r="K3411" i="23" s="1"/>
  <c r="L4257" i="23"/>
  <c r="K4257" i="23" s="1"/>
  <c r="L4074" i="23"/>
  <c r="K4074" i="23" s="1"/>
  <c r="L3779" i="23"/>
  <c r="K3779" i="23" s="1"/>
  <c r="L4099" i="23"/>
  <c r="K4099" i="23" s="1"/>
  <c r="L3804" i="23"/>
  <c r="K3804" i="23" s="1"/>
  <c r="L4188" i="23"/>
  <c r="K4188" i="23" s="1"/>
  <c r="L4358" i="23"/>
  <c r="K4358" i="23" s="1"/>
  <c r="L4403" i="23"/>
  <c r="K4403" i="23" s="1"/>
  <c r="L4659" i="23"/>
  <c r="K4659" i="23" s="1"/>
  <c r="L4636" i="23"/>
  <c r="K4636" i="23" s="1"/>
  <c r="L4742" i="23"/>
  <c r="K4742" i="23" s="1"/>
  <c r="L4851" i="23"/>
  <c r="K4851" i="23" s="1"/>
  <c r="L4832" i="23"/>
  <c r="K4832" i="23" s="1"/>
  <c r="L2111" i="23"/>
  <c r="K2111" i="23" s="1"/>
  <c r="L2559" i="23"/>
  <c r="K2559" i="23" s="1"/>
  <c r="L2878" i="23"/>
  <c r="K2878" i="23" s="1"/>
  <c r="L3404" i="23"/>
  <c r="K3404" i="23" s="1"/>
  <c r="L2819" i="23"/>
  <c r="K2819" i="23" s="1"/>
  <c r="L3139" i="23"/>
  <c r="K3139" i="23" s="1"/>
  <c r="L2820" i="23"/>
  <c r="K2820" i="23" s="1"/>
  <c r="L3428" i="23"/>
  <c r="K3428" i="23" s="1"/>
  <c r="L3417" i="23"/>
  <c r="K3417" i="23" s="1"/>
  <c r="L3769" i="23"/>
  <c r="K3769" i="23" s="1"/>
  <c r="L3314" i="23"/>
  <c r="K3314" i="23" s="1"/>
  <c r="L3634" i="23"/>
  <c r="K3634" i="23" s="1"/>
  <c r="L3335" i="23"/>
  <c r="K3335" i="23" s="1"/>
  <c r="L3719" i="23"/>
  <c r="K3719" i="23" s="1"/>
  <c r="L3806" i="23"/>
  <c r="K3806" i="23" s="1"/>
  <c r="L4190" i="23"/>
  <c r="K4190" i="23" s="1"/>
  <c r="L3767" i="23"/>
  <c r="K3767" i="23" s="1"/>
  <c r="L4087" i="23"/>
  <c r="K4087" i="23" s="1"/>
  <c r="L3728" i="23"/>
  <c r="K3728" i="23" s="1"/>
  <c r="L3984" i="23"/>
  <c r="K3984" i="23" s="1"/>
  <c r="L4513" i="23"/>
  <c r="K4513" i="23" s="1"/>
  <c r="L4538" i="23"/>
  <c r="K4538" i="23" s="1"/>
  <c r="L4519" i="23"/>
  <c r="K4519" i="23" s="1"/>
  <c r="L4496" i="23"/>
  <c r="K4496" i="23" s="1"/>
  <c r="L4813" i="23"/>
  <c r="K4813" i="23" s="1"/>
  <c r="L4858" i="23"/>
  <c r="K4858" i="23" s="1"/>
  <c r="L4903" i="23"/>
  <c r="K4903" i="23" s="1"/>
  <c r="L4884" i="23"/>
  <c r="K4884" i="23" s="1"/>
  <c r="L2226" i="23"/>
  <c r="K2226" i="23" s="1"/>
  <c r="L2610" i="23"/>
  <c r="K2610" i="23" s="1"/>
  <c r="L1635" i="23"/>
  <c r="K1635" i="23" s="1"/>
  <c r="L2403" i="23"/>
  <c r="K2403" i="23" s="1"/>
  <c r="L2949" i="23"/>
  <c r="K2949" i="23" s="1"/>
  <c r="L2914" i="23"/>
  <c r="K2914" i="23" s="1"/>
  <c r="L3292" i="23"/>
  <c r="K3292" i="23" s="1"/>
  <c r="L2727" i="23"/>
  <c r="K2727" i="23" s="1"/>
  <c r="L3111" i="23"/>
  <c r="K3111" i="23" s="1"/>
  <c r="L2728" i="23"/>
  <c r="K2728" i="23" s="1"/>
  <c r="L3112" i="23"/>
  <c r="K3112" i="23" s="1"/>
  <c r="L4597" i="23"/>
  <c r="K4597" i="23" s="1"/>
  <c r="L3597" i="23"/>
  <c r="K3597" i="23" s="1"/>
  <c r="L4233" i="23"/>
  <c r="K4233" i="23" s="1"/>
  <c r="L3494" i="23"/>
  <c r="K3494" i="23" s="1"/>
  <c r="L3821" i="23"/>
  <c r="K3821" i="23" s="1"/>
  <c r="L3387" i="23"/>
  <c r="K3387" i="23" s="1"/>
  <c r="L3707" i="23"/>
  <c r="K3707" i="23" s="1"/>
  <c r="L4050" i="23"/>
  <c r="K4050" i="23" s="1"/>
  <c r="L3819" i="23"/>
  <c r="K3819" i="23" s="1"/>
  <c r="L4203" i="23"/>
  <c r="K4203" i="23" s="1"/>
  <c r="L3844" i="23"/>
  <c r="K3844" i="23" s="1"/>
  <c r="L4100" i="23"/>
  <c r="K4100" i="23" s="1"/>
  <c r="L4398" i="23"/>
  <c r="K4398" i="23" s="1"/>
  <c r="L4379" i="23"/>
  <c r="K4379" i="23" s="1"/>
  <c r="L4420" i="23"/>
  <c r="K4420" i="23" s="1"/>
  <c r="L4801" i="23"/>
  <c r="K4801" i="23" s="1"/>
  <c r="L4827" i="23"/>
  <c r="K4827" i="23" s="1"/>
  <c r="L5000" i="23"/>
  <c r="K5000" i="23" s="1"/>
  <c r="L3293" i="23"/>
  <c r="K3293" i="23" s="1"/>
  <c r="L3613" i="23"/>
  <c r="K3613" i="23" s="1"/>
  <c r="L3318" i="23"/>
  <c r="K3318" i="23" s="1"/>
  <c r="L3702" i="23"/>
  <c r="K3702" i="23" s="1"/>
  <c r="L3467" i="23"/>
  <c r="K3467" i="23" s="1"/>
  <c r="L3969" i="23"/>
  <c r="K3969" i="23" s="1"/>
  <c r="L3938" i="23"/>
  <c r="K3938" i="23" s="1"/>
  <c r="L4258" i="23"/>
  <c r="K4258" i="23" s="1"/>
  <c r="L3963" i="23"/>
  <c r="K3963" i="23" s="1"/>
  <c r="L4283" i="23"/>
  <c r="K4283" i="23" s="1"/>
  <c r="L3860" i="23"/>
  <c r="K3860" i="23" s="1"/>
  <c r="L4244" i="23"/>
  <c r="K4244" i="23" s="1"/>
  <c r="L4478" i="23"/>
  <c r="K4478" i="23" s="1"/>
  <c r="L4459" i="23"/>
  <c r="K4459" i="23" s="1"/>
  <c r="L4500" i="23"/>
  <c r="K4500" i="23" s="1"/>
  <c r="L4817" i="23"/>
  <c r="K4817" i="23" s="1"/>
  <c r="L4715" i="23"/>
  <c r="K4715" i="23" s="1"/>
  <c r="L4824" i="23"/>
  <c r="K4824" i="23" s="1"/>
  <c r="L3309" i="23"/>
  <c r="K3309" i="23" s="1"/>
  <c r="L3693" i="23"/>
  <c r="K3693" i="23" s="1"/>
  <c r="L3334" i="23"/>
  <c r="K3334" i="23" s="1"/>
  <c r="L3654" i="23"/>
  <c r="K3654" i="23" s="1"/>
  <c r="L3291" i="23"/>
  <c r="K3291" i="23" s="1"/>
  <c r="L3675" i="23"/>
  <c r="K3675" i="23" s="1"/>
  <c r="L3826" i="23"/>
  <c r="K3826" i="23" s="1"/>
  <c r="L4146" i="23"/>
  <c r="K4146" i="23" s="1"/>
  <c r="L3787" i="23"/>
  <c r="K3787" i="23" s="1"/>
  <c r="L4171" i="23"/>
  <c r="K4171" i="23" s="1"/>
  <c r="L3812" i="23"/>
  <c r="K3812" i="23" s="1"/>
  <c r="L4196" i="23"/>
  <c r="K4196" i="23" s="1"/>
  <c r="L4430" i="23"/>
  <c r="K4430" i="23" s="1"/>
  <c r="L4475" i="23"/>
  <c r="K4475" i="23" s="1"/>
  <c r="L4452" i="23"/>
  <c r="K4452" i="23" s="1"/>
  <c r="L4769" i="23"/>
  <c r="K4769" i="23" s="1"/>
  <c r="L4878" i="23"/>
  <c r="K4878" i="23" s="1"/>
  <c r="L4923" i="23"/>
  <c r="K4923" i="23" s="1"/>
  <c r="L4904" i="23"/>
  <c r="K4904" i="23" s="1"/>
  <c r="L3453" i="23"/>
  <c r="K3453" i="23" s="1"/>
  <c r="L3913" i="23"/>
  <c r="K3913" i="23" s="1"/>
  <c r="L3414" i="23"/>
  <c r="K3414" i="23" s="1"/>
  <c r="L3670" i="23"/>
  <c r="K3670" i="23" s="1"/>
  <c r="L3371" i="23"/>
  <c r="K3371" i="23" s="1"/>
  <c r="L3691" i="23"/>
  <c r="K3691" i="23" s="1"/>
  <c r="L3842" i="23"/>
  <c r="K3842" i="23" s="1"/>
  <c r="L4162" i="23"/>
  <c r="K4162" i="23" s="1"/>
  <c r="L3803" i="23"/>
  <c r="K3803" i="23" s="1"/>
  <c r="L4123" i="23"/>
  <c r="K4123" i="23" s="1"/>
  <c r="L3828" i="23"/>
  <c r="K3828" i="23" s="1"/>
  <c r="L4212" i="23"/>
  <c r="K4212" i="23" s="1"/>
  <c r="L4382" i="23"/>
  <c r="K4382" i="23" s="1"/>
  <c r="L4491" i="23"/>
  <c r="K4491" i="23" s="1"/>
  <c r="L4468" i="23"/>
  <c r="K4468" i="23" s="1"/>
  <c r="L4849" i="23"/>
  <c r="K4849" i="23" s="1"/>
  <c r="L4830" i="23"/>
  <c r="K4830" i="23" s="1"/>
  <c r="L4811" i="23"/>
  <c r="K4811" i="23" s="1"/>
  <c r="L4728" i="23"/>
  <c r="K4728" i="23" s="1"/>
  <c r="L1519" i="23"/>
  <c r="K1519" i="23" s="1"/>
  <c r="L834" i="23"/>
  <c r="L380" i="23"/>
  <c r="K380" i="23" s="1"/>
  <c r="L295" i="23"/>
  <c r="L552" i="23"/>
  <c r="L724" i="23"/>
  <c r="L980" i="23"/>
  <c r="L352" i="23"/>
  <c r="L179" i="23"/>
  <c r="L1383" i="23"/>
  <c r="L1694" i="23"/>
  <c r="K1694" i="23" s="1"/>
  <c r="L1374" i="23"/>
  <c r="L2485" i="23"/>
  <c r="K2485" i="23" s="1"/>
  <c r="L2213" i="23"/>
  <c r="K2213" i="23" s="1"/>
  <c r="L1957" i="23"/>
  <c r="K1957" i="23" s="1"/>
  <c r="L1701" i="23"/>
  <c r="K1701" i="23" s="1"/>
  <c r="L1445" i="23"/>
  <c r="L2625" i="23"/>
  <c r="K2625" i="23" s="1"/>
  <c r="L2248" i="23"/>
  <c r="K2248" i="23" s="1"/>
  <c r="L1992" i="23"/>
  <c r="K1992" i="23" s="1"/>
  <c r="L1736" i="23"/>
  <c r="K1736" i="23" s="1"/>
  <c r="L1480" i="23"/>
  <c r="K1480" i="23" s="1"/>
  <c r="L2451" i="23"/>
  <c r="K2451" i="23" s="1"/>
  <c r="L1419" i="23"/>
  <c r="L1070" i="23"/>
  <c r="L814" i="23"/>
  <c r="L558" i="23"/>
  <c r="L302" i="23"/>
  <c r="L1751" i="23"/>
  <c r="K1751" i="23" s="1"/>
  <c r="L2521" i="23"/>
  <c r="K2521" i="23" s="1"/>
  <c r="L2026" i="23"/>
  <c r="K2026" i="23" s="1"/>
  <c r="L1770" i="23"/>
  <c r="K1770" i="23" s="1"/>
  <c r="L1514" i="23"/>
  <c r="K1514" i="23" s="1"/>
  <c r="L3194" i="23"/>
  <c r="K3194" i="23" s="1"/>
  <c r="L2353" i="23"/>
  <c r="K2353" i="23" s="1"/>
  <c r="L2097" i="23"/>
  <c r="K2097" i="23" s="1"/>
  <c r="L1841" i="23"/>
  <c r="K1841" i="23" s="1"/>
  <c r="L1585" i="23"/>
  <c r="K1585" i="23" s="1"/>
  <c r="L1329" i="23"/>
  <c r="K1329" i="23" s="1"/>
  <c r="L2388" i="23"/>
  <c r="K2388" i="23" s="1"/>
  <c r="L2132" i="23"/>
  <c r="K2132" i="23" s="1"/>
  <c r="L1812" i="23"/>
  <c r="K1812" i="23" s="1"/>
  <c r="L1428" i="23"/>
  <c r="L2235" i="23"/>
  <c r="K2235" i="23" s="1"/>
  <c r="L1274" i="23"/>
  <c r="L1018" i="23"/>
  <c r="K1018" i="23" s="1"/>
  <c r="L762" i="23"/>
  <c r="L506" i="23"/>
  <c r="K506" i="23" s="1"/>
  <c r="L2877" i="23"/>
  <c r="K2877" i="23" s="1"/>
  <c r="L1543" i="23"/>
  <c r="L2274" i="23"/>
  <c r="K2274" i="23" s="1"/>
  <c r="L1974" i="23"/>
  <c r="K1974" i="23" s="1"/>
  <c r="L1718" i="23"/>
  <c r="K1718" i="23" s="1"/>
  <c r="L1462" i="23"/>
  <c r="L2837" i="23"/>
  <c r="K2837" i="23" s="1"/>
  <c r="L2301" i="23"/>
  <c r="K2301" i="23" s="1"/>
  <c r="L2045" i="23"/>
  <c r="K2045" i="23" s="1"/>
  <c r="L1789" i="23"/>
  <c r="K1789" i="23" s="1"/>
  <c r="L1533" i="23"/>
  <c r="K1533" i="23" s="1"/>
  <c r="L2978" i="23"/>
  <c r="K2978" i="23" s="1"/>
  <c r="L2336" i="23"/>
  <c r="K2336" i="23" s="1"/>
  <c r="L2016" i="23"/>
  <c r="K2016" i="23" s="1"/>
  <c r="L1696" i="23"/>
  <c r="K1696" i="23" s="1"/>
  <c r="L1376" i="23"/>
  <c r="L2027" i="23"/>
  <c r="K2027" i="23" s="1"/>
  <c r="L1222" i="23"/>
  <c r="L902" i="23"/>
  <c r="L646" i="23"/>
  <c r="K646" i="23" s="1"/>
  <c r="L390" i="23"/>
  <c r="L1847" i="23"/>
  <c r="K1847" i="23" s="1"/>
  <c r="L1113" i="23"/>
  <c r="L857" i="23"/>
  <c r="L601" i="23"/>
  <c r="L345" i="23"/>
  <c r="L1923" i="23"/>
  <c r="K1923" i="23" s="1"/>
  <c r="L1196" i="23"/>
  <c r="K1196" i="23" s="1"/>
  <c r="L940" i="23"/>
  <c r="L684" i="23"/>
  <c r="L1983" i="23"/>
  <c r="K1983" i="23" s="1"/>
  <c r="L241" i="23"/>
  <c r="L1007" i="23"/>
  <c r="L1191" i="23"/>
  <c r="K1191" i="23" s="1"/>
  <c r="L234" i="23"/>
  <c r="L1219" i="23"/>
  <c r="L243" i="23"/>
  <c r="L4909" i="23"/>
  <c r="K4909" i="23" s="1"/>
  <c r="L4933" i="23"/>
  <c r="K4933" i="23" s="1"/>
  <c r="L949" i="23"/>
  <c r="K949" i="23" s="1"/>
  <c r="L501" i="23"/>
  <c r="L2797" i="23"/>
  <c r="K2797" i="23" s="1"/>
  <c r="L1523" i="23"/>
  <c r="K1523" i="23" s="1"/>
  <c r="L840" i="23"/>
  <c r="L328" i="23"/>
  <c r="K328" i="23" s="1"/>
  <c r="L811" i="23"/>
  <c r="L70" i="23"/>
  <c r="L2351" i="23"/>
  <c r="K2351" i="23" s="1"/>
  <c r="L193" i="23"/>
  <c r="L819" i="23"/>
  <c r="L495" i="23"/>
  <c r="L4977" i="23"/>
  <c r="K4977" i="23" s="1"/>
  <c r="L1073" i="23"/>
  <c r="L817" i="23"/>
  <c r="L561" i="23"/>
  <c r="L2733" i="23"/>
  <c r="K2733" i="23" s="1"/>
  <c r="L1507" i="23"/>
  <c r="L900" i="23"/>
  <c r="L260" i="23"/>
  <c r="K260" i="23" s="1"/>
  <c r="L539" i="23"/>
  <c r="L559" i="23"/>
  <c r="L775" i="23"/>
  <c r="L125" i="23"/>
  <c r="L1059" i="23"/>
  <c r="L132" i="23"/>
  <c r="K132" i="23" s="1"/>
  <c r="L4934" i="23"/>
  <c r="K4934" i="23" s="1"/>
  <c r="L4896" i="23"/>
  <c r="K4896" i="23" s="1"/>
  <c r="L957" i="23"/>
  <c r="K957" i="23" s="1"/>
  <c r="L701" i="23"/>
  <c r="L381" i="23"/>
  <c r="K381" i="23" s="1"/>
  <c r="L2067" i="23"/>
  <c r="K2067" i="23" s="1"/>
  <c r="L1232" i="23"/>
  <c r="L656" i="23"/>
  <c r="K656" i="23" s="1"/>
  <c r="L1099" i="23"/>
  <c r="K1099" i="23" s="1"/>
  <c r="L142" i="23"/>
  <c r="K142" i="23" s="1"/>
  <c r="L1079" i="23"/>
  <c r="K1079" i="23" s="1"/>
  <c r="L73" i="23"/>
  <c r="L339" i="23"/>
  <c r="K339" i="23" s="1"/>
  <c r="L155" i="23"/>
  <c r="L4945" i="23"/>
  <c r="K4945" i="23" s="1"/>
  <c r="L2151" i="23"/>
  <c r="K2151" i="23" s="1"/>
  <c r="L1550" i="23"/>
  <c r="L1294" i="23"/>
  <c r="L2389" i="23"/>
  <c r="K2389" i="23" s="1"/>
  <c r="L1813" i="23"/>
  <c r="K1813" i="23" s="1"/>
  <c r="L1365" i="23"/>
  <c r="L2425" i="23"/>
  <c r="K2425" i="23" s="1"/>
  <c r="L2040" i="23"/>
  <c r="K2040" i="23" s="1"/>
  <c r="L1784" i="23"/>
  <c r="K1784" i="23" s="1"/>
  <c r="L1528" i="23"/>
  <c r="K1528" i="23" s="1"/>
  <c r="L2379" i="23"/>
  <c r="K2379" i="23" s="1"/>
  <c r="L1246" i="23"/>
  <c r="L990" i="23"/>
  <c r="L670" i="23"/>
  <c r="L286" i="23"/>
  <c r="L1201" i="23"/>
  <c r="K1201" i="23" s="1"/>
  <c r="L1626" i="23"/>
  <c r="K1626" i="23" s="1"/>
  <c r="L2725" i="23"/>
  <c r="K2725" i="23" s="1"/>
  <c r="L2209" i="23"/>
  <c r="K2209" i="23" s="1"/>
  <c r="L1953" i="23"/>
  <c r="K1953" i="23" s="1"/>
  <c r="L1697" i="23"/>
  <c r="K1697" i="23" s="1"/>
  <c r="L1441" i="23"/>
  <c r="L2180" i="23"/>
  <c r="K2180" i="23" s="1"/>
  <c r="L1796" i="23"/>
  <c r="K1796" i="23" s="1"/>
  <c r="L1412" i="23"/>
  <c r="L1194" i="23"/>
  <c r="K1194" i="23" s="1"/>
  <c r="L938" i="23"/>
  <c r="L554" i="23"/>
  <c r="L1991" i="23"/>
  <c r="K1991" i="23" s="1"/>
  <c r="L2242" i="23"/>
  <c r="K2242" i="23" s="1"/>
  <c r="L1958" i="23"/>
  <c r="K1958" i="23" s="1"/>
  <c r="L1318" i="23"/>
  <c r="K1318" i="23" s="1"/>
  <c r="L2285" i="23"/>
  <c r="K2285" i="23" s="1"/>
  <c r="L1901" i="23"/>
  <c r="K1901" i="23" s="1"/>
  <c r="L1581" i="23"/>
  <c r="K1581" i="23" s="1"/>
  <c r="L2457" i="23"/>
  <c r="K2457" i="23" s="1"/>
  <c r="L1680" i="23"/>
  <c r="K1680" i="23" s="1"/>
  <c r="L2219" i="23"/>
  <c r="K2219" i="23" s="1"/>
  <c r="L758" i="23"/>
  <c r="L1297" i="23"/>
  <c r="L329" i="23"/>
  <c r="K329" i="23" s="1"/>
  <c r="L1603" i="23"/>
  <c r="L540" i="23"/>
  <c r="L1147" i="23"/>
  <c r="K1147" i="23" s="1"/>
  <c r="L26" i="23"/>
  <c r="L615" i="23"/>
  <c r="L387" i="23"/>
  <c r="L767" i="23"/>
  <c r="L4897" i="23"/>
  <c r="K4897" i="23" s="1"/>
  <c r="L549" i="23"/>
  <c r="L1971" i="23"/>
  <c r="K1971" i="23" s="1"/>
  <c r="L888" i="23"/>
  <c r="K888" i="23" s="1"/>
  <c r="L440" i="23"/>
  <c r="L2175" i="23"/>
  <c r="K2175" i="23" s="1"/>
  <c r="L113" i="23"/>
  <c r="L259" i="23"/>
  <c r="K259" i="23" s="1"/>
  <c r="L351" i="23"/>
  <c r="L4922" i="23"/>
  <c r="K4922" i="23" s="1"/>
  <c r="L1057" i="23"/>
  <c r="L289" i="23"/>
  <c r="L1268" i="23"/>
  <c r="K1268" i="23" s="1"/>
  <c r="L756" i="23"/>
  <c r="L372" i="23"/>
  <c r="K372" i="23" s="1"/>
  <c r="L251" i="23"/>
  <c r="K251" i="23" s="1"/>
  <c r="L109" i="23"/>
  <c r="L254" i="23"/>
  <c r="K254" i="23" s="1"/>
  <c r="L2255" i="23"/>
  <c r="K2255" i="23" s="1"/>
  <c r="L4965" i="23"/>
  <c r="K4965" i="23" s="1"/>
  <c r="L2669" i="23"/>
  <c r="K2669" i="23" s="1"/>
  <c r="L1491" i="23"/>
  <c r="L320" i="23"/>
  <c r="L190" i="23"/>
  <c r="L687" i="23"/>
  <c r="L415" i="23"/>
  <c r="L2433" i="23"/>
  <c r="K2433" i="23" s="1"/>
  <c r="L2245" i="23"/>
  <c r="K2245" i="23" s="1"/>
  <c r="L2753" i="23"/>
  <c r="K2753" i="23" s="1"/>
  <c r="L1512" i="23"/>
  <c r="L1102" i="23"/>
  <c r="K1102" i="23" s="1"/>
  <c r="L1879" i="23"/>
  <c r="K1879" i="23" s="1"/>
  <c r="L1546" i="23"/>
  <c r="L2129" i="23"/>
  <c r="K2129" i="23" s="1"/>
  <c r="L2420" i="23"/>
  <c r="K2420" i="23" s="1"/>
  <c r="L1396" i="23"/>
  <c r="K1396" i="23" s="1"/>
  <c r="L730" i="23"/>
  <c r="L2210" i="23"/>
  <c r="K2210" i="23" s="1"/>
  <c r="L2709" i="23"/>
  <c r="K2709" i="23" s="1"/>
  <c r="L1501" i="23"/>
  <c r="L1792" i="23"/>
  <c r="K1792" i="23" s="1"/>
  <c r="L1126" i="23"/>
  <c r="L1975" i="23"/>
  <c r="K1975" i="23" s="1"/>
  <c r="L441" i="23"/>
  <c r="L780" i="23"/>
  <c r="L827" i="23"/>
  <c r="L197" i="23"/>
  <c r="K197" i="23" s="1"/>
  <c r="L140" i="23"/>
  <c r="K140" i="23" s="1"/>
  <c r="L4926" i="23"/>
  <c r="K4926" i="23" s="1"/>
  <c r="L405" i="23"/>
  <c r="L808" i="23"/>
  <c r="L683" i="23"/>
  <c r="L919" i="23"/>
  <c r="L40" i="23"/>
  <c r="K40" i="23" s="1"/>
  <c r="L849" i="23"/>
  <c r="L1252" i="23"/>
  <c r="K1252" i="23" s="1"/>
  <c r="L676" i="23"/>
  <c r="L93" i="23"/>
  <c r="K93" i="23" s="1"/>
  <c r="L541" i="23"/>
  <c r="L880" i="23"/>
  <c r="K880" i="23" s="1"/>
  <c r="L246" i="23"/>
  <c r="L21" i="23"/>
  <c r="L4893" i="23"/>
  <c r="K4893" i="23" s="1"/>
  <c r="L1726" i="23"/>
  <c r="K1726" i="23" s="1"/>
  <c r="L2037" i="23"/>
  <c r="K2037" i="23" s="1"/>
  <c r="L2328" i="23"/>
  <c r="K2328" i="23" s="1"/>
  <c r="L1304" i="23"/>
  <c r="L894" i="23"/>
  <c r="K894" i="23" s="1"/>
  <c r="L1233" i="23"/>
  <c r="L1338" i="23"/>
  <c r="L1665" i="23"/>
  <c r="K1665" i="23" s="1"/>
  <c r="L1956" i="23"/>
  <c r="K1956" i="23" s="1"/>
  <c r="L1299" i="23"/>
  <c r="L3632" i="23"/>
  <c r="K3632" i="23" s="1"/>
  <c r="L1734" i="23"/>
  <c r="K1734" i="23" s="1"/>
  <c r="L2061" i="23"/>
  <c r="K2061" i="23" s="1"/>
  <c r="L2352" i="23"/>
  <c r="K2352" i="23" s="1"/>
  <c r="L1328" i="23"/>
  <c r="K1328" i="23" s="1"/>
  <c r="L662" i="23"/>
  <c r="L1001" i="23"/>
  <c r="L1475" i="23"/>
  <c r="K1475" i="23" s="1"/>
  <c r="L1135" i="23"/>
  <c r="K1135" i="23" s="1"/>
  <c r="L623" i="23"/>
  <c r="L1119" i="23"/>
  <c r="L709" i="23"/>
  <c r="L1048" i="23"/>
  <c r="L875" i="23"/>
  <c r="L209" i="23"/>
  <c r="K209" i="23" s="1"/>
  <c r="L703" i="23"/>
  <c r="L705" i="23"/>
  <c r="L1044" i="23"/>
  <c r="L859" i="23"/>
  <c r="L205" i="23"/>
  <c r="K205" i="23" s="1"/>
  <c r="L163" i="23"/>
  <c r="L845" i="23"/>
  <c r="L1184" i="23"/>
  <c r="L288" i="23"/>
  <c r="L23" i="23"/>
  <c r="L403" i="23"/>
  <c r="L4930" i="23"/>
  <c r="K4930" i="23" s="1"/>
  <c r="L1959" i="23"/>
  <c r="K1959" i="23" s="1"/>
  <c r="L1122" i="23"/>
  <c r="L1788" i="23"/>
  <c r="K1788" i="23" s="1"/>
  <c r="L1497" i="23"/>
  <c r="L2693" i="23"/>
  <c r="K2693" i="23" s="1"/>
  <c r="L2206" i="23"/>
  <c r="K2206" i="23" s="1"/>
  <c r="L2906" i="23"/>
  <c r="K2906" i="23" s="1"/>
  <c r="L2572" i="23"/>
  <c r="K2572" i="23" s="1"/>
  <c r="L3403" i="23"/>
  <c r="K3403" i="23" s="1"/>
  <c r="L3093" i="23"/>
  <c r="K3093" i="23" s="1"/>
  <c r="L3905" i="23"/>
  <c r="K3905" i="23" s="1"/>
  <c r="L2558" i="23"/>
  <c r="K2558" i="23" s="1"/>
  <c r="L2903" i="23"/>
  <c r="K2903" i="23" s="1"/>
  <c r="L3055" i="23"/>
  <c r="K3055" i="23" s="1"/>
  <c r="L3424" i="23"/>
  <c r="K3424" i="23" s="1"/>
  <c r="L3557" i="23"/>
  <c r="K3557" i="23" s="1"/>
  <c r="L2530" i="23"/>
  <c r="K2530" i="23" s="1"/>
  <c r="L2875" i="23"/>
  <c r="K2875" i="23" s="1"/>
  <c r="L3027" i="23"/>
  <c r="K3027" i="23" s="1"/>
  <c r="L3396" i="23"/>
  <c r="K3396" i="23" s="1"/>
  <c r="L3529" i="23"/>
  <c r="K3529" i="23" s="1"/>
  <c r="L2601" i="23"/>
  <c r="K2601" i="23" s="1"/>
  <c r="L2623" i="23"/>
  <c r="K2623" i="23" s="1"/>
  <c r="L2968" i="23"/>
  <c r="K2968" i="23" s="1"/>
  <c r="L3144" i="23"/>
  <c r="K3144" i="23" s="1"/>
  <c r="L3512" i="23"/>
  <c r="K3512" i="23" s="1"/>
  <c r="L3778" i="23"/>
  <c r="K3778" i="23" s="1"/>
  <c r="L4394" i="23"/>
  <c r="K4394" i="23" s="1"/>
  <c r="L4390" i="23"/>
  <c r="K4390" i="23" s="1"/>
  <c r="L4309" i="23"/>
  <c r="K4309" i="23" s="1"/>
  <c r="L4446" i="23"/>
  <c r="K4446" i="23" s="1"/>
  <c r="L4605" i="23"/>
  <c r="K4605" i="23" s="1"/>
  <c r="L3783" i="23"/>
  <c r="K3783" i="23" s="1"/>
  <c r="L4450" i="23"/>
  <c r="K4450" i="23" s="1"/>
  <c r="L4782" i="23"/>
  <c r="K4782" i="23" s="1"/>
  <c r="L4062" i="23"/>
  <c r="K4062" i="23" s="1"/>
  <c r="L4570" i="23"/>
  <c r="K4570" i="23" s="1"/>
  <c r="L4722" i="23"/>
  <c r="K4722" i="23" s="1"/>
  <c r="L4369" i="23"/>
  <c r="K4369" i="23" s="1"/>
  <c r="L4685" i="23"/>
  <c r="K4685" i="23" s="1"/>
  <c r="L4584" i="23"/>
  <c r="K4584" i="23" s="1"/>
  <c r="L4671" i="23"/>
  <c r="K4671" i="23" s="1"/>
  <c r="L2302" i="23"/>
  <c r="K2302" i="23" s="1"/>
  <c r="L818" i="23"/>
  <c r="L1484" i="23"/>
  <c r="K1484" i="23" s="1"/>
  <c r="L2641" i="23"/>
  <c r="K2641" i="23" s="1"/>
  <c r="L2217" i="23"/>
  <c r="K2217" i="23" s="1"/>
  <c r="L1890" i="23"/>
  <c r="K1890" i="23" s="1"/>
  <c r="L2602" i="23"/>
  <c r="K2602" i="23" s="1"/>
  <c r="L2947" i="23"/>
  <c r="K2947" i="23" s="1"/>
  <c r="L3099" i="23"/>
  <c r="K3099" i="23" s="1"/>
  <c r="L3470" i="23"/>
  <c r="K3470" i="23" s="1"/>
  <c r="L3601" i="23"/>
  <c r="K3601" i="23" s="1"/>
  <c r="L2505" i="23"/>
  <c r="K2505" i="23" s="1"/>
  <c r="L2599" i="23"/>
  <c r="K2599" i="23" s="1"/>
  <c r="L2944" i="23"/>
  <c r="K2944" i="23" s="1"/>
  <c r="L3120" i="23"/>
  <c r="K3120" i="23" s="1"/>
  <c r="L3466" i="23"/>
  <c r="K3466" i="23" s="1"/>
  <c r="L3754" i="23"/>
  <c r="K3754" i="23" s="1"/>
  <c r="L2571" i="23"/>
  <c r="K2571" i="23" s="1"/>
  <c r="L2916" i="23"/>
  <c r="K2916" i="23" s="1"/>
  <c r="L3092" i="23"/>
  <c r="K3092" i="23" s="1"/>
  <c r="L3437" i="23"/>
  <c r="K3437" i="23" s="1"/>
  <c r="L3726" i="23"/>
  <c r="K3726" i="23" s="1"/>
  <c r="L3012" i="23"/>
  <c r="K3012" i="23" s="1"/>
  <c r="L2664" i="23"/>
  <c r="K2664" i="23" s="1"/>
  <c r="L3524" i="23"/>
  <c r="K3524" i="23" s="1"/>
  <c r="L3185" i="23"/>
  <c r="K3185" i="23" s="1"/>
  <c r="L3997" i="23"/>
  <c r="K3997" i="23" s="1"/>
  <c r="L3823" i="23"/>
  <c r="K3823" i="23" s="1"/>
  <c r="L4678" i="23"/>
  <c r="K4678" i="23" s="1"/>
  <c r="L3814" i="23"/>
  <c r="K3814" i="23" s="1"/>
  <c r="L4054" i="23"/>
  <c r="K4054" i="23" s="1"/>
  <c r="L4534" i="23"/>
  <c r="K4534" i="23" s="1"/>
  <c r="L3479" i="23"/>
  <c r="K3479" i="23" s="1"/>
  <c r="L4618" i="23"/>
  <c r="K4618" i="23" s="1"/>
  <c r="L4714" i="23"/>
  <c r="K4714" i="23" s="1"/>
  <c r="L3867" i="23"/>
  <c r="K3867" i="23" s="1"/>
  <c r="L4084" i="23"/>
  <c r="K4084" i="23" s="1"/>
  <c r="L4862" i="23"/>
  <c r="K4862" i="23" s="1"/>
  <c r="L4983" i="23"/>
  <c r="K4983" i="23" s="1"/>
  <c r="L4644" i="23"/>
  <c r="K4644" i="23" s="1"/>
  <c r="L4619" i="23"/>
  <c r="K4619" i="23" s="1"/>
  <c r="L4473" i="23"/>
  <c r="K4473" i="23" s="1"/>
  <c r="L4789" i="23"/>
  <c r="K4789" i="23" s="1"/>
  <c r="L2343" i="23"/>
  <c r="K2343" i="23" s="1"/>
  <c r="L1218" i="23"/>
  <c r="L1884" i="23"/>
  <c r="K1884" i="23" s="1"/>
  <c r="L1593" i="23"/>
  <c r="L3322" i="23"/>
  <c r="K3322" i="23" s="1"/>
  <c r="L2198" i="23"/>
  <c r="K2198" i="23" s="1"/>
  <c r="L3022" i="23"/>
  <c r="K3022" i="23" s="1"/>
  <c r="L2668" i="23"/>
  <c r="K2668" i="23" s="1"/>
  <c r="L3532" i="23"/>
  <c r="K3532" i="23" s="1"/>
  <c r="L3189" i="23"/>
  <c r="K3189" i="23" s="1"/>
  <c r="L4001" i="23"/>
  <c r="K4001" i="23" s="1"/>
  <c r="L2654" i="23"/>
  <c r="K2654" i="23" s="1"/>
  <c r="L3014" i="23"/>
  <c r="K3014" i="23" s="1"/>
  <c r="L3151" i="23"/>
  <c r="K3151" i="23" s="1"/>
  <c r="L3574" i="23"/>
  <c r="K3574" i="23" s="1"/>
  <c r="L3653" i="23"/>
  <c r="K3653" i="23" s="1"/>
  <c r="L2626" i="23"/>
  <c r="K2626" i="23" s="1"/>
  <c r="L2971" i="23"/>
  <c r="K2971" i="23" s="1"/>
  <c r="L3123" i="23"/>
  <c r="K3123" i="23" s="1"/>
  <c r="L3518" i="23"/>
  <c r="K3518" i="23" s="1"/>
  <c r="L3625" i="23"/>
  <c r="K3625" i="23" s="1"/>
  <c r="L2989" i="23"/>
  <c r="K2989" i="23" s="1"/>
  <c r="L2719" i="23"/>
  <c r="K2719" i="23" s="1"/>
  <c r="L3270" i="23"/>
  <c r="K3270" i="23" s="1"/>
  <c r="L3240" i="23"/>
  <c r="K3240" i="23" s="1"/>
  <c r="L3788" i="23"/>
  <c r="K3788" i="23" s="1"/>
  <c r="L3874" i="23"/>
  <c r="K3874" i="23" s="1"/>
  <c r="L4114" i="23"/>
  <c r="K4114" i="23" s="1"/>
  <c r="L4339" i="23"/>
  <c r="K4339" i="23" s="1"/>
  <c r="L3539" i="23"/>
  <c r="K3539" i="23" s="1"/>
  <c r="L4115" i="23"/>
  <c r="K4115" i="23" s="1"/>
  <c r="L4360" i="23"/>
  <c r="K4360" i="23" s="1"/>
  <c r="L3879" i="23"/>
  <c r="K3879" i="23" s="1"/>
  <c r="L4096" i="23"/>
  <c r="K4096" i="23" s="1"/>
  <c r="L3918" i="23"/>
  <c r="K3918" i="23" s="1"/>
  <c r="L4158" i="23"/>
  <c r="K4158" i="23" s="1"/>
  <c r="L4383" i="23"/>
  <c r="K4383" i="23" s="1"/>
  <c r="L4611" i="23"/>
  <c r="K4611" i="23" s="1"/>
  <c r="L4465" i="23"/>
  <c r="K4465" i="23" s="1"/>
  <c r="L4781" i="23"/>
  <c r="K4781" i="23" s="1"/>
  <c r="L4680" i="23"/>
  <c r="K4680" i="23" s="1"/>
  <c r="L4767" i="23"/>
  <c r="K4767" i="23" s="1"/>
  <c r="L1042" i="23"/>
  <c r="L1708" i="23"/>
  <c r="K1708" i="23" s="1"/>
  <c r="L1417" i="23"/>
  <c r="L2448" i="23"/>
  <c r="K2448" i="23" s="1"/>
  <c r="L2114" i="23"/>
  <c r="K2114" i="23" s="1"/>
  <c r="L2826" i="23"/>
  <c r="K2826" i="23" s="1"/>
  <c r="L2492" i="23"/>
  <c r="K2492" i="23" s="1"/>
  <c r="L3323" i="23"/>
  <c r="K3323" i="23" s="1"/>
  <c r="L3013" i="23"/>
  <c r="K3013" i="23" s="1"/>
  <c r="L3825" i="23"/>
  <c r="K3825" i="23" s="1"/>
  <c r="L2478" i="23"/>
  <c r="K2478" i="23" s="1"/>
  <c r="L2823" i="23"/>
  <c r="K2823" i="23" s="1"/>
  <c r="L2975" i="23"/>
  <c r="K2975" i="23" s="1"/>
  <c r="L3344" i="23"/>
  <c r="K3344" i="23" s="1"/>
  <c r="L3477" i="23"/>
  <c r="K3477" i="23" s="1"/>
  <c r="L2450" i="23"/>
  <c r="K2450" i="23" s="1"/>
  <c r="L2795" i="23"/>
  <c r="K2795" i="23" s="1"/>
  <c r="L3744" i="23"/>
  <c r="K3744" i="23" s="1"/>
  <c r="L3316" i="23"/>
  <c r="K3316" i="23" s="1"/>
  <c r="L4205" i="23"/>
  <c r="K4205" i="23" s="1"/>
  <c r="L2418" i="23"/>
  <c r="K2418" i="23" s="1"/>
  <c r="L2543" i="23"/>
  <c r="K2543" i="23" s="1"/>
  <c r="L2888" i="23"/>
  <c r="K2888" i="23" s="1"/>
  <c r="L3064" i="23"/>
  <c r="K3064" i="23" s="1"/>
  <c r="L3409" i="23"/>
  <c r="K3409" i="23" s="1"/>
  <c r="L3698" i="23"/>
  <c r="K3698" i="23" s="1"/>
  <c r="L4051" i="23"/>
  <c r="K4051" i="23" s="1"/>
  <c r="L4264" i="23"/>
  <c r="K4264" i="23" s="1"/>
  <c r="L4039" i="23"/>
  <c r="K4039" i="23" s="1"/>
  <c r="L4278" i="23"/>
  <c r="K4278" i="23" s="1"/>
  <c r="L4503" i="23"/>
  <c r="K4503" i="23" s="1"/>
  <c r="L3703" i="23"/>
  <c r="K3703" i="23" s="1"/>
  <c r="L4279" i="23"/>
  <c r="K4279" i="23" s="1"/>
  <c r="L4524" i="23"/>
  <c r="K4524" i="23" s="1"/>
  <c r="L4201" i="23"/>
  <c r="K4201" i="23" s="1"/>
  <c r="L4308" i="23"/>
  <c r="K4308" i="23" s="1"/>
  <c r="L4541" i="23"/>
  <c r="K4541" i="23" s="1"/>
  <c r="L4857" i="23"/>
  <c r="K4857" i="23" s="1"/>
  <c r="L4871" i="23"/>
  <c r="K4871" i="23" s="1"/>
  <c r="L4843" i="23"/>
  <c r="K4843" i="23" s="1"/>
  <c r="L4591" i="23"/>
  <c r="K4591" i="23" s="1"/>
  <c r="L5" i="23"/>
  <c r="L3019" i="23"/>
  <c r="K3019" i="23" s="1"/>
  <c r="L3460" i="23"/>
  <c r="K3460" i="23" s="1"/>
  <c r="L3450" i="23"/>
  <c r="K3450" i="23" s="1"/>
  <c r="L3878" i="23"/>
  <c r="K3878" i="23" s="1"/>
  <c r="L3800" i="23"/>
  <c r="K3800" i="23" s="1"/>
  <c r="L4655" i="23"/>
  <c r="K4655" i="23" s="1"/>
  <c r="L529" i="23"/>
  <c r="K529" i="23" s="1"/>
  <c r="L3384" i="23"/>
  <c r="K3384" i="23" s="1"/>
  <c r="L933" i="23"/>
  <c r="L1106" i="23"/>
  <c r="L1039" i="23"/>
  <c r="L2229" i="23"/>
  <c r="K2229" i="23" s="1"/>
  <c r="L2838" i="23"/>
  <c r="K2838" i="23" s="1"/>
  <c r="L137" i="23"/>
  <c r="K137" i="23" s="1"/>
  <c r="L211" i="23"/>
  <c r="K211" i="23" s="1"/>
  <c r="L674" i="23"/>
  <c r="L863" i="23"/>
  <c r="L2053" i="23"/>
  <c r="K2053" i="23" s="1"/>
  <c r="L1722" i="23"/>
  <c r="K1722" i="23" s="1"/>
  <c r="L2615" i="23"/>
  <c r="K2615" i="23" s="1"/>
  <c r="L269" i="23"/>
  <c r="K269" i="23" s="1"/>
  <c r="L773" i="23"/>
  <c r="L690" i="23"/>
  <c r="L1391" i="23"/>
  <c r="K1391" i="23" s="1"/>
  <c r="L1738" i="23"/>
  <c r="K1738" i="23" s="1"/>
  <c r="L1671" i="23"/>
  <c r="K1671" i="23" s="1"/>
  <c r="L3648" i="23"/>
  <c r="K3648" i="23" s="1"/>
  <c r="L3647" i="23"/>
  <c r="K3647" i="23" s="1"/>
  <c r="L4381" i="23"/>
  <c r="K4381" i="23" s="1"/>
  <c r="L4511" i="23"/>
  <c r="K4511" i="23" s="1"/>
  <c r="L1436" i="23"/>
  <c r="L202" i="23"/>
  <c r="K202" i="23" s="1"/>
  <c r="L608" i="23"/>
  <c r="L649" i="23"/>
  <c r="K649" i="23" s="1"/>
  <c r="L969" i="23"/>
  <c r="K969" i="23" s="1"/>
  <c r="L1289" i="23"/>
  <c r="L2020" i="23"/>
  <c r="K2020" i="23" s="1"/>
  <c r="L630" i="23"/>
  <c r="L950" i="23"/>
  <c r="K950" i="23" s="1"/>
  <c r="L1688" i="23"/>
  <c r="K1688" i="23" s="1"/>
  <c r="L2905" i="23"/>
  <c r="K2905" i="23" s="1"/>
  <c r="L755" i="23"/>
  <c r="L1203" i="23"/>
  <c r="K1203" i="23" s="1"/>
  <c r="L1932" i="23"/>
  <c r="K1932" i="23" s="1"/>
  <c r="L1561" i="23"/>
  <c r="L1881" i="23"/>
  <c r="K1881" i="23" s="1"/>
  <c r="L2201" i="23"/>
  <c r="K2201" i="23" s="1"/>
  <c r="L2909" i="23"/>
  <c r="K2909" i="23" s="1"/>
  <c r="L1806" i="23"/>
  <c r="K1806" i="23" s="1"/>
  <c r="L2182" i="23"/>
  <c r="K2182" i="23" s="1"/>
  <c r="L2606" i="23"/>
  <c r="K2606" i="23" s="1"/>
  <c r="L1883" i="23"/>
  <c r="K1883" i="23" s="1"/>
  <c r="L2523" i="23"/>
  <c r="K2523" i="23" s="1"/>
  <c r="L3078" i="23"/>
  <c r="K3078" i="23" s="1"/>
  <c r="L3425" i="23"/>
  <c r="K3425" i="23" s="1"/>
  <c r="L3901" i="23"/>
  <c r="K3901" i="23" s="1"/>
  <c r="L3942" i="23"/>
  <c r="K3942" i="23" s="1"/>
  <c r="L4546" i="23"/>
  <c r="K4546" i="23" s="1"/>
  <c r="L4719" i="23"/>
  <c r="K4719" i="23" s="1"/>
  <c r="L1904" i="23"/>
  <c r="K1904" i="23" s="1"/>
  <c r="L174" i="23"/>
  <c r="L1264" i="23"/>
  <c r="K1264" i="23" s="1"/>
  <c r="L685" i="23"/>
  <c r="L1069" i="23"/>
  <c r="L1453" i="23"/>
  <c r="L666" i="23"/>
  <c r="L1050" i="23"/>
  <c r="L1576" i="23"/>
  <c r="K1576" i="23" s="1"/>
  <c r="L2600" i="23"/>
  <c r="K2600" i="23" s="1"/>
  <c r="L855" i="23"/>
  <c r="K855" i="23" s="1"/>
  <c r="L1367" i="23"/>
  <c r="L2332" i="23"/>
  <c r="K2332" i="23" s="1"/>
  <c r="L2557" i="23"/>
  <c r="K2557" i="23" s="1"/>
  <c r="L1586" i="23"/>
  <c r="L1906" i="23"/>
  <c r="K1906" i="23" s="1"/>
  <c r="L2689" i="23"/>
  <c r="K2689" i="23" s="1"/>
  <c r="L2087" i="23"/>
  <c r="K2087" i="23" s="1"/>
  <c r="L2726" i="23"/>
  <c r="K2726" i="23" s="1"/>
  <c r="L2716" i="23"/>
  <c r="K2716" i="23" s="1"/>
  <c r="L4121" i="23"/>
  <c r="K4121" i="23" s="1"/>
  <c r="L3793" i="23"/>
  <c r="K3793" i="23" s="1"/>
  <c r="L3919" i="23"/>
  <c r="K3919" i="23" s="1"/>
  <c r="L4351" i="23"/>
  <c r="K4351" i="23" s="1"/>
  <c r="L4863" i="23"/>
  <c r="K4863" i="23" s="1"/>
  <c r="L1712" i="23"/>
  <c r="K1712" i="23" s="1"/>
  <c r="L290" i="23"/>
  <c r="L960" i="23"/>
  <c r="K960" i="23" s="1"/>
  <c r="L609" i="23"/>
  <c r="L929" i="23"/>
  <c r="L1313" i="23"/>
  <c r="L2116" i="23"/>
  <c r="K2116" i="23" s="1"/>
  <c r="L526" i="23"/>
  <c r="K526" i="23" s="1"/>
  <c r="L910" i="23"/>
  <c r="L1230" i="23"/>
  <c r="L715" i="23"/>
  <c r="L1163" i="23"/>
  <c r="L2284" i="23"/>
  <c r="K2284" i="23" s="1"/>
  <c r="L2609" i="23"/>
  <c r="K2609" i="23" s="1"/>
  <c r="L1638" i="23"/>
  <c r="K1638" i="23" s="1"/>
  <c r="L2214" i="23"/>
  <c r="K2214" i="23" s="1"/>
  <c r="L2554" i="23"/>
  <c r="K2554" i="23" s="1"/>
  <c r="L1623" i="23"/>
  <c r="K1623" i="23" s="1"/>
  <c r="L2315" i="23"/>
  <c r="K2315" i="23" s="1"/>
  <c r="L2954" i="23"/>
  <c r="K2954" i="23" s="1"/>
  <c r="L3179" i="23"/>
  <c r="K3179" i="23" s="1"/>
  <c r="L3354" i="23"/>
  <c r="K3354" i="23" s="1"/>
  <c r="L3782" i="23"/>
  <c r="K3782" i="23" s="1"/>
  <c r="L4573" i="23"/>
  <c r="K4573" i="23" s="1"/>
  <c r="L4642" i="23"/>
  <c r="K4642" i="23" s="1"/>
  <c r="L4815" i="23"/>
  <c r="K4815" i="23" s="1"/>
  <c r="L3114" i="23"/>
  <c r="K3114" i="23" s="1"/>
  <c r="L2671" i="23"/>
  <c r="K2671" i="23" s="1"/>
  <c r="L596" i="23"/>
  <c r="L446" i="23"/>
  <c r="L1920" i="23"/>
  <c r="K1920" i="23" s="1"/>
  <c r="L1972" i="23"/>
  <c r="K1972" i="23" s="1"/>
  <c r="L746" i="23"/>
  <c r="L2152" i="23"/>
  <c r="K2152" i="23" s="1"/>
  <c r="L551" i="23"/>
  <c r="L999" i="23"/>
  <c r="L1677" i="23"/>
  <c r="K1677" i="23" s="1"/>
  <c r="L1997" i="23"/>
  <c r="K1997" i="23" s="1"/>
  <c r="L2381" i="23"/>
  <c r="K2381" i="23" s="1"/>
  <c r="L4213" i="23"/>
  <c r="K4213" i="23" s="1"/>
  <c r="L1794" i="23"/>
  <c r="K1794" i="23" s="1"/>
  <c r="L2422" i="23"/>
  <c r="K2422" i="23" s="1"/>
  <c r="L3105" i="23"/>
  <c r="K3105" i="23" s="1"/>
  <c r="L1863" i="23"/>
  <c r="K1863" i="23" s="1"/>
  <c r="L2642" i="23"/>
  <c r="K2642" i="23" s="1"/>
  <c r="L3035" i="23"/>
  <c r="K3035" i="23" s="1"/>
  <c r="L3633" i="23"/>
  <c r="K3633" i="23" s="1"/>
  <c r="L4049" i="23"/>
  <c r="K4049" i="23" s="1"/>
  <c r="L3983" i="23"/>
  <c r="K3983" i="23" s="1"/>
  <c r="L4353" i="23"/>
  <c r="K4353" i="23" s="1"/>
  <c r="L4927" i="23"/>
  <c r="K4927" i="23" s="1"/>
  <c r="L199" i="23"/>
  <c r="K199" i="23" s="1"/>
  <c r="L370" i="23"/>
  <c r="K370" i="23" s="1"/>
  <c r="L1728" i="23"/>
  <c r="K1728" i="23" s="1"/>
  <c r="L2825" i="23"/>
  <c r="K2825" i="23" s="1"/>
  <c r="L475" i="23"/>
  <c r="L923" i="23"/>
  <c r="L1307" i="23"/>
  <c r="L2092" i="23"/>
  <c r="K2092" i="23" s="1"/>
  <c r="L1537" i="23"/>
  <c r="L1857" i="23"/>
  <c r="K1857" i="23" s="1"/>
  <c r="L2241" i="23"/>
  <c r="K2241" i="23" s="1"/>
  <c r="L3656" i="23"/>
  <c r="K3656" i="23" s="1"/>
  <c r="L2318" i="23"/>
  <c r="K2318" i="23" s="1"/>
  <c r="L3041" i="23"/>
  <c r="K3041" i="23" s="1"/>
  <c r="L2091" i="23"/>
  <c r="K2091" i="23" s="1"/>
  <c r="L2981" i="23"/>
  <c r="K2981" i="23" s="1"/>
  <c r="L2731" i="23"/>
  <c r="K2731" i="23" s="1"/>
  <c r="L3332" i="23"/>
  <c r="K3332" i="23" s="1"/>
  <c r="L3674" i="23"/>
  <c r="K3674" i="23" s="1"/>
  <c r="L3935" i="23"/>
  <c r="K3935" i="23" s="1"/>
  <c r="L4367" i="23"/>
  <c r="K4367" i="23" s="1"/>
  <c r="L3388" i="23"/>
  <c r="K3388" i="23" s="1"/>
  <c r="L2847" i="23"/>
  <c r="K2847" i="23" s="1"/>
  <c r="L468" i="23"/>
  <c r="K468" i="23" s="1"/>
  <c r="L717" i="23"/>
  <c r="L1037" i="23"/>
  <c r="L1524" i="23"/>
  <c r="K1524" i="23" s="1"/>
  <c r="L3448" i="23"/>
  <c r="K3448" i="23" s="1"/>
  <c r="L1960" i="23"/>
  <c r="K1960" i="23" s="1"/>
  <c r="L759" i="23"/>
  <c r="L1143" i="23"/>
  <c r="K1143" i="23" s="1"/>
  <c r="L1692" i="23"/>
  <c r="K1692" i="23" s="1"/>
  <c r="L1565" i="23"/>
  <c r="K1565" i="23" s="1"/>
  <c r="L1885" i="23"/>
  <c r="K1885" i="23" s="1"/>
  <c r="L2205" i="23"/>
  <c r="K2205" i="23" s="1"/>
  <c r="L2589" i="23"/>
  <c r="K2589" i="23" s="1"/>
  <c r="L1618" i="23"/>
  <c r="K1618" i="23" s="1"/>
  <c r="L2014" i="23"/>
  <c r="K2014" i="23" s="1"/>
  <c r="L2614" i="23"/>
  <c r="K2614" i="23" s="1"/>
  <c r="L1895" i="23"/>
  <c r="K1895" i="23" s="1"/>
  <c r="L2918" i="23"/>
  <c r="K2918" i="23" s="1"/>
  <c r="L3925" i="23"/>
  <c r="K3925" i="23" s="1"/>
  <c r="L3530" i="23"/>
  <c r="K3530" i="23" s="1"/>
  <c r="L4047" i="23"/>
  <c r="K4047" i="23" s="1"/>
  <c r="L4562" i="23"/>
  <c r="K4562" i="23" s="1"/>
  <c r="L4818" i="23"/>
  <c r="K4818" i="23" s="1"/>
  <c r="L636" i="23"/>
  <c r="L2224" i="23"/>
  <c r="K2224" i="23" s="1"/>
  <c r="L386" i="23"/>
  <c r="L641" i="23"/>
  <c r="K641" i="23" s="1"/>
  <c r="L1025" i="23"/>
  <c r="K1025" i="23" s="1"/>
  <c r="L1345" i="23"/>
  <c r="L1390" i="23"/>
  <c r="K1390" i="23" s="1"/>
  <c r="L619" i="23"/>
  <c r="L1195" i="23"/>
  <c r="K1195" i="23" s="1"/>
  <c r="L1900" i="23"/>
  <c r="K1900" i="23" s="1"/>
  <c r="L1489" i="23"/>
  <c r="L1809" i="23"/>
  <c r="K1809" i="23" s="1"/>
  <c r="L2193" i="23"/>
  <c r="K2193" i="23" s="1"/>
  <c r="L2662" i="23"/>
  <c r="K2662" i="23" s="1"/>
  <c r="L1670" i="23"/>
  <c r="K1670" i="23" s="1"/>
  <c r="L1998" i="23"/>
  <c r="K1998" i="23" s="1"/>
  <c r="L2598" i="23"/>
  <c r="K2598" i="23" s="1"/>
  <c r="L1663" i="23"/>
  <c r="K1663" i="23" s="1"/>
  <c r="L3109" i="23"/>
  <c r="K3109" i="23" s="1"/>
  <c r="L3564" i="23"/>
  <c r="K3564" i="23" s="1"/>
  <c r="L3588" i="23"/>
  <c r="K3588" i="23" s="1"/>
  <c r="L3773" i="23"/>
  <c r="K3773" i="23" s="1"/>
  <c r="L3999" i="23"/>
  <c r="K3999" i="23" s="1"/>
  <c r="L4514" i="23"/>
  <c r="K4514" i="23" s="1"/>
  <c r="L4853" i="23"/>
  <c r="K4853" i="23" s="1"/>
  <c r="L4860" i="23"/>
  <c r="K4860" i="23" s="1"/>
  <c r="L3210" i="23"/>
  <c r="K3210" i="23" s="1"/>
  <c r="L2703" i="23"/>
  <c r="K2703" i="23" s="1"/>
  <c r="L350" i="23"/>
  <c r="L1456" i="23"/>
  <c r="L861" i="23"/>
  <c r="L1181" i="23"/>
  <c r="L1588" i="23"/>
  <c r="L2612" i="23"/>
  <c r="K2612" i="23" s="1"/>
  <c r="L714" i="23"/>
  <c r="L1098" i="23"/>
  <c r="K1098" i="23" s="1"/>
  <c r="L1418" i="23"/>
  <c r="L711" i="23"/>
  <c r="L1159" i="23"/>
  <c r="L1756" i="23"/>
  <c r="K1756" i="23" s="1"/>
  <c r="L1965" i="23"/>
  <c r="K1965" i="23" s="1"/>
  <c r="L1570" i="23"/>
  <c r="K1570" i="23" s="1"/>
  <c r="L1954" i="23"/>
  <c r="K1954" i="23" s="1"/>
  <c r="L2462" i="23"/>
  <c r="K2462" i="23" s="1"/>
  <c r="L1531" i="23"/>
  <c r="K1531" i="23" s="1"/>
  <c r="L2439" i="23"/>
  <c r="K2439" i="23" s="1"/>
  <c r="L2651" i="23"/>
  <c r="K2651" i="23" s="1"/>
  <c r="L2908" i="23"/>
  <c r="K2908" i="23" s="1"/>
  <c r="L3865" i="23"/>
  <c r="K3865" i="23" s="1"/>
  <c r="L3766" i="23"/>
  <c r="K3766" i="23" s="1"/>
  <c r="L3944" i="23"/>
  <c r="K3944" i="23" s="1"/>
  <c r="L4456" i="23"/>
  <c r="K4456" i="23" s="1"/>
  <c r="L4716" i="23"/>
  <c r="K4716" i="23" s="1"/>
  <c r="L956" i="23"/>
  <c r="K956" i="23" s="1"/>
  <c r="L18" i="23"/>
  <c r="L338" i="23"/>
  <c r="K338" i="23" s="1"/>
  <c r="L1408" i="23"/>
  <c r="K1408" i="23" s="1"/>
  <c r="L785" i="23"/>
  <c r="L1169" i="23"/>
  <c r="L510" i="23"/>
  <c r="K510" i="23" s="1"/>
  <c r="L830" i="23"/>
  <c r="L1214" i="23"/>
  <c r="L2488" i="23"/>
  <c r="K2488" i="23" s="1"/>
  <c r="L763" i="23"/>
  <c r="L2985" i="23"/>
  <c r="K2985" i="23" s="1"/>
  <c r="L2694" i="23"/>
  <c r="K2694" i="23" s="1"/>
  <c r="L1558" i="23"/>
  <c r="L1878" i="23"/>
  <c r="K1878" i="23" s="1"/>
  <c r="L3224" i="23"/>
  <c r="K3224" i="23" s="1"/>
  <c r="L2155" i="23"/>
  <c r="K2155" i="23" s="1"/>
  <c r="L2922" i="23"/>
  <c r="K2922" i="23" s="1"/>
  <c r="L3115" i="23"/>
  <c r="K3115" i="23" s="1"/>
  <c r="L4197" i="23"/>
  <c r="K4197" i="23" s="1"/>
  <c r="L4029" i="23"/>
  <c r="K4029" i="23" s="1"/>
  <c r="L4230" i="23"/>
  <c r="K4230" i="23" s="1"/>
  <c r="L4152" i="23"/>
  <c r="K4152" i="23" s="1"/>
  <c r="L4661" i="23"/>
  <c r="K4661" i="23" s="1"/>
  <c r="L3034" i="23"/>
  <c r="K3034" i="23" s="1"/>
  <c r="L2783" i="23"/>
  <c r="K2783" i="23" s="1"/>
  <c r="L3167" i="23"/>
  <c r="K3167" i="23" s="1"/>
  <c r="L2784" i="23"/>
  <c r="K2784" i="23" s="1"/>
  <c r="L3284" i="23"/>
  <c r="K3284" i="23" s="1"/>
  <c r="L3317" i="23"/>
  <c r="K3317" i="23" s="1"/>
  <c r="L3701" i="23"/>
  <c r="K3701" i="23" s="1"/>
  <c r="L3534" i="23"/>
  <c r="K3534" i="23" s="1"/>
  <c r="L3299" i="23"/>
  <c r="K3299" i="23" s="1"/>
  <c r="L3555" i="23"/>
  <c r="K3555" i="23" s="1"/>
  <c r="L4325" i="23"/>
  <c r="K4325" i="23" s="1"/>
  <c r="L4026" i="23"/>
  <c r="K4026" i="23" s="1"/>
  <c r="L4425" i="23"/>
  <c r="K4425" i="23" s="1"/>
  <c r="L3987" i="23"/>
  <c r="K3987" i="23" s="1"/>
  <c r="L4525" i="23"/>
  <c r="K4525" i="23" s="1"/>
  <c r="L4012" i="23"/>
  <c r="K4012" i="23" s="1"/>
  <c r="L4625" i="23"/>
  <c r="K4625" i="23" s="1"/>
  <c r="L4630" i="23"/>
  <c r="K4630" i="23" s="1"/>
  <c r="L4332" i="23"/>
  <c r="K4332" i="23" s="1"/>
  <c r="L4713" i="23"/>
  <c r="K4713" i="23" s="1"/>
  <c r="L4758" i="23"/>
  <c r="K4758" i="23" s="1"/>
  <c r="L4803" i="23"/>
  <c r="K4803" i="23" s="1"/>
  <c r="L4848" i="23"/>
  <c r="K4848" i="23" s="1"/>
  <c r="L1999" i="23"/>
  <c r="K1999" i="23" s="1"/>
  <c r="L2658" i="23"/>
  <c r="K2658" i="23" s="1"/>
  <c r="L2830" i="23"/>
  <c r="K2830" i="23" s="1"/>
  <c r="L3150" i="23"/>
  <c r="K3150" i="23" s="1"/>
  <c r="L2643" i="23"/>
  <c r="K2643" i="23" s="1"/>
  <c r="L2963" i="23"/>
  <c r="K2963" i="23" s="1"/>
  <c r="L3488" i="23"/>
  <c r="K3488" i="23" s="1"/>
  <c r="L2836" i="23"/>
  <c r="K2836" i="23" s="1"/>
  <c r="L3492" i="23"/>
  <c r="K3492" i="23" s="1"/>
  <c r="L3497" i="23"/>
  <c r="K3497" i="23" s="1"/>
  <c r="L4089" i="23"/>
  <c r="K4089" i="23" s="1"/>
  <c r="L3522" i="23"/>
  <c r="K3522" i="23" s="1"/>
  <c r="L3933" i="23"/>
  <c r="K3933" i="23" s="1"/>
  <c r="L3415" i="23"/>
  <c r="K3415" i="23" s="1"/>
  <c r="L3761" i="23"/>
  <c r="K3761" i="23" s="1"/>
  <c r="L3886" i="23"/>
  <c r="K3886" i="23" s="1"/>
  <c r="L4142" i="23"/>
  <c r="K4142" i="23" s="1"/>
  <c r="L3847" i="23"/>
  <c r="K3847" i="23" s="1"/>
  <c r="L4231" i="23"/>
  <c r="K4231" i="23" s="1"/>
  <c r="L3936" i="23"/>
  <c r="K3936" i="23" s="1"/>
  <c r="L4192" i="23"/>
  <c r="K4192" i="23" s="1"/>
  <c r="L4426" i="23"/>
  <c r="K4426" i="23" s="1"/>
  <c r="L4471" i="23"/>
  <c r="K4471" i="23" s="1"/>
  <c r="L4512" i="23"/>
  <c r="K4512" i="23" s="1"/>
  <c r="L4829" i="23"/>
  <c r="K4829" i="23" s="1"/>
  <c r="L4810" i="23"/>
  <c r="K4810" i="23" s="1"/>
  <c r="L4855" i="23"/>
  <c r="K4855" i="23" s="1"/>
  <c r="L4836" i="23"/>
  <c r="K4836" i="23" s="1"/>
  <c r="L2178" i="23"/>
  <c r="K2178" i="23" s="1"/>
  <c r="L2498" i="23"/>
  <c r="K2498" i="23" s="1"/>
  <c r="L1587" i="23"/>
  <c r="L2099" i="23"/>
  <c r="K2099" i="23" s="1"/>
  <c r="L2611" i="23"/>
  <c r="K2611" i="23" s="1"/>
  <c r="L2866" i="23"/>
  <c r="K2866" i="23" s="1"/>
  <c r="L3122" i="23"/>
  <c r="K3122" i="23" s="1"/>
  <c r="L2807" i="23"/>
  <c r="K2807" i="23" s="1"/>
  <c r="L3063" i="23"/>
  <c r="K3063" i="23" s="1"/>
  <c r="L2744" i="23"/>
  <c r="K2744" i="23" s="1"/>
  <c r="L3192" i="23"/>
  <c r="K3192" i="23" s="1"/>
  <c r="L3119" i="23"/>
  <c r="K3119" i="23" s="1"/>
  <c r="L2672" i="23"/>
  <c r="K2672" i="23" s="1"/>
  <c r="L2992" i="23"/>
  <c r="K2992" i="23" s="1"/>
  <c r="L4261" i="23"/>
  <c r="K4261" i="23" s="1"/>
  <c r="L3525" i="23"/>
  <c r="K3525" i="23" s="1"/>
  <c r="L3230" i="23"/>
  <c r="K3230" i="23" s="1"/>
  <c r="L3550" i="23"/>
  <c r="K3550" i="23" s="1"/>
  <c r="L4301" i="23"/>
  <c r="K4301" i="23" s="1"/>
  <c r="L3507" i="23"/>
  <c r="K3507" i="23" s="1"/>
  <c r="L4129" i="23"/>
  <c r="K4129" i="23" s="1"/>
  <c r="L3914" i="23"/>
  <c r="K3914" i="23" s="1"/>
  <c r="L4234" i="23"/>
  <c r="K4234" i="23" s="1"/>
  <c r="L3811" i="23"/>
  <c r="K3811" i="23" s="1"/>
  <c r="L4259" i="23"/>
  <c r="K4259" i="23" s="1"/>
  <c r="L3900" i="23"/>
  <c r="K3900" i="23" s="1"/>
  <c r="L4220" i="23"/>
  <c r="K4220" i="23" s="1"/>
  <c r="L4454" i="23"/>
  <c r="K4454" i="23" s="1"/>
  <c r="L4371" i="23"/>
  <c r="K4371" i="23" s="1"/>
  <c r="L4412" i="23"/>
  <c r="K4412" i="23" s="1"/>
  <c r="L4665" i="23"/>
  <c r="K4665" i="23" s="1"/>
  <c r="L4774" i="23"/>
  <c r="K4774" i="23" s="1"/>
  <c r="L4819" i="23"/>
  <c r="K4819" i="23" s="1"/>
  <c r="L4800" i="23"/>
  <c r="K4800" i="23" s="1"/>
  <c r="L2335" i="23"/>
  <c r="K2335" i="23" s="1"/>
  <c r="L2718" i="23"/>
  <c r="K2718" i="23" s="1"/>
  <c r="L3038" i="23"/>
  <c r="K3038" i="23" s="1"/>
  <c r="L2723" i="23"/>
  <c r="K2723" i="23" s="1"/>
  <c r="L3107" i="23"/>
  <c r="K3107" i="23" s="1"/>
  <c r="L4053" i="23"/>
  <c r="K4053" i="23" s="1"/>
  <c r="L2980" i="23"/>
  <c r="K2980" i="23" s="1"/>
  <c r="L3300" i="23"/>
  <c r="K3300" i="23" s="1"/>
  <c r="L3385" i="23"/>
  <c r="K3385" i="23" s="1"/>
  <c r="L3641" i="23"/>
  <c r="K3641" i="23" s="1"/>
  <c r="L3538" i="23"/>
  <c r="K3538" i="23" s="1"/>
  <c r="L3303" i="23"/>
  <c r="K3303" i="23" s="1"/>
  <c r="L3559" i="23"/>
  <c r="K3559" i="23" s="1"/>
  <c r="L3838" i="23"/>
  <c r="K3838" i="23" s="1"/>
  <c r="L4222" i="23"/>
  <c r="K4222" i="23" s="1"/>
  <c r="L3927" i="23"/>
  <c r="K3927" i="23" s="1"/>
  <c r="L4247" i="23"/>
  <c r="K4247" i="23" s="1"/>
  <c r="L4016" i="23"/>
  <c r="K4016" i="23" s="1"/>
  <c r="L4385" i="23"/>
  <c r="K4385" i="23" s="1"/>
  <c r="L4634" i="23"/>
  <c r="K4634" i="23" s="1"/>
  <c r="L4336" i="23"/>
  <c r="K4336" i="23" s="1"/>
  <c r="L4656" i="23"/>
  <c r="K4656" i="23" s="1"/>
  <c r="L4762" i="23"/>
  <c r="K4762" i="23" s="1"/>
  <c r="L4679" i="23"/>
  <c r="K4679" i="23" s="1"/>
  <c r="L4724" i="23"/>
  <c r="K4724" i="23" s="1"/>
  <c r="L2002" i="23"/>
  <c r="K2002" i="23" s="1"/>
  <c r="L2258" i="23"/>
  <c r="K2258" i="23" s="1"/>
  <c r="L2578" i="23"/>
  <c r="K2578" i="23" s="1"/>
  <c r="L1731" i="23"/>
  <c r="K1731" i="23" s="1"/>
  <c r="L2243" i="23"/>
  <c r="K2243" i="23" s="1"/>
  <c r="L2821" i="23"/>
  <c r="K2821" i="23" s="1"/>
  <c r="L2818" i="23"/>
  <c r="K2818" i="23" s="1"/>
  <c r="L3202" i="23"/>
  <c r="K3202" i="23" s="1"/>
  <c r="L2759" i="23"/>
  <c r="K2759" i="23" s="1"/>
  <c r="L3079" i="23"/>
  <c r="K3079" i="23" s="1"/>
  <c r="L2760" i="23"/>
  <c r="K2760" i="23" s="1"/>
  <c r="L3080" i="23"/>
  <c r="K3080" i="23" s="1"/>
  <c r="L3408" i="23"/>
  <c r="K3408" i="23" s="1"/>
  <c r="L2880" i="23"/>
  <c r="K2880" i="23" s="1"/>
  <c r="L3200" i="23"/>
  <c r="K3200" i="23" s="1"/>
  <c r="L3285" i="23"/>
  <c r="K3285" i="23" s="1"/>
  <c r="L3669" i="23"/>
  <c r="K3669" i="23" s="1"/>
  <c r="L3246" i="23"/>
  <c r="K3246" i="23" s="1"/>
  <c r="L3502" i="23"/>
  <c r="K3502" i="23" s="1"/>
  <c r="L4501" i="23"/>
  <c r="K4501" i="23" s="1"/>
  <c r="L3523" i="23"/>
  <c r="K3523" i="23" s="1"/>
  <c r="L4193" i="23"/>
  <c r="K4193" i="23" s="1"/>
  <c r="L3994" i="23"/>
  <c r="K3994" i="23" s="1"/>
  <c r="L4314" i="23"/>
  <c r="K4314" i="23" s="1"/>
  <c r="L3891" i="23"/>
  <c r="K3891" i="23" s="1"/>
  <c r="L4211" i="23"/>
  <c r="K4211" i="23" s="1"/>
  <c r="L3916" i="23"/>
  <c r="K3916" i="23" s="1"/>
  <c r="L4300" i="23"/>
  <c r="K4300" i="23" s="1"/>
  <c r="L4387" i="23"/>
  <c r="K4387" i="23" s="1"/>
  <c r="L4364" i="23"/>
  <c r="K4364" i="23" s="1"/>
  <c r="L4745" i="23"/>
  <c r="K4745" i="23" s="1"/>
  <c r="L4726" i="23"/>
  <c r="K4726" i="23" s="1"/>
  <c r="L4835" i="23"/>
  <c r="K4835" i="23" s="1"/>
  <c r="L4944" i="23"/>
  <c r="K4944" i="23" s="1"/>
  <c r="L2223" i="23"/>
  <c r="K2223" i="23" s="1"/>
  <c r="L3368" i="23"/>
  <c r="K3368" i="23" s="1"/>
  <c r="L2990" i="23"/>
  <c r="K2990" i="23" s="1"/>
  <c r="L3596" i="23"/>
  <c r="K3596" i="23" s="1"/>
  <c r="L2867" i="23"/>
  <c r="K2867" i="23" s="1"/>
  <c r="L3187" i="23"/>
  <c r="K3187" i="23" s="1"/>
  <c r="L2740" i="23"/>
  <c r="K2740" i="23" s="1"/>
  <c r="L3188" i="23"/>
  <c r="K3188" i="23" s="1"/>
  <c r="L3337" i="23"/>
  <c r="K3337" i="23" s="1"/>
  <c r="L3657" i="23"/>
  <c r="K3657" i="23" s="1"/>
  <c r="L3426" i="23"/>
  <c r="K3426" i="23" s="1"/>
  <c r="L3682" i="23"/>
  <c r="K3682" i="23" s="1"/>
  <c r="L3255" i="23"/>
  <c r="K3255" i="23" s="1"/>
  <c r="L3575" i="23"/>
  <c r="K3575" i="23" s="1"/>
  <c r="L4645" i="23"/>
  <c r="K4645" i="23" s="1"/>
  <c r="L4046" i="23"/>
  <c r="K4046" i="23" s="1"/>
  <c r="L4505" i="23"/>
  <c r="K4505" i="23" s="1"/>
  <c r="L4007" i="23"/>
  <c r="K4007" i="23" s="1"/>
  <c r="L4349" i="23"/>
  <c r="K4349" i="23" s="1"/>
  <c r="L4032" i="23"/>
  <c r="K4032" i="23" s="1"/>
  <c r="L4449" i="23"/>
  <c r="K4449" i="23" s="1"/>
  <c r="L4439" i="23"/>
  <c r="K4439" i="23" s="1"/>
  <c r="L4416" i="23"/>
  <c r="K4416" i="23" s="1"/>
  <c r="L4797" i="23"/>
  <c r="K4797" i="23" s="1"/>
  <c r="L4842" i="23"/>
  <c r="K4842" i="23" s="1"/>
  <c r="L4823" i="23"/>
  <c r="K4823" i="23" s="1"/>
  <c r="L4740" i="23"/>
  <c r="K4740" i="23" s="1"/>
  <c r="L2082" i="23"/>
  <c r="K2082" i="23" s="1"/>
  <c r="L3201" i="23"/>
  <c r="K3201" i="23" s="1"/>
  <c r="L2195" i="23"/>
  <c r="K2195" i="23" s="1"/>
  <c r="L2885" i="23"/>
  <c r="K2885" i="23" s="1"/>
  <c r="L2898" i="23"/>
  <c r="K2898" i="23" s="1"/>
  <c r="L3228" i="23"/>
  <c r="K3228" i="23" s="1"/>
  <c r="L2775" i="23"/>
  <c r="K2775" i="23" s="1"/>
  <c r="L3159" i="23"/>
  <c r="K3159" i="23" s="1"/>
  <c r="L2776" i="23"/>
  <c r="K2776" i="23" s="1"/>
  <c r="L3160" i="23"/>
  <c r="K3160" i="23" s="1"/>
  <c r="L3087" i="23"/>
  <c r="K3087" i="23" s="1"/>
  <c r="L2704" i="23"/>
  <c r="K2704" i="23" s="1"/>
  <c r="L3024" i="23"/>
  <c r="K3024" i="23" s="1"/>
  <c r="L3749" i="23"/>
  <c r="K3749" i="23" s="1"/>
  <c r="L3493" i="23"/>
  <c r="K3493" i="23" s="1"/>
  <c r="L4073" i="23"/>
  <c r="K4073" i="23" s="1"/>
  <c r="L3454" i="23"/>
  <c r="K3454" i="23" s="1"/>
  <c r="L3917" i="23"/>
  <c r="K3917" i="23" s="1"/>
  <c r="L3475" i="23"/>
  <c r="K3475" i="23" s="1"/>
  <c r="L3818" i="23"/>
  <c r="K3818" i="23" s="1"/>
  <c r="L4202" i="23"/>
  <c r="K4202" i="23" s="1"/>
  <c r="L3843" i="23"/>
  <c r="K3843" i="23" s="1"/>
  <c r="L4163" i="23"/>
  <c r="K4163" i="23" s="1"/>
  <c r="L3932" i="23"/>
  <c r="K3932" i="23" s="1"/>
  <c r="L4252" i="23"/>
  <c r="K4252" i="23" s="1"/>
  <c r="L4486" i="23"/>
  <c r="K4486" i="23" s="1"/>
  <c r="L4467" i="23"/>
  <c r="K4467" i="23" s="1"/>
  <c r="L4380" i="23"/>
  <c r="K4380" i="23" s="1"/>
  <c r="L4697" i="23"/>
  <c r="K4697" i="23" s="1"/>
  <c r="L4806" i="23"/>
  <c r="K4806" i="23" s="1"/>
  <c r="L4979" i="23"/>
  <c r="K4979" i="23" s="1"/>
  <c r="L4960" i="23"/>
  <c r="K4960" i="23" s="1"/>
  <c r="L2239" i="23"/>
  <c r="K2239" i="23" s="1"/>
  <c r="L3061" i="23"/>
  <c r="K3061" i="23" s="1"/>
  <c r="L2942" i="23"/>
  <c r="K2942" i="23" s="1"/>
  <c r="L3660" i="23"/>
  <c r="K3660" i="23" s="1"/>
  <c r="L2883" i="23"/>
  <c r="K2883" i="23" s="1"/>
  <c r="L3680" i="23"/>
  <c r="K3680" i="23" s="1"/>
  <c r="L2948" i="23"/>
  <c r="K2948" i="23" s="1"/>
  <c r="L3684" i="23"/>
  <c r="K3684" i="23" s="1"/>
  <c r="L3545" i="23"/>
  <c r="K3545" i="23" s="1"/>
  <c r="L4025" i="23"/>
  <c r="K4025" i="23" s="1"/>
  <c r="L3442" i="23"/>
  <c r="K3442" i="23" s="1"/>
  <c r="L3869" i="23"/>
  <c r="K3869" i="23" s="1"/>
  <c r="L3399" i="23"/>
  <c r="K3399" i="23" s="1"/>
  <c r="L3953" i="23"/>
  <c r="K3953" i="23" s="1"/>
  <c r="L3870" i="23"/>
  <c r="K3870" i="23" s="1"/>
  <c r="L4254" i="23"/>
  <c r="K4254" i="23" s="1"/>
  <c r="L3831" i="23"/>
  <c r="K3831" i="23" s="1"/>
  <c r="L4151" i="23"/>
  <c r="K4151" i="23" s="1"/>
  <c r="L3792" i="23"/>
  <c r="K3792" i="23" s="1"/>
  <c r="L4112" i="23"/>
  <c r="K4112" i="23" s="1"/>
  <c r="L4346" i="23"/>
  <c r="K4346" i="23" s="1"/>
  <c r="L4602" i="23"/>
  <c r="K4602" i="23" s="1"/>
  <c r="L4583" i="23"/>
  <c r="K4583" i="23" s="1"/>
  <c r="L4560" i="23"/>
  <c r="K4560" i="23" s="1"/>
  <c r="L4941" i="23"/>
  <c r="K4941" i="23" s="1"/>
  <c r="L4986" i="23"/>
  <c r="K4986" i="23" s="1"/>
  <c r="L4967" i="23"/>
  <c r="K4967" i="23" s="1"/>
  <c r="L1970" i="23"/>
  <c r="K1970" i="23" s="1"/>
  <c r="L2290" i="23"/>
  <c r="K2290" i="23" s="1"/>
  <c r="L3009" i="23"/>
  <c r="K3009" i="23" s="1"/>
  <c r="L1827" i="23"/>
  <c r="K1827" i="23" s="1"/>
  <c r="L2531" i="23"/>
  <c r="K2531" i="23" s="1"/>
  <c r="L3205" i="23"/>
  <c r="K3205" i="23" s="1"/>
  <c r="L3042" i="23"/>
  <c r="K3042" i="23" s="1"/>
  <c r="L3548" i="23"/>
  <c r="K3548" i="23" s="1"/>
  <c r="L2791" i="23"/>
  <c r="K2791" i="23" s="1"/>
  <c r="L3175" i="23"/>
  <c r="K3175" i="23" s="1"/>
  <c r="L2792" i="23"/>
  <c r="K2792" i="23" s="1"/>
  <c r="L3176" i="23"/>
  <c r="K3176" i="23" s="1"/>
  <c r="L3277" i="23"/>
  <c r="K3277" i="23" s="1"/>
  <c r="L3661" i="23"/>
  <c r="K3661" i="23" s="1"/>
  <c r="L3238" i="23"/>
  <c r="K3238" i="23" s="1"/>
  <c r="L3558" i="23"/>
  <c r="K3558" i="23" s="1"/>
  <c r="L4077" i="23"/>
  <c r="K4077" i="23" s="1"/>
  <c r="L3451" i="23"/>
  <c r="K3451" i="23" s="1"/>
  <c r="L3794" i="23"/>
  <c r="K3794" i="23" s="1"/>
  <c r="L4178" i="23"/>
  <c r="K4178" i="23" s="1"/>
  <c r="L3883" i="23"/>
  <c r="K3883" i="23" s="1"/>
  <c r="L4267" i="23"/>
  <c r="K4267" i="23" s="1"/>
  <c r="L3908" i="23"/>
  <c r="K3908" i="23" s="1"/>
  <c r="L4164" i="23"/>
  <c r="K4164" i="23" s="1"/>
  <c r="L4526" i="23"/>
  <c r="K4526" i="23" s="1"/>
  <c r="L4443" i="23"/>
  <c r="K4443" i="23" s="1"/>
  <c r="L4484" i="23"/>
  <c r="K4484" i="23" s="1"/>
  <c r="L4865" i="23"/>
  <c r="K4865" i="23" s="1"/>
  <c r="L4891" i="23"/>
  <c r="K4891" i="23" s="1"/>
  <c r="L3208" i="23"/>
  <c r="K3208" i="23" s="1"/>
  <c r="L3357" i="23"/>
  <c r="K3357" i="23" s="1"/>
  <c r="L3677" i="23"/>
  <c r="K3677" i="23" s="1"/>
  <c r="L3382" i="23"/>
  <c r="K3382" i="23" s="1"/>
  <c r="L4141" i="23"/>
  <c r="K4141" i="23" s="1"/>
  <c r="L3531" i="23"/>
  <c r="K3531" i="23" s="1"/>
  <c r="L4225" i="23"/>
  <c r="K4225" i="23" s="1"/>
  <c r="L4002" i="23"/>
  <c r="K4002" i="23" s="1"/>
  <c r="L4329" i="23"/>
  <c r="K4329" i="23" s="1"/>
  <c r="L4027" i="23"/>
  <c r="K4027" i="23" s="1"/>
  <c r="L4429" i="23"/>
  <c r="K4429" i="23" s="1"/>
  <c r="L3924" i="23"/>
  <c r="K3924" i="23" s="1"/>
  <c r="L4529" i="23"/>
  <c r="K4529" i="23" s="1"/>
  <c r="L4542" i="23"/>
  <c r="K4542" i="23" s="1"/>
  <c r="L4523" i="23"/>
  <c r="K4523" i="23" s="1"/>
  <c r="L4564" i="23"/>
  <c r="K4564" i="23" s="1"/>
  <c r="L4881" i="23"/>
  <c r="K4881" i="23" s="1"/>
  <c r="L4779" i="23"/>
  <c r="K4779" i="23" s="1"/>
  <c r="L3252" i="23"/>
  <c r="K3252" i="23" s="1"/>
  <c r="L3373" i="23"/>
  <c r="K3373" i="23" s="1"/>
  <c r="L3849" i="23"/>
  <c r="K3849" i="23" s="1"/>
  <c r="L3398" i="23"/>
  <c r="K3398" i="23" s="1"/>
  <c r="L3718" i="23"/>
  <c r="K3718" i="23" s="1"/>
  <c r="L3419" i="23"/>
  <c r="K3419" i="23" s="1"/>
  <c r="L3777" i="23"/>
  <c r="K3777" i="23" s="1"/>
  <c r="L3890" i="23"/>
  <c r="K3890" i="23" s="1"/>
  <c r="L4210" i="23"/>
  <c r="K4210" i="23" s="1"/>
  <c r="L3851" i="23"/>
  <c r="K3851" i="23" s="1"/>
  <c r="L4299" i="23"/>
  <c r="K4299" i="23" s="1"/>
  <c r="L3876" i="23"/>
  <c r="K3876" i="23" s="1"/>
  <c r="L4260" i="23"/>
  <c r="K4260" i="23" s="1"/>
  <c r="L4558" i="23"/>
  <c r="K4558" i="23" s="1"/>
  <c r="L4539" i="23"/>
  <c r="K4539" i="23" s="1"/>
  <c r="L4516" i="23"/>
  <c r="K4516" i="23" s="1"/>
  <c r="L4686" i="23"/>
  <c r="K4686" i="23" s="1"/>
  <c r="L4731" i="23"/>
  <c r="K4731" i="23" s="1"/>
  <c r="L4987" i="23"/>
  <c r="K4987" i="23" s="1"/>
  <c r="L4133" i="23"/>
  <c r="K4133" i="23" s="1"/>
  <c r="L3517" i="23"/>
  <c r="K3517" i="23" s="1"/>
  <c r="L4169" i="23"/>
  <c r="K4169" i="23" s="1"/>
  <c r="L3478" i="23"/>
  <c r="K3478" i="23" s="1"/>
  <c r="L3757" i="23"/>
  <c r="K3757" i="23" s="1"/>
  <c r="L3435" i="23"/>
  <c r="K3435" i="23" s="1"/>
  <c r="L3841" i="23"/>
  <c r="K3841" i="23" s="1"/>
  <c r="L3906" i="23"/>
  <c r="K3906" i="23" s="1"/>
  <c r="L4290" i="23"/>
  <c r="K4290" i="23" s="1"/>
  <c r="L3931" i="23"/>
  <c r="K3931" i="23" s="1"/>
  <c r="L4251" i="23"/>
  <c r="K4251" i="23" s="1"/>
  <c r="L3956" i="23"/>
  <c r="K3956" i="23" s="1"/>
  <c r="L4276" i="23"/>
  <c r="K4276" i="23" s="1"/>
  <c r="L4510" i="23"/>
  <c r="K4510" i="23" s="1"/>
  <c r="L4555" i="23"/>
  <c r="K4555" i="23" s="1"/>
  <c r="L4596" i="23"/>
  <c r="K4596" i="23" s="1"/>
  <c r="L4913" i="23"/>
  <c r="K4913" i="23" s="1"/>
  <c r="L4894" i="23"/>
  <c r="K4894" i="23" s="1"/>
  <c r="L4875" i="23"/>
  <c r="K4875" i="23" s="1"/>
  <c r="L4856" i="23"/>
  <c r="K4856" i="23" s="1"/>
  <c r="L2469" i="23"/>
  <c r="K2469" i="23" s="1"/>
  <c r="L578" i="23"/>
  <c r="K578" i="23" s="1"/>
  <c r="L19" i="23"/>
  <c r="L252" i="23"/>
  <c r="K252" i="23" s="1"/>
  <c r="L227" i="23"/>
  <c r="L120" i="23"/>
  <c r="L3193" i="23"/>
  <c r="K3193" i="23" s="1"/>
  <c r="L287" i="23"/>
  <c r="L224" i="23"/>
  <c r="L722" i="23"/>
  <c r="L2142" i="23"/>
  <c r="K2142" i="23" s="1"/>
  <c r="L1630" i="23"/>
  <c r="K1630" i="23" s="1"/>
  <c r="L1310" i="23"/>
  <c r="L2405" i="23"/>
  <c r="K2405" i="23" s="1"/>
  <c r="L2149" i="23"/>
  <c r="K2149" i="23" s="1"/>
  <c r="L1893" i="23"/>
  <c r="K1893" i="23" s="1"/>
  <c r="L1637" i="23"/>
  <c r="K1637" i="23" s="1"/>
  <c r="L1381" i="23"/>
  <c r="L2447" i="23"/>
  <c r="K2447" i="23" s="1"/>
  <c r="L2184" i="23"/>
  <c r="K2184" i="23" s="1"/>
  <c r="L1928" i="23"/>
  <c r="K1928" i="23" s="1"/>
  <c r="L1672" i="23"/>
  <c r="K1672" i="23" s="1"/>
  <c r="L1416" i="23"/>
  <c r="L2187" i="23"/>
  <c r="K2187" i="23" s="1"/>
  <c r="L1262" i="23"/>
  <c r="K1262" i="23" s="1"/>
  <c r="L1006" i="23"/>
  <c r="L750" i="23"/>
  <c r="L494" i="23"/>
  <c r="L2685" i="23"/>
  <c r="K2685" i="23" s="1"/>
  <c r="L1495" i="23"/>
  <c r="L2254" i="23"/>
  <c r="K2254" i="23" s="1"/>
  <c r="L1962" i="23"/>
  <c r="K1962" i="23" s="1"/>
  <c r="L1706" i="23"/>
  <c r="K1706" i="23" s="1"/>
  <c r="L1450" i="23"/>
  <c r="L2789" i="23"/>
  <c r="K2789" i="23" s="1"/>
  <c r="L2289" i="23"/>
  <c r="K2289" i="23" s="1"/>
  <c r="L2033" i="23"/>
  <c r="K2033" i="23" s="1"/>
  <c r="L1777" i="23"/>
  <c r="K1777" i="23" s="1"/>
  <c r="L1521" i="23"/>
  <c r="K1521" i="23" s="1"/>
  <c r="L2929" i="23"/>
  <c r="K2929" i="23" s="1"/>
  <c r="L2324" i="23"/>
  <c r="K2324" i="23" s="1"/>
  <c r="L2004" i="23"/>
  <c r="K2004" i="23" s="1"/>
  <c r="L1748" i="23"/>
  <c r="K1748" i="23" s="1"/>
  <c r="L1364" i="23"/>
  <c r="L1979" i="23"/>
  <c r="K1979" i="23" s="1"/>
  <c r="L1210" i="23"/>
  <c r="K1210" i="23" s="1"/>
  <c r="L954" i="23"/>
  <c r="K954" i="23" s="1"/>
  <c r="L442" i="23"/>
  <c r="L2311" i="23"/>
  <c r="K2311" i="23" s="1"/>
  <c r="L1305" i="23"/>
  <c r="L2166" i="23"/>
  <c r="K2166" i="23" s="1"/>
  <c r="L1910" i="23"/>
  <c r="K1910" i="23" s="1"/>
  <c r="L1654" i="23"/>
  <c r="K1654" i="23" s="1"/>
  <c r="L1398" i="23"/>
  <c r="K1398" i="23" s="1"/>
  <c r="L2581" i="23"/>
  <c r="K2581" i="23" s="1"/>
  <c r="L2237" i="23"/>
  <c r="K2237" i="23" s="1"/>
  <c r="L1981" i="23"/>
  <c r="K1981" i="23" s="1"/>
  <c r="L1725" i="23"/>
  <c r="K1725" i="23" s="1"/>
  <c r="L1469" i="23"/>
  <c r="L2721" i="23"/>
  <c r="K2721" i="23" s="1"/>
  <c r="L2272" i="23"/>
  <c r="K2272" i="23" s="1"/>
  <c r="L1888" i="23"/>
  <c r="K1888" i="23" s="1"/>
  <c r="L1632" i="23"/>
  <c r="K1632" i="23" s="1"/>
  <c r="L1312" i="23"/>
  <c r="L1771" i="23"/>
  <c r="K1771" i="23" s="1"/>
  <c r="L1158" i="23"/>
  <c r="L838" i="23"/>
  <c r="L582" i="23"/>
  <c r="K582" i="23" s="1"/>
  <c r="L3290" i="23"/>
  <c r="K3290" i="23" s="1"/>
  <c r="L1335" i="23"/>
  <c r="K1335" i="23" s="1"/>
  <c r="L1049" i="23"/>
  <c r="L793" i="23"/>
  <c r="L537" i="23"/>
  <c r="L281" i="23"/>
  <c r="L1667" i="23"/>
  <c r="K1667" i="23" s="1"/>
  <c r="L1132" i="23"/>
  <c r="L876" i="23"/>
  <c r="L620" i="23"/>
  <c r="L1211" i="23"/>
  <c r="L170" i="23"/>
  <c r="L258" i="23"/>
  <c r="K258" i="23" s="1"/>
  <c r="L935" i="23"/>
  <c r="L13" i="23"/>
  <c r="L963" i="23"/>
  <c r="K963" i="23" s="1"/>
  <c r="L2127" i="23"/>
  <c r="K2127" i="23" s="1"/>
  <c r="L4938" i="23"/>
  <c r="K4938" i="23" s="1"/>
  <c r="L4928" i="23"/>
  <c r="K4928" i="23" s="1"/>
  <c r="L757" i="23"/>
  <c r="L437" i="23"/>
  <c r="L2291" i="23"/>
  <c r="K2291" i="23" s="1"/>
  <c r="L1295" i="23"/>
  <c r="L776" i="23"/>
  <c r="L264" i="23"/>
  <c r="K264" i="23" s="1"/>
  <c r="L555" i="23"/>
  <c r="L1263" i="23"/>
  <c r="K1263" i="23" s="1"/>
  <c r="L1047" i="23"/>
  <c r="L183" i="23"/>
  <c r="L563" i="23"/>
  <c r="K563" i="23" s="1"/>
  <c r="L4932" i="23"/>
  <c r="K4932" i="23" s="1"/>
  <c r="L4942" i="23"/>
  <c r="K4942" i="23" s="1"/>
  <c r="L1009" i="23"/>
  <c r="L753" i="23"/>
  <c r="L433" i="23"/>
  <c r="K433" i="23" s="1"/>
  <c r="L2275" i="23"/>
  <c r="K2275" i="23" s="1"/>
  <c r="L1287" i="23"/>
  <c r="L772" i="23"/>
  <c r="L2367" i="23"/>
  <c r="K2367" i="23" s="1"/>
  <c r="L194" i="23"/>
  <c r="K194" i="23" s="1"/>
  <c r="L127" i="23"/>
  <c r="K127" i="23" s="1"/>
  <c r="L171" i="23"/>
  <c r="L803" i="23"/>
  <c r="L463" i="23"/>
  <c r="K463" i="23" s="1"/>
  <c r="L4872" i="23"/>
  <c r="K4872" i="23" s="1"/>
  <c r="L1149" i="23"/>
  <c r="K1149" i="23" s="1"/>
  <c r="L893" i="23"/>
  <c r="K893" i="23" s="1"/>
  <c r="L637" i="23"/>
  <c r="L317" i="23"/>
  <c r="L1811" i="23"/>
  <c r="K1811" i="23" s="1"/>
  <c r="L1168" i="23"/>
  <c r="L592" i="23"/>
  <c r="L843" i="23"/>
  <c r="L78" i="23"/>
  <c r="L823" i="23"/>
  <c r="L879" i="23"/>
  <c r="K879" i="23" s="1"/>
  <c r="L16" i="23"/>
  <c r="L4900" i="23"/>
  <c r="K4900" i="23" s="1"/>
  <c r="L4924" i="23"/>
  <c r="K4924" i="23" s="1"/>
  <c r="L2078" i="23"/>
  <c r="K2078" i="23" s="1"/>
  <c r="L1486" i="23"/>
  <c r="L2933" i="23"/>
  <c r="K2933" i="23" s="1"/>
  <c r="L2325" i="23"/>
  <c r="K2325" i="23" s="1"/>
  <c r="L1621" i="23"/>
  <c r="K1621" i="23" s="1"/>
  <c r="L3306" i="23"/>
  <c r="K3306" i="23" s="1"/>
  <c r="L2360" i="23"/>
  <c r="K2360" i="23" s="1"/>
  <c r="L1976" i="23"/>
  <c r="K1976" i="23" s="1"/>
  <c r="L1720" i="23"/>
  <c r="K1720" i="23" s="1"/>
  <c r="L1464" i="23"/>
  <c r="L2123" i="23"/>
  <c r="K2123" i="23" s="1"/>
  <c r="L1182" i="23"/>
  <c r="L926" i="23"/>
  <c r="L542" i="23"/>
  <c r="L2467" i="23"/>
  <c r="K2467" i="23" s="1"/>
  <c r="L2222" i="23"/>
  <c r="K2222" i="23" s="1"/>
  <c r="L1434" i="23"/>
  <c r="L2480" i="23"/>
  <c r="K2480" i="23" s="1"/>
  <c r="L2145" i="23"/>
  <c r="K2145" i="23" s="1"/>
  <c r="L1889" i="23"/>
  <c r="K1889" i="23" s="1"/>
  <c r="L1633" i="23"/>
  <c r="K1633" i="23" s="1"/>
  <c r="L2865" i="23"/>
  <c r="K2865" i="23" s="1"/>
  <c r="L2052" i="23"/>
  <c r="K2052" i="23" s="1"/>
  <c r="L1732" i="23"/>
  <c r="K1732" i="23" s="1"/>
  <c r="L1284" i="23"/>
  <c r="L1130" i="23"/>
  <c r="L874" i="23"/>
  <c r="L490" i="23"/>
  <c r="L1278" i="23"/>
  <c r="L2150" i="23"/>
  <c r="K2150" i="23" s="1"/>
  <c r="L1830" i="23"/>
  <c r="K1830" i="23" s="1"/>
  <c r="L3130" i="23"/>
  <c r="K3130" i="23" s="1"/>
  <c r="L2221" i="23"/>
  <c r="K2221" i="23" s="1"/>
  <c r="L1837" i="23"/>
  <c r="K1837" i="23" s="1"/>
  <c r="L1517" i="23"/>
  <c r="K1517" i="23" s="1"/>
  <c r="L2256" i="23"/>
  <c r="K2256" i="23" s="1"/>
  <c r="L1616" i="23"/>
  <c r="K1616" i="23" s="1"/>
  <c r="L1451" i="23"/>
  <c r="L502" i="23"/>
  <c r="L1097" i="23"/>
  <c r="K1097" i="23" s="1"/>
  <c r="L2371" i="23"/>
  <c r="K2371" i="23" s="1"/>
  <c r="L1180" i="23"/>
  <c r="L476" i="23"/>
  <c r="L891" i="23"/>
  <c r="K891" i="23" s="1"/>
  <c r="L1807" i="23"/>
  <c r="K1807" i="23" s="1"/>
  <c r="L359" i="23"/>
  <c r="L222" i="23"/>
  <c r="L15" i="23"/>
  <c r="L4876" i="23"/>
  <c r="K4876" i="23" s="1"/>
  <c r="L293" i="23"/>
  <c r="L1715" i="23"/>
  <c r="K1715" i="23" s="1"/>
  <c r="L696" i="23"/>
  <c r="L376" i="23"/>
  <c r="K376" i="23" s="1"/>
  <c r="L1259" i="23"/>
  <c r="K1259" i="23" s="1"/>
  <c r="L2095" i="23"/>
  <c r="K2095" i="23" s="1"/>
  <c r="L184" i="23"/>
  <c r="L4996" i="23"/>
  <c r="K4996" i="23" s="1"/>
  <c r="L4885" i="23"/>
  <c r="K4885" i="23" s="1"/>
  <c r="L801" i="23"/>
  <c r="L2211" i="23"/>
  <c r="K2211" i="23" s="1"/>
  <c r="L1140" i="23"/>
  <c r="K1140" i="23" s="1"/>
  <c r="L628" i="23"/>
  <c r="L308" i="23"/>
  <c r="L25" i="23"/>
  <c r="L29" i="23"/>
  <c r="K29" i="23" s="1"/>
  <c r="L180" i="23"/>
  <c r="L4877" i="23"/>
  <c r="K4877" i="23" s="1"/>
  <c r="L1005" i="23"/>
  <c r="L2259" i="23"/>
  <c r="K2259" i="23" s="1"/>
  <c r="L1088" i="23"/>
  <c r="K1088" i="23" s="1"/>
  <c r="L2303" i="23"/>
  <c r="K2303" i="23" s="1"/>
  <c r="L1183" i="23"/>
  <c r="L1043" i="23"/>
  <c r="L4950" i="23"/>
  <c r="K4950" i="23" s="1"/>
  <c r="L1662" i="23"/>
  <c r="K1662" i="23" s="1"/>
  <c r="L1989" i="23"/>
  <c r="K1989" i="23" s="1"/>
  <c r="L2280" i="23"/>
  <c r="K2280" i="23" s="1"/>
  <c r="L1320" i="23"/>
  <c r="K1320" i="23" s="1"/>
  <c r="L846" i="23"/>
  <c r="L1185" i="23"/>
  <c r="L1290" i="23"/>
  <c r="L1873" i="23"/>
  <c r="K1873" i="23" s="1"/>
  <c r="L2164" i="23"/>
  <c r="K2164" i="23" s="1"/>
  <c r="L2107" i="23"/>
  <c r="K2107" i="23" s="1"/>
  <c r="L474" i="23"/>
  <c r="L1942" i="23"/>
  <c r="K1942" i="23" s="1"/>
  <c r="L2269" i="23"/>
  <c r="K2269" i="23" s="1"/>
  <c r="L2849" i="23"/>
  <c r="K2849" i="23" s="1"/>
  <c r="L1536" i="23"/>
  <c r="L870" i="23"/>
  <c r="L1209" i="23"/>
  <c r="K1209" i="23" s="1"/>
  <c r="L2307" i="23"/>
  <c r="K2307" i="23" s="1"/>
  <c r="L716" i="23"/>
  <c r="L138" i="23"/>
  <c r="K138" i="23" s="1"/>
  <c r="L69" i="23"/>
  <c r="L543" i="23"/>
  <c r="L1205" i="23"/>
  <c r="K1205" i="23" s="1"/>
  <c r="L2163" i="23"/>
  <c r="K2163" i="23" s="1"/>
  <c r="L744" i="23"/>
  <c r="L102" i="23"/>
  <c r="K102" i="23" s="1"/>
  <c r="L161" i="23"/>
  <c r="L593" i="23"/>
  <c r="L1188" i="23"/>
  <c r="K1188" i="23" s="1"/>
  <c r="L420" i="23"/>
  <c r="K420" i="23" s="1"/>
  <c r="L1887" i="23"/>
  <c r="K1887" i="23" s="1"/>
  <c r="L4908" i="23"/>
  <c r="K4908" i="23" s="1"/>
  <c r="L285" i="23"/>
  <c r="L624" i="23"/>
  <c r="L17" i="23"/>
  <c r="L1235" i="23"/>
  <c r="L4952" i="23"/>
  <c r="K4952" i="23" s="1"/>
  <c r="L1454" i="23"/>
  <c r="L1781" i="23"/>
  <c r="K1781" i="23" s="1"/>
  <c r="L2072" i="23"/>
  <c r="K2072" i="23" s="1"/>
  <c r="L1739" i="23"/>
  <c r="K1739" i="23" s="1"/>
  <c r="L638" i="23"/>
  <c r="K638" i="23" s="1"/>
  <c r="L2106" i="23"/>
  <c r="K2106" i="23" s="1"/>
  <c r="L2437" i="23"/>
  <c r="K2437" i="23" s="1"/>
  <c r="L1409" i="23"/>
  <c r="K1409" i="23" s="1"/>
  <c r="L1700" i="23"/>
  <c r="K1700" i="23" s="1"/>
  <c r="L1034" i="23"/>
  <c r="L1607" i="23"/>
  <c r="K1607" i="23" s="1"/>
  <c r="L1478" i="23"/>
  <c r="K1478" i="23" s="1"/>
  <c r="L1805" i="23"/>
  <c r="K1805" i="23" s="1"/>
  <c r="L2096" i="23"/>
  <c r="K2096" i="23" s="1"/>
  <c r="L1835" i="23"/>
  <c r="K1835" i="23" s="1"/>
  <c r="L406" i="23"/>
  <c r="L745" i="23"/>
  <c r="L1084" i="23"/>
  <c r="K1084" i="23" s="1"/>
  <c r="L316" i="23"/>
  <c r="L1255" i="23"/>
  <c r="K1255" i="23" s="1"/>
  <c r="L1027" i="23"/>
  <c r="K1027" i="23" s="1"/>
  <c r="L4966" i="23"/>
  <c r="K4966" i="23" s="1"/>
  <c r="L453" i="23"/>
  <c r="K453" i="23" s="1"/>
  <c r="L792" i="23"/>
  <c r="L150" i="23"/>
  <c r="L237" i="23"/>
  <c r="L4937" i="23"/>
  <c r="K4937" i="23" s="1"/>
  <c r="L449" i="23"/>
  <c r="L788" i="23"/>
  <c r="L146" i="23"/>
  <c r="L221" i="23"/>
  <c r="L4929" i="23"/>
  <c r="K4929" i="23" s="1"/>
  <c r="L589" i="23"/>
  <c r="L928" i="23"/>
  <c r="L1791" i="23"/>
  <c r="K1791" i="23" s="1"/>
  <c r="L631" i="23"/>
  <c r="L160" i="23"/>
  <c r="L1774" i="23"/>
  <c r="K1774" i="23" s="1"/>
  <c r="L354" i="23"/>
  <c r="L1627" i="23"/>
  <c r="K1627" i="23" s="1"/>
  <c r="L2044" i="23"/>
  <c r="K2044" i="23" s="1"/>
  <c r="L1753" i="23"/>
  <c r="K1753" i="23" s="1"/>
  <c r="L1426" i="23"/>
  <c r="L2358" i="23"/>
  <c r="K2358" i="23" s="1"/>
  <c r="L4221" i="23"/>
  <c r="K4221" i="23" s="1"/>
  <c r="L2828" i="23"/>
  <c r="K2828" i="23" s="1"/>
  <c r="L4173" i="23"/>
  <c r="K4173" i="23" s="1"/>
  <c r="L3349" i="23"/>
  <c r="K3349" i="23" s="1"/>
  <c r="L3638" i="23"/>
  <c r="K3638" i="23" s="1"/>
  <c r="L2814" i="23"/>
  <c r="K2814" i="23" s="1"/>
  <c r="L4052" i="23"/>
  <c r="K4052" i="23" s="1"/>
  <c r="L3311" i="23"/>
  <c r="K3311" i="23" s="1"/>
  <c r="L3001" i="23"/>
  <c r="K3001" i="23" s="1"/>
  <c r="L3813" i="23"/>
  <c r="K3813" i="23" s="1"/>
  <c r="L2786" i="23"/>
  <c r="K2786" i="23" s="1"/>
  <c r="L3610" i="23"/>
  <c r="K3610" i="23" s="1"/>
  <c r="L3283" i="23"/>
  <c r="K3283" i="23" s="1"/>
  <c r="L4067" i="23"/>
  <c r="K4067" i="23" s="1"/>
  <c r="L3785" i="23"/>
  <c r="K3785" i="23" s="1"/>
  <c r="L2534" i="23"/>
  <c r="K2534" i="23" s="1"/>
  <c r="L2879" i="23"/>
  <c r="K2879" i="23" s="1"/>
  <c r="L3031" i="23"/>
  <c r="K3031" i="23" s="1"/>
  <c r="L3400" i="23"/>
  <c r="K3400" i="23" s="1"/>
  <c r="L3533" i="23"/>
  <c r="K3533" i="23" s="1"/>
  <c r="L4034" i="23"/>
  <c r="K4034" i="23" s="1"/>
  <c r="L4274" i="23"/>
  <c r="K4274" i="23" s="1"/>
  <c r="L4499" i="23"/>
  <c r="K4499" i="23" s="1"/>
  <c r="L3699" i="23"/>
  <c r="K3699" i="23" s="1"/>
  <c r="L4275" i="23"/>
  <c r="K4275" i="23" s="1"/>
  <c r="L4520" i="23"/>
  <c r="K4520" i="23" s="1"/>
  <c r="L4040" i="23"/>
  <c r="K4040" i="23" s="1"/>
  <c r="L4256" i="23"/>
  <c r="K4256" i="23" s="1"/>
  <c r="L4149" i="23"/>
  <c r="K4149" i="23" s="1"/>
  <c r="L4320" i="23"/>
  <c r="K4320" i="23" s="1"/>
  <c r="L4543" i="23"/>
  <c r="K4543" i="23" s="1"/>
  <c r="L4771" i="23"/>
  <c r="K4771" i="23" s="1"/>
  <c r="L4738" i="23"/>
  <c r="K4738" i="23" s="1"/>
  <c r="L4638" i="23"/>
  <c r="K4638" i="23" s="1"/>
  <c r="L4840" i="23"/>
  <c r="K4840" i="23" s="1"/>
  <c r="L4588" i="23"/>
  <c r="K4588" i="23" s="1"/>
  <c r="L1767" i="23"/>
  <c r="K1767" i="23" s="1"/>
  <c r="L1074" i="23"/>
  <c r="L1740" i="23"/>
  <c r="K1740" i="23" s="1"/>
  <c r="L1449" i="23"/>
  <c r="L2501" i="23"/>
  <c r="K2501" i="23" s="1"/>
  <c r="L2146" i="23"/>
  <c r="K2146" i="23" s="1"/>
  <c r="L2858" i="23"/>
  <c r="K2858" i="23" s="1"/>
  <c r="L2524" i="23"/>
  <c r="K2524" i="23" s="1"/>
  <c r="L3355" i="23"/>
  <c r="K3355" i="23" s="1"/>
  <c r="L3045" i="23"/>
  <c r="K3045" i="23" s="1"/>
  <c r="L3857" i="23"/>
  <c r="K3857" i="23" s="1"/>
  <c r="L2510" i="23"/>
  <c r="K2510" i="23" s="1"/>
  <c r="L2855" i="23"/>
  <c r="K2855" i="23" s="1"/>
  <c r="L3007" i="23"/>
  <c r="K3007" i="23" s="1"/>
  <c r="L3376" i="23"/>
  <c r="K3376" i="23" s="1"/>
  <c r="L3509" i="23"/>
  <c r="K3509" i="23" s="1"/>
  <c r="L2482" i="23"/>
  <c r="K2482" i="23" s="1"/>
  <c r="L2827" i="23"/>
  <c r="K2827" i="23" s="1"/>
  <c r="L2979" i="23"/>
  <c r="K2979" i="23" s="1"/>
  <c r="L3348" i="23"/>
  <c r="K3348" i="23" s="1"/>
  <c r="L3481" i="23"/>
  <c r="K3481" i="23" s="1"/>
  <c r="L2460" i="23"/>
  <c r="K2460" i="23" s="1"/>
  <c r="L2575" i="23"/>
  <c r="K2575" i="23" s="1"/>
  <c r="L2920" i="23"/>
  <c r="K2920" i="23" s="1"/>
  <c r="L3096" i="23"/>
  <c r="K3096" i="23" s="1"/>
  <c r="L3441" i="23"/>
  <c r="K3441" i="23" s="1"/>
  <c r="L3730" i="23"/>
  <c r="K3730" i="23" s="1"/>
  <c r="L4153" i="23"/>
  <c r="K4153" i="23" s="1"/>
  <c r="L4296" i="23"/>
  <c r="K4296" i="23" s="1"/>
  <c r="L4117" i="23"/>
  <c r="K4117" i="23" s="1"/>
  <c r="L4310" i="23"/>
  <c r="K4310" i="23" s="1"/>
  <c r="L4535" i="23"/>
  <c r="K4535" i="23" s="1"/>
  <c r="L3735" i="23"/>
  <c r="K3735" i="23" s="1"/>
  <c r="L4311" i="23"/>
  <c r="K4311" i="23" s="1"/>
  <c r="L4556" i="23"/>
  <c r="K4556" i="23" s="1"/>
  <c r="L4338" i="23"/>
  <c r="K4338" i="23" s="1"/>
  <c r="L4374" i="23"/>
  <c r="K4374" i="23" s="1"/>
  <c r="L4585" i="23"/>
  <c r="K4585" i="23" s="1"/>
  <c r="L4955" i="23"/>
  <c r="K4955" i="23" s="1"/>
  <c r="L4999" i="23"/>
  <c r="K4999" i="23" s="1"/>
  <c r="L4899" i="23"/>
  <c r="K4899" i="23" s="1"/>
  <c r="L4623" i="23"/>
  <c r="K4623" i="23" s="1"/>
  <c r="L1870" i="23"/>
  <c r="K1870" i="23" s="1"/>
  <c r="L450" i="23"/>
  <c r="L2011" i="23"/>
  <c r="K2011" i="23" s="1"/>
  <c r="L2140" i="23"/>
  <c r="K2140" i="23" s="1"/>
  <c r="L1849" i="23"/>
  <c r="K1849" i="23" s="1"/>
  <c r="L1522" i="23"/>
  <c r="K1522" i="23" s="1"/>
  <c r="L2465" i="23"/>
  <c r="K2465" i="23" s="1"/>
  <c r="L2579" i="23"/>
  <c r="K2579" i="23" s="1"/>
  <c r="L2924" i="23"/>
  <c r="K2924" i="23" s="1"/>
  <c r="L3100" i="23"/>
  <c r="K3100" i="23" s="1"/>
  <c r="L3445" i="23"/>
  <c r="K3445" i="23" s="1"/>
  <c r="L3734" i="23"/>
  <c r="K3734" i="23" s="1"/>
  <c r="L2910" i="23"/>
  <c r="K2910" i="23" s="1"/>
  <c r="L2576" i="23"/>
  <c r="K2576" i="23" s="1"/>
  <c r="L3407" i="23"/>
  <c r="K3407" i="23" s="1"/>
  <c r="L3097" i="23"/>
  <c r="K3097" i="23" s="1"/>
  <c r="L3909" i="23"/>
  <c r="K3909" i="23" s="1"/>
  <c r="L2882" i="23"/>
  <c r="K2882" i="23" s="1"/>
  <c r="L2548" i="23"/>
  <c r="K2548" i="23" s="1"/>
  <c r="L3379" i="23"/>
  <c r="K3379" i="23" s="1"/>
  <c r="L3069" i="23"/>
  <c r="K3069" i="23" s="1"/>
  <c r="L3881" i="23"/>
  <c r="K3881" i="23" s="1"/>
  <c r="L2630" i="23"/>
  <c r="K2630" i="23" s="1"/>
  <c r="L2976" i="23"/>
  <c r="K2976" i="23" s="1"/>
  <c r="L3127" i="23"/>
  <c r="K3127" i="23" s="1"/>
  <c r="L3526" i="23"/>
  <c r="K3526" i="23" s="1"/>
  <c r="L3629" i="23"/>
  <c r="K3629" i="23" s="1"/>
  <c r="L4442" i="23"/>
  <c r="K4442" i="23" s="1"/>
  <c r="L4494" i="23"/>
  <c r="K4494" i="23" s="1"/>
  <c r="L4629" i="23"/>
  <c r="K4629" i="23" s="1"/>
  <c r="L3795" i="23"/>
  <c r="K3795" i="23" s="1"/>
  <c r="L4498" i="23"/>
  <c r="K4498" i="23" s="1"/>
  <c r="L4911" i="23"/>
  <c r="K4911" i="23" s="1"/>
  <c r="L4522" i="23"/>
  <c r="K4522" i="23" s="1"/>
  <c r="L4422" i="23"/>
  <c r="K4422" i="23" s="1"/>
  <c r="L3499" i="23"/>
  <c r="K3499" i="23" s="1"/>
  <c r="L4075" i="23"/>
  <c r="K4075" i="23" s="1"/>
  <c r="L4794" i="23"/>
  <c r="K4794" i="23" s="1"/>
  <c r="L4867" i="23"/>
  <c r="K4867" i="23" s="1"/>
  <c r="L4615" i="23"/>
  <c r="K4615" i="23" s="1"/>
  <c r="L4357" i="23"/>
  <c r="K4357" i="23" s="1"/>
  <c r="L4673" i="23"/>
  <c r="K4673" i="23" s="1"/>
  <c r="L4684" i="23"/>
  <c r="K4684" i="23" s="1"/>
  <c r="L1315" i="23"/>
  <c r="L1964" i="23"/>
  <c r="K1964" i="23" s="1"/>
  <c r="L1673" i="23"/>
  <c r="K1673" i="23" s="1"/>
  <c r="L1346" i="23"/>
  <c r="L2278" i="23"/>
  <c r="K2278" i="23" s="1"/>
  <c r="L3342" i="23"/>
  <c r="K3342" i="23" s="1"/>
  <c r="L2748" i="23"/>
  <c r="K2748" i="23" s="1"/>
  <c r="L3764" i="23"/>
  <c r="K3764" i="23" s="1"/>
  <c r="L3269" i="23"/>
  <c r="K3269" i="23" s="1"/>
  <c r="L4161" i="23"/>
  <c r="K4161" i="23" s="1"/>
  <c r="L2734" i="23"/>
  <c r="K2734" i="23" s="1"/>
  <c r="L3330" i="23"/>
  <c r="K3330" i="23" s="1"/>
  <c r="L3231" i="23"/>
  <c r="K3231" i="23" s="1"/>
  <c r="L3848" i="23"/>
  <c r="K3848" i="23" s="1"/>
  <c r="L3733" i="23"/>
  <c r="K3733" i="23" s="1"/>
  <c r="L2706" i="23"/>
  <c r="K2706" i="23" s="1"/>
  <c r="L3218" i="23"/>
  <c r="K3218" i="23" s="1"/>
  <c r="L3203" i="23"/>
  <c r="K3203" i="23" s="1"/>
  <c r="L3736" i="23"/>
  <c r="K3736" i="23" s="1"/>
  <c r="L3705" i="23"/>
  <c r="K3705" i="23" s="1"/>
  <c r="L2454" i="23"/>
  <c r="K2454" i="23" s="1"/>
  <c r="L2799" i="23"/>
  <c r="K2799" i="23" s="1"/>
  <c r="L3808" i="23"/>
  <c r="K3808" i="23" s="1"/>
  <c r="L3320" i="23"/>
  <c r="K3320" i="23" s="1"/>
  <c r="L4269" i="23"/>
  <c r="K4269" i="23" s="1"/>
  <c r="L3954" i="23"/>
  <c r="K3954" i="23" s="1"/>
  <c r="L4194" i="23"/>
  <c r="K4194" i="23" s="1"/>
  <c r="L4419" i="23"/>
  <c r="K4419" i="23" s="1"/>
  <c r="L3619" i="23"/>
  <c r="K3619" i="23" s="1"/>
  <c r="L4195" i="23"/>
  <c r="K4195" i="23" s="1"/>
  <c r="L4440" i="23"/>
  <c r="K4440" i="23" s="1"/>
  <c r="L3959" i="23"/>
  <c r="K3959" i="23" s="1"/>
  <c r="L4176" i="23"/>
  <c r="K4176" i="23" s="1"/>
  <c r="L3998" i="23"/>
  <c r="K3998" i="23" s="1"/>
  <c r="L4238" i="23"/>
  <c r="K4238" i="23" s="1"/>
  <c r="L4463" i="23"/>
  <c r="K4463" i="23" s="1"/>
  <c r="L4691" i="23"/>
  <c r="K4691" i="23" s="1"/>
  <c r="L4545" i="23"/>
  <c r="K4545" i="23" s="1"/>
  <c r="L4861" i="23"/>
  <c r="K4861" i="23" s="1"/>
  <c r="L4760" i="23"/>
  <c r="K4760" i="23" s="1"/>
  <c r="L4847" i="23"/>
  <c r="K4847" i="23" s="1"/>
  <c r="L3456" i="23"/>
  <c r="K3456" i="23" s="1"/>
  <c r="L3361" i="23"/>
  <c r="K3361" i="23" s="1"/>
  <c r="L3706" i="23"/>
  <c r="K3706" i="23" s="1"/>
  <c r="L4134" i="23"/>
  <c r="K4134" i="23" s="1"/>
  <c r="L4056" i="23"/>
  <c r="K4056" i="23" s="1"/>
  <c r="L4568" i="23"/>
  <c r="K4568" i="23" s="1"/>
  <c r="L1648" i="23"/>
  <c r="K1648" i="23" s="1"/>
  <c r="L166" i="23"/>
  <c r="L1189" i="23"/>
  <c r="K1189" i="23" s="1"/>
  <c r="L1362" i="23"/>
  <c r="L3576" i="23"/>
  <c r="K3576" i="23" s="1"/>
  <c r="L3021" i="23"/>
  <c r="K3021" i="23" s="1"/>
  <c r="L2939" i="23"/>
  <c r="K2939" i="23" s="1"/>
  <c r="L265" i="23"/>
  <c r="K265" i="23" s="1"/>
  <c r="L548" i="23"/>
  <c r="L930" i="23"/>
  <c r="L2108" i="23"/>
  <c r="K2108" i="23" s="1"/>
  <c r="L2309" i="23"/>
  <c r="K2309" i="23" s="1"/>
  <c r="L1982" i="23"/>
  <c r="K1982" i="23" s="1"/>
  <c r="L2998" i="23"/>
  <c r="K2998" i="23" s="1"/>
  <c r="L1164" i="23"/>
  <c r="L1029" i="23"/>
  <c r="K1029" i="23" s="1"/>
  <c r="L946" i="23"/>
  <c r="L2172" i="23"/>
  <c r="K2172" i="23" s="1"/>
  <c r="L2006" i="23"/>
  <c r="K2006" i="23" s="1"/>
  <c r="L2135" i="23"/>
  <c r="K2135" i="23" s="1"/>
  <c r="L3562" i="23"/>
  <c r="K3562" i="23" s="1"/>
  <c r="L3990" i="23"/>
  <c r="K3990" i="23" s="1"/>
  <c r="L3912" i="23"/>
  <c r="K3912" i="23" s="1"/>
  <c r="L4424" i="23"/>
  <c r="K4424" i="23" s="1"/>
  <c r="L99" i="23"/>
  <c r="K99" i="23" s="1"/>
  <c r="L330" i="23"/>
  <c r="K330" i="23" s="1"/>
  <c r="L864" i="23"/>
  <c r="L713" i="23"/>
  <c r="L1033" i="23"/>
  <c r="K1033" i="23" s="1"/>
  <c r="L1353" i="23"/>
  <c r="L2276" i="23"/>
  <c r="K2276" i="23" s="1"/>
  <c r="L694" i="23"/>
  <c r="L1078" i="23"/>
  <c r="K1078" i="23" s="1"/>
  <c r="L1944" i="23"/>
  <c r="K1944" i="23" s="1"/>
  <c r="L499" i="23"/>
  <c r="L947" i="23"/>
  <c r="K947" i="23" s="1"/>
  <c r="L1395" i="23"/>
  <c r="K1395" i="23" s="1"/>
  <c r="L2188" i="23"/>
  <c r="K2188" i="23" s="1"/>
  <c r="L1625" i="23"/>
  <c r="K1625" i="23" s="1"/>
  <c r="L1945" i="23"/>
  <c r="K1945" i="23" s="1"/>
  <c r="L2329" i="23"/>
  <c r="K2329" i="23" s="1"/>
  <c r="L3165" i="23"/>
  <c r="K3165" i="23" s="1"/>
  <c r="L1934" i="23"/>
  <c r="K1934" i="23" s="1"/>
  <c r="L2350" i="23"/>
  <c r="K2350" i="23" s="1"/>
  <c r="L3169" i="23"/>
  <c r="K3169" i="23" s="1"/>
  <c r="L2139" i="23"/>
  <c r="K2139" i="23" s="1"/>
  <c r="L2682" i="23"/>
  <c r="K2682" i="23" s="1"/>
  <c r="L3692" i="23"/>
  <c r="K3692" i="23" s="1"/>
  <c r="L3681" i="23"/>
  <c r="K3681" i="23" s="1"/>
  <c r="L3343" i="23"/>
  <c r="K3343" i="23" s="1"/>
  <c r="L3775" i="23"/>
  <c r="K3775" i="23" s="1"/>
  <c r="L4376" i="23"/>
  <c r="K4376" i="23" s="1"/>
  <c r="L4975" i="23"/>
  <c r="K4975" i="23" s="1"/>
  <c r="L191" i="23"/>
  <c r="L238" i="23"/>
  <c r="L1664" i="23"/>
  <c r="K1664" i="23" s="1"/>
  <c r="L813" i="23"/>
  <c r="L1133" i="23"/>
  <c r="L2761" i="23"/>
  <c r="K2761" i="23" s="1"/>
  <c r="L794" i="23"/>
  <c r="L1114" i="23"/>
  <c r="L1832" i="23"/>
  <c r="K1832" i="23" s="1"/>
  <c r="L599" i="23"/>
  <c r="L983" i="23"/>
  <c r="L1564" i="23"/>
  <c r="L2588" i="23"/>
  <c r="K2588" i="23" s="1"/>
  <c r="L2622" i="23"/>
  <c r="K2622" i="23" s="1"/>
  <c r="L1650" i="23"/>
  <c r="K1650" i="23" s="1"/>
  <c r="L2230" i="23"/>
  <c r="K2230" i="23" s="1"/>
  <c r="L3025" i="23"/>
  <c r="K3025" i="23" s="1"/>
  <c r="L2215" i="23"/>
  <c r="K2215" i="23" s="1"/>
  <c r="L2854" i="23"/>
  <c r="K2854" i="23" s="1"/>
  <c r="L2972" i="23"/>
  <c r="K2972" i="23" s="1"/>
  <c r="L3402" i="23"/>
  <c r="K3402" i="23" s="1"/>
  <c r="L3830" i="23"/>
  <c r="K3830" i="23" s="1"/>
  <c r="L4175" i="23"/>
  <c r="K4175" i="23" s="1"/>
  <c r="L4607" i="23"/>
  <c r="K4607" i="23" s="1"/>
  <c r="L4780" i="23"/>
  <c r="K4780" i="23" s="1"/>
  <c r="L98" i="23"/>
  <c r="K98" i="23" s="1"/>
  <c r="L418" i="23"/>
  <c r="K418" i="23" s="1"/>
  <c r="L1216" i="23"/>
  <c r="L673" i="23"/>
  <c r="L993" i="23"/>
  <c r="L1377" i="23"/>
  <c r="L2372" i="23"/>
  <c r="K2372" i="23" s="1"/>
  <c r="L654" i="23"/>
  <c r="K654" i="23" s="1"/>
  <c r="L974" i="23"/>
  <c r="L2296" i="23"/>
  <c r="K2296" i="23" s="1"/>
  <c r="L779" i="23"/>
  <c r="L1516" i="23"/>
  <c r="K1516" i="23" s="1"/>
  <c r="L2540" i="23"/>
  <c r="K2540" i="23" s="1"/>
  <c r="L2749" i="23"/>
  <c r="K2749" i="23" s="1"/>
  <c r="L1702" i="23"/>
  <c r="K1702" i="23" s="1"/>
  <c r="L2298" i="23"/>
  <c r="K2298" i="23" s="1"/>
  <c r="L2657" i="23"/>
  <c r="K2657" i="23" s="1"/>
  <c r="L1707" i="23"/>
  <c r="K1707" i="23" s="1"/>
  <c r="L2443" i="23"/>
  <c r="K2443" i="23" s="1"/>
  <c r="L3174" i="23"/>
  <c r="K3174" i="23" s="1"/>
  <c r="L3265" i="23"/>
  <c r="K3265" i="23" s="1"/>
  <c r="L4285" i="23"/>
  <c r="K4285" i="23" s="1"/>
  <c r="L4038" i="23"/>
  <c r="K4038" i="23" s="1"/>
  <c r="L3960" i="23"/>
  <c r="K3960" i="23" s="1"/>
  <c r="L4559" i="23"/>
  <c r="K4559" i="23" s="1"/>
  <c r="L4732" i="23"/>
  <c r="K4732" i="23" s="1"/>
  <c r="L3324" i="23"/>
  <c r="K3324" i="23" s="1"/>
  <c r="L2735" i="23"/>
  <c r="K2735" i="23" s="1"/>
  <c r="L62" i="23"/>
  <c r="L564" i="23"/>
  <c r="K564" i="23" s="1"/>
  <c r="L1277" i="23"/>
  <c r="L2228" i="23"/>
  <c r="K2228" i="23" s="1"/>
  <c r="L1258" i="23"/>
  <c r="K1258" i="23" s="1"/>
  <c r="L2408" i="23"/>
  <c r="K2408" i="23" s="1"/>
  <c r="L743" i="23"/>
  <c r="L1447" i="23"/>
  <c r="L1741" i="23"/>
  <c r="K1741" i="23" s="1"/>
  <c r="L2125" i="23"/>
  <c r="K2125" i="23" s="1"/>
  <c r="L2509" i="23"/>
  <c r="K2509" i="23" s="1"/>
  <c r="L1538" i="23"/>
  <c r="L1922" i="23"/>
  <c r="K1922" i="23" s="1"/>
  <c r="L2506" i="23"/>
  <c r="K2506" i="23" s="1"/>
  <c r="L1487" i="23"/>
  <c r="L2119" i="23"/>
  <c r="K2119" i="23" s="1"/>
  <c r="L2758" i="23"/>
  <c r="K2758" i="23" s="1"/>
  <c r="L3520" i="23"/>
  <c r="K3520" i="23" s="1"/>
  <c r="L4549" i="23"/>
  <c r="K4549" i="23" s="1"/>
  <c r="L3894" i="23"/>
  <c r="K3894" i="23" s="1"/>
  <c r="L4239" i="23"/>
  <c r="K4239" i="23" s="1"/>
  <c r="L4415" i="23"/>
  <c r="K4415" i="23" s="1"/>
  <c r="L385" i="23"/>
  <c r="L50" i="23"/>
  <c r="K50" i="23" s="1"/>
  <c r="L434" i="23"/>
  <c r="L3065" i="23"/>
  <c r="K3065" i="23" s="1"/>
  <c r="L606" i="23"/>
  <c r="L603" i="23"/>
  <c r="L987" i="23"/>
  <c r="L1371" i="23"/>
  <c r="L2348" i="23"/>
  <c r="K2348" i="23" s="1"/>
  <c r="L1601" i="23"/>
  <c r="L1985" i="23"/>
  <c r="K1985" i="23" s="1"/>
  <c r="L2305" i="23"/>
  <c r="K2305" i="23" s="1"/>
  <c r="L1978" i="23"/>
  <c r="K1978" i="23" s="1"/>
  <c r="L2406" i="23"/>
  <c r="K2406" i="23" s="1"/>
  <c r="L4277" i="23"/>
  <c r="K4277" i="23" s="1"/>
  <c r="L2347" i="23"/>
  <c r="K2347" i="23" s="1"/>
  <c r="L2730" i="23"/>
  <c r="K2730" i="23" s="1"/>
  <c r="L3328" i="23"/>
  <c r="K3328" i="23" s="1"/>
  <c r="L3585" i="23"/>
  <c r="K3585" i="23" s="1"/>
  <c r="L3247" i="23"/>
  <c r="K3247" i="23" s="1"/>
  <c r="L3768" i="23"/>
  <c r="K3768" i="23" s="1"/>
  <c r="L4536" i="23"/>
  <c r="K4536" i="23" s="1"/>
  <c r="L3644" i="23"/>
  <c r="K3644" i="23" s="1"/>
  <c r="L107" i="23"/>
  <c r="L1392" i="23"/>
  <c r="K1392" i="23" s="1"/>
  <c r="L781" i="23"/>
  <c r="L1293" i="23"/>
  <c r="L1780" i="23"/>
  <c r="K1780" i="23" s="1"/>
  <c r="L1402" i="23"/>
  <c r="K1402" i="23" s="1"/>
  <c r="L2216" i="23"/>
  <c r="K2216" i="23" s="1"/>
  <c r="L887" i="23"/>
  <c r="K887" i="23" s="1"/>
  <c r="L1207" i="23"/>
  <c r="K1207" i="23" s="1"/>
  <c r="L1948" i="23"/>
  <c r="K1948" i="23" s="1"/>
  <c r="L1629" i="23"/>
  <c r="K1629" i="23" s="1"/>
  <c r="L1949" i="23"/>
  <c r="K1949" i="23" s="1"/>
  <c r="L2333" i="23"/>
  <c r="K2333" i="23" s="1"/>
  <c r="L2686" i="23"/>
  <c r="K2686" i="23" s="1"/>
  <c r="L1746" i="23"/>
  <c r="K1746" i="23" s="1"/>
  <c r="L2270" i="23"/>
  <c r="K2270" i="23" s="1"/>
  <c r="L1511" i="23"/>
  <c r="L2023" i="23"/>
  <c r="K2023" i="23" s="1"/>
  <c r="L3094" i="23"/>
  <c r="K3094" i="23" s="1"/>
  <c r="L2844" i="23"/>
  <c r="K2844" i="23" s="1"/>
  <c r="L3359" i="23"/>
  <c r="K3359" i="23" s="1"/>
  <c r="L4303" i="23"/>
  <c r="K4303" i="23" s="1"/>
  <c r="L4479" i="23"/>
  <c r="K4479" i="23" s="1"/>
  <c r="L4735" i="23"/>
  <c r="K4735" i="23" s="1"/>
  <c r="L892" i="23"/>
  <c r="K892" i="23" s="1"/>
  <c r="L71" i="23"/>
  <c r="L1344" i="23"/>
  <c r="L769" i="23"/>
  <c r="L1089" i="23"/>
  <c r="K1089" i="23" s="1"/>
  <c r="L2500" i="23"/>
  <c r="K2500" i="23" s="1"/>
  <c r="L2424" i="23"/>
  <c r="K2424" i="23" s="1"/>
  <c r="L747" i="23"/>
  <c r="L1323" i="23"/>
  <c r="K1323" i="23" s="1"/>
  <c r="L2156" i="23"/>
  <c r="K2156" i="23" s="1"/>
  <c r="L1553" i="23"/>
  <c r="L1937" i="23"/>
  <c r="K1937" i="23" s="1"/>
  <c r="L2257" i="23"/>
  <c r="K2257" i="23" s="1"/>
  <c r="L3133" i="23"/>
  <c r="K3133" i="23" s="1"/>
  <c r="L1798" i="23"/>
  <c r="K1798" i="23" s="1"/>
  <c r="L2170" i="23"/>
  <c r="K2170" i="23" s="1"/>
  <c r="L2785" i="23"/>
  <c r="K2785" i="23" s="1"/>
  <c r="L1995" i="23"/>
  <c r="K1995" i="23" s="1"/>
  <c r="L2762" i="23"/>
  <c r="K2762" i="23" s="1"/>
  <c r="L3051" i="23"/>
  <c r="K3051" i="23" s="1"/>
  <c r="L3393" i="23"/>
  <c r="K3393" i="23" s="1"/>
  <c r="L3910" i="23"/>
  <c r="K3910" i="23" s="1"/>
  <c r="L4255" i="23"/>
  <c r="K4255" i="23" s="1"/>
  <c r="L4431" i="23"/>
  <c r="K4431" i="23" s="1"/>
  <c r="L4770" i="23"/>
  <c r="K4770" i="23" s="1"/>
  <c r="L3018" i="23"/>
  <c r="K3018" i="23" s="1"/>
  <c r="L3452" i="23"/>
  <c r="K3452" i="23" s="1"/>
  <c r="L2767" i="23"/>
  <c r="K2767" i="23" s="1"/>
  <c r="L688" i="23"/>
  <c r="L605" i="23"/>
  <c r="L925" i="23"/>
  <c r="L1245" i="23"/>
  <c r="L1844" i="23"/>
  <c r="K1844" i="23" s="1"/>
  <c r="L458" i="23"/>
  <c r="K458" i="23" s="1"/>
  <c r="L842" i="23"/>
  <c r="L1162" i="23"/>
  <c r="L2536" i="23"/>
  <c r="K2536" i="23" s="1"/>
  <c r="L839" i="23"/>
  <c r="L1223" i="23"/>
  <c r="L2012" i="23"/>
  <c r="K2012" i="23" s="1"/>
  <c r="L2093" i="23"/>
  <c r="K2093" i="23" s="1"/>
  <c r="L1698" i="23"/>
  <c r="K1698" i="23" s="1"/>
  <c r="L2122" i="23"/>
  <c r="K2122" i="23" s="1"/>
  <c r="L2550" i="23"/>
  <c r="K2550" i="23" s="1"/>
  <c r="L1703" i="23"/>
  <c r="K1703" i="23" s="1"/>
  <c r="L3829" i="23"/>
  <c r="K3829" i="23" s="1"/>
  <c r="L2907" i="23"/>
  <c r="K2907" i="23" s="1"/>
  <c r="L3164" i="23"/>
  <c r="K3164" i="23" s="1"/>
  <c r="L3594" i="23"/>
  <c r="K3594" i="23" s="1"/>
  <c r="L4022" i="23"/>
  <c r="K4022" i="23" s="1"/>
  <c r="L4200" i="23"/>
  <c r="K4200" i="23" s="1"/>
  <c r="L4709" i="23"/>
  <c r="K4709" i="23" s="1"/>
  <c r="L4972" i="23"/>
  <c r="K4972" i="23" s="1"/>
  <c r="L1212" i="23"/>
  <c r="L82" i="23"/>
  <c r="L640" i="23"/>
  <c r="K640" i="23" s="1"/>
  <c r="L2240" i="23"/>
  <c r="K2240" i="23" s="1"/>
  <c r="L913" i="23"/>
  <c r="L1425" i="23"/>
  <c r="L574" i="23"/>
  <c r="K574" i="23" s="1"/>
  <c r="L958" i="23"/>
  <c r="K958" i="23" s="1"/>
  <c r="L1342" i="23"/>
  <c r="L3033" i="23"/>
  <c r="K3033" i="23" s="1"/>
  <c r="L1083" i="23"/>
  <c r="K1083" i="23" s="1"/>
  <c r="L2337" i="23"/>
  <c r="K2337" i="23" s="1"/>
  <c r="L2941" i="23"/>
  <c r="K2941" i="23" s="1"/>
  <c r="L1622" i="23"/>
  <c r="K1622" i="23" s="1"/>
  <c r="L2190" i="23"/>
  <c r="K2190" i="23" s="1"/>
  <c r="L1599" i="23"/>
  <c r="L2411" i="23"/>
  <c r="K2411" i="23" s="1"/>
  <c r="L3110" i="23"/>
  <c r="K3110" i="23" s="1"/>
  <c r="L4181" i="23"/>
  <c r="K4181" i="23" s="1"/>
  <c r="L3457" i="23"/>
  <c r="K3457" i="23" s="1"/>
  <c r="L3375" i="23"/>
  <c r="K3375" i="23" s="1"/>
  <c r="L3807" i="23"/>
  <c r="K3807" i="23" s="1"/>
  <c r="L4322" i="23"/>
  <c r="K4322" i="23" s="1"/>
  <c r="L4834" i="23"/>
  <c r="K4834" i="23" s="1"/>
  <c r="L3098" i="23"/>
  <c r="K3098" i="23" s="1"/>
  <c r="L2911" i="23"/>
  <c r="K2911" i="23" s="1"/>
  <c r="L3280" i="23"/>
  <c r="K3280" i="23" s="1"/>
  <c r="L2848" i="23"/>
  <c r="K2848" i="23" s="1"/>
  <c r="L3540" i="23"/>
  <c r="K3540" i="23" s="1"/>
  <c r="L3381" i="23"/>
  <c r="K3381" i="23" s="1"/>
  <c r="L4137" i="23"/>
  <c r="K4137" i="23" s="1"/>
  <c r="L3598" i="23"/>
  <c r="K3598" i="23" s="1"/>
  <c r="L3363" i="23"/>
  <c r="K3363" i="23" s="1"/>
  <c r="L3683" i="23"/>
  <c r="K3683" i="23" s="1"/>
  <c r="L3770" i="23"/>
  <c r="K3770" i="23" s="1"/>
  <c r="L4090" i="23"/>
  <c r="K4090" i="23" s="1"/>
  <c r="L3731" i="23"/>
  <c r="K3731" i="23" s="1"/>
  <c r="L4179" i="23"/>
  <c r="K4179" i="23" s="1"/>
  <c r="L3756" i="23"/>
  <c r="K3756" i="23" s="1"/>
  <c r="L4076" i="23"/>
  <c r="K4076" i="23" s="1"/>
  <c r="L4438" i="23"/>
  <c r="K4438" i="23" s="1"/>
  <c r="L4355" i="23"/>
  <c r="K4355" i="23" s="1"/>
  <c r="L4396" i="23"/>
  <c r="K4396" i="23" s="1"/>
  <c r="L4841" i="23"/>
  <c r="K4841" i="23" s="1"/>
  <c r="L4822" i="23"/>
  <c r="K4822" i="23" s="1"/>
  <c r="L4931" i="23"/>
  <c r="K4931" i="23" s="1"/>
  <c r="L4912" i="23"/>
  <c r="K4912" i="23" s="1"/>
  <c r="L2063" i="23"/>
  <c r="K2063" i="23" s="1"/>
  <c r="L2869" i="23"/>
  <c r="K2869" i="23" s="1"/>
  <c r="L2894" i="23"/>
  <c r="K2894" i="23" s="1"/>
  <c r="L3214" i="23"/>
  <c r="K3214" i="23" s="1"/>
  <c r="L2707" i="23"/>
  <c r="K2707" i="23" s="1"/>
  <c r="L3091" i="23"/>
  <c r="K3091" i="23" s="1"/>
  <c r="L3797" i="23"/>
  <c r="K3797" i="23" s="1"/>
  <c r="L2900" i="23"/>
  <c r="K2900" i="23" s="1"/>
  <c r="L3241" i="23"/>
  <c r="K3241" i="23" s="1"/>
  <c r="L3561" i="23"/>
  <c r="K3561" i="23" s="1"/>
  <c r="L4421" i="23"/>
  <c r="K4421" i="23" s="1"/>
  <c r="L3586" i="23"/>
  <c r="K3586" i="23" s="1"/>
  <c r="L4189" i="23"/>
  <c r="K4189" i="23" s="1"/>
  <c r="L3543" i="23"/>
  <c r="K3543" i="23" s="1"/>
  <c r="L4017" i="23"/>
  <c r="K4017" i="23" s="1"/>
  <c r="L3950" i="23"/>
  <c r="K3950" i="23" s="1"/>
  <c r="L4206" i="23"/>
  <c r="K4206" i="23" s="1"/>
  <c r="L3911" i="23"/>
  <c r="K3911" i="23" s="1"/>
  <c r="L4295" i="23"/>
  <c r="K4295" i="23" s="1"/>
  <c r="L4000" i="23"/>
  <c r="K4000" i="23" s="1"/>
  <c r="L4321" i="23"/>
  <c r="K4321" i="23" s="1"/>
  <c r="L4490" i="23"/>
  <c r="K4490" i="23" s="1"/>
  <c r="L4599" i="23"/>
  <c r="K4599" i="23" s="1"/>
  <c r="L4576" i="23"/>
  <c r="K4576" i="23" s="1"/>
  <c r="L4957" i="23"/>
  <c r="K4957" i="23" s="1"/>
  <c r="L4874" i="23"/>
  <c r="K4874" i="23" s="1"/>
  <c r="L4919" i="23"/>
  <c r="K4919" i="23" s="1"/>
  <c r="L4964" i="23"/>
  <c r="K4964" i="23" s="1"/>
  <c r="L2306" i="23"/>
  <c r="K2306" i="23" s="1"/>
  <c r="L2562" i="23"/>
  <c r="K2562" i="23" s="1"/>
  <c r="L1651" i="23"/>
  <c r="K1651" i="23" s="1"/>
  <c r="L2419" i="23"/>
  <c r="K2419" i="23" s="1"/>
  <c r="L2757" i="23"/>
  <c r="K2757" i="23" s="1"/>
  <c r="L2930" i="23"/>
  <c r="K2930" i="23" s="1"/>
  <c r="L3186" i="23"/>
  <c r="K3186" i="23" s="1"/>
  <c r="L2871" i="23"/>
  <c r="K2871" i="23" s="1"/>
  <c r="L3191" i="23"/>
  <c r="K3191" i="23" s="1"/>
  <c r="L2872" i="23"/>
  <c r="K2872" i="23" s="1"/>
  <c r="L2863" i="23"/>
  <c r="K2863" i="23" s="1"/>
  <c r="L3183" i="23"/>
  <c r="K3183" i="23" s="1"/>
  <c r="L2800" i="23"/>
  <c r="K2800" i="23" s="1"/>
  <c r="L3056" i="23"/>
  <c r="K3056" i="23" s="1"/>
  <c r="L3333" i="23"/>
  <c r="K3333" i="23" s="1"/>
  <c r="L3589" i="23"/>
  <c r="K3589" i="23" s="1"/>
  <c r="L3358" i="23"/>
  <c r="K3358" i="23" s="1"/>
  <c r="L3614" i="23"/>
  <c r="K3614" i="23" s="1"/>
  <c r="L3251" i="23"/>
  <c r="K3251" i="23" s="1"/>
  <c r="L3571" i="23"/>
  <c r="K3571" i="23" s="1"/>
  <c r="L4581" i="23"/>
  <c r="K4581" i="23" s="1"/>
  <c r="L3978" i="23"/>
  <c r="K3978" i="23" s="1"/>
  <c r="L4298" i="23"/>
  <c r="K4298" i="23" s="1"/>
  <c r="L3939" i="23"/>
  <c r="K3939" i="23" s="1"/>
  <c r="L4333" i="23"/>
  <c r="K4333" i="23" s="1"/>
  <c r="L3964" i="23"/>
  <c r="K3964" i="23" s="1"/>
  <c r="L4284" i="23"/>
  <c r="K4284" i="23" s="1"/>
  <c r="L4518" i="23"/>
  <c r="K4518" i="23" s="1"/>
  <c r="L4435" i="23"/>
  <c r="K4435" i="23" s="1"/>
  <c r="L4476" i="23"/>
  <c r="K4476" i="23" s="1"/>
  <c r="L4729" i="23"/>
  <c r="K4729" i="23" s="1"/>
  <c r="L4838" i="23"/>
  <c r="K4838" i="23" s="1"/>
  <c r="L4947" i="23"/>
  <c r="K4947" i="23" s="1"/>
  <c r="L4992" i="23"/>
  <c r="K4992" i="23" s="1"/>
  <c r="L2527" i="23"/>
  <c r="K2527" i="23" s="1"/>
  <c r="L2782" i="23"/>
  <c r="K2782" i="23" s="1"/>
  <c r="L3166" i="23"/>
  <c r="K3166" i="23" s="1"/>
  <c r="L2787" i="23"/>
  <c r="K2787" i="23" s="1"/>
  <c r="L3171" i="23"/>
  <c r="K3171" i="23" s="1"/>
  <c r="L2724" i="23"/>
  <c r="K2724" i="23" s="1"/>
  <c r="L3044" i="23"/>
  <c r="K3044" i="23" s="1"/>
  <c r="L3556" i="23"/>
  <c r="K3556" i="23" s="1"/>
  <c r="L3449" i="23"/>
  <c r="K3449" i="23" s="1"/>
  <c r="L3897" i="23"/>
  <c r="K3897" i="23" s="1"/>
  <c r="L3602" i="23"/>
  <c r="K3602" i="23" s="1"/>
  <c r="L3367" i="23"/>
  <c r="K3367" i="23" s="1"/>
  <c r="L3687" i="23"/>
  <c r="K3687" i="23" s="1"/>
  <c r="L3902" i="23"/>
  <c r="K3902" i="23" s="1"/>
  <c r="L4286" i="23"/>
  <c r="K4286" i="23" s="1"/>
  <c r="L4055" i="23"/>
  <c r="K4055" i="23" s="1"/>
  <c r="L3760" i="23"/>
  <c r="K3760" i="23" s="1"/>
  <c r="L4080" i="23"/>
  <c r="K4080" i="23" s="1"/>
  <c r="L4641" i="23"/>
  <c r="K4641" i="23" s="1"/>
  <c r="L4359" i="23"/>
  <c r="K4359" i="23" s="1"/>
  <c r="L4464" i="23"/>
  <c r="K4464" i="23" s="1"/>
  <c r="L4717" i="23"/>
  <c r="K4717" i="23" s="1"/>
  <c r="L4826" i="23"/>
  <c r="K4826" i="23" s="1"/>
  <c r="L4743" i="23"/>
  <c r="K4743" i="23" s="1"/>
  <c r="L4852" i="23"/>
  <c r="K4852" i="23" s="1"/>
  <c r="L2066" i="23"/>
  <c r="K2066" i="23" s="1"/>
  <c r="L2322" i="23"/>
  <c r="K2322" i="23" s="1"/>
  <c r="L2665" i="23"/>
  <c r="K2665" i="23" s="1"/>
  <c r="L1795" i="23"/>
  <c r="K1795" i="23" s="1"/>
  <c r="L2499" i="23"/>
  <c r="K2499" i="23" s="1"/>
  <c r="L3077" i="23"/>
  <c r="K3077" i="23" s="1"/>
  <c r="L2946" i="23"/>
  <c r="K2946" i="23" s="1"/>
  <c r="L3420" i="23"/>
  <c r="K3420" i="23" s="1"/>
  <c r="L2887" i="23"/>
  <c r="K2887" i="23" s="1"/>
  <c r="L3143" i="23"/>
  <c r="K3143" i="23" s="1"/>
  <c r="L2824" i="23"/>
  <c r="K2824" i="23" s="1"/>
  <c r="L3071" i="23"/>
  <c r="K3071" i="23" s="1"/>
  <c r="L2624" i="23"/>
  <c r="K2624" i="23" s="1"/>
  <c r="L3008" i="23"/>
  <c r="K3008" i="23" s="1"/>
  <c r="L3412" i="23"/>
  <c r="K3412" i="23" s="1"/>
  <c r="L3413" i="23"/>
  <c r="K3413" i="23" s="1"/>
  <c r="L3753" i="23"/>
  <c r="K3753" i="23" s="1"/>
  <c r="L3310" i="23"/>
  <c r="K3310" i="23" s="1"/>
  <c r="L3630" i="23"/>
  <c r="K3630" i="23" s="1"/>
  <c r="L3267" i="23"/>
  <c r="K3267" i="23" s="1"/>
  <c r="L3587" i="23"/>
  <c r="K3587" i="23" s="1"/>
  <c r="L3738" i="23"/>
  <c r="K3738" i="23" s="1"/>
  <c r="L4058" i="23"/>
  <c r="K4058" i="23" s="1"/>
  <c r="L4553" i="23"/>
  <c r="K4553" i="23" s="1"/>
  <c r="L4019" i="23"/>
  <c r="K4019" i="23" s="1"/>
  <c r="L4397" i="23"/>
  <c r="K4397" i="23" s="1"/>
  <c r="L3980" i="23"/>
  <c r="K3980" i="23" s="1"/>
  <c r="L4497" i="23"/>
  <c r="K4497" i="23" s="1"/>
  <c r="L4515" i="23"/>
  <c r="K4515" i="23" s="1"/>
  <c r="L4428" i="23"/>
  <c r="K4428" i="23" s="1"/>
  <c r="L4809" i="23"/>
  <c r="K4809" i="23" s="1"/>
  <c r="L4790" i="23"/>
  <c r="K4790" i="23" s="1"/>
  <c r="L4963" i="23"/>
  <c r="K4963" i="23" s="1"/>
  <c r="L1775" i="23"/>
  <c r="K1775" i="23" s="1"/>
  <c r="L2415" i="23"/>
  <c r="K2415" i="23" s="1"/>
  <c r="L2798" i="23"/>
  <c r="K2798" i="23" s="1"/>
  <c r="L3054" i="23"/>
  <c r="K3054" i="23" s="1"/>
  <c r="L4229" i="23"/>
  <c r="K4229" i="23" s="1"/>
  <c r="L2931" i="23"/>
  <c r="K2931" i="23" s="1"/>
  <c r="L3360" i="23"/>
  <c r="K3360" i="23" s="1"/>
  <c r="L2868" i="23"/>
  <c r="K2868" i="23" s="1"/>
  <c r="L3364" i="23"/>
  <c r="K3364" i="23" s="1"/>
  <c r="L3401" i="23"/>
  <c r="K3401" i="23" s="1"/>
  <c r="L3721" i="23"/>
  <c r="K3721" i="23" s="1"/>
  <c r="L3490" i="23"/>
  <c r="K3490" i="23" s="1"/>
  <c r="L3805" i="23"/>
  <c r="K3805" i="23" s="1"/>
  <c r="L3319" i="23"/>
  <c r="K3319" i="23" s="1"/>
  <c r="L3639" i="23"/>
  <c r="K3639" i="23" s="1"/>
  <c r="L3790" i="23"/>
  <c r="K3790" i="23" s="1"/>
  <c r="L4110" i="23"/>
  <c r="K4110" i="23" s="1"/>
  <c r="L3751" i="23"/>
  <c r="K3751" i="23" s="1"/>
  <c r="L4071" i="23"/>
  <c r="K4071" i="23" s="1"/>
  <c r="L3840" i="23"/>
  <c r="K3840" i="23" s="1"/>
  <c r="L4160" i="23"/>
  <c r="K4160" i="23" s="1"/>
  <c r="L4586" i="23"/>
  <c r="K4586" i="23" s="1"/>
  <c r="L4567" i="23"/>
  <c r="K4567" i="23" s="1"/>
  <c r="L4544" i="23"/>
  <c r="K4544" i="23" s="1"/>
  <c r="L4925" i="23"/>
  <c r="K4925" i="23" s="1"/>
  <c r="L4906" i="23"/>
  <c r="K4906" i="23" s="1"/>
  <c r="L4887" i="23"/>
  <c r="K4887" i="23" s="1"/>
  <c r="L4804" i="23"/>
  <c r="K4804" i="23" s="1"/>
  <c r="L2402" i="23"/>
  <c r="K2402" i="23" s="1"/>
  <c r="L1619" i="23"/>
  <c r="K1619" i="23" s="1"/>
  <c r="L2387" i="23"/>
  <c r="K2387" i="23" s="1"/>
  <c r="L3141" i="23"/>
  <c r="K3141" i="23" s="1"/>
  <c r="L3026" i="23"/>
  <c r="K3026" i="23" s="1"/>
  <c r="L3484" i="23"/>
  <c r="K3484" i="23" s="1"/>
  <c r="L2839" i="23"/>
  <c r="K2839" i="23" s="1"/>
  <c r="L3248" i="23"/>
  <c r="K3248" i="23" s="1"/>
  <c r="L2840" i="23"/>
  <c r="K2840" i="23" s="1"/>
  <c r="L2895" i="23"/>
  <c r="K2895" i="23" s="1"/>
  <c r="L3216" i="23"/>
  <c r="K3216" i="23" s="1"/>
  <c r="L2768" i="23"/>
  <c r="K2768" i="23" s="1"/>
  <c r="L3152" i="23"/>
  <c r="K3152" i="23" s="1"/>
  <c r="L3237" i="23"/>
  <c r="K3237" i="23" s="1"/>
  <c r="L3621" i="23"/>
  <c r="K3621" i="23" s="1"/>
  <c r="L3262" i="23"/>
  <c r="K3262" i="23" s="1"/>
  <c r="L3582" i="23"/>
  <c r="K3582" i="23" s="1"/>
  <c r="L3219" i="23"/>
  <c r="K3219" i="23" s="1"/>
  <c r="L3603" i="23"/>
  <c r="K3603" i="23" s="1"/>
  <c r="L3882" i="23"/>
  <c r="K3882" i="23" s="1"/>
  <c r="L4266" i="23"/>
  <c r="K4266" i="23" s="1"/>
  <c r="L3971" i="23"/>
  <c r="K3971" i="23" s="1"/>
  <c r="L4291" i="23"/>
  <c r="K4291" i="23" s="1"/>
  <c r="L3996" i="23"/>
  <c r="K3996" i="23" s="1"/>
  <c r="L4316" i="23"/>
  <c r="K4316" i="23" s="1"/>
  <c r="L4550" i="23"/>
  <c r="K4550" i="23" s="1"/>
  <c r="L4531" i="23"/>
  <c r="K4531" i="23" s="1"/>
  <c r="L4508" i="23"/>
  <c r="K4508" i="23" s="1"/>
  <c r="L4761" i="23"/>
  <c r="K4761" i="23" s="1"/>
  <c r="L4870" i="23"/>
  <c r="K4870" i="23" s="1"/>
  <c r="L4704" i="23"/>
  <c r="K4704" i="23" s="1"/>
  <c r="L1919" i="23"/>
  <c r="K1919" i="23" s="1"/>
  <c r="L2431" i="23"/>
  <c r="K2431" i="23" s="1"/>
  <c r="L3624" i="23"/>
  <c r="K3624" i="23" s="1"/>
  <c r="L3070" i="23"/>
  <c r="K3070" i="23" s="1"/>
  <c r="L2627" i="23"/>
  <c r="K2627" i="23" s="1"/>
  <c r="L3011" i="23"/>
  <c r="K3011" i="23" s="1"/>
  <c r="L2692" i="23"/>
  <c r="K2692" i="23" s="1"/>
  <c r="L3076" i="23"/>
  <c r="K3076" i="23" s="1"/>
  <c r="L3225" i="23"/>
  <c r="K3225" i="23" s="1"/>
  <c r="L3609" i="23"/>
  <c r="K3609" i="23" s="1"/>
  <c r="L4281" i="23"/>
  <c r="K4281" i="23" s="1"/>
  <c r="L3506" i="23"/>
  <c r="K3506" i="23" s="1"/>
  <c r="L4565" i="23"/>
  <c r="K4565" i="23" s="1"/>
  <c r="L3591" i="23"/>
  <c r="K3591" i="23" s="1"/>
  <c r="L4209" i="23"/>
  <c r="K4209" i="23" s="1"/>
  <c r="L3934" i="23"/>
  <c r="K3934" i="23" s="1"/>
  <c r="L4318" i="23"/>
  <c r="K4318" i="23" s="1"/>
  <c r="L3895" i="23"/>
  <c r="K3895" i="23" s="1"/>
  <c r="L4215" i="23"/>
  <c r="K4215" i="23" s="1"/>
  <c r="L3856" i="23"/>
  <c r="K3856" i="23" s="1"/>
  <c r="L4240" i="23"/>
  <c r="K4240" i="23" s="1"/>
  <c r="L4410" i="23"/>
  <c r="K4410" i="23" s="1"/>
  <c r="L4391" i="23"/>
  <c r="K4391" i="23" s="1"/>
  <c r="L4647" i="23"/>
  <c r="K4647" i="23" s="1"/>
  <c r="L4624" i="23"/>
  <c r="K4624" i="23" s="1"/>
  <c r="L4666" i="23"/>
  <c r="K4666" i="23" s="1"/>
  <c r="L4711" i="23"/>
  <c r="K4711" i="23" s="1"/>
  <c r="L4756" i="23"/>
  <c r="K4756" i="23" s="1"/>
  <c r="L2098" i="23"/>
  <c r="K2098" i="23" s="1"/>
  <c r="L2354" i="23"/>
  <c r="K2354" i="23" s="1"/>
  <c r="L3416" i="23"/>
  <c r="K3416" i="23" s="1"/>
  <c r="L2083" i="23"/>
  <c r="K2083" i="23" s="1"/>
  <c r="L2595" i="23"/>
  <c r="K2595" i="23" s="1"/>
  <c r="L2722" i="23"/>
  <c r="K2722" i="23" s="1"/>
  <c r="L3106" i="23"/>
  <c r="K3106" i="23" s="1"/>
  <c r="L4037" i="23"/>
  <c r="K4037" i="23" s="1"/>
  <c r="L2919" i="23"/>
  <c r="K2919" i="23" s="1"/>
  <c r="L3312" i="23"/>
  <c r="K3312" i="23" s="1"/>
  <c r="L2856" i="23"/>
  <c r="K2856" i="23" s="1"/>
  <c r="L3380" i="23"/>
  <c r="K3380" i="23" s="1"/>
  <c r="L3341" i="23"/>
  <c r="K3341" i="23" s="1"/>
  <c r="L3725" i="23"/>
  <c r="K3725" i="23" s="1"/>
  <c r="L3302" i="23"/>
  <c r="K3302" i="23" s="1"/>
  <c r="L3622" i="23"/>
  <c r="K3622" i="23" s="1"/>
  <c r="L4373" i="23"/>
  <c r="K4373" i="23" s="1"/>
  <c r="L3515" i="23"/>
  <c r="K3515" i="23" s="1"/>
  <c r="L3858" i="23"/>
  <c r="K3858" i="23" s="1"/>
  <c r="L4242" i="23"/>
  <c r="K4242" i="23" s="1"/>
  <c r="L3947" i="23"/>
  <c r="K3947" i="23" s="1"/>
  <c r="L4621" i="23"/>
  <c r="K4621" i="23" s="1"/>
  <c r="L3972" i="23"/>
  <c r="K3972" i="23" s="1"/>
  <c r="L4292" i="23"/>
  <c r="K4292" i="23" s="1"/>
  <c r="L4590" i="23"/>
  <c r="K4590" i="23" s="1"/>
  <c r="L4571" i="23"/>
  <c r="K4571" i="23" s="1"/>
  <c r="L4548" i="23"/>
  <c r="K4548" i="23" s="1"/>
  <c r="L4718" i="23"/>
  <c r="K4718" i="23" s="1"/>
  <c r="L4744" i="23"/>
  <c r="K4744" i="23" s="1"/>
  <c r="L3444" i="23"/>
  <c r="K3444" i="23" s="1"/>
  <c r="L3421" i="23"/>
  <c r="K3421" i="23" s="1"/>
  <c r="L4041" i="23"/>
  <c r="K4041" i="23" s="1"/>
  <c r="L3446" i="23"/>
  <c r="K3446" i="23" s="1"/>
  <c r="L3275" i="23"/>
  <c r="K3275" i="23" s="1"/>
  <c r="L3595" i="23"/>
  <c r="K3595" i="23" s="1"/>
  <c r="L3746" i="23"/>
  <c r="K3746" i="23" s="1"/>
  <c r="L4066" i="23"/>
  <c r="K4066" i="23" s="1"/>
  <c r="L3771" i="23"/>
  <c r="K3771" i="23" s="1"/>
  <c r="L4091" i="23"/>
  <c r="K4091" i="23" s="1"/>
  <c r="L3732" i="23"/>
  <c r="K3732" i="23" s="1"/>
  <c r="L4116" i="23"/>
  <c r="K4116" i="23" s="1"/>
  <c r="L4350" i="23"/>
  <c r="K4350" i="23" s="1"/>
  <c r="L4606" i="23"/>
  <c r="K4606" i="23" s="1"/>
  <c r="L4651" i="23"/>
  <c r="K4651" i="23" s="1"/>
  <c r="L4628" i="23"/>
  <c r="K4628" i="23" s="1"/>
  <c r="L4670" i="23"/>
  <c r="K4670" i="23" s="1"/>
  <c r="L4907" i="23"/>
  <c r="K4907" i="23" s="1"/>
  <c r="L3877" i="23"/>
  <c r="K3877" i="23" s="1"/>
  <c r="L3501" i="23"/>
  <c r="K3501" i="23" s="1"/>
  <c r="L4105" i="23"/>
  <c r="K4105" i="23" s="1"/>
  <c r="L3462" i="23"/>
  <c r="K3462" i="23" s="1"/>
  <c r="L3949" i="23"/>
  <c r="K3949" i="23" s="1"/>
  <c r="L3483" i="23"/>
  <c r="K3483" i="23" s="1"/>
  <c r="L4033" i="23"/>
  <c r="K4033" i="23" s="1"/>
  <c r="L4018" i="23"/>
  <c r="K4018" i="23" s="1"/>
  <c r="L4393" i="23"/>
  <c r="K4393" i="23" s="1"/>
  <c r="L3979" i="23"/>
  <c r="K3979" i="23" s="1"/>
  <c r="L4493" i="23"/>
  <c r="K4493" i="23" s="1"/>
  <c r="L3940" i="23"/>
  <c r="K3940" i="23" s="1"/>
  <c r="L4337" i="23"/>
  <c r="K4337" i="23" s="1"/>
  <c r="L4622" i="23"/>
  <c r="K4622" i="23" s="1"/>
  <c r="L4603" i="23"/>
  <c r="K4603" i="23" s="1"/>
  <c r="L4580" i="23"/>
  <c r="K4580" i="23" s="1"/>
  <c r="L4750" i="23"/>
  <c r="K4750" i="23" s="1"/>
  <c r="L4795" i="23"/>
  <c r="K4795" i="23" s="1"/>
  <c r="L4712" i="23"/>
  <c r="K4712" i="23" s="1"/>
  <c r="L3261" i="23"/>
  <c r="K3261" i="23" s="1"/>
  <c r="L3581" i="23"/>
  <c r="K3581" i="23" s="1"/>
  <c r="L3222" i="23"/>
  <c r="K3222" i="23" s="1"/>
  <c r="L3542" i="23"/>
  <c r="K3542" i="23" s="1"/>
  <c r="L4013" i="23"/>
  <c r="K4013" i="23" s="1"/>
  <c r="L3563" i="23"/>
  <c r="K3563" i="23" s="1"/>
  <c r="L4097" i="23"/>
  <c r="K4097" i="23" s="1"/>
  <c r="L3970" i="23"/>
  <c r="K3970" i="23" s="1"/>
  <c r="L4457" i="23"/>
  <c r="K4457" i="23" s="1"/>
  <c r="L3995" i="23"/>
  <c r="K3995" i="23" s="1"/>
  <c r="L4315" i="23"/>
  <c r="K4315" i="23" s="1"/>
  <c r="L4020" i="23"/>
  <c r="K4020" i="23" s="1"/>
  <c r="L4401" i="23"/>
  <c r="K4401" i="23" s="1"/>
  <c r="L4574" i="23"/>
  <c r="K4574" i="23" s="1"/>
  <c r="L4340" i="23"/>
  <c r="K4340" i="23" s="1"/>
  <c r="L4660" i="23"/>
  <c r="K4660" i="23" s="1"/>
  <c r="L4702" i="23"/>
  <c r="K4702" i="23" s="1"/>
  <c r="L4683" i="23"/>
  <c r="K4683" i="23" s="1"/>
  <c r="L4939" i="23"/>
  <c r="K4939" i="23" s="1"/>
  <c r="L4984" i="23"/>
  <c r="K4984" i="23" s="1"/>
  <c r="L3049" i="23"/>
  <c r="K3049" i="23" s="1"/>
  <c r="L1173" i="23"/>
  <c r="L1064" i="23"/>
  <c r="L124" i="23"/>
  <c r="L75" i="23"/>
  <c r="L740" i="23"/>
  <c r="L544" i="23"/>
  <c r="L215" i="23"/>
  <c r="K215" i="23" s="1"/>
  <c r="L96" i="23"/>
  <c r="K96" i="23" s="1"/>
  <c r="L466" i="23"/>
  <c r="K466" i="23" s="1"/>
  <c r="L1950" i="23"/>
  <c r="K1950" i="23" s="1"/>
  <c r="L1502" i="23"/>
  <c r="L3010" i="23"/>
  <c r="K3010" i="23" s="1"/>
  <c r="L2341" i="23"/>
  <c r="K2341" i="23" s="1"/>
  <c r="L2085" i="23"/>
  <c r="K2085" i="23" s="1"/>
  <c r="L1829" i="23"/>
  <c r="K1829" i="23" s="1"/>
  <c r="L1573" i="23"/>
  <c r="K1573" i="23" s="1"/>
  <c r="L3696" i="23"/>
  <c r="K3696" i="23" s="1"/>
  <c r="L2376" i="23"/>
  <c r="K2376" i="23" s="1"/>
  <c r="L2120" i="23"/>
  <c r="K2120" i="23" s="1"/>
  <c r="L1864" i="23"/>
  <c r="K1864" i="23" s="1"/>
  <c r="L1608" i="23"/>
  <c r="K1608" i="23" s="1"/>
  <c r="L1352" i="23"/>
  <c r="L1931" i="23"/>
  <c r="K1931" i="23" s="1"/>
  <c r="L1198" i="23"/>
  <c r="K1198" i="23" s="1"/>
  <c r="L942" i="23"/>
  <c r="L686" i="23"/>
  <c r="L430" i="23"/>
  <c r="K430" i="23" s="1"/>
  <c r="L2263" i="23"/>
  <c r="K2263" i="23" s="1"/>
  <c r="L1283" i="23"/>
  <c r="L2154" i="23"/>
  <c r="K2154" i="23" s="1"/>
  <c r="L1898" i="23"/>
  <c r="K1898" i="23" s="1"/>
  <c r="L1642" i="23"/>
  <c r="K1642" i="23" s="1"/>
  <c r="L1386" i="23"/>
  <c r="K1386" i="23" s="1"/>
  <c r="L2533" i="23"/>
  <c r="K2533" i="23" s="1"/>
  <c r="L2225" i="23"/>
  <c r="K2225" i="23" s="1"/>
  <c r="L1969" i="23"/>
  <c r="K1969" i="23" s="1"/>
  <c r="L1713" i="23"/>
  <c r="K1713" i="23" s="1"/>
  <c r="L1457" i="23"/>
  <c r="L2673" i="23"/>
  <c r="K2673" i="23" s="1"/>
  <c r="L2260" i="23"/>
  <c r="K2260" i="23" s="1"/>
  <c r="L1940" i="23"/>
  <c r="K1940" i="23" s="1"/>
  <c r="L1684" i="23"/>
  <c r="K1684" i="23" s="1"/>
  <c r="L1300" i="23"/>
  <c r="L1723" i="23"/>
  <c r="K1723" i="23" s="1"/>
  <c r="L1146" i="23"/>
  <c r="K1146" i="23" s="1"/>
  <c r="L890" i="23"/>
  <c r="K890" i="23" s="1"/>
  <c r="L634" i="23"/>
  <c r="L378" i="23"/>
  <c r="K378" i="23" s="1"/>
  <c r="L2055" i="23"/>
  <c r="K2055" i="23" s="1"/>
  <c r="L1229" i="23"/>
  <c r="L2102" i="23"/>
  <c r="K2102" i="23" s="1"/>
  <c r="L1846" i="23"/>
  <c r="K1846" i="23" s="1"/>
  <c r="L1590" i="23"/>
  <c r="L1334" i="23"/>
  <c r="K1334" i="23" s="1"/>
  <c r="L2432" i="23"/>
  <c r="K2432" i="23" s="1"/>
  <c r="L2173" i="23"/>
  <c r="K2173" i="23" s="1"/>
  <c r="L1917" i="23"/>
  <c r="K1917" i="23" s="1"/>
  <c r="L1661" i="23"/>
  <c r="K1661" i="23" s="1"/>
  <c r="L1405" i="23"/>
  <c r="K1405" i="23" s="1"/>
  <c r="L2479" i="23"/>
  <c r="K2479" i="23" s="1"/>
  <c r="L2144" i="23"/>
  <c r="K2144" i="23" s="1"/>
  <c r="L1824" i="23"/>
  <c r="K1824" i="23" s="1"/>
  <c r="L1568" i="23"/>
  <c r="K1568" i="23" s="1"/>
  <c r="L2765" i="23"/>
  <c r="K2765" i="23" s="1"/>
  <c r="L1515" i="23"/>
  <c r="K1515" i="23" s="1"/>
  <c r="L1094" i="23"/>
  <c r="K1094" i="23" s="1"/>
  <c r="L774" i="23"/>
  <c r="L518" i="23"/>
  <c r="K518" i="23" s="1"/>
  <c r="L2359" i="23"/>
  <c r="K2359" i="23" s="1"/>
  <c r="L1241" i="23"/>
  <c r="L985" i="23"/>
  <c r="L729" i="23"/>
  <c r="L473" i="23"/>
  <c r="L2440" i="23"/>
  <c r="K2440" i="23" s="1"/>
  <c r="L1411" i="23"/>
  <c r="L1068" i="23"/>
  <c r="L812" i="23"/>
  <c r="L556" i="23"/>
  <c r="L955" i="23"/>
  <c r="K955" i="23" s="1"/>
  <c r="L63" i="23"/>
  <c r="L679" i="23"/>
  <c r="L447" i="23"/>
  <c r="L707" i="23"/>
  <c r="L943" i="23"/>
  <c r="L4968" i="23"/>
  <c r="K4968" i="23" s="1"/>
  <c r="L1141" i="23"/>
  <c r="K1141" i="23" s="1"/>
  <c r="L693" i="23"/>
  <c r="L373" i="23"/>
  <c r="K373" i="23" s="1"/>
  <c r="L2035" i="23"/>
  <c r="K2035" i="23" s="1"/>
  <c r="L1096" i="23"/>
  <c r="K1096" i="23" s="1"/>
  <c r="L584" i="23"/>
  <c r="K584" i="23" s="1"/>
  <c r="L2435" i="23"/>
  <c r="K2435" i="23" s="1"/>
  <c r="L198" i="23"/>
  <c r="K198" i="23" s="1"/>
  <c r="L591" i="23"/>
  <c r="L791" i="23"/>
  <c r="L2477" i="23"/>
  <c r="K2477" i="23" s="1"/>
  <c r="L136" i="23"/>
  <c r="K136" i="23" s="1"/>
  <c r="L4918" i="23"/>
  <c r="K4918" i="23" s="1"/>
  <c r="L4978" i="23"/>
  <c r="K4978" i="23" s="1"/>
  <c r="L945" i="23"/>
  <c r="L689" i="23"/>
  <c r="L369" i="23"/>
  <c r="K369" i="23" s="1"/>
  <c r="L2019" i="23"/>
  <c r="K2019" i="23" s="1"/>
  <c r="L1156" i="23"/>
  <c r="K1156" i="23" s="1"/>
  <c r="L708" i="23"/>
  <c r="L1051" i="23"/>
  <c r="L130" i="23"/>
  <c r="K130" i="23" s="1"/>
  <c r="L2287" i="23"/>
  <c r="K2287" i="23" s="1"/>
  <c r="L266" i="23"/>
  <c r="K266" i="23" s="1"/>
  <c r="L2399" i="23"/>
  <c r="K2399" i="23" s="1"/>
  <c r="L547" i="23"/>
  <c r="L123" i="23"/>
  <c r="L4993" i="23"/>
  <c r="K4993" i="23" s="1"/>
  <c r="L1085" i="23"/>
  <c r="K1085" i="23" s="1"/>
  <c r="L829" i="23"/>
  <c r="L573" i="23"/>
  <c r="K573" i="23" s="1"/>
  <c r="L2925" i="23"/>
  <c r="K2925" i="23" s="1"/>
  <c r="L1555" i="23"/>
  <c r="L1104" i="23"/>
  <c r="K1104" i="23" s="1"/>
  <c r="L400" i="23"/>
  <c r="L587" i="23"/>
  <c r="L14" i="23"/>
  <c r="L567" i="23"/>
  <c r="K567" i="23" s="1"/>
  <c r="L1567" i="23"/>
  <c r="K1567" i="23" s="1"/>
  <c r="L1309" i="23"/>
  <c r="L4886" i="23"/>
  <c r="K4886" i="23" s="1"/>
  <c r="L4910" i="23"/>
  <c r="K4910" i="23" s="1"/>
  <c r="L1918" i="23"/>
  <c r="K1918" i="23" s="1"/>
  <c r="L1422" i="23"/>
  <c r="L2677" i="23"/>
  <c r="K2677" i="23" s="1"/>
  <c r="L2133" i="23"/>
  <c r="K2133" i="23" s="1"/>
  <c r="L1557" i="23"/>
  <c r="L2817" i="23"/>
  <c r="K2817" i="23" s="1"/>
  <c r="L2168" i="23"/>
  <c r="K2168" i="23" s="1"/>
  <c r="L1912" i="23"/>
  <c r="K1912" i="23" s="1"/>
  <c r="L1656" i="23"/>
  <c r="K1656" i="23" s="1"/>
  <c r="L1400" i="23"/>
  <c r="K1400" i="23" s="1"/>
  <c r="L1867" i="23"/>
  <c r="K1867" i="23" s="1"/>
  <c r="L1118" i="23"/>
  <c r="L862" i="23"/>
  <c r="L478" i="23"/>
  <c r="L1431" i="23"/>
  <c r="L1946" i="23"/>
  <c r="K1946" i="23" s="1"/>
  <c r="L1370" i="23"/>
  <c r="L2401" i="23"/>
  <c r="K2401" i="23" s="1"/>
  <c r="L2081" i="23"/>
  <c r="K2081" i="23" s="1"/>
  <c r="L1825" i="23"/>
  <c r="K1825" i="23" s="1"/>
  <c r="L1569" i="23"/>
  <c r="K1569" i="23" s="1"/>
  <c r="L2308" i="23"/>
  <c r="K2308" i="23" s="1"/>
  <c r="L1988" i="23"/>
  <c r="K1988" i="23" s="1"/>
  <c r="L1540" i="23"/>
  <c r="L1659" i="23"/>
  <c r="K1659" i="23" s="1"/>
  <c r="L1066" i="23"/>
  <c r="L810" i="23"/>
  <c r="L362" i="23"/>
  <c r="L1213" i="23"/>
  <c r="L2086" i="23"/>
  <c r="K2086" i="23" s="1"/>
  <c r="L1766" i="23"/>
  <c r="K1766" i="23" s="1"/>
  <c r="L2413" i="23"/>
  <c r="K2413" i="23" s="1"/>
  <c r="L2157" i="23"/>
  <c r="K2157" i="23" s="1"/>
  <c r="L1773" i="23"/>
  <c r="K1773" i="23" s="1"/>
  <c r="L1389" i="23"/>
  <c r="K1389" i="23" s="1"/>
  <c r="L2192" i="23"/>
  <c r="K2192" i="23" s="1"/>
  <c r="L1552" i="23"/>
  <c r="L1270" i="23"/>
  <c r="K1270" i="23" s="1"/>
  <c r="L2813" i="23"/>
  <c r="K2813" i="23" s="1"/>
  <c r="L841" i="23"/>
  <c r="L2115" i="23"/>
  <c r="K2115" i="23" s="1"/>
  <c r="L924" i="23"/>
  <c r="L412" i="23"/>
  <c r="L635" i="23"/>
  <c r="L11" i="23"/>
  <c r="L85" i="23"/>
  <c r="K85" i="23" s="1"/>
  <c r="L28" i="23"/>
  <c r="L4973" i="23"/>
  <c r="K4973" i="23" s="1"/>
  <c r="L1061" i="23"/>
  <c r="L2541" i="23"/>
  <c r="K2541" i="23" s="1"/>
  <c r="L1144" i="23"/>
  <c r="K1144" i="23" s="1"/>
  <c r="L632" i="23"/>
  <c r="L312" i="23"/>
  <c r="L1003" i="23"/>
  <c r="L471" i="23"/>
  <c r="K471" i="23" s="1"/>
  <c r="L2207" i="23"/>
  <c r="K2207" i="23" s="1"/>
  <c r="L56" i="23"/>
  <c r="L4982" i="23"/>
  <c r="K4982" i="23" s="1"/>
  <c r="L4880" i="23"/>
  <c r="K4880" i="23" s="1"/>
  <c r="L545" i="23"/>
  <c r="L1955" i="23"/>
  <c r="K1955" i="23" s="1"/>
  <c r="L1012" i="23"/>
  <c r="K1012" i="23" s="1"/>
  <c r="L500" i="23"/>
  <c r="L244" i="23"/>
  <c r="L2031" i="23"/>
  <c r="K2031" i="23" s="1"/>
  <c r="L2143" i="23"/>
  <c r="K2143" i="23" s="1"/>
  <c r="L116" i="23"/>
  <c r="L4998" i="23"/>
  <c r="K4998" i="23" s="1"/>
  <c r="L749" i="23"/>
  <c r="L2003" i="23"/>
  <c r="K2003" i="23" s="1"/>
  <c r="L832" i="23"/>
  <c r="L1035" i="23"/>
  <c r="L1271" i="23"/>
  <c r="K1271" i="23" s="1"/>
  <c r="L192" i="23"/>
  <c r="K192" i="23" s="1"/>
  <c r="L4888" i="23"/>
  <c r="K4888" i="23" s="1"/>
  <c r="L1406" i="23"/>
  <c r="K1406" i="23" s="1"/>
  <c r="L1733" i="23"/>
  <c r="K1733" i="23" s="1"/>
  <c r="L2024" i="23"/>
  <c r="K2024" i="23" s="1"/>
  <c r="L2893" i="23"/>
  <c r="K2893" i="23" s="1"/>
  <c r="L590" i="23"/>
  <c r="L2058" i="23"/>
  <c r="K2058" i="23" s="1"/>
  <c r="L2661" i="23"/>
  <c r="K2661" i="23" s="1"/>
  <c r="L1617" i="23"/>
  <c r="K1617" i="23" s="1"/>
  <c r="L1908" i="23"/>
  <c r="K1908" i="23" s="1"/>
  <c r="L1242" i="23"/>
  <c r="L2445" i="23"/>
  <c r="K2445" i="23" s="1"/>
  <c r="L1686" i="23"/>
  <c r="K1686" i="23" s="1"/>
  <c r="L2013" i="23"/>
  <c r="K2013" i="23" s="1"/>
  <c r="L2304" i="23"/>
  <c r="K2304" i="23" s="1"/>
  <c r="L1280" i="23"/>
  <c r="L614" i="23"/>
  <c r="L953" i="23"/>
  <c r="K953" i="23" s="1"/>
  <c r="L1303" i="23"/>
  <c r="L524" i="23"/>
  <c r="K524" i="23" s="1"/>
  <c r="L639" i="23"/>
  <c r="K639" i="23" s="1"/>
  <c r="L195" i="23"/>
  <c r="K195" i="23" s="1"/>
  <c r="L4962" i="23"/>
  <c r="K4962" i="23" s="1"/>
  <c r="L917" i="23"/>
  <c r="L1256" i="23"/>
  <c r="K1256" i="23" s="1"/>
  <c r="L488" i="23"/>
  <c r="L247" i="23"/>
  <c r="L1951" i="23"/>
  <c r="K1951" i="23" s="1"/>
  <c r="L4953" i="23"/>
  <c r="K4953" i="23" s="1"/>
  <c r="L337" i="23"/>
  <c r="K337" i="23" s="1"/>
  <c r="L996" i="23"/>
  <c r="L1855" i="23"/>
  <c r="K1855" i="23" s="1"/>
  <c r="L647" i="23"/>
  <c r="K647" i="23" s="1"/>
  <c r="L419" i="23"/>
  <c r="K419" i="23" s="1"/>
  <c r="L1053" i="23"/>
  <c r="L1683" i="23"/>
  <c r="K1683" i="23" s="1"/>
  <c r="L368" i="23"/>
  <c r="L1967" i="23"/>
  <c r="K1967" i="23" s="1"/>
  <c r="L249" i="23"/>
  <c r="K249" i="23" s="1"/>
  <c r="L4917" i="23"/>
  <c r="K4917" i="23" s="1"/>
  <c r="L2805" i="23"/>
  <c r="K2805" i="23" s="1"/>
  <c r="L1525" i="23"/>
  <c r="K1525" i="23" s="1"/>
  <c r="L1816" i="23"/>
  <c r="K1816" i="23" s="1"/>
  <c r="L1279" i="23"/>
  <c r="L382" i="23"/>
  <c r="K382" i="23" s="1"/>
  <c r="L1850" i="23"/>
  <c r="K1850" i="23" s="1"/>
  <c r="L2177" i="23"/>
  <c r="K2177" i="23" s="1"/>
  <c r="L2484" i="23"/>
  <c r="K2484" i="23" s="1"/>
  <c r="L1444" i="23"/>
  <c r="L778" i="23"/>
  <c r="L2334" i="23"/>
  <c r="K2334" i="23" s="1"/>
  <c r="L2901" i="23"/>
  <c r="K2901" i="23" s="1"/>
  <c r="L1549" i="23"/>
  <c r="L1840" i="23"/>
  <c r="K1840" i="23" s="1"/>
  <c r="L1174" i="23"/>
  <c r="L2167" i="23"/>
  <c r="K2167" i="23" s="1"/>
  <c r="L489" i="23"/>
  <c r="L828" i="23"/>
  <c r="L1019" i="23"/>
  <c r="K1019" i="23" s="1"/>
  <c r="L255" i="23"/>
  <c r="K255" i="23" s="1"/>
  <c r="L188" i="23"/>
  <c r="L4990" i="23"/>
  <c r="K4990" i="23" s="1"/>
  <c r="L2355" i="23"/>
  <c r="K2355" i="23" s="1"/>
  <c r="L536" i="23"/>
  <c r="L751" i="23"/>
  <c r="L883" i="23"/>
  <c r="K883" i="23" s="1"/>
  <c r="L4969" i="23"/>
  <c r="K4969" i="23" s="1"/>
  <c r="L2339" i="23"/>
  <c r="K2339" i="23" s="1"/>
  <c r="L532" i="23"/>
  <c r="L719" i="23"/>
  <c r="L611" i="23"/>
  <c r="L4958" i="23"/>
  <c r="K4958" i="23" s="1"/>
  <c r="L333" i="23"/>
  <c r="K333" i="23" s="1"/>
  <c r="L672" i="23"/>
  <c r="L395" i="23"/>
  <c r="L89" i="23"/>
  <c r="K89" i="23" s="1"/>
  <c r="L32" i="23"/>
  <c r="K32" i="23" s="1"/>
  <c r="L2030" i="23"/>
  <c r="K2030" i="23" s="1"/>
  <c r="L610" i="23"/>
  <c r="L1276" i="23"/>
  <c r="L2300" i="23"/>
  <c r="K2300" i="23" s="1"/>
  <c r="L2009" i="23"/>
  <c r="K2009" i="23" s="1"/>
  <c r="L1682" i="23"/>
  <c r="K1682" i="23" s="1"/>
  <c r="L3274" i="23"/>
  <c r="K3274" i="23" s="1"/>
  <c r="L2739" i="23"/>
  <c r="K2739" i="23" s="1"/>
  <c r="L3350" i="23"/>
  <c r="K3350" i="23" s="1"/>
  <c r="L3260" i="23"/>
  <c r="K3260" i="23" s="1"/>
  <c r="L3868" i="23"/>
  <c r="K3868" i="23" s="1"/>
  <c r="L2266" i="23"/>
  <c r="K2266" i="23" s="1"/>
  <c r="L3294" i="23"/>
  <c r="K3294" i="23" s="1"/>
  <c r="L2736" i="23"/>
  <c r="K2736" i="23" s="1"/>
  <c r="L3716" i="23"/>
  <c r="K3716" i="23" s="1"/>
  <c r="L3257" i="23"/>
  <c r="K3257" i="23" s="1"/>
  <c r="L4113" i="23"/>
  <c r="K4113" i="23" s="1"/>
  <c r="L3182" i="23"/>
  <c r="K3182" i="23" s="1"/>
  <c r="L2708" i="23"/>
  <c r="K2708" i="23" s="1"/>
  <c r="L3612" i="23"/>
  <c r="K3612" i="23" s="1"/>
  <c r="L3229" i="23"/>
  <c r="K3229" i="23" s="1"/>
  <c r="L4043" i="23"/>
  <c r="K4043" i="23" s="1"/>
  <c r="L2790" i="23"/>
  <c r="K2790" i="23" s="1"/>
  <c r="L3664" i="23"/>
  <c r="K3664" i="23" s="1"/>
  <c r="L3287" i="23"/>
  <c r="K3287" i="23" s="1"/>
  <c r="L4125" i="23"/>
  <c r="K4125" i="23" s="1"/>
  <c r="L3789" i="23"/>
  <c r="K3789" i="23" s="1"/>
  <c r="L3615" i="23"/>
  <c r="K3615" i="23" s="1"/>
  <c r="L4191" i="23"/>
  <c r="K4191" i="23" s="1"/>
  <c r="L4436" i="23"/>
  <c r="K4436" i="23" s="1"/>
  <c r="L3955" i="23"/>
  <c r="K3955" i="23" s="1"/>
  <c r="L4172" i="23"/>
  <c r="K4172" i="23" s="1"/>
  <c r="L3946" i="23"/>
  <c r="K3946" i="23" s="1"/>
  <c r="L4186" i="23"/>
  <c r="K4186" i="23" s="1"/>
  <c r="L4411" i="23"/>
  <c r="K4411" i="23" s="1"/>
  <c r="L3659" i="23"/>
  <c r="K3659" i="23" s="1"/>
  <c r="L4235" i="23"/>
  <c r="K4235" i="23" s="1"/>
  <c r="L4480" i="23"/>
  <c r="K4480" i="23" s="1"/>
  <c r="L4688" i="23"/>
  <c r="K4688" i="23" s="1"/>
  <c r="L4775" i="23"/>
  <c r="K4775" i="23" s="1"/>
  <c r="L4517" i="23"/>
  <c r="K4517" i="23" s="1"/>
  <c r="L4833" i="23"/>
  <c r="K4833" i="23" s="1"/>
  <c r="L4844" i="23"/>
  <c r="K4844" i="23" s="1"/>
  <c r="L306" i="23"/>
  <c r="L1435" i="23"/>
  <c r="L1996" i="23"/>
  <c r="K1996" i="23" s="1"/>
  <c r="L1705" i="23"/>
  <c r="K1705" i="23" s="1"/>
  <c r="L1378" i="23"/>
  <c r="L2310" i="23"/>
  <c r="K2310" i="23" s="1"/>
  <c r="L3474" i="23"/>
  <c r="K3474" i="23" s="1"/>
  <c r="L2780" i="23"/>
  <c r="K2780" i="23" s="1"/>
  <c r="L3892" i="23"/>
  <c r="K3892" i="23" s="1"/>
  <c r="L3301" i="23"/>
  <c r="K3301" i="23" s="1"/>
  <c r="L4289" i="23"/>
  <c r="K4289" i="23" s="1"/>
  <c r="L2766" i="23"/>
  <c r="K2766" i="23" s="1"/>
  <c r="L3458" i="23"/>
  <c r="K3458" i="23" s="1"/>
  <c r="L3263" i="23"/>
  <c r="K3263" i="23" s="1"/>
  <c r="L3976" i="23"/>
  <c r="K3976" i="23" s="1"/>
  <c r="L3765" i="23"/>
  <c r="K3765" i="23" s="1"/>
  <c r="L2738" i="23"/>
  <c r="K2738" i="23" s="1"/>
  <c r="L3346" i="23"/>
  <c r="K3346" i="23" s="1"/>
  <c r="L3235" i="23"/>
  <c r="K3235" i="23" s="1"/>
  <c r="L3864" i="23"/>
  <c r="K3864" i="23" s="1"/>
  <c r="L3737" i="23"/>
  <c r="K3737" i="23" s="1"/>
  <c r="L2486" i="23"/>
  <c r="K2486" i="23" s="1"/>
  <c r="L2831" i="23"/>
  <c r="K2831" i="23" s="1"/>
  <c r="L2983" i="23"/>
  <c r="K2983" i="23" s="1"/>
  <c r="L3352" i="23"/>
  <c r="K3352" i="23" s="1"/>
  <c r="L3485" i="23"/>
  <c r="K3485" i="23" s="1"/>
  <c r="L3986" i="23"/>
  <c r="K3986" i="23" s="1"/>
  <c r="L4226" i="23"/>
  <c r="K4226" i="23" s="1"/>
  <c r="L4451" i="23"/>
  <c r="K4451" i="23" s="1"/>
  <c r="L3651" i="23"/>
  <c r="K3651" i="23" s="1"/>
  <c r="L4227" i="23"/>
  <c r="K4227" i="23" s="1"/>
  <c r="L4472" i="23"/>
  <c r="K4472" i="23" s="1"/>
  <c r="L3991" i="23"/>
  <c r="K3991" i="23" s="1"/>
  <c r="L4208" i="23"/>
  <c r="K4208" i="23" s="1"/>
  <c r="L4030" i="23"/>
  <c r="K4030" i="23" s="1"/>
  <c r="L4270" i="23"/>
  <c r="K4270" i="23" s="1"/>
  <c r="L4495" i="23"/>
  <c r="K4495" i="23" s="1"/>
  <c r="L4723" i="23"/>
  <c r="K4723" i="23" s="1"/>
  <c r="L4593" i="23"/>
  <c r="K4593" i="23" s="1"/>
  <c r="L4971" i="23"/>
  <c r="K4971" i="23" s="1"/>
  <c r="L4792" i="23"/>
  <c r="K4792" i="23" s="1"/>
  <c r="L4915" i="23"/>
  <c r="K4915" i="23" s="1"/>
  <c r="L2126" i="23"/>
  <c r="K2126" i="23" s="1"/>
  <c r="L706" i="23"/>
  <c r="L1372" i="23"/>
  <c r="L2396" i="23"/>
  <c r="K2396" i="23" s="1"/>
  <c r="L2105" i="23"/>
  <c r="K2105" i="23" s="1"/>
  <c r="L1778" i="23"/>
  <c r="K1778" i="23" s="1"/>
  <c r="L2490" i="23"/>
  <c r="K2490" i="23" s="1"/>
  <c r="L2835" i="23"/>
  <c r="K2835" i="23" s="1"/>
  <c r="L2987" i="23"/>
  <c r="K2987" i="23" s="1"/>
  <c r="L3356" i="23"/>
  <c r="K3356" i="23" s="1"/>
  <c r="L3489" i="23"/>
  <c r="K3489" i="23" s="1"/>
  <c r="L2362" i="23"/>
  <c r="K2362" i="23" s="1"/>
  <c r="L2487" i="23"/>
  <c r="K2487" i="23" s="1"/>
  <c r="L2832" i="23"/>
  <c r="K2832" i="23" s="1"/>
  <c r="L4237" i="23"/>
  <c r="K4237" i="23" s="1"/>
  <c r="L3353" i="23"/>
  <c r="K3353" i="23" s="1"/>
  <c r="L3642" i="23"/>
  <c r="K3642" i="23" s="1"/>
  <c r="L3712" i="23"/>
  <c r="K3712" i="23" s="1"/>
  <c r="L2804" i="23"/>
  <c r="K2804" i="23" s="1"/>
  <c r="L3988" i="23"/>
  <c r="K3988" i="23" s="1"/>
  <c r="L3325" i="23"/>
  <c r="K3325" i="23" s="1"/>
  <c r="L4554" i="23"/>
  <c r="K4554" i="23" s="1"/>
  <c r="L2886" i="23"/>
  <c r="K2886" i="23" s="1"/>
  <c r="L2552" i="23"/>
  <c r="K2552" i="23" s="1"/>
  <c r="L3383" i="23"/>
  <c r="K3383" i="23" s="1"/>
  <c r="L3073" i="23"/>
  <c r="K3073" i="23" s="1"/>
  <c r="L3885" i="23"/>
  <c r="K3885" i="23" s="1"/>
  <c r="L3711" i="23"/>
  <c r="K3711" i="23" s="1"/>
  <c r="L4287" i="23"/>
  <c r="K4287" i="23" s="1"/>
  <c r="L4532" i="23"/>
  <c r="K4532" i="23" s="1"/>
  <c r="L4057" i="23"/>
  <c r="K4057" i="23" s="1"/>
  <c r="L4268" i="23"/>
  <c r="K4268" i="23" s="1"/>
  <c r="L4044" i="23"/>
  <c r="K4044" i="23" s="1"/>
  <c r="L4282" i="23"/>
  <c r="K4282" i="23" s="1"/>
  <c r="L4507" i="23"/>
  <c r="K4507" i="23" s="1"/>
  <c r="L3755" i="23"/>
  <c r="K3755" i="23" s="1"/>
  <c r="L4342" i="23"/>
  <c r="K4342" i="23" s="1"/>
  <c r="L4598" i="23"/>
  <c r="K4598" i="23" s="1"/>
  <c r="L4784" i="23"/>
  <c r="K4784" i="23" s="1"/>
  <c r="L4883" i="23"/>
  <c r="K4883" i="23" s="1"/>
  <c r="L4690" i="23"/>
  <c r="K4690" i="23" s="1"/>
  <c r="L4361" i="23"/>
  <c r="K4361" i="23" s="1"/>
  <c r="L4677" i="23"/>
  <c r="K4677" i="23" s="1"/>
  <c r="L2331" i="23"/>
  <c r="K2331" i="23" s="1"/>
  <c r="L2220" i="23"/>
  <c r="K2220" i="23" s="1"/>
  <c r="L1929" i="23"/>
  <c r="K1929" i="23" s="1"/>
  <c r="L1602" i="23"/>
  <c r="L2745" i="23"/>
  <c r="K2745" i="23" s="1"/>
  <c r="L2659" i="23"/>
  <c r="K2659" i="23" s="1"/>
  <c r="L3030" i="23"/>
  <c r="K3030" i="23" s="1"/>
  <c r="L3180" i="23"/>
  <c r="K3180" i="23" s="1"/>
  <c r="L3584" i="23"/>
  <c r="K3584" i="23" s="1"/>
  <c r="L2186" i="23"/>
  <c r="K2186" i="23" s="1"/>
  <c r="L2996" i="23"/>
  <c r="K2996" i="23" s="1"/>
  <c r="L2656" i="23"/>
  <c r="K2656" i="23" s="1"/>
  <c r="L3508" i="23"/>
  <c r="K3508" i="23" s="1"/>
  <c r="L3177" i="23"/>
  <c r="K3177" i="23" s="1"/>
  <c r="L3989" i="23"/>
  <c r="K3989" i="23" s="1"/>
  <c r="L2962" i="23"/>
  <c r="K2962" i="23" s="1"/>
  <c r="L2628" i="23"/>
  <c r="K2628" i="23" s="1"/>
  <c r="L3459" i="23"/>
  <c r="K3459" i="23" s="1"/>
  <c r="L3149" i="23"/>
  <c r="K3149" i="23" s="1"/>
  <c r="L3961" i="23"/>
  <c r="K3961" i="23" s="1"/>
  <c r="L2710" i="23"/>
  <c r="K2710" i="23" s="1"/>
  <c r="L3234" i="23"/>
  <c r="K3234" i="23" s="1"/>
  <c r="L3207" i="23"/>
  <c r="K3207" i="23" s="1"/>
  <c r="L3752" i="23"/>
  <c r="K3752" i="23" s="1"/>
  <c r="L3709" i="23"/>
  <c r="K3709" i="23" s="1"/>
  <c r="L3535" i="23"/>
  <c r="K3535" i="23" s="1"/>
  <c r="L4111" i="23"/>
  <c r="K4111" i="23" s="1"/>
  <c r="L4356" i="23"/>
  <c r="K4356" i="23" s="1"/>
  <c r="L3875" i="23"/>
  <c r="K3875" i="23" s="1"/>
  <c r="L4092" i="23"/>
  <c r="K4092" i="23" s="1"/>
  <c r="L3866" i="23"/>
  <c r="K3866" i="23" s="1"/>
  <c r="L4106" i="23"/>
  <c r="K4106" i="23" s="1"/>
  <c r="L4331" i="23"/>
  <c r="K4331" i="23" s="1"/>
  <c r="L3579" i="23"/>
  <c r="K3579" i="23" s="1"/>
  <c r="L4155" i="23"/>
  <c r="K4155" i="23" s="1"/>
  <c r="L4400" i="23"/>
  <c r="K4400" i="23" s="1"/>
  <c r="L4608" i="23"/>
  <c r="K4608" i="23" s="1"/>
  <c r="L4695" i="23"/>
  <c r="K4695" i="23" s="1"/>
  <c r="L4437" i="23"/>
  <c r="K4437" i="23" s="1"/>
  <c r="L4753" i="23"/>
  <c r="K4753" i="23" s="1"/>
  <c r="L4764" i="23"/>
  <c r="K4764" i="23" s="1"/>
  <c r="L2" i="23"/>
  <c r="B179" i="20"/>
  <c r="Q173" i="2" s="1"/>
  <c r="T173" i="2" s="1"/>
  <c r="AN178" i="20"/>
  <c r="H178" i="20"/>
  <c r="B178" i="20"/>
  <c r="AC178" i="20"/>
  <c r="AI178" i="20"/>
  <c r="AW178" i="20"/>
  <c r="AT178" i="20"/>
  <c r="C43" i="20"/>
  <c r="Q54" i="2" s="1"/>
  <c r="T54" i="2" s="1"/>
  <c r="Z54" i="2" s="1"/>
  <c r="AA172" i="2"/>
  <c r="AB172" i="2" s="1"/>
  <c r="AA171" i="2"/>
  <c r="AB171" i="2" s="1"/>
  <c r="P172" i="2"/>
  <c r="X173" i="2"/>
  <c r="A176" i="2"/>
  <c r="D175" i="2"/>
  <c r="G175" i="2"/>
  <c r="H175" i="2"/>
  <c r="K175" i="2" s="1"/>
  <c r="J174" i="2"/>
  <c r="N180" i="20" s="1"/>
  <c r="W174" i="2"/>
  <c r="P13" i="20"/>
  <c r="R61" i="2" s="1"/>
  <c r="U61" i="2" s="1"/>
  <c r="Q140" i="2"/>
  <c r="T140" i="2" s="1"/>
  <c r="K53" i="23"/>
  <c r="K45" i="23"/>
  <c r="K92" i="23"/>
  <c r="K1059" i="23"/>
  <c r="K1060" i="23"/>
  <c r="K452" i="23"/>
  <c r="K300" i="23"/>
  <c r="K824" i="23"/>
  <c r="K1382" i="23"/>
  <c r="K302" i="23"/>
  <c r="K190" i="23"/>
  <c r="K500" i="23"/>
  <c r="K368" i="23"/>
  <c r="K1006" i="23"/>
  <c r="K672" i="23"/>
  <c r="K298" i="23"/>
  <c r="K1134" i="23"/>
  <c r="K629" i="23"/>
  <c r="K940" i="23"/>
  <c r="K1007" i="23"/>
  <c r="K243" i="23"/>
  <c r="K501" i="23"/>
  <c r="K193" i="23"/>
  <c r="K1381" i="23"/>
  <c r="K631" i="23"/>
  <c r="K632" i="23"/>
  <c r="K712" i="23"/>
  <c r="K732" i="23"/>
  <c r="K86" i="23"/>
  <c r="K301" i="23"/>
  <c r="K877" i="23"/>
  <c r="K878" i="23"/>
  <c r="K1383" i="23"/>
  <c r="K1005" i="23"/>
  <c r="K1185" i="23"/>
  <c r="K2" i="23"/>
  <c r="K299" i="23"/>
  <c r="K939" i="23"/>
  <c r="K630" i="23"/>
  <c r="K191" i="23"/>
  <c r="AW180" i="20" l="1"/>
  <c r="H180" i="20"/>
  <c r="AI180" i="20"/>
  <c r="B180" i="20"/>
  <c r="AN180" i="20"/>
  <c r="AC180" i="20"/>
  <c r="AT180" i="20"/>
  <c r="B181" i="20"/>
  <c r="Q174" i="2" s="1"/>
  <c r="T174" i="2" s="1"/>
  <c r="C42" i="20"/>
  <c r="AA173" i="2"/>
  <c r="AB173" i="2" s="1"/>
  <c r="A177" i="2"/>
  <c r="D176" i="2"/>
  <c r="G176" i="2"/>
  <c r="H176" i="2"/>
  <c r="K176" i="2" s="1"/>
  <c r="X174" i="2"/>
  <c r="W175" i="2"/>
  <c r="J175" i="2"/>
  <c r="N182" i="20" s="1"/>
  <c r="P173" i="2"/>
  <c r="S172" i="2"/>
  <c r="Z172" i="2" s="1"/>
  <c r="K1062" i="23"/>
  <c r="K1046" i="23"/>
  <c r="K1058" i="23"/>
  <c r="K1041" i="23"/>
  <c r="K1071" i="23"/>
  <c r="K1072" i="23"/>
  <c r="K1052" i="23"/>
  <c r="K1065" i="23"/>
  <c r="K1042" i="23"/>
  <c r="K1053" i="23"/>
  <c r="K1045" i="23"/>
  <c r="K1066" i="23"/>
  <c r="K1035" i="23"/>
  <c r="K1055" i="23"/>
  <c r="K1073" i="23"/>
  <c r="K1040" i="23"/>
  <c r="K1056" i="23"/>
  <c r="K1048" i="23"/>
  <c r="K1039" i="23"/>
  <c r="K1049" i="23"/>
  <c r="K1064" i="23"/>
  <c r="K1037" i="23"/>
  <c r="K1070" i="23"/>
  <c r="K1050" i="23"/>
  <c r="K1038" i="23"/>
  <c r="K1043" i="23"/>
  <c r="K1047" i="23"/>
  <c r="K1074" i="23"/>
  <c r="K1034" i="23"/>
  <c r="K1061" i="23"/>
  <c r="K1036" i="23"/>
  <c r="K1069" i="23"/>
  <c r="K1044" i="23"/>
  <c r="K1068" i="23"/>
  <c r="K1063" i="23"/>
  <c r="K1054" i="23"/>
  <c r="K1051" i="23"/>
  <c r="K1067" i="23"/>
  <c r="K1057" i="23"/>
  <c r="K23" i="23"/>
  <c r="K1357" i="23"/>
  <c r="K1464" i="23"/>
  <c r="K407" i="23"/>
  <c r="K1466" i="23"/>
  <c r="K997" i="23"/>
  <c r="K841" i="23"/>
  <c r="K756" i="23"/>
  <c r="K80" i="23"/>
  <c r="K364" i="23"/>
  <c r="K766" i="23"/>
  <c r="K169" i="23"/>
  <c r="K1306" i="23"/>
  <c r="K991" i="23"/>
  <c r="K441" i="23"/>
  <c r="K1241" i="23"/>
  <c r="K1301" i="23"/>
  <c r="K236" i="23"/>
  <c r="K945" i="23"/>
  <c r="K1130" i="23"/>
  <c r="K800" i="23"/>
  <c r="K291" i="23"/>
  <c r="K15" i="23"/>
  <c r="K317" i="23"/>
  <c r="K230" i="23"/>
  <c r="K1505" i="23"/>
  <c r="K174" i="23"/>
  <c r="K1353" i="23"/>
  <c r="K1182" i="23"/>
  <c r="K708" i="23"/>
  <c r="K1245" i="23"/>
  <c r="K491" i="23"/>
  <c r="K1304" i="23"/>
  <c r="K637" i="23"/>
  <c r="K1120" i="23"/>
  <c r="K1546" i="23"/>
  <c r="K840" i="23"/>
  <c r="K665" i="23"/>
  <c r="K795" i="23"/>
  <c r="K485" i="23"/>
  <c r="K830" i="23"/>
  <c r="K68" i="23"/>
  <c r="K1343" i="23"/>
  <c r="K540" i="23"/>
  <c r="K284" i="23"/>
  <c r="K804" i="23"/>
  <c r="K60" i="23"/>
  <c r="K723" i="23"/>
  <c r="K661" i="23"/>
  <c r="K1275" i="23"/>
  <c r="K588" i="23"/>
  <c r="K674" i="23"/>
  <c r="K815" i="23"/>
  <c r="K860" i="23"/>
  <c r="K591" i="23"/>
  <c r="K476" i="23"/>
  <c r="K1337" i="23"/>
  <c r="K1593" i="23"/>
  <c r="K343" i="23"/>
  <c r="K148" i="23"/>
  <c r="K1447" i="23"/>
  <c r="K557" i="23"/>
  <c r="K165" i="23"/>
  <c r="K306" i="23"/>
  <c r="K595" i="23"/>
  <c r="K671" i="23"/>
  <c r="K120" i="23"/>
  <c r="K1462" i="23"/>
  <c r="K1010" i="23"/>
  <c r="K625" i="23"/>
  <c r="K1376" i="23"/>
  <c r="K122" i="23"/>
  <c r="K1504" i="23"/>
  <c r="K620" i="23"/>
  <c r="K624" i="23"/>
  <c r="K1184" i="23"/>
  <c r="K832" i="23"/>
  <c r="K1368" i="23"/>
  <c r="K1239" i="23"/>
  <c r="K555" i="23"/>
  <c r="K1552" i="23"/>
  <c r="K628" i="23"/>
  <c r="K240" i="23"/>
  <c r="K1289" i="23"/>
  <c r="K77" i="23"/>
  <c r="K497" i="23"/>
  <c r="K749" i="23"/>
  <c r="K323" i="23"/>
  <c r="K819" i="23"/>
  <c r="K1133" i="23"/>
  <c r="K1367" i="23"/>
  <c r="K309" i="23"/>
  <c r="K763" i="23"/>
  <c r="K320" i="23"/>
  <c r="K1132" i="23"/>
  <c r="K1309" i="23"/>
  <c r="K850" i="23"/>
  <c r="K911" i="23"/>
  <c r="K796" i="23"/>
  <c r="K159" i="23"/>
  <c r="K745" i="23"/>
  <c r="K154" i="23"/>
  <c r="K755" i="23"/>
  <c r="K848" i="23"/>
  <c r="K1170" i="23"/>
  <c r="K762" i="23"/>
  <c r="K696" i="23"/>
  <c r="K685" i="23"/>
  <c r="K62" i="23"/>
  <c r="K221" i="23"/>
  <c r="K1163" i="23"/>
  <c r="K1211" i="23"/>
  <c r="K836" i="23"/>
  <c r="K1540" i="23"/>
  <c r="K769" i="23"/>
  <c r="K57" i="23"/>
  <c r="K387" i="23"/>
  <c r="K861" i="23"/>
  <c r="K713" i="23"/>
  <c r="K218" i="23"/>
  <c r="K478" i="23"/>
  <c r="K1168" i="23"/>
  <c r="K1218" i="23"/>
  <c r="K75" i="23"/>
  <c r="K710" i="23"/>
  <c r="K1229" i="23"/>
  <c r="K1302" i="23"/>
  <c r="K413" i="23"/>
  <c r="K691" i="23"/>
  <c r="K1293" i="23"/>
  <c r="K1234" i="23"/>
  <c r="K1379" i="23"/>
  <c r="K1501" i="23"/>
  <c r="K164" i="23"/>
  <c r="K613" i="23"/>
  <c r="K1237" i="23"/>
  <c r="K27" i="23"/>
  <c r="K296" i="23"/>
  <c r="K551" i="23"/>
  <c r="K229" i="23"/>
  <c r="K1128" i="23"/>
  <c r="K358" i="23"/>
  <c r="K999" i="23"/>
  <c r="K72" i="23"/>
  <c r="K397" i="23"/>
  <c r="K627" i="23"/>
  <c r="K310" i="23"/>
  <c r="K598" i="23"/>
  <c r="K1183" i="23"/>
  <c r="K295" i="23"/>
  <c r="K321" i="23"/>
  <c r="K1247" i="23"/>
  <c r="K1564" i="23"/>
  <c r="K619" i="23"/>
  <c r="K447" i="23"/>
  <c r="K1000" i="23"/>
  <c r="K1118" i="23"/>
  <c r="K187" i="23"/>
  <c r="K1512" i="23"/>
  <c r="K941" i="23"/>
  <c r="K842" i="23"/>
  <c r="K720" i="23"/>
  <c r="K305" i="23"/>
  <c r="K1113" i="23"/>
  <c r="K287" i="23"/>
  <c r="K812" i="23"/>
  <c r="K487" i="23"/>
  <c r="K1340" i="23"/>
  <c r="K349" i="23"/>
  <c r="K706" i="23"/>
  <c r="K66" i="23"/>
  <c r="K773" i="23"/>
  <c r="K1281" i="23"/>
  <c r="K6" i="23"/>
  <c r="K907" i="23"/>
  <c r="K389" i="23"/>
  <c r="K586" i="23"/>
  <c r="K791" i="23"/>
  <c r="K1219" i="23"/>
  <c r="K902" i="23"/>
  <c r="K531" i="23"/>
  <c r="K104" i="23"/>
  <c r="K587" i="23"/>
  <c r="K793" i="23"/>
  <c r="K25" i="23"/>
  <c r="K401" i="23"/>
  <c r="K852" i="23"/>
  <c r="K398" i="23"/>
  <c r="K73" i="23"/>
  <c r="K22" i="23"/>
  <c r="K1559" i="23"/>
  <c r="K1348" i="23"/>
  <c r="K1123" i="23"/>
  <c r="K163" i="23"/>
  <c r="K172" i="23"/>
  <c r="K1349" i="23"/>
  <c r="K680" i="23"/>
  <c r="K729" i="23"/>
  <c r="K1374" i="23"/>
  <c r="K934" i="23"/>
  <c r="K719" i="23"/>
  <c r="K865" i="23"/>
  <c r="K415" i="23"/>
  <c r="K1461" i="23"/>
  <c r="K1002" i="23"/>
  <c r="K1115" i="23"/>
  <c r="K1179" i="23"/>
  <c r="K234" i="23"/>
  <c r="K494" i="23"/>
  <c r="K493" i="23"/>
  <c r="K771" i="23"/>
  <c r="K838" i="23"/>
  <c r="K780" i="23"/>
  <c r="K392" i="23"/>
  <c r="K9" i="23"/>
  <c r="K1226" i="23"/>
  <c r="K726" i="23"/>
  <c r="K115" i="23"/>
  <c r="K278" i="23"/>
  <c r="K904" i="23"/>
  <c r="K1215" i="23"/>
  <c r="K481" i="23"/>
  <c r="K899" i="23"/>
  <c r="K742" i="23"/>
  <c r="K535" i="23"/>
  <c r="K107" i="23"/>
  <c r="K1164" i="23"/>
  <c r="K277" i="23"/>
  <c r="K1124" i="23"/>
  <c r="K227" i="23"/>
  <c r="K1350" i="23"/>
  <c r="K242" i="23"/>
  <c r="K786" i="23"/>
  <c r="K775" i="23"/>
  <c r="K26" i="23"/>
  <c r="K28" i="23"/>
  <c r="K843" i="23"/>
  <c r="K297" i="23"/>
  <c r="K559" i="23"/>
  <c r="K1346" i="23"/>
  <c r="K318" i="23"/>
  <c r="K1009" i="23"/>
  <c r="K294" i="23"/>
  <c r="K616" i="23"/>
  <c r="K611" i="23"/>
  <c r="K1561" i="23"/>
  <c r="K1345" i="23"/>
  <c r="K175" i="23"/>
  <c r="K185" i="23"/>
  <c r="K1242" i="23"/>
  <c r="K1604" i="23"/>
  <c r="K1288" i="23"/>
  <c r="K353" i="23"/>
  <c r="K1365" i="23"/>
  <c r="K1315" i="23"/>
  <c r="K1557" i="23"/>
  <c r="K173" i="23"/>
  <c r="K554" i="23"/>
  <c r="K1243" i="23"/>
  <c r="K808" i="23"/>
  <c r="K1364" i="23"/>
  <c r="K925" i="23"/>
  <c r="K352" i="23"/>
  <c r="K737" i="23"/>
  <c r="K594" i="23"/>
  <c r="K728" i="23"/>
  <c r="K1277" i="23"/>
  <c r="K1175" i="23"/>
  <c r="K666" i="23"/>
  <c r="K1171" i="23"/>
  <c r="K155" i="23"/>
  <c r="K1454" i="23"/>
  <c r="K1451" i="23"/>
  <c r="K54" i="23"/>
  <c r="K532" i="23"/>
  <c r="K281" i="23"/>
  <c r="K803" i="23"/>
  <c r="K147" i="23"/>
  <c r="K778" i="23"/>
  <c r="K1221" i="23"/>
  <c r="K144" i="23"/>
  <c r="K58" i="23"/>
  <c r="K1158" i="23"/>
  <c r="K276" i="23"/>
  <c r="K901" i="23"/>
  <c r="K536" i="23"/>
  <c r="K826" i="23"/>
  <c r="K1106" i="23"/>
  <c r="K809" i="23"/>
  <c r="K289" i="23"/>
  <c r="K556" i="23"/>
  <c r="K496" i="23"/>
  <c r="K1562" i="23"/>
  <c r="K707" i="23"/>
  <c r="K1554" i="23"/>
  <c r="K14" i="23"/>
  <c r="K622" i="23"/>
  <c r="K618" i="23"/>
  <c r="K356" i="23"/>
  <c r="K313" i="23"/>
  <c r="K609" i="23"/>
  <c r="K549" i="23"/>
  <c r="K292" i="23"/>
  <c r="K931" i="23"/>
  <c r="K179" i="23"/>
  <c r="K448" i="23"/>
  <c r="K853" i="23"/>
  <c r="K1380" i="23"/>
  <c r="K1178" i="23"/>
  <c r="K314" i="23"/>
  <c r="K311" i="23"/>
  <c r="K927" i="23"/>
  <c r="K1498" i="23"/>
  <c r="K1355" i="23"/>
  <c r="K1366" i="23"/>
  <c r="K361" i="23"/>
  <c r="K232" i="23"/>
  <c r="K322" i="23"/>
  <c r="K669" i="23"/>
  <c r="K1114" i="23"/>
  <c r="K924" i="23"/>
  <c r="K307" i="23"/>
  <c r="K689" i="23"/>
  <c r="K561" i="23"/>
  <c r="K1312" i="23"/>
  <c r="K1600" i="23"/>
  <c r="K664" i="23"/>
  <c r="K1453" i="23"/>
  <c r="K806" i="23"/>
  <c r="K157" i="23"/>
  <c r="K488" i="23"/>
  <c r="K984" i="23"/>
  <c r="K704" i="23"/>
  <c r="K1542" i="23"/>
  <c r="K1494" i="23"/>
  <c r="K346" i="23"/>
  <c r="K479" i="23"/>
  <c r="K910" i="23"/>
  <c r="K223" i="23"/>
  <c r="K1338" i="23"/>
  <c r="K4" i="23"/>
  <c r="K981" i="23"/>
  <c r="K760" i="23"/>
  <c r="K1535" i="23"/>
  <c r="K1220" i="23"/>
  <c r="K391" i="23"/>
  <c r="K118" i="23"/>
  <c r="K711" i="23"/>
  <c r="K360" i="23"/>
  <c r="K355" i="23"/>
  <c r="K765" i="23"/>
  <c r="K19" i="23"/>
  <c r="K560" i="23"/>
  <c r="K183" i="23"/>
  <c r="K798" i="23"/>
  <c r="K634" i="23"/>
  <c r="K1370" i="23"/>
  <c r="K876" i="23"/>
  <c r="K738" i="23"/>
  <c r="K449" i="23"/>
  <c r="K1122" i="23"/>
  <c r="K872" i="23"/>
  <c r="K739" i="23"/>
  <c r="K1506" i="23"/>
  <c r="K399" i="23"/>
  <c r="K233" i="23"/>
  <c r="K764" i="23"/>
  <c r="K450" i="23"/>
  <c r="K1384" i="23"/>
  <c r="K1358" i="23"/>
  <c r="K1352" i="23"/>
  <c r="K547" i="23"/>
  <c r="K492" i="23"/>
  <c r="K168" i="23"/>
  <c r="K1314" i="23"/>
  <c r="K1004" i="23"/>
  <c r="K687" i="23"/>
  <c r="K1354" i="23"/>
  <c r="K1455" i="23"/>
  <c r="K244" i="23"/>
  <c r="K30" i="23"/>
  <c r="K788" i="23"/>
  <c r="K833" i="23"/>
  <c r="K757" i="23"/>
  <c r="K1360" i="23"/>
  <c r="K993" i="23"/>
  <c r="K597" i="23"/>
  <c r="K928" i="23"/>
  <c r="K989" i="23"/>
  <c r="K1342" i="23"/>
  <c r="K794" i="23"/>
  <c r="K593" i="23"/>
  <c r="K983" i="23"/>
  <c r="K914" i="23"/>
  <c r="K1597" i="23"/>
  <c r="K863" i="23"/>
  <c r="K394" i="23"/>
  <c r="K143" i="23"/>
  <c r="K703" i="23"/>
  <c r="K974" i="23"/>
  <c r="K1485" i="23"/>
  <c r="K434" i="23"/>
  <c r="K1339" i="23"/>
  <c r="K1592" i="23"/>
  <c r="K1159" i="23"/>
  <c r="K589" i="23"/>
  <c r="K219" i="23"/>
  <c r="K845" i="23"/>
  <c r="K176" i="23"/>
  <c r="K359" i="23"/>
  <c r="K1359" i="23"/>
  <c r="K820" i="23"/>
  <c r="K1371" i="23"/>
  <c r="K304" i="23"/>
  <c r="K414" i="23"/>
  <c r="K810" i="23"/>
  <c r="K1361" i="23"/>
  <c r="K635" i="23"/>
  <c r="K325" i="23"/>
  <c r="K316" i="23"/>
  <c r="K409" i="23"/>
  <c r="K312" i="23"/>
  <c r="K1469" i="23"/>
  <c r="K412" i="23"/>
  <c r="K1356" i="23"/>
  <c r="K943" i="23"/>
  <c r="K1558" i="23"/>
  <c r="K871" i="23"/>
  <c r="K700" i="23"/>
  <c r="K82" i="23"/>
  <c r="K167" i="23"/>
  <c r="K1003" i="23"/>
  <c r="K623" i="23"/>
  <c r="K1596" i="23"/>
  <c r="K717" i="23"/>
  <c r="K1109" i="23"/>
  <c r="K724" i="23"/>
  <c r="K151" i="23"/>
  <c r="K1223" i="23"/>
  <c r="K1279" i="23"/>
  <c r="K113" i="23"/>
  <c r="K772" i="23"/>
  <c r="K486" i="23"/>
  <c r="K858" i="23"/>
  <c r="K741" i="23"/>
  <c r="K1489" i="23"/>
  <c r="K692" i="23"/>
  <c r="K973" i="23"/>
  <c r="K1487" i="23"/>
  <c r="K750" i="23"/>
  <c r="K1538" i="23"/>
  <c r="K1166" i="23"/>
  <c r="K16" i="23"/>
  <c r="K182" i="23"/>
  <c r="K1385" i="23"/>
  <c r="K854" i="23"/>
  <c r="K1499" i="23"/>
  <c r="K552" i="23"/>
  <c r="K688" i="23"/>
  <c r="K790" i="23"/>
  <c r="K239" i="23"/>
  <c r="K1375" i="23"/>
  <c r="K1129" i="23"/>
  <c r="K443" i="23"/>
  <c r="K670" i="23"/>
  <c r="K550" i="23"/>
  <c r="K690" i="23"/>
  <c r="K1549" i="23"/>
  <c r="K1244" i="23"/>
  <c r="K787" i="23"/>
  <c r="K1362" i="23"/>
  <c r="K117" i="23"/>
  <c r="K188" i="23"/>
  <c r="K1503" i="23"/>
  <c r="K123" i="23"/>
  <c r="K186" i="23"/>
  <c r="K801" i="23"/>
  <c r="K119" i="23"/>
  <c r="K288" i="23"/>
  <c r="K731" i="23"/>
  <c r="K740" i="23"/>
  <c r="K1180" i="23"/>
  <c r="K363" i="23"/>
  <c r="K70" i="23"/>
  <c r="K290" i="23"/>
  <c r="K1290" i="23"/>
  <c r="K7" i="23"/>
  <c r="K483" i="23"/>
  <c r="K676" i="23"/>
  <c r="K916" i="23"/>
  <c r="K862" i="23"/>
  <c r="K922" i="23"/>
  <c r="K545" i="23"/>
  <c r="K81" i="23"/>
  <c r="K71" i="23"/>
  <c r="K799" i="23"/>
  <c r="K1126" i="23"/>
  <c r="K699" i="23"/>
  <c r="K870" i="23"/>
  <c r="K1351" i="23"/>
  <c r="K874" i="23"/>
  <c r="K405" i="23"/>
  <c r="K319" i="23"/>
  <c r="K1176" i="23"/>
  <c r="K1510" i="23"/>
  <c r="K241" i="23"/>
  <c r="K946" i="23"/>
  <c r="K247" i="23"/>
  <c r="K161" i="23"/>
  <c r="K235" i="23"/>
  <c r="K1181" i="23"/>
  <c r="K610" i="23"/>
  <c r="K1230" i="23"/>
  <c r="K603" i="23"/>
  <c r="K988" i="23"/>
  <c r="K225" i="23"/>
  <c r="K489" i="23"/>
  <c r="K1225" i="23"/>
  <c r="K1595" i="23"/>
  <c r="K716" i="23"/>
  <c r="K695" i="23"/>
  <c r="K1450" i="23"/>
  <c r="K283" i="23"/>
  <c r="K1486" i="23"/>
  <c r="K693" i="23"/>
  <c r="K908" i="23"/>
  <c r="K1587" i="23"/>
  <c r="K220" i="23"/>
  <c r="K682" i="23"/>
  <c r="K475" i="23"/>
  <c r="K759" i="23"/>
  <c r="K673" i="23"/>
  <c r="K146" i="23"/>
  <c r="K78" i="23"/>
  <c r="K944" i="23"/>
  <c r="K544" i="23"/>
  <c r="K868" i="23"/>
  <c r="K617" i="23"/>
  <c r="K605" i="23"/>
  <c r="K79" i="23"/>
  <c r="K31" i="23"/>
  <c r="K821" i="23"/>
  <c r="K1465" i="23"/>
  <c r="K834" i="23"/>
  <c r="K1008" i="23"/>
  <c r="K1369" i="23"/>
  <c r="K1563" i="23"/>
  <c r="K411" i="23"/>
  <c r="K932" i="23"/>
  <c r="K936" i="23"/>
  <c r="K1548" i="23"/>
  <c r="K1560" i="23"/>
  <c r="K1299" i="23"/>
  <c r="K923" i="23"/>
  <c r="K1295" i="23"/>
  <c r="K445" i="23"/>
  <c r="K1117" i="23"/>
  <c r="K446" i="23"/>
  <c r="K781" i="23"/>
  <c r="K484" i="23"/>
  <c r="K440" i="23"/>
  <c r="K1544" i="23"/>
  <c r="K986" i="23"/>
  <c r="K114" i="23"/>
  <c r="K65" i="23"/>
  <c r="K393" i="23"/>
  <c r="K1344" i="23"/>
  <c r="K351" i="23"/>
  <c r="K56" i="23"/>
  <c r="K1217" i="23"/>
  <c r="K1591" i="23"/>
  <c r="K1161" i="23"/>
  <c r="K590" i="23"/>
  <c r="K846" i="23"/>
  <c r="K1444" i="23"/>
  <c r="K734" i="23"/>
  <c r="K1448" i="23"/>
  <c r="K1273" i="23"/>
  <c r="K76" i="23"/>
  <c r="K1112" i="23"/>
  <c r="K1316" i="23"/>
  <c r="K245" i="23"/>
  <c r="K357" i="23"/>
  <c r="K308" i="23"/>
  <c r="K996" i="23"/>
  <c r="K12" i="23"/>
  <c r="K1236" i="23"/>
  <c r="K315" i="23"/>
  <c r="K1285" i="23"/>
  <c r="K1551" i="23"/>
  <c r="K608" i="23"/>
  <c r="K162" i="23"/>
  <c r="K1228" i="23"/>
  <c r="K1296" i="23"/>
  <c r="K1127" i="23"/>
  <c r="K1599" i="23"/>
  <c r="K1001" i="23"/>
  <c r="K1116" i="23"/>
  <c r="K1347" i="23"/>
  <c r="K601" i="23"/>
  <c r="K20" i="23"/>
  <c r="K933" i="23"/>
  <c r="K1303" i="23"/>
  <c r="K1377" i="23"/>
  <c r="K1284" i="23"/>
  <c r="K1232" i="23"/>
  <c r="K181" i="23"/>
  <c r="K1294" i="23"/>
  <c r="K1231" i="23"/>
  <c r="K938" i="23"/>
  <c r="K1307" i="23"/>
  <c r="K930" i="23"/>
  <c r="K915" i="23"/>
  <c r="K851" i="23"/>
  <c r="K490" i="23"/>
  <c r="K805" i="23"/>
  <c r="K684" i="23"/>
  <c r="K1543" i="23"/>
  <c r="K402" i="23"/>
  <c r="K8" i="23"/>
  <c r="K686" i="23"/>
  <c r="K697" i="23"/>
  <c r="K1274" i="23"/>
  <c r="K345" i="23"/>
  <c r="K222" i="23"/>
  <c r="K681" i="23"/>
  <c r="K69" i="23"/>
  <c r="K612" i="23"/>
  <c r="K499" i="23"/>
  <c r="K935" i="23"/>
  <c r="K324" i="23"/>
  <c r="K921" i="23"/>
  <c r="K875" i="23"/>
  <c r="K744" i="23"/>
  <c r="K1278" i="23"/>
  <c r="K912" i="23"/>
  <c r="K917" i="23"/>
  <c r="K1452" i="23"/>
  <c r="K807" i="23"/>
  <c r="K802" i="23"/>
  <c r="K909" i="23"/>
  <c r="K835" i="23"/>
  <c r="K982" i="23"/>
  <c r="K145" i="23"/>
  <c r="K275" i="23"/>
  <c r="K435" i="23"/>
  <c r="K1169" i="23"/>
  <c r="K482" i="23"/>
  <c r="K626" i="23"/>
  <c r="K1287" i="23"/>
  <c r="K822" i="23"/>
  <c r="K396" i="23"/>
  <c r="K171" i="23"/>
  <c r="K408" i="23"/>
  <c r="K607" i="23"/>
  <c r="K293" i="23"/>
  <c r="K1291" i="23"/>
  <c r="K709" i="23"/>
  <c r="K606" i="23"/>
  <c r="K1297" i="23"/>
  <c r="K1457" i="23"/>
  <c r="K553" i="23"/>
  <c r="K1238" i="23"/>
  <c r="K1507" i="23"/>
  <c r="K548" i="23"/>
  <c r="K785" i="23"/>
  <c r="K546" i="23"/>
  <c r="K1508" i="23"/>
  <c r="K668" i="23"/>
  <c r="K783" i="23"/>
  <c r="K1511" i="23"/>
  <c r="K990" i="23"/>
  <c r="K614" i="23"/>
  <c r="K1547" i="23"/>
  <c r="K1235" i="23"/>
  <c r="K178" i="23"/>
  <c r="K541" i="23"/>
  <c r="K442" i="23"/>
  <c r="K1308" i="23"/>
  <c r="K761" i="23"/>
  <c r="K828" i="23"/>
  <c r="K864" i="23"/>
  <c r="K1449" i="23"/>
  <c r="K539" i="23"/>
  <c r="K1594" i="23"/>
  <c r="K112" i="23"/>
  <c r="K1541" i="23"/>
  <c r="K667" i="23"/>
  <c r="K770" i="23"/>
  <c r="K1446" i="23"/>
  <c r="K347" i="23"/>
  <c r="K753" i="23"/>
  <c r="K972" i="23"/>
  <c r="K436" i="23"/>
  <c r="K792" i="23"/>
  <c r="K108" i="23"/>
  <c r="K663" i="23"/>
  <c r="K273" i="23"/>
  <c r="K106" i="23"/>
  <c r="K827" i="23"/>
  <c r="K768" i="23"/>
  <c r="K1536" i="23"/>
  <c r="K237" i="23"/>
  <c r="K125" i="23"/>
  <c r="K282" i="23"/>
  <c r="K152" i="23"/>
  <c r="K61" i="23"/>
  <c r="K1586" i="23"/>
  <c r="K994" i="23"/>
  <c r="K1363" i="23"/>
  <c r="K400" i="23"/>
  <c r="K395" i="23"/>
  <c r="K18" i="23"/>
  <c r="K823" i="23"/>
  <c r="K170" i="23"/>
  <c r="K715" i="23"/>
  <c r="K1173" i="23"/>
  <c r="K11" i="23"/>
  <c r="K797" i="23"/>
  <c r="K725" i="23"/>
  <c r="K987" i="23"/>
  <c r="K1214" i="23"/>
  <c r="K386" i="23"/>
  <c r="K683" i="23"/>
  <c r="K1167" i="23"/>
  <c r="K3" i="23"/>
  <c r="K1165" i="23"/>
  <c r="K856" i="23"/>
  <c r="K1491" i="23"/>
  <c r="K1588" i="23"/>
  <c r="K701" i="23"/>
  <c r="K1539" i="23"/>
  <c r="K1121" i="23"/>
  <c r="K238" i="23"/>
  <c r="K1459" i="23"/>
  <c r="K1186" i="23"/>
  <c r="K1300" i="23"/>
  <c r="K13" i="23"/>
  <c r="K21" i="23"/>
  <c r="K498" i="23"/>
  <c r="K633" i="23"/>
  <c r="K124" i="23"/>
  <c r="K866" i="23"/>
  <c r="K920" i="23"/>
  <c r="K1372" i="23"/>
  <c r="K992" i="23"/>
  <c r="K718" i="23"/>
  <c r="K1502" i="23"/>
  <c r="K937" i="23"/>
  <c r="K747" i="23"/>
  <c r="K873" i="23"/>
  <c r="K502" i="23"/>
  <c r="K604" i="23"/>
  <c r="K406" i="23"/>
  <c r="K1603" i="23"/>
  <c r="K362" i="23"/>
  <c r="K166" i="23"/>
  <c r="K929" i="23"/>
  <c r="K1119" i="23"/>
  <c r="K1283" i="23"/>
  <c r="K558" i="23"/>
  <c r="K403" i="23"/>
  <c r="K776" i="23"/>
  <c r="K1108" i="23"/>
  <c r="K1598" i="23"/>
  <c r="K1222" i="23"/>
  <c r="K1545" i="23"/>
  <c r="K1174" i="23"/>
  <c r="K537" i="23"/>
  <c r="K1495" i="23"/>
  <c r="K1280" i="23"/>
  <c r="K1493" i="23"/>
  <c r="K1492" i="23"/>
  <c r="K224" i="23"/>
  <c r="K829" i="23"/>
  <c r="K985" i="23"/>
  <c r="K752" i="23"/>
  <c r="K1105" i="23"/>
  <c r="K1213" i="23"/>
  <c r="K1162" i="23"/>
  <c r="K825" i="23"/>
  <c r="K733" i="23"/>
  <c r="K280" i="23"/>
  <c r="K110" i="23"/>
  <c r="K1490" i="23"/>
  <c r="K105" i="23"/>
  <c r="K976" i="23"/>
  <c r="K1160" i="23"/>
  <c r="K995" i="23"/>
  <c r="K926" i="23"/>
  <c r="K348" i="23"/>
  <c r="K592" i="23"/>
  <c r="K1227" i="23"/>
  <c r="K978" i="23"/>
  <c r="K857" i="23"/>
  <c r="K344" i="23"/>
  <c r="K180" i="23"/>
  <c r="K1509" i="23"/>
  <c r="K1460" i="23"/>
  <c r="K1177" i="23"/>
  <c r="K367" i="23"/>
  <c r="K599" i="23"/>
  <c r="K1468" i="23"/>
  <c r="K1601" i="23"/>
  <c r="K1555" i="23"/>
  <c r="K1310" i="23"/>
  <c r="K285" i="23"/>
  <c r="K678" i="23"/>
  <c r="K67" i="23"/>
  <c r="K849" i="23"/>
  <c r="K774" i="23"/>
  <c r="K158" i="23"/>
  <c r="K149" i="23"/>
  <c r="K813" i="23"/>
  <c r="K735" i="23"/>
  <c r="K722" i="23"/>
  <c r="K274" i="23"/>
  <c r="K979" i="23"/>
  <c r="K702" i="23"/>
  <c r="K1590" i="23"/>
  <c r="K534" i="23"/>
  <c r="K74" i="23"/>
  <c r="K1311" i="23"/>
  <c r="K1292" i="23"/>
  <c r="K177" i="23"/>
  <c r="K1233" i="23"/>
  <c r="K1550" i="23"/>
  <c r="K365" i="23"/>
  <c r="K784" i="23"/>
  <c r="K789" i="23"/>
  <c r="K831" i="23"/>
  <c r="K1458" i="23"/>
  <c r="K366" i="23"/>
  <c r="K1556" i="23"/>
  <c r="K600" i="23"/>
  <c r="K1305" i="23"/>
  <c r="K811" i="23"/>
  <c r="K602" i="23"/>
  <c r="K1602" i="23"/>
  <c r="K748" i="23"/>
  <c r="K730" i="23"/>
  <c r="K1456" i="23"/>
  <c r="K543" i="23"/>
  <c r="K782" i="23"/>
  <c r="K615" i="23"/>
  <c r="K1553" i="23"/>
  <c r="K354" i="23"/>
  <c r="K1463" i="23"/>
  <c r="K226" i="23"/>
  <c r="K495" i="23"/>
  <c r="K1313" i="23"/>
  <c r="K17" i="23"/>
  <c r="K1224" i="23"/>
  <c r="K153" i="23"/>
  <c r="K160" i="23"/>
  <c r="K439" i="23"/>
  <c r="K817" i="23"/>
  <c r="K816" i="23"/>
  <c r="K10" i="23"/>
  <c r="K64" i="23"/>
  <c r="K677" i="23"/>
  <c r="K705" i="23"/>
  <c r="K913" i="23"/>
  <c r="K55" i="23"/>
  <c r="K437" i="23"/>
  <c r="K721" i="23"/>
  <c r="K900" i="23"/>
  <c r="K1488" i="23"/>
  <c r="K390" i="23"/>
  <c r="K63" i="23"/>
  <c r="K980" i="23"/>
  <c r="K1445" i="23"/>
  <c r="K905" i="23"/>
  <c r="K111" i="23"/>
  <c r="K473" i="23"/>
  <c r="K1537" i="23"/>
  <c r="K662" i="23"/>
  <c r="K743" i="23"/>
  <c r="K847" i="23"/>
  <c r="K859" i="23"/>
  <c r="K903" i="23"/>
  <c r="K480" i="23"/>
  <c r="K867" i="23"/>
  <c r="K246" i="23"/>
  <c r="K1378" i="23"/>
  <c r="K1246" i="23"/>
  <c r="K410" i="23"/>
  <c r="K767" i="23"/>
  <c r="K1500" i="23"/>
  <c r="K1110" i="23"/>
  <c r="K727" i="23"/>
  <c r="K919" i="23"/>
  <c r="K1172" i="23"/>
  <c r="K736" i="23"/>
  <c r="K818" i="23"/>
  <c r="K839" i="23"/>
  <c r="K477" i="23"/>
  <c r="K1107" i="23"/>
  <c r="K814" i="23"/>
  <c r="K906" i="23"/>
  <c r="K1216" i="23"/>
  <c r="K977" i="23"/>
  <c r="K751" i="23"/>
  <c r="K1336" i="23"/>
  <c r="K844" i="23"/>
  <c r="K675" i="23"/>
  <c r="K59" i="23"/>
  <c r="K83" i="23"/>
  <c r="K228" i="23"/>
  <c r="K121" i="23"/>
  <c r="K1282" i="23"/>
  <c r="K621" i="23"/>
  <c r="K231" i="23"/>
  <c r="K1125" i="23"/>
  <c r="K1373" i="23"/>
  <c r="K596" i="23"/>
  <c r="K1131" i="23"/>
  <c r="K542" i="23"/>
  <c r="K777" i="23"/>
  <c r="K1286" i="23"/>
  <c r="K451" i="23"/>
  <c r="K746" i="23"/>
  <c r="K1497" i="23"/>
  <c r="K404" i="23"/>
  <c r="K1298" i="23"/>
  <c r="K24" i="23"/>
  <c r="K1240" i="23"/>
  <c r="K1496" i="23"/>
  <c r="K998" i="23"/>
  <c r="K184" i="23"/>
  <c r="K679" i="23"/>
  <c r="K303" i="23"/>
  <c r="K869" i="23"/>
  <c r="K1467" i="23"/>
  <c r="K758" i="23"/>
  <c r="K636" i="23"/>
  <c r="K942" i="23"/>
  <c r="K1111" i="23"/>
  <c r="K538" i="23"/>
  <c r="K156" i="23"/>
  <c r="K918" i="23"/>
  <c r="K754" i="23"/>
  <c r="K350" i="23"/>
  <c r="K1341" i="23"/>
  <c r="K438" i="23"/>
  <c r="K286" i="23"/>
  <c r="K116" i="23"/>
  <c r="K5" i="23"/>
  <c r="K837" i="23"/>
  <c r="K1212" i="23"/>
  <c r="K150" i="23"/>
  <c r="K272" i="23"/>
  <c r="K385" i="23"/>
  <c r="K388" i="23"/>
  <c r="K533" i="23"/>
  <c r="K1589" i="23"/>
  <c r="K779" i="23"/>
  <c r="K714" i="23"/>
  <c r="K109" i="23"/>
  <c r="K1276" i="23"/>
  <c r="K975" i="23"/>
  <c r="K474" i="23"/>
  <c r="K694" i="23"/>
  <c r="K1272" i="23"/>
  <c r="K279" i="23"/>
  <c r="AT182" i="20" l="1"/>
  <c r="H182" i="20"/>
  <c r="B182" i="20"/>
  <c r="AN182" i="20"/>
  <c r="AI182" i="20"/>
  <c r="AW182" i="20"/>
  <c r="AC182" i="20"/>
  <c r="B183" i="20"/>
  <c r="Q175" i="2" s="1"/>
  <c r="T175" i="2" s="1"/>
  <c r="Q53" i="2"/>
  <c r="T53" i="2" s="1"/>
  <c r="Z53" i="2" s="1"/>
  <c r="AI4" i="20"/>
  <c r="P174" i="2"/>
  <c r="J176" i="2"/>
  <c r="N184" i="20" s="1"/>
  <c r="B185" i="20" s="1"/>
  <c r="W176" i="2"/>
  <c r="S173" i="2"/>
  <c r="Z173" i="2" s="1"/>
  <c r="X175" i="2"/>
  <c r="A178" i="2"/>
  <c r="D177" i="2"/>
  <c r="G177" i="2"/>
  <c r="H177" i="2"/>
  <c r="K177" i="2" s="1"/>
  <c r="Z59" i="2" l="1"/>
  <c r="AT184" i="20"/>
  <c r="AN184" i="20"/>
  <c r="AC184" i="20"/>
  <c r="B184" i="20"/>
  <c r="AW184" i="20"/>
  <c r="AI184" i="20"/>
  <c r="H184" i="20"/>
  <c r="AA174" i="2"/>
  <c r="AB174" i="2" s="1"/>
  <c r="X176" i="2"/>
  <c r="S174" i="2"/>
  <c r="A179" i="2"/>
  <c r="D178" i="2"/>
  <c r="G178" i="2"/>
  <c r="H178" i="2"/>
  <c r="K178" i="2" s="1"/>
  <c r="W177" i="2"/>
  <c r="J177" i="2"/>
  <c r="N186" i="20" s="1"/>
  <c r="P175" i="2"/>
  <c r="B187" i="20" l="1"/>
  <c r="AN186" i="20"/>
  <c r="H186" i="20"/>
  <c r="AT186" i="20"/>
  <c r="AC186" i="20"/>
  <c r="B186" i="20"/>
  <c r="AW186" i="20"/>
  <c r="AI186" i="20"/>
  <c r="Z174" i="2"/>
  <c r="AA175" i="2"/>
  <c r="AB175" i="2" s="1"/>
  <c r="Q176" i="2"/>
  <c r="T176" i="2" s="1"/>
  <c r="X177" i="2"/>
  <c r="A180" i="2"/>
  <c r="D179" i="2"/>
  <c r="G179" i="2"/>
  <c r="H179" i="2"/>
  <c r="K179" i="2" s="1"/>
  <c r="S175" i="2"/>
  <c r="W178" i="2"/>
  <c r="J178" i="2"/>
  <c r="N188" i="20" s="1"/>
  <c r="B189" i="20" l="1"/>
  <c r="AN188" i="20"/>
  <c r="AI188" i="20"/>
  <c r="B188" i="20"/>
  <c r="AW188" i="20"/>
  <c r="H188" i="20"/>
  <c r="AT188" i="20"/>
  <c r="AC188" i="20"/>
  <c r="Q178" i="2"/>
  <c r="T178" i="2" s="1"/>
  <c r="Z175" i="2"/>
  <c r="Q177" i="2"/>
  <c r="T177" i="2" s="1"/>
  <c r="J179" i="2"/>
  <c r="N190" i="20" s="1"/>
  <c r="W179" i="2"/>
  <c r="X178" i="2"/>
  <c r="A181" i="2"/>
  <c r="D180" i="2"/>
  <c r="G180" i="2"/>
  <c r="H180" i="2"/>
  <c r="K180" i="2" s="1"/>
  <c r="M2349" i="23"/>
  <c r="M1844" i="23"/>
  <c r="M2332" i="23"/>
  <c r="M3688" i="23"/>
  <c r="M3653" i="23"/>
  <c r="M2232" i="23"/>
  <c r="M2413" i="23"/>
  <c r="M3528" i="23"/>
  <c r="M2899" i="23"/>
  <c r="M2149" i="23"/>
  <c r="M1889" i="23"/>
  <c r="M1917" i="23"/>
  <c r="M3077" i="23"/>
  <c r="M2572" i="23"/>
  <c r="M2859" i="23"/>
  <c r="M1664" i="23"/>
  <c r="M2892" i="23"/>
  <c r="M2304" i="23"/>
  <c r="M2112" i="23"/>
  <c r="M3829" i="23"/>
  <c r="M1668" i="23"/>
  <c r="M1696" i="23"/>
  <c r="M2891" i="23"/>
  <c r="M2176" i="23"/>
  <c r="M1984" i="23"/>
  <c r="M3317" i="23"/>
  <c r="M2787" i="23"/>
  <c r="M3173" i="23"/>
  <c r="M3269" i="23"/>
  <c r="M2208" i="23"/>
  <c r="M1678" i="23"/>
  <c r="M2094" i="23"/>
  <c r="M2056" i="23"/>
  <c r="M3605" i="23"/>
  <c r="M2931" i="23"/>
  <c r="M2923" i="23"/>
  <c r="M1884" i="23"/>
  <c r="M1768" i="23"/>
  <c r="M2739" i="23"/>
  <c r="M2202" i="23"/>
  <c r="M2428" i="23"/>
  <c r="M4139" i="23"/>
  <c r="M2700" i="23"/>
  <c r="M2256" i="23"/>
  <c r="M2064" i="23"/>
  <c r="M2309" i="23"/>
  <c r="M1641" i="23"/>
  <c r="M1965" i="23"/>
  <c r="M3461" i="23"/>
  <c r="M2843" i="23"/>
  <c r="M1813" i="23"/>
  <c r="M2356" i="23"/>
  <c r="M1637" i="23"/>
  <c r="M2029" i="23"/>
  <c r="M2284" i="23"/>
  <c r="M2101" i="23"/>
  <c r="M2811" i="23"/>
  <c r="M2100" i="23"/>
  <c r="M1716" i="23"/>
  <c r="M1720" i="23"/>
  <c r="M2412" i="23"/>
  <c r="M2956" i="23"/>
  <c r="M3533" i="23"/>
  <c r="M3149" i="23"/>
  <c r="M3003" i="23"/>
  <c r="M2148" i="23"/>
  <c r="M1764" i="23"/>
  <c r="M1744" i="23"/>
  <c r="M3400" i="23"/>
  <c r="M2077" i="23"/>
  <c r="M2651" i="23"/>
  <c r="M2161" i="23"/>
  <c r="M3381" i="23"/>
  <c r="M2156" i="23"/>
  <c r="M2907" i="23"/>
  <c r="M2620" i="23"/>
  <c r="M2157" i="23"/>
  <c r="M2627" i="23"/>
  <c r="M2228" i="23"/>
  <c r="M1976" i="23"/>
  <c r="M1784" i="23"/>
  <c r="M2771" i="23"/>
  <c r="M2424" i="23"/>
  <c r="M1825" i="23"/>
  <c r="M2292" i="23"/>
  <c r="M3816" i="23"/>
  <c r="M1656" i="23"/>
  <c r="M2515" i="23"/>
  <c r="M2296" i="23"/>
  <c r="M1697" i="23"/>
  <c r="M3797" i="23"/>
  <c r="M1948" i="23"/>
  <c r="M1856" i="23"/>
  <c r="M2915" i="23"/>
  <c r="M2531" i="23"/>
  <c r="M2197" i="23"/>
  <c r="M3720" i="23"/>
  <c r="M1933" i="23"/>
  <c r="M1888" i="23"/>
  <c r="M2979" i="23"/>
  <c r="M1749" i="23"/>
  <c r="M2324" i="23"/>
  <c r="M1940" i="23"/>
  <c r="M1832" i="23"/>
  <c r="M1640" i="23"/>
  <c r="M2483" i="23"/>
  <c r="M1877" i="23"/>
  <c r="M2085" i="23"/>
  <c r="M2269" i="23"/>
  <c r="M1885" i="23"/>
  <c r="M2172" i="23"/>
  <c r="M2453" i="23"/>
  <c r="M3221" i="23"/>
  <c r="M1693" i="23"/>
  <c r="M2967" i="23"/>
  <c r="M1629" i="23"/>
  <c r="M1628" i="23"/>
  <c r="M1925" i="23"/>
  <c r="M2404" i="23"/>
  <c r="M2020" i="23"/>
  <c r="M2125" i="23"/>
  <c r="M3853" i="23"/>
  <c r="M1868" i="23"/>
  <c r="M2924" i="23"/>
  <c r="M2571" i="23"/>
  <c r="M3205" i="23"/>
  <c r="M2604" i="23"/>
  <c r="M2089" i="23"/>
  <c r="M2675" i="23"/>
  <c r="M2124" i="23"/>
  <c r="M2779" i="23"/>
  <c r="M2588" i="23"/>
  <c r="M2141" i="23"/>
  <c r="M2280" i="23"/>
  <c r="M2212" i="23"/>
  <c r="M1968" i="23"/>
  <c r="M1776" i="23"/>
  <c r="M2755" i="23"/>
  <c r="M2416" i="23"/>
  <c r="M1765" i="23"/>
  <c r="M2276" i="23"/>
  <c r="M2000" i="23"/>
  <c r="M1648" i="23"/>
  <c r="M2499" i="23"/>
  <c r="M2288" i="23"/>
  <c r="M3560" i="23"/>
  <c r="M3765" i="23"/>
  <c r="M2619" i="23"/>
  <c r="M1680" i="23"/>
  <c r="M2388" i="23"/>
  <c r="M1846" i="23"/>
  <c r="M1750" i="23"/>
  <c r="M2328" i="23"/>
  <c r="M1729" i="23"/>
  <c r="M2037" i="23"/>
  <c r="M2209" i="23"/>
  <c r="M1853" i="23"/>
  <c r="M2040" i="23"/>
  <c r="M3541" i="23"/>
  <c r="M3749" i="23"/>
  <c r="M2244" i="23"/>
  <c r="M1860" i="23"/>
  <c r="M1792" i="23"/>
  <c r="M3752" i="23"/>
  <c r="M2432" i="23"/>
  <c r="M1717" i="23"/>
  <c r="M2972" i="23"/>
  <c r="M1741" i="23"/>
  <c r="M2348" i="23"/>
  <c r="M2165" i="23"/>
  <c r="M2939" i="23"/>
  <c r="M3061" i="23"/>
  <c r="M1980" i="23"/>
  <c r="M2959" i="23"/>
  <c r="M1852" i="23"/>
  <c r="M3969" i="23"/>
  <c r="M2381" i="23"/>
  <c r="M1876" i="23"/>
  <c r="M2396" i="23"/>
  <c r="M1941" i="23"/>
  <c r="M2189" i="23"/>
  <c r="M2884" i="23"/>
  <c r="M3693" i="23"/>
  <c r="M1725" i="23"/>
  <c r="M1836" i="23"/>
  <c r="M2133" i="23"/>
  <c r="M2539" i="23"/>
  <c r="M2116" i="23"/>
  <c r="M1920" i="23"/>
  <c r="M1789" i="23"/>
  <c r="M1964" i="23"/>
  <c r="M2368" i="23"/>
  <c r="M1701" i="23"/>
  <c r="M2844" i="23"/>
  <c r="M1677" i="23"/>
  <c r="M2220" i="23"/>
  <c r="M2021" i="23"/>
  <c r="M2400" i="23"/>
  <c r="M2004" i="23"/>
  <c r="M1864" i="23"/>
  <c r="M1672" i="23"/>
  <c r="M2547" i="23"/>
  <c r="M2312" i="23"/>
  <c r="M2268" i="23"/>
  <c r="M3592" i="23"/>
  <c r="M1690" i="23"/>
  <c r="M3336" i="23"/>
  <c r="M2376" i="23"/>
  <c r="M2184" i="23"/>
  <c r="M1861" i="23"/>
  <c r="M3349" i="23"/>
  <c r="M2452" i="23"/>
  <c r="M2160" i="23"/>
  <c r="M2780" i="23"/>
  <c r="M3253" i="23"/>
  <c r="M2028" i="23"/>
  <c r="M2540" i="23"/>
  <c r="M2492" i="23"/>
  <c r="M2192" i="23"/>
  <c r="M2908" i="23"/>
  <c r="M1804" i="23"/>
  <c r="M2860" i="23"/>
  <c r="M2507" i="23"/>
  <c r="M2104" i="23"/>
  <c r="M1912" i="23"/>
  <c r="M3029" i="23"/>
  <c r="M1932" i="23"/>
  <c r="M2316" i="23"/>
  <c r="M3557" i="23"/>
  <c r="M2875" i="23"/>
  <c r="M2237" i="23"/>
  <c r="M1732" i="23"/>
  <c r="M3977" i="23"/>
  <c r="M2444" i="23"/>
  <c r="M2293" i="23"/>
  <c r="M2365" i="23"/>
  <c r="M1981" i="23"/>
  <c r="M2364" i="23"/>
  <c r="M2971" i="23"/>
  <c r="M3781" i="23"/>
  <c r="M2405" i="23"/>
  <c r="M2429" i="23"/>
  <c r="M1873" i="23"/>
  <c r="M3197" i="23"/>
  <c r="M3669" i="23"/>
  <c r="M2145" i="23"/>
  <c r="M2468" i="23"/>
  <c r="M3109" i="23"/>
  <c r="M2164" i="23"/>
  <c r="M1780" i="23"/>
  <c r="M1752" i="23"/>
  <c r="M3464" i="23"/>
  <c r="M2093" i="23"/>
  <c r="M2731" i="23"/>
  <c r="M2201" i="23"/>
  <c r="M3413" i="23"/>
  <c r="M2081" i="23"/>
  <c r="M3589" i="23"/>
  <c r="M2060" i="23"/>
  <c r="M1845" i="23"/>
  <c r="M2643" i="23"/>
  <c r="M1924" i="23"/>
  <c r="M1824" i="23"/>
  <c r="M1632" i="23"/>
  <c r="M2467" i="23"/>
  <c r="M2272" i="23"/>
  <c r="M2108" i="23"/>
  <c r="M3272" i="23"/>
  <c r="M1686" i="23"/>
  <c r="M3020" i="23"/>
  <c r="M2336" i="23"/>
  <c r="M2144" i="23"/>
  <c r="M2716" i="23"/>
  <c r="M3189" i="23"/>
  <c r="M2372" i="23"/>
  <c r="M2048" i="23"/>
  <c r="M2740" i="23"/>
  <c r="M1886" i="23"/>
  <c r="M1896" i="23"/>
  <c r="M2995" i="23"/>
  <c r="M2611" i="23"/>
  <c r="M1996" i="23"/>
  <c r="M2476" i="23"/>
  <c r="M2462" i="23"/>
  <c r="M1928" i="23"/>
  <c r="M3093" i="23"/>
  <c r="M1772" i="23"/>
  <c r="M2828" i="23"/>
  <c r="M2475" i="23"/>
  <c r="M2096" i="23"/>
  <c r="M1904" i="23"/>
  <c r="M3011" i="23"/>
  <c r="M1900" i="23"/>
  <c r="M2117" i="23"/>
  <c r="M2285" i="23"/>
  <c r="M1901" i="23"/>
  <c r="M2204" i="23"/>
  <c r="M2508" i="23"/>
  <c r="M3048" i="23"/>
  <c r="M1709" i="23"/>
  <c r="M3053" i="23"/>
  <c r="M1645" i="23"/>
  <c r="M1676" i="23"/>
  <c r="M1957" i="23"/>
  <c r="M2420" i="23"/>
  <c r="M2036" i="23"/>
  <c r="M1788" i="23"/>
  <c r="M3621" i="23"/>
  <c r="M2863" i="23"/>
  <c r="M1801" i="23"/>
  <c r="M2333" i="23"/>
  <c r="M1828" i="23"/>
  <c r="M2300" i="23"/>
  <c r="M3656" i="23"/>
  <c r="M3525" i="23"/>
  <c r="M2224" i="23"/>
  <c r="M2397" i="23"/>
  <c r="M1892" i="23"/>
  <c r="M2883" i="23"/>
  <c r="M3429" i="23"/>
  <c r="M2005" i="23"/>
  <c r="M2221" i="23"/>
  <c r="M1837" i="23"/>
  <c r="M2076" i="23"/>
  <c r="M2947" i="23"/>
  <c r="M2635" i="23"/>
  <c r="M2136" i="23"/>
  <c r="M1944" i="23"/>
  <c r="M3157" i="23"/>
  <c r="M2707" i="23"/>
  <c r="M1972" i="23"/>
  <c r="M1848" i="23"/>
  <c r="M1746" i="23"/>
  <c r="M1816" i="23"/>
  <c r="M2835" i="23"/>
  <c r="M2456" i="23"/>
  <c r="M1857" i="23"/>
  <c r="M2636" i="23"/>
  <c r="M3208" i="23"/>
  <c r="M2016" i="23"/>
  <c r="M3445" i="23"/>
  <c r="M2851" i="23"/>
  <c r="M3813" i="23"/>
  <c r="M2053" i="23"/>
  <c r="M1728" i="23"/>
  <c r="M2659" i="23"/>
  <c r="M2198" i="23"/>
  <c r="M2421" i="23"/>
  <c r="M2955" i="23"/>
  <c r="M2260" i="23"/>
  <c r="M1992" i="23"/>
  <c r="M1800" i="23"/>
  <c r="M2684" i="23"/>
  <c r="M3733" i="23"/>
  <c r="M1949" i="23"/>
  <c r="M3333" i="23"/>
  <c r="M2668" i="23"/>
  <c r="M1781" i="23"/>
  <c r="M2340" i="23"/>
  <c r="M3905" i="23"/>
  <c r="M2013" i="23"/>
  <c r="M2252" i="23"/>
  <c r="M2069" i="23"/>
  <c r="M2747" i="23"/>
  <c r="M2084" i="23"/>
  <c r="M1700" i="23"/>
  <c r="M1712" i="23"/>
  <c r="M2380" i="23"/>
  <c r="M2724" i="23"/>
  <c r="M3165" i="23"/>
  <c r="M3112" i="23"/>
  <c r="M1905" i="23"/>
  <c r="M1805" i="23"/>
  <c r="M2012" i="23"/>
  <c r="M2277" i="23"/>
  <c r="M2699" i="23"/>
  <c r="M2196" i="23"/>
  <c r="M1960" i="23"/>
  <c r="M1869" i="23"/>
  <c r="M2140" i="23"/>
  <c r="M2408" i="23"/>
  <c r="M3301" i="23"/>
  <c r="M1973" i="23"/>
  <c r="M2205" i="23"/>
  <c r="M1821" i="23"/>
  <c r="M2044" i="23"/>
  <c r="M2440" i="23"/>
  <c r="M2603" i="23"/>
  <c r="M2128" i="23"/>
  <c r="M1936" i="23"/>
  <c r="M3125" i="23"/>
  <c r="M2691" i="23"/>
  <c r="M1956" i="23"/>
  <c r="M1840" i="23"/>
  <c r="M1726" i="23"/>
  <c r="M1808" i="23"/>
  <c r="M2819" i="23"/>
  <c r="M2448" i="23"/>
  <c r="M1893" i="23"/>
  <c r="M3304" i="23"/>
  <c r="M3144" i="23"/>
  <c r="M2352" i="23"/>
  <c r="M1638" i="23"/>
  <c r="M2054" i="23"/>
  <c r="M2168" i="23"/>
  <c r="M2940" i="23"/>
  <c r="M3285" i="23"/>
  <c r="M3045" i="23"/>
  <c r="M1909" i="23"/>
  <c r="M2173" i="23"/>
  <c r="M2200" i="23"/>
  <c r="M1872" i="23"/>
  <c r="M2245" i="23"/>
  <c r="M2667" i="23"/>
  <c r="M2180" i="23"/>
  <c r="M1952" i="23"/>
  <c r="M1760" i="23"/>
  <c r="M2524" i="23"/>
  <c r="M3573" i="23"/>
  <c r="M2491" i="23"/>
  <c r="M1740" i="23"/>
  <c r="M3365" i="23"/>
  <c r="M2317" i="23"/>
  <c r="M1812" i="23"/>
  <c r="M3701" i="23"/>
  <c r="M2795" i="23"/>
  <c r="M2437" i="23"/>
  <c r="M2445" i="23"/>
  <c r="M2061" i="23"/>
  <c r="M2587" i="23"/>
  <c r="M1724" i="23"/>
  <c r="M2796" i="23"/>
  <c r="M2715" i="23"/>
  <c r="M2963" i="23"/>
  <c r="M2943" i="23"/>
  <c r="M1913" i="23"/>
  <c r="M2045" i="23"/>
  <c r="M2523" i="23"/>
  <c r="M1692" i="23"/>
  <c r="M2764" i="23"/>
  <c r="M2436" i="23"/>
  <c r="M2683" i="23"/>
  <c r="M2389" i="23"/>
  <c r="M4363" i="23"/>
  <c r="M2595" i="23"/>
  <c r="M2325" i="23"/>
  <c r="M1625" i="23"/>
  <c r="M1997" i="23"/>
  <c r="M3717" i="23"/>
  <c r="M2240" i="23"/>
  <c r="M1684" i="23"/>
  <c r="M1704" i="23"/>
  <c r="M3080" i="23"/>
  <c r="M2344" i="23"/>
  <c r="M2152" i="23"/>
  <c r="M1733" i="23"/>
  <c r="M1748" i="23"/>
  <c r="M1736" i="23"/>
  <c r="M3397" i="23"/>
  <c r="M2216" i="23"/>
  <c r="M2024" i="23"/>
  <c r="M3477" i="23"/>
  <c r="M2867" i="23"/>
  <c r="M2555" i="23"/>
  <c r="M4108" i="23"/>
  <c r="M2320" i="23"/>
  <c r="M3857" i="23"/>
  <c r="M4033" i="23"/>
  <c r="M2987" i="23"/>
  <c r="M1916" i="23"/>
  <c r="M2032" i="23"/>
  <c r="M3509" i="23"/>
  <c r="M2238" i="23"/>
  <c r="M2460" i="23"/>
  <c r="M1624" i="23"/>
  <c r="M2732" i="23"/>
  <c r="M2264" i="23"/>
  <c r="M2072" i="23"/>
  <c r="M2341" i="23"/>
  <c r="M1761" i="23"/>
  <c r="M1661" i="23"/>
  <c r="M2188" i="23"/>
  <c r="M1989" i="23"/>
  <c r="M2652" i="23"/>
  <c r="M2052" i="23"/>
  <c r="M1820" i="23"/>
  <c r="M3141" i="23"/>
  <c r="M1708" i="23"/>
  <c r="M3237" i="23"/>
  <c r="M2301" i="23"/>
  <c r="M1796" i="23"/>
  <c r="M2236" i="23"/>
  <c r="M1797" i="23"/>
  <c r="M2109" i="23"/>
  <c r="M2871" i="23"/>
  <c r="M3389" i="23"/>
  <c r="M1921" i="23"/>
  <c r="M1815" i="23"/>
  <c r="M1756" i="23"/>
  <c r="M2001" i="23"/>
  <c r="M2820" i="23"/>
  <c r="M3192" i="23"/>
  <c r="M2563" i="23"/>
  <c r="M1897" i="23"/>
  <c r="M1705" i="23"/>
  <c r="M2025" i="23"/>
  <c r="M2345" i="23"/>
  <c r="M2868" i="23"/>
  <c r="M1626" i="23"/>
  <c r="M1786" i="23"/>
  <c r="M2454" i="23"/>
  <c r="M2500" i="23"/>
  <c r="M2289" i="23"/>
  <c r="M2756" i="23"/>
  <c r="M3768" i="23"/>
  <c r="M1758" i="23"/>
  <c r="M1918" i="23"/>
  <c r="M2078" i="23"/>
  <c r="M2406" i="23"/>
  <c r="M3341" i="23"/>
  <c r="M2479" i="23"/>
  <c r="M3597" i="23"/>
  <c r="M3213" i="23"/>
  <c r="M2057" i="23"/>
  <c r="M1865" i="23"/>
  <c r="M2932" i="23"/>
  <c r="M1783" i="23"/>
  <c r="M2088" i="23"/>
  <c r="M1906" i="23"/>
  <c r="M1742" i="23"/>
  <c r="M2158" i="23"/>
  <c r="M2062" i="23"/>
  <c r="M2495" i="23"/>
  <c r="M2382" i="23"/>
  <c r="M2763" i="23"/>
  <c r="M1954" i="23"/>
  <c r="M1653" i="23"/>
  <c r="M2018" i="23"/>
  <c r="M3637" i="23"/>
  <c r="M2338" i="23"/>
  <c r="M1908" i="23"/>
  <c r="M2855" i="23"/>
  <c r="M1644" i="23"/>
  <c r="M2358" i="23"/>
  <c r="M2262" i="23"/>
  <c r="M2422" i="23"/>
  <c r="M2703" i="23"/>
  <c r="M3023" i="23"/>
  <c r="M3661" i="23"/>
  <c r="M1769" i="23"/>
  <c r="M1689" i="23"/>
  <c r="M1650" i="23"/>
  <c r="M3416" i="23"/>
  <c r="M1714" i="23"/>
  <c r="M1874" i="23"/>
  <c r="M2034" i="23"/>
  <c r="M2194" i="23"/>
  <c r="M2354" i="23"/>
  <c r="M2983" i="23"/>
  <c r="M2991" i="23"/>
  <c r="M1929" i="23"/>
  <c r="M1737" i="23"/>
  <c r="M2676" i="23"/>
  <c r="M2377" i="23"/>
  <c r="M1738" i="23"/>
  <c r="M2812" i="23"/>
  <c r="M2385" i="23"/>
  <c r="M1681" i="23"/>
  <c r="M2564" i="23"/>
  <c r="M2321" i="23"/>
  <c r="M1710" i="23"/>
  <c r="M4041" i="23"/>
  <c r="M3176" i="23"/>
  <c r="M2105" i="23"/>
  <c r="M2080" i="23"/>
  <c r="M2233" i="23"/>
  <c r="M3685" i="23"/>
  <c r="M3544" i="23"/>
  <c r="M2357" i="23"/>
  <c r="M1890" i="23"/>
  <c r="M2392" i="23"/>
  <c r="M2775" i="23"/>
  <c r="M2583" i="23"/>
  <c r="M2903" i="23"/>
  <c r="M3421" i="23"/>
  <c r="M1713" i="23"/>
  <c r="M2033" i="23"/>
  <c r="M2353" i="23"/>
  <c r="M1867" i="23"/>
  <c r="M2360" i="23"/>
  <c r="M2058" i="23"/>
  <c r="M1762" i="23"/>
  <c r="M1636" i="23"/>
  <c r="M2082" i="23"/>
  <c r="M2373" i="23"/>
  <c r="M2402" i="23"/>
  <c r="M2248" i="23"/>
  <c r="M2102" i="23"/>
  <c r="M2006" i="23"/>
  <c r="M2166" i="23"/>
  <c r="M2326" i="23"/>
  <c r="M2511" i="23"/>
  <c r="M2831" i="23"/>
  <c r="M3277" i="23"/>
  <c r="M1773" i="23"/>
  <c r="M2362" i="23"/>
  <c r="M2266" i="23"/>
  <c r="M2426" i="23"/>
  <c r="M2711" i="23"/>
  <c r="M3037" i="23"/>
  <c r="M3677" i="23"/>
  <c r="M1841" i="23"/>
  <c r="M2532" i="23"/>
  <c r="M1798" i="23"/>
  <c r="M2788" i="23"/>
  <c r="M1862" i="23"/>
  <c r="M1766" i="23"/>
  <c r="M2182" i="23"/>
  <c r="M2086" i="23"/>
  <c r="M2543" i="23"/>
  <c r="M2517" i="23"/>
  <c r="M1931" i="23"/>
  <c r="M2155" i="23"/>
  <c r="M1995" i="23"/>
  <c r="M2219" i="23"/>
  <c r="M1688" i="23"/>
  <c r="M1809" i="23"/>
  <c r="M2628" i="23"/>
  <c r="M3512" i="23"/>
  <c r="M1982" i="23"/>
  <c r="M2009" i="23"/>
  <c r="M1817" i="23"/>
  <c r="M2137" i="23"/>
  <c r="M2457" i="23"/>
  <c r="M3160" i="23"/>
  <c r="M1682" i="23"/>
  <c r="M1842" i="23"/>
  <c r="M1985" i="23"/>
  <c r="M3320" i="23"/>
  <c r="M2113" i="23"/>
  <c r="M3832" i="23"/>
  <c r="M3064" i="23"/>
  <c r="M1926" i="23"/>
  <c r="M1830" i="23"/>
  <c r="M2246" i="23"/>
  <c r="M2446" i="23"/>
  <c r="M3501" i="23"/>
  <c r="M2559" i="23"/>
  <c r="M3757" i="23"/>
  <c r="M3373" i="23"/>
  <c r="M2169" i="23"/>
  <c r="M1977" i="23"/>
  <c r="M2185" i="23"/>
  <c r="M1903" i="23"/>
  <c r="M2229" i="23"/>
  <c r="M2120" i="23"/>
  <c r="M1910" i="23"/>
  <c r="M2070" i="23"/>
  <c r="M2230" i="23"/>
  <c r="M2390" i="23"/>
  <c r="M2639" i="23"/>
  <c r="M1757" i="23"/>
  <c r="M2106" i="23"/>
  <c r="M2010" i="23"/>
  <c r="M2170" i="23"/>
  <c r="M2330" i="23"/>
  <c r="M2519" i="23"/>
  <c r="M2839" i="23"/>
  <c r="M3293" i="23"/>
  <c r="M2458" i="23"/>
  <c r="M2398" i="23"/>
  <c r="M2302" i="23"/>
  <c r="M2463" i="23"/>
  <c r="M2783" i="23"/>
  <c r="M3181" i="23"/>
  <c r="M2876" i="23"/>
  <c r="M1881" i="23"/>
  <c r="M2548" i="23"/>
  <c r="M1802" i="23"/>
  <c r="M2804" i="23"/>
  <c r="M1866" i="23"/>
  <c r="M1770" i="23"/>
  <c r="M2186" i="23"/>
  <c r="M2090" i="23"/>
  <c r="M3493" i="23"/>
  <c r="M3821" i="23"/>
  <c r="M3117" i="23"/>
  <c r="M2041" i="23"/>
  <c r="M1849" i="23"/>
  <c r="M3432" i="23"/>
  <c r="M2516" i="23"/>
  <c r="M2308" i="23"/>
  <c r="M1793" i="23"/>
  <c r="M2579" i="23"/>
  <c r="M2017" i="23"/>
  <c r="M2337" i="23"/>
  <c r="M2852" i="23"/>
  <c r="M1622" i="23"/>
  <c r="M1782" i="23"/>
  <c r="M1660" i="23"/>
  <c r="M2409" i="23"/>
  <c r="M2217" i="23"/>
  <c r="M2612" i="23"/>
  <c r="M3480" i="23"/>
  <c r="M1722" i="23"/>
  <c r="M1882" i="23"/>
  <c r="M2042" i="23"/>
  <c r="M2567" i="23"/>
  <c r="M2887" i="23"/>
  <c r="M2695" i="23"/>
  <c r="M3015" i="23"/>
  <c r="M3645" i="23"/>
  <c r="M2049" i="23"/>
  <c r="M1665" i="23"/>
  <c r="M2916" i="23"/>
  <c r="M1987" i="23"/>
  <c r="M2092" i="23"/>
  <c r="M1754" i="23"/>
  <c r="M1914" i="23"/>
  <c r="M2074" i="23"/>
  <c r="M2234" i="23"/>
  <c r="M2394" i="23"/>
  <c r="M2647" i="23"/>
  <c r="M1946" i="23"/>
  <c r="M2142" i="23"/>
  <c r="M2046" i="23"/>
  <c r="M2206" i="23"/>
  <c r="M2366" i="23"/>
  <c r="M2591" i="23"/>
  <c r="M2911" i="23"/>
  <c r="M3437" i="23"/>
  <c r="M2258" i="23"/>
  <c r="M2418" i="23"/>
  <c r="M2322" i="23"/>
  <c r="M2503" i="23"/>
  <c r="M2823" i="23"/>
  <c r="M3261" i="23"/>
  <c r="M1623" i="23"/>
  <c r="M2177" i="23"/>
  <c r="M2692" i="23"/>
  <c r="M1838" i="23"/>
  <c r="M2948" i="23"/>
  <c r="M1902" i="23"/>
  <c r="M1806" i="23"/>
  <c r="M2222" i="23"/>
  <c r="M2126" i="23"/>
  <c r="M2551" i="23"/>
  <c r="M2211" i="23"/>
  <c r="M2051" i="23"/>
  <c r="M2275" i="23"/>
  <c r="M2115" i="23"/>
  <c r="M2339" i="23"/>
  <c r="M2435" i="23"/>
  <c r="M3549" i="23"/>
  <c r="M2225" i="23"/>
  <c r="M2369" i="23"/>
  <c r="M1734" i="23"/>
  <c r="M3725" i="23"/>
  <c r="M2313" i="23"/>
  <c r="M3496" i="23"/>
  <c r="M2441" i="23"/>
  <c r="M2249" i="23"/>
  <c r="M1674" i="23"/>
  <c r="M3608" i="23"/>
  <c r="M1994" i="23"/>
  <c r="M2065" i="23"/>
  <c r="M3640" i="23"/>
  <c r="M2193" i="23"/>
  <c r="M1646" i="23"/>
  <c r="M3384" i="23"/>
  <c r="M1966" i="23"/>
  <c r="M1870" i="23"/>
  <c r="M2181" i="23"/>
  <c r="M2767" i="23"/>
  <c r="M2575" i="23"/>
  <c r="M2895" i="23"/>
  <c r="M3405" i="23"/>
  <c r="M1633" i="23"/>
  <c r="M1961" i="23"/>
  <c r="M2281" i="23"/>
  <c r="M1767" i="23"/>
  <c r="M2007" i="23"/>
  <c r="M2964" i="23"/>
  <c r="M1790" i="23"/>
  <c r="M1950" i="23"/>
  <c r="M2110" i="23"/>
  <c r="M2270" i="23"/>
  <c r="M2430" i="23"/>
  <c r="M2719" i="23"/>
  <c r="M2002" i="23"/>
  <c r="M2162" i="23"/>
  <c r="M2066" i="23"/>
  <c r="M2226" i="23"/>
  <c r="M2386" i="23"/>
  <c r="M2631" i="23"/>
  <c r="M2951" i="23"/>
  <c r="M3517" i="23"/>
  <c r="M2150" i="23"/>
  <c r="M2671" i="23"/>
  <c r="M2214" i="23"/>
  <c r="M2799" i="23"/>
  <c r="M2607" i="23"/>
  <c r="M2748" i="23"/>
  <c r="M3469" i="23"/>
  <c r="M2068" i="23"/>
  <c r="M2772" i="23"/>
  <c r="M2253" i="23"/>
  <c r="M3032" i="23"/>
  <c r="M2803" i="23"/>
  <c r="M1826" i="23"/>
  <c r="M3019" i="23"/>
  <c r="M2146" i="23"/>
  <c r="M1669" i="23"/>
  <c r="M2988" i="23"/>
  <c r="M3789" i="23"/>
  <c r="M1833" i="23"/>
  <c r="M2153" i="23"/>
  <c r="M2484" i="23"/>
  <c r="M3224" i="23"/>
  <c r="M1942" i="23"/>
  <c r="M1969" i="23"/>
  <c r="M1777" i="23"/>
  <c r="M2097" i="23"/>
  <c r="M2417" i="23"/>
  <c r="M3012" i="23"/>
  <c r="M1662" i="23"/>
  <c r="M1822" i="23"/>
  <c r="M2527" i="23"/>
  <c r="M2580" i="23"/>
  <c r="M2329" i="23"/>
  <c r="M2836" i="23"/>
  <c r="M4395" i="23"/>
  <c r="M1778" i="23"/>
  <c r="M1938" i="23"/>
  <c r="M2098" i="23"/>
  <c r="M2410" i="23"/>
  <c r="M3357" i="23"/>
  <c r="M2487" i="23"/>
  <c r="M3613" i="23"/>
  <c r="M3229" i="23"/>
  <c r="M2129" i="23"/>
  <c r="M1937" i="23"/>
  <c r="M3128" i="23"/>
  <c r="M1883" i="23"/>
  <c r="M1642" i="23"/>
  <c r="M1810" i="23"/>
  <c r="M1970" i="23"/>
  <c r="M2130" i="23"/>
  <c r="M2290" i="23"/>
  <c r="M2450" i="23"/>
  <c r="M2759" i="23"/>
  <c r="M1894" i="23"/>
  <c r="M2310" i="23"/>
  <c r="M1958" i="23"/>
  <c r="M2374" i="23"/>
  <c r="M2278" i="23"/>
  <c r="M2927" i="23"/>
  <c r="M2735" i="23"/>
  <c r="M1673" i="23"/>
  <c r="M2154" i="23"/>
  <c r="M2679" i="23"/>
  <c r="M2218" i="23"/>
  <c r="M2807" i="23"/>
  <c r="M2615" i="23"/>
  <c r="M3624" i="23"/>
  <c r="M3485" i="23"/>
  <c r="M2556" i="23"/>
  <c r="M3704" i="23"/>
  <c r="M2980" i="23"/>
  <c r="M1654" i="23"/>
  <c r="M1814" i="23"/>
  <c r="M2999" i="23"/>
  <c r="M2660" i="23"/>
  <c r="M2449" i="23"/>
  <c r="M1988" i="23"/>
  <c r="M3240" i="23"/>
  <c r="M2425" i="23"/>
  <c r="M1721" i="23"/>
  <c r="M2723" i="23"/>
  <c r="M2361" i="23"/>
  <c r="M2132" i="23"/>
  <c r="M1634" i="23"/>
  <c r="M1829" i="23"/>
  <c r="M2401" i="23"/>
  <c r="M1953" i="23"/>
  <c r="M2596" i="23"/>
  <c r="M3448" i="23"/>
  <c r="M1718" i="23"/>
  <c r="M1878" i="23"/>
  <c r="M2038" i="23"/>
  <c r="M1649" i="23"/>
  <c r="M2847" i="23"/>
  <c r="M2655" i="23"/>
  <c r="M2975" i="23"/>
  <c r="M3565" i="23"/>
  <c r="M1753" i="23"/>
  <c r="M2073" i="23"/>
  <c r="M2393" i="23"/>
  <c r="M1887" i="23"/>
  <c r="M2111" i="23"/>
  <c r="M1698" i="23"/>
  <c r="M1702" i="23"/>
  <c r="M2118" i="23"/>
  <c r="M2022" i="23"/>
  <c r="M2438" i="23"/>
  <c r="M2342" i="23"/>
  <c r="M3085" i="23"/>
  <c r="M1898" i="23"/>
  <c r="M2314" i="23"/>
  <c r="M1962" i="23"/>
  <c r="M2378" i="23"/>
  <c r="M2282" i="23"/>
  <c r="M2935" i="23"/>
  <c r="M2743" i="23"/>
  <c r="M1745" i="23"/>
  <c r="M2190" i="23"/>
  <c r="M2751" i="23"/>
  <c r="M2254" i="23"/>
  <c r="M2879" i="23"/>
  <c r="M2687" i="23"/>
  <c r="M1657" i="23"/>
  <c r="M3629" i="23"/>
  <c r="M2213" i="23"/>
  <c r="M3736" i="23"/>
  <c r="M2996" i="23"/>
  <c r="M1658" i="23"/>
  <c r="M1818" i="23"/>
  <c r="M1978" i="23"/>
  <c r="M2138" i="23"/>
  <c r="M2298" i="23"/>
  <c r="M3133" i="23"/>
  <c r="M3309" i="23"/>
  <c r="M3784" i="23"/>
  <c r="M1945" i="23"/>
  <c r="M2265" i="23"/>
  <c r="M2708" i="23"/>
  <c r="M3672" i="23"/>
  <c r="M1687" i="23"/>
  <c r="M2305" i="23"/>
  <c r="M1751" i="23"/>
  <c r="M2433" i="23"/>
  <c r="M2241" i="23"/>
  <c r="M1670" i="23"/>
  <c r="M3576" i="23"/>
  <c r="M1990" i="23"/>
  <c r="M1993" i="23"/>
  <c r="M3352" i="23"/>
  <c r="M2121" i="23"/>
  <c r="M3913" i="23"/>
  <c r="M3096" i="23"/>
  <c r="M1930" i="23"/>
  <c r="M1834" i="23"/>
  <c r="M2827" i="23"/>
  <c r="M2471" i="23"/>
  <c r="M1685" i="23"/>
  <c r="M2599" i="23"/>
  <c r="M1880" i="23"/>
  <c r="M3453" i="23"/>
  <c r="M3368" i="23"/>
  <c r="M2273" i="23"/>
  <c r="M2297" i="23"/>
  <c r="M2003" i="23"/>
  <c r="M1850" i="23"/>
  <c r="M1706" i="23"/>
  <c r="M2122" i="23"/>
  <c r="M2026" i="23"/>
  <c r="M2442" i="23"/>
  <c r="M2346" i="23"/>
  <c r="M3101" i="23"/>
  <c r="M1934" i="23"/>
  <c r="M2350" i="23"/>
  <c r="M1998" i="23"/>
  <c r="M2414" i="23"/>
  <c r="M2318" i="23"/>
  <c r="M3007" i="23"/>
  <c r="M2815" i="23"/>
  <c r="M2261" i="23"/>
  <c r="M2210" i="23"/>
  <c r="M2384" i="23"/>
  <c r="M2274" i="23"/>
  <c r="M1652" i="23"/>
  <c r="M2727" i="23"/>
  <c r="M2008" i="23"/>
  <c r="M3709" i="23"/>
  <c r="M3004" i="23"/>
  <c r="M1630" i="23"/>
  <c r="M3256" i="23"/>
  <c r="M1694" i="23"/>
  <c r="M1854" i="23"/>
  <c r="M1974" i="23"/>
  <c r="M2294" i="23"/>
  <c r="M2171" i="23"/>
  <c r="M2235" i="23"/>
  <c r="M2299" i="23"/>
  <c r="M2451" i="23"/>
  <c r="M2039" i="23"/>
  <c r="M2263" i="23"/>
  <c r="M2103" i="23"/>
  <c r="M2327" i="23"/>
  <c r="M2167" i="23"/>
  <c r="M2391" i="23"/>
  <c r="M2512" i="23"/>
  <c r="M2960" i="23"/>
  <c r="M2805" i="23"/>
  <c r="M3741" i="23"/>
  <c r="M2869" i="23"/>
  <c r="M1643" i="23"/>
  <c r="M2933" i="23"/>
  <c r="M1707" i="23"/>
  <c r="M1803" i="23"/>
  <c r="M2027" i="23"/>
  <c r="M1631" i="23"/>
  <c r="M1855" i="23"/>
  <c r="M1695" i="23"/>
  <c r="M1919" i="23"/>
  <c r="M1759" i="23"/>
  <c r="M1983" i="23"/>
  <c r="M2079" i="23"/>
  <c r="M2303" i="23"/>
  <c r="M2766" i="23"/>
  <c r="M2798" i="23"/>
  <c r="M3523" i="23"/>
  <c r="M3616" i="23"/>
  <c r="M2681" i="23"/>
  <c r="M4613" i="23"/>
  <c r="M2745" i="23"/>
  <c r="M2521" i="23"/>
  <c r="M2809" i="23"/>
  <c r="M2841" i="23"/>
  <c r="M2286" i="23"/>
  <c r="M2669" i="23"/>
  <c r="M2957" i="23"/>
  <c r="M2733" i="23"/>
  <c r="M3805" i="23"/>
  <c r="M2797" i="23"/>
  <c r="M1651" i="23"/>
  <c r="M1683" i="23"/>
  <c r="M1666" i="23"/>
  <c r="M2568" i="23"/>
  <c r="M1730" i="23"/>
  <c r="M2696" i="23"/>
  <c r="M1794" i="23"/>
  <c r="M2824" i="23"/>
  <c r="M2114" i="23"/>
  <c r="M4073" i="23"/>
  <c r="M2640" i="23"/>
  <c r="M3152" i="23"/>
  <c r="M2768" i="23"/>
  <c r="M3408" i="23"/>
  <c r="M2896" i="23"/>
  <c r="M3664" i="23"/>
  <c r="M2485" i="23"/>
  <c r="M2709" i="23"/>
  <c r="M3162" i="23"/>
  <c r="M3760" i="23"/>
  <c r="M1847" i="23"/>
  <c r="M2071" i="23"/>
  <c r="M1911" i="23"/>
  <c r="M2135" i="23"/>
  <c r="M2231" i="23"/>
  <c r="M2455" i="23"/>
  <c r="M2123" i="23"/>
  <c r="M2347" i="23"/>
  <c r="M2187" i="23"/>
  <c r="M2411" i="23"/>
  <c r="M2251" i="23"/>
  <c r="M2488" i="23"/>
  <c r="M2680" i="23"/>
  <c r="M3232" i="23"/>
  <c r="M2889" i="23"/>
  <c r="M3873" i="23"/>
  <c r="M2953" i="23"/>
  <c r="M1663" i="23"/>
  <c r="M3017" i="23"/>
  <c r="M1727" i="23"/>
  <c r="M1823" i="23"/>
  <c r="M2047" i="23"/>
  <c r="M1731" i="23"/>
  <c r="M1955" i="23"/>
  <c r="M1795" i="23"/>
  <c r="M2019" i="23"/>
  <c r="M1859" i="23"/>
  <c r="M2083" i="23"/>
  <c r="M2179" i="23"/>
  <c r="M2403" i="23"/>
  <c r="M2914" i="23"/>
  <c r="M2946" i="23"/>
  <c r="M4153" i="23"/>
  <c r="M2621" i="23"/>
  <c r="M2461" i="23"/>
  <c r="M2685" i="23"/>
  <c r="M2525" i="23"/>
  <c r="M2749" i="23"/>
  <c r="M2845" i="23"/>
  <c r="M1635" i="23"/>
  <c r="M2753" i="23"/>
  <c r="M2977" i="23"/>
  <c r="M2817" i="23"/>
  <c r="M3057" i="23"/>
  <c r="M2881" i="23"/>
  <c r="M3021" i="23"/>
  <c r="M3281" i="23"/>
  <c r="M1719" i="23"/>
  <c r="M2311" i="23"/>
  <c r="M2736" i="23"/>
  <c r="M2375" i="23"/>
  <c r="M2864" i="23"/>
  <c r="M2439" i="23"/>
  <c r="M2992" i="23"/>
  <c r="M3088" i="23"/>
  <c r="M2533" i="23"/>
  <c r="M2840" i="23"/>
  <c r="M3808" i="23"/>
  <c r="M2968" i="23"/>
  <c r="M2489" i="23"/>
  <c r="M3168" i="23"/>
  <c r="M2553" i="23"/>
  <c r="M2014" i="23"/>
  <c r="M2334" i="23"/>
  <c r="M2291" i="23"/>
  <c r="M2355" i="23"/>
  <c r="M3800" i="23"/>
  <c r="M2616" i="23"/>
  <c r="M2143" i="23"/>
  <c r="M2367" i="23"/>
  <c r="M2207" i="23"/>
  <c r="M2431" i="23"/>
  <c r="M2271" i="23"/>
  <c r="M2528" i="23"/>
  <c r="M2720" i="23"/>
  <c r="M3312" i="23"/>
  <c r="M2909" i="23"/>
  <c r="M1699" i="23"/>
  <c r="M2973" i="23"/>
  <c r="M1763" i="23"/>
  <c r="M3937" i="23"/>
  <c r="M1827" i="23"/>
  <c r="M1923" i="23"/>
  <c r="M2147" i="23"/>
  <c r="M3409" i="23"/>
  <c r="M1831" i="23"/>
  <c r="M3537" i="23"/>
  <c r="M1895" i="23"/>
  <c r="M3665" i="23"/>
  <c r="M1959" i="23"/>
  <c r="M1991" i="23"/>
  <c r="M2279" i="23"/>
  <c r="M2550" i="23"/>
  <c r="M2710" i="23"/>
  <c r="M2673" i="23"/>
  <c r="M3680" i="23"/>
  <c r="M2242" i="23"/>
  <c r="M2577" i="23"/>
  <c r="M2306" i="23"/>
  <c r="M2641" i="23"/>
  <c r="M2791" i="23"/>
  <c r="M2961" i="23"/>
  <c r="M2549" i="23"/>
  <c r="M2773" i="23"/>
  <c r="M2613" i="23"/>
  <c r="M2837" i="23"/>
  <c r="M2677" i="23"/>
  <c r="M2901" i="23"/>
  <c r="M2997" i="23"/>
  <c r="M1771" i="23"/>
  <c r="M2379" i="23"/>
  <c r="M2744" i="23"/>
  <c r="M2443" i="23"/>
  <c r="M2872" i="23"/>
  <c r="M2552" i="23"/>
  <c r="M3000" i="23"/>
  <c r="M3360" i="23"/>
  <c r="M2537" i="23"/>
  <c r="M2848" i="23"/>
  <c r="M3568" i="23"/>
  <c r="M2976" i="23"/>
  <c r="M3824" i="23"/>
  <c r="M3184" i="23"/>
  <c r="M2493" i="23"/>
  <c r="M2589" i="23"/>
  <c r="M2813" i="23"/>
  <c r="M3330" i="23"/>
  <c r="M2601" i="23"/>
  <c r="M1951" i="23"/>
  <c r="M2175" i="23"/>
  <c r="M2015" i="23"/>
  <c r="M2239" i="23"/>
  <c r="M2335" i="23"/>
  <c r="M2656" i="23"/>
  <c r="M2243" i="23"/>
  <c r="M2472" i="23"/>
  <c r="M2307" i="23"/>
  <c r="M2600" i="23"/>
  <c r="M2371" i="23"/>
  <c r="M2728" i="23"/>
  <c r="M2920" i="23"/>
  <c r="M3712" i="23"/>
  <c r="M3009" i="23"/>
  <c r="M3345" i="23"/>
  <c r="M3121" i="23"/>
  <c r="M3473" i="23"/>
  <c r="M3145" i="23"/>
  <c r="M3601" i="23"/>
  <c r="M1655" i="23"/>
  <c r="M2023" i="23"/>
  <c r="M1627" i="23"/>
  <c r="M1915" i="23"/>
  <c r="M1691" i="23"/>
  <c r="M1979" i="23"/>
  <c r="M1755" i="23"/>
  <c r="M2043" i="23"/>
  <c r="M2075" i="23"/>
  <c r="M2363" i="23"/>
  <c r="M2698" i="23"/>
  <c r="M2858" i="23"/>
  <c r="M2178" i="23"/>
  <c r="M2597" i="23"/>
  <c r="M3600" i="23"/>
  <c r="M2661" i="23"/>
  <c r="M3881" i="23"/>
  <c r="M2725" i="23"/>
  <c r="M2757" i="23"/>
  <c r="M3837" i="23"/>
  <c r="M2649" i="23"/>
  <c r="M2937" i="23"/>
  <c r="M2713" i="23"/>
  <c r="M3001" i="23"/>
  <c r="M2777" i="23"/>
  <c r="M3105" i="23"/>
  <c r="M3773" i="23"/>
  <c r="M2257" i="23"/>
  <c r="M2415" i="23"/>
  <c r="M2944" i="23"/>
  <c r="M2496" i="23"/>
  <c r="M3120" i="23"/>
  <c r="M2624" i="23"/>
  <c r="M3376" i="23"/>
  <c r="M3504" i="23"/>
  <c r="M1922" i="23"/>
  <c r="M3136" i="23"/>
  <c r="M1986" i="23"/>
  <c r="M3392" i="23"/>
  <c r="M2050" i="23"/>
  <c r="M3648" i="23"/>
  <c r="M2134" i="23"/>
  <c r="M3280" i="23"/>
  <c r="M1947" i="23"/>
  <c r="M2011" i="23"/>
  <c r="M2315" i="23"/>
  <c r="M2856" i="23"/>
  <c r="M2055" i="23"/>
  <c r="M2343" i="23"/>
  <c r="M2119" i="23"/>
  <c r="M2407" i="23"/>
  <c r="M2183" i="23"/>
  <c r="M2480" i="23"/>
  <c r="M2544" i="23"/>
  <c r="M3216" i="23"/>
  <c r="M2821" i="23"/>
  <c r="M1659" i="23"/>
  <c r="M2885" i="23"/>
  <c r="M1723" i="23"/>
  <c r="M2949" i="23"/>
  <c r="M1787" i="23"/>
  <c r="M1819" i="23"/>
  <c r="M2107" i="23"/>
  <c r="M1647" i="23"/>
  <c r="M1935" i="23"/>
  <c r="M1711" i="23"/>
  <c r="M1999" i="23"/>
  <c r="M1775" i="23"/>
  <c r="M2063" i="23"/>
  <c r="M2095" i="23"/>
  <c r="M2637" i="23"/>
  <c r="M2718" i="23"/>
  <c r="M2878" i="23"/>
  <c r="M3374" i="23"/>
  <c r="M2091" i="23"/>
  <c r="M3945" i="23"/>
  <c r="M2665" i="23"/>
  <c r="M2505" i="23"/>
  <c r="M2729" i="23"/>
  <c r="M2825" i="23"/>
  <c r="M3073" i="23"/>
  <c r="M2653" i="23"/>
  <c r="M2877" i="23"/>
  <c r="M2717" i="23"/>
  <c r="M2941" i="23"/>
  <c r="M2781" i="23"/>
  <c r="M3005" i="23"/>
  <c r="M1667" i="23"/>
  <c r="M1891" i="23"/>
  <c r="M2536" i="23"/>
  <c r="M2984" i="23"/>
  <c r="M2664" i="23"/>
  <c r="M3200" i="23"/>
  <c r="M2792" i="23"/>
  <c r="M3456" i="23"/>
  <c r="M3841" i="23"/>
  <c r="M2657" i="23"/>
  <c r="M2672" i="23"/>
  <c r="M3472" i="23"/>
  <c r="M2800" i="23"/>
  <c r="M3728" i="23"/>
  <c r="M2928" i="23"/>
  <c r="M2469" i="23"/>
  <c r="M2501" i="23"/>
  <c r="M2789" i="23"/>
  <c r="M2030" i="23"/>
  <c r="M2087" i="23"/>
  <c r="M1863" i="23"/>
  <c r="M2151" i="23"/>
  <c r="M1927" i="23"/>
  <c r="M2215" i="23"/>
  <c r="M2247" i="23"/>
  <c r="M2608" i="23"/>
  <c r="M2139" i="23"/>
  <c r="M2427" i="23"/>
  <c r="M2203" i="23"/>
  <c r="M2520" i="23"/>
  <c r="M2267" i="23"/>
  <c r="M2648" i="23"/>
  <c r="M2712" i="23"/>
  <c r="M3552" i="23"/>
  <c r="M2905" i="23"/>
  <c r="M1679" i="23"/>
  <c r="M2969" i="23"/>
  <c r="M1743" i="23"/>
  <c r="M3041" i="23"/>
  <c r="M1807" i="23"/>
  <c r="M1839" i="23"/>
  <c r="M1785" i="23"/>
  <c r="M1747" i="23"/>
  <c r="M2035" i="23"/>
  <c r="M1811" i="23"/>
  <c r="M2099" i="23"/>
  <c r="M1875" i="23"/>
  <c r="M2163" i="23"/>
  <c r="M2195" i="23"/>
  <c r="M2127" i="23"/>
  <c r="M2866" i="23"/>
  <c r="M3028" i="23"/>
  <c r="M2497" i="23"/>
  <c r="M2701" i="23"/>
  <c r="M2477" i="23"/>
  <c r="M2765" i="23"/>
  <c r="M2541" i="23"/>
  <c r="M2829" i="23"/>
  <c r="M2861" i="23"/>
  <c r="M2434" i="23"/>
  <c r="M2769" i="23"/>
  <c r="M2535" i="23"/>
  <c r="M2833" i="23"/>
  <c r="M2663" i="23"/>
  <c r="M2897" i="23"/>
  <c r="M3581" i="23"/>
  <c r="M3313" i="23"/>
  <c r="M2295" i="23"/>
  <c r="M2576" i="23"/>
  <c r="M2359" i="23"/>
  <c r="M2704" i="23"/>
  <c r="M2423" i="23"/>
  <c r="M2832" i="23"/>
  <c r="M3024" i="23"/>
  <c r="M4267" i="23"/>
  <c r="M2808" i="23"/>
  <c r="M3488" i="23"/>
  <c r="M2936" i="23"/>
  <c r="M3744" i="23"/>
  <c r="M3104" i="23"/>
  <c r="M2473" i="23"/>
  <c r="M2174" i="23"/>
  <c r="M3344" i="23"/>
  <c r="M2067" i="23"/>
  <c r="M2131" i="23"/>
  <c r="M2331" i="23"/>
  <c r="M2250" i="23"/>
  <c r="M2159" i="23"/>
  <c r="M2447" i="23"/>
  <c r="M2223" i="23"/>
  <c r="M2560" i="23"/>
  <c r="M2287" i="23"/>
  <c r="M2688" i="23"/>
  <c r="M2752" i="23"/>
  <c r="M3245" i="23"/>
  <c r="M2925" i="23"/>
  <c r="M1779" i="23"/>
  <c r="M2989" i="23"/>
  <c r="M1843" i="23"/>
  <c r="M4491" i="23"/>
  <c r="M1907" i="23"/>
  <c r="M1939" i="23"/>
  <c r="M4001" i="23"/>
  <c r="M1703" i="23"/>
  <c r="M1671" i="23"/>
  <c r="M1799" i="23"/>
  <c r="M1735" i="23"/>
  <c r="M1879" i="23"/>
  <c r="M1975" i="23"/>
  <c r="M2199" i="23"/>
  <c r="M2598" i="23"/>
  <c r="M2630" i="23"/>
  <c r="M3455" i="23"/>
  <c r="M2623" i="23"/>
  <c r="M2721" i="23"/>
  <c r="M2561" i="23"/>
  <c r="M2785" i="23"/>
  <c r="M2625" i="23"/>
  <c r="M2849" i="23"/>
  <c r="M2945" i="23"/>
  <c r="M3217" i="23"/>
  <c r="M2565" i="23"/>
  <c r="M2853" i="23"/>
  <c r="M2629" i="23"/>
  <c r="M2917" i="23"/>
  <c r="M2693" i="23"/>
  <c r="M2981" i="23"/>
  <c r="M3013" i="23"/>
  <c r="M1851" i="23"/>
  <c r="M2395" i="23"/>
  <c r="M2904" i="23"/>
  <c r="M2459" i="23"/>
  <c r="M3040" i="23"/>
  <c r="M2584" i="23"/>
  <c r="M3296" i="23"/>
  <c r="M3424" i="23"/>
  <c r="M1774" i="23"/>
  <c r="M2880" i="23"/>
  <c r="M4009" i="23"/>
  <c r="M3008" i="23"/>
  <c r="M2509" i="23"/>
  <c r="M3248" i="23"/>
  <c r="M2573" i="23"/>
  <c r="M2605" i="23"/>
  <c r="M2776" i="23"/>
  <c r="M3696" i="23"/>
  <c r="M2191" i="23"/>
  <c r="M1967" i="23"/>
  <c r="M2255" i="23"/>
  <c r="M2031" i="23"/>
  <c r="M2319" i="23"/>
  <c r="M2351" i="23"/>
  <c r="M2644" i="23"/>
  <c r="M2259" i="23"/>
  <c r="M2900" i="23"/>
  <c r="M2323" i="23"/>
  <c r="M3288" i="23"/>
  <c r="M2387" i="23"/>
  <c r="M1858" i="23"/>
  <c r="M2952" i="23"/>
  <c r="M2919" i="23"/>
  <c r="M3025" i="23"/>
  <c r="M3069" i="23"/>
  <c r="M3153" i="23"/>
  <c r="M3325" i="23"/>
  <c r="M3185" i="23"/>
  <c r="M1639" i="23"/>
  <c r="M1943" i="23"/>
  <c r="M4065" i="23"/>
  <c r="M1835" i="23"/>
  <c r="M1675" i="23"/>
  <c r="M1899" i="23"/>
  <c r="M1739" i="23"/>
  <c r="M1963" i="23"/>
  <c r="M2059" i="23"/>
  <c r="M2283" i="23"/>
  <c r="M2746" i="23"/>
  <c r="M2778" i="23"/>
  <c r="M4793" i="23"/>
  <c r="M2513" i="23"/>
  <c r="M3536" i="23"/>
  <c r="M2581" i="23"/>
  <c r="M3792" i="23"/>
  <c r="M2645" i="23"/>
  <c r="M2741" i="23"/>
  <c r="M2965" i="23"/>
  <c r="M2633" i="23"/>
  <c r="M2857" i="23"/>
  <c r="M2697" i="23"/>
  <c r="M2921" i="23"/>
  <c r="M2761" i="23"/>
  <c r="M2985" i="23"/>
  <c r="M3137" i="23"/>
  <c r="M1791" i="23"/>
  <c r="M2399" i="23"/>
  <c r="M2784" i="23"/>
  <c r="M2464" i="23"/>
  <c r="M2912" i="23"/>
  <c r="M2592" i="23"/>
  <c r="M3056" i="23"/>
  <c r="M3440" i="23"/>
  <c r="M2557" i="23"/>
  <c r="M3072" i="23"/>
  <c r="M2465" i="23"/>
  <c r="M3328" i="23"/>
  <c r="M2529" i="23"/>
  <c r="M3584" i="23"/>
  <c r="M2593" i="23"/>
  <c r="M2370" i="23"/>
  <c r="M2873" i="23"/>
  <c r="M4585" i="23"/>
  <c r="M3346" i="23"/>
  <c r="M3129" i="23"/>
  <c r="M2894" i="23"/>
  <c r="M2926" i="23"/>
  <c r="M3651" i="23"/>
  <c r="M3658" i="23"/>
  <c r="M3690" i="23"/>
  <c r="M2419" i="23"/>
  <c r="M3348" i="23"/>
  <c r="M3668" i="23"/>
  <c r="M3561" i="23"/>
  <c r="M3625" i="23"/>
  <c r="M4439" i="23"/>
  <c r="M3964" i="23"/>
  <c r="M4028" i="23"/>
  <c r="M2888" i="23"/>
  <c r="M3897" i="23"/>
  <c r="M3142" i="23"/>
  <c r="M2530" i="23"/>
  <c r="M2562" i="23"/>
  <c r="M4023" i="23"/>
  <c r="M3612" i="23"/>
  <c r="M4459" i="23"/>
  <c r="M3825" i="23"/>
  <c r="M4017" i="23"/>
  <c r="M3263" i="23"/>
  <c r="M3350" i="23"/>
  <c r="M3382" i="23"/>
  <c r="M3632" i="23"/>
  <c r="M3820" i="23"/>
  <c r="M2609" i="23"/>
  <c r="M4913" i="23"/>
  <c r="M2930" i="23"/>
  <c r="M3156" i="23"/>
  <c r="M3458" i="23"/>
  <c r="M3065" i="23"/>
  <c r="M4018" i="23"/>
  <c r="M2806" i="23"/>
  <c r="M2966" i="23"/>
  <c r="M2929" i="23"/>
  <c r="M3674" i="23"/>
  <c r="M3834" i="23"/>
  <c r="M3572" i="23"/>
  <c r="M3636" i="23"/>
  <c r="M4669" i="23"/>
  <c r="M3100" i="23"/>
  <c r="M3420" i="23"/>
  <c r="M3249" i="23"/>
  <c r="M3996" i="23"/>
  <c r="M3071" i="23"/>
  <c r="M3094" i="23"/>
  <c r="M3126" i="23"/>
  <c r="M4282" i="23"/>
  <c r="M4049" i="23"/>
  <c r="M2602" i="23"/>
  <c r="M3836" i="23"/>
  <c r="M4057" i="23"/>
  <c r="M4132" i="23"/>
  <c r="M3889" i="23"/>
  <c r="M2582" i="23"/>
  <c r="M2545" i="23"/>
  <c r="M2546" i="23"/>
  <c r="M2793" i="23"/>
  <c r="M3442" i="23"/>
  <c r="M3326" i="23"/>
  <c r="M3486" i="23"/>
  <c r="M2874" i="23"/>
  <c r="M2906" i="23"/>
  <c r="M4213" i="23"/>
  <c r="M3305" i="23"/>
  <c r="M3369" i="23"/>
  <c r="M4183" i="23"/>
  <c r="M3052" i="23"/>
  <c r="M3372" i="23"/>
  <c r="M3265" i="23"/>
  <c r="M3329" i="23"/>
  <c r="M3940" i="23"/>
  <c r="M3817" i="23"/>
  <c r="M3985" i="23"/>
  <c r="M3895" i="23"/>
  <c r="M3564" i="23"/>
  <c r="M3993" i="23"/>
  <c r="M3777" i="23"/>
  <c r="M3845" i="23"/>
  <c r="M3139" i="23"/>
  <c r="M3222" i="23"/>
  <c r="M3254" i="23"/>
  <c r="M2383" i="23"/>
  <c r="M2674" i="23"/>
  <c r="M2834" i="23"/>
  <c r="M3202" i="23"/>
  <c r="M3234" i="23"/>
  <c r="M4396" i="23"/>
  <c r="M3780" i="23"/>
  <c r="M3478" i="23"/>
  <c r="M2893" i="23"/>
  <c r="M2694" i="23"/>
  <c r="M3519" i="23"/>
  <c r="M3606" i="23"/>
  <c r="M3514" i="23"/>
  <c r="M1971" i="23"/>
  <c r="M2954" i="23"/>
  <c r="M3204" i="23"/>
  <c r="M3033" i="23"/>
  <c r="M3161" i="23"/>
  <c r="M4175" i="23"/>
  <c r="M2934" i="23"/>
  <c r="M3164" i="23"/>
  <c r="M3089" i="23"/>
  <c r="M3396" i="23"/>
  <c r="M3716" i="23"/>
  <c r="M3609" i="23"/>
  <c r="M3673" i="23"/>
  <c r="M3891" i="23"/>
  <c r="M3356" i="23"/>
  <c r="M3676" i="23"/>
  <c r="M3441" i="23"/>
  <c r="M4741" i="23"/>
  <c r="M2622" i="23"/>
  <c r="M3118" i="23"/>
  <c r="M3150" i="23"/>
  <c r="M4406" i="23"/>
  <c r="M2570" i="23"/>
  <c r="M2730" i="23"/>
  <c r="M3098" i="23"/>
  <c r="M3569" i="23"/>
  <c r="M4087" i="23"/>
  <c r="M2569" i="23"/>
  <c r="M3114" i="23"/>
  <c r="M2662" i="23"/>
  <c r="M3258" i="23"/>
  <c r="M3886" i="23"/>
  <c r="M2678" i="23"/>
  <c r="M2838" i="23"/>
  <c r="M2801" i="23"/>
  <c r="M3518" i="23"/>
  <c r="M3233" i="23"/>
  <c r="M3108" i="23"/>
  <c r="M3172" i="23"/>
  <c r="M4405" i="23"/>
  <c r="M3097" i="23"/>
  <c r="M3449" i="23"/>
  <c r="M3068" i="23"/>
  <c r="M3425" i="23"/>
  <c r="M3745" i="23"/>
  <c r="M3620" i="23"/>
  <c r="M3684" i="23"/>
  <c r="M4150" i="23"/>
  <c r="M3641" i="23"/>
  <c r="M2474" i="23"/>
  <c r="M3580" i="23"/>
  <c r="M3026" i="23"/>
  <c r="M3186" i="23"/>
  <c r="M2574" i="23"/>
  <c r="M2606" i="23"/>
  <c r="M3331" i="23"/>
  <c r="M3134" i="23"/>
  <c r="M3294" i="23"/>
  <c r="M2682" i="23"/>
  <c r="M3644" i="23"/>
  <c r="M3262" i="23"/>
  <c r="M3226" i="23"/>
  <c r="M2842" i="23"/>
  <c r="M4149" i="23"/>
  <c r="M3242" i="23"/>
  <c r="M3402" i="23"/>
  <c r="M2790" i="23"/>
  <c r="M2974" i="23"/>
  <c r="M3244" i="23"/>
  <c r="M3113" i="23"/>
  <c r="M3201" i="23"/>
  <c r="M3838" i="23"/>
  <c r="M3140" i="23"/>
  <c r="M3460" i="23"/>
  <c r="M3353" i="23"/>
  <c r="M3436" i="23"/>
  <c r="M3756" i="23"/>
  <c r="M3649" i="23"/>
  <c r="M3713" i="23"/>
  <c r="M3075" i="23"/>
  <c r="M3652" i="23"/>
  <c r="M3038" i="23"/>
  <c r="M1871" i="23"/>
  <c r="M2610" i="23"/>
  <c r="M2770" i="23"/>
  <c r="M3138" i="23"/>
  <c r="M3170" i="23"/>
  <c r="M4268" i="23"/>
  <c r="M2590" i="23"/>
  <c r="M2750" i="23"/>
  <c r="M3354" i="23"/>
  <c r="M4427" i="23"/>
  <c r="M3310" i="23"/>
  <c r="M3890" i="23"/>
  <c r="M3494" i="23"/>
  <c r="M3546" i="23"/>
  <c r="M3060" i="23"/>
  <c r="M3124" i="23"/>
  <c r="M4281" i="23"/>
  <c r="M3370" i="23"/>
  <c r="M3193" i="23"/>
  <c r="M2918" i="23"/>
  <c r="M2950" i="23"/>
  <c r="M3775" i="23"/>
  <c r="M3786" i="23"/>
  <c r="M3818" i="23"/>
  <c r="M2632" i="23"/>
  <c r="M3385" i="23"/>
  <c r="M3705" i="23"/>
  <c r="M3324" i="23"/>
  <c r="M3388" i="23"/>
  <c r="M4549" i="23"/>
  <c r="M4901" i="23"/>
  <c r="M3633" i="23"/>
  <c r="M3264" i="23"/>
  <c r="M4092" i="23"/>
  <c r="M3166" i="23"/>
  <c r="M2554" i="23"/>
  <c r="M2586" i="23"/>
  <c r="M4184" i="23"/>
  <c r="M3929" i="23"/>
  <c r="M3146" i="23"/>
  <c r="M2534" i="23"/>
  <c r="M3110" i="23"/>
  <c r="M3430" i="23"/>
  <c r="M2830" i="23"/>
  <c r="M2862" i="23"/>
  <c r="M3587" i="23"/>
  <c r="M3390" i="23"/>
  <c r="M3550" i="23"/>
  <c r="M2227" i="23"/>
  <c r="M3220" i="23"/>
  <c r="M3540" i="23"/>
  <c r="M3433" i="23"/>
  <c r="M3497" i="23"/>
  <c r="M4311" i="23"/>
  <c r="M3180" i="23"/>
  <c r="M3500" i="23"/>
  <c r="M2760" i="23"/>
  <c r="M3732" i="23"/>
  <c r="M3078" i="23"/>
  <c r="M2466" i="23"/>
  <c r="M2498" i="23"/>
  <c r="M3959" i="23"/>
  <c r="M3692" i="23"/>
  <c r="M3058" i="23"/>
  <c r="M3697" i="23"/>
  <c r="M3761" i="23"/>
  <c r="M3199" i="23"/>
  <c r="M3286" i="23"/>
  <c r="M3318" i="23"/>
  <c r="M2816" i="23"/>
  <c r="M2738" i="23"/>
  <c r="M2898" i="23"/>
  <c r="M4081" i="23"/>
  <c r="M2478" i="23"/>
  <c r="M2689" i="23"/>
  <c r="M3194" i="23"/>
  <c r="M3394" i="23"/>
  <c r="M3426" i="23"/>
  <c r="M3954" i="23"/>
  <c r="M2846" i="23"/>
  <c r="M3006" i="23"/>
  <c r="M2865" i="23"/>
  <c r="M3610" i="23"/>
  <c r="M3770" i="23"/>
  <c r="M3444" i="23"/>
  <c r="M3508" i="23"/>
  <c r="M4473" i="23"/>
  <c r="M3465" i="23"/>
  <c r="M3785" i="23"/>
  <c r="M3081" i="23"/>
  <c r="M3869" i="23"/>
  <c r="M4467" i="23"/>
  <c r="M3030" i="23"/>
  <c r="M3062" i="23"/>
  <c r="M4218" i="23"/>
  <c r="M2482" i="23"/>
  <c r="M2642" i="23"/>
  <c r="M3708" i="23"/>
  <c r="M3772" i="23"/>
  <c r="M4387" i="23"/>
  <c r="M3729" i="23"/>
  <c r="M2518" i="23"/>
  <c r="M2481" i="23"/>
  <c r="M3302" i="23"/>
  <c r="M3462" i="23"/>
  <c r="M4203" i="23"/>
  <c r="M3042" i="23"/>
  <c r="M3342" i="23"/>
  <c r="M2978" i="23"/>
  <c r="M3010" i="23"/>
  <c r="M4217" i="23"/>
  <c r="M3410" i="23"/>
  <c r="M3273" i="23"/>
  <c r="M2854" i="23"/>
  <c r="M2886" i="23"/>
  <c r="M3711" i="23"/>
  <c r="M3722" i="23"/>
  <c r="M3754" i="23"/>
  <c r="M2504" i="23"/>
  <c r="M3476" i="23"/>
  <c r="M3796" i="23"/>
  <c r="M3196" i="23"/>
  <c r="M3260" i="23"/>
  <c r="M4069" i="23"/>
  <c r="M4096" i="23"/>
  <c r="M4339" i="23"/>
  <c r="M3016" i="23"/>
  <c r="M3046" i="23"/>
  <c r="M3206" i="23"/>
  <c r="M2490" i="23"/>
  <c r="M2522" i="23"/>
  <c r="M4083" i="23"/>
  <c r="M3740" i="23"/>
  <c r="M3082" i="23"/>
  <c r="M2470" i="23"/>
  <c r="M2502" i="23"/>
  <c r="M3327" i="23"/>
  <c r="M2594" i="23"/>
  <c r="M2626" i="23"/>
  <c r="M3282" i="23"/>
  <c r="M2810" i="23"/>
  <c r="M3406" i="23"/>
  <c r="M3554" i="23"/>
  <c r="M2826" i="23"/>
  <c r="M2986" i="23"/>
  <c r="M2617" i="23"/>
  <c r="M3209" i="23"/>
  <c r="M3529" i="23"/>
  <c r="M3148" i="23"/>
  <c r="M3212" i="23"/>
  <c r="M3843" i="23"/>
  <c r="M3169" i="23"/>
  <c r="M3489" i="23"/>
  <c r="M4235" i="23"/>
  <c r="M3721" i="23"/>
  <c r="M2514" i="23"/>
  <c r="M3660" i="23"/>
  <c r="M3724" i="23"/>
  <c r="M3920" i="23"/>
  <c r="M3681" i="23"/>
  <c r="M2494" i="23"/>
  <c r="M3520" i="23"/>
  <c r="M3174" i="23"/>
  <c r="M3334" i="23"/>
  <c r="M2722" i="23"/>
  <c r="M2754" i="23"/>
  <c r="M4320" i="23"/>
  <c r="M3154" i="23"/>
  <c r="M3314" i="23"/>
  <c r="M3961" i="23"/>
  <c r="M4869" i="23"/>
  <c r="M3510" i="23"/>
  <c r="M2614" i="23"/>
  <c r="M2774" i="23"/>
  <c r="M2737" i="23"/>
  <c r="M3558" i="23"/>
  <c r="M3642" i="23"/>
  <c r="M3002" i="23"/>
  <c r="M3044" i="23"/>
  <c r="M4341" i="23"/>
  <c r="M3434" i="23"/>
  <c r="M3321" i="23"/>
  <c r="M2982" i="23"/>
  <c r="M3014" i="23"/>
  <c r="M3839" i="23"/>
  <c r="M3492" i="23"/>
  <c r="M3556" i="23"/>
  <c r="M4909" i="23"/>
  <c r="M3513" i="23"/>
  <c r="M3833" i="23"/>
  <c r="M3452" i="23"/>
  <c r="M3516" i="23"/>
  <c r="M3912" i="23"/>
  <c r="M2510" i="23"/>
  <c r="M2542" i="23"/>
  <c r="M3267" i="23"/>
  <c r="M3070" i="23"/>
  <c r="M3230" i="23"/>
  <c r="M2618" i="23"/>
  <c r="M2650" i="23"/>
  <c r="M4312" i="23"/>
  <c r="M3087" i="23"/>
  <c r="M3190" i="23"/>
  <c r="M4194" i="23"/>
  <c r="M2585" i="23"/>
  <c r="M3274" i="23"/>
  <c r="M3178" i="23"/>
  <c r="M3338" i="23"/>
  <c r="M2726" i="23"/>
  <c r="M2758" i="23"/>
  <c r="M3583" i="23"/>
  <c r="M3566" i="23"/>
  <c r="M3598" i="23"/>
  <c r="M3774" i="23"/>
  <c r="M3018" i="23"/>
  <c r="M3332" i="23"/>
  <c r="M3225" i="23"/>
  <c r="M3289" i="23"/>
  <c r="M4303" i="23"/>
  <c r="M3521" i="23"/>
  <c r="M3585" i="23"/>
  <c r="M4517" i="23"/>
  <c r="M3524" i="23"/>
  <c r="M3849" i="23"/>
  <c r="M3737" i="23"/>
  <c r="M3801" i="23"/>
  <c r="M3955" i="23"/>
  <c r="M3074" i="23"/>
  <c r="M3106" i="23"/>
  <c r="M4140" i="23"/>
  <c r="M2526" i="23"/>
  <c r="M2686" i="23"/>
  <c r="M3182" i="23"/>
  <c r="M3214" i="23"/>
  <c r="M4470" i="23"/>
  <c r="M3484" i="23"/>
  <c r="M2705" i="23"/>
  <c r="M3422" i="23"/>
  <c r="M2762" i="23"/>
  <c r="M2922" i="23"/>
  <c r="M3290" i="23"/>
  <c r="M3322" i="23"/>
  <c r="M3950" i="23"/>
  <c r="M3022" i="23"/>
  <c r="M3084" i="23"/>
  <c r="M3779" i="23"/>
  <c r="M3582" i="23"/>
  <c r="M3361" i="23"/>
  <c r="M3236" i="23"/>
  <c r="M3300" i="23"/>
  <c r="M4469" i="23"/>
  <c r="M3532" i="23"/>
  <c r="M3596" i="23"/>
  <c r="M4677" i="23"/>
  <c r="M3553" i="23"/>
  <c r="M3953" i="23"/>
  <c r="M3748" i="23"/>
  <c r="M3812" i="23"/>
  <c r="M4214" i="23"/>
  <c r="M2658" i="23"/>
  <c r="M2690" i="23"/>
  <c r="M4192" i="23"/>
  <c r="M3090" i="23"/>
  <c r="M3250" i="23"/>
  <c r="M2638" i="23"/>
  <c r="M2670" i="23"/>
  <c r="M3395" i="23"/>
  <c r="M3769" i="23"/>
  <c r="M2538" i="23"/>
  <c r="M3362" i="23"/>
  <c r="M3542" i="23"/>
  <c r="M3574" i="23"/>
  <c r="M1715" i="23"/>
  <c r="M2994" i="23"/>
  <c r="M3284" i="23"/>
  <c r="M3418" i="23"/>
  <c r="M3450" i="23"/>
  <c r="M4078" i="23"/>
  <c r="M2870" i="23"/>
  <c r="M3036" i="23"/>
  <c r="M2993" i="23"/>
  <c r="M3738" i="23"/>
  <c r="M3932" i="23"/>
  <c r="M3481" i="23"/>
  <c r="M3545" i="23"/>
  <c r="M4757" i="23"/>
  <c r="M3228" i="23"/>
  <c r="M3548" i="23"/>
  <c r="M3377" i="23"/>
  <c r="M4211" i="23"/>
  <c r="M3039" i="23"/>
  <c r="M3054" i="23"/>
  <c r="M3086" i="23"/>
  <c r="M4342" i="23"/>
  <c r="M2506" i="23"/>
  <c r="M2666" i="23"/>
  <c r="M3034" i="23"/>
  <c r="M3066" i="23"/>
  <c r="M4260" i="23"/>
  <c r="M3158" i="23"/>
  <c r="M2913" i="23"/>
  <c r="M3590" i="23"/>
  <c r="M2782" i="23"/>
  <c r="M2942" i="23"/>
  <c r="M3438" i="23"/>
  <c r="M3470" i="23"/>
  <c r="M3646" i="23"/>
  <c r="M3316" i="23"/>
  <c r="M3380" i="23"/>
  <c r="M4409" i="23"/>
  <c r="M3337" i="23"/>
  <c r="M3657" i="23"/>
  <c r="M3276" i="23"/>
  <c r="M3340" i="23"/>
  <c r="M3949" i="23"/>
  <c r="M3828" i="23"/>
  <c r="M4025" i="23"/>
  <c r="M4154" i="23"/>
  <c r="M3862" i="23"/>
  <c r="M2578" i="23"/>
  <c r="M3788" i="23"/>
  <c r="M3868" i="23"/>
  <c r="M4048" i="23"/>
  <c r="M3505" i="23"/>
  <c r="M4299" i="23"/>
  <c r="M3776" i="23"/>
  <c r="M3238" i="23"/>
  <c r="M3398" i="23"/>
  <c r="M2786" i="23"/>
  <c r="M2818" i="23"/>
  <c r="M4448" i="23"/>
  <c r="M3809" i="23"/>
  <c r="M4170" i="23"/>
  <c r="M4250" i="23"/>
  <c r="M4458" i="23"/>
  <c r="M4410" i="23"/>
  <c r="M4490" i="23"/>
  <c r="M4801" i="23"/>
  <c r="M3650" i="23"/>
  <c r="M3594" i="23"/>
  <c r="M3682" i="23"/>
  <c r="M3762" i="23"/>
  <c r="M4076" i="23"/>
  <c r="M3980" i="23"/>
  <c r="M4275" i="23"/>
  <c r="M2702" i="23"/>
  <c r="M2734" i="23"/>
  <c r="M4366" i="23"/>
  <c r="M4446" i="23"/>
  <c r="M4625" i="23"/>
  <c r="M3670" i="23"/>
  <c r="M3622" i="23"/>
  <c r="M3702" i="23"/>
  <c r="M3782" i="23"/>
  <c r="M4179" i="23"/>
  <c r="M4020" i="23"/>
  <c r="M4435" i="23"/>
  <c r="M3083" i="23"/>
  <c r="M3291" i="23"/>
  <c r="M3243" i="23"/>
  <c r="M3323" i="23"/>
  <c r="M3177" i="23"/>
  <c r="M3241" i="23"/>
  <c r="M3563" i="23"/>
  <c r="M3643" i="23"/>
  <c r="M3723" i="23"/>
  <c r="M3997" i="23"/>
  <c r="M3901" i="23"/>
  <c r="M4061" i="23"/>
  <c r="M4933" i="23"/>
  <c r="M4965" i="23"/>
  <c r="M4227" i="23"/>
  <c r="M4124" i="23"/>
  <c r="M4284" i="23"/>
  <c r="M3914" i="23"/>
  <c r="M4937" i="23"/>
  <c r="M3946" i="23"/>
  <c r="M3257" i="23"/>
  <c r="M3577" i="23"/>
  <c r="M3727" i="23"/>
  <c r="M3807" i="23"/>
  <c r="M4379" i="23"/>
  <c r="M4714" i="23"/>
  <c r="M3840" i="23"/>
  <c r="M3976" i="23"/>
  <c r="M4228" i="23"/>
  <c r="M4527" i="23"/>
  <c r="M4292" i="23"/>
  <c r="M4452" i="23"/>
  <c r="M3998" i="23"/>
  <c r="M4847" i="23"/>
  <c r="M4030" i="23"/>
  <c r="M4111" i="23"/>
  <c r="M4630" i="23"/>
  <c r="M4515" i="23"/>
  <c r="M3051" i="23"/>
  <c r="M3131" i="23"/>
  <c r="M3211" i="23"/>
  <c r="M3419" i="23"/>
  <c r="M3371" i="23"/>
  <c r="M3451" i="23"/>
  <c r="M3531" i="23"/>
  <c r="M3739" i="23"/>
  <c r="M3691" i="23"/>
  <c r="M3771" i="23"/>
  <c r="M3851" i="23"/>
  <c r="M3852" i="23"/>
  <c r="M4347" i="23"/>
  <c r="M3904" i="23"/>
  <c r="M3050" i="23"/>
  <c r="M3210" i="23"/>
  <c r="M3215" i="23"/>
  <c r="M3295" i="23"/>
  <c r="M3503" i="23"/>
  <c r="M4672" i="23"/>
  <c r="M3535" i="23"/>
  <c r="M3615" i="23"/>
  <c r="M3823" i="23"/>
  <c r="M4498" i="23"/>
  <c r="M3855" i="23"/>
  <c r="M4005" i="23"/>
  <c r="M4008" i="23"/>
  <c r="M4842" i="23"/>
  <c r="M4072" i="23"/>
  <c r="M4089" i="23"/>
  <c r="M2890" i="23"/>
  <c r="M3076" i="23"/>
  <c r="M4713" i="23"/>
  <c r="M3918" i="23"/>
  <c r="M4143" i="23"/>
  <c r="M4975" i="23"/>
  <c r="M4207" i="23"/>
  <c r="M4367" i="23"/>
  <c r="M3939" i="23"/>
  <c r="M4788" i="23"/>
  <c r="M3971" i="23"/>
  <c r="M4051" i="23"/>
  <c r="M4408" i="23"/>
  <c r="M4558" i="23"/>
  <c r="M4472" i="23"/>
  <c r="M4117" i="23"/>
  <c r="M3604" i="23"/>
  <c r="M4040" i="23"/>
  <c r="M4215" i="23"/>
  <c r="M4375" i="23"/>
  <c r="M3943" i="23"/>
  <c r="M4440" i="23"/>
  <c r="M3975" i="23"/>
  <c r="M4055" i="23"/>
  <c r="M4416" i="23"/>
  <c r="M3710" i="23"/>
  <c r="M4480" i="23"/>
  <c r="M4121" i="23"/>
  <c r="M4329" i="23"/>
  <c r="M4077" i="23"/>
  <c r="M4361" i="23"/>
  <c r="M4441" i="23"/>
  <c r="M3763" i="23"/>
  <c r="M3804" i="23"/>
  <c r="M4123" i="23"/>
  <c r="M3856" i="23"/>
  <c r="M4105" i="23"/>
  <c r="M4970" i="23"/>
  <c r="M4164" i="23"/>
  <c r="M4324" i="23"/>
  <c r="M3934" i="23"/>
  <c r="M4783" i="23"/>
  <c r="M3966" i="23"/>
  <c r="M4046" i="23"/>
  <c r="M4399" i="23"/>
  <c r="M4596" i="23"/>
  <c r="M4463" i="23"/>
  <c r="M3859" i="23"/>
  <c r="M2802" i="23"/>
  <c r="M3270" i="23"/>
  <c r="M4172" i="23"/>
  <c r="M4332" i="23"/>
  <c r="M3938" i="23"/>
  <c r="M3391" i="23"/>
  <c r="M3970" i="23"/>
  <c r="M4050" i="23"/>
  <c r="M4407" i="23"/>
  <c r="M4014" i="23"/>
  <c r="M4471" i="23"/>
  <c r="M3863" i="23"/>
  <c r="M4071" i="23"/>
  <c r="M4653" i="23"/>
  <c r="M4103" i="23"/>
  <c r="M4256" i="23"/>
  <c r="M3482" i="23"/>
  <c r="M3203" i="23"/>
  <c r="M4169" i="23"/>
  <c r="M4249" i="23"/>
  <c r="M4457" i="23"/>
  <c r="M4617" i="23"/>
  <c r="M4489" i="23"/>
  <c r="M4797" i="23"/>
  <c r="M4266" i="23"/>
  <c r="M4345" i="23"/>
  <c r="M4298" i="23"/>
  <c r="M4378" i="23"/>
  <c r="M4865" i="23"/>
  <c r="M4673" i="23"/>
  <c r="M4993" i="23"/>
  <c r="M3393" i="23"/>
  <c r="M3457" i="23"/>
  <c r="M4365" i="23"/>
  <c r="M4445" i="23"/>
  <c r="M4621" i="23"/>
  <c r="M4222" i="23"/>
  <c r="M4174" i="23"/>
  <c r="M4254" i="23"/>
  <c r="M4334" i="23"/>
  <c r="M4689" i="23"/>
  <c r="M4497" i="23"/>
  <c r="M4817" i="23"/>
  <c r="M3570" i="23"/>
  <c r="M3798" i="23"/>
  <c r="M3750" i="23"/>
  <c r="M3830" i="23"/>
  <c r="M3942" i="23"/>
  <c r="M4191" i="23"/>
  <c r="M4019" i="23"/>
  <c r="M3911" i="23"/>
  <c r="M3991" i="23"/>
  <c r="M4288" i="23"/>
  <c r="M4657" i="23"/>
  <c r="M4352" i="23"/>
  <c r="M4569" i="23"/>
  <c r="M4265" i="23"/>
  <c r="M3715" i="23"/>
  <c r="M4297" i="23"/>
  <c r="M4377" i="23"/>
  <c r="M4861" i="23"/>
  <c r="M4789" i="23"/>
  <c r="M4989" i="23"/>
  <c r="M3246" i="23"/>
  <c r="M3278" i="23"/>
  <c r="M4107" i="23"/>
  <c r="M4264" i="23"/>
  <c r="M4424" i="23"/>
  <c r="M4221" i="23"/>
  <c r="M4173" i="23"/>
  <c r="M4253" i="23"/>
  <c r="M4333" i="23"/>
  <c r="M4685" i="23"/>
  <c r="M4493" i="23"/>
  <c r="M4813" i="23"/>
  <c r="M4142" i="23"/>
  <c r="M4350" i="23"/>
  <c r="M4302" i="23"/>
  <c r="M4382" i="23"/>
  <c r="M2958" i="23"/>
  <c r="M2990" i="23"/>
  <c r="M3506" i="23"/>
  <c r="M3638" i="23"/>
  <c r="M3718" i="23"/>
  <c r="M3988" i="23"/>
  <c r="M3892" i="23"/>
  <c r="M4052" i="23"/>
  <c r="M4773" i="23"/>
  <c r="M3227" i="23"/>
  <c r="M3179" i="23"/>
  <c r="M3259" i="23"/>
  <c r="M3339" i="23"/>
  <c r="M3547" i="23"/>
  <c r="M3499" i="23"/>
  <c r="M3579" i="23"/>
  <c r="M2998" i="23"/>
  <c r="M3292" i="23"/>
  <c r="M4790" i="23"/>
  <c r="M4870" i="23"/>
  <c r="M4950" i="23"/>
  <c r="M4667" i="23"/>
  <c r="M4603" i="23"/>
  <c r="M3103" i="23"/>
  <c r="M3311" i="23"/>
  <c r="M4987" i="23"/>
  <c r="M3343" i="23"/>
  <c r="M3423" i="23"/>
  <c r="M3631" i="23"/>
  <c r="M4800" i="23"/>
  <c r="M3663" i="23"/>
  <c r="M3743" i="23"/>
  <c r="M4289" i="23"/>
  <c r="M4548" i="23"/>
  <c r="M2558" i="23"/>
  <c r="M4190" i="23"/>
  <c r="M4270" i="23"/>
  <c r="M4478" i="23"/>
  <c r="M4430" i="23"/>
  <c r="M4561" i="23"/>
  <c r="M4881" i="23"/>
  <c r="M3734" i="23"/>
  <c r="M3686" i="23"/>
  <c r="M3766" i="23"/>
  <c r="M3846" i="23"/>
  <c r="M3035" i="23"/>
  <c r="M4307" i="23"/>
  <c r="M3067" i="23"/>
  <c r="M2486" i="23"/>
  <c r="M2646" i="23"/>
  <c r="M4450" i="23"/>
  <c r="M4641" i="23"/>
  <c r="M4961" i="23"/>
  <c r="M4646" i="23"/>
  <c r="M4598" i="23"/>
  <c r="M4678" i="23"/>
  <c r="M4758" i="23"/>
  <c r="M4966" i="23"/>
  <c r="M4918" i="23"/>
  <c r="M4998" i="23"/>
  <c r="M3119" i="23"/>
  <c r="M4795" i="23"/>
  <c r="M3151" i="23"/>
  <c r="M3231" i="23"/>
  <c r="M3306" i="23"/>
  <c r="M3466" i="23"/>
  <c r="M3471" i="23"/>
  <c r="M3551" i="23"/>
  <c r="M3759" i="23"/>
  <c r="M4928" i="23"/>
  <c r="M3791" i="23"/>
  <c r="M3877" i="23"/>
  <c r="M3880" i="23"/>
  <c r="M4778" i="23"/>
  <c r="M3944" i="23"/>
  <c r="M4131" i="23"/>
  <c r="M4356" i="23"/>
  <c r="M4591" i="23"/>
  <c r="M4420" i="23"/>
  <c r="M4841" i="23"/>
  <c r="M3593" i="23"/>
  <c r="M4171" i="23"/>
  <c r="M3795" i="23"/>
  <c r="M3885" i="23"/>
  <c r="M3888" i="23"/>
  <c r="M2962" i="23"/>
  <c r="M3952" i="23"/>
  <c r="M4163" i="23"/>
  <c r="M4364" i="23"/>
  <c r="M3706" i="23"/>
  <c r="M4428" i="23"/>
  <c r="M4873" i="23"/>
  <c r="M4066" i="23"/>
  <c r="M3941" i="23"/>
  <c r="M4098" i="23"/>
  <c r="M4247" i="23"/>
  <c r="M3758" i="23"/>
  <c r="M3793" i="23"/>
  <c r="M4539" i="23"/>
  <c r="M4619" i="23"/>
  <c r="M3247" i="23"/>
  <c r="M4923" i="23"/>
  <c r="M3279" i="23"/>
  <c r="M3359" i="23"/>
  <c r="M3567" i="23"/>
  <c r="M4736" i="23"/>
  <c r="M3599" i="23"/>
  <c r="M3679" i="23"/>
  <c r="M3909" i="23"/>
  <c r="M4586" i="23"/>
  <c r="M3973" i="23"/>
  <c r="M4251" i="23"/>
  <c r="M3218" i="23"/>
  <c r="M3378" i="23"/>
  <c r="M3283" i="23"/>
  <c r="M3363" i="23"/>
  <c r="M3571" i="23"/>
  <c r="M4775" i="23"/>
  <c r="M3603" i="23"/>
  <c r="M3683" i="23"/>
  <c r="M3917" i="23"/>
  <c r="M4588" i="23"/>
  <c r="M3981" i="23"/>
  <c r="M4283" i="23"/>
  <c r="M4291" i="23"/>
  <c r="M4331" i="23"/>
  <c r="M4709" i="23"/>
  <c r="M4204" i="23"/>
  <c r="M3092" i="23"/>
  <c r="M3135" i="23"/>
  <c r="M3906" i="23"/>
  <c r="M3986" i="23"/>
  <c r="M4279" i="23"/>
  <c r="M4388" i="23"/>
  <c r="M4343" i="23"/>
  <c r="M4533" i="23"/>
  <c r="M4007" i="23"/>
  <c r="M4277" i="23"/>
  <c r="M4039" i="23"/>
  <c r="M4128" i="23"/>
  <c r="M4697" i="23"/>
  <c r="M4068" i="23"/>
  <c r="M4953" i="23"/>
  <c r="M3364" i="23"/>
  <c r="M3428" i="23"/>
  <c r="M4102" i="23"/>
  <c r="M4255" i="23"/>
  <c r="M4415" i="23"/>
  <c r="M3963" i="23"/>
  <c r="M3915" i="23"/>
  <c r="M3995" i="23"/>
  <c r="M4075" i="23"/>
  <c r="M4456" i="23"/>
  <c r="M4360" i="23"/>
  <c r="M4601" i="23"/>
  <c r="M4141" i="23"/>
  <c r="M4349" i="23"/>
  <c r="M4301" i="23"/>
  <c r="M4381" i="23"/>
  <c r="M3063" i="23"/>
  <c r="M3783" i="23"/>
  <c r="M2706" i="23"/>
  <c r="M3844" i="23"/>
  <c r="M3984" i="23"/>
  <c r="M4236" i="23"/>
  <c r="M3526" i="23"/>
  <c r="M4300" i="23"/>
  <c r="M4460" i="23"/>
  <c r="M4002" i="23"/>
  <c r="M3647" i="23"/>
  <c r="M4034" i="23"/>
  <c r="M4119" i="23"/>
  <c r="M4661" i="23"/>
  <c r="M4431" i="23"/>
  <c r="M4917" i="23"/>
  <c r="M3921" i="23"/>
  <c r="M2714" i="23"/>
  <c r="M4837" i="23"/>
  <c r="M4212" i="23"/>
  <c r="M4372" i="23"/>
  <c r="M3958" i="23"/>
  <c r="M3910" i="23"/>
  <c r="M3990" i="23"/>
  <c r="M4070" i="23"/>
  <c r="M4447" i="23"/>
  <c r="M4351" i="23"/>
  <c r="M4565" i="23"/>
  <c r="M3883" i="23"/>
  <c r="M4091" i="23"/>
  <c r="M4043" i="23"/>
  <c r="M4136" i="23"/>
  <c r="M3502" i="23"/>
  <c r="M3534" i="23"/>
  <c r="M4985" i="23"/>
  <c r="M4189" i="23"/>
  <c r="M4269" i="23"/>
  <c r="M4477" i="23"/>
  <c r="M4429" i="23"/>
  <c r="M4557" i="23"/>
  <c r="M4877" i="23"/>
  <c r="M4286" i="23"/>
  <c r="M4238" i="23"/>
  <c r="M4318" i="23"/>
  <c r="M4398" i="23"/>
  <c r="M4945" i="23"/>
  <c r="M4753" i="23"/>
  <c r="M3538" i="23"/>
  <c r="M3850" i="23"/>
  <c r="M3900" i="23"/>
  <c r="M4449" i="23"/>
  <c r="M4637" i="23"/>
  <c r="M4957" i="23"/>
  <c r="M4306" i="23"/>
  <c r="M4258" i="23"/>
  <c r="M4338" i="23"/>
  <c r="M4418" i="23"/>
  <c r="M4494" i="23"/>
  <c r="M4833" i="23"/>
  <c r="M4526" i="23"/>
  <c r="M4566" i="23"/>
  <c r="M4774" i="23"/>
  <c r="M4726" i="23"/>
  <c r="M4806" i="23"/>
  <c r="M4026" i="23"/>
  <c r="M4530" i="23"/>
  <c r="M4949" i="23"/>
  <c r="M3931" i="23"/>
  <c r="M4011" i="23"/>
  <c r="M4328" i="23"/>
  <c r="M4232" i="23"/>
  <c r="M4392" i="23"/>
  <c r="M4729" i="23"/>
  <c r="M4285" i="23"/>
  <c r="M4237" i="23"/>
  <c r="M4317" i="23"/>
  <c r="M4397" i="23"/>
  <c r="M4941" i="23"/>
  <c r="M4749" i="23"/>
  <c r="M4126" i="23"/>
  <c r="M3414" i="23"/>
  <c r="M3446" i="23"/>
  <c r="M4272" i="23"/>
  <c r="M4432" i="23"/>
  <c r="M4889" i="23"/>
  <c r="M4305" i="23"/>
  <c r="M4257" i="23"/>
  <c r="M4337" i="23"/>
  <c r="M4417" i="23"/>
  <c r="M4114" i="23"/>
  <c r="M4829" i="23"/>
  <c r="M4146" i="23"/>
  <c r="M4226" i="23"/>
  <c r="M4434" i="23"/>
  <c r="M4386" i="23"/>
  <c r="M4466" i="23"/>
  <c r="M2742" i="23"/>
  <c r="M2902" i="23"/>
  <c r="M4522" i="23"/>
  <c r="M4614" i="23"/>
  <c r="M4694" i="23"/>
  <c r="M4902" i="23"/>
  <c r="M4854" i="23"/>
  <c r="M4934" i="23"/>
  <c r="M4507" i="23"/>
  <c r="M4731" i="23"/>
  <c r="M3055" i="23"/>
  <c r="M3167" i="23"/>
  <c r="M3375" i="23"/>
  <c r="M4544" i="23"/>
  <c r="M3407" i="23"/>
  <c r="M3487" i="23"/>
  <c r="M3308" i="23"/>
  <c r="M3628" i="23"/>
  <c r="M3790" i="23"/>
  <c r="M3876" i="23"/>
  <c r="M3059" i="23"/>
  <c r="M4770" i="23"/>
  <c r="M3091" i="23"/>
  <c r="M3171" i="23"/>
  <c r="M3379" i="23"/>
  <c r="M4583" i="23"/>
  <c r="M3411" i="23"/>
  <c r="M3491" i="23"/>
  <c r="M3699" i="23"/>
  <c r="M4903" i="23"/>
  <c r="M3731" i="23"/>
  <c r="M3811" i="23"/>
  <c r="M4325" i="23"/>
  <c r="M4704" i="23"/>
  <c r="M4110" i="23"/>
  <c r="M4274" i="23"/>
  <c r="M4354" i="23"/>
  <c r="M4769" i="23"/>
  <c r="M4577" i="23"/>
  <c r="M4897" i="23"/>
  <c r="M4542" i="23"/>
  <c r="M4710" i="23"/>
  <c r="M4662" i="23"/>
  <c r="M4742" i="23"/>
  <c r="M4822" i="23"/>
  <c r="M4523" i="23"/>
  <c r="M4982" i="23"/>
  <c r="M4555" i="23"/>
  <c r="M2654" i="23"/>
  <c r="M2814" i="23"/>
  <c r="M4358" i="23"/>
  <c r="M4438" i="23"/>
  <c r="M3522" i="23"/>
  <c r="M4696" i="23"/>
  <c r="M3586" i="23"/>
  <c r="M3678" i="23"/>
  <c r="M3908" i="23"/>
  <c r="M4578" i="23"/>
  <c r="M3972" i="23"/>
  <c r="M4243" i="23"/>
  <c r="M3187" i="23"/>
  <c r="M4898" i="23"/>
  <c r="M3219" i="23"/>
  <c r="M3299" i="23"/>
  <c r="M3474" i="23"/>
  <c r="M3401" i="23"/>
  <c r="M3539" i="23"/>
  <c r="M3619" i="23"/>
  <c r="M3827" i="23"/>
  <c r="M4524" i="23"/>
  <c r="M3860" i="23"/>
  <c r="M4013" i="23"/>
  <c r="M4016" i="23"/>
  <c r="M3412" i="23"/>
  <c r="M4080" i="23"/>
  <c r="M4093" i="23"/>
  <c r="M4492" i="23"/>
  <c r="M4060" i="23"/>
  <c r="M4745" i="23"/>
  <c r="M3922" i="23"/>
  <c r="M3417" i="23"/>
  <c r="M3735" i="23"/>
  <c r="M3815" i="23"/>
  <c r="M3925" i="23"/>
  <c r="M3928" i="23"/>
  <c r="M3848" i="23"/>
  <c r="M3992" i="23"/>
  <c r="M4323" i="23"/>
  <c r="M4404" i="23"/>
  <c r="M4308" i="23"/>
  <c r="M4468" i="23"/>
  <c r="M3878" i="23"/>
  <c r="M4086" i="23"/>
  <c r="M4038" i="23"/>
  <c r="M4127" i="23"/>
  <c r="M3927" i="23"/>
  <c r="M3778" i="23"/>
  <c r="M3122" i="23"/>
  <c r="M3027" i="23"/>
  <c r="M3107" i="23"/>
  <c r="M3315" i="23"/>
  <c r="M4519" i="23"/>
  <c r="M3347" i="23"/>
  <c r="M3427" i="23"/>
  <c r="M3635" i="23"/>
  <c r="M4839" i="23"/>
  <c r="M3667" i="23"/>
  <c r="M3747" i="23"/>
  <c r="M4045" i="23"/>
  <c r="M4652" i="23"/>
  <c r="M4155" i="23"/>
  <c r="M3861" i="23"/>
  <c r="M3130" i="23"/>
  <c r="M3223" i="23"/>
  <c r="M3303" i="23"/>
  <c r="M3383" i="23"/>
  <c r="M3591" i="23"/>
  <c r="M3543" i="23"/>
  <c r="M3623" i="23"/>
  <c r="M3703" i="23"/>
  <c r="M3957" i="23"/>
  <c r="M3865" i="23"/>
  <c r="M4021" i="23"/>
  <c r="M4443" i="23"/>
  <c r="M4451" i="23"/>
  <c r="M4088" i="23"/>
  <c r="M4097" i="23"/>
  <c r="M2938" i="23"/>
  <c r="M2970" i="23"/>
  <c r="M4777" i="23"/>
  <c r="M3926" i="23"/>
  <c r="M4006" i="23"/>
  <c r="M4319" i="23"/>
  <c r="M4223" i="23"/>
  <c r="M4383" i="23"/>
  <c r="M4693" i="23"/>
  <c r="M4027" i="23"/>
  <c r="M3979" i="23"/>
  <c r="M4059" i="23"/>
  <c r="M4168" i="23"/>
  <c r="M4857" i="23"/>
  <c r="M4488" i="23"/>
  <c r="M4125" i="23"/>
  <c r="M3700" i="23"/>
  <c r="M3764" i="23"/>
  <c r="M4263" i="23"/>
  <c r="M4423" i="23"/>
  <c r="M4853" i="23"/>
  <c r="M4047" i="23"/>
  <c r="M3999" i="23"/>
  <c r="M4079" i="23"/>
  <c r="M4208" i="23"/>
  <c r="M4113" i="23"/>
  <c r="M4633" i="23"/>
  <c r="M4145" i="23"/>
  <c r="M4225" i="23"/>
  <c r="M4433" i="23"/>
  <c r="M4385" i="23"/>
  <c r="M4465" i="23"/>
  <c r="M3659" i="23"/>
  <c r="M4908" i="23"/>
  <c r="M4187" i="23"/>
  <c r="M3866" i="23"/>
  <c r="M4024" i="23"/>
  <c r="M4276" i="23"/>
  <c r="M4180" i="23"/>
  <c r="M4340" i="23"/>
  <c r="M4521" i="23"/>
  <c r="M4022" i="23"/>
  <c r="M3974" i="23"/>
  <c r="M4054" i="23"/>
  <c r="M4159" i="23"/>
  <c r="M4821" i="23"/>
  <c r="M4479" i="23"/>
  <c r="M3867" i="23"/>
  <c r="M2850" i="23"/>
  <c r="M2882" i="23"/>
  <c r="M4220" i="23"/>
  <c r="M4380" i="23"/>
  <c r="M4681" i="23"/>
  <c r="M4042" i="23"/>
  <c r="M3994" i="23"/>
  <c r="M4074" i="23"/>
  <c r="M4199" i="23"/>
  <c r="M4981" i="23"/>
  <c r="M4597" i="23"/>
  <c r="M3887" i="23"/>
  <c r="M3967" i="23"/>
  <c r="M4240" i="23"/>
  <c r="M4144" i="23"/>
  <c r="M4304" i="23"/>
  <c r="M3578" i="23"/>
  <c r="M3626" i="23"/>
  <c r="M4193" i="23"/>
  <c r="M4273" i="23"/>
  <c r="M4353" i="23"/>
  <c r="M4765" i="23"/>
  <c r="M4573" i="23"/>
  <c r="M4893" i="23"/>
  <c r="M4162" i="23"/>
  <c r="M4370" i="23"/>
  <c r="M4322" i="23"/>
  <c r="M4402" i="23"/>
  <c r="M4482" i="23"/>
  <c r="M4997" i="23"/>
  <c r="M4510" i="23"/>
  <c r="M4550" i="23"/>
  <c r="M3297" i="23"/>
  <c r="M3617" i="23"/>
  <c r="M4357" i="23"/>
  <c r="M4437" i="23"/>
  <c r="M4134" i="23"/>
  <c r="M4691" i="23"/>
  <c r="M4166" i="23"/>
  <c r="M4246" i="23"/>
  <c r="M4454" i="23"/>
  <c r="M4504" i="23"/>
  <c r="M4486" i="23"/>
  <c r="M4785" i="23"/>
  <c r="M3694" i="23"/>
  <c r="M4824" i="23"/>
  <c r="M3726" i="23"/>
  <c r="M3806" i="23"/>
  <c r="M4062" i="23"/>
  <c r="M4604" i="23"/>
  <c r="M3935" i="23"/>
  <c r="M4015" i="23"/>
  <c r="M4095" i="23"/>
  <c r="M4505" i="23"/>
  <c r="M4400" i="23"/>
  <c r="M4761" i="23"/>
  <c r="M4161" i="23"/>
  <c r="M4369" i="23"/>
  <c r="M4321" i="23"/>
  <c r="M4401" i="23"/>
  <c r="M4481" i="23"/>
  <c r="M4178" i="23"/>
  <c r="M4130" i="23"/>
  <c r="M4210" i="23"/>
  <c r="M3198" i="23"/>
  <c r="M3358" i="23"/>
  <c r="M4099" i="23"/>
  <c r="M4248" i="23"/>
  <c r="M4133" i="23"/>
  <c r="M4686" i="23"/>
  <c r="M4165" i="23"/>
  <c r="M4245" i="23"/>
  <c r="M4453" i="23"/>
  <c r="M4499" i="23"/>
  <c r="M4485" i="23"/>
  <c r="M4781" i="23"/>
  <c r="M4262" i="23"/>
  <c r="M4819" i="23"/>
  <c r="M4294" i="23"/>
  <c r="M4374" i="23"/>
  <c r="M2910" i="23"/>
  <c r="M3116" i="23"/>
  <c r="M4977" i="23"/>
  <c r="M3614" i="23"/>
  <c r="M3822" i="23"/>
  <c r="M4984" i="23"/>
  <c r="M3854" i="23"/>
  <c r="M4004" i="23"/>
  <c r="M3123" i="23"/>
  <c r="M4834" i="23"/>
  <c r="M3155" i="23"/>
  <c r="M3235" i="23"/>
  <c r="M3443" i="23"/>
  <c r="M4647" i="23"/>
  <c r="M3475" i="23"/>
  <c r="M3555" i="23"/>
  <c r="M3132" i="23"/>
  <c r="M3730" i="23"/>
  <c r="M3810" i="23"/>
  <c r="M3916" i="23"/>
  <c r="M3079" i="23"/>
  <c r="M3031" i="23"/>
  <c r="M3111" i="23"/>
  <c r="M3191" i="23"/>
  <c r="M3399" i="23"/>
  <c r="M3351" i="23"/>
  <c r="M3431" i="23"/>
  <c r="M3511" i="23"/>
  <c r="M3719" i="23"/>
  <c r="M3671" i="23"/>
  <c r="M3751" i="23"/>
  <c r="M3831" i="23"/>
  <c r="M4393" i="23"/>
  <c r="M4751" i="23"/>
  <c r="M4973" i="23"/>
  <c r="M4182" i="23"/>
  <c r="M4390" i="23"/>
  <c r="M4947" i="23"/>
  <c r="M4422" i="23"/>
  <c r="M4529" i="23"/>
  <c r="M3630" i="23"/>
  <c r="M4760" i="23"/>
  <c r="M3662" i="23"/>
  <c r="M3742" i="23"/>
  <c r="M4036" i="23"/>
  <c r="M4642" i="23"/>
  <c r="M4115" i="23"/>
  <c r="M3043" i="23"/>
  <c r="M2566" i="23"/>
  <c r="M4346" i="23"/>
  <c r="M4426" i="23"/>
  <c r="M4545" i="23"/>
  <c r="M3562" i="23"/>
  <c r="M4534" i="23"/>
  <c r="M3618" i="23"/>
  <c r="M3698" i="23"/>
  <c r="M3948" i="23"/>
  <c r="M3858" i="23"/>
  <c r="M4012" i="23"/>
  <c r="M4403" i="23"/>
  <c r="M3207" i="23"/>
  <c r="M3159" i="23"/>
  <c r="M3239" i="23"/>
  <c r="M3319" i="23"/>
  <c r="M3386" i="23"/>
  <c r="M3479" i="23"/>
  <c r="M3559" i="23"/>
  <c r="M3639" i="23"/>
  <c r="M3847" i="23"/>
  <c r="M3799" i="23"/>
  <c r="M3893" i="23"/>
  <c r="M4053" i="23"/>
  <c r="M4056" i="23"/>
  <c r="M3960" i="23"/>
  <c r="M4195" i="23"/>
  <c r="M4116" i="23"/>
  <c r="M4649" i="23"/>
  <c r="M4436" i="23"/>
  <c r="M4905" i="23"/>
  <c r="M3689" i="23"/>
  <c r="M3753" i="23"/>
  <c r="M3819" i="23"/>
  <c r="M3933" i="23"/>
  <c r="M4100" i="23"/>
  <c r="M4104" i="23"/>
  <c r="M4000" i="23"/>
  <c r="M4355" i="23"/>
  <c r="M4156" i="23"/>
  <c r="M4809" i="23"/>
  <c r="M4476" i="23"/>
  <c r="M3882" i="23"/>
  <c r="M3962" i="23"/>
  <c r="M4231" i="23"/>
  <c r="M4135" i="23"/>
  <c r="M4295" i="23"/>
  <c r="M3654" i="23"/>
  <c r="M4911" i="23"/>
  <c r="M4147" i="23"/>
  <c r="M3047" i="23"/>
  <c r="M3127" i="23"/>
  <c r="M3335" i="23"/>
  <c r="M3287" i="23"/>
  <c r="M3367" i="23"/>
  <c r="M3447" i="23"/>
  <c r="M3655" i="23"/>
  <c r="M3607" i="23"/>
  <c r="M3687" i="23"/>
  <c r="M3767" i="23"/>
  <c r="M4085" i="23"/>
  <c r="M3989" i="23"/>
  <c r="M4315" i="23"/>
  <c r="M3266" i="23"/>
  <c r="M3298" i="23"/>
  <c r="M3307" i="23"/>
  <c r="M3387" i="23"/>
  <c r="M3467" i="23"/>
  <c r="M3675" i="23"/>
  <c r="M3627" i="23"/>
  <c r="M3707" i="23"/>
  <c r="M3787" i="23"/>
  <c r="M4219" i="23"/>
  <c r="M4029" i="23"/>
  <c r="M4475" i="23"/>
  <c r="M3936" i="23"/>
  <c r="M4188" i="23"/>
  <c r="M4101" i="23"/>
  <c r="M4252" i="23"/>
  <c r="M3188" i="23"/>
  <c r="M3252" i="23"/>
  <c r="M3930" i="23"/>
  <c r="M4010" i="23"/>
  <c r="M4090" i="23"/>
  <c r="M4487" i="23"/>
  <c r="M4391" i="23"/>
  <c r="M4725" i="23"/>
  <c r="M3903" i="23"/>
  <c r="M4112" i="23"/>
  <c r="M4063" i="23"/>
  <c r="M4176" i="23"/>
  <c r="M4336" i="23"/>
  <c r="M4177" i="23"/>
  <c r="M4129" i="23"/>
  <c r="M4209" i="23"/>
  <c r="M3268" i="23"/>
  <c r="M3588" i="23"/>
  <c r="M4094" i="23"/>
  <c r="M4239" i="23"/>
  <c r="M3875" i="23"/>
  <c r="M4724" i="23"/>
  <c r="M3907" i="23"/>
  <c r="M3987" i="23"/>
  <c r="M4280" i="23"/>
  <c r="M5000" i="23"/>
  <c r="M4344" i="23"/>
  <c r="M4537" i="23"/>
  <c r="M4261" i="23"/>
  <c r="M4814" i="23"/>
  <c r="M4293" i="23"/>
  <c r="M4373" i="23"/>
  <c r="M3695" i="23"/>
  <c r="M4594" i="23"/>
  <c r="M3872" i="23"/>
  <c r="M4032" i="23"/>
  <c r="M4483" i="23"/>
  <c r="M4444" i="23"/>
  <c r="M4348" i="23"/>
  <c r="M4553" i="23"/>
  <c r="M3898" i="23"/>
  <c r="M4106" i="23"/>
  <c r="M4058" i="23"/>
  <c r="M4167" i="23"/>
  <c r="M4327" i="23"/>
  <c r="M3919" i="23"/>
  <c r="M3871" i="23"/>
  <c r="M3951" i="23"/>
  <c r="M2634" i="23"/>
  <c r="M2794" i="23"/>
  <c r="M4581" i="23"/>
  <c r="M4196" i="23"/>
  <c r="M4969" i="23"/>
  <c r="M4719" i="23"/>
  <c r="M3902" i="23"/>
  <c r="M3982" i="23"/>
  <c r="M4271" i="23"/>
  <c r="M4532" i="23"/>
  <c r="M4335" i="23"/>
  <c r="M4501" i="23"/>
  <c r="M4003" i="23"/>
  <c r="M4852" i="23"/>
  <c r="M4035" i="23"/>
  <c r="M4120" i="23"/>
  <c r="M3454" i="23"/>
  <c r="M3049" i="23"/>
  <c r="M4921" i="23"/>
  <c r="M4181" i="23"/>
  <c r="M4389" i="23"/>
  <c r="M4942" i="23"/>
  <c r="M4421" i="23"/>
  <c r="M4525" i="23"/>
  <c r="M4198" i="23"/>
  <c r="M4755" i="23"/>
  <c r="M4230" i="23"/>
  <c r="M4310" i="23"/>
  <c r="M4593" i="23"/>
  <c r="M4568" i="23"/>
  <c r="M4721" i="23"/>
  <c r="M3490" i="23"/>
  <c r="M3802" i="23"/>
  <c r="M4419" i="23"/>
  <c r="M4425" i="23"/>
  <c r="M4541" i="23"/>
  <c r="M4202" i="23"/>
  <c r="M4825" i="23"/>
  <c r="M4234" i="23"/>
  <c r="M4314" i="23"/>
  <c r="M4609" i="23"/>
  <c r="M4474" i="23"/>
  <c r="M4737" i="23"/>
  <c r="M4502" i="23"/>
  <c r="M3714" i="23"/>
  <c r="M3666" i="23"/>
  <c r="M3746" i="23"/>
  <c r="M3826" i="23"/>
  <c r="M4151" i="23"/>
  <c r="M3102" i="23"/>
  <c r="M4885" i="23"/>
  <c r="M3923" i="23"/>
  <c r="M4152" i="23"/>
  <c r="M4980" i="23"/>
  <c r="M4216" i="23"/>
  <c r="M4376" i="23"/>
  <c r="M4197" i="23"/>
  <c r="M4750" i="23"/>
  <c r="M4229" i="23"/>
  <c r="M4309" i="23"/>
  <c r="M4589" i="23"/>
  <c r="M4563" i="23"/>
  <c r="M4717" i="23"/>
  <c r="M4118" i="23"/>
  <c r="M3366" i="23"/>
  <c r="M4278" i="23"/>
  <c r="M4224" i="23"/>
  <c r="M4384" i="23"/>
  <c r="M4201" i="23"/>
  <c r="M3459" i="23"/>
  <c r="M4233" i="23"/>
  <c r="M4313" i="23"/>
  <c r="M4605" i="23"/>
  <c r="M4082" i="23"/>
  <c r="M4733" i="23"/>
  <c r="M4122" i="23"/>
  <c r="M4330" i="23"/>
  <c r="M4925" i="23"/>
  <c r="M4362" i="23"/>
  <c r="M4442" i="23"/>
  <c r="M2822" i="23"/>
  <c r="M4929" i="23"/>
  <c r="M3498" i="23"/>
  <c r="M3634" i="23"/>
  <c r="M3842" i="23"/>
  <c r="M3794" i="23"/>
  <c r="M3884" i="23"/>
  <c r="M4044" i="23"/>
  <c r="M3143" i="23"/>
  <c r="M3095" i="23"/>
  <c r="M3175" i="23"/>
  <c r="M3255" i="23"/>
  <c r="M3463" i="23"/>
  <c r="M3415" i="23"/>
  <c r="M3495" i="23"/>
  <c r="M3404" i="23"/>
  <c r="M3468" i="23"/>
  <c r="M3814" i="23"/>
  <c r="M3924" i="23"/>
  <c r="M4084" i="23"/>
  <c r="M3163" i="23"/>
  <c r="M3115" i="23"/>
  <c r="M3195" i="23"/>
  <c r="M3275" i="23"/>
  <c r="M3483" i="23"/>
  <c r="M3435" i="23"/>
  <c r="M3515" i="23"/>
  <c r="M3595" i="23"/>
  <c r="M3803" i="23"/>
  <c r="M3755" i="23"/>
  <c r="M3835" i="23"/>
  <c r="M4205" i="23"/>
  <c r="M4359" i="23"/>
  <c r="M4907" i="23"/>
  <c r="M4503" i="23"/>
  <c r="M4554" i="23"/>
  <c r="M4200" i="23"/>
  <c r="M4538" i="23"/>
  <c r="M4455" i="23"/>
  <c r="M4794" i="23"/>
  <c r="M4986" i="23"/>
  <c r="M4787" i="23"/>
  <c r="M4883" i="23"/>
  <c r="M4887" i="23"/>
  <c r="M3183" i="23"/>
  <c r="M4520" i="23"/>
  <c r="M4738" i="23"/>
  <c r="M4715" i="23"/>
  <c r="M4671" i="23"/>
  <c r="M4735" i="23"/>
  <c r="M4665" i="23"/>
  <c r="M4955" i="23"/>
  <c r="M3899" i="23"/>
  <c r="M4968" i="23"/>
  <c r="M4904" i="23"/>
  <c r="M4948" i="23"/>
  <c r="M4623" i="23"/>
  <c r="M3602" i="23"/>
  <c r="M4564" i="23"/>
  <c r="M4368" i="23"/>
  <c r="M4552" i="23"/>
  <c r="M4701" i="23"/>
  <c r="M4804" i="23"/>
  <c r="M4540" i="23"/>
  <c r="M4866" i="23"/>
  <c r="M4875" i="23"/>
  <c r="M4241" i="23"/>
  <c r="M4259" i="23"/>
  <c r="M4599" i="23"/>
  <c r="M4639" i="23"/>
  <c r="M4762" i="23"/>
  <c r="M4638" i="23"/>
  <c r="M4535" i="23"/>
  <c r="M4849" i="23"/>
  <c r="M4495" i="23"/>
  <c r="M3983" i="23"/>
  <c r="M4995" i="23"/>
  <c r="M4983" i="23"/>
  <c r="M4748" i="23"/>
  <c r="M4606" i="23"/>
  <c r="M4688" i="23"/>
  <c r="M4531" i="23"/>
  <c r="M4916" i="23"/>
  <c r="M4631" i="23"/>
  <c r="M4886" i="23"/>
  <c r="M4771" i="23"/>
  <c r="M4659" i="23"/>
  <c r="M4876" i="23"/>
  <c r="M4922" i="23"/>
  <c r="M4730" i="23"/>
  <c r="M4067" i="23"/>
  <c r="M4699" i="23"/>
  <c r="M4951" i="23"/>
  <c r="M4772" i="23"/>
  <c r="M4648" i="23"/>
  <c r="M4943" i="23"/>
  <c r="M3507" i="23"/>
  <c r="M4936" i="23"/>
  <c r="M4660" i="23"/>
  <c r="M4316" i="23"/>
  <c r="M4931" i="23"/>
  <c r="M4924" i="23"/>
  <c r="M4862" i="23"/>
  <c r="M4747" i="23"/>
  <c r="M4290" i="23"/>
  <c r="M4624" i="23"/>
  <c r="M4900" i="23"/>
  <c r="M4992" i="23"/>
  <c r="M3968" i="23"/>
  <c r="M3874" i="23"/>
  <c r="M4779" i="23"/>
  <c r="M4692" i="23"/>
  <c r="M4620" i="23"/>
  <c r="M4666" i="23"/>
  <c r="M4683" i="23"/>
  <c r="M4629" i="23"/>
  <c r="M4860" i="23"/>
  <c r="M4690" i="23"/>
  <c r="M4516" i="23"/>
  <c r="M4899" i="23"/>
  <c r="M4682" i="23"/>
  <c r="M3251" i="23"/>
  <c r="M4756" i="23"/>
  <c r="M4650" i="23"/>
  <c r="M4818" i="23"/>
  <c r="M4827" i="23"/>
  <c r="M4895" i="23"/>
  <c r="M4137" i="23"/>
  <c r="M4551" i="23"/>
  <c r="M4602" i="23"/>
  <c r="M4939" i="23"/>
  <c r="M4590" i="23"/>
  <c r="M4567" i="23"/>
  <c r="M4796" i="23"/>
  <c r="M4843" i="23"/>
  <c r="M4720" i="23"/>
  <c r="M4676" i="23"/>
  <c r="M4958" i="23"/>
  <c r="M4845" i="23"/>
  <c r="M4960" i="23"/>
  <c r="M3099" i="23"/>
  <c r="M4990" i="23"/>
  <c r="M4978" i="23"/>
  <c r="M4664" i="23"/>
  <c r="M4109" i="23"/>
  <c r="M4723" i="23"/>
  <c r="M4716" i="23"/>
  <c r="M4828" i="23"/>
  <c r="M4874" i="23"/>
  <c r="M4695" i="23"/>
  <c r="M4518" i="23"/>
  <c r="M4651" i="23"/>
  <c r="M4612" i="23"/>
  <c r="M4963" i="23"/>
  <c r="M4600" i="23"/>
  <c r="M4896" i="23"/>
  <c r="M4882" i="23"/>
  <c r="M4611" i="23"/>
  <c r="M4767" i="23"/>
  <c r="M4643" i="23"/>
  <c r="M4891" i="23"/>
  <c r="M4371" i="23"/>
  <c r="M4500" i="23"/>
  <c r="M4571" i="23"/>
  <c r="M4562" i="23"/>
  <c r="M4988" i="23"/>
  <c r="M4634" i="23"/>
  <c r="M4160" i="23"/>
  <c r="M4802" i="23"/>
  <c r="M4816" i="23"/>
  <c r="M4711" i="23"/>
  <c r="M4884" i="23"/>
  <c r="M3530" i="23"/>
  <c r="M3527" i="23"/>
  <c r="M4698" i="23"/>
  <c r="M4579" i="23"/>
  <c r="M4679" i="23"/>
  <c r="M4514" i="23"/>
  <c r="M4610" i="23"/>
  <c r="M4587" i="23"/>
  <c r="M3611" i="23"/>
  <c r="M4037" i="23"/>
  <c r="M4932" i="23"/>
  <c r="M4746" i="23"/>
  <c r="M4994" i="23"/>
  <c r="M4157" i="23"/>
  <c r="M4242" i="23"/>
  <c r="M4744" i="23"/>
  <c r="M4732" i="23"/>
  <c r="M4592" i="23"/>
  <c r="M3879" i="23"/>
  <c r="M4546" i="23"/>
  <c r="M4560" i="23"/>
  <c r="M4608" i="23"/>
  <c r="M4628" i="23"/>
  <c r="M4186" i="23"/>
  <c r="M3271" i="23"/>
  <c r="M4912" i="23"/>
  <c r="M4830" i="23"/>
  <c r="M4635" i="23"/>
  <c r="M4930" i="23"/>
  <c r="M4296" i="23"/>
  <c r="M3870" i="23"/>
  <c r="M4675" i="23"/>
  <c r="M4668" i="23"/>
  <c r="M4644" i="23"/>
  <c r="M4826" i="23"/>
  <c r="M4927" i="23"/>
  <c r="M4718" i="23"/>
  <c r="M4627" i="23"/>
  <c r="M4823" i="23"/>
  <c r="M4832" i="23"/>
  <c r="M4867" i="23"/>
  <c r="M4138" i="23"/>
  <c r="M4556" i="23"/>
  <c r="M4607" i="23"/>
  <c r="M4991" i="23"/>
  <c r="M4595" i="23"/>
  <c r="M3896" i="23"/>
  <c r="M4148" i="23"/>
  <c r="M4959" i="23"/>
  <c r="M4840" i="23"/>
  <c r="M4915" i="23"/>
  <c r="M4940" i="23"/>
  <c r="M4462" i="23"/>
  <c r="M4864" i="23"/>
  <c r="M4754" i="23"/>
  <c r="M4768" i="23"/>
  <c r="M4700" i="23"/>
  <c r="M4836" i="23"/>
  <c r="M4576" i="23"/>
  <c r="M4728" i="23"/>
  <c r="M4811" i="23"/>
  <c r="M3978" i="23"/>
  <c r="M4879" i="23"/>
  <c r="M4185" i="23"/>
  <c r="M4645" i="23"/>
  <c r="M4656" i="23"/>
  <c r="M4574" i="23"/>
  <c r="M4791" i="23"/>
  <c r="M4674" i="23"/>
  <c r="M3947" i="23"/>
  <c r="M3864" i="23"/>
  <c r="M4926" i="23"/>
  <c r="M4919" i="23"/>
  <c r="M4890" i="23"/>
  <c r="M4570" i="23"/>
  <c r="M3403" i="23"/>
  <c r="M4967" i="23"/>
  <c r="M4764" i="23"/>
  <c r="M4815" i="23"/>
  <c r="M4956" i="23"/>
  <c r="M4158" i="23"/>
  <c r="M4734" i="23"/>
  <c r="M4722" i="23"/>
  <c r="M4910" i="23"/>
  <c r="M4411" i="23"/>
  <c r="M4974" i="23"/>
  <c r="M4706" i="23"/>
  <c r="M4572" i="23"/>
  <c r="M4618" i="23"/>
  <c r="M4872" i="23"/>
  <c r="M4394" i="23"/>
  <c r="M4812" i="23"/>
  <c r="M4863" i="23"/>
  <c r="M4702" i="23"/>
  <c r="M4851" i="23"/>
  <c r="M4244" i="23"/>
  <c r="M3894" i="23"/>
  <c r="M4708" i="23"/>
  <c r="M4658" i="23"/>
  <c r="M4920" i="23"/>
  <c r="M3965" i="23"/>
  <c r="M4582" i="23"/>
  <c r="M4513" i="23"/>
  <c r="M4640" i="23"/>
  <c r="M4655" i="23"/>
  <c r="M4484" i="23"/>
  <c r="M4511" i="23"/>
  <c r="M4850" i="23"/>
  <c r="M4326" i="23"/>
  <c r="M4739" i="23"/>
  <c r="M4979" i="23"/>
  <c r="M4868" i="23"/>
  <c r="M4786" i="23"/>
  <c r="M4856" i="23"/>
  <c r="M4287" i="23"/>
  <c r="M4413" i="23"/>
  <c r="M4670" i="23"/>
  <c r="M4663" i="23"/>
  <c r="M2" i="23"/>
  <c r="M4784" i="23"/>
  <c r="M3147" i="23"/>
  <c r="M4888" i="23"/>
  <c r="M4508" i="23"/>
  <c r="M4559" i="23"/>
  <c r="M3355" i="23"/>
  <c r="M4547" i="23"/>
  <c r="M4464" i="23"/>
  <c r="M4799" i="23"/>
  <c r="M4707" i="23"/>
  <c r="M4792" i="23"/>
  <c r="M4780" i="23"/>
  <c r="M4892" i="23"/>
  <c r="M4803" i="23"/>
  <c r="M4954" i="23"/>
  <c r="M4835" i="23"/>
  <c r="M4687" i="23"/>
  <c r="M4935" i="23"/>
  <c r="M4461" i="23"/>
  <c r="M4509" i="23"/>
  <c r="M4680" i="23"/>
  <c r="M4763" i="23"/>
  <c r="M4616" i="23"/>
  <c r="M4831" i="23"/>
  <c r="M4064" i="23"/>
  <c r="M4496" i="23"/>
  <c r="M4622" i="23"/>
  <c r="M4506" i="23"/>
  <c r="M4859" i="23"/>
  <c r="M4626" i="23"/>
  <c r="M4705" i="23"/>
  <c r="M4766" i="23"/>
  <c r="M4938" i="23"/>
  <c r="M4871" i="23"/>
  <c r="M4880" i="23"/>
  <c r="M4632" i="23"/>
  <c r="M4740" i="23"/>
  <c r="M4964" i="23"/>
  <c r="M4914" i="23"/>
  <c r="M4743" i="23"/>
  <c r="M4528" i="23"/>
  <c r="M3956" i="23"/>
  <c r="M4878" i="23"/>
  <c r="M4759" i="23"/>
  <c r="M4810" i="23"/>
  <c r="M4414" i="23"/>
  <c r="M4798" i="23"/>
  <c r="M4031" i="23"/>
  <c r="M4543" i="23"/>
  <c r="M4996" i="23"/>
  <c r="M4536" i="23"/>
  <c r="M4962" i="23"/>
  <c r="M4636" i="23"/>
  <c r="M3439" i="23"/>
  <c r="M4776" i="23"/>
  <c r="M4999" i="23"/>
  <c r="M4971" i="23"/>
  <c r="M4807" i="23"/>
  <c r="M4858" i="23"/>
  <c r="M4944" i="23"/>
  <c r="M4846" i="23"/>
  <c r="M3575" i="23"/>
  <c r="M4805" i="23"/>
  <c r="M4703" i="23"/>
  <c r="M4584" i="23"/>
  <c r="M4654" i="23"/>
  <c r="M4684" i="23"/>
  <c r="M4206" i="23"/>
  <c r="M4838" i="23"/>
  <c r="M4952" i="23"/>
  <c r="M4512" i="23"/>
  <c r="M4946" i="23"/>
  <c r="M4580" i="23"/>
  <c r="M4412" i="23"/>
  <c r="M4752" i="23"/>
  <c r="M4844" i="23"/>
  <c r="M4782" i="23"/>
  <c r="M4906" i="23"/>
  <c r="M4575" i="23"/>
  <c r="M4820" i="23"/>
  <c r="M4808" i="23"/>
  <c r="M4976" i="23"/>
  <c r="M4615" i="23"/>
  <c r="M4855" i="23"/>
  <c r="M4894" i="23"/>
  <c r="M4848" i="23"/>
  <c r="M4712" i="23"/>
  <c r="M4727" i="23"/>
  <c r="M4972" i="23"/>
  <c r="B191" i="20" l="1"/>
  <c r="AN190" i="20"/>
  <c r="AT190" i="20"/>
  <c r="AC190" i="20"/>
  <c r="AW190" i="20"/>
  <c r="H190" i="20"/>
  <c r="B190" i="20"/>
  <c r="AI190" i="20"/>
  <c r="X179" i="2"/>
  <c r="P178" i="2"/>
  <c r="J180" i="2"/>
  <c r="N192" i="20" s="1"/>
  <c r="W180" i="2"/>
  <c r="A182" i="2"/>
  <c r="D181" i="2"/>
  <c r="G181" i="2"/>
  <c r="H181" i="2"/>
  <c r="K181" i="2" s="1"/>
  <c r="AW192" i="20" l="1"/>
  <c r="AI192" i="20"/>
  <c r="B192" i="20"/>
  <c r="AN192" i="20"/>
  <c r="AC192" i="20"/>
  <c r="AT192" i="20"/>
  <c r="H192" i="20"/>
  <c r="B193" i="20"/>
  <c r="AA178" i="2"/>
  <c r="AB178" i="2" s="1"/>
  <c r="Q179" i="2"/>
  <c r="T179" i="2" s="1"/>
  <c r="X180" i="2"/>
  <c r="A183" i="2"/>
  <c r="D182" i="2"/>
  <c r="G182" i="2"/>
  <c r="H182" i="2"/>
  <c r="K182" i="2" s="1"/>
  <c r="S178" i="2"/>
  <c r="J181" i="2"/>
  <c r="N194" i="20" s="1"/>
  <c r="W181" i="2"/>
  <c r="M954" i="23"/>
  <c r="M1469" i="23"/>
  <c r="M1458" i="23"/>
  <c r="M1474" i="23"/>
  <c r="M262" i="23"/>
  <c r="M258" i="23"/>
  <c r="M241" i="23"/>
  <c r="M257" i="23"/>
  <c r="M226" i="23"/>
  <c r="M225" i="23"/>
  <c r="M1604" i="23"/>
  <c r="M1608" i="23"/>
  <c r="M1068" i="23"/>
  <c r="M1081" i="23"/>
  <c r="M1102" i="23"/>
  <c r="M1047" i="23"/>
  <c r="M783" i="23"/>
  <c r="M31" i="23"/>
  <c r="M24" i="23"/>
  <c r="M40" i="23"/>
  <c r="M890" i="23"/>
  <c r="M183" i="23"/>
  <c r="M194" i="23"/>
  <c r="M148" i="23"/>
  <c r="M151" i="23"/>
  <c r="M162" i="23"/>
  <c r="M196" i="23"/>
  <c r="M212" i="23"/>
  <c r="M651" i="23"/>
  <c r="M659" i="23"/>
  <c r="M608" i="23"/>
  <c r="M624" i="23"/>
  <c r="M467" i="23"/>
  <c r="M441" i="23"/>
  <c r="M563" i="23"/>
  <c r="M574" i="23"/>
  <c r="M537" i="23"/>
  <c r="M761" i="23"/>
  <c r="M138" i="23"/>
  <c r="M116" i="23"/>
  <c r="M763" i="23"/>
  <c r="M106" i="23"/>
  <c r="M125" i="23"/>
  <c r="M141" i="23"/>
  <c r="M1574" i="23"/>
  <c r="M676" i="23"/>
  <c r="M374" i="23"/>
  <c r="M370" i="23"/>
  <c r="M578" i="23"/>
  <c r="M553" i="23"/>
  <c r="M139" i="23"/>
  <c r="M111" i="23"/>
  <c r="M1549" i="23"/>
  <c r="M1569" i="23"/>
  <c r="M1555" i="23"/>
  <c r="M1571" i="23"/>
  <c r="M1537" i="23"/>
  <c r="M1539" i="23"/>
  <c r="M681" i="23"/>
  <c r="M350" i="23"/>
  <c r="M373" i="23"/>
  <c r="M1224" i="23"/>
  <c r="M1242" i="23"/>
  <c r="M1258" i="23"/>
  <c r="M56" i="23"/>
  <c r="M89" i="23"/>
  <c r="M818" i="23"/>
  <c r="M813" i="23"/>
  <c r="M39" i="23"/>
  <c r="M28" i="23"/>
  <c r="M859" i="23"/>
  <c r="M886" i="23"/>
  <c r="M12" i="23"/>
  <c r="M41" i="23"/>
  <c r="M866" i="23"/>
  <c r="M898" i="23"/>
  <c r="M170" i="23"/>
  <c r="M200" i="23"/>
  <c r="M205" i="23"/>
  <c r="M667" i="23"/>
  <c r="M1488" i="23"/>
  <c r="M1518" i="23"/>
  <c r="M798" i="23"/>
  <c r="M800" i="23"/>
  <c r="M445" i="23"/>
  <c r="M579" i="23"/>
  <c r="M554" i="23"/>
  <c r="M532" i="23"/>
  <c r="M689" i="23"/>
  <c r="M566" i="23"/>
  <c r="M580" i="23"/>
  <c r="M541" i="23"/>
  <c r="M114" i="23"/>
  <c r="M129" i="23"/>
  <c r="M1568" i="23"/>
  <c r="M1545" i="23"/>
  <c r="M1232" i="23"/>
  <c r="M1246" i="23"/>
  <c r="M1263" i="23"/>
  <c r="M747" i="23"/>
  <c r="M906" i="23"/>
  <c r="M905" i="23"/>
  <c r="M962" i="23"/>
  <c r="M935" i="23"/>
  <c r="M952" i="23"/>
  <c r="M946" i="23"/>
  <c r="M1484" i="23"/>
  <c r="M1477" i="23"/>
  <c r="M715" i="23"/>
  <c r="M230" i="23"/>
  <c r="M242" i="23"/>
  <c r="M220" i="23"/>
  <c r="M910" i="23"/>
  <c r="M948" i="23"/>
  <c r="M921" i="23"/>
  <c r="M945" i="23"/>
  <c r="M1476" i="23"/>
  <c r="M1482" i="23"/>
  <c r="M750" i="23"/>
  <c r="M752" i="23"/>
  <c r="M1466" i="23"/>
  <c r="M720" i="23"/>
  <c r="M231" i="23"/>
  <c r="M263" i="23"/>
  <c r="M249" i="23"/>
  <c r="M1593" i="23"/>
  <c r="M1615" i="23"/>
  <c r="M598" i="23"/>
  <c r="M612" i="23"/>
  <c r="M617" i="23"/>
  <c r="M633" i="23"/>
  <c r="M1502" i="23"/>
  <c r="M1531" i="23"/>
  <c r="M471" i="23"/>
  <c r="M438" i="23"/>
  <c r="M1515" i="23"/>
  <c r="M439" i="23"/>
  <c r="M452" i="23"/>
  <c r="M468" i="23"/>
  <c r="M555" i="23"/>
  <c r="M564" i="23"/>
  <c r="M766" i="23"/>
  <c r="M762" i="23"/>
  <c r="M680" i="23"/>
  <c r="M346" i="23"/>
  <c r="M361" i="23"/>
  <c r="M377" i="23"/>
  <c r="M1230" i="23"/>
  <c r="M1247" i="23"/>
  <c r="M692" i="23"/>
  <c r="M697" i="23"/>
  <c r="M1231" i="23"/>
  <c r="M699" i="23"/>
  <c r="M957" i="23"/>
  <c r="M965" i="23"/>
  <c r="M930" i="23"/>
  <c r="M967" i="23"/>
  <c r="M1465" i="23"/>
  <c r="M1450" i="23"/>
  <c r="M1592" i="23"/>
  <c r="M1599" i="23"/>
  <c r="M1044" i="23"/>
  <c r="M1040" i="23"/>
  <c r="M1039" i="23"/>
  <c r="M54" i="23"/>
  <c r="M82" i="23"/>
  <c r="M60" i="23"/>
  <c r="M1103" i="23"/>
  <c r="M102" i="23"/>
  <c r="M61" i="23"/>
  <c r="M77" i="23"/>
  <c r="M840" i="23"/>
  <c r="M6" i="23"/>
  <c r="M50" i="23"/>
  <c r="M16" i="23"/>
  <c r="M1046" i="23"/>
  <c r="M1055" i="23"/>
  <c r="M55" i="23"/>
  <c r="M87" i="23"/>
  <c r="M93" i="23"/>
  <c r="M816" i="23"/>
  <c r="M778" i="23"/>
  <c r="M788" i="23"/>
  <c r="M815" i="23"/>
  <c r="M782" i="23"/>
  <c r="M15" i="23"/>
  <c r="M47" i="23"/>
  <c r="M45" i="23"/>
  <c r="M874" i="23"/>
  <c r="M167" i="23"/>
  <c r="M199" i="23"/>
  <c r="M133" i="23"/>
  <c r="M1576" i="23"/>
  <c r="M1582" i="23"/>
  <c r="M1547" i="23"/>
  <c r="M354" i="23"/>
  <c r="M365" i="23"/>
  <c r="M1268" i="23"/>
  <c r="M1240" i="23"/>
  <c r="M349" i="23"/>
  <c r="M1260" i="23"/>
  <c r="M1218" i="23"/>
  <c r="M1234" i="23"/>
  <c r="M694" i="23"/>
  <c r="M899" i="23"/>
  <c r="M928" i="23"/>
  <c r="M960" i="23"/>
  <c r="M246" i="23"/>
  <c r="M250" i="23"/>
  <c r="M237" i="23"/>
  <c r="M253" i="23"/>
  <c r="M1603" i="23"/>
  <c r="M1060" i="23"/>
  <c r="M1034" i="23"/>
  <c r="M1050" i="23"/>
  <c r="M1036" i="23"/>
  <c r="M1073" i="23"/>
  <c r="M1098" i="23"/>
  <c r="M1043" i="23"/>
  <c r="M58" i="23"/>
  <c r="M65" i="23"/>
  <c r="M809" i="23"/>
  <c r="M823" i="23"/>
  <c r="M882" i="23"/>
  <c r="M175" i="23"/>
  <c r="M207" i="23"/>
  <c r="M208" i="23"/>
  <c r="M213" i="23"/>
  <c r="M622" i="23"/>
  <c r="M599" i="23"/>
  <c r="M197" i="23"/>
  <c r="M635" i="23"/>
  <c r="M643" i="23"/>
  <c r="M630" i="23"/>
  <c r="M609" i="23"/>
  <c r="M1509" i="23"/>
  <c r="M1494" i="23"/>
  <c r="M1510" i="23"/>
  <c r="M144" i="23"/>
  <c r="M149" i="23"/>
  <c r="M663" i="23"/>
  <c r="M664" i="23"/>
  <c r="M602" i="23"/>
  <c r="M636" i="23"/>
  <c r="M641" i="23"/>
  <c r="M657" i="23"/>
  <c r="M620" i="23"/>
  <c r="M625" i="23"/>
  <c r="M1508" i="23"/>
  <c r="M1504" i="23"/>
  <c r="M799" i="23"/>
  <c r="M451" i="23"/>
  <c r="M437" i="23"/>
  <c r="M453" i="23"/>
  <c r="M1591" i="23"/>
  <c r="M931" i="23"/>
  <c r="M1460" i="23"/>
  <c r="M1478" i="23"/>
  <c r="M1455" i="23"/>
  <c r="M255" i="23"/>
  <c r="M232" i="23"/>
  <c r="M261" i="23"/>
  <c r="M1605" i="23"/>
  <c r="M266" i="23"/>
  <c r="M245" i="23"/>
  <c r="M1616" i="23"/>
  <c r="M1617" i="23"/>
  <c r="M1092" i="23"/>
  <c r="M1042" i="23"/>
  <c r="M1051" i="23"/>
  <c r="M1067" i="23"/>
  <c r="M784" i="23"/>
  <c r="M43" i="23"/>
  <c r="M44" i="23"/>
  <c r="M9" i="23"/>
  <c r="M868" i="23"/>
  <c r="M147" i="23"/>
  <c r="M152" i="23"/>
  <c r="M168" i="23"/>
  <c r="M191" i="23"/>
  <c r="M202" i="23"/>
  <c r="M216" i="23"/>
  <c r="M157" i="23"/>
  <c r="M646" i="23"/>
  <c r="M586" i="23"/>
  <c r="M628" i="23"/>
  <c r="M644" i="23"/>
  <c r="M442" i="23"/>
  <c r="M461" i="23"/>
  <c r="M535" i="23"/>
  <c r="M567" i="23"/>
  <c r="M557" i="23"/>
  <c r="M110" i="23"/>
  <c r="M120" i="23"/>
  <c r="M136" i="23"/>
  <c r="M765" i="23"/>
  <c r="M104" i="23"/>
  <c r="M1557" i="23"/>
  <c r="M1565" i="23"/>
  <c r="M1543" i="23"/>
  <c r="M347" i="23"/>
  <c r="M378" i="23"/>
  <c r="M356" i="23"/>
  <c r="M548" i="23"/>
  <c r="M573" i="23"/>
  <c r="M119" i="23"/>
  <c r="M131" i="23"/>
  <c r="M1564" i="23"/>
  <c r="M1546" i="23"/>
  <c r="M1575" i="23"/>
  <c r="M679" i="23"/>
  <c r="M1577" i="23"/>
  <c r="M1559" i="23"/>
  <c r="M366" i="23"/>
  <c r="M359" i="23"/>
  <c r="M1212" i="23"/>
  <c r="M1264" i="23"/>
  <c r="M1262" i="23"/>
  <c r="M1215" i="23"/>
  <c r="M76" i="23"/>
  <c r="M806" i="23"/>
  <c r="M817" i="23"/>
  <c r="M838" i="23"/>
  <c r="M14" i="23"/>
  <c r="M48" i="23"/>
  <c r="M894" i="23"/>
  <c r="M887" i="23"/>
  <c r="M32" i="23"/>
  <c r="M875" i="23"/>
  <c r="M856" i="23"/>
  <c r="M155" i="23"/>
  <c r="M210" i="23"/>
  <c r="M145" i="23"/>
  <c r="M662" i="23"/>
  <c r="M666" i="23"/>
  <c r="M1528" i="23"/>
  <c r="M1487" i="23"/>
  <c r="M793" i="23"/>
  <c r="M459" i="23"/>
  <c r="M465" i="23"/>
  <c r="M543" i="23"/>
  <c r="M536" i="23"/>
  <c r="M552" i="23"/>
  <c r="M542" i="23"/>
  <c r="M562" i="23"/>
  <c r="M545" i="23"/>
  <c r="M561" i="23"/>
  <c r="M108" i="23"/>
  <c r="M1548" i="23"/>
  <c r="M1553" i="23"/>
  <c r="M1585" i="23"/>
  <c r="M1217" i="23"/>
  <c r="M1266" i="23"/>
  <c r="M742" i="23"/>
  <c r="M741" i="23"/>
  <c r="M964" i="23"/>
  <c r="M925" i="23"/>
  <c r="M939" i="23"/>
  <c r="M955" i="23"/>
  <c r="M909" i="23"/>
  <c r="M966" i="23"/>
  <c r="M1468" i="23"/>
  <c r="M1448" i="23"/>
  <c r="M713" i="23"/>
  <c r="M239" i="23"/>
  <c r="M224" i="23"/>
  <c r="M240" i="23"/>
  <c r="M919" i="23"/>
  <c r="M912" i="23"/>
  <c r="M953" i="23"/>
  <c r="M934" i="23"/>
  <c r="M1480" i="23"/>
  <c r="M1463" i="23"/>
  <c r="M756" i="23"/>
  <c r="M227" i="23"/>
  <c r="M1447" i="23"/>
  <c r="M751" i="23"/>
  <c r="M271" i="23"/>
  <c r="M222" i="23"/>
  <c r="M269" i="23"/>
  <c r="M1590" i="23"/>
  <c r="M1084" i="23"/>
  <c r="M594" i="23"/>
  <c r="M632" i="23"/>
  <c r="M637" i="23"/>
  <c r="M653" i="23"/>
  <c r="M1522" i="23"/>
  <c r="M794" i="23"/>
  <c r="M454" i="23"/>
  <c r="M450" i="23"/>
  <c r="M791" i="23"/>
  <c r="M435" i="23"/>
  <c r="M472" i="23"/>
  <c r="M449" i="23"/>
  <c r="M582" i="23"/>
  <c r="M584" i="23"/>
  <c r="M760" i="23"/>
  <c r="M107" i="23"/>
  <c r="M363" i="23"/>
  <c r="M344" i="23"/>
  <c r="M381" i="23"/>
  <c r="M1244" i="23"/>
  <c r="M1250" i="23"/>
  <c r="M1267" i="23"/>
  <c r="M907" i="23"/>
  <c r="M926" i="23"/>
  <c r="M1251" i="23"/>
  <c r="M696" i="23"/>
  <c r="M902" i="23"/>
  <c r="M914" i="23"/>
  <c r="M950" i="23"/>
  <c r="M1453" i="23"/>
  <c r="M1454" i="23"/>
  <c r="M1470" i="23"/>
  <c r="M1601" i="23"/>
  <c r="M1619" i="23"/>
  <c r="M1048" i="23"/>
  <c r="M1080" i="23"/>
  <c r="M1059" i="23"/>
  <c r="M63" i="23"/>
  <c r="M64" i="23"/>
  <c r="M80" i="23"/>
  <c r="M62" i="23"/>
  <c r="M90" i="23"/>
  <c r="M81" i="23"/>
  <c r="M97" i="23"/>
  <c r="M790" i="23"/>
  <c r="M23" i="23"/>
  <c r="M20" i="23"/>
  <c r="M36" i="23"/>
  <c r="M1066" i="23"/>
  <c r="M1075" i="23"/>
  <c r="M95" i="23"/>
  <c r="M99" i="23"/>
  <c r="M807" i="23"/>
  <c r="M821" i="23"/>
  <c r="M781" i="23"/>
  <c r="M19" i="23"/>
  <c r="M820" i="23"/>
  <c r="M786" i="23"/>
  <c r="M11" i="23"/>
  <c r="M30" i="23"/>
  <c r="M891" i="23"/>
  <c r="M860" i="23"/>
  <c r="M171" i="23"/>
  <c r="M112" i="23"/>
  <c r="M1580" i="23"/>
  <c r="M1561" i="23"/>
  <c r="M1538" i="23"/>
  <c r="M379" i="23"/>
  <c r="M348" i="23"/>
  <c r="M1221" i="23"/>
  <c r="M1213" i="23"/>
  <c r="M362" i="23"/>
  <c r="M369" i="23"/>
  <c r="M1216" i="23"/>
  <c r="M1248" i="23"/>
  <c r="M1255" i="23"/>
  <c r="M700" i="23"/>
  <c r="M918" i="23"/>
  <c r="M922" i="23"/>
  <c r="M717" i="23"/>
  <c r="M247" i="23"/>
  <c r="M228" i="23"/>
  <c r="M244" i="23"/>
  <c r="M1609" i="23"/>
  <c r="M1045" i="23"/>
  <c r="M1056" i="23"/>
  <c r="M1088" i="23"/>
  <c r="M1607" i="23"/>
  <c r="M1076" i="23"/>
  <c r="M1038" i="23"/>
  <c r="M1054" i="23"/>
  <c r="M78" i="23"/>
  <c r="M98" i="23"/>
  <c r="M85" i="23"/>
  <c r="M101" i="23"/>
  <c r="M870" i="23"/>
  <c r="M864" i="23"/>
  <c r="M215" i="23"/>
  <c r="M195" i="23"/>
  <c r="M153" i="23"/>
  <c r="M671" i="23"/>
  <c r="M607" i="23"/>
  <c r="M639" i="23"/>
  <c r="M217" i="23"/>
  <c r="M638" i="23"/>
  <c r="M654" i="23"/>
  <c r="M610" i="23"/>
  <c r="M629" i="23"/>
  <c r="M1524" i="23"/>
  <c r="M1514" i="23"/>
  <c r="M1530" i="23"/>
  <c r="M164" i="23"/>
  <c r="M169" i="23"/>
  <c r="M668" i="23"/>
  <c r="M669" i="23"/>
  <c r="M642" i="23"/>
  <c r="M656" i="23"/>
  <c r="M1493" i="23"/>
  <c r="M1501" i="23"/>
  <c r="M640" i="23"/>
  <c r="M645" i="23"/>
  <c r="M1512" i="23"/>
  <c r="M1497" i="23"/>
  <c r="M796" i="23"/>
  <c r="M434" i="23"/>
  <c r="M457" i="23"/>
  <c r="M683" i="23"/>
  <c r="M888" i="23"/>
  <c r="M951" i="23"/>
  <c r="M1472" i="23"/>
  <c r="M1459" i="23"/>
  <c r="M1475" i="23"/>
  <c r="M267" i="23"/>
  <c r="M252" i="23"/>
  <c r="M1612" i="23"/>
  <c r="M1596" i="23"/>
  <c r="M236" i="23"/>
  <c r="M265" i="23"/>
  <c r="M1586" i="23"/>
  <c r="M1602" i="23"/>
  <c r="M1072" i="23"/>
  <c r="M1062" i="23"/>
  <c r="M1071" i="23"/>
  <c r="M1087" i="23"/>
  <c r="M3" i="23"/>
  <c r="M18" i="23"/>
  <c r="M13" i="23"/>
  <c r="M29" i="23"/>
  <c r="M158" i="23"/>
  <c r="M150" i="23"/>
  <c r="M172" i="23"/>
  <c r="M188" i="23"/>
  <c r="M163" i="23"/>
  <c r="M156" i="23"/>
  <c r="M161" i="23"/>
  <c r="M177" i="23"/>
  <c r="M623" i="23"/>
  <c r="M626" i="23"/>
  <c r="M648" i="23"/>
  <c r="M589" i="23"/>
  <c r="M440" i="23"/>
  <c r="M691" i="23"/>
  <c r="M575" i="23"/>
  <c r="M571" i="23"/>
  <c r="M577" i="23"/>
  <c r="M127" i="23"/>
  <c r="M140" i="23"/>
  <c r="M117" i="23"/>
  <c r="M126" i="23"/>
  <c r="M124" i="23"/>
  <c r="M1581" i="23"/>
  <c r="M1540" i="23"/>
  <c r="M1563" i="23"/>
  <c r="M382" i="23"/>
  <c r="M360" i="23"/>
  <c r="M376" i="23"/>
  <c r="M568" i="23"/>
  <c r="M759" i="23"/>
  <c r="M118" i="23"/>
  <c r="M122" i="23"/>
  <c r="M1544" i="23"/>
  <c r="M1566" i="23"/>
  <c r="M675" i="23"/>
  <c r="M673" i="23"/>
  <c r="M1550" i="23"/>
  <c r="M1579" i="23"/>
  <c r="M367" i="23"/>
  <c r="M371" i="23"/>
  <c r="M1261" i="23"/>
  <c r="M1249" i="23"/>
  <c r="M1219" i="23"/>
  <c r="M1235" i="23"/>
  <c r="M96" i="23"/>
  <c r="M804" i="23"/>
  <c r="M839" i="23"/>
  <c r="M837" i="23"/>
  <c r="M26" i="23"/>
  <c r="M17" i="23"/>
  <c r="M895" i="23"/>
  <c r="M878" i="23"/>
  <c r="M52" i="23"/>
  <c r="M863" i="23"/>
  <c r="M872" i="23"/>
  <c r="M179" i="23"/>
  <c r="M160" i="23"/>
  <c r="M165" i="23"/>
  <c r="M181" i="23"/>
  <c r="M1485" i="23"/>
  <c r="M1521" i="23"/>
  <c r="M1507" i="23"/>
  <c r="M1523" i="23"/>
  <c r="M444" i="23"/>
  <c r="M686" i="23"/>
  <c r="M583" i="23"/>
  <c r="M534" i="23"/>
  <c r="M469" i="23"/>
  <c r="M551" i="23"/>
  <c r="M540" i="23"/>
  <c r="M556" i="23"/>
  <c r="M142" i="23"/>
  <c r="M128" i="23"/>
  <c r="M1541" i="23"/>
  <c r="M1556" i="23"/>
  <c r="M1237" i="23"/>
  <c r="M1257" i="23"/>
  <c r="M1223" i="23"/>
  <c r="M1239" i="23"/>
  <c r="M927" i="23"/>
  <c r="M916" i="23"/>
  <c r="M961" i="23"/>
  <c r="M938" i="23"/>
  <c r="M900" i="23"/>
  <c r="M929" i="23"/>
  <c r="M943" i="23"/>
  <c r="M959" i="23"/>
  <c r="M1451" i="23"/>
  <c r="M758" i="23"/>
  <c r="M235" i="23"/>
  <c r="M238" i="23"/>
  <c r="M695" i="23"/>
  <c r="M915" i="23"/>
  <c r="M936" i="23"/>
  <c r="M968" i="23"/>
  <c r="M1461" i="23"/>
  <c r="M1481" i="23"/>
  <c r="M1483" i="23"/>
  <c r="M714" i="23"/>
  <c r="M1449" i="23"/>
  <c r="M1467" i="23"/>
  <c r="M753" i="23"/>
  <c r="M243" i="23"/>
  <c r="M260" i="23"/>
  <c r="M1613" i="23"/>
  <c r="M1610" i="23"/>
  <c r="M631" i="23"/>
  <c r="M634" i="23"/>
  <c r="M652" i="23"/>
  <c r="M593" i="23"/>
  <c r="M1489" i="23"/>
  <c r="M1491" i="23"/>
  <c r="M797" i="23"/>
  <c r="M446" i="23"/>
  <c r="M1526" i="23"/>
  <c r="M792" i="23"/>
  <c r="M470" i="23"/>
  <c r="M458" i="23"/>
  <c r="M558" i="23"/>
  <c r="M570" i="23"/>
  <c r="M549" i="23"/>
  <c r="M565" i="23"/>
  <c r="M1567" i="23"/>
  <c r="M343" i="23"/>
  <c r="M364" i="23"/>
  <c r="M380" i="23"/>
  <c r="M1225" i="23"/>
  <c r="M1270" i="23"/>
  <c r="M746" i="23"/>
  <c r="M745" i="23"/>
  <c r="M1254" i="23"/>
  <c r="M1271" i="23"/>
  <c r="M923" i="23"/>
  <c r="M956" i="23"/>
  <c r="M913" i="23"/>
  <c r="M970" i="23"/>
  <c r="M1444" i="23"/>
  <c r="M1456" i="23"/>
  <c r="M1589" i="23"/>
  <c r="M1594" i="23"/>
  <c r="M1037" i="23"/>
  <c r="M1101" i="23"/>
  <c r="M1070" i="23"/>
  <c r="M1079" i="23"/>
  <c r="M103" i="23"/>
  <c r="M70" i="23"/>
  <c r="M1063" i="23"/>
  <c r="M71" i="23"/>
  <c r="M68" i="23"/>
  <c r="M84" i="23"/>
  <c r="M824" i="23"/>
  <c r="M780" i="23"/>
  <c r="M27" i="23"/>
  <c r="M46" i="23"/>
  <c r="M1049" i="23"/>
  <c r="M1086" i="23"/>
  <c r="M1095" i="23"/>
  <c r="M75" i="23"/>
  <c r="M100" i="23"/>
  <c r="M808" i="23"/>
  <c r="M842" i="23"/>
  <c r="M841" i="23"/>
  <c r="M811" i="23"/>
  <c r="M835" i="23"/>
  <c r="M785" i="23"/>
  <c r="M35" i="23"/>
  <c r="M5" i="23"/>
  <c r="M871" i="23"/>
  <c r="M187" i="23"/>
  <c r="M182" i="23"/>
  <c r="M132" i="23"/>
  <c r="M1573" i="23"/>
  <c r="M1542" i="23"/>
  <c r="M1558" i="23"/>
  <c r="M351" i="23"/>
  <c r="M368" i="23"/>
  <c r="M1229" i="23"/>
  <c r="M1269" i="23"/>
  <c r="M352" i="23"/>
  <c r="M1253" i="23"/>
  <c r="M1256" i="23"/>
  <c r="M1233" i="23"/>
  <c r="M743" i="23"/>
  <c r="M949" i="23"/>
  <c r="M932" i="23"/>
  <c r="M904" i="23"/>
  <c r="M754" i="23"/>
  <c r="M251" i="23"/>
  <c r="M248" i="23"/>
  <c r="M264" i="23"/>
  <c r="M1598" i="23"/>
  <c r="M1053" i="23"/>
  <c r="M1096" i="23"/>
  <c r="M1057" i="23"/>
  <c r="M1077" i="23"/>
  <c r="M1064" i="23"/>
  <c r="M1058" i="23"/>
  <c r="M1074" i="23"/>
  <c r="M79" i="23"/>
  <c r="M72" i="23"/>
  <c r="M803" i="23"/>
  <c r="M802" i="23"/>
  <c r="M879" i="23"/>
  <c r="M203" i="23"/>
  <c r="M211" i="23"/>
  <c r="M206" i="23"/>
  <c r="M173" i="23"/>
  <c r="M672" i="23"/>
  <c r="M647" i="23"/>
  <c r="M611" i="23"/>
  <c r="M670" i="23"/>
  <c r="M615" i="23"/>
  <c r="M618" i="23"/>
  <c r="M650" i="23"/>
  <c r="M649" i="23"/>
  <c r="M1520" i="23"/>
  <c r="M1534" i="23"/>
  <c r="M1499" i="23"/>
  <c r="M184" i="23"/>
  <c r="M189" i="23"/>
  <c r="M603" i="23"/>
  <c r="M590" i="23"/>
  <c r="M596" i="23"/>
  <c r="M601" i="23"/>
  <c r="M1517" i="23"/>
  <c r="M1532" i="23"/>
  <c r="M660" i="23"/>
  <c r="M1525" i="23"/>
  <c r="M1505" i="23"/>
  <c r="M1486" i="23"/>
  <c r="M443" i="23"/>
  <c r="M436" i="23"/>
  <c r="M687" i="23"/>
  <c r="M690" i="23"/>
  <c r="M522" i="23"/>
  <c r="M971" i="23"/>
  <c r="M1473" i="23"/>
  <c r="M1479" i="23"/>
  <c r="M718" i="23"/>
  <c r="M218" i="23"/>
  <c r="M221" i="23"/>
  <c r="M1588" i="23"/>
  <c r="M1600" i="23"/>
  <c r="M256" i="23"/>
  <c r="M1597" i="23"/>
  <c r="M1606" i="23"/>
  <c r="M1587" i="23"/>
  <c r="M1041" i="23"/>
  <c r="M1082" i="23"/>
  <c r="M1091" i="23"/>
  <c r="M67" i="23"/>
  <c r="M22" i="23"/>
  <c r="M4" i="23"/>
  <c r="M33" i="23"/>
  <c r="M49" i="23"/>
  <c r="M143" i="23"/>
  <c r="M154" i="23"/>
  <c r="M186" i="23"/>
  <c r="M174" i="23"/>
  <c r="M166" i="23"/>
  <c r="M176" i="23"/>
  <c r="M192" i="23"/>
  <c r="M665" i="23"/>
  <c r="M587" i="23"/>
  <c r="M588" i="23"/>
  <c r="M604" i="23"/>
  <c r="M455" i="23"/>
  <c r="M460" i="23"/>
  <c r="M688" i="23"/>
  <c r="M547" i="23"/>
  <c r="M572" i="23"/>
  <c r="M767" i="23"/>
  <c r="M134" i="23"/>
  <c r="M130" i="23"/>
  <c r="M581" i="23"/>
  <c r="M135" i="23"/>
  <c r="M105" i="23"/>
  <c r="M121" i="23"/>
  <c r="M1554" i="23"/>
  <c r="M1583" i="23"/>
  <c r="M375" i="23"/>
  <c r="M358" i="23"/>
  <c r="M538" i="23"/>
  <c r="M533" i="23"/>
  <c r="M764" i="23"/>
  <c r="M123" i="23"/>
  <c r="M137" i="23"/>
  <c r="M1584" i="23"/>
  <c r="M1535" i="23"/>
  <c r="M1551" i="23"/>
  <c r="M1552" i="23"/>
  <c r="M1570" i="23"/>
  <c r="M674" i="23"/>
  <c r="M677" i="23"/>
  <c r="M353" i="23"/>
  <c r="M1220" i="23"/>
  <c r="M1222" i="23"/>
  <c r="M1238" i="23"/>
  <c r="M66" i="23"/>
  <c r="M69" i="23"/>
  <c r="M819" i="23"/>
  <c r="M814" i="23"/>
  <c r="M38" i="23"/>
  <c r="M8" i="23"/>
  <c r="M37" i="23"/>
  <c r="M53" i="23"/>
  <c r="M34" i="23"/>
  <c r="M21" i="23"/>
  <c r="M867" i="23"/>
  <c r="M858" i="23"/>
  <c r="M190" i="23"/>
  <c r="M180" i="23"/>
  <c r="M185" i="23"/>
  <c r="M201" i="23"/>
  <c r="M1500" i="23"/>
  <c r="M1498" i="23"/>
  <c r="M1527" i="23"/>
  <c r="M795" i="23"/>
  <c r="M464" i="23"/>
  <c r="M685" i="23"/>
  <c r="M550" i="23"/>
  <c r="M546" i="23"/>
  <c r="M682" i="23"/>
  <c r="M531" i="23"/>
  <c r="M560" i="23"/>
  <c r="M576" i="23"/>
  <c r="M115" i="23"/>
  <c r="M109" i="23"/>
  <c r="M1572" i="23"/>
  <c r="M1560" i="23"/>
  <c r="M1236" i="23"/>
  <c r="M1226" i="23"/>
  <c r="M1243" i="23"/>
  <c r="M1259" i="23"/>
  <c r="M933" i="23"/>
  <c r="M944" i="23"/>
  <c r="M942" i="23"/>
  <c r="M958" i="23"/>
  <c r="M920" i="23"/>
  <c r="M969" i="23"/>
  <c r="M963" i="23"/>
  <c r="M1452" i="23"/>
  <c r="M1471" i="23"/>
  <c r="M757" i="23"/>
  <c r="M254" i="23"/>
  <c r="M234" i="23"/>
  <c r="M693" i="23"/>
  <c r="M940" i="23"/>
  <c r="M901" i="23"/>
  <c r="M917" i="23"/>
  <c r="M1445" i="23"/>
  <c r="M1462" i="23"/>
  <c r="M716" i="23"/>
  <c r="M755" i="23"/>
  <c r="M1446" i="23"/>
  <c r="M719" i="23"/>
  <c r="M259" i="23"/>
  <c r="M223" i="23"/>
  <c r="M229" i="23"/>
  <c r="M1620" i="23"/>
  <c r="M1595" i="23"/>
  <c r="M595" i="23"/>
  <c r="M592" i="23"/>
  <c r="M597" i="23"/>
  <c r="M613" i="23"/>
  <c r="M1529" i="23"/>
  <c r="M1511" i="23"/>
  <c r="M462" i="23"/>
  <c r="M463" i="23"/>
  <c r="M1495" i="23"/>
  <c r="M801" i="23"/>
  <c r="M466" i="23"/>
  <c r="M448" i="23"/>
  <c r="M559" i="23"/>
  <c r="M544" i="23"/>
  <c r="M569" i="23"/>
  <c r="M585" i="23"/>
  <c r="M678" i="23"/>
  <c r="M383" i="23"/>
  <c r="M384" i="23"/>
  <c r="M357" i="23"/>
  <c r="M1265" i="23"/>
  <c r="M1227" i="23"/>
  <c r="M749" i="23"/>
  <c r="M698" i="23"/>
  <c r="M1211" i="23"/>
  <c r="M744" i="23"/>
  <c r="M903" i="23"/>
  <c r="M941" i="23"/>
  <c r="M937" i="23"/>
  <c r="M947" i="23"/>
  <c r="M1464" i="23"/>
  <c r="M1457" i="23"/>
  <c r="M1621" i="23"/>
  <c r="M1614" i="23"/>
  <c r="M1061" i="23"/>
  <c r="M1100" i="23"/>
  <c r="M1090" i="23"/>
  <c r="M1099" i="23"/>
  <c r="M86" i="23"/>
  <c r="M74" i="23"/>
  <c r="M1083" i="23"/>
  <c r="M59" i="23"/>
  <c r="M88" i="23"/>
  <c r="M57" i="23"/>
  <c r="M843" i="23"/>
  <c r="M789" i="23"/>
  <c r="M10" i="23"/>
  <c r="M42" i="23"/>
  <c r="M1089" i="23"/>
  <c r="M1035" i="23"/>
  <c r="M91" i="23"/>
  <c r="M94" i="23"/>
  <c r="M73" i="23"/>
  <c r="M822" i="23"/>
  <c r="M787" i="23"/>
  <c r="M779" i="23"/>
  <c r="M812" i="23"/>
  <c r="M836" i="23"/>
  <c r="M51" i="23"/>
  <c r="M7" i="23"/>
  <c r="M25" i="23"/>
  <c r="M883" i="23"/>
  <c r="M198" i="23"/>
  <c r="M159" i="23"/>
  <c r="M113" i="23"/>
  <c r="M1536" i="23"/>
  <c r="M1562" i="23"/>
  <c r="M1578" i="23"/>
  <c r="M355" i="23"/>
  <c r="M345" i="23"/>
  <c r="M1228" i="23"/>
  <c r="M1252" i="23"/>
  <c r="M372" i="23"/>
  <c r="M1245" i="23"/>
  <c r="M1241" i="23"/>
  <c r="M1214" i="23"/>
  <c r="M748" i="23"/>
  <c r="M911" i="23"/>
  <c r="M908" i="23"/>
  <c r="M924" i="23"/>
  <c r="M219" i="23"/>
  <c r="M270" i="23"/>
  <c r="M268" i="23"/>
  <c r="M233" i="23"/>
  <c r="M1618" i="23"/>
  <c r="M1093" i="23"/>
  <c r="M1065" i="23"/>
  <c r="M1097" i="23"/>
  <c r="M1069" i="23"/>
  <c r="M1104" i="23"/>
  <c r="M1078" i="23"/>
  <c r="M1094" i="23"/>
  <c r="M83" i="23"/>
  <c r="M92" i="23"/>
  <c r="M810" i="23"/>
  <c r="M805" i="23"/>
  <c r="M862" i="23"/>
  <c r="M214" i="23"/>
  <c r="M146" i="23"/>
  <c r="M178" i="23"/>
  <c r="M193" i="23"/>
  <c r="M619" i="23"/>
  <c r="M627" i="23"/>
  <c r="M614" i="23"/>
  <c r="M661" i="23"/>
  <c r="M655" i="23"/>
  <c r="M658" i="23"/>
  <c r="M600" i="23"/>
  <c r="M1516" i="23"/>
  <c r="M1513" i="23"/>
  <c r="M1503" i="23"/>
  <c r="M1519" i="23"/>
  <c r="M204" i="23"/>
  <c r="M209" i="23"/>
  <c r="M606" i="23"/>
  <c r="M591" i="23"/>
  <c r="M616" i="23"/>
  <c r="M621" i="23"/>
  <c r="M1492" i="23"/>
  <c r="M1496" i="23"/>
  <c r="M605" i="23"/>
  <c r="M1533" i="23"/>
  <c r="M1490" i="23"/>
  <c r="M1506" i="23"/>
  <c r="M447" i="23"/>
  <c r="M456" i="23"/>
  <c r="M684" i="23"/>
  <c r="M539" i="23"/>
  <c r="M297" i="23"/>
  <c r="M1021" i="23"/>
  <c r="M426" i="23"/>
  <c r="M769" i="23"/>
  <c r="M1372" i="23"/>
  <c r="M980" i="23"/>
  <c r="M387" i="23"/>
  <c r="M1331" i="23"/>
  <c r="M1391" i="23"/>
  <c r="M999" i="23"/>
  <c r="M976" i="23"/>
  <c r="M420" i="23"/>
  <c r="M1276" i="23"/>
  <c r="M1392" i="23"/>
  <c r="M985" i="23"/>
  <c r="M410" i="23"/>
  <c r="M896" i="23"/>
  <c r="M846" i="23"/>
  <c r="M431" i="23"/>
  <c r="M1280" i="23"/>
  <c r="M1346" i="23"/>
  <c r="M1130" i="23"/>
  <c r="M321" i="23"/>
  <c r="M1288" i="23"/>
  <c r="M1350" i="23"/>
  <c r="M1010" i="23"/>
  <c r="M389" i="23"/>
  <c r="M1364" i="23"/>
  <c r="M728" i="23"/>
  <c r="M308" i="23"/>
  <c r="M508" i="23"/>
  <c r="M1179" i="23"/>
  <c r="M1143" i="23"/>
  <c r="M395" i="23"/>
  <c r="M1282" i="23"/>
  <c r="M1343" i="23"/>
  <c r="M993" i="23"/>
  <c r="M419" i="23"/>
  <c r="M1322" i="23"/>
  <c r="M1340" i="23"/>
  <c r="M729" i="23"/>
  <c r="M390" i="23"/>
  <c r="M1294" i="23"/>
  <c r="M855" i="23"/>
  <c r="M995" i="23"/>
  <c r="M986" i="23"/>
  <c r="M432" i="23"/>
  <c r="M1311" i="23"/>
  <c r="M1380" i="23"/>
  <c r="M997" i="23"/>
  <c r="M388" i="23"/>
  <c r="M1315" i="23"/>
  <c r="M848" i="23"/>
  <c r="M323" i="23"/>
  <c r="M1274" i="23"/>
  <c r="M1342" i="23"/>
  <c r="M1155" i="23"/>
  <c r="M333" i="23"/>
  <c r="M1333" i="23"/>
  <c r="M1369" i="23"/>
  <c r="M977" i="23"/>
  <c r="M401" i="23"/>
  <c r="M865" i="23"/>
  <c r="M725" i="23"/>
  <c r="M427" i="23"/>
  <c r="M509" i="23"/>
  <c r="M1175" i="23"/>
  <c r="M1020" i="23"/>
  <c r="M398" i="23"/>
  <c r="M1281" i="23"/>
  <c r="M1378" i="23"/>
  <c r="M1006" i="23"/>
  <c r="M275" i="23"/>
  <c r="M487" i="23"/>
  <c r="M1275" i="23"/>
  <c r="M1406" i="23"/>
  <c r="M294" i="23"/>
  <c r="M495" i="23"/>
  <c r="M1190" i="23"/>
  <c r="M1112" i="23"/>
  <c r="M300" i="23"/>
  <c r="M279" i="23"/>
  <c r="M480" i="23"/>
  <c r="M1327" i="23"/>
  <c r="M1387" i="23"/>
  <c r="M319" i="23"/>
  <c r="M502" i="23"/>
  <c r="M1171" i="23"/>
  <c r="M1138" i="23"/>
  <c r="M281" i="23"/>
  <c r="M857" i="23"/>
  <c r="M706" i="23"/>
  <c r="M1032" i="23"/>
  <c r="M397" i="23"/>
  <c r="M861" i="23"/>
  <c r="M849" i="23"/>
  <c r="M306" i="23"/>
  <c r="M500" i="23"/>
  <c r="M1395" i="23"/>
  <c r="M987" i="23"/>
  <c r="M740" i="23"/>
  <c r="M1304" i="23"/>
  <c r="M1358" i="23"/>
  <c r="M1002" i="23"/>
  <c r="M733" i="23"/>
  <c r="M1189" i="23"/>
  <c r="M1116" i="23"/>
  <c r="M1142" i="23"/>
  <c r="M340" i="23"/>
  <c r="M770" i="23"/>
  <c r="M1197" i="23"/>
  <c r="M1132" i="23"/>
  <c r="M296" i="23"/>
  <c r="M768" i="23"/>
  <c r="M1396" i="23"/>
  <c r="M1013" i="23"/>
  <c r="M1127" i="23"/>
  <c r="M305" i="23"/>
  <c r="M496" i="23"/>
  <c r="M1158" i="23"/>
  <c r="M1121" i="23"/>
  <c r="M332" i="23"/>
  <c r="M1308" i="23"/>
  <c r="M1400" i="23"/>
  <c r="M1024" i="23"/>
  <c r="M497" i="23"/>
  <c r="M1163" i="23"/>
  <c r="M701" i="23"/>
  <c r="M311" i="23"/>
  <c r="M501" i="23"/>
  <c r="M1167" i="23"/>
  <c r="M1150" i="23"/>
  <c r="M325" i="23"/>
  <c r="M1296" i="23"/>
  <c r="M1157" i="23"/>
  <c r="M292" i="23"/>
  <c r="M491" i="23"/>
  <c r="M873" i="23"/>
  <c r="M1156" i="23"/>
  <c r="M298" i="23"/>
  <c r="M773" i="23"/>
  <c r="M1388" i="23"/>
  <c r="M726" i="23"/>
  <c r="M1371" i="23"/>
  <c r="M1011" i="23"/>
  <c r="M407" i="23"/>
  <c r="M1314" i="23"/>
  <c r="M1375" i="23"/>
  <c r="M983" i="23"/>
  <c r="M518" i="23"/>
  <c r="M1160" i="23"/>
  <c r="M881" i="23"/>
  <c r="M853" i="23"/>
  <c r="M326" i="23"/>
  <c r="M422" i="23"/>
  <c r="M1287" i="23"/>
  <c r="M854" i="23"/>
  <c r="M334" i="23"/>
  <c r="M492" i="23"/>
  <c r="M1209" i="23"/>
  <c r="M1022" i="23"/>
  <c r="M417" i="23"/>
  <c r="M1321" i="23"/>
  <c r="M1409" i="23"/>
  <c r="M1016" i="23"/>
  <c r="M424" i="23"/>
  <c r="M880" i="23"/>
  <c r="M702" i="23"/>
  <c r="M318" i="23"/>
  <c r="M1326" i="23"/>
  <c r="M1394" i="23"/>
  <c r="M732" i="23"/>
  <c r="M832" i="23"/>
  <c r="M1330" i="23"/>
  <c r="M1398" i="23"/>
  <c r="M994" i="23"/>
  <c r="M739" i="23"/>
  <c r="M1173" i="23"/>
  <c r="M850" i="23"/>
  <c r="M1023" i="23"/>
  <c r="M400" i="23"/>
  <c r="M1278" i="23"/>
  <c r="M1339" i="23"/>
  <c r="M979" i="23"/>
  <c r="M526" i="23"/>
  <c r="M1184" i="23"/>
  <c r="M1129" i="23"/>
  <c r="M704" i="23"/>
  <c r="M310" i="23"/>
  <c r="M385" i="23"/>
  <c r="M1299" i="23"/>
  <c r="M708" i="23"/>
  <c r="M1031" i="23"/>
  <c r="M499" i="23"/>
  <c r="M1201" i="23"/>
  <c r="M1126" i="23"/>
  <c r="M429" i="23"/>
  <c r="M893" i="23"/>
  <c r="M1362" i="23"/>
  <c r="M1008" i="23"/>
  <c r="M738" i="23"/>
  <c r="M892" i="23"/>
  <c r="M1124" i="23"/>
  <c r="M327" i="23"/>
  <c r="M488" i="23"/>
  <c r="M1390" i="23"/>
  <c r="M975" i="23"/>
  <c r="M833" i="23"/>
  <c r="M1312" i="23"/>
  <c r="M1355" i="23"/>
  <c r="M990" i="23"/>
  <c r="M503" i="23"/>
  <c r="M1165" i="23"/>
  <c r="M1052" i="23"/>
  <c r="M1136" i="23"/>
  <c r="M328" i="23"/>
  <c r="M510" i="23"/>
  <c r="M1176" i="23"/>
  <c r="M1153" i="23"/>
  <c r="M284" i="23"/>
  <c r="M1325" i="23"/>
  <c r="M1348" i="23"/>
  <c r="M1199" i="23"/>
  <c r="M1118" i="23"/>
  <c r="M293" i="23"/>
  <c r="M483" i="23"/>
  <c r="M1193" i="23"/>
  <c r="M1122" i="23"/>
  <c r="M336" i="23"/>
  <c r="M1272" i="23"/>
  <c r="M1376" i="23"/>
  <c r="M280" i="23"/>
  <c r="M528" i="23"/>
  <c r="M1180" i="23"/>
  <c r="M844" i="23"/>
  <c r="M287" i="23"/>
  <c r="M484" i="23"/>
  <c r="M1210" i="23"/>
  <c r="M1135" i="23"/>
  <c r="M329" i="23"/>
  <c r="M1200" i="23"/>
  <c r="M1133" i="23"/>
  <c r="M991" i="23"/>
  <c r="M735" i="23"/>
  <c r="M1208" i="23"/>
  <c r="M705" i="23"/>
  <c r="M274" i="23"/>
  <c r="M489" i="23"/>
  <c r="M1397" i="23"/>
  <c r="M1337" i="23"/>
  <c r="M973" i="23"/>
  <c r="M273" i="23"/>
  <c r="M771" i="23"/>
  <c r="M1345" i="23"/>
  <c r="M721" i="23"/>
  <c r="M415" i="23"/>
  <c r="M1318" i="23"/>
  <c r="M1379" i="23"/>
  <c r="M1377" i="23"/>
  <c r="M984" i="23"/>
  <c r="M309" i="23"/>
  <c r="M777" i="23"/>
  <c r="M1338" i="23"/>
  <c r="M992" i="23"/>
  <c r="M418" i="23"/>
  <c r="M1291" i="23"/>
  <c r="M847" i="23"/>
  <c r="M830" i="23"/>
  <c r="M1289" i="23"/>
  <c r="M1206" i="23"/>
  <c r="M1134" i="23"/>
  <c r="M825" i="23"/>
  <c r="M1332" i="23"/>
  <c r="M1402" i="23"/>
  <c r="M982" i="23"/>
  <c r="M393" i="23"/>
  <c r="M1349" i="23"/>
  <c r="M722" i="23"/>
  <c r="M342" i="23"/>
  <c r="M485" i="23"/>
  <c r="M1365" i="23"/>
  <c r="M1147" i="23"/>
  <c r="M403" i="23"/>
  <c r="M1329" i="23"/>
  <c r="M1161" i="23"/>
  <c r="M851" i="23"/>
  <c r="M1026" i="23"/>
  <c r="M475" i="23"/>
  <c r="M1196" i="23"/>
  <c r="M1128" i="23"/>
  <c r="M324" i="23"/>
  <c r="M529" i="23"/>
  <c r="M504" i="23"/>
  <c r="M1166" i="23"/>
  <c r="M707" i="23"/>
  <c r="M278" i="23"/>
  <c r="M519" i="23"/>
  <c r="M1177" i="23"/>
  <c r="M1145" i="23"/>
  <c r="M289" i="23"/>
  <c r="M1292" i="23"/>
  <c r="M709" i="23"/>
  <c r="M315" i="23"/>
  <c r="M421" i="23"/>
  <c r="M1335" i="23"/>
  <c r="M1117" i="23"/>
  <c r="M331" i="23"/>
  <c r="M476" i="23"/>
  <c r="M1202" i="23"/>
  <c r="M1111" i="23"/>
  <c r="M737" i="23"/>
  <c r="M1164" i="23"/>
  <c r="M1382" i="23"/>
  <c r="M978" i="23"/>
  <c r="M478" i="23"/>
  <c r="M885" i="23"/>
  <c r="M1105" i="23"/>
  <c r="M276" i="23"/>
  <c r="M481" i="23"/>
  <c r="M1185" i="23"/>
  <c r="M1144" i="23"/>
  <c r="M1027" i="23"/>
  <c r="M523" i="23"/>
  <c r="M1162" i="23"/>
  <c r="M1152" i="23"/>
  <c r="M288" i="23"/>
  <c r="M525" i="23"/>
  <c r="M1381" i="23"/>
  <c r="M1178" i="23"/>
  <c r="M1154" i="23"/>
  <c r="M295" i="23"/>
  <c r="M511" i="23"/>
  <c r="M1198" i="23"/>
  <c r="M1110" i="23"/>
  <c r="M828" i="23"/>
  <c r="M1317" i="23"/>
  <c r="M1384" i="23"/>
  <c r="M299" i="23"/>
  <c r="M516" i="23"/>
  <c r="M876" i="23"/>
  <c r="M711" i="23"/>
  <c r="M282" i="23"/>
  <c r="M530" i="23"/>
  <c r="M1207" i="23"/>
  <c r="M1123" i="23"/>
  <c r="M486" i="23"/>
  <c r="M1188" i="23"/>
  <c r="M1149" i="23"/>
  <c r="M974" i="23"/>
  <c r="M433" i="23"/>
  <c r="M897" i="23"/>
  <c r="M1125" i="23"/>
  <c r="M304" i="23"/>
  <c r="M477" i="23"/>
  <c r="M1316" i="23"/>
  <c r="M1360" i="23"/>
  <c r="M989" i="23"/>
  <c r="M338" i="23"/>
  <c r="M521" i="23"/>
  <c r="M1405" i="23"/>
  <c r="M1005" i="23"/>
  <c r="M396" i="23"/>
  <c r="M1306" i="23"/>
  <c r="M1328" i="23"/>
  <c r="M1353" i="23"/>
  <c r="M1119" i="23"/>
  <c r="M320" i="23"/>
  <c r="M776" i="23"/>
  <c r="M1344" i="23"/>
  <c r="M1028" i="23"/>
  <c r="M416" i="23"/>
  <c r="M1295" i="23"/>
  <c r="M730" i="23"/>
  <c r="M341" i="23"/>
  <c r="M473" i="23"/>
  <c r="M1194" i="23"/>
  <c r="M724" i="23"/>
  <c r="M313" i="23"/>
  <c r="M1284" i="23"/>
  <c r="M1393" i="23"/>
  <c r="M1033" i="23"/>
  <c r="M517" i="23"/>
  <c r="M1389" i="23"/>
  <c r="M1108" i="23"/>
  <c r="M286" i="23"/>
  <c r="M775" i="23"/>
  <c r="M1203" i="23"/>
  <c r="M972" i="23"/>
  <c r="M829" i="23"/>
  <c r="M1305" i="23"/>
  <c r="M1283" i="23"/>
  <c r="M1407" i="23"/>
  <c r="M1029" i="23"/>
  <c r="M430" i="23"/>
  <c r="M1303" i="23"/>
  <c r="M1363" i="23"/>
  <c r="M303" i="23"/>
  <c r="M494" i="23"/>
  <c r="M1168" i="23"/>
  <c r="M1319" i="23"/>
  <c r="M852" i="23"/>
  <c r="M1012" i="23"/>
  <c r="M386" i="23"/>
  <c r="M884" i="23"/>
  <c r="M1399" i="23"/>
  <c r="M339" i="23"/>
  <c r="M514" i="23"/>
  <c r="M1359" i="23"/>
  <c r="M1017" i="23"/>
  <c r="M405" i="23"/>
  <c r="M1324" i="23"/>
  <c r="M1385" i="23"/>
  <c r="M1025" i="23"/>
  <c r="M428" i="23"/>
  <c r="M1205" i="23"/>
  <c r="M710" i="23"/>
  <c r="M402" i="23"/>
  <c r="M1298" i="23"/>
  <c r="M1404" i="23"/>
  <c r="M1131" i="23"/>
  <c r="M826" i="23"/>
  <c r="M1297" i="23"/>
  <c r="M1386" i="23"/>
  <c r="M1030" i="23"/>
  <c r="M734" i="23"/>
  <c r="M774" i="23"/>
  <c r="M1169" i="23"/>
  <c r="M1140" i="23"/>
  <c r="M301" i="23"/>
  <c r="M513" i="23"/>
  <c r="M1373" i="23"/>
  <c r="M981" i="23"/>
  <c r="M406" i="23"/>
  <c r="M317" i="23"/>
  <c r="M1293" i="23"/>
  <c r="M1186" i="23"/>
  <c r="M1113" i="23"/>
  <c r="M337" i="23"/>
  <c r="M1309" i="23"/>
  <c r="M1366" i="23"/>
  <c r="M996" i="23"/>
  <c r="M392" i="23"/>
  <c r="M1159" i="23"/>
  <c r="M1139" i="23"/>
  <c r="M335" i="23"/>
  <c r="M506" i="23"/>
  <c r="M1195" i="23"/>
  <c r="M1146" i="23"/>
  <c r="M414" i="23"/>
  <c r="M1320" i="23"/>
  <c r="M1106" i="23"/>
  <c r="M314" i="23"/>
  <c r="M493" i="23"/>
  <c r="M869" i="23"/>
  <c r="M1109" i="23"/>
  <c r="M322" i="23"/>
  <c r="M524" i="23"/>
  <c r="M1356" i="23"/>
  <c r="M723" i="23"/>
  <c r="M1611" i="23"/>
  <c r="M772" i="23"/>
  <c r="M1336" i="23"/>
  <c r="M1120" i="23"/>
  <c r="M272" i="23"/>
  <c r="M1285" i="23"/>
  <c r="M1357" i="23"/>
  <c r="M1000" i="23"/>
  <c r="M394" i="23"/>
  <c r="M1310" i="23"/>
  <c r="M1277" i="23"/>
  <c r="M1408" i="23"/>
  <c r="M1137" i="23"/>
  <c r="M285" i="23"/>
  <c r="M1300" i="23"/>
  <c r="M1352" i="23"/>
  <c r="M1009" i="23"/>
  <c r="M404" i="23"/>
  <c r="M1341" i="23"/>
  <c r="M1151" i="23"/>
  <c r="M831" i="23"/>
  <c r="M498" i="23"/>
  <c r="M1182" i="23"/>
  <c r="M1107" i="23"/>
  <c r="M827" i="23"/>
  <c r="M1313" i="23"/>
  <c r="M1401" i="23"/>
  <c r="M316" i="23"/>
  <c r="M505" i="23"/>
  <c r="M1204" i="23"/>
  <c r="M1148" i="23"/>
  <c r="M302" i="23"/>
  <c r="M520" i="23"/>
  <c r="M1191" i="23"/>
  <c r="M731" i="23"/>
  <c r="M399" i="23"/>
  <c r="M408" i="23"/>
  <c r="M1334" i="23"/>
  <c r="M1368" i="23"/>
  <c r="M988" i="23"/>
  <c r="M391" i="23"/>
  <c r="M1290" i="23"/>
  <c r="M1351" i="23"/>
  <c r="M1007" i="23"/>
  <c r="M527" i="23"/>
  <c r="M409" i="23"/>
  <c r="M1307" i="23"/>
  <c r="M1361" i="23"/>
  <c r="M1004" i="23"/>
  <c r="M413" i="23"/>
  <c r="M1279" i="23"/>
  <c r="M1403" i="23"/>
  <c r="M307" i="23"/>
  <c r="M490" i="23"/>
  <c r="M1354" i="23"/>
  <c r="M998" i="23"/>
  <c r="M834" i="23"/>
  <c r="M1301" i="23"/>
  <c r="M1374" i="23"/>
  <c r="M1001" i="23"/>
  <c r="M507" i="23"/>
  <c r="M877" i="23"/>
  <c r="M703" i="23"/>
  <c r="M411" i="23"/>
  <c r="M1286" i="23"/>
  <c r="M1187" i="23"/>
  <c r="M727" i="23"/>
  <c r="M423" i="23"/>
  <c r="M1273" i="23"/>
  <c r="M1367" i="23"/>
  <c r="M1018" i="23"/>
  <c r="M1085" i="23"/>
  <c r="M479" i="23"/>
  <c r="M1192" i="23"/>
  <c r="M1347" i="23"/>
  <c r="M1003" i="23"/>
  <c r="M515" i="23"/>
  <c r="M1172" i="23"/>
  <c r="M1114" i="23"/>
  <c r="M312" i="23"/>
  <c r="M290" i="23"/>
  <c r="M474" i="23"/>
  <c r="M1170" i="23"/>
  <c r="M1383" i="23"/>
  <c r="M291" i="23"/>
  <c r="M482" i="23"/>
  <c r="M1174" i="23"/>
  <c r="M1115" i="23"/>
  <c r="M277" i="23"/>
  <c r="M1181" i="23"/>
  <c r="M712" i="23"/>
  <c r="M1014" i="23"/>
  <c r="M412" i="23"/>
  <c r="M1323" i="23"/>
  <c r="M845" i="23"/>
  <c r="M283" i="23"/>
  <c r="M512" i="23"/>
  <c r="M1183" i="23"/>
  <c r="M1015" i="23"/>
  <c r="M736" i="23"/>
  <c r="M1302" i="23"/>
  <c r="M1370" i="23"/>
  <c r="M1019" i="23"/>
  <c r="M425" i="23"/>
  <c r="M889" i="23"/>
  <c r="M1141" i="23"/>
  <c r="M330" i="23"/>
  <c r="AT194" i="20" l="1"/>
  <c r="AN194" i="20"/>
  <c r="H194" i="20"/>
  <c r="AI194" i="20"/>
  <c r="AC194" i="20"/>
  <c r="AW194" i="20"/>
  <c r="B194" i="20"/>
  <c r="B195" i="20"/>
  <c r="Z178" i="2"/>
  <c r="AA179" i="2"/>
  <c r="AB179" i="2" s="1"/>
  <c r="Q180" i="2"/>
  <c r="T180" i="2" s="1"/>
  <c r="X181" i="2"/>
  <c r="J182" i="2"/>
  <c r="N196" i="20" s="1"/>
  <c r="W182" i="2"/>
  <c r="A184" i="2"/>
  <c r="D183" i="2"/>
  <c r="G183" i="2"/>
  <c r="H183" i="2"/>
  <c r="K183" i="2" s="1"/>
  <c r="AN196" i="20" l="1"/>
  <c r="AI196" i="20"/>
  <c r="AW196" i="20"/>
  <c r="AT196" i="20"/>
  <c r="H196" i="20"/>
  <c r="B196" i="20"/>
  <c r="AC196" i="20"/>
  <c r="B197" i="20"/>
  <c r="Q181" i="2"/>
  <c r="T181" i="2" s="1"/>
  <c r="X182" i="2"/>
  <c r="A185" i="2"/>
  <c r="D184" i="2"/>
  <c r="G184" i="2"/>
  <c r="H184" i="2"/>
  <c r="K184" i="2" s="1"/>
  <c r="J183" i="2"/>
  <c r="N198" i="20" s="1"/>
  <c r="W183" i="2"/>
  <c r="B199" i="20" l="1"/>
  <c r="H198" i="20"/>
  <c r="AT198" i="20"/>
  <c r="AC198" i="20"/>
  <c r="B198" i="20"/>
  <c r="AN198" i="20"/>
  <c r="AW198" i="20"/>
  <c r="AI198" i="20"/>
  <c r="Q182" i="2"/>
  <c r="T182" i="2" s="1"/>
  <c r="X183" i="2"/>
  <c r="J184" i="2"/>
  <c r="N200" i="20" s="1"/>
  <c r="B201" i="20" s="1"/>
  <c r="W184" i="2"/>
  <c r="A186" i="2"/>
  <c r="D185" i="2"/>
  <c r="G185" i="2"/>
  <c r="H185" i="2"/>
  <c r="K185" i="2" s="1"/>
  <c r="AW200" i="20" l="1"/>
  <c r="H200" i="20"/>
  <c r="AI200" i="20"/>
  <c r="AT200" i="20"/>
  <c r="AC200" i="20"/>
  <c r="B200" i="20"/>
  <c r="AN200" i="20"/>
  <c r="Q183" i="2"/>
  <c r="T183" i="2" s="1"/>
  <c r="X184" i="2"/>
  <c r="W185" i="2"/>
  <c r="J185" i="2"/>
  <c r="N202" i="20" s="1"/>
  <c r="A187" i="2"/>
  <c r="D186" i="2"/>
  <c r="G186" i="2"/>
  <c r="H186" i="2"/>
  <c r="K186" i="2" s="1"/>
  <c r="AT202" i="20" l="1"/>
  <c r="AW202" i="20"/>
  <c r="B202" i="20"/>
  <c r="AC202" i="20"/>
  <c r="AI202" i="20"/>
  <c r="H202" i="20"/>
  <c r="AN202" i="20"/>
  <c r="B203" i="20"/>
  <c r="Q184" i="2"/>
  <c r="T184" i="2" s="1"/>
  <c r="X185" i="2"/>
  <c r="A188" i="2"/>
  <c r="D187" i="2"/>
  <c r="G187" i="2"/>
  <c r="H187" i="2"/>
  <c r="K187" i="2" s="1"/>
  <c r="J186" i="2"/>
  <c r="N204" i="20" s="1"/>
  <c r="W186" i="2"/>
  <c r="AN204" i="20" l="1"/>
  <c r="AI204" i="20"/>
  <c r="AC204" i="20"/>
  <c r="H204" i="20"/>
  <c r="AW204" i="20"/>
  <c r="AT204" i="20"/>
  <c r="B204" i="20"/>
  <c r="B205" i="20"/>
  <c r="Q185" i="2"/>
  <c r="T185" i="2" s="1"/>
  <c r="X186" i="2"/>
  <c r="W187" i="2"/>
  <c r="J187" i="2"/>
  <c r="N206" i="20" s="1"/>
  <c r="A189" i="2"/>
  <c r="D188" i="2"/>
  <c r="G188" i="2"/>
  <c r="H188" i="2"/>
  <c r="K188" i="2" s="1"/>
  <c r="B207" i="20" l="1"/>
  <c r="H206" i="20"/>
  <c r="AN206" i="20"/>
  <c r="AC206" i="20"/>
  <c r="B206" i="20"/>
  <c r="AT206" i="20"/>
  <c r="AW206" i="20"/>
  <c r="AI206" i="20"/>
  <c r="Q187" i="2"/>
  <c r="T187" i="2" s="1"/>
  <c r="Q186" i="2"/>
  <c r="T186" i="2" s="1"/>
  <c r="J188" i="2"/>
  <c r="N208" i="20" s="1"/>
  <c r="A190" i="2"/>
  <c r="AA190" i="2" s="1"/>
  <c r="AB190" i="2" s="1"/>
  <c r="D189" i="2"/>
  <c r="G189" i="2"/>
  <c r="H189" i="2"/>
  <c r="K189" i="2" s="1"/>
  <c r="X187" i="2"/>
  <c r="B209" i="20" l="1"/>
  <c r="AI208" i="20"/>
  <c r="AT208" i="20"/>
  <c r="AC208" i="20"/>
  <c r="B208" i="20"/>
  <c r="AN208" i="20"/>
  <c r="AW208" i="20"/>
  <c r="H208" i="20"/>
  <c r="X188" i="2"/>
  <c r="A191" i="2"/>
  <c r="AA191" i="2" s="1"/>
  <c r="AB191" i="2" s="1"/>
  <c r="G190" i="2"/>
  <c r="D190" i="2"/>
  <c r="P190" i="2"/>
  <c r="H190" i="2"/>
  <c r="K190" i="2" s="1"/>
  <c r="Q190" i="2"/>
  <c r="T190" i="2" s="1"/>
  <c r="P187" i="2"/>
  <c r="J189" i="2"/>
  <c r="N210" i="20" s="1"/>
  <c r="AW210" i="20" l="1"/>
  <c r="AT210" i="20"/>
  <c r="AC210" i="20"/>
  <c r="AN210" i="20"/>
  <c r="AI210" i="20"/>
  <c r="B210" i="20"/>
  <c r="H210" i="20" s="1"/>
  <c r="B211" i="20"/>
  <c r="Q189" i="2" s="1"/>
  <c r="T189" i="2" s="1"/>
  <c r="AA187" i="2"/>
  <c r="AB187" i="2" s="1"/>
  <c r="S190" i="2"/>
  <c r="Q188" i="2"/>
  <c r="T188" i="2" s="1"/>
  <c r="S187" i="2"/>
  <c r="J190" i="2"/>
  <c r="X190" i="2" s="1"/>
  <c r="W190" i="2"/>
  <c r="X189" i="2"/>
  <c r="A192" i="2"/>
  <c r="AA192" i="2" s="1"/>
  <c r="AB192" i="2" s="1"/>
  <c r="D191" i="2"/>
  <c r="P191" i="2"/>
  <c r="G191" i="2"/>
  <c r="H191" i="2"/>
  <c r="K191" i="2" s="1"/>
  <c r="Q191" i="2"/>
  <c r="T191" i="2" s="1"/>
  <c r="Z187" i="2" l="1"/>
  <c r="AA189" i="2"/>
  <c r="AB189" i="2" s="1"/>
  <c r="Z190" i="2"/>
  <c r="S191" i="2"/>
  <c r="P189" i="2"/>
  <c r="A193" i="2"/>
  <c r="AA193" i="2" s="1"/>
  <c r="AB193" i="2" s="1"/>
  <c r="G192" i="2"/>
  <c r="D192" i="2"/>
  <c r="P192" i="2"/>
  <c r="H192" i="2"/>
  <c r="K192" i="2" s="1"/>
  <c r="Q192" i="2"/>
  <c r="T192" i="2" s="1"/>
  <c r="J191" i="2"/>
  <c r="X191" i="2" s="1"/>
  <c r="W191" i="2"/>
  <c r="Z191" i="2" l="1"/>
  <c r="S192" i="2"/>
  <c r="S189" i="2"/>
  <c r="W189" i="2" s="1"/>
  <c r="J192" i="2"/>
  <c r="X192" i="2" s="1"/>
  <c r="W192" i="2"/>
  <c r="A194" i="2"/>
  <c r="AA194" i="2" s="1"/>
  <c r="AB194" i="2" s="1"/>
  <c r="D193" i="2"/>
  <c r="G193" i="2"/>
  <c r="P193" i="2"/>
  <c r="H193" i="2"/>
  <c r="K193" i="2" s="1"/>
  <c r="Q193" i="2"/>
  <c r="T193" i="2" s="1"/>
  <c r="Z192" i="2" l="1"/>
  <c r="Z189" i="2"/>
  <c r="A195" i="2"/>
  <c r="AA195" i="2" s="1"/>
  <c r="AB195" i="2" s="1"/>
  <c r="D194" i="2"/>
  <c r="G194" i="2"/>
  <c r="P194" i="2"/>
  <c r="H194" i="2"/>
  <c r="K194" i="2" s="1"/>
  <c r="Q194" i="2"/>
  <c r="T194" i="2" s="1"/>
  <c r="S193" i="2"/>
  <c r="J193" i="2"/>
  <c r="X193" i="2" s="1"/>
  <c r="W193" i="2"/>
  <c r="Z193" i="2" l="1"/>
  <c r="J194" i="2"/>
  <c r="X194" i="2" s="1"/>
  <c r="W194" i="2"/>
  <c r="S194" i="2"/>
  <c r="A196" i="2"/>
  <c r="AA196" i="2" s="1"/>
  <c r="AB196" i="2" s="1"/>
  <c r="D195" i="2"/>
  <c r="P195" i="2"/>
  <c r="G195" i="2"/>
  <c r="H195" i="2"/>
  <c r="K195" i="2" s="1"/>
  <c r="Q195" i="2"/>
  <c r="T195" i="2" s="1"/>
  <c r="Z194" i="2" l="1"/>
  <c r="S195" i="2"/>
  <c r="J195" i="2"/>
  <c r="X195" i="2" s="1"/>
  <c r="W195" i="2"/>
  <c r="A197" i="2"/>
  <c r="AA197" i="2" s="1"/>
  <c r="AB197" i="2" s="1"/>
  <c r="G196" i="2"/>
  <c r="P196" i="2"/>
  <c r="D196" i="2"/>
  <c r="H196" i="2"/>
  <c r="K196" i="2" s="1"/>
  <c r="Q196" i="2"/>
  <c r="T196" i="2" s="1"/>
  <c r="Z195" i="2" l="1"/>
  <c r="S196" i="2"/>
  <c r="J196" i="2"/>
  <c r="X196" i="2" s="1"/>
  <c r="W196" i="2"/>
  <c r="A198" i="2"/>
  <c r="AA198" i="2" s="1"/>
  <c r="AB198" i="2" s="1"/>
  <c r="D197" i="2"/>
  <c r="G197" i="2"/>
  <c r="P197" i="2"/>
  <c r="H197" i="2"/>
  <c r="K197" i="2" s="1"/>
  <c r="Q197" i="2"/>
  <c r="T197" i="2" s="1"/>
  <c r="Z196" i="2" l="1"/>
  <c r="A199" i="2"/>
  <c r="AA199" i="2" s="1"/>
  <c r="AB199" i="2" s="1"/>
  <c r="D198" i="2"/>
  <c r="G198" i="2"/>
  <c r="P198" i="2"/>
  <c r="H198" i="2"/>
  <c r="K198" i="2" s="1"/>
  <c r="Q198" i="2"/>
  <c r="T198" i="2" s="1"/>
  <c r="S197" i="2"/>
  <c r="J197" i="2"/>
  <c r="X197" i="2" s="1"/>
  <c r="W197" i="2"/>
  <c r="Z197" i="2" l="1"/>
  <c r="S198" i="2"/>
  <c r="J198" i="2"/>
  <c r="X198" i="2" s="1"/>
  <c r="W198" i="2"/>
  <c r="A200" i="2"/>
  <c r="AA200" i="2" s="1"/>
  <c r="AB200" i="2" s="1"/>
  <c r="D199" i="2"/>
  <c r="P199" i="2"/>
  <c r="G199" i="2"/>
  <c r="H199" i="2"/>
  <c r="K199" i="2" s="1"/>
  <c r="Q199" i="2"/>
  <c r="T199" i="2" s="1"/>
  <c r="Z198" i="2" l="1"/>
  <c r="S199" i="2"/>
  <c r="J199" i="2"/>
  <c r="X199" i="2" s="1"/>
  <c r="W199" i="2"/>
  <c r="A201" i="2"/>
  <c r="AA201" i="2" s="1"/>
  <c r="AB201" i="2" s="1"/>
  <c r="D200" i="2"/>
  <c r="G200" i="2"/>
  <c r="P200" i="2"/>
  <c r="H200" i="2"/>
  <c r="K200" i="2" s="1"/>
  <c r="Q200" i="2"/>
  <c r="T200" i="2" s="1"/>
  <c r="Z199" i="2" l="1"/>
  <c r="S200" i="2"/>
  <c r="A202" i="2"/>
  <c r="AA202" i="2" s="1"/>
  <c r="AB202" i="2" s="1"/>
  <c r="D201" i="2"/>
  <c r="G201" i="2"/>
  <c r="P201" i="2"/>
  <c r="H201" i="2"/>
  <c r="K201" i="2" s="1"/>
  <c r="Q201" i="2"/>
  <c r="T201" i="2" s="1"/>
  <c r="J200" i="2"/>
  <c r="X200" i="2" s="1"/>
  <c r="W200" i="2"/>
  <c r="Z200" i="2" l="1"/>
  <c r="S201" i="2"/>
  <c r="J201" i="2"/>
  <c r="X201" i="2" s="1"/>
  <c r="W201" i="2"/>
  <c r="A203" i="2"/>
  <c r="AA203" i="2" s="1"/>
  <c r="AB203" i="2" s="1"/>
  <c r="D202" i="2"/>
  <c r="G202" i="2"/>
  <c r="P202" i="2"/>
  <c r="H202" i="2"/>
  <c r="K202" i="2" s="1"/>
  <c r="Q202" i="2"/>
  <c r="T202" i="2" s="1"/>
  <c r="Z201" i="2" l="1"/>
  <c r="S202" i="2"/>
  <c r="J202" i="2"/>
  <c r="X202" i="2" s="1"/>
  <c r="W202" i="2"/>
  <c r="A204" i="2"/>
  <c r="AA204" i="2" s="1"/>
  <c r="AB204" i="2" s="1"/>
  <c r="D203" i="2"/>
  <c r="P203" i="2"/>
  <c r="G203" i="2"/>
  <c r="H203" i="2"/>
  <c r="K203" i="2" s="1"/>
  <c r="Q203" i="2"/>
  <c r="T203" i="2" s="1"/>
  <c r="Z202" i="2" l="1"/>
  <c r="S203" i="2"/>
  <c r="A205" i="2"/>
  <c r="AA205" i="2" s="1"/>
  <c r="AB205" i="2" s="1"/>
  <c r="G204" i="2"/>
  <c r="D204" i="2"/>
  <c r="P204" i="2"/>
  <c r="H204" i="2"/>
  <c r="K204" i="2" s="1"/>
  <c r="Q204" i="2"/>
  <c r="T204" i="2" s="1"/>
  <c r="J203" i="2"/>
  <c r="X203" i="2" s="1"/>
  <c r="W203" i="2"/>
  <c r="Z203" i="2" l="1"/>
  <c r="S204" i="2"/>
  <c r="J204" i="2"/>
  <c r="X204" i="2" s="1"/>
  <c r="W204" i="2"/>
  <c r="A206" i="2"/>
  <c r="AA206" i="2" s="1"/>
  <c r="AB206" i="2" s="1"/>
  <c r="D205" i="2"/>
  <c r="G205" i="2"/>
  <c r="P205" i="2"/>
  <c r="H205" i="2"/>
  <c r="K205" i="2" s="1"/>
  <c r="Q205" i="2"/>
  <c r="T205" i="2" s="1"/>
  <c r="Z204" i="2" l="1"/>
  <c r="S205" i="2"/>
  <c r="J205" i="2"/>
  <c r="X205" i="2" s="1"/>
  <c r="W205" i="2"/>
  <c r="A207" i="2"/>
  <c r="AA207" i="2" s="1"/>
  <c r="AB207" i="2" s="1"/>
  <c r="G206" i="2"/>
  <c r="D206" i="2"/>
  <c r="P206" i="2"/>
  <c r="H206" i="2"/>
  <c r="K206" i="2" s="1"/>
  <c r="Q206" i="2"/>
  <c r="T206" i="2" s="1"/>
  <c r="Z205" i="2" l="1"/>
  <c r="A208" i="2"/>
  <c r="AA208" i="2" s="1"/>
  <c r="AB208" i="2" s="1"/>
  <c r="D207" i="2"/>
  <c r="P207" i="2"/>
  <c r="G207" i="2"/>
  <c r="H207" i="2"/>
  <c r="K207" i="2" s="1"/>
  <c r="Q207" i="2"/>
  <c r="T207" i="2" s="1"/>
  <c r="S206" i="2"/>
  <c r="J206" i="2"/>
  <c r="X206" i="2" s="1"/>
  <c r="W206" i="2"/>
  <c r="Z206" i="2" l="1"/>
  <c r="J207" i="2"/>
  <c r="X207" i="2" s="1"/>
  <c r="W207" i="2"/>
  <c r="S207" i="2"/>
  <c r="A209" i="2"/>
  <c r="AA209" i="2" s="1"/>
  <c r="AB209" i="2" s="1"/>
  <c r="G208" i="2"/>
  <c r="D208" i="2"/>
  <c r="P208" i="2"/>
  <c r="H208" i="2"/>
  <c r="K208" i="2" s="1"/>
  <c r="Q208" i="2"/>
  <c r="T208" i="2" s="1"/>
  <c r="Z207" i="2" l="1"/>
  <c r="S208" i="2"/>
  <c r="J208" i="2"/>
  <c r="X208" i="2" s="1"/>
  <c r="W208" i="2"/>
  <c r="A210" i="2"/>
  <c r="AA210" i="2" s="1"/>
  <c r="AB210" i="2" s="1"/>
  <c r="D209" i="2"/>
  <c r="G209" i="2"/>
  <c r="P209" i="2"/>
  <c r="H209" i="2"/>
  <c r="K209" i="2" s="1"/>
  <c r="Q209" i="2"/>
  <c r="T209" i="2" s="1"/>
  <c r="Z208" i="2" l="1"/>
  <c r="A211" i="2"/>
  <c r="AA211" i="2" s="1"/>
  <c r="AB211" i="2" s="1"/>
  <c r="D210" i="2"/>
  <c r="G210" i="2"/>
  <c r="P210" i="2"/>
  <c r="H210" i="2"/>
  <c r="K210" i="2" s="1"/>
  <c r="Q210" i="2"/>
  <c r="T210" i="2" s="1"/>
  <c r="S209" i="2"/>
  <c r="J209" i="2"/>
  <c r="X209" i="2" s="1"/>
  <c r="W209" i="2"/>
  <c r="Z209" i="2" l="1"/>
  <c r="S210" i="2"/>
  <c r="J210" i="2"/>
  <c r="X210" i="2" s="1"/>
  <c r="W210" i="2"/>
  <c r="A212" i="2"/>
  <c r="AA212" i="2" s="1"/>
  <c r="AB212" i="2" s="1"/>
  <c r="D211" i="2"/>
  <c r="P211" i="2"/>
  <c r="G211" i="2"/>
  <c r="H211" i="2"/>
  <c r="K211" i="2" s="1"/>
  <c r="Q211" i="2"/>
  <c r="T211" i="2" s="1"/>
  <c r="Z210" i="2" l="1"/>
  <c r="S211" i="2"/>
  <c r="A213" i="2"/>
  <c r="AA213" i="2" s="1"/>
  <c r="AB213" i="2" s="1"/>
  <c r="G212" i="2"/>
  <c r="P212" i="2"/>
  <c r="D212" i="2"/>
  <c r="H212" i="2"/>
  <c r="K212" i="2" s="1"/>
  <c r="Q212" i="2"/>
  <c r="T212" i="2" s="1"/>
  <c r="J211" i="2"/>
  <c r="X211" i="2" s="1"/>
  <c r="W211" i="2"/>
  <c r="Z211" i="2" l="1"/>
  <c r="S212" i="2"/>
  <c r="J212" i="2"/>
  <c r="X212" i="2" s="1"/>
  <c r="W212" i="2"/>
  <c r="A214" i="2"/>
  <c r="AA214" i="2" s="1"/>
  <c r="AB214" i="2" s="1"/>
  <c r="D213" i="2"/>
  <c r="G213" i="2"/>
  <c r="P213" i="2"/>
  <c r="H213" i="2"/>
  <c r="K213" i="2" s="1"/>
  <c r="Q213" i="2"/>
  <c r="T213" i="2" s="1"/>
  <c r="Z212" i="2" l="1"/>
  <c r="S213" i="2"/>
  <c r="J213" i="2"/>
  <c r="X213" i="2" s="1"/>
  <c r="W213" i="2"/>
  <c r="A215" i="2"/>
  <c r="AA215" i="2" s="1"/>
  <c r="AB215" i="2" s="1"/>
  <c r="D214" i="2"/>
  <c r="G214" i="2"/>
  <c r="P214" i="2"/>
  <c r="H214" i="2"/>
  <c r="K214" i="2" s="1"/>
  <c r="Q214" i="2"/>
  <c r="T214" i="2" s="1"/>
  <c r="Z213" i="2" l="1"/>
  <c r="S214" i="2"/>
  <c r="A216" i="2"/>
  <c r="AA216" i="2" s="1"/>
  <c r="AB216" i="2" s="1"/>
  <c r="D215" i="2"/>
  <c r="P215" i="2"/>
  <c r="G215" i="2"/>
  <c r="H215" i="2"/>
  <c r="K215" i="2" s="1"/>
  <c r="Q215" i="2"/>
  <c r="T215" i="2" s="1"/>
  <c r="W214" i="2"/>
  <c r="J214" i="2"/>
  <c r="X214" i="2" s="1"/>
  <c r="Z214" i="2" l="1"/>
  <c r="S215" i="2"/>
  <c r="W215" i="2"/>
  <c r="J215" i="2"/>
  <c r="X215" i="2" s="1"/>
  <c r="A217" i="2"/>
  <c r="AA217" i="2" s="1"/>
  <c r="AB217" i="2" s="1"/>
  <c r="D216" i="2"/>
  <c r="G216" i="2"/>
  <c r="P216" i="2"/>
  <c r="H216" i="2"/>
  <c r="K216" i="2" s="1"/>
  <c r="Q216" i="2"/>
  <c r="T216" i="2" s="1"/>
  <c r="Z215" i="2" l="1"/>
  <c r="A218" i="2"/>
  <c r="AA218" i="2" s="1"/>
  <c r="AB218" i="2" s="1"/>
  <c r="D217" i="2"/>
  <c r="G217" i="2"/>
  <c r="P217" i="2"/>
  <c r="H217" i="2"/>
  <c r="K217" i="2" s="1"/>
  <c r="Q217" i="2"/>
  <c r="T217" i="2" s="1"/>
  <c r="S216" i="2"/>
  <c r="J216" i="2"/>
  <c r="X216" i="2" s="1"/>
  <c r="W216" i="2"/>
  <c r="Z216" i="2" l="1"/>
  <c r="S217" i="2"/>
  <c r="J217" i="2"/>
  <c r="X217" i="2" s="1"/>
  <c r="W217" i="2"/>
  <c r="A219" i="2"/>
  <c r="AA219" i="2" s="1"/>
  <c r="AB219" i="2" s="1"/>
  <c r="D218" i="2"/>
  <c r="G218" i="2"/>
  <c r="P218" i="2"/>
  <c r="H218" i="2"/>
  <c r="K218" i="2" s="1"/>
  <c r="Q218" i="2"/>
  <c r="T218" i="2" s="1"/>
  <c r="Z217" i="2" l="1"/>
  <c r="S218" i="2"/>
  <c r="J218" i="2"/>
  <c r="X218" i="2" s="1"/>
  <c r="W218" i="2"/>
  <c r="A220" i="2"/>
  <c r="AA220" i="2" s="1"/>
  <c r="AB220" i="2" s="1"/>
  <c r="D219" i="2"/>
  <c r="P219" i="2"/>
  <c r="G219" i="2"/>
  <c r="H219" i="2"/>
  <c r="K219" i="2" s="1"/>
  <c r="Q219" i="2"/>
  <c r="T219" i="2" s="1"/>
  <c r="Z218" i="2" l="1"/>
  <c r="J219" i="2"/>
  <c r="X219" i="2" s="1"/>
  <c r="W219" i="2"/>
  <c r="S219" i="2"/>
  <c r="A221" i="2"/>
  <c r="AA221" i="2" s="1"/>
  <c r="AB221" i="2" s="1"/>
  <c r="G220" i="2"/>
  <c r="D220" i="2"/>
  <c r="P220" i="2"/>
  <c r="H220" i="2"/>
  <c r="K220" i="2" s="1"/>
  <c r="Q220" i="2"/>
  <c r="T220" i="2" s="1"/>
  <c r="Z219" i="2" l="1"/>
  <c r="J220" i="2"/>
  <c r="X220" i="2" s="1"/>
  <c r="W220" i="2"/>
  <c r="S220" i="2"/>
  <c r="A222" i="2"/>
  <c r="AA222" i="2" s="1"/>
  <c r="AB222" i="2" s="1"/>
  <c r="D221" i="2"/>
  <c r="G221" i="2"/>
  <c r="P221" i="2"/>
  <c r="H221" i="2"/>
  <c r="K221" i="2" s="1"/>
  <c r="Q221" i="2"/>
  <c r="T221" i="2" s="1"/>
  <c r="Z220" i="2" l="1"/>
  <c r="S221" i="2"/>
  <c r="J221" i="2"/>
  <c r="X221" i="2" s="1"/>
  <c r="W221" i="2"/>
  <c r="A223" i="2"/>
  <c r="AA223" i="2" s="1"/>
  <c r="AB223" i="2" s="1"/>
  <c r="G222" i="2"/>
  <c r="D222" i="2"/>
  <c r="P222" i="2"/>
  <c r="H222" i="2"/>
  <c r="K222" i="2" s="1"/>
  <c r="Q222" i="2"/>
  <c r="T222" i="2" s="1"/>
  <c r="Z221" i="2" l="1"/>
  <c r="S222" i="2"/>
  <c r="J222" i="2"/>
  <c r="X222" i="2" s="1"/>
  <c r="W222" i="2"/>
  <c r="A224" i="2"/>
  <c r="AA224" i="2" s="1"/>
  <c r="AB224" i="2" s="1"/>
  <c r="D223" i="2"/>
  <c r="P223" i="2"/>
  <c r="G223" i="2"/>
  <c r="H223" i="2"/>
  <c r="K223" i="2" s="1"/>
  <c r="Q223" i="2"/>
  <c r="T223" i="2" s="1"/>
  <c r="Z222" i="2" l="1"/>
  <c r="S223" i="2"/>
  <c r="W223" i="2"/>
  <c r="J223" i="2"/>
  <c r="X223" i="2" s="1"/>
  <c r="A225" i="2"/>
  <c r="AA225" i="2" s="1"/>
  <c r="AB225" i="2" s="1"/>
  <c r="G224" i="2"/>
  <c r="D224" i="2"/>
  <c r="P224" i="2"/>
  <c r="H224" i="2"/>
  <c r="K224" i="2" s="1"/>
  <c r="Q224" i="2"/>
  <c r="T224" i="2" s="1"/>
  <c r="Z223" i="2" l="1"/>
  <c r="S224" i="2"/>
  <c r="W224" i="2"/>
  <c r="J224" i="2"/>
  <c r="X224" i="2" s="1"/>
  <c r="A226" i="2"/>
  <c r="AA226" i="2" s="1"/>
  <c r="AB226" i="2" s="1"/>
  <c r="D225" i="2"/>
  <c r="G225" i="2"/>
  <c r="P225" i="2"/>
  <c r="H225" i="2"/>
  <c r="K225" i="2" s="1"/>
  <c r="Q225" i="2"/>
  <c r="T225" i="2" s="1"/>
  <c r="Z224" i="2" l="1"/>
  <c r="S225" i="2"/>
  <c r="A227" i="2"/>
  <c r="AA227" i="2" s="1"/>
  <c r="AB227" i="2" s="1"/>
  <c r="D226" i="2"/>
  <c r="G226" i="2"/>
  <c r="P226" i="2"/>
  <c r="H226" i="2"/>
  <c r="K226" i="2" s="1"/>
  <c r="Q226" i="2"/>
  <c r="T226" i="2" s="1"/>
  <c r="W225" i="2"/>
  <c r="J225" i="2"/>
  <c r="X225" i="2" s="1"/>
  <c r="Z225" i="2" l="1"/>
  <c r="S226" i="2"/>
  <c r="J226" i="2"/>
  <c r="X226" i="2" s="1"/>
  <c r="W226" i="2"/>
  <c r="A228" i="2"/>
  <c r="AA228" i="2" s="1"/>
  <c r="AB228" i="2" s="1"/>
  <c r="D227" i="2"/>
  <c r="P227" i="2"/>
  <c r="G227" i="2"/>
  <c r="H227" i="2"/>
  <c r="K227" i="2" s="1"/>
  <c r="Q227" i="2"/>
  <c r="T227" i="2" s="1"/>
  <c r="Z226" i="2" l="1"/>
  <c r="S227" i="2"/>
  <c r="A229" i="2"/>
  <c r="AA229" i="2" s="1"/>
  <c r="AB229" i="2" s="1"/>
  <c r="G228" i="2"/>
  <c r="P228" i="2"/>
  <c r="D228" i="2"/>
  <c r="H228" i="2"/>
  <c r="K228" i="2" s="1"/>
  <c r="Q228" i="2"/>
  <c r="T228" i="2" s="1"/>
  <c r="J227" i="2"/>
  <c r="X227" i="2" s="1"/>
  <c r="W227" i="2"/>
  <c r="Z227" i="2" l="1"/>
  <c r="S228" i="2"/>
  <c r="J228" i="2"/>
  <c r="X228" i="2" s="1"/>
  <c r="W228" i="2"/>
  <c r="A230" i="2"/>
  <c r="AA230" i="2" s="1"/>
  <c r="AB230" i="2" s="1"/>
  <c r="D229" i="2"/>
  <c r="G229" i="2"/>
  <c r="P229" i="2"/>
  <c r="H229" i="2"/>
  <c r="K229" i="2" s="1"/>
  <c r="Q229" i="2"/>
  <c r="T229" i="2" s="1"/>
  <c r="Z228" i="2" l="1"/>
  <c r="S229" i="2"/>
  <c r="J229" i="2"/>
  <c r="X229" i="2" s="1"/>
  <c r="W229" i="2"/>
  <c r="A231" i="2"/>
  <c r="AA231" i="2" s="1"/>
  <c r="AB231" i="2" s="1"/>
  <c r="D230" i="2"/>
  <c r="G230" i="2"/>
  <c r="P230" i="2"/>
  <c r="H230" i="2"/>
  <c r="K230" i="2" s="1"/>
  <c r="Q230" i="2"/>
  <c r="T230" i="2" s="1"/>
  <c r="Z229" i="2" l="1"/>
  <c r="A232" i="2"/>
  <c r="AA232" i="2" s="1"/>
  <c r="AB232" i="2" s="1"/>
  <c r="D231" i="2"/>
  <c r="P231" i="2"/>
  <c r="G231" i="2"/>
  <c r="H231" i="2"/>
  <c r="K231" i="2" s="1"/>
  <c r="Q231" i="2"/>
  <c r="T231" i="2" s="1"/>
  <c r="S230" i="2"/>
  <c r="J230" i="2"/>
  <c r="X230" i="2" s="1"/>
  <c r="W230" i="2"/>
  <c r="Z230" i="2" l="1"/>
  <c r="J231" i="2"/>
  <c r="X231" i="2" s="1"/>
  <c r="W231" i="2"/>
  <c r="S231" i="2"/>
  <c r="A233" i="2"/>
  <c r="AA233" i="2" s="1"/>
  <c r="AB233" i="2" s="1"/>
  <c r="D232" i="2"/>
  <c r="G232" i="2"/>
  <c r="P232" i="2"/>
  <c r="H232" i="2"/>
  <c r="K232" i="2" s="1"/>
  <c r="Q232" i="2"/>
  <c r="T232" i="2" s="1"/>
  <c r="Z231" i="2" l="1"/>
  <c r="A234" i="2"/>
  <c r="AA234" i="2" s="1"/>
  <c r="AB234" i="2" s="1"/>
  <c r="D233" i="2"/>
  <c r="G233" i="2"/>
  <c r="P233" i="2"/>
  <c r="H233" i="2"/>
  <c r="K233" i="2" s="1"/>
  <c r="Q233" i="2"/>
  <c r="T233" i="2" s="1"/>
  <c r="S232" i="2"/>
  <c r="J232" i="2"/>
  <c r="X232" i="2" s="1"/>
  <c r="W232" i="2"/>
  <c r="Z232" i="2" l="1"/>
  <c r="A235" i="2"/>
  <c r="AA235" i="2" s="1"/>
  <c r="AB235" i="2" s="1"/>
  <c r="D234" i="2"/>
  <c r="G234" i="2"/>
  <c r="P234" i="2"/>
  <c r="H234" i="2"/>
  <c r="K234" i="2" s="1"/>
  <c r="Q234" i="2"/>
  <c r="T234" i="2" s="1"/>
  <c r="J233" i="2"/>
  <c r="X233" i="2" s="1"/>
  <c r="W233" i="2"/>
  <c r="S233" i="2"/>
  <c r="Z233" i="2" l="1"/>
  <c r="S234" i="2"/>
  <c r="J234" i="2"/>
  <c r="X234" i="2" s="1"/>
  <c r="W234" i="2"/>
  <c r="A236" i="2"/>
  <c r="AA236" i="2" s="1"/>
  <c r="AB236" i="2" s="1"/>
  <c r="D235" i="2"/>
  <c r="P235" i="2"/>
  <c r="G235" i="2"/>
  <c r="H235" i="2"/>
  <c r="K235" i="2" s="1"/>
  <c r="Q235" i="2"/>
  <c r="T235" i="2" s="1"/>
  <c r="Z234" i="2" l="1"/>
  <c r="S235" i="2"/>
  <c r="A237" i="2"/>
  <c r="AA237" i="2" s="1"/>
  <c r="AB237" i="2" s="1"/>
  <c r="G236" i="2"/>
  <c r="D236" i="2"/>
  <c r="P236" i="2"/>
  <c r="H236" i="2"/>
  <c r="K236" i="2" s="1"/>
  <c r="Q236" i="2"/>
  <c r="T236" i="2" s="1"/>
  <c r="W235" i="2"/>
  <c r="J235" i="2"/>
  <c r="X235" i="2" s="1"/>
  <c r="Z235" i="2" l="1"/>
  <c r="S236" i="2"/>
  <c r="A238" i="2"/>
  <c r="AA238" i="2" s="1"/>
  <c r="AB238" i="2" s="1"/>
  <c r="D237" i="2"/>
  <c r="G237" i="2"/>
  <c r="P237" i="2"/>
  <c r="H237" i="2"/>
  <c r="K237" i="2" s="1"/>
  <c r="Q237" i="2"/>
  <c r="T237" i="2" s="1"/>
  <c r="W236" i="2"/>
  <c r="J236" i="2"/>
  <c r="X236" i="2" s="1"/>
  <c r="Z236" i="2" l="1"/>
  <c r="S237" i="2"/>
  <c r="W237" i="2"/>
  <c r="J237" i="2"/>
  <c r="X237" i="2" s="1"/>
  <c r="A239" i="2"/>
  <c r="AA239" i="2" s="1"/>
  <c r="AB239" i="2" s="1"/>
  <c r="G238" i="2"/>
  <c r="D238" i="2"/>
  <c r="P238" i="2"/>
  <c r="H238" i="2"/>
  <c r="K238" i="2" s="1"/>
  <c r="Q238" i="2"/>
  <c r="T238" i="2" s="1"/>
  <c r="Z237" i="2" l="1"/>
  <c r="S238" i="2"/>
  <c r="W238" i="2"/>
  <c r="J238" i="2"/>
  <c r="X238" i="2" s="1"/>
  <c r="D239" i="2"/>
  <c r="G239" i="2"/>
  <c r="P239" i="2"/>
  <c r="H239" i="2"/>
  <c r="K239" i="2" s="1"/>
  <c r="Q239" i="2"/>
  <c r="T239" i="2" s="1"/>
  <c r="Z238" i="2" l="1"/>
  <c r="S239" i="2"/>
  <c r="J239" i="2"/>
  <c r="X239" i="2" s="1"/>
  <c r="W239" i="2"/>
  <c r="Z239" i="2" l="1"/>
  <c r="P185" i="2"/>
  <c r="P169" i="2"/>
  <c r="P184" i="2"/>
  <c r="P161" i="2"/>
  <c r="P176" i="2"/>
  <c r="P167" i="2"/>
  <c r="P188" i="2"/>
  <c r="P186" i="2"/>
  <c r="P181" i="2"/>
  <c r="P170" i="2"/>
  <c r="P183" i="2"/>
  <c r="P168" i="2"/>
  <c r="P171" i="2"/>
  <c r="P177" i="2"/>
  <c r="P159" i="2"/>
  <c r="P166" i="2"/>
  <c r="P162" i="2"/>
  <c r="P164" i="2"/>
  <c r="P160" i="2"/>
  <c r="P179" i="2"/>
  <c r="P180" i="2"/>
  <c r="P182" i="2"/>
  <c r="AA166" i="2" l="1"/>
  <c r="AB166" i="2" s="1"/>
  <c r="AA177" i="2"/>
  <c r="AB177" i="2" s="1"/>
  <c r="AA183" i="2"/>
  <c r="AB183" i="2" s="1"/>
  <c r="AA181" i="2"/>
  <c r="AB181" i="2" s="1"/>
  <c r="AA184" i="2"/>
  <c r="AB184" i="2" s="1"/>
  <c r="AA164" i="2"/>
  <c r="AB164" i="2" s="1"/>
  <c r="AA186" i="2"/>
  <c r="AB186" i="2" s="1"/>
  <c r="AA182" i="2"/>
  <c r="AB182" i="2" s="1"/>
  <c r="AA159" i="2"/>
  <c r="AB159" i="2" s="1"/>
  <c r="AA167" i="2"/>
  <c r="AB167" i="2" s="1"/>
  <c r="AA161" i="2"/>
  <c r="AB161" i="2" s="1"/>
  <c r="AA169" i="2"/>
  <c r="AB169" i="2" s="1"/>
  <c r="AA180" i="2"/>
  <c r="AB180" i="2" s="1"/>
  <c r="AA160" i="2"/>
  <c r="AB160" i="2" s="1"/>
  <c r="AA168" i="2"/>
  <c r="AB168" i="2" s="1"/>
  <c r="AA188" i="2"/>
  <c r="AB188" i="2" s="1"/>
  <c r="AA176" i="2"/>
  <c r="AB176" i="2" s="1"/>
  <c r="AA185" i="2"/>
  <c r="AB185" i="2" s="1"/>
  <c r="S169" i="2"/>
  <c r="S181" i="2"/>
  <c r="S184" i="2"/>
  <c r="S180" i="2"/>
  <c r="S159" i="2"/>
  <c r="S183" i="2"/>
  <c r="S170" i="2"/>
  <c r="Z170" i="2" s="1"/>
  <c r="S167" i="2"/>
  <c r="S161" i="2"/>
  <c r="S179" i="2"/>
  <c r="Z179" i="2" s="1"/>
  <c r="S182" i="2"/>
  <c r="S160" i="2"/>
  <c r="S164" i="2"/>
  <c r="S162" i="2"/>
  <c r="Z162" i="2" s="1"/>
  <c r="S166" i="2"/>
  <c r="S177" i="2"/>
  <c r="S171" i="2"/>
  <c r="Z171" i="2" s="1"/>
  <c r="S168" i="2"/>
  <c r="S186" i="2"/>
  <c r="S188" i="2"/>
  <c r="S176" i="2"/>
  <c r="S185" i="2"/>
  <c r="AT53" i="1" l="1"/>
  <c r="AT54" i="1"/>
  <c r="Z185" i="2"/>
  <c r="B4" i="22"/>
  <c r="Z176" i="2"/>
  <c r="Z181" i="2"/>
  <c r="Z180" i="2"/>
  <c r="Z161" i="2"/>
  <c r="Z186" i="2"/>
  <c r="Z166" i="2"/>
  <c r="Z168" i="2"/>
  <c r="Z183" i="2"/>
  <c r="Z184" i="2"/>
  <c r="Z182" i="2"/>
  <c r="Z164" i="2"/>
  <c r="Z169" i="2"/>
  <c r="Z177" i="2"/>
  <c r="Z160" i="2"/>
  <c r="Z167" i="2"/>
  <c r="Z159" i="2"/>
  <c r="AT53" i="20" l="1"/>
  <c r="AT53" i="19"/>
  <c r="AT54" i="20"/>
  <c r="AT54" i="19"/>
  <c r="K6" i="22"/>
  <c r="D17" i="22" s="1"/>
  <c r="E17" i="22" s="1"/>
  <c r="K4" i="22"/>
  <c r="D15" i="22" s="1"/>
  <c r="E15" i="22" s="1"/>
  <c r="K3" i="22"/>
  <c r="D14" i="22" s="1"/>
  <c r="E14" i="22" s="1"/>
  <c r="K5" i="22"/>
  <c r="D16" i="22" s="1"/>
  <c r="E16" i="22" s="1"/>
  <c r="Z188" i="2"/>
  <c r="Z240" i="2" s="1"/>
  <c r="W188" i="2"/>
  <c r="W240" i="2" s="1"/>
  <c r="AA3" i="2" s="1"/>
  <c r="BA3" i="19" l="1"/>
  <c r="BA8" i="19" s="1"/>
  <c r="AB3" i="2"/>
  <c r="F18" i="22"/>
  <c r="F19" i="22"/>
  <c r="F15" i="22"/>
  <c r="F16" i="22"/>
  <c r="F17" i="22"/>
  <c r="BA152" i="19" l="1"/>
  <c r="BA58" i="19"/>
  <c r="BA135" i="19"/>
  <c r="BA41" i="19"/>
  <c r="BA116" i="19"/>
  <c r="BA89" i="19"/>
  <c r="BA24" i="19"/>
  <c r="BA104" i="19"/>
  <c r="BA70" i="19"/>
  <c r="AW59" i="19"/>
  <c r="AS59" i="19"/>
  <c r="AO59" i="19"/>
  <c r="AK59" i="19"/>
  <c r="AG59" i="19"/>
  <c r="AC59" i="19"/>
  <c r="Y59" i="19"/>
  <c r="U59" i="19"/>
  <c r="Q59" i="19"/>
  <c r="M59" i="19"/>
  <c r="I59" i="19"/>
  <c r="E59" i="19"/>
  <c r="AV59" i="20"/>
  <c r="AR59" i="20"/>
  <c r="AN59" i="20"/>
  <c r="AJ59" i="20"/>
  <c r="AF59" i="20"/>
  <c r="AB59" i="20"/>
  <c r="X59" i="20"/>
  <c r="T59" i="20"/>
  <c r="P59" i="20"/>
  <c r="L59" i="20"/>
  <c r="H59" i="20"/>
  <c r="D59" i="20"/>
  <c r="AV59" i="19"/>
  <c r="AR59" i="19"/>
  <c r="AN59" i="19"/>
  <c r="AJ59" i="19"/>
  <c r="AF59" i="19"/>
  <c r="AB59" i="19"/>
  <c r="X59" i="19"/>
  <c r="T59" i="19"/>
  <c r="P59" i="19"/>
  <c r="L59" i="19"/>
  <c r="H59" i="19"/>
  <c r="D59" i="19"/>
  <c r="AU59" i="20"/>
  <c r="AQ59" i="20"/>
  <c r="AM59" i="20"/>
  <c r="AI59" i="20"/>
  <c r="AE59" i="20"/>
  <c r="AA59" i="20"/>
  <c r="W59" i="20"/>
  <c r="S59" i="20"/>
  <c r="O59" i="20"/>
  <c r="K59" i="20"/>
  <c r="G59" i="20"/>
  <c r="C59" i="20"/>
  <c r="AU59" i="19"/>
  <c r="AQ59" i="19"/>
  <c r="AM59" i="19"/>
  <c r="AI59" i="19"/>
  <c r="AE59" i="19"/>
  <c r="AA59" i="19"/>
  <c r="W59" i="19"/>
  <c r="S59" i="19"/>
  <c r="O59" i="19"/>
  <c r="K59" i="19"/>
  <c r="G59" i="19"/>
  <c r="C59" i="19"/>
  <c r="AT59" i="20"/>
  <c r="AP59" i="20"/>
  <c r="AL59" i="20"/>
  <c r="AH59" i="20"/>
  <c r="AD59" i="20"/>
  <c r="Z59" i="20"/>
  <c r="V59" i="20"/>
  <c r="R59" i="20"/>
  <c r="N59" i="20"/>
  <c r="J59" i="20"/>
  <c r="F59" i="20"/>
  <c r="AT59" i="19"/>
  <c r="AP59" i="19"/>
  <c r="AL59" i="19"/>
  <c r="AH59" i="19"/>
  <c r="AD59" i="19"/>
  <c r="Z59" i="19"/>
  <c r="V59" i="19"/>
  <c r="R59" i="19"/>
  <c r="N59" i="19"/>
  <c r="J59" i="19"/>
  <c r="F59" i="19"/>
  <c r="AW59" i="20"/>
  <c r="AS59" i="20"/>
  <c r="AO59" i="20"/>
  <c r="AK59" i="20"/>
  <c r="AG59" i="20"/>
  <c r="AC59" i="20"/>
  <c r="Y59" i="20"/>
  <c r="U59" i="20"/>
  <c r="Q59" i="20"/>
  <c r="M59" i="20"/>
  <c r="I59" i="20"/>
  <c r="E59" i="20"/>
  <c r="AW59" i="1"/>
  <c r="AS59" i="1"/>
  <c r="AO59" i="1"/>
  <c r="AK59" i="1"/>
  <c r="AG59" i="1"/>
  <c r="AC59" i="1"/>
  <c r="Y59" i="1"/>
  <c r="U59" i="1"/>
  <c r="Q59" i="1"/>
  <c r="M59" i="1"/>
  <c r="I59" i="1"/>
  <c r="AV59" i="1"/>
  <c r="AR59" i="1"/>
  <c r="AN59" i="1"/>
  <c r="AJ59" i="1"/>
  <c r="AF59" i="1"/>
  <c r="AB59" i="1"/>
  <c r="X59" i="1"/>
  <c r="T59" i="1"/>
  <c r="P59" i="1"/>
  <c r="L59" i="1"/>
  <c r="H59" i="1"/>
  <c r="D59" i="1"/>
  <c r="AU59" i="1"/>
  <c r="AQ59" i="1"/>
  <c r="AM59" i="1"/>
  <c r="AI59" i="1"/>
  <c r="AE59" i="1"/>
  <c r="AA59" i="1"/>
  <c r="W59" i="1"/>
  <c r="S59" i="1"/>
  <c r="O59" i="1"/>
  <c r="K59" i="1"/>
  <c r="G59" i="1"/>
  <c r="C59" i="1"/>
  <c r="AT59" i="1"/>
  <c r="AP59" i="1"/>
  <c r="AL59" i="1"/>
  <c r="AH59" i="1"/>
  <c r="AD59" i="1"/>
  <c r="Z59" i="1"/>
  <c r="V59" i="1"/>
  <c r="R59" i="1"/>
  <c r="N59" i="1"/>
  <c r="J59" i="1"/>
  <c r="F59" i="1"/>
  <c r="E59" i="1"/>
  <c r="BA202" i="20"/>
  <c r="BA190" i="20"/>
  <c r="BA211" i="20"/>
  <c r="BA9" i="20"/>
  <c r="BA52" i="20"/>
  <c r="BA148" i="20"/>
  <c r="BA94" i="20"/>
  <c r="BA129" i="20"/>
  <c r="BA34" i="20"/>
  <c r="BA170" i="20"/>
  <c r="BA160" i="20"/>
  <c r="BA111" i="20"/>
  <c r="BA142" i="20"/>
  <c r="K1442" i="23"/>
  <c r="K1439" i="23"/>
  <c r="K1441" i="23"/>
  <c r="K1443" i="23"/>
  <c r="K1435" i="23"/>
  <c r="K1434" i="23"/>
  <c r="K1436" i="23"/>
  <c r="K1437" i="23"/>
  <c r="K1440" i="23"/>
  <c r="K1438" i="23"/>
  <c r="K1419" i="23"/>
  <c r="K1427" i="23"/>
  <c r="K1426" i="23"/>
  <c r="K1413" i="23"/>
  <c r="K1415" i="23"/>
  <c r="K1428" i="23"/>
  <c r="K1423" i="23"/>
  <c r="K1421" i="23"/>
  <c r="K1417" i="23"/>
  <c r="K1424" i="23"/>
  <c r="K1425" i="23"/>
  <c r="K1420" i="23"/>
  <c r="K1416" i="23"/>
  <c r="K1414" i="23"/>
  <c r="K1431" i="23"/>
  <c r="K1433" i="23"/>
  <c r="K1422" i="23"/>
  <c r="K1430" i="23"/>
  <c r="K1432" i="23"/>
  <c r="K1418" i="23"/>
  <c r="K1429" i="23"/>
  <c r="K1411" i="23"/>
  <c r="K1412" i="23"/>
  <c r="M1437" i="23"/>
  <c r="M1428" i="23"/>
  <c r="M1423" i="23"/>
  <c r="M1429" i="23"/>
  <c r="M1436" i="23"/>
  <c r="M1424" i="23"/>
  <c r="M1422" i="23"/>
  <c r="M1420" i="23"/>
  <c r="M1427" i="23"/>
  <c r="M1441" i="23"/>
  <c r="M1431" i="23"/>
  <c r="M1421" i="23"/>
  <c r="M1438" i="23"/>
  <c r="M1443" i="23"/>
  <c r="M1432" i="23"/>
  <c r="M1419" i="23"/>
  <c r="M1439" i="23"/>
  <c r="M1430" i="23"/>
  <c r="M1433" i="23"/>
  <c r="M1442" i="23"/>
  <c r="M1426" i="23"/>
  <c r="M1418" i="23"/>
  <c r="M1435" i="23"/>
  <c r="M1425" i="23"/>
  <c r="M1440" i="23"/>
  <c r="M1434" i="23"/>
  <c r="L1410" i="23" l="1"/>
  <c r="K1410" i="23"/>
  <c r="M1411" i="23"/>
  <c r="M1410" i="23"/>
  <c r="M1417" i="23"/>
  <c r="M1414" i="23"/>
  <c r="M1415" i="23"/>
  <c r="M1412" i="23"/>
  <c r="M1413" i="23"/>
  <c r="M1416" i="2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Refhi</author>
  </authors>
  <commentList>
    <comment ref="AZ2" authorId="0" shapeId="0" xr:uid="{3C68AA9E-9503-4BEE-8790-9119C06C7269}">
      <text>
        <r>
          <rPr>
            <b/>
            <sz val="9"/>
            <color indexed="81"/>
            <rFont val="Tahoma"/>
            <family val="2"/>
          </rPr>
          <t>Refhi:</t>
        </r>
        <r>
          <rPr>
            <sz val="9"/>
            <color indexed="81"/>
            <rFont val="Tahoma"/>
            <family val="2"/>
          </rPr>
          <t xml:space="preserve">
Just fill the blue boxes and use drop-down menu for the orange ones</t>
        </r>
      </text>
    </comment>
    <comment ref="AG3" authorId="0" shapeId="0" xr:uid="{FC9B454D-2F46-48E3-BC84-BA12D886DF1F}">
      <text>
        <r>
          <rPr>
            <b/>
            <sz val="9"/>
            <color indexed="81"/>
            <rFont val="Tahoma"/>
            <family val="2"/>
          </rPr>
          <t>Refhi:</t>
        </r>
        <r>
          <rPr>
            <sz val="9"/>
            <color indexed="81"/>
            <rFont val="Tahoma"/>
            <family val="2"/>
          </rPr>
          <t xml:space="preserve">
+ Spirit Shape if relevant</t>
        </r>
      </text>
    </comment>
    <comment ref="AI4" authorId="0" shapeId="0" xr:uid="{B32386E3-9E24-47AA-AEAC-FDBB89F19EB1}">
      <text>
        <r>
          <rPr>
            <b/>
            <sz val="9"/>
            <color indexed="81"/>
            <rFont val="Tahoma"/>
            <family val="2"/>
          </rPr>
          <t>Refhi: Only Solars !</t>
        </r>
        <r>
          <rPr>
            <sz val="9"/>
            <color indexed="81"/>
            <rFont val="Tahoma"/>
            <family val="2"/>
          </rPr>
          <t xml:space="preserve">
You can choose a supernal ability with the "Drop Down Menu" left to the ability you want.</t>
        </r>
      </text>
    </comment>
    <comment ref="G7" authorId="0" shapeId="0" xr:uid="{ED9CA80A-95A2-40CD-AD93-13D5B503020B}">
      <text>
        <r>
          <rPr>
            <b/>
            <sz val="9"/>
            <color indexed="81"/>
            <rFont val="Tahoma"/>
            <family val="2"/>
          </rPr>
          <t>Raw physical power and damage in combat</t>
        </r>
      </text>
    </comment>
    <comment ref="W7" authorId="0" shapeId="0" xr:uid="{EDB990D9-2F9E-49E7-BEC7-9D984F436210}">
      <text>
        <r>
          <rPr>
            <b/>
            <sz val="9"/>
            <color indexed="81"/>
            <rFont val="Tahoma"/>
            <family val="2"/>
          </rPr>
          <t>Ability to express and convince</t>
        </r>
      </text>
    </comment>
    <comment ref="AM7" authorId="0" shapeId="0" xr:uid="{5091AF78-F77C-49E3-90DC-45D5CC66429A}">
      <text>
        <r>
          <rPr>
            <b/>
            <sz val="9"/>
            <color indexed="81"/>
            <rFont val="Tahoma"/>
            <family val="2"/>
          </rPr>
          <t>Senses and filtering information</t>
        </r>
      </text>
    </comment>
    <comment ref="G8" authorId="0" shapeId="0" xr:uid="{91FFE837-F93A-4AF5-B521-112A92AA955F}">
      <text>
        <r>
          <rPr>
            <b/>
            <sz val="9"/>
            <color indexed="81"/>
            <rFont val="Tahoma"/>
            <family val="2"/>
          </rPr>
          <t>Grace, maneuvrability and precision</t>
        </r>
      </text>
    </comment>
    <comment ref="W8" authorId="0" shapeId="0" xr:uid="{34993003-2CC9-4AA5-9FC7-A6A596FDD6AA}">
      <text>
        <r>
          <rPr>
            <b/>
            <sz val="9"/>
            <color indexed="81"/>
            <rFont val="Tahoma"/>
            <family val="2"/>
          </rPr>
          <t>Ability to manipulate other and hide your feelings</t>
        </r>
      </text>
    </comment>
    <comment ref="AM8" authorId="0" shapeId="0" xr:uid="{066CD3DF-8F03-417F-AD99-A674622F8543}">
      <text>
        <r>
          <rPr>
            <b/>
            <sz val="9"/>
            <color indexed="81"/>
            <rFont val="Tahoma"/>
            <family val="2"/>
          </rPr>
          <t>Logic and memory</t>
        </r>
      </text>
    </comment>
    <comment ref="G9" authorId="0" shapeId="0" xr:uid="{29846FEA-F029-4F15-BB96-5286361B5847}">
      <text>
        <r>
          <rPr>
            <b/>
            <sz val="9"/>
            <color indexed="81"/>
            <rFont val="Tahoma"/>
            <family val="2"/>
          </rPr>
          <t>Soak, resistance</t>
        </r>
      </text>
    </comment>
    <comment ref="W9" authorId="0" shapeId="0" xr:uid="{33D67BF3-31D5-4703-8315-EAB8598B0AC1}">
      <text>
        <r>
          <rPr>
            <b/>
            <sz val="9"/>
            <color indexed="81"/>
            <rFont val="Tahoma"/>
            <family val="2"/>
          </rPr>
          <t>How you look and how to leverage that</t>
        </r>
      </text>
    </comment>
    <comment ref="AM9" authorId="0" shapeId="0" xr:uid="{CE276615-E814-4B7D-A91B-F30315362868}">
      <text>
        <r>
          <rPr>
            <b/>
            <sz val="9"/>
            <color indexed="81"/>
            <rFont val="Tahoma"/>
            <family val="2"/>
          </rPr>
          <t>Intuition and how to resist influence</t>
        </r>
      </text>
    </comment>
    <comment ref="AZ9" authorId="0" shapeId="0" xr:uid="{C9BD8254-94AC-47BB-B7F8-9EE9AF64F331}">
      <text>
        <r>
          <rPr>
            <b/>
            <sz val="9"/>
            <color indexed="81"/>
            <rFont val="Tahoma"/>
            <family val="2"/>
          </rPr>
          <t>Refhi:</t>
        </r>
        <r>
          <rPr>
            <sz val="9"/>
            <color indexed="81"/>
            <rFont val="Tahoma"/>
            <family val="2"/>
          </rPr>
          <t xml:space="preserve">
Use the up/down arrows left to the Attributes</t>
        </r>
      </text>
    </comment>
    <comment ref="BB14" authorId="0" shapeId="0" xr:uid="{48BC304E-6496-4770-B0CF-750E5C792E12}">
      <text>
        <r>
          <rPr>
            <b/>
            <sz val="9"/>
            <color indexed="81"/>
            <rFont val="Tahoma"/>
            <family val="2"/>
          </rPr>
          <t>Refhi:</t>
        </r>
        <r>
          <rPr>
            <sz val="9"/>
            <color indexed="81"/>
            <rFont val="Tahoma"/>
            <family val="2"/>
          </rPr>
          <t xml:space="preserve">
You select them by using the drop-down menus in the oranges cells left to the Attribute or Ability you want.
The columns of attributes are sorted by the number of dots : Primary, Secondary and Tertiaty</t>
        </r>
      </text>
    </comment>
    <comment ref="BA18" authorId="0" shapeId="0" xr:uid="{BBB5FB4E-EB0B-4DF0-A07E-21C17912F8A1}">
      <text>
        <r>
          <rPr>
            <b/>
            <sz val="9"/>
            <color indexed="81"/>
            <rFont val="Tahoma"/>
            <family val="2"/>
          </rPr>
          <t>Refhi: (Not for Lunars, though)</t>
        </r>
        <r>
          <rPr>
            <sz val="9"/>
            <color indexed="81"/>
            <rFont val="Tahoma"/>
            <family val="2"/>
          </rPr>
          <t xml:space="preserve">
- if Brawl is a Favored Ability then MA is automatically Favored
- if Brawl is a Caste Ability then MA is automatically a Caste Ability
- Dawn Caste Characters may choose Brawl OR MA as a Supernal Ability</t>
        </r>
      </text>
    </comment>
    <comment ref="K25" authorId="0" shapeId="0" xr:uid="{1FB9A319-1065-410E-8BEE-4B98C554078B}">
      <text>
        <r>
          <rPr>
            <b/>
            <sz val="9"/>
            <color indexed="81"/>
            <rFont val="Tahoma"/>
            <family val="2"/>
          </rPr>
          <t>Refhi:</t>
        </r>
        <r>
          <rPr>
            <sz val="9"/>
            <color indexed="81"/>
            <rFont val="Tahoma"/>
            <family val="2"/>
          </rPr>
          <t xml:space="preserve">
If this is red you most likely forgot to buy the "Martial Artist" Merit</t>
        </r>
      </text>
    </comment>
    <comment ref="BC30" authorId="0" shapeId="0" xr:uid="{547A18A3-B98D-458A-8061-40F496D6D705}">
      <text>
        <r>
          <rPr>
            <b/>
            <sz val="9"/>
            <color indexed="81"/>
            <rFont val="Tahoma"/>
            <family val="2"/>
          </rPr>
          <t>Refhi:</t>
        </r>
        <r>
          <rPr>
            <sz val="9"/>
            <color indexed="81"/>
            <rFont val="Tahoma"/>
            <family val="2"/>
          </rPr>
          <t xml:space="preserve">
The blue lines at the bottom are for custom merits or sorcerous initiations</t>
        </r>
      </text>
    </comment>
    <comment ref="BB32" authorId="0" shapeId="0" xr:uid="{4B1A9D2A-5F6A-487E-ABF0-431547B6D0C1}">
      <text>
        <r>
          <rPr>
            <b/>
            <sz val="9"/>
            <color indexed="81"/>
            <rFont val="Tahoma"/>
            <family val="2"/>
          </rPr>
          <t>Refhi:</t>
        </r>
        <r>
          <rPr>
            <sz val="9"/>
            <color indexed="81"/>
            <rFont val="Tahoma"/>
            <family val="2"/>
          </rPr>
          <t xml:space="preserve">
Select an ability with the drop-down menu and write the speciality you want ex. "Bureaucracy/Sheet"</t>
        </r>
      </text>
    </comment>
    <comment ref="L52" authorId="0" shapeId="0" xr:uid="{00000000-0006-0000-0100-000001000000}">
      <text>
        <r>
          <rPr>
            <sz val="9"/>
            <color indexed="81"/>
            <rFont val="Tahoma"/>
            <family val="2"/>
          </rPr>
          <t>= Stamina</t>
        </r>
      </text>
    </comment>
    <comment ref="M52" authorId="0" shapeId="0" xr:uid="{4D8502AE-21AD-49AC-BDF0-AF4235162D27}">
      <text>
        <r>
          <rPr>
            <sz val="9"/>
            <color indexed="81"/>
            <rFont val="Tahoma"/>
            <family val="2"/>
          </rPr>
          <t>Select an Armor Type</t>
        </r>
      </text>
    </comment>
    <comment ref="R52" authorId="0" shapeId="0" xr:uid="{CAB248FB-0842-48A4-95BD-B40AF5687D5D}">
      <text>
        <r>
          <rPr>
            <sz val="9"/>
            <color indexed="81"/>
            <rFont val="Tahoma"/>
            <family val="2"/>
          </rPr>
          <t>Armor mobility Penalty</t>
        </r>
      </text>
    </comment>
    <comment ref="T52" authorId="0" shapeId="0" xr:uid="{D73474D0-3BD5-4D46-92EB-154E00902C0B}">
      <text>
        <r>
          <rPr>
            <sz val="9"/>
            <color indexed="81"/>
            <rFont val="Tahoma"/>
            <family val="2"/>
          </rPr>
          <t>[(Dexterity+Dodge)/2 round sup] - Mobility Penalty from Armor</t>
        </r>
      </text>
    </comment>
    <comment ref="AH52" authorId="0" shapeId="0" xr:uid="{A548F19B-C547-439D-9DC7-BA77CBAF65FE}">
      <text>
        <r>
          <rPr>
            <sz val="9"/>
            <color indexed="81"/>
            <rFont val="Tahoma"/>
            <family val="2"/>
          </rPr>
          <t>Check boxes if you have a relevant speciality</t>
        </r>
      </text>
    </comment>
    <comment ref="AS52" authorId="0" shapeId="0" xr:uid="{FEE062F1-00A0-4435-8A79-DFA5CFEF6F90}">
      <text>
        <r>
          <rPr>
            <sz val="9"/>
            <color indexed="81"/>
            <rFont val="Tahoma"/>
            <family val="2"/>
          </rPr>
          <t>Check boxes if you have a relevant speciality</t>
        </r>
      </text>
    </comment>
    <comment ref="U53" authorId="0" shapeId="0" xr:uid="{EC4FEAA6-646C-438F-9FE6-0F41E33715DD}">
      <text>
        <r>
          <rPr>
            <sz val="9"/>
            <color indexed="81"/>
            <rFont val="Tahoma"/>
            <family val="2"/>
          </rPr>
          <t>Check boxes if you have a relevant speciality</t>
        </r>
      </text>
    </comment>
    <comment ref="AG53" authorId="0" shapeId="0" xr:uid="{00000000-0006-0000-0100-000002000000}">
      <text>
        <r>
          <rPr>
            <sz val="9"/>
            <color indexed="81"/>
            <rFont val="Tahoma"/>
            <family val="2"/>
          </rPr>
          <t>Dexterity+Athletism</t>
        </r>
      </text>
    </comment>
    <comment ref="AR53" authorId="0" shapeId="0" xr:uid="{00000000-0006-0000-0100-000003000000}">
      <text>
        <r>
          <rPr>
            <sz val="9"/>
            <color indexed="81"/>
            <rFont val="Tahoma"/>
            <family val="2"/>
          </rPr>
          <t>Man+Socialize/2 Rond sup
Though if you have "Sublime Façade Art" will use the higher of Integrity/ Performance/ Larceny/ Socialise</t>
        </r>
      </text>
    </comment>
    <comment ref="AG54" authorId="0" shapeId="0" xr:uid="{00000000-0006-0000-0100-000004000000}">
      <text>
        <r>
          <rPr>
            <sz val="9"/>
            <color indexed="81"/>
            <rFont val="Tahoma"/>
            <family val="2"/>
          </rPr>
          <t>Dex + Dodge</t>
        </r>
      </text>
    </comment>
    <comment ref="AR54" authorId="0" shapeId="0" xr:uid="{00000000-0006-0000-0100-000005000000}">
      <text>
        <r>
          <rPr>
            <sz val="9"/>
            <color indexed="81"/>
            <rFont val="Tahoma"/>
            <family val="2"/>
          </rPr>
          <t>Wit+Integrity/2 rond sup
If you have "Arrogant Lion Bearing" will use the higher of charisma or wists</t>
        </r>
      </text>
    </comment>
    <comment ref="AG55" authorId="0" shapeId="0" xr:uid="{00000000-0006-0000-0100-000006000000}">
      <text>
        <r>
          <rPr>
            <sz val="9"/>
            <color indexed="81"/>
            <rFont val="Tahoma"/>
            <family val="2"/>
          </rPr>
          <t>Per+Awarness</t>
        </r>
      </text>
    </comment>
    <comment ref="AR55" authorId="0" shapeId="0" xr:uid="{00000000-0006-0000-0100-000007000000}">
      <text>
        <r>
          <rPr>
            <sz val="9"/>
            <color indexed="81"/>
            <rFont val="Tahoma"/>
            <family val="2"/>
          </rPr>
          <t>Per+Socialize</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Refhi</author>
  </authors>
  <commentList>
    <comment ref="O13" authorId="0" shapeId="0" xr:uid="{00000000-0006-0000-0200-000001000000}">
      <text>
        <r>
          <rPr>
            <b/>
            <sz val="9"/>
            <color indexed="81"/>
            <rFont val="Tahoma"/>
            <family val="2"/>
          </rPr>
          <t>Refhi:</t>
        </r>
        <r>
          <rPr>
            <sz val="9"/>
            <color indexed="81"/>
            <rFont val="Tahoma"/>
            <family val="2"/>
          </rPr>
          <t xml:space="preserve">
Fill ME
This little Excel Trick allows you to change values without overwriting formulas</t>
        </r>
      </text>
    </comment>
    <comment ref="K25" authorId="0" shapeId="0" xr:uid="{7E5C9F96-C5C6-4355-AE60-DEAFDB59E878}">
      <text>
        <r>
          <rPr>
            <b/>
            <sz val="9"/>
            <color indexed="81"/>
            <rFont val="Tahoma"/>
            <family val="2"/>
          </rPr>
          <t>Refhi:</t>
        </r>
        <r>
          <rPr>
            <sz val="9"/>
            <color indexed="81"/>
            <rFont val="Tahoma"/>
            <family val="2"/>
          </rPr>
          <t xml:space="preserve">
Refhi:
If this is red you most likely forgot to buy the "Martial Artist" Merit</t>
        </r>
      </text>
    </comment>
    <comment ref="L52" authorId="0" shapeId="0" xr:uid="{00000000-0006-0000-0200-000002000000}">
      <text>
        <r>
          <rPr>
            <b/>
            <sz val="9"/>
            <color indexed="81"/>
            <rFont val="Tahoma"/>
            <family val="2"/>
          </rPr>
          <t>Refhi:</t>
        </r>
        <r>
          <rPr>
            <sz val="9"/>
            <color indexed="81"/>
            <rFont val="Tahoma"/>
            <family val="2"/>
          </rPr>
          <t xml:space="preserve">
Sierreur à mettre pour éviter les asterisques si "type" vide</t>
        </r>
      </text>
    </comment>
    <comment ref="AG53" authorId="0" shapeId="0" xr:uid="{00000000-0006-0000-0200-000003000000}">
      <text>
        <r>
          <rPr>
            <sz val="9"/>
            <color indexed="81"/>
            <rFont val="Tahoma"/>
            <family val="2"/>
          </rPr>
          <t>Dexterity+Athletism</t>
        </r>
      </text>
    </comment>
    <comment ref="AR53" authorId="0" shapeId="0" xr:uid="{00000000-0006-0000-0200-000004000000}">
      <text>
        <r>
          <rPr>
            <sz val="9"/>
            <color indexed="81"/>
            <rFont val="Tahoma"/>
            <family val="2"/>
          </rPr>
          <t>Man+Socialize/2 Rond sup</t>
        </r>
      </text>
    </comment>
    <comment ref="AG54" authorId="0" shapeId="0" xr:uid="{00000000-0006-0000-0200-000005000000}">
      <text>
        <r>
          <rPr>
            <sz val="9"/>
            <color indexed="81"/>
            <rFont val="Tahoma"/>
            <family val="2"/>
          </rPr>
          <t>Dex + Dodge</t>
        </r>
      </text>
    </comment>
    <comment ref="AR54" authorId="0" shapeId="0" xr:uid="{00000000-0006-0000-0200-000006000000}">
      <text>
        <r>
          <rPr>
            <sz val="9"/>
            <color indexed="81"/>
            <rFont val="Tahoma"/>
            <family val="2"/>
          </rPr>
          <t>Wit+Integrity/2 rond sup</t>
        </r>
      </text>
    </comment>
    <comment ref="AG55" authorId="0" shapeId="0" xr:uid="{00000000-0006-0000-0200-000007000000}">
      <text>
        <r>
          <rPr>
            <sz val="9"/>
            <color indexed="81"/>
            <rFont val="Tahoma"/>
            <family val="2"/>
          </rPr>
          <t>Per+Awarness</t>
        </r>
      </text>
    </comment>
    <comment ref="AR55" authorId="0" shapeId="0" xr:uid="{00000000-0006-0000-0200-000008000000}">
      <text>
        <r>
          <rPr>
            <sz val="9"/>
            <color indexed="81"/>
            <rFont val="Tahoma"/>
            <family val="2"/>
          </rPr>
          <t>Per+Socialize</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Refhi</author>
  </authors>
  <commentList>
    <comment ref="S2" authorId="0" shapeId="0" xr:uid="{8AE4CE15-4F1B-4414-8BCC-0648C51561EA}">
      <text>
        <r>
          <rPr>
            <b/>
            <sz val="9"/>
            <color indexed="81"/>
            <rFont val="Tahoma"/>
            <family val="2"/>
          </rPr>
          <t>If you have a big name/Anima/Concept, just scale the size of the lines</t>
        </r>
      </text>
    </comment>
    <comment ref="BD11" authorId="0" shapeId="0" xr:uid="{6DF82785-5D4C-457D-B6C5-A6F32DC7E23F}">
      <text>
        <r>
          <rPr>
            <b/>
            <sz val="9"/>
            <color indexed="81"/>
            <rFont val="Tahoma"/>
            <family val="2"/>
          </rPr>
          <t>This is only usefull if you want a precise autocalc of your spent xp</t>
        </r>
      </text>
    </comment>
    <comment ref="J25" authorId="0" shapeId="0" xr:uid="{39FEE2AA-5D93-470F-B16D-026933C0F39A}">
      <text>
        <r>
          <rPr>
            <b/>
            <sz val="9"/>
            <color indexed="81"/>
            <rFont val="Tahoma"/>
            <family val="2"/>
          </rPr>
          <t>Refhi:</t>
        </r>
        <r>
          <rPr>
            <sz val="9"/>
            <color indexed="81"/>
            <rFont val="Tahoma"/>
            <family val="2"/>
          </rPr>
          <t xml:space="preserve">
Refhi:
If this is red you most likely forgot to buy the "Martial Artist" Merit</t>
        </r>
      </text>
    </comment>
    <comment ref="BA37" authorId="0" shapeId="0" xr:uid="{E9F9A5A8-4007-4606-92C8-15F7E35298E7}">
      <text>
        <r>
          <rPr>
            <b/>
            <sz val="9"/>
            <color indexed="81"/>
            <rFont val="Tahoma"/>
            <family val="2"/>
          </rPr>
          <t>[Your total regular xp]-[Your current unspent xp]</t>
        </r>
      </text>
    </comment>
    <comment ref="L52" authorId="0" shapeId="0" xr:uid="{00000000-0006-0000-0300-000001000000}">
      <text>
        <r>
          <rPr>
            <b/>
            <sz val="9"/>
            <color indexed="81"/>
            <rFont val="Tahoma"/>
            <family val="2"/>
          </rPr>
          <t>Refhi:</t>
        </r>
        <r>
          <rPr>
            <sz val="9"/>
            <color indexed="81"/>
            <rFont val="Tahoma"/>
            <family val="2"/>
          </rPr>
          <t xml:space="preserve">
Sierreur à mettre pour éviter les asterisques si "type" vide</t>
        </r>
      </text>
    </comment>
    <comment ref="AG53" authorId="0" shapeId="0" xr:uid="{00000000-0006-0000-0300-000002000000}">
      <text>
        <r>
          <rPr>
            <sz val="9"/>
            <color indexed="81"/>
            <rFont val="Tahoma"/>
            <family val="2"/>
          </rPr>
          <t>Dexterity+Athletism</t>
        </r>
      </text>
    </comment>
    <comment ref="AR53" authorId="0" shapeId="0" xr:uid="{00000000-0006-0000-0300-000003000000}">
      <text>
        <r>
          <rPr>
            <sz val="9"/>
            <color indexed="81"/>
            <rFont val="Tahoma"/>
            <family val="2"/>
          </rPr>
          <t>Man+Socialize/2 Rond sup</t>
        </r>
      </text>
    </comment>
    <comment ref="AG54" authorId="0" shapeId="0" xr:uid="{00000000-0006-0000-0300-000004000000}">
      <text>
        <r>
          <rPr>
            <sz val="9"/>
            <color indexed="81"/>
            <rFont val="Tahoma"/>
            <family val="2"/>
          </rPr>
          <t>Dex + Dodge</t>
        </r>
      </text>
    </comment>
    <comment ref="AR54" authorId="0" shapeId="0" xr:uid="{00000000-0006-0000-0300-000005000000}">
      <text>
        <r>
          <rPr>
            <sz val="9"/>
            <color indexed="81"/>
            <rFont val="Tahoma"/>
            <family val="2"/>
          </rPr>
          <t>Wit+Integrity/2 rond sup</t>
        </r>
      </text>
    </comment>
    <comment ref="AG55" authorId="0" shapeId="0" xr:uid="{00000000-0006-0000-0300-000006000000}">
      <text>
        <r>
          <rPr>
            <sz val="9"/>
            <color indexed="81"/>
            <rFont val="Tahoma"/>
            <family val="2"/>
          </rPr>
          <t>Per+Awarness</t>
        </r>
      </text>
    </comment>
    <comment ref="AR55" authorId="0" shapeId="0" xr:uid="{00000000-0006-0000-0300-000007000000}">
      <text>
        <r>
          <rPr>
            <sz val="9"/>
            <color indexed="81"/>
            <rFont val="Tahoma"/>
            <family val="2"/>
          </rPr>
          <t>Per+Socialize</t>
        </r>
      </text>
    </comment>
    <comment ref="BA68" authorId="0" shapeId="0" xr:uid="{00000000-0006-0000-0300-000008000000}">
      <text>
        <r>
          <rPr>
            <b/>
            <sz val="9"/>
            <color indexed="81"/>
            <rFont val="Tahoma"/>
            <family val="2"/>
          </rPr>
          <t>In Excel it work smothly.
In Libreoffice you need to unlock the sheet first in Tools =&gt; Protect Sheet (beware not to touch white cells as they contain complex formulas)</t>
        </r>
      </text>
    </comment>
    <comment ref="BE94" authorId="0" shapeId="0" xr:uid="{00000000-0006-0000-0300-000009000000}">
      <text>
        <r>
          <rPr>
            <b/>
            <sz val="9"/>
            <color indexed="81"/>
            <rFont val="Tahoma"/>
            <family val="2"/>
          </rPr>
          <t>Libreoffice ? Unlock the Sheet First.</t>
        </r>
      </text>
    </comment>
    <comment ref="BA108" authorId="0" shapeId="0" xr:uid="{00000000-0006-0000-0300-00000A000000}">
      <text>
        <r>
          <rPr>
            <b/>
            <sz val="9"/>
            <color indexed="81"/>
            <rFont val="Tahoma"/>
            <family val="2"/>
          </rPr>
          <t>Libreoffice ? Unlock the Sheet First.</t>
        </r>
      </text>
    </comment>
    <comment ref="BA117" authorId="0" shapeId="0" xr:uid="{00000000-0006-0000-0300-00000B000000}">
      <text>
        <r>
          <rPr>
            <b/>
            <sz val="9"/>
            <color indexed="81"/>
            <rFont val="Tahoma"/>
            <family val="2"/>
          </rPr>
          <t>Libreoffice ? Unlock the Sheet First.</t>
        </r>
      </text>
    </comment>
    <comment ref="BA171" authorId="0" shapeId="0" xr:uid="{00000000-0006-0000-0300-00000C000000}">
      <text>
        <r>
          <rPr>
            <sz val="9"/>
            <color indexed="81"/>
            <rFont val="Tahoma"/>
            <family val="2"/>
          </rPr>
          <t>Libreoffice ? Unlock the Sheet First.</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Refhi</author>
  </authors>
  <commentList>
    <comment ref="A1" authorId="0" shapeId="0" xr:uid="{00000000-0006-0000-0400-000001000000}">
      <text>
        <r>
          <rPr>
            <b/>
            <sz val="9"/>
            <color indexed="81"/>
            <rFont val="Tahoma"/>
            <family val="2"/>
          </rPr>
          <t>Refhi:</t>
        </r>
        <r>
          <rPr>
            <sz val="9"/>
            <color indexed="81"/>
            <rFont val="Tahoma"/>
            <family val="2"/>
          </rPr>
          <t xml:space="preserve">
You are curently in the "Values" sheet.
It contains the direct or indirect data about your caracter. Feel free to take a look.
It also allows you to upgrade the sheet by copying the STU columns and past them in MNO columns in the updated sheet. (Special past with  values only or that will not work properly : with Excel the "%123" icon, in Libreoffice the "Values" and "Numbers" checkboxes).
Please note that if you use Unimplemented Charms used abilities won't export.
Enjoy !</t>
        </r>
      </text>
    </comment>
    <comment ref="J1" authorId="0" shapeId="0" xr:uid="{00000000-0006-0000-0400-000002000000}">
      <text>
        <r>
          <rPr>
            <b/>
            <sz val="9"/>
            <color indexed="81"/>
            <rFont val="Tahoma"/>
            <family val="2"/>
          </rPr>
          <t>Refhi:</t>
        </r>
        <r>
          <rPr>
            <sz val="9"/>
            <color indexed="81"/>
            <rFont val="Tahoma"/>
            <family val="2"/>
          </rPr>
          <t xml:space="preserve">
Used as a basis for Creation_XP, but overrided if the pink column has value on the same line (tested in "Final/Export"</t>
        </r>
      </text>
    </comment>
    <comment ref="AB7" authorId="0" shapeId="0" xr:uid="{61BE4206-F18B-4B28-9362-18CB5F718582}">
      <text>
        <r>
          <rPr>
            <b/>
            <sz val="9"/>
            <color indexed="81"/>
            <rFont val="Tahoma"/>
            <family val="2"/>
          </rPr>
          <t>Refhi:</t>
        </r>
        <r>
          <rPr>
            <sz val="9"/>
            <color indexed="81"/>
            <rFont val="Tahoma"/>
            <family val="2"/>
          </rPr>
          <t xml:space="preserve">
all abilities and attributes will align to this cell. Use it to test stuff.</t>
        </r>
      </text>
    </comment>
    <comment ref="Z11" authorId="0" shapeId="0" xr:uid="{C3C3C3F0-4B10-4C86-BF51-4002E87952CF}">
      <text>
        <r>
          <rPr>
            <b/>
            <sz val="9"/>
            <color indexed="81"/>
            <rFont val="Tahoma"/>
            <family val="2"/>
          </rPr>
          <t>Refhi:</t>
        </r>
        <r>
          <rPr>
            <sz val="9"/>
            <color indexed="81"/>
            <rFont val="Tahoma"/>
            <family val="2"/>
          </rPr>
          <t xml:space="preserve">
the formula to caculate the xp at a given lvl is [lvl]*[lvl-1]*0,5*[xp multiplier]</t>
        </r>
      </text>
    </comment>
    <comment ref="S51" authorId="0" shapeId="0" xr:uid="{80C3B22C-A1D4-4603-91A1-5494C8ED9B04}">
      <text>
        <r>
          <rPr>
            <b/>
            <sz val="9"/>
            <color indexed="81"/>
            <rFont val="Tahoma"/>
            <family val="2"/>
          </rPr>
          <t>Refhi:</t>
        </r>
        <r>
          <rPr>
            <sz val="9"/>
            <color indexed="81"/>
            <rFont val="Tahoma"/>
            <family val="2"/>
          </rPr>
          <t xml:space="preserve">
Used in "CharmPrerequisite" to check if "Spell" ability is high enough</t>
        </r>
      </text>
    </comment>
    <comment ref="S59" authorId="0" shapeId="0" xr:uid="{AAA025A3-7A70-4B26-8F4F-5B3D06503C37}">
      <text>
        <r>
          <rPr>
            <b/>
            <sz val="9"/>
            <color indexed="81"/>
            <rFont val="Tahoma"/>
            <family val="2"/>
          </rPr>
          <t>Refhi:</t>
        </r>
        <r>
          <rPr>
            <sz val="9"/>
            <color indexed="81"/>
            <rFont val="Tahoma"/>
            <family val="2"/>
          </rPr>
          <t xml:space="preserve">
used for CharmPrerequisites</t>
        </r>
      </text>
    </comment>
    <comment ref="S98" authorId="0" shapeId="0" xr:uid="{00000000-0006-0000-0400-000003000000}">
      <text>
        <r>
          <rPr>
            <b/>
            <sz val="9"/>
            <color indexed="81"/>
            <rFont val="Tahoma"/>
            <family val="2"/>
          </rPr>
          <t>Refhi:</t>
        </r>
        <r>
          <rPr>
            <sz val="9"/>
            <color indexed="81"/>
            <rFont val="Tahoma"/>
            <family val="2"/>
          </rPr>
          <t xml:space="preserve">
Look in the table on the right for the right value</t>
        </r>
      </text>
    </comment>
    <comment ref="Z100" authorId="0" shapeId="0" xr:uid="{B0B6AFF9-2EA3-47AF-99A8-366A42D4EF38}">
      <text>
        <r>
          <rPr>
            <b/>
            <sz val="9"/>
            <color indexed="81"/>
            <rFont val="Tahoma"/>
            <family val="2"/>
          </rPr>
          <t>Refhi:</t>
        </r>
        <r>
          <rPr>
            <sz val="9"/>
            <color indexed="81"/>
            <rFont val="Tahoma"/>
            <family val="2"/>
          </rPr>
          <t xml:space="preserve">
say "1" if exalt type match</t>
        </r>
      </text>
    </comment>
    <comment ref="AA100" authorId="0" shapeId="0" xr:uid="{ED5C02B8-C5ED-438F-8A0B-A771BAD11F9B}">
      <text>
        <r>
          <rPr>
            <b/>
            <sz val="9"/>
            <color indexed="81"/>
            <rFont val="Tahoma"/>
            <family val="2"/>
          </rPr>
          <t>Refhi:</t>
        </r>
        <r>
          <rPr>
            <sz val="9"/>
            <color indexed="81"/>
            <rFont val="Tahoma"/>
            <family val="2"/>
          </rPr>
          <t xml:space="preserve">
Essence lvl for each Exalt Type, based on spent xp on Creation_XP</t>
        </r>
      </text>
    </comment>
    <comment ref="AB139" authorId="0" shapeId="0" xr:uid="{E7E75FC6-572F-4A29-8B4A-34246BDA0B69}">
      <text>
        <r>
          <rPr>
            <b/>
            <sz val="9"/>
            <color indexed="81"/>
            <rFont val="Tahoma"/>
            <family val="2"/>
          </rPr>
          <t>Refhi:</t>
        </r>
        <r>
          <rPr>
            <sz val="9"/>
            <color indexed="81"/>
            <rFont val="Tahoma"/>
            <family val="2"/>
          </rPr>
          <t xml:space="preserve">
la première partie de la formure recherche une spe/caste/supernal pour les abilities, la seconde pour les attributs</t>
        </r>
      </text>
    </comment>
    <comment ref="Q140" authorId="0" shapeId="0" xr:uid="{00000000-0006-0000-0400-000004000000}">
      <text>
        <r>
          <rPr>
            <b/>
            <sz val="9"/>
            <color indexed="81"/>
            <rFont val="Tahoma"/>
            <family val="2"/>
          </rPr>
          <t>Refhi:</t>
        </r>
        <r>
          <rPr>
            <sz val="9"/>
            <color indexed="81"/>
            <rFont val="Tahoma"/>
            <family val="2"/>
          </rPr>
          <t xml:space="preserve">
VLOOKUP+1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Refhi</author>
  </authors>
  <commentList>
    <comment ref="A17" authorId="0" shapeId="0" xr:uid="{5BD785F3-D868-4316-A926-C379C3153BA9}">
      <text>
        <r>
          <rPr>
            <b/>
            <sz val="9"/>
            <color indexed="81"/>
            <rFont val="Tahoma"/>
            <family val="2"/>
          </rPr>
          <t>Refhi:</t>
        </r>
        <r>
          <rPr>
            <sz val="9"/>
            <color indexed="81"/>
            <rFont val="Tahoma"/>
            <family val="2"/>
          </rPr>
          <t xml:space="preserve">
Favored Attributes/Abilities</t>
        </r>
      </text>
    </comment>
    <comment ref="A18" authorId="0" shapeId="0" xr:uid="{C7A2FC0A-0D3F-4732-A4FA-5F877A437831}">
      <text>
        <r>
          <rPr>
            <b/>
            <sz val="9"/>
            <color indexed="81"/>
            <rFont val="Tahoma"/>
            <family val="2"/>
          </rPr>
          <t>Refhi:</t>
        </r>
        <r>
          <rPr>
            <sz val="9"/>
            <color indexed="81"/>
            <rFont val="Tahoma"/>
            <family val="2"/>
          </rPr>
          <t xml:space="preserve">
Supernal Abilities</t>
        </r>
      </text>
    </comment>
    <comment ref="A19" authorId="0" shapeId="0" xr:uid="{ECAC2C21-A0BA-4C4B-B426-AC348D5B79C7}">
      <text>
        <r>
          <rPr>
            <b/>
            <sz val="9"/>
            <color indexed="81"/>
            <rFont val="Tahoma"/>
            <family val="2"/>
          </rPr>
          <t>Refhi:</t>
        </r>
        <r>
          <rPr>
            <sz val="9"/>
            <color indexed="81"/>
            <rFont val="Tahoma"/>
            <family val="2"/>
          </rPr>
          <t xml:space="preserve">
Caste Attributes/Abilities</t>
        </r>
      </text>
    </comment>
    <comment ref="F19" authorId="0" shapeId="0" xr:uid="{FB082DCD-FFA1-497C-A8A3-8E91F595E9AD}">
      <text>
        <r>
          <rPr>
            <b/>
            <sz val="9"/>
            <color indexed="81"/>
            <rFont val="Tahoma"/>
            <family val="2"/>
          </rPr>
          <t>Refhi:</t>
        </r>
        <r>
          <rPr>
            <sz val="9"/>
            <color indexed="81"/>
            <rFont val="Tahoma"/>
            <family val="2"/>
          </rPr>
          <t xml:space="preserve">
/!\ case dynamique</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Refhi</author>
  </authors>
  <commentList>
    <comment ref="A14" authorId="0" shapeId="0" xr:uid="{AFF8C066-1946-4B4A-BE70-B3510B6DE861}">
      <text>
        <r>
          <rPr>
            <b/>
            <sz val="9"/>
            <color indexed="81"/>
            <rFont val="Tahoma"/>
            <family val="2"/>
          </rPr>
          <t>Refhi:</t>
        </r>
        <r>
          <rPr>
            <sz val="9"/>
            <color indexed="81"/>
            <rFont val="Tahoma"/>
            <family val="2"/>
          </rPr>
          <t xml:space="preserve">
Here is the list to choose Cast/Favored/Supernal stuff in Creation_1</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Refhi</author>
  </authors>
  <commentList>
    <comment ref="K2" authorId="0" shapeId="0" xr:uid="{926AF3DD-0E01-4427-991C-126E882D8021}">
      <text>
        <r>
          <rPr>
            <b/>
            <sz val="9"/>
            <color indexed="81"/>
            <rFont val="Tahoma"/>
            <family val="2"/>
          </rPr>
          <t>Refhi:</t>
        </r>
        <r>
          <rPr>
            <sz val="9"/>
            <color indexed="81"/>
            <rFont val="Tahoma"/>
            <family val="2"/>
          </rPr>
          <t xml:space="preserve">
Calculate how many HL the OBT adds</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Refhi</author>
  </authors>
  <commentList>
    <comment ref="A1" authorId="0" shapeId="0" xr:uid="{2E93560F-2609-4160-8A09-BF239FB7649F}">
      <text>
        <r>
          <rPr>
            <b/>
            <sz val="9"/>
            <color indexed="81"/>
            <rFont val="Tahoma"/>
            <family val="2"/>
          </rPr>
          <t>Refhi:</t>
        </r>
        <r>
          <rPr>
            <sz val="9"/>
            <color indexed="81"/>
            <rFont val="Tahoma"/>
            <family val="2"/>
          </rPr>
          <t xml:space="preserve">
En cas d'ajouts de charmes, penser à redéfinir les plages de charmes dans le gestionnaire de noms</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Refhi</author>
  </authors>
  <commentList>
    <comment ref="A1" authorId="0" shapeId="0" xr:uid="{65686C40-F124-4571-8CF1-7C409AD2DD2D}">
      <text>
        <r>
          <rPr>
            <b/>
            <sz val="9"/>
            <color indexed="81"/>
            <rFont val="Tahoma"/>
            <family val="2"/>
          </rPr>
          <t>Refhi:</t>
        </r>
        <r>
          <rPr>
            <sz val="9"/>
            <color indexed="81"/>
            <rFont val="Tahoma"/>
            <family val="2"/>
          </rPr>
          <t xml:space="preserve">
Warning, if adding new Martial Arts remember to update the namelists</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Refhi</author>
  </authors>
  <commentList>
    <comment ref="C1" authorId="0" shapeId="0" xr:uid="{BE17FBE8-F9DE-4689-8525-C8E8F17DE43A}">
      <text>
        <r>
          <rPr>
            <b/>
            <sz val="9"/>
            <color indexed="81"/>
            <rFont val="Tahoma"/>
            <family val="2"/>
          </rPr>
          <t>Refhi:</t>
        </r>
        <r>
          <rPr>
            <sz val="9"/>
            <color indexed="81"/>
            <rFont val="Tahoma"/>
            <family val="2"/>
          </rPr>
          <t xml:space="preserve">
left part of the fomula is clear. The right part is a left vlookup.</t>
        </r>
      </text>
    </comment>
    <comment ref="N1" authorId="0" shapeId="0" xr:uid="{6E968985-1740-4098-81B8-E2ADA4F39AC1}">
      <text>
        <r>
          <rPr>
            <b/>
            <sz val="9"/>
            <color indexed="81"/>
            <rFont val="Tahoma"/>
            <family val="2"/>
          </rPr>
          <t>Refhi:</t>
        </r>
        <r>
          <rPr>
            <sz val="9"/>
            <color indexed="81"/>
            <rFont val="Tahoma"/>
            <family val="2"/>
          </rPr>
          <t xml:space="preserve">
utilisés pour le classement des charmes</t>
        </r>
      </text>
    </comment>
    <comment ref="O1" authorId="0" shapeId="0" xr:uid="{E8F3D967-B121-47A8-BF9A-205F51C2BCD0}">
      <text>
        <r>
          <rPr>
            <b/>
            <sz val="9"/>
            <color indexed="81"/>
            <rFont val="Tahoma"/>
            <family val="2"/>
          </rPr>
          <t>Refhi:</t>
        </r>
        <r>
          <rPr>
            <sz val="9"/>
            <color indexed="81"/>
            <rFont val="Tahoma"/>
            <family val="2"/>
          </rPr>
          <t xml:space="preserve">
this part to avoid too much CPU load (otherwise it doesn't count the lines in a nice way)</t>
        </r>
      </text>
    </comment>
    <comment ref="Q1" authorId="0" shapeId="0" xr:uid="{577AAAB5-238C-4D30-9EA5-766AFF6016E0}">
      <text>
        <r>
          <rPr>
            <b/>
            <sz val="9"/>
            <color indexed="81"/>
            <rFont val="Tahoma"/>
            <family val="2"/>
          </rPr>
          <t>Refhi:</t>
        </r>
        <r>
          <rPr>
            <sz val="9"/>
            <color indexed="81"/>
            <rFont val="Tahoma"/>
            <family val="2"/>
          </rPr>
          <t xml:space="preserve">
God Mode ! (add this value to any attribute/essence/ability)</t>
        </r>
      </text>
    </comment>
  </commentList>
</comments>
</file>

<file path=xl/sharedStrings.xml><?xml version="1.0" encoding="utf-8"?>
<sst xmlns="http://schemas.openxmlformats.org/spreadsheetml/2006/main" count="23942" uniqueCount="7392">
  <si>
    <t>NAME</t>
  </si>
  <si>
    <t>CONCEPT</t>
  </si>
  <si>
    <t>PLAYER</t>
  </si>
  <si>
    <t>ANIMA</t>
  </si>
  <si>
    <t>CASTE</t>
  </si>
  <si>
    <t>ATTRIBUTES</t>
  </si>
  <si>
    <t>STRENGTH</t>
  </si>
  <si>
    <t>●○○○○</t>
  </si>
  <si>
    <t>CHARISMA</t>
  </si>
  <si>
    <t>PERCEPTION</t>
  </si>
  <si>
    <t>DEXTERITY</t>
  </si>
  <si>
    <t>MANIPULATION</t>
  </si>
  <si>
    <t>INTELLIGENCE</t>
  </si>
  <si>
    <t>STAMINA</t>
  </si>
  <si>
    <t>APPEARANCE</t>
  </si>
  <si>
    <t>WITS</t>
  </si>
  <si>
    <t>Sp</t>
  </si>
  <si>
    <t>ABILITIES</t>
  </si>
  <si>
    <t>SPECIALTIES</t>
  </si>
  <si>
    <t>MERITS</t>
  </si>
  <si>
    <t>Archery</t>
  </si>
  <si>
    <t>○○○○○</t>
  </si>
  <si>
    <t>Athletics</t>
  </si>
  <si>
    <t>Awareness</t>
  </si>
  <si>
    <t>Brawl</t>
  </si>
  <si>
    <t>Bureaucracy</t>
  </si>
  <si>
    <t>Craft</t>
  </si>
  <si>
    <t>Dodge</t>
  </si>
  <si>
    <t>Integrity</t>
  </si>
  <si>
    <t>Investigation</t>
  </si>
  <si>
    <t>Larceny</t>
  </si>
  <si>
    <t>Linguistics</t>
  </si>
  <si>
    <t>WILLPOWER</t>
  </si>
  <si>
    <t>LIMIT BREAK</t>
  </si>
  <si>
    <t>Lore</t>
  </si>
  <si>
    <t>● ● ● ○ ○ ○ ○ ○ ○ ○</t>
  </si>
  <si>
    <t>□  □  □  □  □  □  □  □  □  □</t>
  </si>
  <si>
    <t>Martial Arts</t>
  </si>
  <si>
    <t>Medicine</t>
  </si>
  <si>
    <t>Melee</t>
  </si>
  <si>
    <t>ESSENCE</t>
  </si>
  <si>
    <t>LIMIT TRIGGER</t>
  </si>
  <si>
    <t>Occult</t>
  </si>
  <si>
    <t>Performance</t>
  </si>
  <si>
    <t>Presence</t>
  </si>
  <si>
    <t>Resistance</t>
  </si>
  <si>
    <t>Ride</t>
  </si>
  <si>
    <t>Sail</t>
  </si>
  <si>
    <t>EXPERIENCE</t>
  </si>
  <si>
    <t>SOLAR EXPERIENCE</t>
  </si>
  <si>
    <t>Socialize</t>
  </si>
  <si>
    <t>Stealth</t>
  </si>
  <si>
    <t>Current :</t>
  </si>
  <si>
    <t>Total :</t>
  </si>
  <si>
    <t>Current</t>
  </si>
  <si>
    <t>Total</t>
  </si>
  <si>
    <t>Survival</t>
  </si>
  <si>
    <t>Thrown</t>
  </si>
  <si>
    <t>WEAPONS</t>
  </si>
  <si>
    <t>War</t>
  </si>
  <si>
    <t>Tags</t>
  </si>
  <si>
    <t>Additionnal Abilities</t>
  </si>
  <si>
    <t>AA1</t>
  </si>
  <si>
    <t>AA2</t>
  </si>
  <si>
    <t>AA3</t>
  </si>
  <si>
    <t>AA4</t>
  </si>
  <si>
    <t>AA5</t>
  </si>
  <si>
    <t>AA6</t>
  </si>
  <si>
    <t>Armor</t>
  </si>
  <si>
    <t>Soak</t>
  </si>
  <si>
    <t>Hard</t>
  </si>
  <si>
    <t>MP</t>
  </si>
  <si>
    <t>Resolve</t>
  </si>
  <si>
    <t>Evasion</t>
  </si>
  <si>
    <t>Guile</t>
  </si>
  <si>
    <t>Rush</t>
  </si>
  <si>
    <t>Disengage</t>
  </si>
  <si>
    <t>Join Battle</t>
  </si>
  <si>
    <t>□</t>
  </si>
  <si>
    <t>INTIMACIES</t>
  </si>
  <si>
    <t>Name</t>
  </si>
  <si>
    <t>Type</t>
  </si>
  <si>
    <t>Duration</t>
  </si>
  <si>
    <t>Cost</t>
  </si>
  <si>
    <t>Book</t>
  </si>
  <si>
    <t>Page</t>
  </si>
  <si>
    <t>INVENTORY</t>
  </si>
  <si>
    <t>Value Name</t>
  </si>
  <si>
    <t>Second Name (If any)</t>
  </si>
  <si>
    <t>Base value (if any)</t>
  </si>
  <si>
    <t>General</t>
  </si>
  <si>
    <t>Player</t>
  </si>
  <si>
    <t>Caste</t>
  </si>
  <si>
    <t>Mortal</t>
  </si>
  <si>
    <t>Concept</t>
  </si>
  <si>
    <t>Anima</t>
  </si>
  <si>
    <t>Attributes</t>
  </si>
  <si>
    <t>Strength</t>
  </si>
  <si>
    <t>Dexterity</t>
  </si>
  <si>
    <t>Stamina</t>
  </si>
  <si>
    <t>Charisma</t>
  </si>
  <si>
    <t>Manipulation</t>
  </si>
  <si>
    <t>Appearance</t>
  </si>
  <si>
    <t>Perception</t>
  </si>
  <si>
    <t>Intelligence</t>
  </si>
  <si>
    <t>Wits</t>
  </si>
  <si>
    <t>Abilities</t>
  </si>
  <si>
    <t>Specialities</t>
  </si>
  <si>
    <t>S1</t>
  </si>
  <si>
    <t>S2</t>
  </si>
  <si>
    <t>S3</t>
  </si>
  <si>
    <t>S4</t>
  </si>
  <si>
    <t>S5</t>
  </si>
  <si>
    <t>S6</t>
  </si>
  <si>
    <t>S7</t>
  </si>
  <si>
    <t>S8</t>
  </si>
  <si>
    <t>S9</t>
  </si>
  <si>
    <t>S10</t>
  </si>
  <si>
    <t>Merits</t>
  </si>
  <si>
    <t>M1</t>
  </si>
  <si>
    <t>M2</t>
  </si>
  <si>
    <t>M3</t>
  </si>
  <si>
    <t>M4</t>
  </si>
  <si>
    <t>M5</t>
  </si>
  <si>
    <t>M6</t>
  </si>
  <si>
    <t>M7</t>
  </si>
  <si>
    <t>M8</t>
  </si>
  <si>
    <t>M9</t>
  </si>
  <si>
    <t>M10</t>
  </si>
  <si>
    <t>M11</t>
  </si>
  <si>
    <t>M12</t>
  </si>
  <si>
    <t>M13</t>
  </si>
  <si>
    <t>M14</t>
  </si>
  <si>
    <t>M15</t>
  </si>
  <si>
    <t>M16</t>
  </si>
  <si>
    <t>M17</t>
  </si>
  <si>
    <t>M18</t>
  </si>
  <si>
    <t>M19</t>
  </si>
  <si>
    <t>M20</t>
  </si>
  <si>
    <t>Other Traits</t>
  </si>
  <si>
    <t>Willpower</t>
  </si>
  <si>
    <t>Essence</t>
  </si>
  <si>
    <t>Indirects Traits</t>
  </si>
  <si>
    <t>Hardness</t>
  </si>
  <si>
    <t>Charms</t>
  </si>
  <si>
    <t>Category</t>
  </si>
  <si>
    <t>Mobility Penalty</t>
  </si>
  <si>
    <t>Attunement</t>
  </si>
  <si>
    <t>Mortal Light</t>
  </si>
  <si>
    <t>Mortal Medium</t>
  </si>
  <si>
    <t>Mortal Heavy</t>
  </si>
  <si>
    <t>Artifact Light</t>
  </si>
  <si>
    <t>Artifact Medium</t>
  </si>
  <si>
    <t>Artifact Heavy</t>
  </si>
  <si>
    <t>Damage</t>
  </si>
  <si>
    <t>Defense</t>
  </si>
  <si>
    <t>Overwhelming</t>
  </si>
  <si>
    <t>Close</t>
  </si>
  <si>
    <t>Short</t>
  </si>
  <si>
    <t>Medium</t>
  </si>
  <si>
    <t>Long</t>
  </si>
  <si>
    <t>Extreme</t>
  </si>
  <si>
    <t>Mortal Thrown Light</t>
  </si>
  <si>
    <t>Mortal Thrown Medium</t>
  </si>
  <si>
    <t>Mortal Thrown Heavy</t>
  </si>
  <si>
    <t>Mortal Archery Light</t>
  </si>
  <si>
    <t>Mortal Archery Medium</t>
  </si>
  <si>
    <t>Mortal Archery Heavy</t>
  </si>
  <si>
    <t>Artifact Thrown Light</t>
  </si>
  <si>
    <t>Artifact Thrown Medium</t>
  </si>
  <si>
    <t>Artifact Thrown Heavy</t>
  </si>
  <si>
    <t>Artifact Archery Light</t>
  </si>
  <si>
    <t>Artifact Archery Medium</t>
  </si>
  <si>
    <t>Artifact Archery Heavy</t>
  </si>
  <si>
    <t>●●○○○</t>
  </si>
  <si>
    <t>●●●○○</t>
  </si>
  <si>
    <t>●●●●○</t>
  </si>
  <si>
    <t>●●●●●</t>
  </si>
  <si>
    <r>
      <rPr>
        <sz val="11"/>
        <color rgb="FF000000"/>
        <rFont val="Liberation Sans"/>
        <family val="2"/>
      </rPr>
      <t>◙</t>
    </r>
    <r>
      <rPr>
        <sz val="11"/>
        <color rgb="FF000000"/>
        <rFont val="Liberation Sans1"/>
      </rPr>
      <t xml:space="preserve"> ●</t>
    </r>
  </si>
  <si>
    <r>
      <rPr>
        <sz val="11"/>
        <color rgb="FF000000"/>
        <rFont val="Liberation Sans"/>
        <family val="2"/>
      </rPr>
      <t>◙</t>
    </r>
    <r>
      <rPr>
        <sz val="11"/>
        <color rgb="FF000000"/>
        <rFont val="Liberation Sans1"/>
      </rPr>
      <t xml:space="preserve"> ●●</t>
    </r>
  </si>
  <si>
    <r>
      <rPr>
        <sz val="11"/>
        <color rgb="FF000000"/>
        <rFont val="Liberation Sans"/>
        <family val="2"/>
      </rPr>
      <t>◙</t>
    </r>
    <r>
      <rPr>
        <sz val="11"/>
        <color rgb="FF000000"/>
        <rFont val="Liberation Sans1"/>
      </rPr>
      <t xml:space="preserve"> ●●●</t>
    </r>
  </si>
  <si>
    <r>
      <rPr>
        <sz val="11"/>
        <color rgb="FF000000"/>
        <rFont val="Liberation Sans"/>
        <family val="2"/>
      </rPr>
      <t>◙</t>
    </r>
    <r>
      <rPr>
        <sz val="11"/>
        <color rgb="FF000000"/>
        <rFont val="Liberation Sans1"/>
      </rPr>
      <t xml:space="preserve"> ●●●●</t>
    </r>
  </si>
  <si>
    <t>◙ ◙</t>
  </si>
  <si>
    <t>○ ○ ○ ○ ○ ○ ○ ○ ○ ○</t>
  </si>
  <si>
    <t>● ○ ○ ○ ○ ○ ○ ○ ○ ○</t>
  </si>
  <si>
    <t>● ● ○ ○ ○ ○ ○ ○ ○ ○</t>
  </si>
  <si>
    <t>● ● ● ● ○ ○ ○ ○ ○ ○</t>
  </si>
  <si>
    <t>● ● ● ● ● ○ ○ ○ ○ ○</t>
  </si>
  <si>
    <t>● ● ● ● ● ● ○ ○ ○ ○</t>
  </si>
  <si>
    <t>● ● ● ● ● ● ● ○ ○ ○</t>
  </si>
  <si>
    <t>● ● ● ● ● ● ● ● ○ ○</t>
  </si>
  <si>
    <t>● ● ● ● ● ● ● ● ● ○</t>
  </si>
  <si>
    <t>● ● ● ● ● ● ● ● ● ●</t>
  </si>
  <si>
    <t>Solar Exalted</t>
  </si>
  <si>
    <t>Primary</t>
  </si>
  <si>
    <t>Secondary</t>
  </si>
  <si>
    <t>Tertiary</t>
  </si>
  <si>
    <t>Dawn</t>
  </si>
  <si>
    <t>Zenith</t>
  </si>
  <si>
    <t>Twilight</t>
  </si>
  <si>
    <t>Night</t>
  </si>
  <si>
    <t>Eclipse</t>
  </si>
  <si>
    <t>I</t>
  </si>
  <si>
    <t>-</t>
  </si>
  <si>
    <t>Points</t>
  </si>
  <si>
    <t>Prerequisite</t>
  </si>
  <si>
    <t>Allies</t>
  </si>
  <si>
    <t>Story</t>
  </si>
  <si>
    <t>Ambidextrous</t>
  </si>
  <si>
    <t>Innate</t>
  </si>
  <si>
    <t>Artifact</t>
  </si>
  <si>
    <t>Backing</t>
  </si>
  <si>
    <t>Boundless_Endurance</t>
  </si>
  <si>
    <t>Purchased</t>
  </si>
  <si>
    <t>Stamina 3 or Resistance 3</t>
  </si>
  <si>
    <t>Command</t>
  </si>
  <si>
    <t>Contacts</t>
  </si>
  <si>
    <t>Cult</t>
  </si>
  <si>
    <t>Danger_Sense</t>
  </si>
  <si>
    <t>Demesne</t>
  </si>
  <si>
    <t>Direction_Sense</t>
  </si>
  <si>
    <t>Eidetic_Memory</t>
  </si>
  <si>
    <t>Familiar</t>
  </si>
  <si>
    <t>Fast_Reflexes</t>
  </si>
  <si>
    <t>Wits 3</t>
  </si>
  <si>
    <t>Fleet_of_Foot</t>
  </si>
  <si>
    <t>Dexterity 3</t>
  </si>
  <si>
    <t>Followers</t>
  </si>
  <si>
    <t>Giant</t>
  </si>
  <si>
    <t>Stamina 3</t>
  </si>
  <si>
    <t>Heartstone</t>
  </si>
  <si>
    <t>Hideous</t>
  </si>
  <si>
    <t>Influence</t>
  </si>
  <si>
    <t>Iron_Stomach</t>
  </si>
  <si>
    <t>Language</t>
  </si>
  <si>
    <t>Manse</t>
  </si>
  <si>
    <t>Mentor</t>
  </si>
  <si>
    <t>Martial_Artist</t>
  </si>
  <si>
    <t>Brawl 1</t>
  </si>
  <si>
    <t>Mighty_Thew</t>
  </si>
  <si>
    <t>Strength 3</t>
  </si>
  <si>
    <t>Pain_Tolerance</t>
  </si>
  <si>
    <t>Resistance 4</t>
  </si>
  <si>
    <t>Quick_Draw</t>
  </si>
  <si>
    <t>Archery, Brawl, Melee, Martial Arts or Thrown 3</t>
  </si>
  <si>
    <t>Retainers</t>
  </si>
  <si>
    <t>Resources</t>
  </si>
  <si>
    <t>Selective_Conception</t>
  </si>
  <si>
    <t>Strong_Lungs</t>
  </si>
  <si>
    <t>Athletics 3</t>
  </si>
  <si>
    <t>Tempered_by_the_Elements</t>
  </si>
  <si>
    <t>Toxin_Resistance</t>
  </si>
  <si>
    <t>Ability</t>
  </si>
  <si>
    <t>Prerequisites</t>
  </si>
  <si>
    <t>Accuracy Without Distance</t>
  </si>
  <si>
    <t>257-258</t>
  </si>
  <si>
    <t>Arrow Storm Technique</t>
  </si>
  <si>
    <t>257;259;623</t>
  </si>
  <si>
    <t>Blood Without Balance</t>
  </si>
  <si>
    <t>Sight Without Eyes</t>
  </si>
  <si>
    <t>Dazzling Flare Attack</t>
  </si>
  <si>
    <t>258-260</t>
  </si>
  <si>
    <t>Dust and Ash Sleight</t>
  </si>
  <si>
    <t>Fiery Arrow Attack</t>
  </si>
  <si>
    <t>257-258;260</t>
  </si>
  <si>
    <t>Phantom Arrow Technique</t>
  </si>
  <si>
    <t>Finishing Snipe</t>
  </si>
  <si>
    <t>259;261</t>
  </si>
  <si>
    <t>Flashing Vengeance Draw</t>
  </si>
  <si>
    <t>Force Without Fire</t>
  </si>
  <si>
    <t>256-257</t>
  </si>
  <si>
    <t>Heart-Eating Incineration</t>
  </si>
  <si>
    <t>Heavens Crash Down</t>
  </si>
  <si>
    <t>258-259</t>
  </si>
  <si>
    <t>Immaculate Golden Bow</t>
  </si>
  <si>
    <t>257-259</t>
  </si>
  <si>
    <t>Rain of Feathered Death</t>
  </si>
  <si>
    <t>259-260</t>
  </si>
  <si>
    <t>Revolving Bow Discipline</t>
  </si>
  <si>
    <t>258-260;623</t>
  </si>
  <si>
    <t>Searing Sunfire Interdiction</t>
  </si>
  <si>
    <t>Seven Omens Shot</t>
  </si>
  <si>
    <t>258;260</t>
  </si>
  <si>
    <t>Shadow-Seeking Arrow</t>
  </si>
  <si>
    <t>255-257</t>
  </si>
  <si>
    <t>Wise Arrow</t>
  </si>
  <si>
    <t>Solar Spike</t>
  </si>
  <si>
    <t>Streaming Arrow Stance</t>
  </si>
  <si>
    <t>There Is No Wind</t>
  </si>
  <si>
    <t>Trance of Unhesitating Speed</t>
  </si>
  <si>
    <t>256-258</t>
  </si>
  <si>
    <t>Whispered Prayer of Judgment</t>
  </si>
  <si>
    <t>255-256</t>
  </si>
  <si>
    <t>Aegis of Unstoppable Force</t>
  </si>
  <si>
    <t>Arete-Driven Marathon Stride</t>
  </si>
  <si>
    <t>264-266</t>
  </si>
  <si>
    <t>Armor-Eating Strike</t>
  </si>
  <si>
    <t>264-264</t>
  </si>
  <si>
    <t>Bonfire Anima Wings</t>
  </si>
  <si>
    <t>Demon-Wasting Rush</t>
  </si>
  <si>
    <t>Eagle-Wing Style</t>
  </si>
  <si>
    <t>Feather Foot Style</t>
  </si>
  <si>
    <t>Foe-Vaulting Method</t>
  </si>
  <si>
    <t>Godspeed Steps</t>
  </si>
  <si>
    <t>265-266</t>
  </si>
  <si>
    <t>Graceful Crane Stance</t>
  </si>
  <si>
    <t>131;261;263-264;380</t>
  </si>
  <si>
    <t>Hurricane Spirit Speed</t>
  </si>
  <si>
    <t>Increasing Strength Exercise</t>
  </si>
  <si>
    <t>262;265</t>
  </si>
  <si>
    <t>Leaping Tiger Attack</t>
  </si>
  <si>
    <t>Legion Aurochs Method</t>
  </si>
  <si>
    <t>Lightning Speed</t>
  </si>
  <si>
    <t>262-264;461</t>
  </si>
  <si>
    <t>Living Wind Approach</t>
  </si>
  <si>
    <t>Monkey Leap Technique</t>
  </si>
  <si>
    <t>131;250;261-262;265;380;623</t>
  </si>
  <si>
    <t>Mountain-Crossing Leap Technique</t>
  </si>
  <si>
    <t>Nine Aeons Thew</t>
  </si>
  <si>
    <t>266;274</t>
  </si>
  <si>
    <t>One Extra Step</t>
  </si>
  <si>
    <t>Onrush Burst Method</t>
  </si>
  <si>
    <t>264;266;382</t>
  </si>
  <si>
    <t>Power Suffusing Form Technique</t>
  </si>
  <si>
    <t>Racing Hare Method</t>
  </si>
  <si>
    <t>Soaring Crane Leap</t>
  </si>
  <si>
    <t>261;264</t>
  </si>
  <si>
    <t>Spider Foot Style</t>
  </si>
  <si>
    <t>263-264</t>
  </si>
  <si>
    <t>Ten Ox Meditation</t>
  </si>
  <si>
    <t>250;262;266</t>
  </si>
  <si>
    <t>Thunderbolt Attack Prana</t>
  </si>
  <si>
    <t>262-264</t>
  </si>
  <si>
    <t>262;265-266</t>
  </si>
  <si>
    <t>Triumph-Forged God-Body</t>
  </si>
  <si>
    <t>264;266</t>
  </si>
  <si>
    <t>Unbound Eagle Approach</t>
  </si>
  <si>
    <t>Winning Stride Discipline</t>
  </si>
  <si>
    <t>262;264</t>
  </si>
  <si>
    <t>Awakening Eye</t>
  </si>
  <si>
    <t>270;273</t>
  </si>
  <si>
    <t>Any two Keen (Sense) Techniques</t>
  </si>
  <si>
    <t>Blink</t>
  </si>
  <si>
    <t>270-271</t>
  </si>
  <si>
    <t>Dedicated Unerring Ear</t>
  </si>
  <si>
    <t>Eye of the Unconquered Sun</t>
  </si>
  <si>
    <t>176;273;407;508</t>
  </si>
  <si>
    <t>Eyeless Harbinger Awareness</t>
  </si>
  <si>
    <t>269;271</t>
  </si>
  <si>
    <t>Keen Hearing and Touch Technique</t>
  </si>
  <si>
    <t>Foe-Scenting Method</t>
  </si>
  <si>
    <t>269-270</t>
  </si>
  <si>
    <t>Keen Taste and Smell Technique</t>
  </si>
  <si>
    <t>Genius Palate Summation</t>
  </si>
  <si>
    <t>Inner Eye Focus</t>
  </si>
  <si>
    <t>269;272-273</t>
  </si>
  <si>
    <t>Sensory Acuity Prana</t>
  </si>
  <si>
    <t>Keen Sight Technique</t>
  </si>
  <si>
    <t>267;269;271</t>
  </si>
  <si>
    <t>268-269;271</t>
  </si>
  <si>
    <t>Knowing Beyond Silence</t>
  </si>
  <si>
    <t>Living Pulse Perception</t>
  </si>
  <si>
    <t>Roused Dragon Detection</t>
  </si>
  <si>
    <t>Scent-Honing Prana</t>
  </si>
  <si>
    <t>131;267-270</t>
  </si>
  <si>
    <t>Studied Ear Espial</t>
  </si>
  <si>
    <t>Surprise Anticipation Method</t>
  </si>
  <si>
    <t>Unsurpassed Hearing and Touch Discipline</t>
  </si>
  <si>
    <t>270;272-273</t>
  </si>
  <si>
    <t>Unsurpassed Taste and Smell Discipline</t>
  </si>
  <si>
    <t>271-272</t>
  </si>
  <si>
    <t>Unsurpassed Sight Discipline</t>
  </si>
  <si>
    <t>271-273</t>
  </si>
  <si>
    <t>Unswerving Eye Method</t>
  </si>
  <si>
    <t>267-268;270</t>
  </si>
  <si>
    <t>Adamantine Fists of Battle</t>
  </si>
  <si>
    <t>279;282</t>
  </si>
  <si>
    <t>Apocalypse Flare Attack</t>
  </si>
  <si>
    <t>260;283</t>
  </si>
  <si>
    <t>Ascendant Battle Visage</t>
  </si>
  <si>
    <t>Blade-Rebuking Wrath</t>
  </si>
  <si>
    <t>Burning Fist Burial</t>
  </si>
  <si>
    <t>277;279</t>
  </si>
  <si>
    <t>Burning Proof of Authority</t>
  </si>
  <si>
    <t>278;280</t>
  </si>
  <si>
    <t>Cancel the Apocalypse</t>
  </si>
  <si>
    <t>Crashing Wave Throw</t>
  </si>
  <si>
    <t>274;275;281,</t>
  </si>
  <si>
    <t>Vicious Lunge</t>
  </si>
  <si>
    <t>Dancing With Strife Technique</t>
  </si>
  <si>
    <t>Devil-Strangling Attitude</t>
  </si>
  <si>
    <t>275;278</t>
  </si>
  <si>
    <t>Dragon Coil Technique</t>
  </si>
  <si>
    <t>274-275;280-281;522;557;560,564;567;569;571-573;575</t>
  </si>
  <si>
    <t>Falling Hammer Strike</t>
  </si>
  <si>
    <t>275-278</t>
  </si>
  <si>
    <t>Thunderclap Rush Attack</t>
  </si>
  <si>
    <t>Ferocious Jab</t>
  </si>
  <si>
    <t>274;277</t>
  </si>
  <si>
    <t>Fire-Eating Fist</t>
  </si>
  <si>
    <t>279;283</t>
  </si>
  <si>
    <t>Fists of Iron Technique</t>
  </si>
  <si>
    <t>273-274;277</t>
  </si>
  <si>
    <t>Fivefold Fury Onslaught</t>
  </si>
  <si>
    <t>281-282</t>
  </si>
  <si>
    <t>Force-Rending Strike</t>
  </si>
  <si>
    <t>Hammer on Iron Technique</t>
  </si>
  <si>
    <t>278;281</t>
  </si>
  <si>
    <t>Heaven Fury Smite</t>
  </si>
  <si>
    <t>Heaven Thunder Hammer</t>
  </si>
  <si>
    <t>274-275;277;281;426;519,569;572</t>
  </si>
  <si>
    <t>Incarnated Fury Attack</t>
  </si>
  <si>
    <t>Inevitable Victory Meditation</t>
  </si>
  <si>
    <t>282-283</t>
  </si>
  <si>
    <t>Intercepting Fury Smite</t>
  </si>
  <si>
    <t>Iron Battle Focus</t>
  </si>
  <si>
    <t>273-274;276</t>
  </si>
  <si>
    <t>Knockout Blow</t>
  </si>
  <si>
    <t>278-279</t>
  </si>
  <si>
    <t>Lightning Strikes Twice</t>
  </si>
  <si>
    <t>Oak-Curling Clinch</t>
  </si>
  <si>
    <t>275;278-279</t>
  </si>
  <si>
    <t>One With Violence</t>
  </si>
  <si>
    <t>Orichalcum Fists of Battle</t>
  </si>
  <si>
    <t>Ox-Stunning Blow</t>
  </si>
  <si>
    <t>277-278;349</t>
  </si>
  <si>
    <t>Raging Wrath Repeated</t>
  </si>
  <si>
    <t>Rampage-Berserker Attack</t>
  </si>
  <si>
    <t>Rapturous Cradle</t>
  </si>
  <si>
    <t>Reckless Fury Discard</t>
  </si>
  <si>
    <t>276;278</t>
  </si>
  <si>
    <t>River-Binding Wrath</t>
  </si>
  <si>
    <t>279-280</t>
  </si>
  <si>
    <t>Shockwave Technique</t>
  </si>
  <si>
    <t>Sledgehammer Fist Punch</t>
  </si>
  <si>
    <t>277-278</t>
  </si>
  <si>
    <t>Solar Cross-Counter</t>
  </si>
  <si>
    <t>Striving Aftershock Method</t>
  </si>
  <si>
    <t>Superior Violent Knowledge</t>
  </si>
  <si>
    <t>Supremacy of War Meditation</t>
  </si>
  <si>
    <t>Ten Calamities Technique</t>
  </si>
  <si>
    <t>280;282</t>
  </si>
  <si>
    <t>275-276</t>
  </si>
  <si>
    <t>Titan-Straightening Method</t>
  </si>
  <si>
    <t>280-281</t>
  </si>
  <si>
    <t>Unbreakable Grasp</t>
  </si>
  <si>
    <t>Wicked Dissolve Dust</t>
  </si>
  <si>
    <t>Wind and Stones Defense</t>
  </si>
  <si>
    <t>All-Seeing Master Procurer</t>
  </si>
  <si>
    <t>Consumer-Evaluating Glance</t>
  </si>
  <si>
    <t>Bureau-Rectifying Method</t>
  </si>
  <si>
    <t>285-287</t>
  </si>
  <si>
    <t>Speed the Wheels</t>
  </si>
  <si>
    <t>Bureau-Reforming Kata</t>
  </si>
  <si>
    <t>286-287</t>
  </si>
  <si>
    <t>284-285</t>
  </si>
  <si>
    <t>Frugal Merchant Method</t>
  </si>
  <si>
    <t>284-286</t>
  </si>
  <si>
    <t>Eclectic Verbiage of Law</t>
  </si>
  <si>
    <t>Empowered Barter Stance</t>
  </si>
  <si>
    <t>Enigmatic Bureau Understanding</t>
  </si>
  <si>
    <t>Measuring Glance</t>
  </si>
  <si>
    <t>Enlightened Discourse Method</t>
  </si>
  <si>
    <t>285-286</t>
  </si>
  <si>
    <t>Foul Air of Argument Technique</t>
  </si>
  <si>
    <t>286;288</t>
  </si>
  <si>
    <t>283-285</t>
  </si>
  <si>
    <t>Illimitable Master Fence</t>
  </si>
  <si>
    <t>284;286</t>
  </si>
  <si>
    <t>Indolent Official Charm</t>
  </si>
  <si>
    <t>Infinitely-Efficient Register</t>
  </si>
  <si>
    <t>Insightful Buyer Technique</t>
  </si>
  <si>
    <t>Irresistible Salesman Spirit</t>
  </si>
  <si>
    <t>Omen-Spawning Beast</t>
  </si>
  <si>
    <t>287-288</t>
  </si>
  <si>
    <t>Order-Conferring Action</t>
  </si>
  <si>
    <t>Semantic Argument Technique</t>
  </si>
  <si>
    <t>Soul-Snaring Pitch</t>
  </si>
  <si>
    <t>Subject-Hailing Ideology</t>
  </si>
  <si>
    <t>Taboo-Inflicting Diatribe</t>
  </si>
  <si>
    <t>288-289</t>
  </si>
  <si>
    <t>Ungoverned Market Awareness</t>
  </si>
  <si>
    <t>Woe-Capturing Web</t>
  </si>
  <si>
    <t>Ages-Echoing Wisdom</t>
  </si>
  <si>
    <t>Blood Diamond Sweat</t>
  </si>
  <si>
    <t>Time Heals Nothing</t>
  </si>
  <si>
    <t>Brass Scales Falling</t>
  </si>
  <si>
    <t>Breach-Healing Method</t>
  </si>
  <si>
    <t>Bright-Forging Prana</t>
  </si>
  <si>
    <t>Celestial Reforging Technique</t>
  </si>
  <si>
    <t>Chains Fall Away</t>
  </si>
  <si>
    <t>292-293</t>
  </si>
  <si>
    <t>Red Anvils Ringing</t>
  </si>
  <si>
    <t>Chaos-Resistance Preparation</t>
  </si>
  <si>
    <t>295-296</t>
  </si>
  <si>
    <t>Clay and Breath Practice</t>
  </si>
  <si>
    <t>Copper Spider Conception</t>
  </si>
  <si>
    <t>Crack-Mending Technique</t>
  </si>
  <si>
    <t>Craftsman Needs No Tools</t>
  </si>
  <si>
    <t>292-296</t>
  </si>
  <si>
    <t>Design Beyond Limit</t>
  </si>
  <si>
    <t>Divine Inspiration Technique</t>
  </si>
  <si>
    <t>298-299</t>
  </si>
  <si>
    <t>Divine Transcendence of Craft</t>
  </si>
  <si>
    <t>Dragon Soul Emergence</t>
  </si>
  <si>
    <t>290-291</t>
  </si>
  <si>
    <t>Dual Magnus Prana</t>
  </si>
  <si>
    <t>Durability-Enhancing Technique</t>
  </si>
  <si>
    <t>294-295</t>
  </si>
  <si>
    <t>Essence-Forging Kata</t>
  </si>
  <si>
    <t>Exegesis of the Distilled Form</t>
  </si>
  <si>
    <t>Experiential Conjuring of True Void</t>
  </si>
  <si>
    <t>297-298</t>
  </si>
  <si>
    <t>First Movement of the Demiurge</t>
  </si>
  <si>
    <t>Flawless Handiwork Method</t>
  </si>
  <si>
    <t>God-Forge Within</t>
  </si>
  <si>
    <t>291-292</t>
  </si>
  <si>
    <t>Holistic Miracle Understanding</t>
  </si>
  <si>
    <t>Horizon-Unveiling Insight</t>
  </si>
  <si>
    <t>Inspiration-Renewing Vision</t>
  </si>
  <si>
    <t>Mind-Expanding Meditation</t>
  </si>
  <si>
    <t>Object-Strengthening Touch</t>
  </si>
  <si>
    <t>Peerless Paragon of Craft</t>
  </si>
  <si>
    <t>292-293;297</t>
  </si>
  <si>
    <t>Realizing the Form Supernal</t>
  </si>
  <si>
    <t>Shattering Grasp</t>
  </si>
  <si>
    <t>Spirit-Gathering Industry</t>
  </si>
  <si>
    <t>Spirit-Stoking Elevation</t>
  </si>
  <si>
    <t>Sublime Transference</t>
  </si>
  <si>
    <t>289-290</t>
  </si>
  <si>
    <t>Summit-Piercing Touch</t>
  </si>
  <si>
    <t>Sun-Heart Tenacity</t>
  </si>
  <si>
    <t>Supreme Masterwork Focus</t>
  </si>
  <si>
    <t>Supreme Perfection of Craft</t>
  </si>
  <si>
    <t>293-294</t>
  </si>
  <si>
    <t>Thousand-Forge Hands</t>
  </si>
  <si>
    <t>Triumph-Forging Eye</t>
  </si>
  <si>
    <t>Unbroken Image Focus</t>
  </si>
  <si>
    <t>Unwinding Gyre Meditation</t>
  </si>
  <si>
    <t>Vice-Miracle Technique</t>
  </si>
  <si>
    <t>290;292;294</t>
  </si>
  <si>
    <t>Wonder-Forging Genius</t>
  </si>
  <si>
    <t>Drifting Leaf Elusion</t>
  </si>
  <si>
    <t>131;300-302</t>
  </si>
  <si>
    <t>Drifting Shadow Focus</t>
  </si>
  <si>
    <t>301-302</t>
  </si>
  <si>
    <t>Dust Motes Whirling</t>
  </si>
  <si>
    <t>299-300</t>
  </si>
  <si>
    <t>Reed in the Wind</t>
  </si>
  <si>
    <t>Reflex Sidestep Technique</t>
  </si>
  <si>
    <t>132;299-300</t>
  </si>
  <si>
    <t>Fleet Dreaming Image</t>
  </si>
  <si>
    <t>300;302</t>
  </si>
  <si>
    <t>Flow Like Blood</t>
  </si>
  <si>
    <t>Force-Stealing Feint</t>
  </si>
  <si>
    <t>Fourfold Shiver Binding</t>
  </si>
  <si>
    <t>Harm-Dismissing Meditation</t>
  </si>
  <si>
    <t>Hundred Shadow Ways</t>
  </si>
  <si>
    <t>Leaping Dodge Method</t>
  </si>
  <si>
    <t>Living Bonds Unburdened</t>
  </si>
  <si>
    <t>302-303;376</t>
  </si>
  <si>
    <t>131;299;301</t>
  </si>
  <si>
    <t>Refinement of Flowing Shadows</t>
  </si>
  <si>
    <t>Rumor of Form</t>
  </si>
  <si>
    <t>252;301-302</t>
  </si>
  <si>
    <t>Safety Between Heartbeats</t>
  </si>
  <si>
    <t>Searing Quicksilver Flight</t>
  </si>
  <si>
    <t>299;301</t>
  </si>
  <si>
    <t>Seven Shadow Evasion</t>
  </si>
  <si>
    <t>301;303</t>
  </si>
  <si>
    <t>Shadow Dancer Method</t>
  </si>
  <si>
    <t>Shadow Over Water</t>
  </si>
  <si>
    <t>300-301</t>
  </si>
  <si>
    <t>Sunlight Bleeding Away</t>
  </si>
  <si>
    <t>Unbowed Willow Meditation</t>
  </si>
  <si>
    <t>Unbridled Shade Attitude</t>
  </si>
  <si>
    <t>Vaporous Division</t>
  </si>
  <si>
    <t>Way of Whispers Technique</t>
  </si>
  <si>
    <t>Accord of the Unbreakable Spirit</t>
  </si>
  <si>
    <t>Barque of Transcendent Vision</t>
  </si>
  <si>
    <t>310-311</t>
  </si>
  <si>
    <t>Body-Restoring Benison</t>
  </si>
  <si>
    <t>Clear Mind Discipline</t>
  </si>
  <si>
    <t>Destiny-Manifesting Method</t>
  </si>
  <si>
    <t>304-305;307</t>
  </si>
  <si>
    <t>Ten Charms from any one Ability</t>
  </si>
  <si>
    <t>Divine Mantle</t>
  </si>
  <si>
    <t>Eminent Paragon Approach</t>
  </si>
  <si>
    <t>Empowered Soul Technique</t>
  </si>
  <si>
    <t>Enduring Mental Toughness</t>
  </si>
  <si>
    <t>303;305</t>
  </si>
  <si>
    <t>Energy Restoration Prana</t>
  </si>
  <si>
    <t>306;311</t>
  </si>
  <si>
    <t>Integrity-Protecting Prana</t>
  </si>
  <si>
    <t>303-304;307;336</t>
  </si>
  <si>
    <t>Invincible Solar Aegis</t>
  </si>
  <si>
    <t>309-310</t>
  </si>
  <si>
    <t>Inviolable Essence-Merging</t>
  </si>
  <si>
    <t>Legend-Soul Revival</t>
  </si>
  <si>
    <t>Mind-Cleansing Prana</t>
  </si>
  <si>
    <t>306;309-310</t>
  </si>
  <si>
    <t>Phoenix Renewal Tactic</t>
  </si>
  <si>
    <t>307-308</t>
  </si>
  <si>
    <t>Righteous Lion Defense</t>
  </si>
  <si>
    <t>307;309</t>
  </si>
  <si>
    <t>Righteous Soul Judgment</t>
  </si>
  <si>
    <t>Soul-Nourishing Technique</t>
  </si>
  <si>
    <t>308;310</t>
  </si>
  <si>
    <t>Spirit-Maintaining Maneuver</t>
  </si>
  <si>
    <t>305;308</t>
  </si>
  <si>
    <t>Spirit-Tempering Practice</t>
  </si>
  <si>
    <t>Steel Heart Stance</t>
  </si>
  <si>
    <t>306-307</t>
  </si>
  <si>
    <t>Stubborn Boar Defense</t>
  </si>
  <si>
    <t>303;305-306</t>
  </si>
  <si>
    <t>Sun King Radiance</t>
  </si>
  <si>
    <t>Temptation-Resisting Stance</t>
  </si>
  <si>
    <t>308-309;328</t>
  </si>
  <si>
    <t>Undying Solar Resolve</t>
  </si>
  <si>
    <t>305-306;309</t>
  </si>
  <si>
    <t>Unhesitating Dedication</t>
  </si>
  <si>
    <t>309;373</t>
  </si>
  <si>
    <t>Watchful Eyes of Heaven</t>
  </si>
  <si>
    <t>Crafty Observation Method</t>
  </si>
  <si>
    <t>Dauntless Inquisitor Attitude</t>
  </si>
  <si>
    <t>313-314</t>
  </si>
  <si>
    <t>Divine Induction Technique</t>
  </si>
  <si>
    <t>Empathic Recall Discipline</t>
  </si>
  <si>
    <t>Enlightened Touch Insight</t>
  </si>
  <si>
    <t>314-315</t>
  </si>
  <si>
    <t>Evidence-Discerning Method</t>
  </si>
  <si>
    <t>312-313</t>
  </si>
  <si>
    <t>Evidence-Restoring Prana</t>
  </si>
  <si>
    <t>313;315</t>
  </si>
  <si>
    <t>Irresistible Questioning Technique</t>
  </si>
  <si>
    <t>Mind Manse Meditation</t>
  </si>
  <si>
    <t>Miraculous Stunning Insight</t>
  </si>
  <si>
    <t>Ten Magistrate Eyes</t>
  </si>
  <si>
    <t>312-314</t>
  </si>
  <si>
    <t>Unknown Wisdom Epiphany</t>
  </si>
  <si>
    <t>313-315</t>
  </si>
  <si>
    <t>311-313</t>
  </si>
  <si>
    <t>316-317</t>
  </si>
  <si>
    <t>Seasoned Criminal Method</t>
  </si>
  <si>
    <t>Door-Evading Technique</t>
  </si>
  <si>
    <t>318;321</t>
  </si>
  <si>
    <t>Doubt-Sealing Heist</t>
  </si>
  <si>
    <t>Fate-Shifting Solar Arete</t>
  </si>
  <si>
    <t>Flashing Ruse Prana</t>
  </si>
  <si>
    <t>Flawless Pickpocketing Technique</t>
  </si>
  <si>
    <t>316-317;319-320</t>
  </si>
  <si>
    <t>Flawlessly Impenetrable Disguise</t>
  </si>
  <si>
    <t>320-321</t>
  </si>
  <si>
    <t>Lightning-Hand Sleight</t>
  </si>
  <si>
    <t>316;318;320</t>
  </si>
  <si>
    <t>Living Shadow Preparedness</t>
  </si>
  <si>
    <t>317-318</t>
  </si>
  <si>
    <t>Lock-Opening Touch</t>
  </si>
  <si>
    <t>317;321</t>
  </si>
  <si>
    <t>319-320</t>
  </si>
  <si>
    <t>Master Plan Meditation</t>
  </si>
  <si>
    <t>Null Anima Gloves</t>
  </si>
  <si>
    <t>321-322</t>
  </si>
  <si>
    <t>Perfect Mirror</t>
  </si>
  <si>
    <t>319;321;401</t>
  </si>
  <si>
    <t>Phantom Hood Technique</t>
  </si>
  <si>
    <t>Preying on Uncertainty Approach</t>
  </si>
  <si>
    <t>Spurious Presence</t>
  </si>
  <si>
    <t>Proof-Eating Palm</t>
  </si>
  <si>
    <t>Reversal of Fortune</t>
  </si>
  <si>
    <t>Skillful Reappropriation (Phantom Sting Search)</t>
  </si>
  <si>
    <t>315-316</t>
  </si>
  <si>
    <t>Split Deception Method</t>
  </si>
  <si>
    <t>Unbroken Darkness Approach</t>
  </si>
  <si>
    <t>318;320</t>
  </si>
  <si>
    <t>Cup Boils Over</t>
  </si>
  <si>
    <t>327;329</t>
  </si>
  <si>
    <t>328;330</t>
  </si>
  <si>
    <t>Essence-Laden Missive</t>
  </si>
  <si>
    <t>325-326</t>
  </si>
  <si>
    <t>Flashing Quill Atemi</t>
  </si>
  <si>
    <t>326;329</t>
  </si>
  <si>
    <t>Flawless Brush Discipline</t>
  </si>
  <si>
    <t>324-326</t>
  </si>
  <si>
    <t>Whirling Brush Method</t>
  </si>
  <si>
    <t>Flowing Elegant Hand</t>
  </si>
  <si>
    <t>323;327</t>
  </si>
  <si>
    <t>Heaven-Drawing Discipline</t>
  </si>
  <si>
    <t>Letter-Within-A-Letter Technique</t>
  </si>
  <si>
    <t>323;325;327;329</t>
  </si>
  <si>
    <t>Mind-Scribing Method</t>
  </si>
  <si>
    <t>329;338</t>
  </si>
  <si>
    <t>Mind-Swallowing Missive</t>
  </si>
  <si>
    <t>326-327</t>
  </si>
  <si>
    <t>Mingled Tongue Technique</t>
  </si>
  <si>
    <t>324-325</t>
  </si>
  <si>
    <t>Moving the Unseen Hand</t>
  </si>
  <si>
    <t>Perfect Celestial Author</t>
  </si>
  <si>
    <t>Perfect Recollection Discipline</t>
  </si>
  <si>
    <t>326;328-329</t>
  </si>
  <si>
    <t>Poetic Expression Style</t>
  </si>
  <si>
    <t>Strange Tongue Understanding</t>
  </si>
  <si>
    <t>Power-Snaring Image</t>
  </si>
  <si>
    <t>Sagacious Reading of Intent</t>
  </si>
  <si>
    <t>324;326</t>
  </si>
  <si>
    <t>Single Voice Kata</t>
  </si>
  <si>
    <t>325;328</t>
  </si>
  <si>
    <t>Stolen Voice Technique</t>
  </si>
  <si>
    <t>324;328</t>
  </si>
  <si>
    <t>Subtle Speech Method</t>
  </si>
  <si>
    <t>328-329</t>
  </si>
  <si>
    <t>Twisted Words Technique</t>
  </si>
  <si>
    <t>327-329</t>
  </si>
  <si>
    <t>Unbreakable Fascination Method</t>
  </si>
  <si>
    <t>329-330</t>
  </si>
  <si>
    <t>Vanishing Immersion Style</t>
  </si>
  <si>
    <t>Voice-Caging Calligraphy</t>
  </si>
  <si>
    <t>325;327</t>
  </si>
  <si>
    <t>322-323;329</t>
  </si>
  <si>
    <t>Word-Shield Invocation</t>
  </si>
  <si>
    <t>Bottomless Wellspring Approach</t>
  </si>
  <si>
    <t>Chaos-Repelling Pattern</t>
  </si>
  <si>
    <t>330;335-336;339</t>
  </si>
  <si>
    <t>Wyld-Dispelling Prana</t>
  </si>
  <si>
    <t>Demiurgic Suspiration</t>
  </si>
  <si>
    <t>340-341</t>
  </si>
  <si>
    <t>Essence Font Technique</t>
  </si>
  <si>
    <t>332;334;338</t>
  </si>
  <si>
    <t>Essence-Draining Touch</t>
  </si>
  <si>
    <t>333-334</t>
  </si>
  <si>
    <t>Essence-Lending Method</t>
  </si>
  <si>
    <t>331-332;334,</t>
  </si>
  <si>
    <t>Essence-Twining Method</t>
  </si>
  <si>
    <t>330-331</t>
  </si>
  <si>
    <t>Harmonious Academic Methodology</t>
  </si>
  <si>
    <t>Flowing Essence Conversion</t>
  </si>
  <si>
    <t>Flowing Mind Prana</t>
  </si>
  <si>
    <t>291;331-333</t>
  </si>
  <si>
    <t>Force-Draining Whisper</t>
  </si>
  <si>
    <t>334;339</t>
  </si>
  <si>
    <t>330;332</t>
  </si>
  <si>
    <t>Heaven-Turning Calculations</t>
  </si>
  <si>
    <t>Hero-Induction Method</t>
  </si>
  <si>
    <t>Hidden Wisdom Bestowal</t>
  </si>
  <si>
    <t>Immanent Solar Glory</t>
  </si>
  <si>
    <t>332;334;340</t>
  </si>
  <si>
    <t>Incalculable Flowing Mind</t>
  </si>
  <si>
    <t>Injury-Forcing Technique</t>
  </si>
  <si>
    <t>332-333</t>
  </si>
  <si>
    <t>Lore-Inducing Concentration</t>
  </si>
  <si>
    <t>Manse-Raising Method</t>
  </si>
  <si>
    <t>Order-Affirming Blow</t>
  </si>
  <si>
    <t>334-335</t>
  </si>
  <si>
    <t>Power Beyond Reason</t>
  </si>
  <si>
    <t>Power-Awarding Prana</t>
  </si>
  <si>
    <t>338-339</t>
  </si>
  <si>
    <t>Power-Restoring Invocation</t>
  </si>
  <si>
    <t>Prophet of Seventeen Cycles</t>
  </si>
  <si>
    <t>339-340</t>
  </si>
  <si>
    <t>Sacred Relic Understanding</t>
  </si>
  <si>
    <t>Savant of Nine Glories</t>
  </si>
  <si>
    <t>Seal of Infinite Wisdom</t>
  </si>
  <si>
    <t>Selfsame Master Instructor</t>
  </si>
  <si>
    <t>333;338</t>
  </si>
  <si>
    <t>Sevenfold Savant Mantle</t>
  </si>
  <si>
    <t>Surging Essence Flow</t>
  </si>
  <si>
    <t>334;340</t>
  </si>
  <si>
    <t>Surging Inner Fire</t>
  </si>
  <si>
    <t>339;341</t>
  </si>
  <si>
    <t>Tireless Learner Method</t>
  </si>
  <si>
    <t>331-332</t>
  </si>
  <si>
    <t>Tome-Rearing Gesture</t>
  </si>
  <si>
    <t>Truth-Rendering Gaze</t>
  </si>
  <si>
    <t>332-333;335;339</t>
  </si>
  <si>
    <t>Unstoppable Magnus Approach</t>
  </si>
  <si>
    <t>Wake the Sleeper</t>
  </si>
  <si>
    <t>Will-Bolstering Method</t>
  </si>
  <si>
    <t>331-332;334</t>
  </si>
  <si>
    <t>Will-Shattering Illusion</t>
  </si>
  <si>
    <t>Wound-Accepting Technique</t>
  </si>
  <si>
    <t>Wyld Cauldron Mastery</t>
  </si>
  <si>
    <t>338;340</t>
  </si>
  <si>
    <t>Wyld-Called Weapon</t>
  </si>
  <si>
    <t>330;336</t>
  </si>
  <si>
    <t>Wyld-Forging Focus</t>
  </si>
  <si>
    <t>Wyld-Shaping Technique</t>
  </si>
  <si>
    <t>291;333;335-338;340-341</t>
  </si>
  <si>
    <t>Angry Predator Frenzy</t>
  </si>
  <si>
    <t>Aria of Victory</t>
  </si>
  <si>
    <t>Armor-Penetrating Fang Strike</t>
  </si>
  <si>
    <t>Azure Abacus Meditation</t>
  </si>
  <si>
    <t>Black Claw Form</t>
  </si>
  <si>
    <t>Flexing the Emerald Claw</t>
  </si>
  <si>
    <t>Bleeding Crescent Strike</t>
  </si>
  <si>
    <t>Blinding Nova Flare</t>
  </si>
  <si>
    <t>Blossom of Inevitable Demise</t>
  </si>
  <si>
    <t>Burning Judgment Halo</t>
  </si>
  <si>
    <t>Caress of 1,000 Hells</t>
  </si>
  <si>
    <t>Celestial Tiger Hide</t>
  </si>
  <si>
    <t>Cloud of Ebon Devils</t>
  </si>
  <si>
    <t>Countless Coils Evasion</t>
  </si>
  <si>
    <t>Crane Form</t>
  </si>
  <si>
    <t>Crimson Leaping Cat Technique</t>
  </si>
  <si>
    <t>Crippling Pressure-Point Strike</t>
  </si>
  <si>
    <t>Crossed Wings Denial</t>
  </si>
  <si>
    <t>Dancing Devil Trigger Finger</t>
  </si>
  <si>
    <t>Demure Carp Feint</t>
  </si>
  <si>
    <t>Dervish Blade Frenzy</t>
  </si>
  <si>
    <t>Doe Eyes Defense</t>
  </si>
  <si>
    <t>Double Attack Technique</t>
  </si>
  <si>
    <t>Naked Fang Draw</t>
  </si>
  <si>
    <t>Dreaming Pearl Courtesan Form</t>
  </si>
  <si>
    <t>Dual-Slaying Stance</t>
  </si>
  <si>
    <t>Ebon Shadow Form</t>
  </si>
  <si>
    <t>441-443</t>
  </si>
  <si>
    <t>Elegant Weapon Repertoire</t>
  </si>
  <si>
    <t>Elusive Flicker Evasion</t>
  </si>
  <si>
    <t>Empowering Justice Redirection</t>
  </si>
  <si>
    <t>Empty Mind Strike</t>
  </si>
  <si>
    <t>Enemies Like Grass</t>
  </si>
  <si>
    <t>Essence Fangs and Scales Technique</t>
  </si>
  <si>
    <t>Essence Venom Strike</t>
  </si>
  <si>
    <t>Falling Scythe Flash</t>
  </si>
  <si>
    <t>Fatal Stroke Flash</t>
  </si>
  <si>
    <t>Feather-Stirred Arrow Deflection</t>
  </si>
  <si>
    <t>Flashing Blade Harmony</t>
  </si>
  <si>
    <t>Flickering Corona Barrier</t>
  </si>
  <si>
    <t>Flurry of August Leaves</t>
  </si>
  <si>
    <t>Fluttering Cry of Warning</t>
  </si>
  <si>
    <t>Fragrant Petal Fascination Kata</t>
  </si>
  <si>
    <t>Gathering Light Concentration</t>
  </si>
  <si>
    <t>Greatest Killer Attitude</t>
  </si>
  <si>
    <t>Harmony in Opposition Stance</t>
  </si>
  <si>
    <t>Haunting Heart-Rending Melody</t>
  </si>
  <si>
    <t>Heart-Ripping Claw</t>
  </si>
  <si>
    <t>Horizon-Swallowed Star Flash</t>
  </si>
  <si>
    <t>Humbling Enlightenment Commentary</t>
  </si>
  <si>
    <t>Impenetrable White Shroud</t>
  </si>
  <si>
    <t>Inspiring Battle Hymn</t>
  </si>
  <si>
    <t>Voice of the Night Bird</t>
  </si>
  <si>
    <t>Iron Claw Grip</t>
  </si>
  <si>
    <t>Iron Lotus Unfurling</t>
  </si>
  <si>
    <t>Kiss of the Sun Concentration</t>
  </si>
  <si>
    <t>Leap From Cloaking Shadows</t>
  </si>
  <si>
    <t>Liquid Steel Flow</t>
  </si>
  <si>
    <t>Open Palm Caress</t>
  </si>
  <si>
    <t>Outrage-Kindling Cry</t>
  </si>
  <si>
    <t>Pearlescent Filigree Defense</t>
  </si>
  <si>
    <t>Phoenix Flies on Golden Wings</t>
  </si>
  <si>
    <t>Prey-Maiming Frenzy</t>
  </si>
  <si>
    <t>Raging Tiger Pounce</t>
  </si>
  <si>
    <t>Revolving Crescent Defense</t>
  </si>
  <si>
    <t>Righteous Devil Form</t>
  </si>
  <si>
    <t>Seconds Between Strife</t>
  </si>
  <si>
    <t>Serpentine Evasion</t>
  </si>
  <si>
    <t>Seven Points of Weakness Strike</t>
  </si>
  <si>
    <t>Seven Storms Escape Prana</t>
  </si>
  <si>
    <t>Shadow-Body Dissolution</t>
  </si>
  <si>
    <t>Shadow-Stepping Motion</t>
  </si>
  <si>
    <t>Shattering Discord Cacophony</t>
  </si>
  <si>
    <t>Shining Starfall Execution</t>
  </si>
  <si>
    <t>Silver-Voiced Nightingale Form</t>
  </si>
  <si>
    <t>Six-Demon Scabbard Binding</t>
  </si>
  <si>
    <t>Snake Form</t>
  </si>
  <si>
    <t>Snake Strikes the Heel</t>
  </si>
  <si>
    <t>Snow Follows Winter</t>
  </si>
  <si>
    <t>Sonic Slash</t>
  </si>
  <si>
    <t>Spine-Shattering Bite</t>
  </si>
  <si>
    <t>Stalking Cat Movement Meditation</t>
  </si>
  <si>
    <t>Steel Devil Form</t>
  </si>
  <si>
    <t>Steel Devil Strike</t>
  </si>
  <si>
    <t>Storm-Calming Embrace</t>
  </si>
  <si>
    <t>Striking Cobra Technique</t>
  </si>
  <si>
    <t>Striking Fury Claws</t>
  </si>
  <si>
    <t>Table-Turning Reversal</t>
  </si>
  <si>
    <t>Terrifying Battle Shriek</t>
  </si>
  <si>
    <t>Throat-Slitting Shadow Atemi</t>
  </si>
  <si>
    <t>Tiger Form</t>
  </si>
  <si>
    <t>Torn Lotus Defense</t>
  </si>
  <si>
    <t>Triple Attack Technique</t>
  </si>
  <si>
    <t>Twin-Blade Defense</t>
  </si>
  <si>
    <t>Umbra Noose Execution</t>
  </si>
  <si>
    <t>Uncoiling Serpent Prana</t>
  </si>
  <si>
    <t>Void-Slicing Wind</t>
  </si>
  <si>
    <t>Whirling Guillotine Dance</t>
  </si>
  <si>
    <t>White Reaper Form</t>
  </si>
  <si>
    <t>Wisdom of the Celestial Crane</t>
  </si>
  <si>
    <t>Ailment-Rectifying Method</t>
  </si>
  <si>
    <t>Anodyne of Celestial Dreaming</t>
  </si>
  <si>
    <t>Anointment of Miraculous Health</t>
  </si>
  <si>
    <t>Benison of Celestial Healing</t>
  </si>
  <si>
    <t>Body-Purifying Admonitions</t>
  </si>
  <si>
    <t>Body-Sculpting Essence Method</t>
  </si>
  <si>
    <t>Contagion-Curing Touch</t>
  </si>
  <si>
    <t>Feit of Imparted Nature</t>
  </si>
  <si>
    <t>343;345</t>
  </si>
  <si>
    <t>Flawless Diagnosis Technique</t>
  </si>
  <si>
    <t>342-343</t>
  </si>
  <si>
    <t>345-346</t>
  </si>
  <si>
    <t>Healing Trance Meditation</t>
  </si>
  <si>
    <t>344-345</t>
  </si>
  <si>
    <t>Immaculate Solar Physician</t>
  </si>
  <si>
    <t>Instant Treatment Methodology</t>
  </si>
  <si>
    <t>342-344</t>
  </si>
  <si>
    <t>Life-Exchanging Prana</t>
  </si>
  <si>
    <t>Life-Sculpting Hands Technique</t>
  </si>
  <si>
    <t>Master Chirurgeon Meditation</t>
  </si>
  <si>
    <t>Perfect Celestial Chirurgeon</t>
  </si>
  <si>
    <t>Plague-Banishing Incitation</t>
  </si>
  <si>
    <t>Touch of Blissful Release</t>
  </si>
  <si>
    <t>343-345</t>
  </si>
  <si>
    <t>Wholeness-Restoring Meditation</t>
  </si>
  <si>
    <t>Wound-Banishing Strike</t>
  </si>
  <si>
    <t>Wound-Cleansing Meditation</t>
  </si>
  <si>
    <t>Wound-Mending Care Technique</t>
  </si>
  <si>
    <t>342;375</t>
  </si>
  <si>
    <t>Agile Dragonfly Blade</t>
  </si>
  <si>
    <t>Blazing Solar Bolt</t>
  </si>
  <si>
    <t>260;353;379</t>
  </si>
  <si>
    <t>Bulwark Stance</t>
  </si>
  <si>
    <t>346;348-349</t>
  </si>
  <si>
    <t>Dipping Swallow Defense</t>
  </si>
  <si>
    <t>Call the Blade</t>
  </si>
  <si>
    <t>347;350</t>
  </si>
  <si>
    <t>Calm and Ready Focus</t>
  </si>
  <si>
    <t>Circle of Bright Reaving</t>
  </si>
  <si>
    <t>Corona of Radiance</t>
  </si>
  <si>
    <t>352-353</t>
  </si>
  <si>
    <t>253;346-349;351</t>
  </si>
  <si>
    <t>Edge of Morning Sunlight</t>
  </si>
  <si>
    <t>350;352-353</t>
  </si>
  <si>
    <t>Excellent Strike</t>
  </si>
  <si>
    <t>131;252;299;346-348;350-3351</t>
  </si>
  <si>
    <t>Fervent Blow</t>
  </si>
  <si>
    <t>Fire and Stones Strike</t>
  </si>
  <si>
    <t>131;302;346-347;351</t>
  </si>
  <si>
    <t>Fivefold Bulwark Stance</t>
  </si>
  <si>
    <t>348-349</t>
  </si>
  <si>
    <t>Flashing Edge of Dawn</t>
  </si>
  <si>
    <t>351-352</t>
  </si>
  <si>
    <t>Foe-Cleaving Focus</t>
  </si>
  <si>
    <t>Glorious Solar Saber</t>
  </si>
  <si>
    <t>350;352</t>
  </si>
  <si>
    <t>Guard-Breaking Technique</t>
  </si>
  <si>
    <t>War Lion Stance</t>
  </si>
  <si>
    <t>Hail-Shattering Practice</t>
  </si>
  <si>
    <t>Heaven Sword Flash</t>
  </si>
  <si>
    <t>Heavenly Guardian Defense</t>
  </si>
  <si>
    <t>349;353-354;472</t>
  </si>
  <si>
    <t>Hungry Tiger Technique</t>
  </si>
  <si>
    <t>253;302;348;350-351</t>
  </si>
  <si>
    <t>Immortal Blade Triumphant</t>
  </si>
  <si>
    <t>Invincible Fury of the Dawn</t>
  </si>
  <si>
    <t>351;353</t>
  </si>
  <si>
    <t>Iron Raptor Technique</t>
  </si>
  <si>
    <t>Iron Whirlwind Attack</t>
  </si>
  <si>
    <t>347-348;351</t>
  </si>
  <si>
    <t>Peony Blossom Technique</t>
  </si>
  <si>
    <t>254;346;348</t>
  </si>
  <si>
    <t>One Weapon, Two Blows</t>
  </si>
  <si>
    <t>Perfect Strike Discipline</t>
  </si>
  <si>
    <t>Protection of Celestial Bliss</t>
  </si>
  <si>
    <t>Ready in Eight Directions Stance</t>
  </si>
  <si>
    <t>349-350</t>
  </si>
  <si>
    <t>Rising Sun Slash</t>
  </si>
  <si>
    <t>347;350-351</t>
  </si>
  <si>
    <t>Sandstorm-Wind Attack</t>
  </si>
  <si>
    <t>350;353</t>
  </si>
  <si>
    <t>Sharp Light of Judgment Stance</t>
  </si>
  <si>
    <t>Solar Counterattack</t>
  </si>
  <si>
    <t>347;349;352</t>
  </si>
  <si>
    <t>Summoning the Loyal Steel</t>
  </si>
  <si>
    <t>Unassailable Guardian Posture</t>
  </si>
  <si>
    <t>346-347;349</t>
  </si>
  <si>
    <t>All Souls Benediction</t>
  </si>
  <si>
    <t>358-359</t>
  </si>
  <si>
    <t>356;358-359</t>
  </si>
  <si>
    <t>Ancient Tongue Understanding</t>
  </si>
  <si>
    <t>356-357</t>
  </si>
  <si>
    <t>Breath-Drinker Method</t>
  </si>
  <si>
    <t>Burning Exorcism Technique</t>
  </si>
  <si>
    <t>356;358;360</t>
  </si>
  <si>
    <t>Burning Eye of the Deliverer</t>
  </si>
  <si>
    <t>Carnal Spirit Rending</t>
  </si>
  <si>
    <t>356;360</t>
  </si>
  <si>
    <t>357;359</t>
  </si>
  <si>
    <t>Demon-Compelling Noose</t>
  </si>
  <si>
    <t>Ephemeral Induction Technique</t>
  </si>
  <si>
    <t>Ghost-Eating Technique</t>
  </si>
  <si>
    <t>354-356;518</t>
  </si>
  <si>
    <t>Spirit-Cutting Attack</t>
  </si>
  <si>
    <t>Gloaming Eye Understanding</t>
  </si>
  <si>
    <t>359-360</t>
  </si>
  <si>
    <t>Immortal Soul Vigil</t>
  </si>
  <si>
    <t>Keen Unnatural Eye</t>
  </si>
  <si>
    <t>Uncanny Perception Technique</t>
  </si>
  <si>
    <t>Material Exegesis Prana</t>
  </si>
  <si>
    <t>357-358</t>
  </si>
  <si>
    <t>Nine Specters Ban</t>
  </si>
  <si>
    <t>Phantom-Seizing Strike</t>
  </si>
  <si>
    <t>Soul Projection Method</t>
  </si>
  <si>
    <t>Spirit-Caging Mandala</t>
  </si>
  <si>
    <t>357-359</t>
  </si>
  <si>
    <t>354-355;357</t>
  </si>
  <si>
    <t>Spirit-Detecting Glance</t>
  </si>
  <si>
    <t>354;356;359</t>
  </si>
  <si>
    <t>Spirit-Draining Mudra</t>
  </si>
  <si>
    <t>Spirit-Draining Stance</t>
  </si>
  <si>
    <t>354;357</t>
  </si>
  <si>
    <t>Spirit-Drawing Oculus</t>
  </si>
  <si>
    <t>Spirit-Manifesting Word</t>
  </si>
  <si>
    <t>355-357;510</t>
  </si>
  <si>
    <t>Spirit-Repelling Diagram</t>
  </si>
  <si>
    <t>Spirit-Shredding Exorcism</t>
  </si>
  <si>
    <t>Spirit-Slaying Stance</t>
  </si>
  <si>
    <t>Supernal Control Method</t>
  </si>
  <si>
    <t>Uncanny Shroud Defense</t>
  </si>
  <si>
    <t>355;357</t>
  </si>
  <si>
    <t>Wyld-Binding Prana</t>
  </si>
  <si>
    <t>358;360</t>
  </si>
  <si>
    <t>Battle Anthem (of the Solar Exalted)</t>
  </si>
  <si>
    <t>365-366</t>
  </si>
  <si>
    <t>Battle-Dancer Method</t>
  </si>
  <si>
    <t>Graceful Reed Dancing</t>
  </si>
  <si>
    <t>Celestial Bliss Trick</t>
  </si>
  <si>
    <t>368-369</t>
  </si>
  <si>
    <t>Thousand Courtesan Ways</t>
  </si>
  <si>
    <t>Cunning Mimicry Technique</t>
  </si>
  <si>
    <t>Masterful Performance Exercise</t>
  </si>
  <si>
    <t>Demon Wracking Shout</t>
  </si>
  <si>
    <t>363-364</t>
  </si>
  <si>
    <t>Dogmatic Contagion Discipline</t>
  </si>
  <si>
    <t>Fury Inciting Speech</t>
  </si>
  <si>
    <t>363;364</t>
  </si>
  <si>
    <t>362;366-367</t>
  </si>
  <si>
    <t>Heart-Compelling Method</t>
  </si>
  <si>
    <t>Heroism-Encouraging Ballad</t>
  </si>
  <si>
    <t>Impassioned Orator Technique</t>
  </si>
  <si>
    <t>Infectious Zealotry Approach</t>
  </si>
  <si>
    <t>Master Thespian Style</t>
  </si>
  <si>
    <t>361;363-368</t>
  </si>
  <si>
    <t>Memory-Reweaving Discipline</t>
  </si>
  <si>
    <t>Monk-Seducing Demon Dance</t>
  </si>
  <si>
    <t>Mood-Inducing Music</t>
  </si>
  <si>
    <t>Perfect Harmony Technique</t>
  </si>
  <si>
    <t>Most Excellent Mockingbird</t>
  </si>
  <si>
    <t>Penultimate Unity of Form</t>
  </si>
  <si>
    <t>Phantom-Conjuring Performance</t>
  </si>
  <si>
    <t>Pivotal Encore Performance</t>
  </si>
  <si>
    <t>Respect-Commanding Attitude</t>
  </si>
  <si>
    <t>362-363</t>
  </si>
  <si>
    <t>Shining Expression Style</t>
  </si>
  <si>
    <t>363;367</t>
  </si>
  <si>
    <t>Soul Voice</t>
  </si>
  <si>
    <t>362;366</t>
  </si>
  <si>
    <t>Soul-Bracing Momentous Power</t>
  </si>
  <si>
    <t>Soul-Firing Performance</t>
  </si>
  <si>
    <t>Soul-Stirring Cantata</t>
  </si>
  <si>
    <t>Splendid Magpie Approach</t>
  </si>
  <si>
    <t>Stillness-Drawing Meditation</t>
  </si>
  <si>
    <t>361-362</t>
  </si>
  <si>
    <t>367-368</t>
  </si>
  <si>
    <t>Trance of Fugue Vision</t>
  </si>
  <si>
    <t>Unmatched Showmanship Style</t>
  </si>
  <si>
    <t>Voice-Hurling Method</t>
  </si>
  <si>
    <t>Winding Sinuous Motion</t>
  </si>
  <si>
    <t>Authority-Radiating Stance</t>
  </si>
  <si>
    <t>371;373</t>
  </si>
  <si>
    <t>Awakened Carnal Demiurge</t>
  </si>
  <si>
    <t>Blazing Glorious Icon</t>
  </si>
  <si>
    <t>Countenance of Vast Wrath</t>
  </si>
  <si>
    <t>Crowned King of Eternity</t>
  </si>
  <si>
    <t>373-374</t>
  </si>
  <si>
    <t>Empowering Shout</t>
  </si>
  <si>
    <t>370;374</t>
  </si>
  <si>
    <t>Enemy-Castigating Solar Judgment</t>
  </si>
  <si>
    <t>Excellent Friend Approach</t>
  </si>
  <si>
    <t>Favor-Conferring Prana</t>
  </si>
  <si>
    <t>Fulminating Word</t>
  </si>
  <si>
    <t>371-373</t>
  </si>
  <si>
    <t>Harmonious Presence Meditation</t>
  </si>
  <si>
    <t>369-371</t>
  </si>
  <si>
    <t>Hypnotic Tongue Technique</t>
  </si>
  <si>
    <t>364;372</t>
  </si>
  <si>
    <t>Impassioned Discourse Technique</t>
  </si>
  <si>
    <t>370-371</t>
  </si>
  <si>
    <t>Listener-Swaying Argument</t>
  </si>
  <si>
    <t>Majestic Radiant Presence</t>
  </si>
  <si>
    <t>370-372</t>
  </si>
  <si>
    <t>Mind-Wiping Gaze</t>
  </si>
  <si>
    <t>Prophet-Uplifting Evocation</t>
  </si>
  <si>
    <t>Rose-Lipped Seduction Style</t>
  </si>
  <si>
    <t>Shedding Infinite Radiance</t>
  </si>
  <si>
    <t>Terrifying Apparition of Glory</t>
  </si>
  <si>
    <t>371-372;374</t>
  </si>
  <si>
    <t>Threefold Magnetic Ardor</t>
  </si>
  <si>
    <t>Underling-Promoting Touch</t>
  </si>
  <si>
    <t>370;372-374</t>
  </si>
  <si>
    <t>Worshipful Lackey Acquisition</t>
  </si>
  <si>
    <t>372-373</t>
  </si>
  <si>
    <t>Adamant Skin Technique</t>
  </si>
  <si>
    <t>205;377-378;380;625</t>
  </si>
  <si>
    <t>Aegis of Invincible Might</t>
  </si>
  <si>
    <t>376;378</t>
  </si>
  <si>
    <t>Whirlwind Armor-Donning Prana</t>
  </si>
  <si>
    <t>Battle Fury Focus</t>
  </si>
  <si>
    <t>378-379</t>
  </si>
  <si>
    <t>Bloodthirsty Sword-Dancer Spirit</t>
  </si>
  <si>
    <t>Body-Mending Meditation</t>
  </si>
  <si>
    <t>Ox-Body Technique</t>
  </si>
  <si>
    <t>Diamond-Body Prana</t>
  </si>
  <si>
    <t>376;557</t>
  </si>
  <si>
    <t>Durability of Oak Meditation</t>
  </si>
  <si>
    <t>374;377</t>
  </si>
  <si>
    <t>Essence-Gathering Temper</t>
  </si>
  <si>
    <t>376-377</t>
  </si>
  <si>
    <t>Fury-Fed Ardor</t>
  </si>
  <si>
    <t>Glorious Solar Plate</t>
  </si>
  <si>
    <t>378-379;385</t>
  </si>
  <si>
    <t>Hauberk-Summoning Gesture</t>
  </si>
  <si>
    <t>377-378</t>
  </si>
  <si>
    <t>Illness-Resisting Meditation</t>
  </si>
  <si>
    <t>377;379</t>
  </si>
  <si>
    <t>Immunity to Everything Technique</t>
  </si>
  <si>
    <t>379;556</t>
  </si>
  <si>
    <t>Iron Kettle Body</t>
  </si>
  <si>
    <t>Iron Skin Concentration</t>
  </si>
  <si>
    <t>374-377</t>
  </si>
  <si>
    <t>Spirit Strengthens the Skin</t>
  </si>
  <si>
    <t>126;131;172-173;253;375-376</t>
  </si>
  <si>
    <t>Poison-Resisting Meditation</t>
  </si>
  <si>
    <t>Ruin-Abasing Shrug</t>
  </si>
  <si>
    <t>376-377;379</t>
  </si>
  <si>
    <t>Willpower-Enhancing Spirit</t>
  </si>
  <si>
    <t>377-379</t>
  </si>
  <si>
    <t>Wound-Knitting Exercise</t>
  </si>
  <si>
    <t>Bard-Lightening Prana</t>
  </si>
  <si>
    <t>Coursing Firebolt Flash</t>
  </si>
  <si>
    <t>382;385</t>
  </si>
  <si>
    <t>Elusive Mount Technique</t>
  </si>
  <si>
    <t>380;382</t>
  </si>
  <si>
    <t>Flashing Thunderbolt Steed</t>
  </si>
  <si>
    <t>384-385</t>
  </si>
  <si>
    <t>Harmonious Tacking Technique</t>
  </si>
  <si>
    <t>381;385</t>
  </si>
  <si>
    <t>Hero Rides Away</t>
  </si>
  <si>
    <t>Horse-Healing Technique</t>
  </si>
  <si>
    <t>Iron Simhata Style</t>
  </si>
  <si>
    <t>380-381;383-384</t>
  </si>
  <si>
    <t>Mount Preservation Method</t>
  </si>
  <si>
    <t>381;383</t>
  </si>
  <si>
    <t>Worthy Mount Technique</t>
  </si>
  <si>
    <t>Phantom Steed</t>
  </si>
  <si>
    <t>383-384</t>
  </si>
  <si>
    <t>Rapid Cavalry Approach</t>
  </si>
  <si>
    <t>Resilience of the Chosen Mount</t>
  </si>
  <si>
    <t>383;386</t>
  </si>
  <si>
    <t>Rousing Backlash Assault</t>
  </si>
  <si>
    <t>Saddle-Staying Courses</t>
  </si>
  <si>
    <t>382-383</t>
  </si>
  <si>
    <t>381;383;386</t>
  </si>
  <si>
    <t>Seven Cyclones Rearing</t>
  </si>
  <si>
    <t>Single Spirit Method</t>
  </si>
  <si>
    <t>381-382</t>
  </si>
  <si>
    <t>Soaring Pegasus Style</t>
  </si>
  <si>
    <t>Sometimes Horses Fly Approach</t>
  </si>
  <si>
    <t>Speed-Fury Focus</t>
  </si>
  <si>
    <t>382;384-385</t>
  </si>
  <si>
    <t>Supernal Lash Discipline</t>
  </si>
  <si>
    <t>382;384</t>
  </si>
  <si>
    <t>Untouchable Solar Steed</t>
  </si>
  <si>
    <t>385-386</t>
  </si>
  <si>
    <t>Whirlwind Horse-Armoring Prana</t>
  </si>
  <si>
    <t>Wind-Racing Essence Infusion</t>
  </si>
  <si>
    <t>380-382</t>
  </si>
  <si>
    <t>Woe and Storm Evasion</t>
  </si>
  <si>
    <t>Wrathful Mount Invigoration</t>
  </si>
  <si>
    <t>Black Fathoms Blessed</t>
  </si>
  <si>
    <t>Blood and Salt Bondage</t>
  </si>
  <si>
    <t>391-392</t>
  </si>
  <si>
    <t>Burning Anima Sails</t>
  </si>
  <si>
    <t>Chaos-Cutting Galley</t>
  </si>
  <si>
    <t>Current-Cutting Technique</t>
  </si>
  <si>
    <t>390;392</t>
  </si>
  <si>
    <t>Deadly Ichneumon Assault</t>
  </si>
  <si>
    <t>Deck-Sweeping Fusillade</t>
  </si>
  <si>
    <t>388-389</t>
  </si>
  <si>
    <t>Fathoms-Fed Spirit</t>
  </si>
  <si>
    <t>Salty Dog Method</t>
  </si>
  <si>
    <t>Hull-Preserving Technique</t>
  </si>
  <si>
    <t>389-391</t>
  </si>
  <si>
    <t>Hull-Taming Transfusion</t>
  </si>
  <si>
    <t>390-391</t>
  </si>
  <si>
    <t>387-388;390</t>
  </si>
  <si>
    <t>Implacable Sea Wolf Spirit</t>
  </si>
  <si>
    <t>Invincible Admiral Method</t>
  </si>
  <si>
    <t>388-390;392</t>
  </si>
  <si>
    <t>Ocean-Conquering Avatar</t>
  </si>
  <si>
    <t>Orichalcum Letters of Marque</t>
  </si>
  <si>
    <t>Ship-Sleeking Technique</t>
  </si>
  <si>
    <t>Rail-Storming Fervor</t>
  </si>
  <si>
    <t>Safe Bearing Technique</t>
  </si>
  <si>
    <t>386-387</t>
  </si>
  <si>
    <t>386-387;389-390</t>
  </si>
  <si>
    <t>Sea Ambush Technique</t>
  </si>
  <si>
    <t>Sea Devil Training Technique</t>
  </si>
  <si>
    <t>392-393</t>
  </si>
  <si>
    <t>Sea Serpent Flash</t>
  </si>
  <si>
    <t>Ship-Breaker Method</t>
  </si>
  <si>
    <t>Ship-Claiming Stance</t>
  </si>
  <si>
    <t>387;389</t>
  </si>
  <si>
    <t>Ship-Imperiled Vigor</t>
  </si>
  <si>
    <t>Ship-Leavening Meditation</t>
  </si>
  <si>
    <t>Ship-Razing Renewal</t>
  </si>
  <si>
    <t>Ship-Rolling Juggernaut Method</t>
  </si>
  <si>
    <t>Ship-Sustaining Spirit</t>
  </si>
  <si>
    <t>Shipwreck-Surviving Stamina</t>
  </si>
  <si>
    <t>Storm-Weathering Essence Infusion</t>
  </si>
  <si>
    <t>Superior Positioning Technique</t>
  </si>
  <si>
    <t>389;391</t>
  </si>
  <si>
    <t>Tide-Carried Omens</t>
  </si>
  <si>
    <t>Tide-Cutting Essence Infusion</t>
  </si>
  <si>
    <t>Wave-Riding Discipline</t>
  </si>
  <si>
    <t>Weather-Anticipating Intuition</t>
  </si>
  <si>
    <t>Wind-Defying Course Technique</t>
  </si>
  <si>
    <t>Asp Bites Its Tail</t>
  </si>
  <si>
    <t>Aspersions Cast Aside</t>
  </si>
  <si>
    <t>At Your Service</t>
  </si>
  <si>
    <t>402-403</t>
  </si>
  <si>
    <t>Culture Hero Approach</t>
  </si>
  <si>
    <t>394-395;400</t>
  </si>
  <si>
    <t>Cunning Insight Technique</t>
  </si>
  <si>
    <t>393;397</t>
  </si>
  <si>
    <t>Dauntless Assayer Method</t>
  </si>
  <si>
    <t>Deep-Eyed Soul Gazing</t>
  </si>
  <si>
    <t>396;399</t>
  </si>
  <si>
    <t>Discretionary Gesture</t>
  </si>
  <si>
    <t>Doubt-Sowing Contention Method</t>
  </si>
  <si>
    <t>Draw the Curtain</t>
  </si>
  <si>
    <t>Easily-Discarded Presence Method</t>
  </si>
  <si>
    <t>Effective Counterargument</t>
  </si>
  <si>
    <t>397-398</t>
  </si>
  <si>
    <t>Elusive Dream Defense</t>
  </si>
  <si>
    <t>Endless Obsession Feint</t>
  </si>
  <si>
    <t>Even-Touched Prophet</t>
  </si>
  <si>
    <t>Face-Charming Prana</t>
  </si>
  <si>
    <t>Fete-Watcher Stance</t>
  </si>
  <si>
    <t>398-399</t>
  </si>
  <si>
    <t>Friend of a Friend Approach</t>
  </si>
  <si>
    <t>Fugue-Empowered Other</t>
  </si>
  <si>
    <t>Guarded Thoughts Meditation</t>
  </si>
  <si>
    <t>396-397</t>
  </si>
  <si>
    <t>Heart-Eclipsing Shroud</t>
  </si>
  <si>
    <t>400-401;403</t>
  </si>
  <si>
    <t>Humble Servant Approach</t>
  </si>
  <si>
    <t>394-395</t>
  </si>
  <si>
    <t>Motive-Discerning Technique</t>
  </si>
  <si>
    <t>Hundred-Faced Stranger</t>
  </si>
  <si>
    <t>401;404</t>
  </si>
  <si>
    <t>Indecent Proposal Method</t>
  </si>
  <si>
    <t>Intent-Tracing Stare</t>
  </si>
  <si>
    <t>394;396</t>
  </si>
  <si>
    <t>Inverted Ego Mask</t>
  </si>
  <si>
    <t>397;399-400</t>
  </si>
  <si>
    <t>399-400;402</t>
  </si>
  <si>
    <t>Legend Mask Methodology</t>
  </si>
  <si>
    <t>401-402</t>
  </si>
  <si>
    <t>Mastery of Small Manners</t>
  </si>
  <si>
    <t>393-395</t>
  </si>
  <si>
    <t>Night Passes Over</t>
  </si>
  <si>
    <t>Shadow Over Day</t>
  </si>
  <si>
    <t>Penumbra Self Meditation</t>
  </si>
  <si>
    <t>Preeminent Gala Knife</t>
  </si>
  <si>
    <t>Seen and Seeing Method</t>
  </si>
  <si>
    <t>Selfsame Master Procurer</t>
  </si>
  <si>
    <t>Soul Reprisal</t>
  </si>
  <si>
    <t>Soul-Void Kata</t>
  </si>
  <si>
    <t>Umbral Eyes Focus</t>
  </si>
  <si>
    <t>Unbound Social Mastery</t>
  </si>
  <si>
    <t>400;402</t>
  </si>
  <si>
    <t>Understanding the Court</t>
  </si>
  <si>
    <t>Unimpeachable Discourse Technique</t>
  </si>
  <si>
    <t>395;397-398</t>
  </si>
  <si>
    <t>Venomous Rumors Technique</t>
  </si>
  <si>
    <t>Wise Counsel (Flashing Soul Reform)</t>
  </si>
  <si>
    <t>Wise-Eyed Courtier Method</t>
  </si>
  <si>
    <t>395;398-399</t>
  </si>
  <si>
    <t>Blinding Battle Feint</t>
  </si>
  <si>
    <t>131;404-405</t>
  </si>
  <si>
    <t>Blurred Form Style</t>
  </si>
  <si>
    <t>131;405-408</t>
  </si>
  <si>
    <t>406-407</t>
  </si>
  <si>
    <t>Easily-Overlooked Presence Method</t>
  </si>
  <si>
    <t>131;403-405</t>
  </si>
  <si>
    <t>False Image Feint</t>
  </si>
  <si>
    <t>Fivefold Shadow Burial</t>
  </si>
  <si>
    <t>405;407</t>
  </si>
  <si>
    <t>Flashing Nocturne Prana</t>
  </si>
  <si>
    <t>Guardian Fog Approach</t>
  </si>
  <si>
    <t>405-406</t>
  </si>
  <si>
    <t>Hidden Snake Recoil</t>
  </si>
  <si>
    <t>405;408</t>
  </si>
  <si>
    <t>Invisible Statue Spirit</t>
  </si>
  <si>
    <t>131;403;405</t>
  </si>
  <si>
    <t>Perfect Shadow Stillness</t>
  </si>
  <si>
    <t>Mental Invisibility Technique</t>
  </si>
  <si>
    <t>131;405;407</t>
  </si>
  <si>
    <t>Mind Shroud Meditation</t>
  </si>
  <si>
    <t>131;403</t>
  </si>
  <si>
    <t>Shadow Replacement Technique</t>
  </si>
  <si>
    <t>407-408</t>
  </si>
  <si>
    <t>Shadow-Crossing Leap Technique</t>
  </si>
  <si>
    <t>408-409</t>
  </si>
  <si>
    <t>Smoke and Shadow Cover</t>
  </si>
  <si>
    <t>406;408</t>
  </si>
  <si>
    <t>Sound and Scent Banishing Attitude</t>
  </si>
  <si>
    <t>Stalking Wolf Attitude</t>
  </si>
  <si>
    <t>Sun Swallowing Practice</t>
  </si>
  <si>
    <t>Ten Whispers Silence Meditation</t>
  </si>
  <si>
    <t>Ambush Predator Style</t>
  </si>
  <si>
    <t>412;414</t>
  </si>
  <si>
    <t>Beast-Mastering Behavior</t>
  </si>
  <si>
    <t>410-411;413;415</t>
  </si>
  <si>
    <t>Bestial Traits Technique</t>
  </si>
  <si>
    <t>411;413</t>
  </si>
  <si>
    <t>Crimson Talon Vigor</t>
  </si>
  <si>
    <t>Deadly Onslaught Coordination</t>
  </si>
  <si>
    <t>Deadly Predator Method</t>
  </si>
  <si>
    <t>411-415</t>
  </si>
  <si>
    <t>Element-Resisting Prana</t>
  </si>
  <si>
    <t>Eye-Deceiving Camouflage</t>
  </si>
  <si>
    <t>412-413</t>
  </si>
  <si>
    <t>Familiar-Honing Instruction</t>
  </si>
  <si>
    <t>411-412;414</t>
  </si>
  <si>
    <t>Food-Gathering Exercise</t>
  </si>
  <si>
    <t>Force-Building Predator Style</t>
  </si>
  <si>
    <t>409-411</t>
  </si>
  <si>
    <t>Ghost Panther Slinking</t>
  </si>
  <si>
    <t>Hardship-Surviving Mendicant Spirit</t>
  </si>
  <si>
    <t>309;409;412</t>
  </si>
  <si>
    <t>Hide-Hardening Practice</t>
  </si>
  <si>
    <t>Life of the Aurochs</t>
  </si>
  <si>
    <t>411;413-414</t>
  </si>
  <si>
    <t>Phantom-Rending Fangs</t>
  </si>
  <si>
    <t>Red-Toothed Execution Order</t>
  </si>
  <si>
    <t>413-414</t>
  </si>
  <si>
    <t>Saga Beast Virtue</t>
  </si>
  <si>
    <t>Spirit-Hunting Hound</t>
  </si>
  <si>
    <t>Spirit-Tied Pet</t>
  </si>
  <si>
    <t>410-411;413;514</t>
  </si>
  <si>
    <t>Traceless Passage</t>
  </si>
  <si>
    <t>410;412</t>
  </si>
  <si>
    <t>Trackless Region Navigation</t>
  </si>
  <si>
    <t>409-410</t>
  </si>
  <si>
    <t>Unshakeable Bloodhound Technique</t>
  </si>
  <si>
    <t>Angle-Tracing Edge</t>
  </si>
  <si>
    <t>415-416</t>
  </si>
  <si>
    <t>Precision of the Striking Raptor</t>
  </si>
  <si>
    <t>Cascade of Cutting Terror</t>
  </si>
  <si>
    <t>416-417;419</t>
  </si>
  <si>
    <t>Triple Distance Attack Technique</t>
  </si>
  <si>
    <t>Crimson Razor Wind</t>
  </si>
  <si>
    <t>Cutting Circle of Destruction</t>
  </si>
  <si>
    <t>Empty Palm Technique</t>
  </si>
  <si>
    <t>Fallen Weapon Deflection</t>
  </si>
  <si>
    <t>260;417;419</t>
  </si>
  <si>
    <t>Falling Icicle Strike</t>
  </si>
  <si>
    <t>Fiery Solar Chakram</t>
  </si>
  <si>
    <t>Flashing Draw Mastery</t>
  </si>
  <si>
    <t>Steel Storm Descending</t>
  </si>
  <si>
    <t>Flying Steel Ruse</t>
  </si>
  <si>
    <t>Joint-Wounding Attack</t>
  </si>
  <si>
    <t>415-417</t>
  </si>
  <si>
    <t>Mist on Water Attack</t>
  </si>
  <si>
    <t>416-417</t>
  </si>
  <si>
    <t>Mist-Gathering Practice</t>
  </si>
  <si>
    <t>417;419</t>
  </si>
  <si>
    <t>Observer-Deceiving Attack</t>
  </si>
  <si>
    <t>417-418</t>
  </si>
  <si>
    <t>Savage Wolf Attack</t>
  </si>
  <si>
    <t>260;419</t>
  </si>
  <si>
    <t>Shadow Thrust Spark</t>
  </si>
  <si>
    <t>418-419</t>
  </si>
  <si>
    <t>Shadow Wind Slash (Shadow Wind Kill)</t>
  </si>
  <si>
    <t>Sharp Hand Feint</t>
  </si>
  <si>
    <t>Shower of Deadly Blades</t>
  </si>
  <si>
    <t>Shrike Saving Discretion</t>
  </si>
  <si>
    <t>415;418</t>
  </si>
  <si>
    <t>Swarm-Culling Instinct</t>
  </si>
  <si>
    <t>260;416;418</t>
  </si>
  <si>
    <t>Battle Path Ascendant</t>
  </si>
  <si>
    <t>422-423</t>
  </si>
  <si>
    <t>Four Glories Meditation</t>
  </si>
  <si>
    <t>General of the All-Seeing Sun</t>
  </si>
  <si>
    <t>Holistic Battle Understanding</t>
  </si>
  <si>
    <t>War God Descendent</t>
  </si>
  <si>
    <t>Ideal Battle Knowledge Prana</t>
  </si>
  <si>
    <t>League of Iron Preparation</t>
  </si>
  <si>
    <t>420-421</t>
  </si>
  <si>
    <t>Magnanimity of the Unstoppable Icon</t>
  </si>
  <si>
    <t>421;423</t>
  </si>
  <si>
    <t>March of the Returner</t>
  </si>
  <si>
    <t>Redoubt-Raising Gesture</t>
  </si>
  <si>
    <t>421;422</t>
  </si>
  <si>
    <t>Rout-Stemming Gesture</t>
  </si>
  <si>
    <t>Supremacy of the Divine Army</t>
  </si>
  <si>
    <t>Tiger Warrior Training Technique</t>
  </si>
  <si>
    <t>419-421</t>
  </si>
  <si>
    <t>453-456</t>
  </si>
  <si>
    <t>443-447</t>
  </si>
  <si>
    <t>450-453</t>
  </si>
  <si>
    <t>447-450</t>
  </si>
  <si>
    <t>434-438</t>
  </si>
  <si>
    <t>427-431</t>
  </si>
  <si>
    <t>461-464</t>
  </si>
  <si>
    <t>431-434</t>
  </si>
  <si>
    <t>438-441</t>
  </si>
  <si>
    <t>#</t>
  </si>
  <si>
    <t>Castes</t>
  </si>
  <si>
    <t>points</t>
  </si>
  <si>
    <t>=</t>
  </si>
  <si>
    <t>Physique</t>
  </si>
  <si>
    <t>Social</t>
  </si>
  <si>
    <t>Mental</t>
  </si>
  <si>
    <t>SUP. ABILITY</t>
  </si>
  <si>
    <t>Remaining</t>
  </si>
  <si>
    <t>C</t>
  </si>
  <si>
    <t>S</t>
  </si>
  <si>
    <t>F</t>
  </si>
  <si>
    <t>Caste list :</t>
  </si>
  <si>
    <t>ADDITIONAL ABILITIES</t>
  </si>
  <si>
    <t>Code prerequisite</t>
  </si>
  <si>
    <t>-0</t>
  </si>
  <si>
    <t>Specialty</t>
  </si>
  <si>
    <t>Personnal</t>
  </si>
  <si>
    <t>Peripherical</t>
  </si>
  <si>
    <t>Charm</t>
  </si>
  <si>
    <t>Keywords</t>
  </si>
  <si>
    <t>Description</t>
  </si>
  <si>
    <t>1m</t>
  </si>
  <si>
    <t>Archery 2, Essence 1</t>
  </si>
  <si>
    <t>Supplemental</t>
  </si>
  <si>
    <t>Uniform</t>
  </si>
  <si>
    <t>Instant</t>
  </si>
  <si>
    <t>None</t>
  </si>
  <si>
    <t>With skill and effort, the Exalt guides her arrow to its mark. The Exalt may use this Charm to supplement a withering or decisive attack, reducing the benefits of cover. The defense bonus of heavy and light cover is reduced by one, while characters under no cover suffer a -1 penalty to their normal Defense.In addition, after taking an aim action, the Solar may activate this Charm to strike an opponent in full cover. The Exalt shoots along an arc or angle that perfectly matches her opponent's position. So long as there is some opening where an arrow can get through, Wise Arrow treats a character in full cover as if he merely has +3 Defense.</t>
  </si>
  <si>
    <t>Archery 3, Essence 1</t>
  </si>
  <si>
    <t>Reflexive</t>
  </si>
  <si>
    <t>One tick</t>
  </si>
  <si>
    <t>The Exalt opens her eyes not to the visual world, butto the world of Essence, sensing her target in that fashion. She may make an Archery attack without penalties for visual conditions. Smoke, fog, and pitch darkness areno longer a problem for her, though other factors such as high winds and cover still apply against the attack. At Archery 5+, Essence 3+, the Solar can momentarily see through cover, perceiving her targets as silhouettes the colors of bright anima.</t>
  </si>
  <si>
    <t>3m</t>
  </si>
  <si>
    <t>Archery 4, Essence 1</t>
  </si>
  <si>
    <t>Decisive-only</t>
  </si>
  <si>
    <t>Drawing upon the perfect moment to shoot, the Solar sees nothing but her target. Upon becoming the beneficiary of a distract gambit (p. 200), if the Solar's new Initiative would allow her to act immediately, she may use this Charm to fire a ranged decisive attack from up to long range without an aim action. In addition, if the Lawgiver has under seven Initiative, the base damage of this attack gains (Essence) bonus dice.</t>
  </si>
  <si>
    <t>Withering-only</t>
  </si>
  <si>
    <t>The Solar nocks an arrow with purpose, sending a tremulous pulse through her surroundings as she gathers hurricane force into her bowstring. The Solar makes a withering attack from short or close range, and a pulverizing bolt of force surrounds her arrow as it leaps from her bow. If the attack does at least as much damage as her target's Stamina, that Initiative is lost rather than transferred to the Solar, and the target is knocked down and back an entire range band. This force is sufficient to end a rush against any target.</t>
  </si>
  <si>
    <t>4m, 1wp</t>
  </si>
  <si>
    <t>Simple</t>
  </si>
  <si>
    <t>The Solar strums her bow and fills the air with sharp notes. This Charm allows the Exalt to attack multiple targets, or a single target multiple times, by spreading her total current Initiative between decisive attacks. Each attack must contain at least three Initiative, and extra Initiative must be spread as evenly as possible between shots. For example, an Exalt with 11 Initiative attacking three targets could make two decisive attacks with four raw damage, and a third with only three. In addition, each 10 she rolls on an attack increases the base damage of that attack by one. The Exalt's Initiative does not reset until she has completed every attack, and she may not make more attacks than she has ammunition or Dexterity. This attack can be made without an aim action.</t>
  </si>
  <si>
    <t>Palming a mote of Essence, the Lawgiver pulls a thorn from her heart and fires it at the breast of her enemy. With this Charm, the Solar may continue firing her bow even when she has run out of arrows. In addition, once per scene, the Exalt may suffuse a phantom or physical arrow with the import of one of her Intimacies. Doing so gives her attack a number of non-Charm bonus dice equal to the Intimacy's strength, but also temporarily numbs her to that Intimacy. She may not use this attack again until she has spent significant effort in restoring or remembering the Intimacy, or in the case of a negative Intimacy, has been reminded of her motivation for her ire.Adamant Arrow Technique: At Essence 3+, the Solar may infuse a single phantom or physical arrow per scene with her enduring Essence. So long as she lives, the arrow cannot be destroyed or pulled from the target. Such arrows can be moved by cutting away the base into which they have landed–a tree can still be cut down, a wall still reduced to rubble–but the arrow will remain inviolate. Only the Solar who fired this arrow, or one blessed with her permission, may remove it from its resting place.</t>
  </si>
  <si>
    <t>2m</t>
  </si>
  <si>
    <t>Charging her arrow with Essence, the Exalt fires a heavy shot that rends the air as it passes onto her target, lighting the arrow on fire. If the arrow strikes flammable materials, a violent blaze instantly seeks to consume the struck object. This fire is natural, and may spread to surrounding objects or cause combustible materials to explode. When used in a decisive attack against a target, it adds one automatic success to the damage roll. If the attack does at least three health levels of damage, the target catches on fire, and must contend with (Solar's Essence) lethal dice of damage every turn until he's able to extinguish himself.</t>
  </si>
  <si>
    <t>Archery 5, Essence 2</t>
  </si>
  <si>
    <t>Dual</t>
  </si>
  <si>
    <t>The Solar graces her shot with unerring precision and fires it along a flow of Essence, causing it to slice through the air between the arrow and its mark. Her attack ignores penalties from non-visual conditions such as high winds, bad weather, flawed ammunition, and so on. In addition, her withering attack accuracy is calculated as if it were made from short range regardless of the distance she's firing from. With appropriate Awareness Charms, the Solar may use this Charm to make attacks from extreme long range.</t>
  </si>
  <si>
    <t>1m, 1wp</t>
  </si>
  <si>
    <t>The Solar extends her anima through her hands and into her weapons, joining archer, target and arrow into a single being. As long as she is making an Archery-based attack, this Charm allows the Solar to complete an aim action instantly, and converts the subsequent three bonus dice into automatic non-Charm successes. An Essence 5+ repurchase allows the Solar to fire a withering version of this attack against a crashed opponent. This attack rolls damage even if the attack roll generated no successes. This effect may only be used on a target once per crash period.</t>
  </si>
  <si>
    <t>5m, 1wp</t>
  </si>
  <si>
    <t>Seething with remonstrative ire, the Solar palms a storm of Essence and fills the sky with demonstrative fire. With this attack, the Solar unleashes a barrage of arrows around a focus, striking up to (Essence * 3) targets up to medium range from her initial target. Roll a single attack against the defenses of every target, and then apply damage. These extra decisive attacks carry a base damage of her Perception–divvy up her current Initiative evenly among the remaining shots to determine the total raw damage of each attack. Arrows reaching out to medium range from her initial target are expressly allowed to ignore the range limitations of her weapon without penalty. The Exalt's Initiative does not reset until every damage roll has been completed.</t>
  </si>
  <si>
    <t>To invite the wrath of the Lawgiver is to invoke one's own doom. The Solar gains (Essence) automatic successes to her Join Battle result, and if she acts before her target, her first attack is unblockable. Flashing Vengeance Draw is expressly permitted to be used in combination with Charms that boost Join Battle results, so long as they are not based in Melee, Thrown, or Brawl.</t>
  </si>
  <si>
    <t>Hunter's Swift Answer</t>
  </si>
  <si>
    <t>The Lawgiver suffers no impunities; with terrific speed and ferocious import, she may answer the blades of her transgressors. When the Solar succeeds at a disengage action, she may unleash a withering or decisive Archery attack from close range, even if she has already attacked that turn. This attack must be directed at the one she broke away from.</t>
  </si>
  <si>
    <t>Archery 4, Essence 2</t>
  </si>
  <si>
    <t>One scene</t>
  </si>
  <si>
    <t>Honing her skill and focusing her will, the Exalt births a stunning varicolored bow from her palm. This Charm creates a weapon with stats identical to a powerbow, described on page 598. The weapon is made of solidified Essence forged in all the colors of Solar anima, and glows like a torch.For additional purchases, players may add custom Evocations to Immaculate Golden Bow. Players should work with their Storyteller to create Evocations that fit the character's personality or iconic anima manifestation. In addition, Immaculate Golden Bow has the following power: Sky-Eater's Crest: For four motes, Immaculate Golden Bow is transformed for a single turn, growing wings, spines, fins, or other appendages appropriate to the Exalt's iconic manifestation, providing a barrier of heavy cover against ranged attacks.</t>
  </si>
  <si>
    <t>The Solar shoots from her heart; the arrow is part of her. As such, she can sometimes reach out and draw her Essence across an arrow in flight, causing it to flash and flare, surging toward its target like a smite from the sun. This Charm can only be activated on an attack supplemented by Fiery Arrow Attack; when the attack generates at least one 10, this Charm adds one automatic success to the attack, and for each 10 in the attack roll it adds one die to the attack's raw damage. As the name suggests, Dazzling Flare Attack goes off like a spectacular flare that can be seen for miles–every target using shadows for cover within two range bands must roll Stealth, with a -2 success penalty to the attempt, or be revealed.</t>
  </si>
  <si>
    <t>3m, 1wp</t>
  </si>
  <si>
    <t>Archery 5, Essence 3</t>
  </si>
  <si>
    <t>Clearing her mind of all thoughts, the Solar focuses only on the arrow drawn back against her bowstring, feeling for the flow of Essence she needs to make an incredible shot. The Solar must take a special “long aim” action–an aim action lasting three rounds–against a single target in order to use this Charm. Invoking Seven OmensShot converts the normal +3 bonus dice from aiminginto three automatic non-Charm successes and adds any extra successes on the attack roll to the attack's raw damage. Accuracy Without Distance can shorten the action by a single round, but may only add a single non-Charm success for each round shortened. Killing an opponent with this Charm awards the Solar one point of Willpower.</t>
  </si>
  <si>
    <t>6m, 1wp</t>
  </si>
  <si>
    <t>Perilous, Withering-only</t>
  </si>
  <si>
    <t>Holding arrows between each finger, the Solar draws down on her target, firing with profound speed and focus. The Solar may draw and attack a single target repeatedly, launching multiple withering attacks until she either misses or crashes her opponent. Revolving Bow Discipline can only be used within short or close range, and can't be used on targets already in crash. Used against a battle group, the Solar attacks until she misses or depletes the group's Magnitude.At Essence 4+, the Solar gains one point of temporary Willpower when she crashes a foe with this attack.</t>
  </si>
  <si>
    <t>7m</t>
  </si>
  <si>
    <t>With instincts honed for the kill, the Exalt feels the momentum of battle break and flee her target. When an opponent within range suffers crash, the Lawgiver draws on this moment to attack again, even if she has already used a combat action that turn. This attack requires no aim action, but if she wishes to use Finishing Snipe, the Lawgiver must not be engaged in a Simple action that would prevent her from attacking.</t>
  </si>
  <si>
    <t>3m per duplicate, 1wp</t>
  </si>
  <si>
    <t>The Lawgiver hones her killing prowess, splitting an arrow into a devastating barrage. The Exalt only needs a single arrow to fire this shot; her one arrow splits into multiple arrows and all are directed against a single target. The Solar may split her shot into a maximum of (Dexterity) arrows. If the attack hits, each created arrow hits with a raw damage equal to the Solar's current Initiative minus her successes on each damage roll. Therefore, if she rolls 10 damage dice and gains two successes on the first roll, the second roll will feature eight damage dice. If that gains four successes, her third damage roll will be four dice. If the Exalt runs out of damage dice due to successful hits, her created arrows cannot do less than (Essence) damage each.</t>
  </si>
  <si>
    <t>3m, 2i</t>
  </si>
  <si>
    <t>During combat, if the Lawgiver's Awareness check uncovers an opponent, she may make an attack against that opponent regardless of the Initiative order, without using her attack action for the round, and without having to use an aim action. The Solar may pay to use this Charm multiple times to attack multiple opponents she has uncovered in a single Awareness check.</t>
  </si>
  <si>
    <t>4m, 1i, 1wp</t>
  </si>
  <si>
    <t>The Lawgiver fires an arrow that courses with burning Essence, streaking down like a falling star to explode at her enemy's feet. This attack is a difficulty 3 gambit that requires no aim action. However, if the Exalt aims before using the Charm, she may act first on the next round, regardless of her place in the Initiative order. If another character uses magic to act first on the same round, compare their Initiative to determine order of actions. The Initiative roll on this gambit is made with double 9s. If successful, it blasts the target out of position, forcing him to act (2 + extra successes on the gambit's Initiative roll) ticks later than he would have. If Searing Sunfire Interdiction drops the target to a tick of 0 or less, he loses his turn for the round. Searing Sunfire Interdiction cannot be used on the same target twice consecutively. An Essence 3+ repurchase of this Charm lowers the difficulty of the gambit to 2 and waives the Initiative cost upon success. An Essence 4+ repurchase of the upgraded Charm resets the Solar's attack if she drops an opponent from a higher Initiative tick to a lower Initiative tick than her own.An Essence 5+ repurchase of the second upgrade allows the Solar to use Searing Sunfire Interdiction twice consecutively on the same target, dropping the Willpower cost from the second shot. If the Solar delays her opponent with both shots, he's also forced backwards a range band, even if this would force him off a cliff or a rooftop. An Essence 6+ repurchase of the previous upgrade allows the Lawgiver to use this gambit repeatedly against a single target: each time she successfully hits with this gambit,</t>
  </si>
  <si>
    <t>The Lawgiver draws a blazing bolt of Essence across her bow and fires it. The attack ignores the range of her weapon, and can be made from medium or long range without an aim action, or extreme range with an aim action. The Exalt must have higher Initiative than her target to use this attack; the conjured Spike does not use the Solar's Initiative to do damage, but instead has a raw damage equal to her current temporary Willpower multiplied by one or the rating of any Intimacy she is trying to uphold or protect. Solar Spike is incompatible with Fiery Arrow Attack and Rain of Feathered Death, and does not reset the Exalt's Initiative to base on a hit. Solar Spike may only be used once per scene, but can be reset by landing a withering attack with six 10s rolled across the attack and damage rolls.</t>
  </si>
  <si>
    <t>3m, 3a</t>
  </si>
  <si>
    <t>The Solar's judgment scourges her target with devouring flames. She may only pay to use this attack when unleashing Solar Spike, and when her anima is at bonfire. Instead of conjuring Solar Spike, the Solar draws her anima as if she were pulling an arrow from a quiver, her iconic manifestation taking the form of a living, screaming missile. This attack follows the rules of Solar Spike, but adds the Solar's Initiative to the raw damage of the attack. This does cause the Lawgiver's Initiative to reset on a hit, but if Heart-Eating Incineration kills her target, the target's body and soul are engulfed in a torrent of flames and burned away completely, restoring a number of motes to the Solar equal to her Intimacy rating for the target plus his permanent Essence score. Using Heart-Eating Incineration resets the Solar's anima to the dim level. Spirits destroyed with this attack may still reform as they normally might.</t>
  </si>
  <si>
    <t>Archery 5, Essence 4</t>
  </si>
  <si>
    <t>The Lawgiver may use this Charm to shorten the long aim action of Seven Omens Shot by one round, forfeiting the prerequisite's automatic non-Charm successes to make the attack faster. An Essence 5+ repurchase allows the Solar to add the lost successes back into the attack.</t>
  </si>
  <si>
    <t>6m, 2i, 1wp</t>
  </si>
  <si>
    <t>Clash, Perilous, Withering-only</t>
  </si>
  <si>
    <t>6m</t>
  </si>
  <si>
    <t>The Lawgiver feels the channels of her bow open when her prey falls into peril. This Charm allows the Exalt to fire on a crashed target from medium or long range without using an aim action.</t>
  </si>
  <si>
    <t>Archery 5, Essence 5</t>
  </si>
  <si>
    <t>After using an aim action, the Solar may use this Charm to charge her shot with wrathful Essence, adding (Essence) damage to the attack. Athletics</t>
  </si>
  <si>
    <t>Athletics 1, Essence 1</t>
  </si>
  <si>
    <t>The Solar draws Essence through her pores and into her bones, suffusing and lightening her form and steadying her step. For the rest of the scene, she has perfect balance, and can stand or run on things too narrow or weak to support her normally, with no chance of falling or breaking through. She can run on a guy wire, stand on a crumbling parapet, balance on the tip of a pine tree, and perform many similar feats without needing to roll (Dexterity + Athletics).</t>
  </si>
  <si>
    <t>Athletics 2, Essence 1</t>
  </si>
  <si>
    <t>The Exalt leaps with the speed and grace of a striking hawk. Using this technique, a Solar may automatically leap forward or straight up one range band. A Solar using this Charm can easily leap to the top of a twenty foot wall or cross a Nexus street over rooftops, without having to roll. This Charm counts as the Solar's movement for the turn. If the Solar continues to leap to a different range band each turn, the cost is reduced to one mote after the first activation.</t>
  </si>
  <si>
    <t>Athletics 3, Essence 1</t>
  </si>
  <si>
    <t>Striking an efficacious pose, the Exalt catches the wind to slow a fall. This allows her to drop down two range bands without taking damage. In order to survive a very long fall with this Charm, the Solar must use it at least once every three bands. The Exalt can also use this Charm to drift long distances through the air, expending her movement action to float forward a single range band even as she continues to fall. With an adequate amount of thrust, the Exalt can glide across long horizontal distances without falling, equaling her initial movement forward. For example, if she were to leap out over a chasm two range bands across with Monkey Leap Technique, she could then activate Soaring Crane Leap to glide across the second range band on her next turn. Appropriate stunts can increase straight-across movement before the Exalt begins to drop.</t>
  </si>
  <si>
    <t>3i</t>
  </si>
  <si>
    <t>Graceful Crane Stance, Monkey Leap Technique</t>
  </si>
  <si>
    <t>Fearless in combat, the Solar leaps over her stunned opponent. At close range, if the Exalt has higher Initiative (before cost) than her foe, she may use this Charm on her turn, rolling Dexterity + Athletics against her opponent's Evasion. If successful, she leaps over her target, creating an opening, and may make a surprise attack (see p. 203) overhead or at their back. This Charm may only be used once per combat, but is reset by landing a decisive attack and building Initiative to 6+.</t>
  </si>
  <si>
    <t>Like a flashing bolt, the Exalt streaks toward her goal, trailing streamers of anima. This Charm can be used to enhance a rush action (see p. 197). The Exalt moves with terrific speed–add one automatic success and reroll all 5s and 6s until 5s and 6s fail to appear. Lightning Speed can also be used each interval of a foot race or other test of speed (see p. 189).</t>
  </si>
  <si>
    <t>–</t>
  </si>
  <si>
    <t>Athletics 4, Essence 1</t>
  </si>
  <si>
    <t>Permanent</t>
  </si>
  <si>
    <t>Racing against herself, the Solar exults in leaving her competitors behind. In a test of speed, each interval in which the Solar accrues more successes than her fastest opponent garners a spirit-restoring surge: two motes to be used on Athletics Charms on her next turn, or two Initiative.</t>
  </si>
  <si>
    <t>3m or 3i per dot</t>
  </si>
  <si>
    <t>The Solar draws remarkable strength from deep within her core. For every three motes of Essence or Initiative the Exalt spends, her Strength score increases by one. Each dot of increase also raises the base damage of her decisive attacks by one. The Solar's Strength cannot be increased by more than her Essence rating through use of this Charm, and this Charm may not grant her more than double her Strength score. Through use of Increasing Strength Exercise, Solars can reach the Strength minimums required to attempt certain feats of strength (p. 229).</t>
  </si>
  <si>
    <t>2m, 3 successes per dot</t>
  </si>
  <si>
    <t>Athletics 5, Essence 1</t>
  </si>
  <si>
    <t>One feat</t>
  </si>
  <si>
    <t>The Solar magnifies her physical Essence, increasing her ability to move massive loads. This Charm supplements an attempt to lift or break something, allowing the Solar to attempt an action with a prerequisite beyond her current Strength rating. Pay two motes and roll the Exalt's (Strength + Athletics) as normal, converting each three successes into a dot of Strength as needed, until the Solar meets the prerequisite. This bonus Strength does not enhance her current dice pool, as this momentary surge of might only establishes whether she can succeed with her current dice. Note that she must still have enough successes remaining, after increasing her Strength, to meet the difficulty requirement of the feat.</t>
  </si>
  <si>
    <t>Increasing Strength Exercise, Monkey Leap Technique</t>
  </si>
  <si>
    <t>The Exalt draws down on the Essence around her, pulling it through her upper body, her lungs, her core and down into her legs, and then explodes skyward, rising in a brilliant, Essence-laden arc. This Charm supplements a non-ranged attack which can be made against aerial targets up to short range, or ground targets at another range band. The Solar leaps at her target, striking with incredible force–damage is doubled after it is rolled. If the Exalt uses this attack to move to another range band, it counts as her moveON TEN OX MEDITATIONFor example, the Solar sees a laden wagon sinking into a sand pit. She has Strength 5, and no time to activate Increasing-Strength Exercise–perhaps someone will die if she does not act instantly. According to the rules on page 229, this feat requires Strength 7, and twelve successes on a (Strength + Athletics) roll. She grabs the hitch, channeling from deep within her reservoirs of might to try to pull it free anyway. The player invokes a full Athletics Excellency, Thunder's Might and Ten Ox Meditation, rolling eighteen successes. The player spends six of these successes to raise the Solar's Strength by two–the minimum needed to accomplish the feat. Because the player still has twelve successes left over, and has raised the Solar's Strength to 7, the Exalt is able to pull the wagon from the sand trap immediately.</t>
  </si>
  <si>
    <t>Mute</t>
  </si>
  <si>
    <t>Until the Exalt stops running</t>
  </si>
  <si>
    <t>Graceful Crane Stance, Lightning Speed</t>
  </si>
  <si>
    <t>Lightening her step and balancing carefully, the Exalt may run across fluid surfaces. She may dash over unstable surfaces as if they were solid and move over surfaces no thicker than rice paper without breaking through. At full speed, she may also move across lava or other dangerous surfaces without getting hurt. This effect lasts until the Exalt stops dashing. As long as she is moving at a quick pace, she need not pay the activation cost again.At Athletics 5, Essence 2+, the Exalt can pause on unstable surfaces without breaking through, changing the duration of this Charm to “one stunt.” She can walk slowly across the surface of a still pond, pause on the crumbling parapet of a castle to give a speech, and so on. This means if she's using the Charm to dash across the water to reach a boat, then decides to pause on the water's surface to address the captain, she must use the Charm twice. If the Exalt is still standing on an unstable surface and is unwilling or unable to renew Feather Foot Style, she becomes subject to the normal laws of gravity and buoyancy. Also note: while she may safely dash across a caustic or burning surface, standing on top of lava and other dangerous surfaces will cause harm.</t>
  </si>
  <si>
    <t>(Essence +1) turns</t>
  </si>
  <si>
    <t>With speed and balance heightened to the Nth degree, the Solar's Essence may bond with a surface, allowing her to run up walls or stand upside down on horizontal surfaces such as tree branches, bridge bottoms or overhangs, or to lay flat against a ceiling looking down at her prey. Like Feather Foot Style, if the Solar is unable or unwilling to renew this effect, her preternatural grip dwindles and she may plummet and be subject to falling damage. Spider Foot Style's effect can be extended for one round by a well-described stunt during a turn in which the Charm is active.</t>
  </si>
  <si>
    <t>–(2m)</t>
  </si>
  <si>
    <t>Athletics 4, Essence 2</t>
  </si>
  <si>
    <t>It is the Solar's nature to rise above. Meditating on the tyrannical bonds of gravity, the Exalt learns to separate her Essence from that which pulls her down. By paying two extra motes to the activation of Soaring Crane Leap, the Exalt may drift across a horizontal range band without initial thrust, allowing her to plane along low ceilings or avoid traps that might detect a more wild leaping motion. In addition, she can use this Charm on each round after activating Soaring Crane Leap to continue to glide across range bands without dropping down.</t>
  </si>
  <si>
    <t>Athletics 5, Essence 2</t>
  </si>
  <si>
    <t>Meditating on the frozen moment, the Lawgiver sees the universe aligning around the neck of her target. Through strength, balance and control, she pulls at the distance between herself and her foe, and flashes in for the kill. The Exalt may use this Charm as far away as medium range, to instantly flash past her opponent, striking him at close range. If her attack is withering, it deals double damage after soak, but before damage is rolled. If it is decisive, it adds her Essence score to the base damage of the attack. As the Solar slides past her opponent, she ends the attack standing at close range. This counts as the character's movement for the round. In order to use this Charm, the Solar must be at higher Initiative than her opponent, and at 6+ Initiative. Leaping Tiger Attack is explicitly allowed to be used in combination with the Charms of other Abilities, but is incompatible with Thunderbolt Attack Prana and Eagle-Wing Style.</t>
  </si>
  <si>
    <t>One hour</t>
  </si>
  <si>
    <t>Attuned to Essence currents that flow through the world, the Solar moves as if in a waking dream. She travels in flashing sprints and sparking leaps, moving from branch to branch like a skipping stone and leaving dust clouds in her wake. This Charm lasts one hour. During this hour, the Solar moves up to three range bands per turn,depending on the terrain and her ability to move at an uninterrupted clip. If she joins battle, her speed is greatly slowed, as she must focus more completely on her environment. The Solar resumes moving one range band per turn, but the Charm still has an effect: double 9s on rush attempts, and for every 10 rolled on a rush, the Solar gains a point of Initiative. If the Exalt knows the Charm Triumph-Forged God-Body, the rushes instead gain (Essence) bonus dice. These benefits also apply to each intervalof a test of speed. If the Lawgiver chooses to renewthis technique at the end of an hour, ignore the Will-power cost.</t>
  </si>
  <si>
    <t>Athletics 3, Essence 2</t>
  </si>
  <si>
    <t>The Solar learns to channel the exhilaration she feels at chasing an opponent into a burst of adrenal power that restores her spirit. On successfully rushing an opponent, the Exalt gains three motes to be used on Athletics Charms. These motes last until she has taken her next turn.</t>
  </si>
  <si>
    <t>The Solar trains her body to feel the Essence of those she would outrun, matching their strength with her stride. When she falls behind in a test of speed, every 10 her fastest opponent rolls also counts as a single success to the Solar's own roll. This Charm also functions in rushes, to aid in countering the target's attempts to avoid the Solar.</t>
  </si>
  <si>
    <t>Channeling her strength through her Essence, the Solar's attacks strike harder and deeper. This Charm supplements a close range decisive attack, allowing the Solar to ignore (her Strength) hardness. Armor-Eating Strike is expressly permitted to be used in conjunction with Charms of other Abilities.</t>
  </si>
  <si>
    <t>Thunder's Might</t>
  </si>
  <si>
    <t>5m</t>
  </si>
  <si>
    <t>Through intense muscle control, the Solar's insides erupt with surging Essence power. Reroll all non-successes on a feat of strength.</t>
  </si>
  <si>
    <t>7m, 1wp</t>
  </si>
  <si>
    <t>Athletics 5, Essence 3</t>
  </si>
  <si>
    <t>Until she stops leaping</t>
  </si>
  <si>
    <t>The Solar gathers enormous spiritual pressure into her legs and launches herself skyward. The Exalt makes a wild leap four range bands forward or three straight up. As the force of her leap is almost uncontrolled, she may not leap fewer than three range bands with this Charm. This Charm stays active every turn until the Solar stops leaping across range bands, making it possible for the Exalt to cross a mountain range in minutes. If this Charm is combined with Monkey Leap Technique, the Exalt can make a controlled leap to the second range band. If opponents are within close range before the Exalt activates this Charm, she must succeed at a disengage action before it can be activated. All minor opponents within close range when the Solar uses this Charm suffer automatic knockdown, and more impressive opponents may need to roll to keep their balance.</t>
  </si>
  <si>
    <t>Indefinite</t>
  </si>
  <si>
    <t>Focusing her Essence down her spine and through her lower extremities, the Exalt repels the ground with a tremendous leap. The Exalt locks onto an aerial target, whether it be a Haslanti skyship or a Stormwind Rider, leaps toward it and begins to soar. This moves her up to two range bands, expending her movement action, and allows her to continue flying one range band through the air on subsequent turns by paying two motes or two Initiative per turn. Once she is within combat range of an opponent, attacking is sufficient enough movement to keep her airborne. If she is a ranged fighter, she may also use Unbound Eagle Approach, paying two motes in order to hang in the air, planing along an air current as she takes an aim action. Lastly, the Solar can also channel a burst of speed for two motes, allowing her to rush or disengage from appropriate distances.If she fails to activate the Charm, gets knocked off-course or otherwise begins to fall, Eagle-Wing Style cannot be reactivated until she touches down and is able to leap again. Eagle-Wing Style can be activated at the apex of Mountain-Crossing Leap Technique, in which case it costs only four motes to activate.</t>
  </si>
  <si>
    <t>A Solar with this Charm can attempt a rush from medium range. If successful, she will automatically move one range band closer to her target on his next two turns, in addition to her normal movement.</t>
  </si>
  <si>
    <t>1i per success</t>
  </si>
  <si>
    <t>Like a living storm, the Exalt gathers momentum and speed as she races over land. In combat, the Exalt may spend Initiative for successes to rush a target. In a test of speed she may use it at each interval.</t>
  </si>
  <si>
    <t>Arete-Driven Marathon Stride, Racing Hare Method</t>
  </si>
  <si>
    <t>The Exalt projects herself forward on a pulse of Essence, faster than a heartbeat, moving like a blur. The Exalt may attempt a rush against an opponent up to three range bands away. If successful, she flashes out in a burst of speed, and flashes in at close range to her target that same instant. This Charm removes the flurry penalty for an attack made after a rush. If used in conjunction with Racing Hare Method, the Exalt can rush an opponent up to four range bands distant.</t>
  </si>
  <si>
    <t>4m</t>
  </si>
  <si>
    <t>The Exalt's body is momentarily framed with surging power. This Charm supplements a feat of strength, adding (Strength) non-Charm bonus dice to the attempt. This is explicitly compatible with the bonus granted by Increasing Strength Exercise.</t>
  </si>
  <si>
    <t>Striving toward physical and spiritual perfection, the Solar is an exemplar of physical might. When performing feats of strength, the cost of the Athletics Excellency is permanently reduced to one mote per two dice.</t>
  </si>
  <si>
    <t>Arete-Driven Marathon Stride, Ten Ox Meditation, Unbound Eagle Approach</t>
  </si>
  <si>
    <t>The Solar possesses a body and spirit intensified by thousands of hours of vigorous exercise and meditation. This Charm applies the double 9s rule to every Athletics roll.</t>
  </si>
  <si>
    <t>Athletics 5, Essence 4</t>
  </si>
  <si>
    <t>Once per scene, the Exalt may take a second movement action on her turn.</t>
  </si>
  <si>
    <t>Eagle-Wing Style, Onrush Burst Method</t>
  </si>
  <si>
    <t>Relentless in pursuit of her ideals, the Lawgiver's anima becomes like a pair of burning wings that carry her across the sky. When using Eagle-Wing Style to engage in aerial combat, and when her anima is at the bonfire level, the Solar's attacks benefit from the effects of Onrush Burst Method, generating motes that can be used to pay theactivation costs of Athletics Charms. When in use, the Solar's anima typically resolves into wings that resemble an eagle's or something else appropriate to the Solar's iconic manifestation.</t>
  </si>
  <si>
    <t>The Solar's might is permanently enhanced, lowering the difficulty of all feats of strength by two.</t>
  </si>
  <si>
    <t>Athletics 5, Essence 5</t>
  </si>
  <si>
    <t>Once per scene, the Solar may reflexively channel a burst of impossible speed to automatically succeed at a rush. In a test of speed, she may use this to generate one more success than her opponent on any one interval. Ifmultiple Solars use this on the same interval, they all assume a result one greater than the highest number of successes.</t>
  </si>
  <si>
    <t>Summoning the might of untold forces, the Exalt crosses the threshold of legend. This Charm is the gateway to outrageous shows of physical prowess–the Solar gains double 7s to attempt a feat of strength, and she counts as meeting its Strength prerequisite (p. 229) no matter how high that requirement might be.Awareness</t>
  </si>
  <si>
    <t>Awareness 2, Essence 1</t>
  </si>
  <si>
    <t>A breath of Essence seals the five senses into a more perfect form. The Solar's senses are heightened and attuned to minute motions and sounds, dim and noisy conditions. She can differentiate between subtle tastes and textures with only the slightest variation. Thus sharpened, it is more difficult for characters to escape her notice, or to deceive her hunting senses. For the rest of the scene, the Exalt's Awareness rolls benefit from double 9s. If the effect of any Unsurpassed (Sense) Discipline applies, reroll 6s until they cease to appear. Use of Sensory Acuity Prana comes without the danger of sensory overload; the Charm helps the Solar manage her senses more effectively.</t>
  </si>
  <si>
    <t>Awareness 3, Essence 1</t>
  </si>
  <si>
    <t>3m or 6m, 1wp</t>
  </si>
  <si>
    <t>The Solar's visual acuity is heightened to several times that of a normal mortal. This Charm represents an array of mechanical benefits: the Solar may perform difficulty 2 or 3 sight-based actions without a roll. She gains an additional two dice to notice hidden persons or devices, to catch sleight of hand and see through disguises. In dim conditions, she sees as well as in broad daylight. Deeper visual hindrances such as dense smoke or fog represent less of a struggle: reduce the difficulty of seeing in such conditions by 1, and remove the -1 penalty to detect hidden threats in such environments. These effects reflect the Exalt's ability to notice and process hundreds of minute details, as well as to focus and manage light sources more effectively. The Solar's visual range is also increased: she can see tiny details at 100 yards, quickly count masses of troops, and notice threats well in advance of her position.Special activation rules: The player may choose to activate Keen Sight Technique by paying six motes, one willpower. Doing so sets the duration of this Charm to Indefinite. Despite being Simple type Charms, each Keen (Sense) Technique can be activated simultaneously by paying the full cost of each. In addition, these Charms are compatible with Sensory Acuity Prana as well as with each other.</t>
  </si>
  <si>
    <t>Awareness 4, Essence 1</t>
  </si>
  <si>
    <t>The Exalt's senses of taste and smell are capable of flawless identification of flavors, textures, and scent profiles. This Charm represents an array of mechanical benefits, as well as two distinct functions of the senses taste and smell. The Solar can recognize an individual by scent alone, and she can tell older scents from new ones, enabling her to tell how recently an individual was present. Add +2 successes to Survival rolls to hunt for food, track a character, or find water, using her sense of smell. This Charm automatically extends the range of these actions to (Essence * 200) yards. This Charm also creates a library of scents which your character can reference. Upon learning this Charm, the library is populated with the scents of any Major or Defining Intimacy the character may have, but it can also include scents outside the confines of intimacies if the Storyteller deems them reasonable, including any scent the character has encountered in the last 24 hours, the smell of a favorite food or drink, or scents linked to strong memories such as love or pain. Entries in a Solar's scent library can be used to aid in Investigation and Survival rolls, as well as in the smell-based Awareness Charms further up the tree.This Charm also creates a taste index. Similar to the scent library, the taste index allows the Exalt to immediately recognize any taste she has experienced within the realm of reason. The Solar can identify obscure, complex, or similar flavors and she can deconstruct a meal she has eaten to its basic ingredients, so long as she has experienced most of the flavors at some point in time. The taste index isn't populated the same way as the scent library; most characters do not have Major or Defining intimacies for flavors. Rather, the Solar may perfectly recognize any flavor the Storyteller considers reasonable. If the charac</t>
  </si>
  <si>
    <t>The Solar's sense of taste is so intense that she can analyze the emotions that went into preparing a meal or beverage. In a bit of overcooked meat, she might sense the cook's turmoil; that his mind is not on his work. In a sip of soup salted with arsenic, she might sense the cool, murderous intent of one who is not her normal chef. This Charm acts as an automatically successful read intentions action to determine the emotional state of the one who prepared a meal or poured a drink. The Solar need only sample a single bite of a meal or take a single sip of a drink to gain this understanding.</t>
  </si>
  <si>
    <t>0m or 2m</t>
  </si>
  <si>
    <t>The keen nose of the Iron Wolf seeks out those who would attempt to hide. Before an Awareness roll to detect unseen characters, the Solar's nose automatically counts heads, telling her how many people are in the room, or are within medium range of her. If any scents belong to a person in her scent library, she automatically identifies him. For any unknown, she can further make generally accurate discernments about what kind of being each scent belongs to. Beasts, for example, smell different than humans, as do the undead and spirits. If a scent is not in her library, she can still form a general idea about the creature it belongs to. At this point, the player can choose to pay two motes to enhance the Lawgiver's sense of smell, aiding her in scenting the direction and distance of each target. This adds one automatic success to an Awareness roll to uncover hidden targets, and to Join Battle if necessary. At Awareness 5+, Essence 3+, the Solar can detect dematerialized spirits with this Charm.</t>
  </si>
  <si>
    <t>The Lawgiver listens with the intensity of an owl, and feels movement in the world like a spider feels a touch against its web. The Exalt may identify fabrics and minerals she knows with a cursory touch, and can hear at frequencies several times lower than a human. She can listen clearly to conversations through thick stone walls, hear creatures burrowing in the ground, ants marching on the branches above her head, and other, similar feats. For many actions that would require success on a roll at difficulty 2, the Solar can succeed without a roll. For more difficult actions, the difficulty is lowered by 1, and the Solar gains one automatic success. If she has a specialty that can be logically applied to the roll, the difficulty drops to 1. For example, a Solar who is unfamiliar with art crime will find it more difficult to identify a faked painting by touch than a Solar with an Investigation specialty in detecting forgeries. These benefits do not apply to detecting opponents in stealth.This Charm follows the special activation rules of Keen Sight Technique (p. 267).</t>
  </si>
  <si>
    <t>The Lawgiver's ears are attuned to the passage of motion. Anything which disturbs the stillness is hers to notice. When a character attempts to move in stealth, the Solar gains +3 dice to spot him.</t>
  </si>
  <si>
    <t>Keen Hearing and Touch</t>
  </si>
  <si>
    <t>TechniqueThe Solar's sense of touch is attuned to movement in the world around her. When a hidden character attempts to move across a surface connected to one the Solar is touching, he accrues an additional -2 penalty to his Stealth roll, in addition to the regular -3 penalty detailed on page 204. This Charm functions within short range of the Solar. She can touch a tree trunk and feel something moving in the lowest branches, sense footsteps approaching her in a pitch black hallway, and other, similar feats. If the target is within range of the Solar's extended touch upon rolling Join Battle, the Exalt gains three non-Charm dice to her Join Battle roll so long as she cannot see her opponent.</t>
  </si>
  <si>
    <t>At the confluence of mastered senses, the Solar feels second sight growing in her heart. In the moment battle begins, her Awakening Eye reads the flow of Initiative and makes her aware of attacks that will happen in the near future. This Charm supplements a Join Battle roll with a free full (Perception + Awareness) Excellency, and by creating a cascading reroll of 10s. For every 10 rolled, reroll one non-success. Non-successes which reroll 10s provoke more rerolls until a 10 fails to appear in the result. In addition, mark down how many non-successes became successes during the reroll process; every rerolled success adds one to a pool of automatic successes the Solar may use to detect hidden opponents until combat ends. These bonus successes are depleted when the Exalt uses them, though she may choose when and how many successes to use, spreading a number of successes over a number of attempts.</t>
  </si>
  <si>
    <t>Awareness 5, Essence 2</t>
  </si>
  <si>
    <t>With flawless gaze and unswerving eye, the Exalt's vision corrects itself, eating away impurities and anomalies to give her the most perfect view. When contesting a Stealth or Larceny action against the character, this Charm can be used to create a cascading reroll, eliminating non-successes from the Awareness roll as the Solar's vision corrects itself. After an Awareness roll, record successes and reroll (Essence) non-successes. For each of these dice that turns up a success, reroll another die until the cascade fails to produce any successes. Dice rerolled by Sensory Acuity Prana are not included in the cascade. This Charm may also be used in Join Battle against an opponent the Lawgiver can see.</t>
  </si>
  <si>
    <t>The Lawgiver knows the scent of her kith with the warmth of a lioness, the smell of her enemies with the familiarity of a shark. This Charm adds automatic successes to an Awareness roll to detect hidden characters based on their level of intimacy with the Solar. Minor Intimacies add 1 success, while Major and Defining Intimacies add 2 and 3 respectively. The Solar need not suspect that one of her Ties is hiding nearby; Scent-Honing Prana automatically lends itself to applicable rolls without the Solar knowing, though the player may always choose to disregard its use.</t>
  </si>
  <si>
    <t>Awareness 4, Essence 2</t>
  </si>
  <si>
    <t>Even the least sounds fail to escape the Lawgiver's notice. When attempting to seek out a hidden character with her Awareness, all 1s rolled by her target act as 10s rolled by the Exalt, and all her target's 2s act as 9s. These 9s are explicitly doubled by Sensory Acuity Prana. Knowing Beyond Silence can be activated after the hiding character's dice roll. This Charm can be used to enhance a Join Battle roll against a character whom the Exalt is listening for but cannot see. SPACE-SAVING CONCESSION DEVELOPER 5, ESSENCE 3 Multiple Charms are considered to have the following special activation rules: When a Solar is confronted with multiple concealed enemies, her senses are further heightened. The Awareness Excellency and each Reflexive Awareness Charm with an instant duration–except for Blink and Roused Dragon Detection–can have their durations extended to one turn by paying an extra two motes upon activation. If such Charms are combined, a single two mote surcharge extends allof them.</t>
  </si>
  <si>
    <t>The Exalt feels the air current around her, and senses even the slightest disruption. In an enclosed space, such as a burial chamber, or a place where high walls or dense foliage stifle gusts of wind, the Exalt can feel the presence of a hidden person displacing the air around her. Add one automatic success to an Awareness roll to detect or Join Battle against such a character.</t>
  </si>
  <si>
    <t>Knowing Beyond Silence, Living Pulse Perception</t>
  </si>
  <si>
    <t>When fighting blind, the Solar's second sight rises to see through the Essence of the world, momentarily revealing her target's location and allowing her to strike. During combat, the Exalt may use this Charm on her turn to strike at a hidden foe within range. If this attack is successful, it does not knock her opponent out of stealth unless he's incapacitated by the blow. Instead, it forces him to change hiding places, making him subject to the penalty for moving in Stealth (p. 204). If the target can find a different hiding place without changing range bands, this does not use up his movement action forthe turn.</t>
  </si>
  <si>
    <t>Awareness 5, Essence 3</t>
  </si>
  <si>
    <t>This Charm permanently upgrades its prerequisite.The Exalt has the eyes of the steeliest raptor. She can spot a field mouse a mile away, read a letter at a hundred yards, and critique the mating habits of insects. Inzero visibility environments–such as a silt cloud in the belly of a sunken ship–she sees as if she were in a dense fog, using the rules of Keen Sight Technique. She may pick a face out of a crowd with a casual glance, predict a flash flood by counting distant raindrops, and tellif someone is alive by seeing the blood flow throughhis skin. Special activation rules: When Keen Sight Technique is active, any sight-based Awareness Charm is reduced in cost by one mote, to a minimum of one. If the character has learned all three Unsurpassed (Sense) Discipline and activates all three Keen (Sense) Techniques, this discount applies to any Awareness Charm.</t>
  </si>
  <si>
    <t>1wp</t>
  </si>
  <si>
    <t>Cast down into the darkness, the Lawgiver has known an absence of sensation greater than the deepest abyss. The wicked cannot hide; their shadows avail them nothing. With but a thought, the Solar can impel her senses toward greater form. The player may reroll any Awareness roll, maintaining the effects of any Charms she paid for on the initial roll and activating any Charms she wishes to pay for to enhance her second attempt.</t>
  </si>
  <si>
    <t>This Charm permanently upgrades its prerequisite. The Solar can track her prey's scent with the unerring accuracy of a bloodhound, or find her victim's scent with the methodical sipping of a serpent. The Exalt adds her Perception or a minimum of 2 automatic successes to any Survival-based rolls to track a character or hunt for food or water using her sense of smell, and extends her range for doing so to (half her Essence rounded up) miles. She also gains the ability to scent moods, making an automatically successful scent-based read intentions action to determine a target's disposition.She can add scentless, tasteless subjects to her scent library and taste index. She can also add items to her taste index by merely smelling them, as well as reference those tastes by smell alone. With a harmless drop on her tongue, she can identify a poison she has tasted, and she can detect a tasteless poison by the way it dilutes a drink or acts as an unknown ingredient in a meal whose flavors are well known to her. In addition, bleeding characters (those with a wound penalty of -1 or greater) and characters who are severely injured (-4 wound penalty) are easier to find. Add 1 or 2 dice to an Awareness roll against the target's Stealth.</t>
  </si>
  <si>
    <t>TechniqueThis Charm permanently upgrades its prerequisite. The Lawgiver can listen in on a whispered conversation a mile away in still air, or in noisy conditions, such as a raging battlefield, out to long range. She can hear a thunderstorm burgeoning, an army decamping, a tyrant lizard roaring, and other loud noises at (Essence * 5) miles. She can read by passing her fingers over a page and feeling the ink beneath her fingertips. This Charm also confers the following techniques to the Solar:Conjure Image: For one mote, the Exalt can visualize an object she is touching, in sections no larger than a horse's head. She can identify a familiar face in a pitch black crypt, but might need several activations to visualize the fossil skeleton of an ancient behemoth in a lightless cavern. Sense Current: For one mote, the Exalt can feel the lightest motion of air, orienting herself to the exit in even the most lightless of conditions. Read the Web: For five motes committed, the Exalt can listen in on a conversation behind a thick door, just by touching a connecting wall or surface. She feels the vibrations in her fingertips, and her senses translate them to words she can hear. This is a scene length effect, and its range can be extended up to (Essence x100) yards by running a wire from the Exalt's fingertips into a chamber where her targets are speaking. Sound from Stillness Meditation: For six motes, one Willpower, the Solar can take a Simple action lasting five minutes to filter Creation, listening for specific sounds or conversations that have already happened. The Exalt draws audio from the vibrations of sounds stored in her surroundings–</t>
  </si>
  <si>
    <t>3m per exchange</t>
  </si>
  <si>
    <t>Awareness 5, Essence 4</t>
  </si>
  <si>
    <t>The Lawgivers can listen across vast spaces for the sound of a favored voice. The Exalt must have activated Keen Hearing and Touch Technique in order to use this Charm. Upon doing so, the Exalt becomes aware any time she is addressed by someone for whom she holds a Major or Defining positive Intimacy, no matter how far away he is. So long as she's on the same plane of existence as they are, the Solar can hear the words of her favored people clearly, as if they were in the same room, so long as they are addressing their speech to her. This Charm's duration is Indefinite: each time a character addresses the Solar, she has an instant in which she feels a tingle in the base of her skull, telling her to tune her hearing and listen. Upon activating the Charm, she can hear everything her compatriot wishes to say to her, until the character has been silent for ten seconds or longer. The cost of this Charm cannot be reduced by its prerequisite.</t>
  </si>
  <si>
    <t>10m, 1wp</t>
  </si>
  <si>
    <t>One turn</t>
  </si>
  <si>
    <t>Awakening Eye + Any 3 non-Excellency Awareness Charms</t>
  </si>
  <si>
    <t>Brawl 1, Essence 1</t>
  </si>
  <si>
    <t>This Charm allows the Exalt to parry lethal damage with her bare hands. In addition, her bare-handed decisive strike does lethal damage and her withering damage ignores (Essence + Intimacy) soak. The Intimacy in this context can be a Tie (as the Solar strikes a hated enemy or defends a beloved friend) or a Principle (as the Solar exults in the thrill of violence).</t>
  </si>
  <si>
    <t>Brawl 3, Essence 1</t>
  </si>
  <si>
    <t>Though she may take a beating, the Exalt's resolve is tougher than iron. The Solar may activate this Charm to become immune to further onslaught penalties until her next action.</t>
  </si>
  <si>
    <t>The Solar strikes her opponent with a fury-enhanced blow. This Charm supplements a physical strike, and adds a number of dice to the damage of a withering or decisive attack equal to the target's current onslaught penalty.</t>
  </si>
  <si>
    <t>Brawl 4, Essence 1</t>
  </si>
  <si>
    <t>The Solar dances around her foe's attacks, or buffets them away with vicious disdain. When the Exalt's Initiative is higher than her opponent's, she may use this Charm to raise her Evasion or Parry by an amount equal to her foe's current onslaught penalty.</t>
  </si>
  <si>
    <t>In a burst of violence, the Solar launches herself at an opponent, seizing him with tremendous force. This Charm supplements a grapple gambit, adding one automatic success to the attack roll, and (Essence or three, whichever is greater) dice to the Initiative roll.</t>
  </si>
  <si>
    <t>2m per round preserved</t>
  </si>
  <si>
    <t>The Solar tightens her Essence around her limbs, making it nearly impossible to pry her off her opponent. The Exalt may use this Charm when her clinch control is threatened by incoming attacks (see p. 200), paying two motes for every round of control preserved. These motes are paid after the opponent's attack and damage rollsas needed.</t>
  </si>
  <si>
    <t>–(3m)</t>
  </si>
  <si>
    <t>Brawl 5, Essence 1</t>
  </si>
  <si>
    <t>The fury-driven might of the Lawgiver can crush the life from even the gods. This Charm allows the Solar to roll (Strength + Brawl) to attack with a grapple gambit. At Essence 2+ she may pay three motes to double extra successes on the control roll when using Oak-Curling Clinch.</t>
  </si>
  <si>
    <t>The Solar concentrates her anima around the arc of a throw, hurling her opponent like a meteor to the ground. When the Exalt aborts control of a grapple to make a withering or decisive throw (see p. 201), the damage pool is boosted by +2 damage per round of control forfeited by the throw. The Exalt can throw her opponent up to short range. If she used Dragon Coil Technique to establish control of a clinch, she can hurl truly massive opponents across the battlefield. At Essence 3+, the Exalt may expend two or four rounds of control, decreasing the throw's damage in order to increase its length, allowing her to throw a foe to medium or long range, forcing him to contend with short or medium distance falling damage–assuming she didn't hurl him into an abyss, an empty well, an open cave mouth, or some other deep fissure.</t>
  </si>
  <si>
    <t>The Solar's aggression fuels her Essence, quickening her movements, allowing her to blur into combat range of an opponent to make a first strike. This Charm allows the Solar to move a single range band without consuming her movement action, to make an attack regardless of her position in the Initiative order. The attack in this instance must be made the moment the Solar blurs forward, and so this Charm can only be activated at short range. This attack counts as her turn for the round, and doesn't have to be a Brawl attack. If contested by another character using Thunderclap Rush Attack, the better stunt wins. The target of Thunderclap Rush Attack may not use a Clash (p. 202) to defend against the Solar's attack unless he's using a Charm with the Clash keyword.At Brawl 5, Essence 3+, the character may add one Willpower to the cost of this Charm–when she uses it against her opponent, it automatically strips (Essence or 5, whichever is lower) Initiative from her target and awards it to her, before the attack is made.This Charm can be used once per target, per scene, but can be refreshed against a single target by crashing that target.</t>
  </si>
  <si>
    <t>The Solar is as relentless as the coming storm. This Charm supplements a withering or decisive attack, preventing the onslaught penalty to her target's Defense from fading on his next turn. The Solar's onslaught can only be abated by escaping her long enough to suffer no attack for at least one round. If the Solar is unable or unwilling to attack her target, the effect ends and the target's Defense refreshes as normal. Falling Hammer Strike does not maintain onslaught penalties from other characters' attacks, nor does it supplement grapple attacks.</t>
  </si>
  <si>
    <t>3m, 1i</t>
  </si>
  <si>
    <t>Brawl 4, Essence 2</t>
  </si>
  <si>
    <t>Perilous</t>
  </si>
  <si>
    <t>Channeling her rage, the Exalt strikes away a blow at the last second, or steps between strikes to get at her target's throat. This Charm can be activated after an opponent's attack roll, raising the Solar's Parry or Evasion by a number equal to the 1s in the attack roll. This Charm takes precedence over those that reroll 1s.</t>
  </si>
  <si>
    <t>3m, 1i, 1wp</t>
  </si>
  <si>
    <t>Brawl 5, Essence 2</t>
  </si>
  <si>
    <t>Counterattack, Decisive-only, Perilous</t>
  </si>
  <si>
    <t>The Solar exploits her opponent's attack to unload a vicious counterstrike. This Charm may only be used after the Solar has taken withering damage from an opponent at close range. She may use this Charm to launch an immediate decisive attack with a base damage of the number of withering damage she just took, and she may unleash ON THUNDERCLAP RUSH ATTACKIt is possible to crash someone with the Brawl 5, Essence 3+ upgrade without making an attack. This counts as crashing him with an attack. The Solar is awarded the crash bonus, and any Charms which would trigger by crashing someone, or by gaining a crash bonus are applicable before she makes her attack roll.</t>
  </si>
  <si>
    <t>Brawl 3, Essence 2</t>
  </si>
  <si>
    <t>The Solar pulls explosive Essence from her extremities, causing them to lance through the point of her strike. Her blow enjoys one automatic success on the attack roll and (Essence) bonus dice to damage. Ox-Stunning Blow can only be soaked with the target's Stamina, but unlike a normal withering attack, the Solar does not reap Initiative from damage successes. Rather, any Initiative she strips is rolled again as dice, and for every two success, the target suffers a -1 penalty to his defenses and dice pools until his onslaught penalty wears off. An Essence 3+ repurchase allows the Solar to gain Initiative in addition to penalizing her opponent with rolled successes.</t>
  </si>
  <si>
    <t>4m + 1m per die</t>
  </si>
  <si>
    <t>The Solar's blow sends a surge of Solar Essence crashing and burning through her foe's bones and internal organs. This Charm adds extra successes from a decisive attack to the damage roll at a rate of one mote per die, and is activated after the attack succeeds.</t>
  </si>
  <si>
    <t>Clash, Decisive-only</t>
  </si>
  <si>
    <t>The Exalt glances into the aura of violence before her and knows the course of her opponent's strike, meeting it with a greater violence of her own. This Charm allows the Solar to make a reflexive Brawl-based clash attack (p. 202) against an incoming decisive attack. This does not count as the Solar's combat action.</t>
  </si>
  <si>
    <t>5m, 1i</t>
  </si>
  <si>
    <t>Clash, Uniform</t>
  </si>
  <si>
    <t>The Lawgiver may clash a withering or decisive attack with such fury that she knocks her foe's weapon from his hands. This clash attack does no damage, but for every three extra successes on the attack roll, the opponent's weapon is hurled an extra range band. There is no limit to how far it can be hurled. Using this Charm counts as the Solar's attack action.</t>
  </si>
  <si>
    <t>The Exalt concentrates her anima around her fist, increasing its weight and hardness as she strikes a blow against an object. This attack is neither withering nor decisive and adds (Strength) automatic successes to the damage roll. This Charm greatly enhances a (Strength + Athletics) based attempt to punch through an object; if the Solar's totals approach viability for such a feat, this Charm allows her to greatly speed up the demolition, based on the durability of the object she strikes and the stunt she performs. For example, a Strength 3, Athletics 3 character who is properly motivated could use this Charm to dash a heavy iron lock from a coffer with the heel of her boot, where a simpler feat might involve a brawler who draws her fist along the cobbles of a street or the stones of a wall, pulping the stony surface into a fine sand to blind her opponent with a punch.Using Sledgehammer Fist Punch in such a way may be done reflexively (though the character can still only take AN EXAMPLE OF FALLING HAMMER STRIKEThe Solar lunges at her target with a vicious left, enhanced by Falling Hammer Strike. On the next round, he attacks first, but his Defense doesn't refresh. She uses the Charm again, and snaps his head back with a shattering uppercut. For this attack, his Defense is still at -1. Because she used the Charm twice consecutively, he will be at -2 Defense on her next attack.</t>
  </si>
  <si>
    <t>Locked in a deadly struggle with her opponent, the Exalt draws on the inner fire of her Essence, channeling savage might into her limbs. This Charm may be used after the Solar has succeeded at a grapple gambit, convertingextra successes on the attack roll into bonus dice on the control roll.</t>
  </si>
  <si>
    <t>During a clinch the Solar controls with at least two rounds of control remaining, the Lawgiver forces her anima into her hand, gloving it in the scarlet, violet and goldradiance of Solar fire, before driving it into her opponent's flesh, branding him with the mark of her dominance. This mark is painless and inflicts no damage,but instigates the immediate release of the captive, knocking him prone. So marked, the victim is subject to the Solar's immediate grasp–when she is in close range of the mark, she may reflexively release the motes committed to the Charm, pulling the opponent back into the clinch. There is no grapple roll, nor a roll to reestablish control; the Exalt resumes control over the captive with the number of rounds of control she had when she branded him. If the Solar does not invoke this power, the brand fades away at the end of the scene and the motes return to her Essence pool. Removing the brand requires that the marked character succeed at a grapple with the Solar and wins at least as many rounds of control as those associated with the brand.</t>
  </si>
  <si>
    <t>The Lawgiver suffuses her body with Essence, becoming a virtual killing machine, her arms swinging like trip hammers. This Charm creates a series of up to ([half Strength or Stamina, rounded up] + 1) attacks against a single target, dividing the Solar's Initiative up evenlyfor each strike, then adding bonus Initiative sufficient to raise the damage of all of them to equal the highest's.In addition, for every blow that lands, the damage of the next is increased by the number of 10s in the previous damage roll.</t>
  </si>
  <si>
    <t>The Exalted brawler does not meditate as the monks do, but her violent ruminations are no less weighty. Hers is not the way of blind instinct, but the force-honed circumstance of a natural disaster. This Charm enhances the crash bonus the Exalt earns for driving any target into crash with a Brawl or Martial Arts attack, awarding her extra Initiative equal to (her Essence or five, whichever is smaller).</t>
  </si>
  <si>
    <t>Brawl 5, Essence 3</t>
  </si>
  <si>
    <t>Empowered by violence, the Solar exults at the song of death in her ears. Once per scene, if the Exalt successfully defends against an attack that rolls (Solar's Essence or five, whichever is greater) or more successes, she may use this Charm to gain one point of temporary Willpower. This Charm can be reset by defending against a withering attack when the Exalt has only one Initiative.</t>
  </si>
  <si>
    <t>5m, 1wp, +1m, 1i per die</t>
  </si>
  <si>
    <t>The Solar sees a perfect opening and strikes a blow, the apex of her attack suffused by battering Essence. This attack is like a normal withering attack, but the damage is bolstered by doubled 9s. In addition, if the Solar drives her opponent into crash with this attack, he is immediately knocked unconscious. The Solar may further enhance the ferocity of this blow, reflexively paying one mote, one Initiative per die to add to the damage of this attack, to a limit of the Initiative gained by the attack.For example, if the Solar rolls four successes on the damage roll, she may spend up to four motes, four Initiative to add four additional dice to the damage roll.</t>
  </si>
  <si>
    <t>Tearing at an opponent's anima, the Solar rips away an enemy's chance for victory. The Exalt can use this Charm upon driving a target into crash, reaching into his soul to rip away at the Essence suffusing him. This Charm deactivates an ongoing Brawl, Martial Arts, Melee, or combat Attribute Charm of the player's choosing, but cannot target permanent effects.</t>
  </si>
  <si>
    <t>Hardening her fists until they are unbreakable, the Exalt strikes a shattering blow. When this Charm supplements a withering attack made with the Solar's bare hands, her strike gains an Overwhelming bonus equal to her Strength. For example, the Overwhelming value of a punch attack is 1. If the Solar's Strength is 5, then her Overwhelming for this attack is 6. On a decisive attack, her damage is lethal, has double 10s, and rerolls 10s. On the tick she uses this Charm, the Lawgiver can parry lethal attacks with her bare hands without a stunt.A repurchase allows the Solar to use a Simple version of this Charm with a duration of one scene and a cost of five motes, one Willpower. This version may be activated reflexively for two motes, one Willpower if the Solar uses the supplemental version to successfully damage an opponent.</t>
  </si>
  <si>
    <t>As violence and destruction goes, the Solar is an artist and a savant. This Charm permanently enhances Force-Rending Strike; so long as she is wielding an improvised weapon for the clash, Force-Rending Strike's costis reduced to four motes, and the Willpower cost is dropped. Using Intercepting Fury Smite to succeed at a clash forces the Solar to discard her current weapon; it is either destroyed or dropped, forcing her to retrieve it or choose another.</t>
  </si>
  <si>
    <t>The Solar's strike is guided by the violence she feels in her foe's onslaught. This Charm supplements a clash attack. Any 1s rolled by the attacker are converted toautomatic successes on the Solar's clash. If the Solardissolves an energy attack or burning elemental bolt, her fist becomes wreathed in her attacker's Essence, enjoying (opponent's Essence) bonus attack and damage dice on her next attack. Attempting to clash a bolt thrown by an assailant out of range of the Solar's fist lowers the cost of Force-Rending Strike to four motes, and drops the Willpower cost. Fire-Eating Fist does not create a clash attack on its own, and is expressly permitted to enhance Martial Arts Charms with the Clash keyword. At Essence 4+, this effect becomes stackable to a limit of (Stamina) stacks. Therefore, clashing four elemental bolts froman Essence 3 opponent, a Stamina 4 Lawgiver's fists would be wreathed with twelve bonus damage worth of pain. In addition, the Exalt may clash away ranged attacksin the exact same manner, treating them as if theywere elemental bolts. Note that in all instances of Fire-Eating Fist, clashing a projectile attack by an opponent who is out of range does not result in damage to thatopponent.</t>
  </si>
  <si>
    <t>2m or 4m</t>
  </si>
  <si>
    <t>The Exalt leaps through her anima like a burning apparition of glorious anger, capturing a foe in her iron grasp. For two motes, this Charm enhances a grapple attempt or the control roll, allowing the Solar to reroll 5s and 6s until 5s and 6s fail to appear. For four motes, it enhances both rolls.</t>
  </si>
  <si>
    <t>River-Binding Wrath, Intercepting Fury Smite</t>
  </si>
  <si>
    <t>Feeling the tide of momentum turn against her, the Solar draws a shield against her doom. When in control of a clinch, the Exalt can use Wicked Dissolve Dust to interpose her captive between herself and an incoming decisive attack, enacting a reflexive Dexterity + Brawl clash attack. If her clash succeeds, rather than doing damage to the attacker, all of the damage of the opponent's decisive attack is transferred to her captive.</t>
  </si>
  <si>
    <t>Lifting her hand, the Solar reaches across the shroud of the heavens to find the one she has marked. Pulling on a brand created by Burning Proof of Authority, she may draw a captive into her grasp from as far away as long range. The target does not travel the distance between himself and the Lawgiver, but blurs into her steel embrace as if he had never left it. Using Rapturous Cradle automatically releases the Solar's commitment to Burning Proof of Authority, removing the brand and resuming its effects in total.</t>
  </si>
  <si>
    <t>The Solar wraps her mighty arms around an opponent and attempts to crush the life from him. The Solar gains (Essence) automatic successes to land a grapple attack, and on the control roll, she treats the opponent's 10s as her own single successes. In addition, when the Solar controls a clinch with Dragon Coil Technique, her withering and decisive savaging attacks and slams enjoy (Essence) bonus dice of damage. The Exalt can choose whether this damage is bashing or lethal. In addition, if the Exalt uses Dragon Coil Technique to defend herself from a grapple and wins control, she can keep control of the grapple rather than merely escaping.Finally, if the Solar uses her (Strength + Brawl) to land a grapple attack, Dragon Coil Technique expressly allows the Solar to grapple characters of prodigious size–tyrant lizards, river dragons, siaka and other similarly sized beasts are all valid targets for the Solar's dread grasp. However, creatures of truly titanic proportions such as Juggernaut or Mount Mostath can only be gripped in bits and pieces, with the most likely result being that the Solar tears away a massive chunk of her opponent, rather than being able to exert enough force to hold or throw such a gigantic being.</t>
  </si>
  <si>
    <t>Until the grapple ends</t>
  </si>
  <si>
    <t>While controlling a clinch, the Solar locks a ruinous hold on her captive in an attempt to force his submission. The player can describe this as any kind of signature joint lock, chokehold, or scenery-assisted torment they can imagine, applying the damage roll normally. Remember, savaging attacks always hit, and serve only to boost the damage result, per the rules described on page 201. Each consecutive round the character inflicts damage with a grapple, her raw damage grows–+2 per round for withering or +1 for decisive. Thus, a character who made three withering attacks and then a decisive attack would enjoy bonuses of +2, +4, +6 and +4 respectively. Decisive attacks made with this Charm ignore hardness. Ten Calamities Technique does not enhance throws or slams.</t>
  </si>
  <si>
    <t>Channeling primal strength through a surge of Essence, the Lawgiver winnows and thrashes a clinched opponent in an attempt to shake him apart. The Solar immediately expends all remaining turns of control and makes an equal number of withering savaging attacks. Learning Titan-Straightening Method permanentlyenhances Dragon Coil Technique, allowing the Solar to use it to grapple impossibly huge opponents for the express purpose of using Titan-Straightening Method. This Charm does not confer the power to lift, slam or hurl such opponents.</t>
  </si>
  <si>
    <t>The Solar burns with Essence, launching a captive at a group of foes. When the Solar hurls her captive at a group of foes, the damage roll is enhanced by 4 dice per round of control forfeited by the throw, as described on page 201. The Solar throws her opponent at a target within short range; her captive goes from her like a meteor, blasting through her target and every opponent within short range of him, applying a single Dexterity + Brawl withering attack with a base damage of seven to all additional opponents. Foes struck by this explosive impact are knocked to the ground, and the damage of the throw is applied to each of them separately. If the Solar is crashed when she uses this attack, she still damages each foe, but she only gains Initiative from a single target. When used in combination with Crashing Wave Throw, not only is the damage of this throw enhanced, but also its range, allowing the Solar to strike enemies out to medium range without spending rounds of control per the rules of Crashing Wave Throw. Special activation rules: Shockwave Technique can be used once per combat. In order to reset it, the Solar must deal 10+ health levels of damage on a single decisive Brawl attack.</t>
  </si>
  <si>
    <t>Crashing Wave Throw, Heaven Thunder Hammer</t>
  </si>
  <si>
    <t>After launching an opponent with one of the prerequisite Charms, the Solar channels Essence through her arms and legs and rips through the space between, flashing into her opponent to make an additional attack using any Ability and allowing the Exalt to reflexively draw a weapon to do so. When the Exalt uses Lightning Strikes Twice after using one of the prerequisites to unleash a decisive attack, her Initiative does not roll over until after the extra attack has been completed. Making this attack has slightly different effects depending on whether the Charm was triggered with Crashing Wave Throw or Heaven Thunder Hammer:Crashing Wave Throw: The Solar strikes her opponent after he bounces off a hard surface and take damage from Crashing Wave Throw. If the Exalt uses this version of Lightning Strikes Twice, she may meet her falling opponent in the air and make a grapple attack with his Defense set to 0. Succeeding in the roll for clinch control means the Solar must make an immediate throw or slam, hurling her opponent into further hard surfaces or driving him bodily into the ground.Heaven Thunder Hammer: The Solar must knock her foe to short or medium range on the attack in order to use this Charm. Doing so allows her to flash in to range before he impacts, cancelling his impact with scenery to strike him again. In this case, the Solar cannot grapple her opponent, but makes a strike against him as if it were asurprise attack.</t>
  </si>
  <si>
    <t>This Charm permanently upgrades the prerequisite, allowing the Solar to make ([Strength or Stamina] +1) attacks, and adding bonus damage to each succesful strike–+1 on the first, +2 on the second, +3 on the third, and so on.</t>
  </si>
  <si>
    <t>Driven on by the flow of violence, the Solar hones her Essence into her limbs, assuming a more perfect position for her next strike. After landing a decisive attack which resets her to base Initiative (usually 3), the Solar may use this Charm, adding +2 to her base Initiative value.</t>
  </si>
  <si>
    <t>The Lawgiver looks beyond her next attack and sees the battle's course unfold. She may use this Charm at any time to reflexively store up to (Stamina) Initiative. Thenceforth, upon making a decisive attack, she may choose to reflexively release her commitment to Superior Violent Knowledge, pouring stored Initiative into her attack's raw damage to boost it. This Charm expressly allows the Exalt to launch a decisive attack while crashed.Special activation rules: Using Superior Violent Knowledge at the start of her turn does not affect her place in the attack order of the current round but will be reflected in subsequent rounds. Stored Initiative cannot be targeted or stripped by withering attacks. Unless used, this Charm's effect wears off at the end of combat.</t>
  </si>
  <si>
    <t>The Solar takes a moment to assess her surroundings in order to determine the most effective channel for violence. Roll (Wits + Brawl) and store the result. The Exalt can reflexively use this result in place of a Brawl roll at any time. Stocked successes can be used to bolster defense at a rate of two successes per Parry or Evasion. These successes fade at the end of the scene. At Essence 4+, the roll gains (Essence) automatic successes. Special Activation Rules: This Charm becomes Reflexive if the Solar beats all of her opponents in a Join Battle roll, or if she knocks an opponent prone.</t>
  </si>
  <si>
    <t>10m, 3a, 1wp</t>
  </si>
  <si>
    <t>Brawl 5, Essence 4</t>
  </si>
  <si>
    <t>Drawing down on a crashed opponent, the Lawgiver channels all the fury of her anima into her fists and strikes a world-rending blow. This is an unblockable, undodgeable withering attack with double 7s on the damage roll. The Solar's anima must be at bonfire in order to use this Charm, as she sheds her entire anima into the attack and returns to the dim level.</t>
  </si>
  <si>
    <t>8m, 3a, 1wp +1m per turn</t>
  </si>
  <si>
    <t>Adamantine Fists of Battle (x2)</t>
  </si>
  <si>
    <t>While using the scene-long version of the prerequisite, the Solar may channel the raw fury of her iconic anima down into her fists, suffusing them with blazing Solar Essence. For the rest of the scene, her decisive attacks ignore hardness, and her base Initiative is increased by one. In addition, when she is at base Initiative or lower, her decisive damage gains (Essence) bonus dice and rerolls 1s and 10s until 1s and 10s fail to appear, retaining any successes from rerolled 10s. This effect costs one mote per turn to maintain. This Charm requires three levels of anima to use, and use of this Charm returns the Lawgiver's anima to the dim level. While this Charm is active, the Solar's fists glow gold-to-white and her Caste Mark shines brightly. These effects cannot be muted.</t>
  </si>
  <si>
    <t>The Solar's surging, destructive Essence is redoubled when she breaks an opponent with her own hands. If the Solar crashes an opponent she is clinching, she may reflexively activate this Charm, resetting her combat action, and restoring all the rounds of control that she had at the start of the clinch.</t>
  </si>
  <si>
    <t>7m, 3i, 1wp</t>
  </si>
  <si>
    <t>The Solar shatters her opponent's limbs and torso with a barrage of Essence-fueled blows. Roll a normal Brawl-based withering attack, but instead of using extra successes for damage, each extra success determines how many times the Solar strikes her opponent and how many times the damage of her attack is repeated. This attack may only be used once per scene, but if can be reset if the Solar incapacitates a powerful or impressive opponent.</t>
  </si>
  <si>
    <t>Once per ascent to iconic anima, the Lawgiver may use a free full Brawl Excellency to enhance her attacks or defenses. This Charm is reset each time the Solar returns her iconic anima to the dim level.</t>
  </si>
  <si>
    <t>Brawl 5, Essence 5</t>
  </si>
  <si>
    <t>The Lawgiver reaches deep into her Essence, drawing forth a mountain-crushing surge of spirit pressure that burns like a small sun between her hands. The Solar then hurls this flare of burning Essence like a comet to strike a foe she can perceive at any range. The base damage for this attack is any damage the Solar has gathered with Fire-Eating Fist. In addition, the Exalt may choose to pour three levels of anima banner into the attack, shedding them to give the attack three automatic successes and (Essence) additional damage. This attack does not include the Exalt's Initiative and does not return her to base value.</t>
  </si>
  <si>
    <t>Sensing her opponent is near collapse, the Exalt lashes out with a lightning fast decisive attack. Heaven Fury Smite can be used when the Lawgiver lands an attack that drives her target into crash. It automatically resets her attack action, allowing her to attack again instantly, so long as she launches a decisive attack against the crashed opponent. This attack may be made with any viable Ability–the Solar experiences a burst of speed that allows her to reflexively draw a weapon, be it a sword or a nearby tree branch.</t>
  </si>
  <si>
    <t>15m, 3a, 1wp</t>
  </si>
  <si>
    <t>Bureaucracy 1, Essence 1</t>
  </si>
  <si>
    <t>With a cursory examination, the Lawgiver can determine the exact quality of any good offered for sale. She can tell if it is in poor, average, or excellent condition. However, this grants her no knowledge of the market value ofany particular good, nor does it tell her the purpose of</t>
  </si>
  <si>
    <t>Bureaucracy 3, Essence 1</t>
  </si>
  <si>
    <t>Through use of this Charm, the Solar gains an intuitive feel for a marketplace at a given instant, allowing her to intuit roughly how much a given object will fetch in any one market. Though the Exalt need not be physically present in the market, this Charm must be used with a particular sales venue in mind. The Solar cannot discover previously unknown markets through use of this Charm. She can, however, review distant markets to determine which would be the best to sell a good. The more specific the venue contemplated, the more accurate the forecast. A Solar using this technique can make a perfectly accurate assessment at the moment of sale, but the longer she waits between using this Charm and the actual sale of the goods, the larger her margin for error, as economies shift with time.</t>
  </si>
  <si>
    <t>The Lawgiver can evaluate a buyer's intention and budget with a glance. This enacts a ([Perception or Wits] + Bureaucracy) read intentions action against the target's Guile. If successful, the Exalt can tell if the target plans to betray or cheat her. If he does, the Solar's Resolve is raised by her Essence against all bargain action attempts by that character. She may also use this Charm to determine a character's Resources rating and whether he intend to buy or whether he needs to be swayed into attempting a bargain action.</t>
  </si>
  <si>
    <t>Bureaucracy 4, Essence 1</t>
  </si>
  <si>
    <t>Through use of this Charm the Solar broadcasts her ability to evaluate and fence any good, and to estimate the viability of any good or service in any market. This Charm makes characters naturally assume the Solar is a master merchant, someone who should be approached in order to receive the best deal or gain information about any certain product. This Charm does not confer knowledge of any good the Solar is unfamiliar with, but it does allow her to reflexively employ Insightful Buyer Technique for one mote, in order to speculate on the value of goods in local or foreign markets, even those that may not be physically present.</t>
  </si>
  <si>
    <t>Bureaucracy 5, Essence 1</t>
  </si>
  <si>
    <t>By spending a day in a market, the Lawgiver can sense the ebb and flow of commerce, guiding her to knowledge of hidden or illegal markets. By observing normal transactions, speaking with merchants and customers, and watching the general course of economic dalliance, she becomes aware of the bureaucratic specialties of everyone connected to a specific market. The Lawgiver even becomes aware of the special market knowledge of characters whose names she doesn't know and whose faces she has never seen.</t>
  </si>
  <si>
    <t>Deft Official's Way</t>
  </si>
  <si>
    <t>The Lawgiver becomes preternaturally adept at navigating through bureaucracies. She can naturally sense who to talk to in order to produce results, who expects or is amenable to bribes, which functionaries are actually useful or friendly and which are officious tyrants abusing their meager sliver of power. The Solar may add her Bureaucracy score to the read intentions actions of any Ability so long as it helps her in producing a desired bureaucratic result, such as obtaining a license, gaining a passport or securing an audience.</t>
  </si>
  <si>
    <t>Bureaucracy 2, Essence 1</t>
  </si>
  <si>
    <t>The Solar can sum up the member of an organization with perfect incision. This Charm creates a ([Social or Mental Attribute] + Bureaucracy) read intentions action adding the Solar's Essence in automatic successes. This Charm is automatically successful unless resisted with magic, and cannot be resisted by characters whose temporary Willpower is currently lower than the Solar's. Upon reading her subject, the Exalt can determine the exact strongest or most relevant Intimacy he holds for the organization in question.</t>
  </si>
  <si>
    <t>The Exalt can govern an organization with preternatural awareness. With this Charm, the Lawgiver is made aware when the member of an organization has his Intimacy for the organization challenged by any kind of social influence that does not involve the Psyche keyword. This awareness is contingent on the Solar having used read intentions actions to uncover the relevant Intimacies of the character in question. The Solar's awareness extends to the moment the character's Intimacy is challenged if and only if the character is currently functioning in some capacity for the organization. If the subject is not presently working for the Solar, she only notices that someone has attempted to influence him when he returns to his role or functions as a member of the organization. This clarification applies to current as well as former members–the Exalt only immediately notices influence against a character who is currently on duty. This Charm does not convey any knowledge of the substance of such social influence, or whether it was successful–only that it happened.</t>
  </si>
  <si>
    <t>8m</t>
  </si>
  <si>
    <t>One task</t>
  </si>
  <si>
    <t>Through the use of this Charm, the Solar can cause a bureaucracy to finish a task in record time. Using this Charm causes the organization to work faster by a number of degrees equal to a Solar's Essence. A task that would be accomplished in a century takes only a season; a task that would be accomplished in a season takes only a month; what would take a month takes only a week; what takes a week only takes day, and what could be accomplished in days just takes minutes. Any request that would take less than a day is processed immediately; the Solar is literally moved to the front of the queue and is transferred into the services of an organization the moment she makes her request. Therefore, at Essence 3, a Solar could obtain records from a Fair Folk freehold that would normally take a century in just a week. At Essence 5, she could obtain it in minutes.</t>
  </si>
  <si>
    <t>One investigation</t>
  </si>
  <si>
    <t>The Solar may use her bureaucratic prowess to reform an ailing or corrupt bureaucracy. The Lawgiver must participate in an investigation of the organization, attending or leading inquiries, reviewing records and interviewing involved parties. For the duration of the inquest, add the Solar's Bureaucracy in automatic successes to her Investigation and Socialize rolls to conduct this investigation. In addition, while this Charm is in effect, members of the organization will automatically perceive the Solar as a subject of confidential trust with regards to the bureau–someone they should both confide in and should speak truthfully to. This registers as a Major Intimacy with most, but those with strong will and reasons to want to hide the truth will clock in with no more than a Minor Intimacy of respect for the Lawgiver's authority.</t>
  </si>
  <si>
    <t>Deft Official's Way, Frugal Merchant Method</t>
  </si>
  <si>
    <t>The Exalt's understanding of business language and commerce makes her seem worldly and wise. Add half her Bureaucracy score (rounded up) in dice to all social influence to affect bargains, trade, create business partnerships, create good will between organizations, communicate effective orders, mediate, and so on.</t>
  </si>
  <si>
    <t>Bureaucracy 5, Essence 2</t>
  </si>
  <si>
    <t>Consumer-Evaluating Glance, Insightful Buyer Technique</t>
  </si>
  <si>
    <t>This Charm depicts a Solar who is an irresistible high pressure salesman. This Charm supplements a bargain action with double 7s. If the Exalt's bargain is successful, she gains a point of temporary Willpower.</t>
  </si>
  <si>
    <t>The Solar is so attuned to the flow of trade that she can sense any time a character within range of her senses uses the Bureaucracy or Larceny Ability to make a transaction. This does not overwhelm her in market settings. She may simply ignore the proceedings, but she may also choose to sweep for particular transactions. This may aid her in locating characters with market specialties indicated by the prerequisite.</t>
  </si>
  <si>
    <t>Bureau-Rectifying Method, Enigmatic Bureau Understanding</t>
  </si>
  <si>
    <t>The Lawgiver may use this Charm to sort an organization she controls, moving personnel and dropping its weakest members. This Charm may be used after Bureau-Rectifying Method to instantly cleanse an organization of any hostile magic such as Indolent Official Charm or astrological curses. Whether the Solar is able to determine the presence of such magic depends on the thoroughness of her investigation. If the Storyteller is satisfied that she has uncovered evidence of malignant forces at work, this Charm automatically succeeds at clearing all such effects and making the organization immune to them for one season.</t>
  </si>
  <si>
    <t>Stackable</t>
  </si>
  <si>
    <t>The Lawgiver may use her power to slow as well as hasten a bureaucracy. Through use of this Charm, the Solar may bring the wheels of a government to a grinding halt with regards to a single task. Documents will be lost at every turn, every petty official who could possibly interfere or request a bribe will do so, and petitions and important requests will inevitably end up neglected at the bottom of the pile. For every point of Essence the Exalt possesses, the investigation is delayed by one degree, from days to weeks, weeks to months, months to seasons, and seasons to years. Thus an Essence 2 Solar could delay an investigation that would take a week, causing it to take an entire season.The Solar need not be party to a matter to delay it. She can speculate on an investigation she is unaware of, committing motes against the possibility of such an investigation in the future. For example, she could stymie “The ongoing secret police investigation into my business” without being certain such an investigation were occurring. However, even though this Charm will defend her against such intrigues, this Charm will not inform her as to whether such an investigation exists or is ongoing. The Solar may stack this Charm (Essence) times, protecting herself against an equal number of different investigations.</t>
  </si>
  <si>
    <t>The Lawgiver's understanding of rules and the semantics of language makes her an effective and persuasive speaker. Add half the Solar's Bureaucracy in dice (rounded up) to any social influence that engages a character's adherence to laws or rules he's known to observe. This can refer to organizations he identifies with, but it can also be used to exploit Defining Principles he holds, if the Solar is aware of them.</t>
  </si>
  <si>
    <t>Bureaucracy 5, Essence 3</t>
  </si>
  <si>
    <t>Once a day, the Solar gains a point of temporary Willpower for succeeding at a bargain action.</t>
  </si>
  <si>
    <t>Mute, Psyche</t>
  </si>
  <si>
    <t>The Solar can sell sand to a Delzahn. This Charm is a persuade action to convince a character that a particular thing is his heart's desire. The Solar can sell literally anything at outrageous prices. If the character's permanent Willpower is equal to or lower than the Exalt's Essence, no roll is required. The Exalt can cause the target to sell himself into slavery for a handful of potsherds or a kiss. If the target's Willpower is greater than the Lawgiver's Essence, the Solar rolls a (Manipulation + Bureaucracy) persuade action with (Essence) automatic successes against the target's Resolve. If successful, the target is not only convinced that he must attain whatever the Solar is selling, but its value in his eyes is multiplied by the number of extra successes on the roll. In order to resist this effect, a character must spend (the Solar's Essence) in Willpower. Resisting Soul-Snaring Pitch makes a character immune to the Charm for one week.</t>
  </si>
  <si>
    <t>–(Varies)</t>
  </si>
  <si>
    <t>The Solar becomes automatically aware any time a curse or other magic is laid against her organization. She may not be aware of the exact details of such a power, or where it comes from, but she does know where to look for evidence using Investigation Charms or Bureau-Rectifying Method. At the moment the Solar first becomes aware of fell magic, the player may also guess as to its source if it is reasonable that the Solar would know what the player suspects. If correct, the Solar instantly knows the source of the magic and may use Bureau-Reforming Kata instantly. The Solar may, at the same time she uses Bureau-Reforming Kata, spend a number of motes equal to those used to launch the curse. By committing these motes, the Exalt traps the motes committed to the effect, preventing the source from relinquishing the curse before its normal duration has expired.</t>
  </si>
  <si>
    <t>The Solar becomes fused with her organization at the unconscious level. Her Essence flows through all aspects of her bureaucracy, subtly altering her existence as she alters it in turn. If the Exalt has captured magic using Woe-Capturing Web, this Charm allows her to discoverprofiling information among her immaculately-keptpaperwork, revealing the identity of the one whose magic has been snared.</t>
  </si>
  <si>
    <t>13m, 1wp</t>
  </si>
  <si>
    <t>The Lawgiver can arrest an entire arm of government with one deft stroke. The Solar targets a project she's aware of and dooms it with a flash of her Caste Mark. Roll ([Charisma or Manipulation] + Bureaucracy) against the Bureaucracy, Investigation, Larceny or War (whichever is applicable to the project) of each character responsible for leading the project. For each success, that character will experience (Solar's Essence) botches trying to carry out that project. As failure manifests, the first result is that communication breaks down, becoming hostile, ineffective, or completely impossible (as with the collapse of the information arm of a military establishment). A project that is a monumental failure may threaten the stability of an entire organization. This Charm may not be used on a single organization more than once per season.</t>
  </si>
  <si>
    <t>The Solar's understanding of bureaucratic procedure is immense and complex. She may draw on this well of knowledge to enact a free full Bureaucracy Excellency once per season. This Charm can be reset by the Solar aiding in the success of a particularly difficult project (see p. 225) as determined by the Storyteller.</t>
  </si>
  <si>
    <t>As long as the Lawgiver's organization has succeeded at one challenging project in the previous season, her bureaucracy automatically completes one project within its scope without ever undertaking it. Once per story, the Exalt may travel to an isolated section of her business headquarters where she will find the proof of a completed task. She might find useful tools, resources, deeds, valuable paperwork, and so forth. The Storyteller should select items which will prove of some use to the Solar each time she decides to invoke this Charm. The more powerful her organization, the better the discovered spoils will be. Note that use of this Charm does not itself count as completion of a challenging project.</t>
  </si>
  <si>
    <t>Bureaucracy 5, Essence 4</t>
  </si>
  <si>
    <t>The Lawgiver may pass down laws to her agents which are sacrosanct. The Solar repeatedly inveighs against a certain action, making it anathema. It then becomes impossible for members of her organization to carry out that action–but only in the context of functions of the bureaucracy. Furthermore, the Solar must be specific in citing those behaviors which are banned. Thus, she could not ban all theft, but she could ban “Theft from the company coffers” or “Embezzlement of client capital.” Likewise, while these bans would prevent members of her organization from stealing from her organization, they do not prevent those members from committing such crimes outside the jurisdiction of her organization. Characters affected by this Charm can treat any social influence to break a defined taboo as an unacceptable one. The Solar may stack this Charm (Essence) times to protect her organization thusly.</t>
  </si>
  <si>
    <t>The Lawgiver gains power through knowledge of the roles and identities of others. This Charm supplements any social influence that appeals to an Intimacy the Solar is aware of, at a former intensity, so long as the socialinfluence is intended to make the subject act in someofficial capacity. For example, the Lawgiver could attempt to persuade her bodyguard-turned-assassin to put down his weapon, invoking an Intimacy of loyalty he once held but holds no longer. She could convince an ex-spouseto act in some capacity as if they were still married.She could even make a once-loyal member of her organization remember his role and even make him wish to return to his former position. However, she could not use this Charm to convince two enemies who have become lovers to remember their hate for one another. The Charm only functions if there is some relevant official capacity being invoked. Thus the subject is hailed into a former role.</t>
  </si>
  <si>
    <t>Bureaucracy 5, Essence 5</t>
  </si>
  <si>
    <t>One week</t>
  </si>
  <si>
    <t>The Solar's effective delegation of power bolsters the might of Creation. To use this Charm, the Solar must confer advice to a bureaucracy either directly or through mediators (letters, messengers, etc.). The Lawgiver proposes bureaucratic reforms and operating sequences that are efficacious and skillful: roll (Charisma + Bureaucracy) against a difficulty of 5. If successful, the organization's leaders gain a number of non-Charm dice equal to the roll's extra successes. These dice can be used on (Solar's Essence) Bureaucracy, Investigation, Larceny, Lore, Medicine or War rolls dealing with running a relevant organization or project. The Solar may enhance her own actions with this Charm, and if she or any other Solar is a beneficiary of this effect, the organization becomes a “Creational bulwark” on the spot. The Wyld cannot penetrate its territories, diseases struggle to cross its borders, and Shadowlands encroach upon it more slowly. This effect lasts one week.CraftEfficiency</t>
  </si>
  <si>
    <t>Tireless Workhorse Method</t>
  </si>
  <si>
    <t>Craft 2, Essence 1</t>
  </si>
  <si>
    <t>The Solar expands her mind, body, and spirit to encompass the drain of more difficult tasks. This Charm permanently grants two major project slots for each dot of Essence the Solar possesses.</t>
  </si>
  <si>
    <t>Efficient Craftsman Technique</t>
  </si>
  <si>
    <t>Craft 3, Essence 1</t>
  </si>
  <si>
    <t>This Charm permanently reduces the cost of temporary major slots to three silver points.</t>
  </si>
  <si>
    <t>Arete-Shifting Prana</t>
  </si>
  <si>
    <t>4m, 1sxp, 1wp</t>
  </si>
  <si>
    <t>Craft 4, Essence 1</t>
  </si>
  <si>
    <t>The Lawgiver may glean knowledge from her existing mastery and use it as the foundation for new works. Upon evoking Arete-Shifting Prana, roll (Intelligence + [relevant Craft]). For each success, the Solar may temporarily convert dots from one of her known Crafts into a conceptually related Craft ability–for example, changing armoring into weaponsmithing, or shifting leatherworking into tailoring, or tailoring into tapestry-weaving. Conversions where no logical relationship can be established are impossible, such as converting Craft (Cooking) dots into Craft (Tailoring). These converted dots remain useable for the duration of one basic or major project; they cannot be used to support any higher form of crafting project.</t>
  </si>
  <si>
    <t>Supreme Celestial Focus</t>
  </si>
  <si>
    <t>Craft 5, Essence 2</t>
  </si>
  <si>
    <t>The Solar expands her mind and awakens her flesh, unlocking the brilliance that sings in her Essence. This Charm allows the Exalt to raise an additional Craft rating from one to five by paying gold points instead of experience. The Exalt may raise up to (Essence) additional Craft ratings in this fashion, but each one after the first costs double the amount of gold points.</t>
  </si>
  <si>
    <t>Meditating calmly for five minutes, the Solar erases all thought and function; her conscious mind recedes to nothingness. During this time, the player may rearrange the Solar's crafting points in the following way: two silver points can become one gold point; two gold points can become one white point; one white point can become two gold points, and one gold point can become two silver points. However, each use of this Charm only allows the Solar to shift one type of experience to another;in five minutes, spending six motes, she could convert silver points to gold, but she would have to activatethe Charm again to transfer gold points to white.</t>
  </si>
  <si>
    <t>Efficient Craftsman Technique, Sublime Transference</t>
  </si>
  <si>
    <t>The Solar's return to Creation is a time of expanding her mind and senses. Through her immaculate Essence, she becomes a conduit to the lost magic of a vanished age. Upon the purchase of this Charm, the Exalt gains a number of gold points equal to her permanent major slots. This bonus recurs at the end of each story.</t>
  </si>
  <si>
    <t>With this Charm, the Solar reaches a confluence ofancient wisdom and future enlightenment that increases her ability to encompass greater efforts. Purchasingthis Charm grants the Chosen one permanent superior project slot. This Charm may be purchased up to (Essence) times.</t>
  </si>
  <si>
    <t>Craft 5, Essence 3</t>
  </si>
  <si>
    <t>The Exalt's understanding of greater wonders is increased. She may use this Charm before beginning a superior project, taking a ten minute dramatic action to conceptualize the task at hand, plan for future stages of the project, and organize necessary materials. This Charm lowers the cost of creating a superior slot by two gold points and two major slots, to a minimum of one major slot and one gold point.</t>
  </si>
  <si>
    <t>As the Solar works with greater wonders, she achieves a sublime, renewing focus. On each interval of a superior roll, when the Solar rolls more successes than the price to finish (typically ten–see “finishing rolls” on p. 240), she earns silver points equal to the rating of the Artifact under construction plus her current Essence score.</t>
  </si>
  <si>
    <t>Crafting Artifacts requires an extreme commitment of one's own spiritual energy. Husbanding her resources, the Exalt's Essence becomes more readily powerful when she rises to the task. This Charm permanently reduces the cost to finish a superior project by (Essence) gold points, to a minimum of three.</t>
  </si>
  <si>
    <t>Through diligence, effort, and connectedness to the Essence of her art, the Solar learns to adapt the unfathomable least wonders of the cosmos to the trades which she has mastered. By using this Charm before she begins a superior project to build a two-dot Artifact, she can place that project in an unused major slot. Motes committed to this Charm remain committed until the project is finished. If she relinquishes commitment, she must create a superior slot to carry the unfinished artifact, or otherwise risk a catastrophic failure of the project. At Essence 5+, she may use this Charm to craft three dot Artifacts.</t>
  </si>
  <si>
    <t>The Solar crafter is constantly giving form to the wonders that live inside her mind. A Lawgiver with this Charm is particularly fecund: once per season she may produce a completely finished two dot Artifact of the player's choosing (or design). The Solar need not pay gold points to complete the project; the Artifact is already complete; the Storyteller should treat this as a piece of work she designed and completed in the margins of all her other projects, using expertise and efficiency to complete a wonder as an unspoken side project. The Solar earns no craft points for producing Artifacts in such a manner. However, if the player produces this Artifact in response to a problem, a question, or otherwise introduces their new invention as part of a socially-driven stunt that makes their character seem like a miraculous wonder-worker, she earns five gold points. At Essence 5+, this Charm can be used to produce a two or three dot Artifact. Special Activation Rules: This Charm can only be used by a character who has already constructed at least one Artifact rated two or higher, and is in the process of building at least one other.</t>
  </si>
  <si>
    <t>Craft 5, Essence 4</t>
  </si>
  <si>
    <t>After successfully completing a superior project for which the Solar earned gold points, the Solar may consume the entire gold point bonus to experience a surge of new potential. Using this Charm voids the Solar's gold point bonus, but reduces the goal number of the next superior project by (Essence + 5), while adding an additional interval to the roll's terminus (for extended rolls, see p. 188). Using this Charm also increases the gold point bonus calculation for finishing the project from Artifact Rating * 2 * remaining terminus to Artifact Rating * 3 * remaining terminus. White points gained through superior projects are unaffected by use of this Charm. This Charm only applies to projects of an identical Artifact rating: if the Exalt voided the bonus from a two dot Artifact, this Charm only applies to the next two dot Artifact she attempts. The Exalt may void subsequent bonuses gained with this Charm to increase the Artifact Rating multiplier by one each time (* 3, *4, *5, etc.), reducing the goal number by the current Essence rating (Essence + Essence + 5), and adding an additional terminus (two added instead of one the first time the bonus is voided, three the second time, and so on).</t>
  </si>
  <si>
    <t>Similar to Dragon-Soul Emergence, this Charm represents the expansion of the Solar's physical and spiritual Essence, which allows her to encompass greater and more difficult creations. This Charm may be purchased (Essence) times. Each purchase grants the Exalt two permanent legendary project slots.</t>
  </si>
  <si>
    <t>25sxp, 15gxp, 10wxp + all remaining wxp</t>
  </si>
  <si>
    <t>Craft 5, Essence 5</t>
  </si>
  <si>
    <t>After completing five legendary projects, the Exalt may expend a tremendous amount of creative energy to renew the power of her Essence. After spending the cost of the Charm, roll a number of dice equal to the Solar's remaining white points. Successes are converted to experience points and added to the Solar's total experience (though they don't count toward raising Essence). This roll counts as an expenditure of white points; all of the Solar's white points are cleared by using this Charm. The Exalt may not accrue more than twenty experience points through a single use of this Charm, and this Charm may not be used more than once per story.</t>
  </si>
  <si>
    <t>This Charm allows the Solar to replace the experience points costs of certain Charms with an expenditure of white points at a rate of 5wxp:1xp. This Charm supports the costs of Lore Charms such as Flowing Mind Prana and Wyld-Shaping Technique, and hypothetical Charms with experience costs in Occult or Medicine. However, it does not cover experience costs from sorcerous projects or from the Charms of other Abilities.</t>
  </si>
  <si>
    <t>Completing a legendary project provides the Exalt with new insights to the mysteries of the universe. Each time the Solar completes such a project, this Charm provides ten automatic non-Charm successes to the next superior or legendary project she attempts to finish.</t>
  </si>
  <si>
    <t>God-Forge Within, Vice-Miracle Technique</t>
  </si>
  <si>
    <t>As proof of her illimitable soul, the Solar may induct a new infinite god-weapon into the world of mortal matter. When she has ten or more legendary projects under way, she may use this Charm to complete one of them without further rolls or expenditures of craft points. This Charm has a similar function for Artifacts of a lower rating, so long as each of the ten Artifacts is the same rating. This Charm may only be used once per story, and may not be used again until at least half of the current projects have been completed. Prematurely abandoned or failed projects do not count as having been completed. Using this Charm awards no craft points; the finished artifact is its own reward.</t>
  </si>
  <si>
    <t>30wxp</t>
  </si>
  <si>
    <t>Craft 5, Occult 3, Essence 5</t>
  </si>
  <si>
    <t>Terrestrial Circle Sorcery, Wonder-Forging Genius</t>
  </si>
  <si>
    <t>With this Charm, the Solar's player may retroactively describe the process by which the Lawgiver created a perfect simulacrum of herself through an elaborate sorcerous project. This description occurs the moment the Solar's incapacitated health level is checked off; instead of dying, the slain character is revealed to be a perfect double of the Solar. The real Solar may then be located anywhere the player chooses, so long as the Storyteller deems it plausible.Momentum</t>
  </si>
  <si>
    <t>The Solar's efforts fleet and flash before her eyes, bringing her closer to an ineffable truth. For each 10 on a Craft roll made without using the Craft Excellency, the Exalt earns a silver point, to a limit of (Essence *2) points. This Charm may be repurchased, increasing the cap to (Essence * 3).</t>
  </si>
  <si>
    <t>The Solar is permanently attuned to the Essence of her workmanship, making her instinctively aware of how her creativity moves the Essence of the world. This greater insight into productivity increases the amount of silver points she may gain from each basic objective by one. For rules on basic objectives, see page 240.</t>
  </si>
  <si>
    <t>Craft 5, Essence 1</t>
  </si>
  <si>
    <t>Each time the Solar achieves all three basic objectives on any Craft project, she gains one gold point.</t>
  </si>
  <si>
    <t>A Solar who has mastered this Charm can work directly with her chosen material, shaping it with hands, breath, and voice. Without the need for tools or a workshop, the Exalt can start basic and major projects as soon as she has the proper ingredients, and can complete such works with blazing speed, often in just minutes or seconds. Using Craftsman Needs No Tools does allow for the Solar to gain craft point bonuses from her handiwork, and can be used equally well in both building and repair projects. Additionally, if the Solar uses tools to assist her work, the cost of the Charm is reduced by two motes. This Charm does not meaningfully speed the completion of superior or legendary projects.</t>
  </si>
  <si>
    <t>Chains Fall Away, Craftsman Needs No Tools</t>
  </si>
  <si>
    <t>As the Solar works deeper into the soul of her craft, she unlocks wisps and flashes of greater wonders, ancient genius, and dim visions of a lost age. Upon purchasing this Charm, roll a free full (Intelligence + Craft) Excellency and convert successes to silver points. In addition, each 10 on this roll also rewards the Solar with a gold point. This roll is repeated at the end of each story.</t>
  </si>
  <si>
    <t>Peerless Paragon of Craft, Supreme Celestial Focus</t>
  </si>
  <si>
    <t>Upon purchasing this Charm, the Solar earns one gold point and (Essence + 2) silver points for every Craft Ability she has rated at 5. This bonus recurs each time the Exalt gains a full night's sleep, but can be earned no more than once per day, nor can it be earned more than once during a period of narrated downtime (for example, if the Storyteller says “It takes a month for your ship to reach itsdestination,” and the character crafted throughout that month of sailing, she would be eligible for one bonus, not 28 of them).</t>
  </si>
  <si>
    <t>The Exalt's hands flow with the Essence of a thousand craftsmen; her urge is legion and her well is bottomless. When she creates a superior or legendary slot, she may use this Charm to greatly speed her efforts to begin the project (p. 239). This may be represented as the Exalt thinking, planning, and working with impossible speed. Though it cannot dictate the speed at which she gathers materials or performs tasks not directly associated with Craft, this Charm guarantees that given all such materials are provided, and all such tasks have been completed, the design and forging work that comes before she can roll to finish takes no longer than (6 - Essence) months for N/A and five dot Artifacts, and no more than (6 - Essence) weeks for all else.</t>
  </si>
  <si>
    <t>This Charm instantly grants the Solar three white points when purchased, and five additional white points at the end of each story.</t>
  </si>
  <si>
    <t>Words-as-Workshop Method</t>
  </si>
  <si>
    <t>Mute, Stackable</t>
  </si>
  <si>
    <t>Craftsman Needs No Tools, Vice-Miracle Technique</t>
  </si>
  <si>
    <t>The Solar speaks the implements of her trade into existence. Upon using this Charm, the Exalt describes Artifact tools she needs to complete the present task, be it one of Craft, Lore, Medicine, Occult, or Investigation. The Essence of the world shapes itself into an artifact matching her description, with powers and active Evocations commensurate to the Exalt's description and the Storyteller's whims. The Exalt may use said Artifacts without paying an attunement cost, but if she wishes to lend them out, the borrower must pay an attunement cost in order to use them. Such Artifacts can be as simple or complex as needed, and may even have personalities. With each use of this Charm, the Solar may describe up to (Essence) tools, but the Storyteller should be aware of diminishing returns; the overall effectiveness should be based on the player's stunts and descriptions. In any case, theseArtifact assistants allow for unspecified bonuses ranging from non-Charm dice, to the ability to listen for a daiklave's heartbeat, to holding a patient's soul in place while the Solar performs continual, complex surgery tofix horrific injury. Using Craftsman Needs No Tools withappropriate created Artifacts may allow the Exalt towork on superior or legendary Artifact projects at inopportune moments, with a stunt. Artifacts created by this Charm vanish in a blaze of Essence as soon as the Exalt is finished using them, or at the end of the scene, whichever comes first. Repairing and Reforging</t>
  </si>
  <si>
    <t>An Exalt with this Charm knows the strengths and weaknesses of her chosen materials and may rend them down with a mixture of light, precise touches and wringing blows. She may rend apart stone with her hands, destroy a door by crossing it with her palms and may disassemble a steel portcullis with her fingertips. The two former examples represent basic tasks, while the latter represents a major project. In any case, she needs no tools to perform such tasks, only an appropriate Craft Ability and a few moments time. Disassembly does not accrue the Exalt any craft points, though if she uses the rent material to build new objects or to repair the ones she has damaged, she may earn craft points accordingly.</t>
  </si>
  <si>
    <t>The Solar's keen understanding of an object allows her treat it with skill and Essence, greatly increasing its durability. The Exalt may temper a blade, reinforce a door, or make a sail fireproof or nearly impenetrable to mundane attacks. She may make an inscription in marble that will not fade even after a hundred years of wind and rain. The Solar spends five minutes to an hour treating an object no larger than (Essence) yards in radius, increasing the difficulty to damage it by two or (Essence), whichever is larger. Objects which are fortuitously protected during the course of a scene, or which prove in some way to raise the Exalt's social standing, accrue her a silver or gold point ON POINT-GENERATING CHARMSCharms such as Supreme Perfection of Craft only function if the Solar is actively using Craft in each story. A character who sleeps a thousand years will not awaken to an infinity of craft points awaiting her. Likewise, a character who spends a season lazing about Dajaz and romancing the revelers there should not accrue very many points in general. These awards are specifically furnished for those who are extremely hard working crafters and inventers by nature. Characters who also spend many scenes studying, researching, tinkering, or performing sorcerous projects or medical experiments also qualify for these rewards, as long as they use Craft intermittently.</t>
  </si>
  <si>
    <t>Crack-Mending Technique depicts a Lawgiver whose talent and touch is such that she can repair even impossibly destroyed things. This Charm can't restore things that were completely unmade (for example, by powerful sorcery, digestion in a behemoth's gullet, or immersion in molten rock) but it can remake extremely damaged things like shattered crystal, burnt paper, splintered wood and twisted metal. As the Solar works with the remains of a broken or destroyed object, she may slowly piece it together with word, touch, and Essence over the course of (10 - Essence) hours. If used while under the effect of Craftsman Needs No Tools, this time is reduced to minutes or seconds, and eliminates both the need for tools and in many cases for materials. This Charm can restore magical objects but not metaphorical concepts: it cannot mend a broken heart, nor can it put the magic back into a First Age construct whose magic has fled or faded away. This Charm may lower the difficulty of repairing Artifacts that are fragmented or shattered, while also making such a repair possible, but otherwise does not remove the material requirements or affect the goal number.</t>
  </si>
  <si>
    <t>The Lawgiver can press aside the veil of time to deliver the world from its ravages. This Charm allows the Exalt to instantly create a major project slot for the purposes of repairs. This slot vanishes when the repair is completed. An Essence 3+ repurchase allows the Solar to alternately pay six motes, one Willpower to create a temporary superior repair slot.</t>
  </si>
  <si>
    <t>As the Exalt raises her world from ash and ruin, she is renewed by her own labor and sacrifice. This Charm depicts a Solar who draws greater understanding from the restoration of objects than mortal crafters. After completing a repair, the Exalt gains one additional craft point for every basic objective completed. If she is repairing an Artifact, she earns (Artifact's rating) gold points and one white point. Legendary Artifacts offer no repair rewards.</t>
  </si>
  <si>
    <t>With a bare touch, the Solar can infuse an object of (Essence + 2) yards in radius with hardening Essence, greatly increasing its durability. Using this Charm increases the difficulty to destroy the object by the (Solar's Essence + 1). If the Solar is holding the object, it becomes nigh-unbreakable without magic. Objects strengthened with this Charm also become resistant to fire, acid, freezing, and other forms of damage. The benefits of this Charm last only one scene, but they stack with the effects of the prerequisite for that scene. Use of this Charm does not accrue craft points.</t>
  </si>
  <si>
    <t>The Solar can reinforce an object so that the Wyld cannot touch it. The Lawgiver spends up to an hour treating an object no more than (Essence) yards in radius. If the object is worn or wielded, it protects itself and the wielder/wearer from the twisting effects of the Wyld. This protection is limited: in the bordermarches a character can go (Solar's Essence) days without ill effect. This resistance is halved in the middlemarches, and reduced to hours in the deep Wyld. If the character only has partial protection–say a caravan guard wielding only a treated pike–then this protection is reduced to hours and minutes respectively. Chaos-Resistance Preparation can also be used to treat objects, and like and labeled objects traveling in auspicious arrays stack their protections, allowing groups of treated objects to survive Wyld journeys with the same</t>
  </si>
  <si>
    <t>With the return of the Solar Exalted comes the return of old magic. The power of the Sun's Essence flows in Creation once more. With this Charm, the Solar establishes a field of (Essence * 2) yards in radius, in which the Essence of the world is quickened with Solar power, where old things come alive again, and truly wondrous things may happen. Anyone standing in this field gains a non-Charm dice bonus to their Craft, Lore, Occult, and Medicine rolls equal to the Solar's Essence. In addition, repair and Medicine rolls are made at one less difficulty. The Solar must be attempting to repair an object or treat an injury to use this Charm, and its effect lasts until her work is finished. Characters who stand within the circle of the Solar's influence see her work with greater clarity and understanding.</t>
  </si>
  <si>
    <t>Craft 4, Essence 2</t>
  </si>
  <si>
    <t>Crack-Mending Technique, Craftsman Needs No Tools</t>
  </si>
  <si>
    <t>The Art of Permanence</t>
  </si>
  <si>
    <t>6m, 1wxp</t>
  </si>
  <si>
    <t>A Solar who uses this Charm can invest her works with magic, causing them to endure forever. Candles spun by her hands burn forever, and a horse wearing shoes from her forge need never be shod again. This Charm only affects basic and major projects, and does not prevent created items from being destroyed by direct attack or overwhelming traumatic damage such as being caught in an explosion or buried under a mountain. In addition, such objects are indelibly marked by the Solar's touch. If she claims to be the builder of a torch that never ceases burning, or a roof that never leaks, characters instinctively know it to be true without needing further proof. Such objects may also render the Exalt's identity known to beings with particular Investigation or Occult magic. If she encounters her own works from a past life, the Lawgiver will automatically recognize them as her own.</t>
  </si>
  <si>
    <t>The First Age was raised by the hands of the Solar Exalted, and they alone can restore its lost glories. When using Breach-Healing Method to repair an Artifact, the Solar may use this Charm to lower the repair difficulty by one. The moment she touches the damaged Artifact, the goal number to repair it is reduced by her (Intelligence * Essence)–the Artifact is seen to partially reform, its shattered parts flying together in her hands. This can fully restore certain objects. This Charm may be used once per story, but may be reset by completing an Artifact repair without it.</t>
  </si>
  <si>
    <t>Craft 1, Essence 1</t>
  </si>
  <si>
    <t>The Solar capitalizes on her own genius. Her hands and Essence flow in tune with the spirit of her craft, turning even the shoddiest materials into sublime masterworks. Craft rolls supplemented by this Charm reroll 10s until 10s fail to appear. At Craft 3+, this Charm may be repurchased, allowing the Exalt to also reroll 6s until 6s failto appear.</t>
  </si>
  <si>
    <t>The Exalt sees forward to her success and approachesa problem with an unerring clarity of vision. Once per week, the Exalt may apply a free full Craft Excellency to any one roll.</t>
  </si>
  <si>
    <t>By shearing away all distractions, the Exalt may recognize the strongest elements of her design as she brings them forth, enhancing them to the betterment of the entire project. This Charm allows the Solar to supplement (Attribute + Craft) rolls for basic and major projects with double 9s. At Craft 5, Essence 2+, it may be repurchased, allowing the Exalt to alternatively spend five motes, one Willpower, and one gold point to supplement a basic, major, or superior project roll with double 8s. At Craft 5, Essence 3+, it may be repurchased a third time, allowing the Exalt to pay two motes and one white point to grant any one (Attribute + Craft) roll double 7s</t>
  </si>
  <si>
    <t>Craft 3, Essence 2</t>
  </si>
  <si>
    <t>The Lawgiver reaches beyond herself to touch the creative energy that lies just beyond her reach. This Charm may be used once per story, allowing the Solar the use of (Essence or three, whichever is greater) Craft Charms she has yet to learn. The Solar does not need to meet the Essence minimums for these Charms, though she must still meet the Ability minimum. Also, she must know the prerequisite of each Charm she wishes to use. Charms enabled by Bright-Forging Prana do count as the prerequisites of other Charms the Solar might enable through use of this Charm. Once Bright-Forging Prana has been used, the Solar must pay the activation cost of each Charm. Charms enabled by Bright-Forging Prana may be used for the rest of the story, but only on the project they were initially employed for. Bright-Forging Prana does not function to give the Solar automatic craft point bonuses from Charms such as Peerless Paragon of Craft.</t>
  </si>
  <si>
    <t>4m, 4s/g/wxp</t>
  </si>
  <si>
    <t>Salient</t>
  </si>
  <si>
    <t>Through tapping the elemental, refined forces of her own experience, the Solar may access the most pristine and formless center of her own Essence, from which all things may be derived. This Charm may be used after an (Attribute + Craft) roll, and grants one automatic non-Charm success and (Essence) non-Charm dice. This Charm may not be used on basic projects. At Essence 3+, the dice bonus for this Charm is increased to (Intelligence + Essence).</t>
  </si>
  <si>
    <t>3m + 1s/g/wxp per success</t>
  </si>
  <si>
    <t>After making an (Attribute + Craft) roll, this Charm may be invoked to add a supernatural burst of precision, skill, and inspiration to the Solar's hands. This Charm allows the Exalt to purchase a number of additional non-Charm successes equal to ([her Essence] + successes) on the initial roll. This Charm does not factor in “double numbers” effects from other Charms. If the Lawgiver is using a double 9s effect, and rolls three 9s and no other successes, she would be able to purchase (Essence + 3) successes, not (Essence + 6).</t>
  </si>
  <si>
    <t>This Charm permanently enhances its prerequisite. The Solar's genius inspires her to greater heights, making her aware of patterns and possibilities unforeseen by mortals. For every three of a kind successes (ex: three sevens, three eights, etc.), the player may choose one non-success die and convert it to a 10, adding two successes to the result. If Flawless Handiwork Method is used, 10s created in this fashion are also rerolled until 10s fail to appear.</t>
  </si>
  <si>
    <t>2m per mote, 1wp</t>
  </si>
  <si>
    <t>One day</t>
  </si>
  <si>
    <t>The Solar channels Essence through her hands and tools to make the final product of her work a matter of legend. Powering this Charm requires a dramatic action lasting at least five minutes, in which the Exalt meditateson future tasks, steadies her mind, feels the weight ofher tools, readies her forge for the day, and other similar preparatory actions. While this Charm is active, everytwo motes committed discounts the cost of the CraftExcellency by one.</t>
  </si>
  <si>
    <t>1sxp per cap increase, 1wxp</t>
  </si>
  <si>
    <t>The Lawgiver is a master of her trade, and uses the work she pours into her craft to inspire her towards new and greater achievements. This Charm may be invoked before an (Attribute + Craft) roll, allowing the Solar to raise her dice cap at a rate of one silver point per die, to a limit of her current Craft rating.</t>
  </si>
  <si>
    <t>12m, 1wp, 2wxp</t>
  </si>
  <si>
    <t>Essence-Forging Kata, Supreme Masterwork Focus (x2)</t>
  </si>
  <si>
    <t>A moment of creative satori allows the Solar to cleanse her creative vision of all flaws, perfectly attuning her Essence to that of the unborn wonder she wishes to birth. This Charm can be used to supplement a superior or legendary Craft roll, so that it does not count toward the project's terminus. This Charm can be used once per story, but can be reset by completing a superior or legendary project with a goal number of 50+ without use ofthis Charm.</t>
  </si>
  <si>
    <t>First Movement of the Demiurge, Supreme Masterwork Focus (x2)</t>
  </si>
  <si>
    <t>Each time she uses her talents to build or repair, the Exalt comes closer to the core truth of her existence. For every three successes earned on a Craft roll, the Solar earns an additional non-Charm die. This effect is recursive; if generated non-Charm dice create at least three successes, another die is generated.</t>
  </si>
  <si>
    <t>This Charm expands the Lawgiver's already illimitable mind, allowing her to experience Essence flows inpatterns that stabilize and adapt the form of any legendary project she undertakes. This Charm permanently raises the terminus of superior and legendary projectsto seven.</t>
  </si>
  <si>
    <t>The Solar shapes wonders from the very fabric of the world. This Charm enhances the prerequisite; if the non-Charm dice generated by the initial roll turn up three or more successes, the new non-Charm dice are augmented by an additional three non-Charm dice.Dodge</t>
  </si>
  <si>
    <t>2i per 1 Evasion</t>
  </si>
  <si>
    <t>Dodge 3, Essence 1</t>
  </si>
  <si>
    <t>The Exalt draws upon her own momentum to bend and flow with opposing forces. For every two Initiative spent in response to an attack, the player may raise the Exalt's Evasion by one. Reed in the Wind raises the cap on how much the Solar can enhance her Evasion by her Essence. At Dodge 5+, Essence 3+, a successful dodge with Reed in the Wind restores one mote. This bonus may only occur once per round.</t>
  </si>
  <si>
    <t>Dodge 4, Essence 1</t>
  </si>
  <si>
    <t>The Solar is as elusive as a dust mote whirling through a ray of light. This Charm supplements a disengage attempt, granting double 9s.</t>
  </si>
  <si>
    <t>–(1m)</t>
  </si>
  <si>
    <t>Dodge 5, Essence 1</t>
  </si>
  <si>
    <t>The Lawgiver dances in and out of the whirling blades of her enemies like one consigned to death. For one mote, she retains the two Initiative that are lost with eachdisengage attempt. In addition, upon using a disengage action to move away on her opponent's turn, if shethen chooses to move to close range of her opponent as her next movement, she gains two Initiative automatically, regardless of whether she spent a mote on this Charm's cost.</t>
  </si>
  <si>
    <t>The Solar's preternatural awareness of her surroundings makes her nearly impossible to harm. Even when struck unaware, she may part herself from her foe's attack, undoing the damage that was done to her. This Charm may be activated in response to an ambush attack, a trap, or other damaging effect the Solar is completely unaware of, setting her Evasion to two against the attack and adding an additional point of Evasion for every 1 or 2 in the attack (before Charms such as Excellent Strike). If the Solar's Evasion recovers to its full value, she may apply additional Dodge Charms if necessary.</t>
  </si>
  <si>
    <t>1m, 2i</t>
  </si>
  <si>
    <t>The Exalt feels the coursing Essence of Creation moving through her. With a thought, she grasps the flow andis carried away. Upon a successful Dodge, the Solar may invoke this Charm, burning her momentum to createa sudden burst of movement. She may leap backward, forward, up or down (if applicable) a single rangeband.</t>
  </si>
  <si>
    <t>The Solar's skill at evasion is such that her dodges wither away at her opponent's momentum. When she successfully dodges an attack, her opponent loses one point of Initiative in addition to any other Initiative he may have lost for failing the attack.</t>
  </si>
  <si>
    <t>Dodge 2, Essence 1</t>
  </si>
  <si>
    <t>The Exalt slips away from an attack that would have struck her. When using this Charm, the Solar successfully evades an attack roll bearing successes equal to her Evasion. This Charm may be invoked after the attack roll is made.</t>
  </si>
  <si>
    <t>Like a shadow on water, the Solar's presence haunts her enemies with dreams of the untouchable. For an instant, this Charm removes any penalties to the Exalt's Evasion.</t>
  </si>
  <si>
    <t>Dodge 5, Essence 2</t>
  </si>
  <si>
    <t>The Solar moves ahead of her enemies and tempts them with the illusion of her presence. This Charm allows the Lawgiver to attempt a disengage action from short range on her turn.</t>
  </si>
  <si>
    <t>Dodge 4, Essence 2</t>
  </si>
  <si>
    <t>Like a shadow moving in the darkness, the Lawgiver drifts through the ranks of her enemies, sowing terror and confusion. This Charm is declared before an attack and lasts until the Exalt's next turn. Upon a successful dodge, it allows the Solar to redirect an attack made against her to any other target within close range.</t>
  </si>
  <si>
    <t>This Charm permanently upgrades its prerequisite; the one point of Initiative lost by the opponent is gained by the Solar.</t>
  </si>
  <si>
    <t>The Solar's perfect form is quicker than an eyeblink and more tractile than water. Once per scene, the Solar may invoke this Charm to dodge any attack from any source without a contest. The Solar's anticipation of harm is so perfect that she can even evade recurring uncountable damage with a single use. As a cyclone tears apart a mountain, the Exalt steps through the vortex unharmed. As the Pole of Earth spills down atop her, she escapes into the seeps and fissures of the world, moving like a fleeing shadow. This Charm may be reset by using Reed inthe Wind to dodge three decisive attacks from dangerous opponents.</t>
  </si>
  <si>
    <t>In making herself untouchable, the Lawgiver exploits the slightest hesitation, even the pause to draw breath, maximizing her opponent's failure. The Exalt may use this Charm upon successfully dodging an attack, causing her opponent to lose one Initiative for each 1 in the attack result.</t>
  </si>
  <si>
    <t>The Solar enacts a skill which doubles and trebles her body in a shimmering blur, placing it together outsideof an attack. Upon successfully applying her Evasion the Solar may activate Fourfold Shiver Binding to raise her Evasion score by one for the rest of the scene. This bonus is not stackable, and does not count as dice added by a Charm. Fourfold Shiver Binding is incompatiblewith armor.</t>
  </si>
  <si>
    <t>The Exalt permeates her being with Essence, becoming partly atomized. For the rest of the scene, when dodging attacks by opponents with lower Initiative than her own, the Lawgiver ignores all penalties to her Evasion. Attacks which miss her often seem to pass harmlessly through her dreamlike form. While this Charm is active, Reed in the Wind costs only one Initiative per Evasion, and each round that the Solar remains within close range of an enemy without being struck by an attack–either due to her Evasion, or due to not being attacked–she gains a point of Initiative.</t>
  </si>
  <si>
    <t>3m per -1</t>
  </si>
  <si>
    <t>The Exalt moves her physical Essence around the flow of an attack, partially discorporating. For each 1 that appears in the result of an attack roll, the Exalt may pay three motes, converting that 1 into -1 success to the attack. Rumor of Form also acts as a Stealth attempt–as the Solar passes around the strike, she also vanishes in its wake. For every success the Exalt steals from her opponent's attack, she gains an automatic success on a reflexive (Dexterity + Stealth) action.</t>
  </si>
  <si>
    <t>The Exalt's burgeoning mastery of Dodge releases two of her Charms from the burden of consideration. Upon learning this Charm, using Drifting Leaf Elusion and Rumor of Form no longer count as the use of a Charm in conjunction with certain other Dodge Charms such as Unbowed Willow Meditation.</t>
  </si>
  <si>
    <t>4m per damage removed</t>
  </si>
  <si>
    <t>Some even claim to have struck a Solar. This Charm allows the Exalt to remove damage from a decisive attack after damage has been rolled, at the cost of four motes per cancelled success. A blow cancelled by this Charm appears at first to strike the Solar before missing entirely. Unless using an attack with special Initiative reset rules, an attack negated by this defense will return the attacker to base Initiative.</t>
  </si>
  <si>
    <t>Dodge 5, Essence 3</t>
  </si>
  <si>
    <t>The Solar melts across the landscape in a fluidity of motion. This Charm can be activated upon succeeding at a disengage action, allowing the Solar to reflexively retreat in the face of enemy movement twice, rather than once. Thus, if the Solar disengaged successfully, she would move back the first and second time an opponent approached onhis turn.</t>
  </si>
  <si>
    <t>Thousand Steps' Stillness</t>
  </si>
  <si>
    <t>Drawing in all possible avenues of motion, the Solar's perfect stillness is broken by a ribbon of anima that courses through her body, causing her to flicker and treble like heat haze. When the Exalt successfully dodges, she may use this Charm to gain Initiative equal to the 1s and 2s in the attack roll.</t>
  </si>
  <si>
    <t>Harm passes through and over the Lawgiver. Untouched, she only grows stronger. When the Exalt successfully dodges a decisive attack without using a Charm, she steals all of the attacker's Initiative and crashes him. This Charm does not work against gambits, battle groups or trivialopponents.</t>
  </si>
  <si>
    <t>After successfully dodging an attack, the Exalt may activate this Charm to remember a single Charm used in the attack. She feels its spiritual form and pressure asa physical thing and understands how to dodge it. For the remainder of the scene, she perfectly evades the effects of that Charm. Hundred Shadow Ways cannotbe used against the Excellency Charm of any Ability, nor can it be used against sorcery or Evocations. Furthermore, if the Exalt falls into Initiative Crash, this Charm ends.</t>
  </si>
  <si>
    <t>3m, 3i +1m, 1i per hl</t>
  </si>
  <si>
    <t>The Solar casts away her physical bonds and revels in dreams of dissolution and the whirling freedom of flight. Upon using this Charm, the Lawgiver begins to channel her anima into her flesh and must remain immobile until her next turn. During this time, her Evasion becomes inON HUNDRED SHADOW WAYSSay you've used this Charm to lock out Hungry Tiger Technique. An attack enhanced solely by Hungry Tiger Technique automatically fails. Now the opponent throws a combination of Hungry Tiger Technique and Fire and Stones Strike–the attack still occurs, but Hundred Shadow Ways automatically removes the benefit of Hungry Tiger Technique from the attack. This Charm can be used to “learn” as many Charms as the Exalt's mote pool can afford.</t>
  </si>
  <si>
    <t>Like cloud-shadows driven by the sun, the Solar passes over all obstacles, unchanged in her course. The Solar gains one point of Initiative for every -0 health level damaged by a decisive attack.</t>
  </si>
  <si>
    <t>Once per scene, the Lawgiver may deny the very wounds that assail her, striking them from her body's record. This Charm allows the Solar to retroactively dodge damage she has already received. Standing still and silent, the Exalt focuses on her wounds for a single round in which she does not attack and does not apply her Parry or Evasion. Applying such defenses cancels the Charm. At the end of the round, roll her (Dexterity + Dodge), unmodified by Charms, and convert the successes into healed -1 and -2 health levels. The Solar steps outside of the moment when she was hurt, casting aside her wounded form and denying its existence.</t>
  </si>
  <si>
    <t>Dodge 5, Essence 5</t>
  </si>
  <si>
    <t>The Exalt becomes one with the nothingness and is reborn. Upon using Seven Shadow Evasion to dodge an attack, the Solar gains a point of bonus Initiative, as well as one extra point of Initiative on her turn, each round until she is struck by a withering or decisive attack. This bonus is cancelled if the Solar enters concealment or is at long or extreme long range from her closest foe. Integrity</t>
  </si>
  <si>
    <t>Integrity 1, Essence 1</t>
  </si>
  <si>
    <t>Bridge</t>
  </si>
  <si>
    <t>None or any 5 Presence, Resistance, or Socialize Charms</t>
  </si>
  <si>
    <t>Even in extreme pain, the Exalt does not succumb to despair. The Solar may ignore wound, illness, and crippling penalties to her Resolve or Guile for one tick. At Integrity 3+, this Charm can be repurchased, giving it an alternate cost and duration. For five motes, one Willpower the duration extends to one scene.At Integrity 5+, Essence 3+, this Charm may be repurchased a second time, allowing the Exalt to pay eight motes, one Willpower to extend the effect to one day.</t>
  </si>
  <si>
    <t>Integrity 2, Essence 1</t>
  </si>
  <si>
    <t>None or any 3 Bureaucracy, Presence, or War Charms</t>
  </si>
  <si>
    <t>The Lawgiver's resolve cannot be easily broken. Once the Solar has resisted a persuade action, she gains +2 to her Resolve if the issue is raised again. The Solar's Lunar mate is always capable of insinuating herself into the Solar's graces and may ignore this Charm's effect.</t>
  </si>
  <si>
    <t>–(5m, 1wp)</t>
  </si>
  <si>
    <t>Integrity 3, Essence 1</t>
  </si>
  <si>
    <t>Exposure to Wyld energies can cause hallucinations, addiction, insanity, and even terrible mutations. When the Exalt is exposed to such energies, she immediately senses the warping danger that surrounds her. She may then choose to pay five motes, one Willpower to immunize her mind, body, and equipment against the Wyld's twisting power for as long as she keeps motes committed. The Solar's sense of such danger becomes instinctive; she may even activate this Charm while she is asleep or incapacitated. This Charm can also be used to shield the Solar against other environmental effects which would warp her mind or body, such as the twisting choral of the demon prince with voice like crystal facets, or the tainted Essence emanating from the intestines of a malfunctioning First Age manse. But be warned: once the Lawgiver is addicted to the Wyld or mutated by twisting energies, this Charm will not discontinue such effects; it will only prevent her condition from worsening.While Integrity-Protecting Prana protects the Solar and her possessions from being subject to environmental twisting powers, it does not allow her to ignore Wyld phenomena. She can still be torn apart by Wyld-spawned ravenous cyclones of burning teeth and giant hundred-armed mantises. This Charm also does not defend against attacks that might warp her mind or body directly, such as the Wyld-Mind Strike of the Thousand Venoms Mistress, or fiat-level changes to her existence caused by alterations to the Loom of Fate.</t>
  </si>
  <si>
    <t>–(3m, 1wp)</t>
  </si>
  <si>
    <t>The Solar is the heritor of a legend that cannot easily be erased. When struck with a reality-shaping or fate-weaving attack that would permanently alter her mind or body, the Solar's destiny manifests to override the changes. This Charm does not completely nullify deleterious effects. Paying this Charm's cost merely downgrades or slows the effect. Destiny-Manifesting Method guarantees two things: First, the Solar cannot be immediately changed beyond her ability to represent the character concept implied by the ten prerequisites from which she derived this Charm. Second, no matter how fatal or permanent the effect may be, fate itself will generate a condition by which the Solar may shatter any curse. This condition is decided bythe Storyteller. The Storyteller should also provide the Solar ample time–seasons or even years–to pursue a cure. The Solar is not guaranteed to know the shattering condition of her curse, but characters with appropriate Lore, Medicine, and Occult Charms may be able to aid her in this regard. ON DESTINY-MANIFESTING METHODThe Solar cannot be changed beyond her ability to represent the character concept implied by the ten prerequisites from which she derived this Charm. This means, literally, that if a Solar daiklave master who derived this Charm from ten Melee Charms is struck by an attack that would have transformed her into a cat, she is instead changed into a feline beastwoman, allowing her to continue to wield daiklaves and, by extension, to continue to function as a person and a Solar, using Charms, channeling Essence, and so on. Likewise, a legendary Solar courtesan struck by a curse that would wither away her beauty, drying her to a crone-like husk, might experience only a slight downgrade to her Appearance–an unprepossessing feature she can conceal, for example. Furthermore, multiple repurchases, stacking repurchases, and the Solar having a higher Essence rating than her attacker can reduce such effects to nothing or almost nothing when such effects should be completely ignored. In these instances, the Storyteller should give the Solar a temporary dice penalty or make her player roll a few damage dice and move on.</t>
  </si>
  <si>
    <t>Upon purchasing this Charm, the Solar becomes nigh immune to any curse she has broken with Destiny-Manifesting Method. Such effects either affect her not at all, or apply paltry damage or a small dice penalty lasting no longer than a round.</t>
  </si>
  <si>
    <t>5m per 1wp</t>
  </si>
  <si>
    <t>Integrity 3, Essence 2</t>
  </si>
  <si>
    <t>The core of the Solar's will is so great that she can survive sustained mental assault. When resisting social influence or any magic which seeks to force itself upon the Solar's will or mind, she may use this Charm to aid in resistance, paying five motes for every one Willpower she would have to spend in order to resist.</t>
  </si>
  <si>
    <t>Integrity 4, Essence 2</t>
  </si>
  <si>
    <t>Stubborn Boar Defense or any 8 social Charms</t>
  </si>
  <si>
    <t>306EX3Through adversity the Lawgiver finds power. Whenever a character tries to socially influence the Solar, use magic on her that would mentally control her, curse or change her nature, the Exalt gains one mote for every 1 and 2 in the initiate's roll (if applicable). Motes gained through this Charm can only be used on Charms from social Abilities and vanish at the end of the scene.</t>
  </si>
  <si>
    <t>The Solar Exalted rise above the poisons of a wicked world. Corruption, lust, and greed; vice and the addictive soul-stroking caresses of the raksha–the Lawgivers stand resolute against all such threats. This Charm raises the Exalt's Resolve by one against all social influence which would tempt her to turn against her Ties or sway her from her Principles. In addition, when multiple Solars working toward the same overall goal in a social scene each activate this Charm, their bonuses stack together, to a limit of five bonus Resolve–the traditional number of Solars in a Circle.</t>
  </si>
  <si>
    <t>Bridge, Mute</t>
  </si>
  <si>
    <t>Temptation-Resisting Stance or any 6 Martial Arts Charms</t>
  </si>
  <si>
    <t>Through concentration, controlled breathing, and rumination on the solid core of her Principles, the Solar becomes one with the flow of Essence. This Charm entails an hour spent in meditation to clear a penalty having to do with the Exalt's perceptions of a circumstance she finds herself in. It grants two automatic successes or erases up to -2 in penalties from Awareness, Investigation, Survival, and any other rolls requiring concentration, difficult abstract thought, complex puzzling of unrelated facts or an opening of the senses. This may explicitly aid the Lawgiver in reading intentions. Successfully resolving an actionwith this Charm grants the Exalt one point of temporary Willpower.</t>
  </si>
  <si>
    <t>Integrity 5, Essence 2</t>
  </si>
  <si>
    <t>Mind-Cleansing Prana or any 3 Martial Arts Charms</t>
  </si>
  <si>
    <t>Once per day, the Exalt may use this Charm in combination with the prerequisite to complete the needed meditation in only a handful of seconds.</t>
  </si>
  <si>
    <t>When using the prerequisite, the Exalt may channel this Charm to speed her body's natural resting processes, allowing her to get a full night's rest in the time it takes her to meditate, restoring one Willpower and resetting any Charms that can only be used once per day, while also restoring twenty motes of Essence. Energy Restoration Prana can only be used once per day.</t>
  </si>
  <si>
    <t>Stubborn Boar Defense or any 4 Archery, Brawl, Melee, Thrown, or War Charms</t>
  </si>
  <si>
    <t>The Solar hardens her heart, forcefully reinstating her values in the face of successful influence. After being persuaded to take a Major or Defining course of action, this Charm allows the Solar to deny the influence, even if this means asserting the Intimacy that might have been used to raise her Resolve. Her opponent's argument was compelling, but she cannot deny her own principles. This Charm may only be used once per story, but is reset if the Solar witnesses the defense or upholding of a Defining Principle as a result of changing her mind. For example, a Lawgiver who is persuaded to withdraw her army from the border might reject that persuasion, going back on her decision to withdraw. When a beastman horde suddenly rushes the border and her army is still there and able to prevent the invasion, and if she has a Defining Principle such as “I will defend my kingdom from foreign invaders,” she will see that her decision to change her mind was justified and necessary, and Steel Heart Stance will be reset.</t>
  </si>
  <si>
    <t>Steel Heart Stance or any 5 Charms that reflect the Principle being defended</t>
  </si>
  <si>
    <t>Around a certain issue, the Solar cannot be moved, shaken, swayed or tempted. Upon purchasing this Charm, the player selects a Defining Principle that exemplifies the Solar in such a way that she should never act against it. Righteous Lion Defense allows the Exalt to treat any persuasion which would cause the Solar to act against the selected Principle as unacceptable influence. This effect may not be routed through principles that are overly broad. “I will never kneel,” is too broad, but “I will never kneel to Zhao Li,” is not. Likewise, “Creation must be conquered,” is too broad, while “Great Forks must be conquered” is not.The Solar's zealous resolution daunts even the most relentless opposition. Any attempt to decay the inviolable Intimacy with an instill action must be rerolled, forcing the opponent to take the lower result. The opponent may enhance the second roll with additional Charms as necessary, but even if he's able to penetrate the Solar's Resolve, the Intimacy still does not decay. However, success in this regard allows the Solar to be targeted with persuasion to convince her to act against the protected Intimacy, and this weakness persists until she has taken major or defining action in the Principle's defense. The Solar may always choose to act against her Intimacies, or change them. If her Principle is downgraded, destroyed, transformed or reconciled as a result of roleplaying or Limit Break, this Charm ceases to function until the Intimacy is restored, or until the Solar dedicates herself to a new Principle. At Essence 3+, this Charm may be repurchased a single time, to protect one additional Principle.</t>
  </si>
  <si>
    <t>If the Solar comes across a person who holds a Principle that is in line with her character, personality or beliefs, and that person is considering or is about to take action which would violate that Principle, this Charm gives the Solar an anxious ping directing the Exalt's gaze toward the character, and grants her three automatic non-Charm successes to a read intentions action to determine the Principle. Before the Solar uses this Charm, she is automatically aware of which person is in distress, although it confers no knowledge of this person or their situation. The Solar can only learn of the person's troubles by talking to them to establish a read intentions action. This Charm is explicitly allowed to combine with the Charms of other Abilities.</t>
  </si>
  <si>
    <t>Integrity-Protecting Prana or any 3 Bureaucracy, Performance, or Socialize Charms</t>
  </si>
  <si>
    <t>The Solar's spirit forms a bulwark against the powers of waste and chaos. This Charm allows the Solar to protect her followers from the deleterious effects of the middlemarches of the Wyld, diseases, and exposure for one hour. The Solar must lead her followers in meditation, prayer, hymns, or chants for the hour. As long as they followthe Solar's example, the Storyteller should consider the masses to be mostly immune to such effects. For individual characters, the Storyteller should add (Solar's Essence or three, whichever is greater) successes to rolls to resist such effects. The Solar can also psychically impart oneof her Principles to those following her method, and such characters are likely to automatically adopt it withoutimmediately realizing it. Special activation rules: The Solar may pay six motes, one Willpower at the end of an hour to allow her followers to continue on with the method she has established even after she has gone. Doing so grants no more than two automatic successes against resisting disease or the elements, but provides the Charm's full resistance against the Wyld or similar disfiguring hazards.</t>
  </si>
  <si>
    <t>The Solars went down into a darkness never-ending, but were reborn again in flames. If the Solar is threatened by a warping, shaping, or twisting attack with no clear defense, then this Charm allows the Exalt a chance at such a defense, turning the attack into a contest of wills. Roll the Exalt's temporary Willpower with double 9s against that of the attacker, treating non-successes on both Willpower rolls as temporary Willpower spent by both parties. 308</t>
  </si>
  <si>
    <t>Any five Performance, Presence, or Socialize Charms</t>
  </si>
  <si>
    <t>In every word and action, the Solar manifests a core of magnificent integrity. Even the hearts of the wicked are filled with awe. Each time the Solar succeeds at social influence or successfully applies her Resolve, any witness who considers himself a follower of, subservient to, or less powerful than the Solar might be profoundly and forever changed in that moment. If the Solar's action resonates with the character, he may accept an automatic Major Intimacy of respect for the Solar. On the back of this, he also gains a temporary boost of excellence on a scene of his choosing. During that scene, while acting toward a goal he wishes to fulfill, while using the Solar's actions as a model, the character gains three bonus dice to all social influence rolls for the rest of the scene, and has his Resolve boosted by one.</t>
  </si>
  <si>
    <t>The Solar's words are bread and water to those who listen. The Solar gives a sermon, recites a parable, or tells a story that explains one of her Defining Principles and why it means so much to her, how it influences her views and what it reveals about Creation. This sermon must last at least an hour. The Solar's words feed the audience like a nutritious meal and hydrate them like water from a fresh spring. Listening to this sermon grants listeners automatic knowledge of the Principle being discussed without needing to make a read intentions action.</t>
  </si>
  <si>
    <t>Integrity 5, Essence 3</t>
  </si>
  <si>
    <t>Through trial and tribulation, the Solar learns to endure the greatest tests of her resolve. With this Charm, the Solar may convert four motes to one point of Willpower, even if this puts her above her permanent Willpower rating. She may do this at any time she perceives it necessary, but may only use this Charm outside combat, and only once per scene. This power can be reset by successfully resisting any form of social influence or psychic torment while at a penalty or other disadvantage. Being tortured by captors, interrogated by authorities, or tormented by powerful or strange beings all count as disadvantages.</t>
  </si>
  <si>
    <t>Spirit-Tempering Practice or any 5 Lore, Presence, or Socialize Charms</t>
  </si>
  <si>
    <t>A Solar can steady her convictions against the strongest arguments and assaults with solid and affirming power. This Charm can be used once per day to allow the Lawgiver to raise her Resolve at a rate of one mote per point with the Integrity Excellency.</t>
  </si>
  <si>
    <t>Transcendent Hero's Meditation</t>
  </si>
  <si>
    <t>The Solar looks within and beyond the core of her Essence, to the pure white spark of her divinity. In doing so, she shatters delusions and sees all things truly. This Charm allows the Solar to break any control effects which grip her mind, body or soul. This Charm does not allow her to reverse social influence, but rather it combats persuasion that is considered unnatural, hypnotic, or sorcerous. In order to use this Charm, the Solar must first be forced to take an action against one of her Intimacies as a result of the effect's control. She must then spend at least five minutes meditating on the core of her existence, during which time she sees the blight on her Essence for what it is. She may then activate this Charm to assert the purity and truth of her inner self, shattering the fell magic and freeing her soul from its grip. This Charm may be used once per story, but it is reset after the Solar experiences Limit Break. The Exalt cannot use this Charm to notice or expunge the Great Curse.</t>
  </si>
  <si>
    <t>Undying Solar Resolve or any 5 Athletics, Resistance, or Survival Charms</t>
  </si>
  <si>
    <t>When the Solar experiences a profound challenge to her beliefs, such as being forced to act against a Defining Principle, or having her beliefs stripped down and mocked by her enemies, the spirit of the Unconquered Sun descends upon her, and she may ignore the cost of any three Charms to resist torment, social influence, damage, or illness. She may also use this Charm to complete a feat of strength which would aid her in an act of defiance or righteous judgment against her enemies. This Charm can be used once per day, but may be reset by upholding a Defining Principle even when the consequences will be severe to those the Lawgiver loves.</t>
  </si>
  <si>
    <t>The Exalt's soul is in line with the depths of the ocean and the infinite vault of the cosmos. As she looks inward, her surface self cannot be touched, felt, or found. While using the prerequisite, the Solar cannot be influenced socially, mentally, or emotionally. Meditation and thus this protection ends the moment she reacts to another character or any other major stimulus. When the prerequisite is active, the Solar may also use Hardship-Surviving Mendicant Spirit for free in response to changes in the weather without breaking meditation.</t>
  </si>
  <si>
    <t>So steadfast is the Solar that those who would sway her find their efforts undone by their own uncertainties. After a character uses an instill action in an attempt to diminish one of the Solar's Defining Intimacies, the Exalt may use this Charm to select one of the initiate's non-success numbers. If she selects 1s, (Essence) 1s in the roll act as -1 success to the attempt. If someone speaks ill of that which she loves, the Solar will find a flaw in his arguments. If she selects any non-success number other than 1s, instead of negative successes she can force the initiate's player to reroll up to (Essence) successful dice, starting with the target number (usually 7) and moving up. In this case, the initiate always keeps the lower of the two results. This Charm cannot be used in combination with Righteous Lion Defense. The Exalt may only use this Charm to successfully defend an Intimacy once per Intimacy, per story. She can use this to defend the honor of her Lunar mate and uphold her dedication to the Mask of Winters' fall, but she may not use this Charm to defend either the Lunar or her enmity for the Deathlord more than once per story. This effect can be reset by exploring the claims that were made on the back of an instill action. If it was claimed that her Lunar was adulterous, she might elect to begin an investigation. If the Solar confirms such claims to be false, the Charm is reset.</t>
  </si>
  <si>
    <t>Righteous Lion Defense or any 6 Charms that reflect the focal Principle</t>
  </si>
  <si>
    <t>Soul-Nourishing Technique or any 5 Charms</t>
  </si>
  <si>
    <t>Once per story, the Solar may supplement any action to uphold, defend, or act upon a Defining Principle with this Charm. If the action is successful, all who witness it become automatically aware of the Exalt's Principle and its intensity, as if they had succeeded at a read intentions action.</t>
  </si>
  <si>
    <t>Eminent Paragon Approach, Invincible Solar Aegis or any 15 Caste Charms</t>
  </si>
  <si>
    <t>The Solar Exalted are paragons of mythic heroism, with reputations earned by completing impossible feats. Through Divine Mantle, the Lawgiver can further embody the Principles most central to her character by temporarily learning the Charms of spirits that represent the Principles the Solar has embodied.  However, the Exalt may only take Charms from spirits whose nature match one of her Defining Principles, and may only take one spirit Charm for every six Solar Ability Charms she knows which match both the spirit's nature and the Defining Principle in question. Thus, the more strongly she embodies a certain Principle, the more Charms she can take from the god in question. The Storyteller can pick from published spirits or can make up appropriate Charms on the spot for the purposes of this Charm.The Exalt may take up the Charms of multiple different spirits simultaneously, but she may have no more than ten spirit Charms through Divine Mantle. However, if the grounding Principle is lowered in intensity or destroyed, or if any being successfully impugns her embodiment of said Principle by usurping her authority, defeating her, or destroying or harming the subject of her Principle, then she loses her ability to perform the greater miracles of the spirit's office until she has taken actions to undo the harm or restore her damaged Principle.If the Solar wishes to change which spirit Charms she is using, she must spend one hour per Charm meditating on the target Principle. This allows her to move up or down the spirit's Charm trees as needed. She can also swap (Essence or three, whichever is greater) Charms through one use of Mind-Cleansing Prana. Adding the Charms of a new spirit to her repertoire requires a new activation of the Charm.</t>
  </si>
  <si>
    <t>Integrity 5, Essence 4</t>
  </si>
  <si>
    <t>Barque of Transcendent Vision or any 5 Martial Arts Charms</t>
  </si>
  <si>
    <t>Every hour spent meditating using Mind-Cleansing Meditation restores one of the Solar's damaged health levels, defers her need to eat, and causes the slightest drop of water to nourish her body like a draught from the purest brook. After eight hours spent in such meditations, the Exalt's hunger is satiated and her thirst slaked exactly as if she had been treated to a filling meal and refreshing water. Under continuous meditations, the Solar can go permanently without food or water. If a spirit recognizes the Lawgiver as king, high priest, or most high prophet in the region of Creation where it dwells, or if the Lawgiver defeats the spirit in combat, then the Solar may use this Dvine Mantle to gain the powers of that spirit's station. The Solar learns the powers in question instantly and as a matter of instinct, but may only learn Charms she has the trait minimums for. She can ignore the prerequisite of any Charm, however, and can even embody Charms which do not have the Eclipse keyword.</t>
  </si>
  <si>
    <t>Body-Restoring Benison, Energy Restoration Prana</t>
  </si>
  <si>
    <t>Through meditation, the Exalt sinks into the Essence of her environment, temporarily absolving herself of the Ties and Principles that make her transient and definite. Instead she is everything and nothing, a fulcrum for the flow of all Essence. In this state she is untouchable. She cannot be attacked or harmed in any way, though she can still be subject to social influence. Powerful beings such as demons whose very voices break hearts and shatter souls may converse with her without harming her; if a being intends her no harm, then even the voice of the apocalypse or the withering whisper of the Dowager cannot harm her. Throughout her meditation, the Exalt simply becomes a natural facet of the cosmos, equal to and unaffected by all things. Her Lore score is doubled if for the purposes of discussing the nature of Essence and the movement of the stars. Her Occult score is doubled if for the purposes of making enlightened pronouncement on the mysteries of the universe. The powers and protections of this Charm end the moment the Solar ceases meditation. Special activation rules: This Charm cannot be used in a scene in which the Exalt has attacked or otherwise harmed another character.Investigation</t>
  </si>
  <si>
    <t>Watchman's Infallible Eye</t>
  </si>
  <si>
    <t>Investigation 1, Essence 1</t>
  </si>
  <si>
    <t>The Lawgiver is attuned to her subconscious, and is preternaturally aware of her surroundings. If the Exalt possesses this Charm, she feels an instinct each time she encounters a scene in which a case scene or profile character action (p. 224) should be used. At this point, the Storyteller informs the player which action is appropriate, and vaguely why–if danger is present, the player is informed that the Solar senses a trap and should use a case scene action; if there is a suspicious character, the player is made aware of that character so that a profile action can be used. This Charm does not entail automatic success at each prospective action. It merely informs the player which action should be performed, and why. As the Solar notices many things the player does not, this Charm can be used to generate reasons for investigations it would otherwise be impossible for a normal character to perceive.</t>
  </si>
  <si>
    <t>Inquisitor's Unfailing Notice</t>
  </si>
  <si>
    <t>Investigation 2, Essence 1</t>
  </si>
  <si>
    <t>The Lawgiver has an instinct for the perfect moments to commit a crime. Any time the Larceny Ability is usedin her presence, she notices the character using it. This does not tell her how Larceny is being employed, but provides her (Essence) non-Charm dice to an Awareness or Investigation attempt to notice the deception for one instant, on each instant the Ability is employed. This only functions against disguises if the disguised character attempts an action he would be unable to attempt without using a disguise. ON DIVINE MANTLE This Charm references the greater miracles of a spirit's office, but those powers aren't necessarily called out in the text. Treat any god's most signature powers as their greater miracles. This is particularly true of powers with Essence minimums that match the spirit's own permanent Essence score. If the Solar has been somehow usurped, she can still use the lesser powers of the spirit in question. She should only lose total access to powers allowed by this Charm if she fails to uphold or defend her Principle in some catastrophic way.Divine Mantle exists to allow Zeniths in particular to play the role of priest-king, to speak in the name of a god and do workings on that spirit's behalf. But this Charm is not necessarily contingent on any god's cooperation. In the case of a Solar defeating a god and taking its power, the Storyteller can choose to activate this Charm without the player's knowledge, ignoring its cost and allowing the Exalt to suddenly gain access to the powers of the god it has just slain, without question and without missing a beat. A Solar who has defeated a spirit can always gain the effects of this Charm for free and without knowing she's actually used it–but the Storyteller should never use this as an excuse to take away spirit powers the player enjoys using, or which match the character.</t>
  </si>
  <si>
    <t>Investigation 3, Essence 1</t>
  </si>
  <si>
    <t>By examining the undisturbed physical evidence of an event, the Solar can flawlessly reconstruct the physical process behind that event. Finding a corpse with a knife wound, she can tell what sort of knife was used, and from what angle the blow was struck. She can differentiate between blood spatters, assigning each to a different stroke of a weapon made at a different time, and so on. This Charm is not limited to crime scenes. The Solar can likewise reconstruct the evidence left behind by a liaison, examine the leavings of a camp site, etc. This acts as a normal case scene action, save that the Lawgiver does it in a handful of seconds, and gains (Essence) automatic successes and double 9s to her attempt.</t>
  </si>
  <si>
    <t>Investigation 4, Essence 1</t>
  </si>
  <si>
    <t>The Lawgiver draws wisdom from the very whispers of Heaven. Once per scene, the Exalt may use a free full Investigation Excellency. This Charm may be reset by succeeding at any Investigation action with a difficulty of (the Solar's Investigation -1) or greater. Note that this Charm has the mute keyword; the Solar's insights are never subject to censure, and are never obvious. It is as if she draws her wisdom from the very cosmos.</t>
  </si>
  <si>
    <t>2m, 1wp</t>
  </si>
  <si>
    <t>Investigation 5, Essence 1</t>
  </si>
  <si>
    <t>By sorting through possessions, physical evidence and so on left by a particular person, the Exalt may construct a psychological profile of the character who left the evidence. This Charm allows the Lawgiver to profile a character who is not even present, at a difficulty based on the dissonance of the scene. If the character has left little or misleading evidence of himself behind, the difficulty is raised. However, extra successes on the Exalt's (Perception + Investigation) roll allow her to disregard inconsistent evidence at a rate of one success per one erroneous item eliminated. The Exalt may continue to use this Charm until she has the clearest picture possible, ignoring the Willpower cost on additional uses, however, this requires that there be material for her to continue sorting through. Once her investigation is completed, the Storyteller informs the player of the Exalt's overall success. If she has accurately profiled the character, then she will automatically notice any and all characters who meet that profile, or scenes of events which fit that character's profile, through the use of Watchman's Infallible Eye.</t>
  </si>
  <si>
    <t>Judge's Ear Technique</t>
  </si>
  <si>
    <t>The Lawgiver can evaluate the truth of any statement she hears. This Charm is infallible within limits: if she hears a lie the speaker believes to be true, she won't detect the untruth. Her sense of lies is keen enough that if a character speaks in half-truths, she'll know which part of the statement is false. Any magic which contests this effect goes to a roll-off against the Lawgiver's (Perception + Investigation), with (Essence) automatic successes on the Solar's roll, and 1s in the opposed roll acting as 10s to the Solar's result.</t>
  </si>
  <si>
    <t>Investigation 5, Essence 2</t>
  </si>
  <si>
    <t>The Solar's deductions are as sharp as a razor and as sure as daylight. Once per scene the Exalt may enhance a single Investigation roll with double 8s.</t>
  </si>
  <si>
    <t>Watchful Justiciar's Eye</t>
  </si>
  <si>
    <t>–(4m, 1wp)</t>
  </si>
  <si>
    <t>The Solar is able to sense inconsistencies in a character's behavior. After profiling a character with the prerequisite or Ten Magistrate Eyes, the Solar senses each time a character acts outside of that profile in a scene. She may then pay four motes, one Willpower to activate this Charm. The Storyteller then informs the player as to whether the character's behavior is normal, allowing the Solar to revise her target's profile and restoring one point of temporary Willpower, or whether the inconsistency is genuinely odd and worth looking into. This does not tell the Lawgiver why he's acting out of character, only that he is. The Storyteller should explain the dissonance in the character's behavior–how the character “should” be acting compared to how he's actually behaving.</t>
  </si>
  <si>
    <t>The Lawgiver may wring the truth from a subject with piercing, impossible-to-resist questions. This Charm supplements a persuade action (p. 216) in the form of a question. Roll the Solar's (Wits + Investigation) against the target's Resolve. Success means that the character must answer truthfully and to the fullest extent of his knowledge. In addition, each extra success on this roll constitutes an additional question the Solar may ask, and each of those questions is likewise irresistible. The target of this Charm may pay one Willpower to resist answering a single question, but this grants no immunity to further questioning, or even the same question posed repeatedly. No Willpower is required to resist this question if the character is able to escape the scene or leave freely; in combat, the power is compelling but costs no Willpower to resist. Likewise, a character who feels compelled to stay, even if they may leave freely, must pay Willpower to resist a question. This Charm may only be used on a specific character once per session.</t>
  </si>
  <si>
    <t>Investigation 5, Essence 3</t>
  </si>
  <si>
    <t>The Exalt is relentless in her pursuit of the truth. This Charm adds her Essence in automatic successes to her Investigation rolls for the rest of the scene.</t>
  </si>
  <si>
    <t>–(6m)</t>
  </si>
  <si>
    <t>Varies</t>
  </si>
  <si>
    <t>The Lawgiver is preternaturally aware of the connections between objects. She is so keenly aware of these connections that she can sense when the flow has been disturbed. This sensation comes across as a momentary visualization of Essence flows, fixating on the remains of evidence that's been destroyed, which the Lawgiver perceives as a well of negative energies, a disruption in the flow of Essence. She may then pay six motes to touch this well, momentarily restoring the flow of Essence to glimpse the evidence in its complete state. This Charm can momentarily restore evidence no larger than that which the Exalt can normally lift and carry, but it allows her a full examination of the destroyed object. Once her examination of the restored object has concluded, her commitment is dropped and the Essence of the object disperses.</t>
  </si>
  <si>
    <t>Evidence-Discerning Method, Judge's Ear Technique</t>
  </si>
  <si>
    <t>Attuning herself to the ambient Essence of the world, the Solar can see the order of and links between objects. This Charm supplements a case scene action, making that action infallible, and reducing the time it takes to just seconds. Even if the Exalt's (Perception + Investigation) roll turns up no successes, she gains at least one clue to her investigation. For each additional success, the Storyteller describes the Solar's mind racing from clue to clue, making logical connections that would be impossible for most people, and describing how those connections work to advance the Solar's inquest. Such clues should provide the player with information that constitutes leads to characters, places, and events that will automatically trigger Watchman's Infallible Eye when encountered. The Solar can also automatically tell if there has been an attempt to conceal evidence. This Charm may also be used to supplement a profile character action in an identical fashion, extra successes creating an incredibly precise, detailed and accurate analysis of the target. Ten Magistrate Eyes is enhanced by Awareness Charms, allowing the Solar to notice truly improbable details, like differentiations in heartbeat in concert with a character's behavior, variations in the mud color of footprints that give away a person's earlier location, and so on.</t>
  </si>
  <si>
    <t>By visiting the scene of an event and attuning herself to local Essence flows and residues, the Exalt can psychically reenact history, reconstructing an event to the point of gaining insight she could not receive from evidence alone. The Solar must have time to go over the scene, to touch and examine evidence and retrace steps in order to empathize with and adapt the perspective of one of the involved parties. The Lawgiver experiences flashbacks of the event from the perspective of the party she is emulating, and gains insights into the character's persona, including his emotions over the course of the re-enacted event, and the basic meaning behind the behavior he enacted. An Exalt reenacting an event is rarely dangerous, but if disturbed she may very briefly cling to the adopted persona before snapping back to the current moment.</t>
  </si>
  <si>
    <t>By touching a piece of evidence and stirring its Essence with her own, the Lawgiver gains a psychometric vision related to the object. This is a (Wits + Investigation) read intention action against a difficulty equal to the number of days since the evidence was placed. If successful, the Exalt feels the exact emotion of the one who left the evidence behind at the moment it was produced.</t>
  </si>
  <si>
    <t>Judge-General's Stance</t>
  </si>
  <si>
    <t>10m</t>
  </si>
  <si>
    <t>Investigation 5, Essence 4</t>
  </si>
  <si>
    <t>Once per day, the Exalt may use this Charm to reset any Investigation Charms which are currently “down.” Doing this also grants her one point of Willpower.</t>
  </si>
  <si>
    <t>By piecing together the evidence of a crime scene, the Exalt can channel the perpetrator's perspective. This Charm may be used after a case scene action. The Lawgiver congeals what she has seen into a moment of clear understanding of the perpetrator. This is treated as a (Wits + Investigation) based read intentions action with a difficulty of the perpetrator's Larceny. On a success, the Solar understands the meaning behind the event–that is, what the perpetrator intended by the crime. Even if the roll fails, the Exalt is able to adapt the perpetrator's perspective automatically upon using Unknown Wisdom Epiphany.</t>
  </si>
  <si>
    <t>12m, 1wp</t>
  </si>
  <si>
    <t>Investigation 5, Essence 5</t>
  </si>
  <si>
    <t>Empathic Recall Discipline, Evidence-Restoring Prana</t>
  </si>
  <si>
    <t>The Solar builds a palace of her memories. Upon using this Charm, she mentally perceives this palace as an archive of gathered evidence, research, character profiles and investigations which she can mentally traverse in order to conduct a thorough investigation. While inside her Mind Manse, the Solar is entranced and unaware of her physical surroundings. She may recall anything that she knows in order to conduct her investigation forward, compiling evidence, research, and associating ideas at a rate of roughly (Essence) hours per ten seconds. During this time, the Lawgiver can access any information the Storyteller deems that she knows, based on any of her other Abilities and anything she has learned over the course of the story, in order to make psychic connections between evidence, ideas, and facts that would otherwise be impossible. The effects of this Charm are largely dramatic. Entering the Mind Manse allows the Exalt to find the solution to a riddle or mystery that allows her to forward her investigation. This Charm may be used once per story. Larceny</t>
  </si>
  <si>
    <t>Larceny 1, Essence 1</t>
  </si>
  <si>
    <t>The Exalt adapts the nature of the iconic criminal, who must one day become a master of her craft. She is a creature of the criminal element; duplicity is in her every word and step. This Charm allows the Solar to invoke and discard a number of special distinctions at her leisure, which allow her to gather information, infiltrate criminal society, and protect her position there.The distinctions are as follows:Familiarity: To a member of a criminal organization, she seems familiar–that is, she can play on a Minor Intimacy to make her target believe she is a criminal with whom to be treated: a member of the organization, a prospect for initiation, etc. Dissonance: Magistrates or other officials seeking to establish her identity suffer a -2 penalty to their Bureaucracy and Investigation actions. Persons who do not know her personally but may have spotted her or seen her hanging around the scene of a crime find her unrecognizable and cannot remember doing so.</t>
  </si>
  <si>
    <t>Larceny 2, Essence 1</t>
  </si>
  <si>
    <t>Even amidst the Imperial Treasury, the Lawgiver projects her right to be there. This Charm makes it nearly impossible to voluntarily question the Exalt's presence. As long as the Solar is dressed and behaving as expected for the present circumstances, she cannot normally be considered suspicious. Characters who do suspect something “off” about her may try to read her intentions, but the Exalt's Guile is at +2 against such attempts. The player may reconstitute the character's Guile using Larceny instead of Socialize; Charms that protect against read intentions actions are explicitly allowed to enhance this effect. Which characters suspect the Lawgiver depends entirely on the dramatic whim of the Storyteller.</t>
  </si>
  <si>
    <t>Larceny 3, Essence 1</t>
  </si>
  <si>
    <t>When the Lawgiver is caught somewhere she doesn't belong, she may use this Charm to immediately become aware of a gap in her inquisitor's knowledge she can exploit. Stopped at a picket, she realizes the soldier questioning her is expecting a messenger he has never seen. She can then claim that messenger's identity. Confronted by a tenant when creeping through the glass towers of Chiaroscuro, she realizes there are vacant rooms and assumes the role of a squatter. Uncertainty of this kind counts as a Minor Intimacy when it is exploited.</t>
  </si>
  <si>
    <t>Clever Bandit's Rook</t>
  </si>
  <si>
    <t>A master of the sublime, the Lawgiver hooks a mark with her charisma and genuine seeming. When used, this Charm supplements an instill action to make a person believe an object or structure belongs to the Exalt. This Charm cannot force an assertion on someone that directly contradicts what he knows. However, a character who does not know the truth cannot benefit from any Intimacies that would bolster his Resolve against the attempt. A character may not spend Willpower to contradict this belief unless he sees direct evidence to the contrary.</t>
  </si>
  <si>
    <t>Swift Gambler's Eye</t>
  </si>
  <si>
    <t>The Exalt's jaded insights give her a talent for seeing through the gambits of her opponents. This Charm supplements a read intentions action against an opponent in a game of chance or strategy, lowering the target's Guile by two. If successful, it tells the Lawgiver how her opponent feels about his current chances. For example, a target who is acting morose but feels exultant is almost certainly bluffing.</t>
  </si>
  <si>
    <t>Larceny 4, Essence 1</t>
  </si>
  <si>
    <t>The Solar's patience hides intense speed. Between breaths, eyeblinks, even thoughts, the Exalt's hands flash out, changing tiles, switching dice results, trading cards out of dealt hands, moving game pieces, etc. The Exalt's cheating goes unnoticed so long as she cheats plausibly, skewing the results of only a single round. This deception cannot be realized by onlookers until (Essence + 1) hours have passed. Each time the Solar uses this Charm in a single game, she lowers that expectation by roughly one hour. At Essence 1, she may not be caught immediately on her third use of the Charm, but while her foes still cannot see her cheating, they can notice the effects of her slick dealing. This Charm doubles as Poison-Hand Sleight, which allows a Lawgiver to lace a target's food or drink with sedatives or poison. It differs in that onlookers will begin to notice the work of a poisoner as soon as people begin to pass out or drop dead.</t>
  </si>
  <si>
    <t>With hands quicker than the eye, the Exalt relieves a hapless soul of his material burden. This Charm enhances a normal pickpocketing attempt (see p. 224). Unless contested by magic, this attempt cannot fail; when such a conflict arises, this Charm adds the Solar's Essence in automatic successes. To use this Charm, the Exalt must be close enough to touch her target. In every other way, this Charm follows the rules of a normal pickpocketing attempt. The character may not steal items that are in use or artifacts that have been attuned.Characters using ordinary senses cannot detect this theft with Awareness. Characters with inhuman sensory acuity, such as a spider feeling vibrations in its web, or those using magic, like a Celestial Lion's Intemperate Gaze, suffer a -4 dice penalty to spot the theft. Flawless Pickpocketing Technique is also completely immune to magic that detects Larceny-based actions, unless the user also knows Flawless Pickpocketing Technique.</t>
  </si>
  <si>
    <t>1m or 5m</t>
  </si>
  <si>
    <t>The Exalt may open a mundane lock simply by touching it and paying five motes. Alternately, she may challenge a sorcerous lock with her picking tools, paying one mote to gain double 9s and (Essence) automatic successes. This version of the Charm guarantees that she successfully picks the lock even if her roll fails, however, a failure constitutes some unwanted occurrence–perhaps she springs a trap, breaks the lock loudly, snaps her lock-pick, etc.</t>
  </si>
  <si>
    <t>Until the Exalt sleeps</t>
  </si>
  <si>
    <t>Master chameleons, the Solars donned disguises and attended the fetes of the raksha, to hear them confess their nefarious plans for Creation. This Charm recreates a disguise attempt (see p. 224), but allows the Exalt to make a myriad of extraordinary changes to her appearance. She may change her gender, double her age or halve it, alter her height by ten inches in either direction, change her ethnicity, adjust her voice and alter her accent. She can even change her scent. The Solar gains two automatic successes to her disguise attempt, ignores penalties for adapting a different race or gender, and gains double 9s.This disguise cannot be pierced by mundane senses. Nor can it be thwarted by inhuman sensory acuity, such as the nose of a hound or the eye of a hawk. Senses heightened to supernatural levels by Charms such as Keen Sight Discipline have a chance to pierce this deception, but subtract 2 successes from their attempts. Magic which pierces this effect does not reveal the Solar's identity, only that the Exalt is not what she appears to be.Typically Solars used this Charm to hide their identities or to appeal to specific criteria such as “Only women are allowed into the sept.” However, should it be used to impersonate a specific character, magic which pierces this effect will only reveal the apparent body double of the Charm's subject. For example, if the Solar disguises herself as the Scarlet Empress, magic which pierces her disguise will see her as a tall, porcelain-skinned red-haired woman with cunningly accurate makeup, as opposed to what the Solar actually looks like.</t>
  </si>
  <si>
    <t>Larceny 3, Essence 2</t>
  </si>
  <si>
    <t>The Lawgiver can mask her anima to evade detection. Once per scene, the Exalt can activate this Charm to mute five peripheral motes in an instant, causing them to act as if they were motes spent from her personal mote pool, so long as the magic is aiding her in Larceny-based actions. This Charm is reset by a two point social stunt in which the Lawgiver uses Larceny, or in which she uses subterfuge enhanced by any other social ability in order to aid her in criminal behavior. This reset must occur after the Charm has been used.</t>
  </si>
  <si>
    <t>Larceny 4, Essence 2</t>
  </si>
  <si>
    <t>Upon successfully robbing a person of something they own, the Exalt may attempt to unwind the owner's memory of attachment to the item. The player rolls a (Manipulation + Larceny) instill action against the target's Resolve. On a success, the Lawgiver convinces the target that the object belongs to her (and always has). The target may not pay Willpower to shake off this belief until (Solar's Essence) minutes have passed.</t>
  </si>
  <si>
    <t>The Solar becomes the light which swallows the shadow. The player rolls (Wits + Larceny), doubles and banks any successes. Banked successes can be reflexively applied to a single Larceny or Stealth action. This effect lasts until the Exalt sleeps, and can be renewed only once per day.</t>
  </si>
  <si>
    <t>Unshakable Rogue's Spirit</t>
  </si>
  <si>
    <t>-1 Initiative per success</t>
  </si>
  <si>
    <t>The Lawgiver can borrow against her own talent to bolster larcenous action. This Charm can be used to aid in protecting the Lawgiver's disguise during a roll off, to pick a lock, to pickpocket, or to establish Stealth. It can also be used to enhance any social action contrived to swindle a target. For every one automatic success the Charm adds to the selected action, the Solar loses one Initiative from her next Join Battle result. The maximum number of successes a Solar can add between battles is half her Join Battle pool, rounded up. This debt is automatically cleared after completing a full night's rest. Unshakable Rogue's Spirit cannot be used in combat.</t>
  </si>
  <si>
    <t>Larceny 5, Essence 2</t>
  </si>
  <si>
    <t>Stealing From Plain Sight Spirit</t>
  </si>
  <si>
    <t>Long ago, the Solars stole the implements of their virtue from beneath the gaze of the gods' own masters. This Charm is similar in all ways to its prerequisite, except that it allows the Solar to steal an object from plain sight. The Exalt might swipe a book from a table or take a sword from a soldier's scabbard. Such a theft cannot be noticed for (Solar's Essence) minutes unless circumstances call attention to it, such as a soldier attempting to draw his stolen blade.</t>
  </si>
  <si>
    <t>Magpie's Invisible Talon</t>
  </si>
  <si>
    <t>Stealing from Plain</t>
  </si>
  <si>
    <t>Sight SpiritThe Exalt moves with imperceptible speed, manipulating Essence flows to steal an object out of reach. This Charm supplements a normal attempt to steal or pickpocket, save that it gives the Solar's attempt double 9s and allows her to reach an object (Essence) yards away. She may even steal objects behind glass without disturbing the glass through use of this Charm.</t>
  </si>
  <si>
    <t>Flawlessly Impenetrable</t>
  </si>
  <si>
    <t>DisguiseThe Exalt shows only what she wishes to be seen. Discarding all other facets, she becomes a continuous unity of form.This Charm upgrades its prerequisite, replacing the cost and allowing the Exalt to disguise herself as a specific person without suffering a penalty for impersonating a specific character, or for changing her body type significantly. In addition to the bonuses associated with Flawlessly Impenetrable Disguise, it also adds (Essence) non-Charm successes to the roll to establish the disguise.</t>
  </si>
  <si>
    <t>Larceny 5, Essence 3</t>
  </si>
  <si>
    <t>Lightning-Hand Sleight, Unshakable Rogue's Spirit</t>
  </si>
  <si>
    <t>The Lawgiver adjusts the scales of balance in her favor, and fate is made her accomplice. This Charm enhances any kind of action that is not part of an extended roll. Before rolling, the player chooses a number from 2 to 5. That number is treated like a 10 each time it appears in the subsequent roll. The Solar may use this Charm once per full night's rest. An Essence 4+ repurchase allows the Solar to change two different numbers from 2 to 5 into 10s.</t>
  </si>
  <si>
    <t>The Exalt can plant evidence on a target's person infallibly. The mechanic modeling this Charm is identical to a pickpocketing attempt enhanced by Flawless Pickpocketing Technique–with the same rules for supernatural detection–save that it hides an object on the target's person. Such an action cannot be noticed for (Essence × 10) minutes, unless circumstances call attention to it. Trying to hide an anchor in an old man's rucksack will have undesired effects. In addition, as long as the object remains on the target's person, the Exalt can reflexively retrieve the item without contest, so long as she is close enough to touch the target. Though the Lawgiver does this with incredible speed, to all onlookers it will be obvious that she lifted the object from the target.</t>
  </si>
  <si>
    <t>Larceny 4, Essence 3</t>
  </si>
  <si>
    <t>Stealing from the Lawgiver is a risky proposition at best. With this Charm, the Exalt gains two automatic successes to an Awareness roll to detect any attempt to pickpocket from her person. Upon successfully noticing an attempted theft with this Charm, the theft is not only thwarted, but the thief is left open to reprisal. If the thief is close enough to touch, the Lawgiver becomes aware of every object on his person that may be stolen (as per the rules of pickpocketing on page 224) and can attempt to steal one of these objects with all of the same advantages as Flawless Pickpocketing Technique.</t>
  </si>
  <si>
    <t>Iron Wolves' Grasp</t>
  </si>
  <si>
    <t>3m, 4i</t>
  </si>
  <si>
    <t>Stealing from Plain Sight Spirit, Reversal of Fortune</t>
  </si>
  <si>
    <t>Some doors are not locked by conventional means; some are sealed by complex sorcery or mechanisms hidden out of sight; still others are bounded by dozens or even hundreds of locks, making it implausible to pick them all. Yet no door may bar the Lawgiver's entrance. The Exalt reaches for the door as if to touch it, and then steps forward. When her foot falls, she is on the other side of the portal. The Solar can use this talent to pass through a locked window, a sewer grate, a dropped portcullis or even an archway that drips lightning. This Charm is based on the Solar's illimitable skill for infiltration; she cannot pass through solid walls or reach into a sealed chest and fish around.</t>
  </si>
  <si>
    <t>With a rending of air, the Solar sweeps away the mask she once wore. This Charm supplements a disguise attempt by reducing the time it takes from five minutes to instant. When used in combination with another Larceny-based disguise Charm, ignore the Willpower cost.</t>
  </si>
  <si>
    <t>5m per disguise</t>
  </si>
  <si>
    <t>The Lawgiver walks through the valley of the wicked wearing a thousand faces. This Charm allows the Exalt to place a second disguise over the one she is wearing by attempting a second disguise action per the rules on page 224. This attempt may be supplemented by disguise Charms as usual. When she is seen wearing two or more disguises, the player dictates which disguise each witness sees. The Solar may sustain no more disguises than she has dots of Essence.</t>
  </si>
  <si>
    <t>Larceny 5, Essence 4</t>
  </si>
  <si>
    <t>Iron Wolves' Grasp, Proof-Eating Palm, Skillful Reappropriation (Phantom Sting Search)</t>
  </si>
  <si>
    <t>Night's Eye Meditation</t>
  </si>
  <si>
    <t>Larceny 5, Essence 5</t>
  </si>
  <si>
    <t>The Solar is a master of deception, and is aware of any challenge to her position. Each time a character attempts to counter a Larceny based action or disguise with Investigation or Larceny, the Lawgiver may use this Charm to add 10s on her opponents' attempts to her own results for one turn. This retroactively makes her disguises harder to pierce and actively makes her sleight-of-hand and pickpocketing harder to notice.</t>
  </si>
  <si>
    <t>In the deepening Age of Sorrows, the Lawgiver shines in the darkness. This Charm allows the Exalt to apply a free full Larceny Excellency to any action once per scene. This Excellency has the mute keyword. This Charm also has the special property of muting any Charm the Exalt uses that same instant, if she so chooses. Linguistics</t>
  </si>
  <si>
    <t>Linguistics 1, Essence 1</t>
  </si>
  <si>
    <t>Mute, Written-only</t>
  </si>
  <si>
    <t>A Solar with this technique writes with superhuman speed. The Exalt pens brief social influence or short communiqués with incredible speed–she can write a full-page letter in just seconds, while shorter missives may be constructed almost instantly. She can also quickly copy massive volumes of information. This Charm does not allow her to produce new work longer than a few pages, but she may flawlessly copy a written work of any length as she reads it, writing quickly enough that she may copy a large book in a single day, or prepare a document that would take hours to transcribe in a matter of minutes. The Solar can even perfectly WRITTEN VS. SPOKEN EFFECTSMany Linguistics Charms feature both written and spoken delivery methods. A Linguistics Charm using the written method must be read to be effective, while a spoken delivery need only be heard. In most cases, these types of deliveries use identical rules, typically a roll of ([Social Attribute] + Linguistics). However, because social influence written into a letter, a missive, a book etc. may sometimes require minutes, hours, or days before the target actually receives and reads the writing, the rolls are timed differently.With written social influence, roll (Attribute + Linguistics) the moment the character finishes the composition and record the successes. The character must use any enhancing magic she knows at the moment this roll is required, because once she has finished encoding her work with magic, she may not alter it again without magic specifically for this purpose. After any relevant Intimacies are applied to lower the target's Resolve, the total successes are then compared to the target's Resolve to see if the Charm takes effect.</t>
  </si>
  <si>
    <t>Linguistics 3, Essence 1</t>
  </si>
  <si>
    <t>Written-only</t>
  </si>
  <si>
    <t>The Solar concentrates all of her talent into a perfect expression of form. With this Charm, she may perfectly copy any written work down to the finest detail. Herflawless precision makes her script impossible to tell apart from the original, allowing her to create a perfect replica of a work. If the Exalt focuses intently on aesthetic elements, she may even use this Charm to copy them, flawlessly reproducing pictograms, illustrations and even maps. The Exalt may also forge signatures effortlessly, but cannot use this Charm to forge seals or other impressions affixed to a document. It is impossible to pierce this deception through normal means. Magic which can detect the Solar's forgery must overcome a difficulty equal to the Solar's (Linguistics + Essence) score at the time of writing.</t>
  </si>
  <si>
    <t>By carefully injecting allusions, subtle stresses and loaded word choices, the Exalt can imbed a secret message in a document of seemingly innocuous character–a shopping list, a bill of lading or even a quickly dashed note. The Solar must be familiar with the recipient in order for him to see the hidden missive. The hidden message can be no longer (in words) than half the length of the cover document. Magic that can break the Solar's code automatically costs an additional Willpower and must beat a difficulty of the Solar's Linguistics or the highest difficulty of any magical encryption inscribed into the text.</t>
  </si>
  <si>
    <t>One idea conveyed</t>
  </si>
  <si>
    <t>The Solar speaks in a roundabout fashion, stressing particular words, inflections and allusions to convey ideas and concepts that may have nothing to do with what she is saying. Only the intended recipients can understand the true meaning of the Solar's words; everyone else just hears what the Solar says on the surface. Thus an Exalt using this Charm could appear to discuss the weather while laying out the details of an assassination plot. This Charm does not confer the ability to communicate across language barriers.</t>
  </si>
  <si>
    <t>Drawing on the Essence of her formidable mind, the Exalt perfects her arguments and sharpens her words, so that her writing is pristine, flawless and precise. This Charm supplements written Linguistics actions with double 9s. ARTISTIC TALENT: LINGUISTICS OR CRAFT?Linguistics is not the “Art” skill, any more than Investigation is the “Sight” skill. Linguistics does entaila very specific artistic skill–in the ability to produce elegant calligraphy, and the ability to produce, translate, or reproduce very specific aesthetics. Language in itself is a representative of such aesthetics:words evolve from pictograms to ideograms, hieroglyphs form and refine into runes that make up</t>
  </si>
  <si>
    <t>Tuning Essence through her language centers, the Exalt reconciles a character's vocal tone, inflection, and gestures into a clear statement of intent. This allows her to accurately interpret statements made in languages she doesn't know. As the Solar's concentration congeals into a moment of perfect clarity, she must evaluate each statement separately. Each activation of this Charm allows her to understand three or four simple sentences or one long, complex sentence. The Solar may also use this Charm to reflexively lower the Guile of a speaker using abstruse language to conceal an issue or artificially inflate the importance of a topic, reducing his Guile by one.</t>
  </si>
  <si>
    <t>Linguistics 4, Essence 1</t>
  </si>
  <si>
    <t>Through gesture, movement, and carefully shaped facial expressions, the Solar may clearly communicate short, simple sentences through body language and pantomime. This Charm ignores the penalty for such communications, and allows for additional complexity, but does not allow for poesy. Therefore, “Open the gates now, or I will return with an army,” is valid, while “Fill your hands with steel and prepare to dance, you devils,” is not. As such, all social influence made with this Charm suffers a three success penalty.</t>
  </si>
  <si>
    <t>4m, 1wp, plus 3m per language</t>
  </si>
  <si>
    <t>Linguistics 5, Essence 1</t>
  </si>
  <si>
    <t>The Exalt can bind together any two languages she knows into a third language which is intuitively understood by those listeners who understand at least one of the base languages. For four motes, one Willpower, she uses her Essence to fuse two such languages together. For each additional three motes committed, she may fuse an additional language into the strain. A Solar who is gifted with knowledge of many languages can become the unifying voice of nations.</t>
  </si>
  <si>
    <t>The Solar's wit is incisive and her mind is canny. By reading a text, she also may read its author. The Solar may invoke this Charm after reading a text but before any social influence is rolled or checked. This allows the Solar to make a ([Wits, Charisma, or Manipulation] + Linguistics) read intentions action that is automatically successful. In that moment, she instantly knows if the writing indicates any of the author's Intimacies, and what those Intimacies are. This may come across as a clear slant or bias in the narrative, or a sense of mood or emotion in the writing which highlights the context of a Tie. This Charm does not reveal the writer's hidden motives behind any work, but it can reveal the absence of any Intimacies in the writing, potentially denoting that the work is a forgery, a copy, or that the author didn't believe what he was writing.</t>
  </si>
  <si>
    <t>If the Exalt suspects she is about to suffer negative influence, she may use this Charm after using SagaciousReading of Intent, raising her Resolve by half her Linguistics, rounded up, before her Resolve is compared to the influence's recorded successes.</t>
  </si>
  <si>
    <t>Linguistics 4, Essence 2</t>
  </si>
  <si>
    <t>The Lawgiver's keen ear, sharp eye and steady hand makes her an inveterate thief of words. With this Charm, the Solar can adapt the writing voice of another character. The Solar need only have read one manuscript or three smaller examples of the character's writing in order to perfectly mimic his writing style. This Charm does not mimic the effects of Flawless Brush Discipline, so the Solar may need to use that Charm to make her script all the more deceiving. Like the prerequisite, the difficulty to pierce this deception is the Solar's (Linguistics + Essence) score at the time of writing. Combining this Charm with its prerequisite raises that difficulty by one. Stolen Voice Technique's deception is automaticallysuccessful unless the target has a reason to scrutinizethe writing.</t>
  </si>
  <si>
    <t>Linguistics 5, Essence 2</t>
  </si>
  <si>
    <t>The Exalt pens a message in a hand so artful and deceptive that she can cause her reader to make an automatic assumption as to the writer's identity. Upon writing the message, roll (Manipulation + Linguistics) with (Essence) automatic successes to determine the strength of the deception when compared to the target's Resolve. To use this Charm, the Exalt must not sign the missive in question; the unsigned letter invites the assumption that allows this Charm to take effect. The Exalt may use this technique in three different ways: She can make readers believe a message was written by a specific person of whom they're aware–they do not need to know this character on a personal level. She can also make readers assume the letter was written by the person they most want the letter to be from. Lastly, if the Solar has Bureaucracy 3+, she can make readers assume the letter was written by a hierarchical superior. Despite being a Simple-type Charm, Moving the Unseen Hand can always be used in combination with its prerequisite; failure to see through Stolen Voice Technique makes the character automatically subject to Moving the Unseen Hand's deception.</t>
  </si>
  <si>
    <t>Mute, Psyche, Written-only</t>
  </si>
  <si>
    <t>The Exalt can infuse a short statement with Essence, such that the Essence travels through the reader's mind to escape through his tongue. A character who reads such a missive will immediately and unironically repeat the statement he just read without realizing he's doing so. This is not a Charm which simply forces the character to read aloud, but rather causes him to announce the missive. The roll to determine whether the reader blurts out the missive is treated as a ([Charisma or Manipulation] + Linguistics) inspire action with (Essence) automatic successes.</t>
  </si>
  <si>
    <t>The Solar binds her words with Essence, folding language into form so winding and deep that all meaning falls into the abyss. This Charm may be used to supplement the writing of letters or other brief works. The information contained in such writing cannot be repeated. The reader momentarily loses his ability to process or remember the contents of the message if he tries to speak it aloud or write it down. Any attempt by the reader to communicate what he knows is rendered useless unless he sees an action occurring in which a Defining Intimacy is threatened by withholding what he knows. Only then may the reader pay (Solar's current Essence rating) Willpower to shake off the effects of this Charm.</t>
  </si>
  <si>
    <t>There is a point in the infinite distance where purity and entropy touch. That point is both “before” and “after” but the Solar may reach it with a thought, to draw forth perfect language. While this Charm is active, the Solar speaks a language that can be understood by all who hear it. Knowledge of this language is purely instinctual; characters understand the Solar's words as she shapes them. Her perfect language cannot be learned, as it has no intelligible words, THAT BURNING QUESTIONQ: What happens if you combine Essence-Laden Missive and Voice-Caging Calligraphy?A: You tell me.</t>
  </si>
  <si>
    <t>The Solar dwells in a temple of words. With this Charm, she may affect a textual absorption so complete that her Guile becomes perfect and unbreakable. So long as she is reading, she cannot be read. This effect lasts for moments after she has finished reading, allowing the Exalt to completely hide her reaction to what she just read. Using this Charm with Perfect Recollection Discipline allows the Solar to phase out completely, evading prying questions and other attempts to gauge her. In this instance, her defense is no longer perfect, and her Guile may be engaged. However, without magic to pierce her deception, characters will only notice that she is extremely preoccupied or distracted.</t>
  </si>
  <si>
    <t>Discerning Savant's Eye</t>
  </si>
  <si>
    <t>The Exalt can make out the minute traces of writing that was once readable but has now been damaged or erased. Examples include palimpsests, water-soluble inks that have been left in the damp, and stone monuments that have been rendered unreadable by vandalism or the elements. This Charm cannot read the writing on inscriptions that have been crushed into sand or letters that have been burned to ashes. This Charm does not convey the ability to understand a language the Solar cannot normally read, but she may use this Charm in concert with Flawless Brush Discipline to make a perfect, undamaged copy of the original script for later translation.</t>
  </si>
  <si>
    <t>– (1m, 1wp)</t>
  </si>
  <si>
    <t>Linguistics 5, Essence 3</t>
  </si>
  <si>
    <t>When the Lawgiver is using Flawless Brush Discipline, she may channel this power to perfectly copy any magic encrypted into the document she is copying, so long as she is capable of producing that magic herself. She does not need to pay the costs of any Charms her copy reproduces–those effects are reproduced automatically and perfectly. At Essence 5+, she may reproduce the written magic effects of the Charms of any being, even those who are not Solar Exalted, so long as her traits meet or exceed the magic's minimums.</t>
  </si>
  <si>
    <t>One minute</t>
  </si>
  <si>
    <t>The Lawgiver strikes a body of text with her fingers, reshaping the language to serve her purposes. With this Charm, the Solar may edit a manuscript, letter, or tome with untraceable precision. Where she draws her fingertips through lines, words lift from pages as if they were never written. Where she draws her fingertips through runes, ink chases itself into the shapes of new words. Through use of this Charm, the Solar can change the targets of written social influence, and can redefine what is intended by any social influence she encounters. Modifying a work encrypted with magic allows her to redirect the targets of that magic. If she wishes to alter magic she is incapable of producing, she must possess Essence 5+ and must use Power-Snaring Image in combination with this Charm. This combination explicitly allows her to alter magic for which she does not meet minimums.</t>
  </si>
  <si>
    <t>8m, 1wp</t>
  </si>
  <si>
    <t>Psyche, Written-only</t>
  </si>
  <si>
    <t>The Solar unwinds language with her Essence, writing in such a way that it unbinds the pattern of her reader's understanding. This Charm supplements a letter written to a specific target, the Solar rolling (Manipulation + Linguistics) to determine its accuracy. If her target reads the letter, he must roll his (Perception + Linguistics) to defend against a swarm of unbinding words that penetrates his mind where languages live. If he fails, his knowledge of all languages is unbound, causing him to forget every language he's currently able to speak. In addition, the subject develops a completely new language on the spot. This language is both functional and logical–and has letters and grammar mechanics–but it is known only to the Charm's victim. An Exalt may break this control by paying (Solar's Essence rating) Willpower, instantly recovering one of his spoken languages and another every hour until his knowledge has been restored. Otherwise, this effect lasts until the Solar lifts the commitment. When Mind-Swallowing Missive is broken, the subject's new language vanishes from his memory. This Charm does not affect spirits.</t>
  </si>
  <si>
    <t>Mind-Swallowing Missive, Voice-Caging Calligraphy</t>
  </si>
  <si>
    <t>The Lawgiver pens a soul-shattering missive, convincing her subject he leads a pointless existence. This Charm can only be directed at a specific target. Roll the Exalt's ([Charisma or Manipulation] + Linguistics), rerolling 6s until 6s fail to appear. If she beats her target's Resolve, his soul falls off and sinks directly into lethe. This Charm only targets characters who have unintelligibly abstruse Intimacies or no Intimacies at all; however, its effect depends on such an unfulfilled soul's yearning for purpose and meaning–characters who are incapable of feeling (such as the soul-eaten victims of the Fair Folk) are not valid targets for this Charm.</t>
  </si>
  <si>
    <t>Psyche</t>
  </si>
  <si>
    <t>Flowing Elegant Hand, Letter-Within-A-Letter Technique, Subtle Speech Method</t>
  </si>
  <si>
    <t>Concentrating on the formation of sounds and the weight of certain meanings, the Solar shapes her words like a weapon. This Charm is a mental attack disguised as social influence, entailing a written or spoken action made with (Manipulation + [Linguistics or another relevant Social Ability]). The Solar must target an Intimacy when using this Charm–exploiting something the character cares about to get him to accept influence. However, upon success, the target will feel overwhelmingly compelled to act in a way that is the opposite of what she agreed to, as if her Intimacy had been inverted. For example, a Solar convinces an Immaculate priest of the evils of the harlotry in Great Forks, convincing her to shun the temple prostitutes. The priest agrees vehemently, and then goes to live with them. Likewise, a Solar forced to brainwash a Circle member could outwardly torture him, while actually strengthening his Intimacies of love for her and his understanding of why his suffering is necessary. Once successful, persuasion caused by this Charm can't be resisted with Willpower until another character successfully dissuades the target from a chosen course of action (p. 221), and upon doing so, the target must pay (Solar's Essence) Willpower to break free. Intimacies tainted by this Charm are more insidious–they are both harder to root out, but also indecipherable from what a character truly believes. While Transcendent Hero's Meditation (p. 308) can shatter persuasion caused by this Charm, it can't change the Solar's Intimacies, though it does make her realize how she's been influenced.</t>
  </si>
  <si>
    <t>Excellent Emissary's Tongue</t>
  </si>
  <si>
    <t>Single Voice Kata, Strange Tongue Understanding</t>
  </si>
  <si>
    <t>With this Charm, the Exalt may learn to speak and understand a language just by hearing it spoken. The Exalt must spend at least an hour being exposed to the language conversationally. She does not need to be the target of such talk, and can gain this exposure any number of ways: sidling a group of strangers, listening to a carnival barker, and attending a play are all valid examples. After an hour, the Exalt may activate this Charm. At that moment, her understanding of language congeals. As her Essence races to encompass this new system of words, she can speak and understand her new acquisition perfectly, though she retains a -3 penalty to social influence until she has retained and practiced the language intensely for a week. The Solar's understanding of this language is predicated by her commitment of Essence to the effect. Should she release the motes she has committed to this Charm, her knowledge of the language fades within the hour. However, if she works with an acquired language for a season or more, she learns it permanently and for free, and may safely end her commitment to the effect.</t>
  </si>
  <si>
    <t>1m per work</t>
  </si>
  <si>
    <t>Binding a written work or illustration into her consciousness, the Solar creates a perfect memory. A character using this Charm can perfectly memorize such a work in the time it takes to read or study it, activating this Charm to store a mental record of the completed subject. She may then pay one mote to reference any part of the work. As long as she continues to reference the stored work at least once a week, she maintains a perfect memory of any part of it. Once she has maintained such use for a season, the information becomes ingrained and innate, and she may release her mote commitment. If such knowledge fades, the Solar need only pay one mote to revive her memory of the work. Note that this Charm is not a generally eidetic memory: it only conveys memories of that which has been recorded through a medium of language. She can remember what was written on a road sign, but she might be unclear as to where she encountered that sign or what the sign itself looked like. Likewise, memories created in relation to this Charm are not necessarily dependent on magic. Knowledge of a book's contents, and specific phrases which were significant to her, or which she accessed with this Charm, may stay in her memory after knowledge of a work fades.</t>
  </si>
  <si>
    <t>Swift Sage's Eye</t>
  </si>
  <si>
    <t>One text</t>
  </si>
  <si>
    <t>Mind quickened by flowing Essence, the Exalt reads at superhuman speed. She can read a scroll as quickly as she can unroll it, and a book as fast as she can turn the pages–approximately three pages per second.</t>
  </si>
  <si>
    <t>Even chained in a lightless dungeon, the Lawgiver can write a book that transforms the world. This Charm allows the Solar to engage an extended roll to produce a long work (p. 221) without requiring that she have any writing instruments. The Exalt stores her progress mentally, and may copy it down at her earliest convenience. There is no limit to how many novels, epics, and dogmas the Exalt may store in this fashion. As the Solar is copying her own work, she may use a combination of Whirling Brush Method and Perfect Recollection Discipline to copy a remembered work with tremendous speed. The Solar is explicitly permitted to enhance any writing she composes in her head with other Linguistics Charms, even those with the written-only keyword.</t>
  </si>
  <si>
    <t>The Essence of the universe flowing through her mind, the Solar draws on a library of words as deep as the celestial vault. This Charm magnifies the Solar's ability to compose massive volumes of complex information, allowing her to complete difficult manuscripts with increased speed. This Charm supplements an extended roll to produce such work (see p. 221), automatically reducing the interval by one unit, from years to seasons, seasons to months, and months to weeks. While this Charm greatly speeds the Solar's efforts, it does not directly influence the mechanical speed with which she lays down words–her speed is increased by a streamlining of thought processes and an amplification of the mental faculties that surround vocabulary and dissemination skills, rather than an increase of manual dexterity. The Exalt must use this Charm against each interval she wishes to shorten, and must be able to dedicate the required time and writing instruments to the task. If this Charm is used in combination with its prerequisite, ignore this Charm's Willpower cost. A repurchase at Essence 4+ allows the Exalt to pay twelve motes, one Willpower, to reduce an interval by two units. Reducing the work of years to months, or seasons to weeks is a challenging feat if the Solar does all the work mentally; if she is physically writing, she may need Whirling Brush Method to keep up with the speed at which she can process ideas. The Lawgiver may not yet reduce production time of a tome to less than a unit of weeks.A second repurchase at Essence 5+ allows the Exalt to pay fifteen motes, one Willpower, to reduce an interval by a full three units of time. An Exalt with this Charm can reduce the time it takes to produce work from years to weeks, and from months to hours. If the Lawgiver iswriting as she works, she will not get the full speed ofher creative process without the use of Whirling Brush Method, and even then, she may be seen to spend several sleepless nights constructing single massive works.</t>
  </si>
  <si>
    <t>Linguistics 5, Essence 4</t>
  </si>
  <si>
    <t>While using Flashing Quill Atemi, the Lawgiver can edit a manuscript to combine Simple-type Charms or effects which could otherwise not coexist. Thus, she could use Letter-Within-A-Letter Technique and Cup Boils Over to kill someone with what appears to be a love letter.</t>
  </si>
  <si>
    <t>The Solar speaks in such a magnetic and engaging fashion that those who can hear her become powerless to do anything but listen. Roll the Solar's (Manipulation + Linguistics) with (Essence) automatic successes, ignoring the penalty for group influence. The Solar may not exploit targeted Intimacies to lower Resolve, nor may Intimacies be invoked to raise Resolve against this effect. Those who fail their Resolve checks are entranced by the Solar's voice and are held enraptured until she ceases speaking for more than a few seconds. Even characters who don't understand the Solar's language can succumb to this power. This Charm may also be used to ensnare and captivate a reader: if a character reads so much as a single line of writing reinforced with Unbreakable Fascination Method, he must engage his Resolve, and if he fails, he must continue reading what the Solar has written in its entirety, though this Charm may only hold a reader rapt for (Essence) minutes. This Charm may not be resisted with Willpower. Attack cancels the Charm, but only direct physical dangerdisrupts the effect. A brave or suicidal Exalt could keep</t>
  </si>
  <si>
    <t>Lore 2, Essence 1</t>
  </si>
  <si>
    <t>The Lawgiver is the embodiment of order. With her knowledge and will, chaos is cast asunder. Through use of this Charm, the Exalt may fix her notice on any object, structure, or character (including herself) at the moment it is first affected by the twisting power of the Wyld. The Solar's solid knowledge flows out in a rush of Essence, sluicing away the Wyld's influence. In addition, roll ([the Solar's Mental Attribute] + Lore) with (Essence) non-Charm bonus dice, with a difficulty based on the source of the warping, with the bordermarches being difficulty 3 and the deep Wyld being difficulty 5. Any extra successes on this roll equates to a number of turns (in combat) or minutes (out of combat) for which the target of Wyld-Dispelling Prana becomes immune to further twisting. This Charm may affect a character at up to medium range, and requires multiple uses to protect objects or structures larger than a horse. Special activation rules: After using this Charm once in a scene, the Solar does not need to pay to use it again unless she fails the subsequent Lore roll; she may continue to direct sluicing bolts of Essence at targets for free, until the subsequent Lore roll fails to produce any successes.</t>
  </si>
  <si>
    <t>Lore 3, Essence 1</t>
  </si>
  <si>
    <t>By asserting her existence against the ravages of chaos, the Solar makes her person sacrosanct. Through use of this Charm, the Solar protects an area around herself out to short range in every direction. Characters within this area of focus cannot be twisted by the Wyld, norcan their minds be torn asunder by its influence. Chaos-Repelling Pattern also forces the environment within its area of effect to behave with the physical laws ofCreation. The ground will not transform beneath the Solar's feet, nor will she suddenly fall into the sky. However, this Charm does nothing to stop creatures of the Wyld from attacking the Solar, nor will it do anything to change their composition. At the end of an hour, if the Exalt chooses to reactivate this Charm, ignore the Willpower cost.</t>
  </si>
  <si>
    <t>The Solar's mind covers a spectrum of mastered topics. With this Charm, add the Solar's Essence in non-Charm automatic successes to any Lore roll that involves a Lore specialty. In addition, the player may add an additional Lore specialty to her list of Lore topics at the end of each story. The Storyteller may veto any particular topic, in which case the player is allowed to choose another specialty that's more acceptable. Finally, at any point in which the Solar succeeds at a moderately or extremely difficult roll to introduce or challenge a fact (p. 237), the player may request to add a related topic to the Solar's library of known topics. As with all other topics, this is allowable only at the Storyteller's discretion.</t>
  </si>
  <si>
    <t>First Knowledge's Grace</t>
  </si>
  <si>
    <t>Affecting a calm and patient demeanor, the Solar is able to project the light of her knowledge into the darkest of places. While affecting this Charm, the Solar ignores all penalties to teach someone. She can educate a person who is deemed medically incapable of learning, such as someone who is developmentally disabled, or someone who has suffered traumatic injury or privation by the Fair Folk. This Charm does not affect social influence rolls to persuade a character of something.</t>
  </si>
  <si>
    <t>1xp+</t>
  </si>
  <si>
    <t>Lore 5, Essence 1</t>
  </si>
  <si>
    <t>The Lawgiver is a master instructor, capable of passing on truths and talents as surely as the sun passes daylight. To activate this Charm, the Solar commits a number of experience points from her own unspent experience total. She may confer these experience points to another character by delivering a lesson she has constructed, allowing her to train a character's Attributes or Abilities up to a rating of 5, even if this puts the character beyond her own rating. However, for each three experience points the Solar spends on the character in question, that character must adopt, at the Minor level, an Intimacy the Solar holds. The Solar may choose which Intimacy is conferred. For each three experience points conferred, the Solar may confer individual Intimacies, or she may increase a single Intimacy's intensity from Minor to Major, or from Major to Defining, so long as she holds that Intimacy at the Major or Defining level herself. Intimacies conferred in this manner cannot be decayed for any reason until the character has performed at least one task equal to that Intimacy's intensity (p. 215).The Solar has sole discretion over who is able to benefit from the experience points on offer. Refer to training times on page 178 to determine how long each training session should take. At the end of each story, the Solar may roll a number of dice equal to experience points spent on this Charm, regaining a number of experience equal to her successes, but not beyond the total amount of experience she expended in training. A Solar with Socialize Charms related to the creation of personas may use this Charm while in the guise of a persona, but she must pay from both her main unspent experience total and the persona's unspent experience total to do so. Lastly, the Solar cannot benefit from this or any other experience-granting training Charm in the same story in which she uses it to benefit someone else.</t>
  </si>
  <si>
    <t>Lore 1, Essence 1</t>
  </si>
  <si>
    <t>The Lawgiver fortifies her allies with actions as surely as with words. Upon touching a target and paying three motes, the Solar may transfer up to (Essence * 3) motes from her mote pool to her target's. In addition, once per scene she may roll Wits + Lore, generating a number of motes equal to her successes and awarding them to her target. If the target cannot accept all the motes transferred by Essence-Lending Method he has until his next action to spend them before they dissipate.</t>
  </si>
  <si>
    <t>With this Charm, the Lawgiver may bolster the mind and spirit of her charge, lifting him up with inner strength. Upon paying this Charm's cost, the Exalt may transfer up to her Essence in temporary Willpower to another character. In addition, roll a single die and add any successes to the recipient's Willpower. The Exalt must always transfer at least one point of Willpower from herself to her target when using this Charm. Will-Bolstering Method can explicitly increase a character past his maximum Willpower, and even past a rating of ten.</t>
  </si>
  <si>
    <t>Lore 5, Essence 2</t>
  </si>
  <si>
    <t>A Solar is not safe to pass on her knowledge. This Charm supplements an effort to train characters with the prerequisite, disguising subversive or dangerous lessons as something they're not. The Lawgiver might appear to be giving a lesson on Immaculate catechisms while actually training itinerants to resist the Realm; a lesson on eroticism might hide insights into demonology. Only the targets of the Solar's training can understand the true meaning of her lesson.</t>
  </si>
  <si>
    <t>1xp</t>
  </si>
  <si>
    <t>In a flash of insight, the student becomes the master. As per Flowing Mind Prana, when the Solar rolls to regain experience points at the end of the story, she may pay one experience point to activate this Charm, reflecting on her student's progress. This allows her to reroll all non-successes on the roll to regain experience a single time. This Charm explicitly allows the Solar to gain back more experience points than she invested in training. If this occurs, “overage” experience does not count toward progress to raise the character's Essence.</t>
  </si>
  <si>
    <t>Lore 4, Essence 2</t>
  </si>
  <si>
    <t>Harmonious</t>
  </si>
  <si>
    <t>Academic MethodologyThe Solar is a living font of vital knowledge. This Charm enhances rolls to introduce or challenge facts. She can now roll to establish a fact whenever her knowledge of historical events, cultural norms, local myths and rumors, number systems, etc. is challenged. If the topic in question falls into the Solar's Lore expertise–that is, the background reflected by her Lore rating–or any of her Lore specialties, she gains one automatic success on the roll, and any extra successes she generates are doubled. However, the criteria under which Storytellers may veto introduced facts remain unchanged.</t>
  </si>
  <si>
    <t>The Solar draws the legend of Creation from deep within her consciousness. This Charm supplements an attempt to introduce or challenge a fact (p. 237), awarding one automatic success and rerolling 6s until 6s no longer appear. If the Exalt has learned Immanent Solar Glory (p. 334), the Solar may always roll to establish her knowledge, even if the Storyteller determines she succeeds without a roll.</t>
  </si>
  <si>
    <t>By focusing intently on a subject, the Solar can produce a sudden insight. This Charm is a ([Mental Attribute] + Lore) based read intentions action against a difficulty based on whether the subject of this examination falls into the Solar's area of expertise. This read intentions action can be used on an object to reveal its purpose and function, such as with a mysterious artifact, though it does not reveal how to use it. It can also be used on geography which the Solar has studied, to give the Lawgiver or the person she is advising (Solar's Essence) non-Charm bonus dice for Survival or War rolls for the rest of the scene. If she is a student of Shogunate architecture, she could tell that a dilapidated structure being used for a market was a Shogunate-era Immaculate temple. If she is a mathematician, the numbers speak to her; she may solve a complex proof in her head, in a matter of seconds. With this Charm, the Solar polymath awakens the world from its dark slumber.</t>
  </si>
  <si>
    <t>3m per health level, 1wp</t>
  </si>
  <si>
    <t>The Lawgiver can channel her very life-force into another. The Solar must touch her target to use this technique, healing up to (Essence) damaged health levels in her target and taking a like amount of damage herself. It is possible for an Exalt to kill herself with this Charm.</t>
  </si>
  <si>
    <t>The Solar becomes a conduit for tremendous power. This Charm turns the prerequisite and Essence-Lending Method into Reflexive Charms, allowing them to be combined. Furthermore, when they are combined, ignore the three mote cost of Essence-Lending Method and the Willpower cost of Will-Bolstering Method. In addition, each roll in this cascade gains recurring 10s. That is, if a 10 appears, roll another die. Keep rolling dice until no further 10s appear.</t>
  </si>
  <si>
    <t>Legendary Scholar's Curriculum</t>
  </si>
  <si>
    <t>Lore 5, Essence 3</t>
  </si>
  <si>
    <t>This Charm upgrades the prerequisite, allowing the Solar to offer the committed experience points to (Essence) different characters, vastly reducing her cost to train multiple specialists. She may also offer half the amount (rounded down) to (Essence * 5) additional characters. Bear in mind that the Lawgiver still has to commit sufficient time to training all of these characters, or the experience points cannot be spent to improve their traits. With this Charm, the Solar can confer Intimacies she does not personally hold.</t>
  </si>
  <si>
    <t>This Charm upgrades Flowing Mind Prana, allowing the Solar to use her experience points to teach a single character any spell or Charm she knows, so long as the character qualifies for that spell or Charm. The Lawgiver may not teach Sidereal Martial Arts.</t>
  </si>
  <si>
    <t>By examining a relic of the past, the Lawgiver can unlock the secret of how to use it. Using this Charm requires that the Solar touch an artifact whose purpose or use is unknown, rolling (Intelligence + Lore) against a difficulty of the artifact's rating. If successful, the Exalt gains a vision that reveals how to activate or employ the artifact. If the object or structure's rating is N/A, the difficulty is 8-10, and rather than revealing exactly how the construct functions, the Solar only learns a fact about it which brings her closer to understanding it. This latter use can only be employed once per story.</t>
  </si>
  <si>
    <t>15m, 1wp</t>
  </si>
  <si>
    <t>Sacred Relic Understanding + Any two Lore Charms</t>
  </si>
  <si>
    <t>The Solar can unlock the true potential of an artifact. Grasping an artifact to which she is attuned, and which is capable of Evocations, the Lawgiver sends her Essence surging through the relic's chakras, merging its spirit with her own. Roll the Solar's ([Intelligence or Wits] + Lore) against a difficulty of (the object's rating + 2), or 10 if it's N/A. If the roll gains at least one success, the Solar automatically unlocks one of the artifact's Evocations without spending experience points. If the Solar rolls successes in excess of the difficulty, she unlocks half the extra successes (rounded down) in Evocations. This Charm may be used once per story, and may not be used again on the same artifact until an amount of experience has been invested in it equal to the cost of the Evocations that were unlocked for free. The Exalt may not use this Charm to aid another character in awakening Evocations until she is Essence 5+. Waive this requirement if Lore is her Supernal Ability.</t>
  </si>
  <si>
    <t>Truth-Rendering Gaze + Any two Lore Charms</t>
  </si>
  <si>
    <t>This Charm is special, in that it requires the Solar's Lore rating to reflect a background of intense mathematic study. With this Charm, the Exalt's study of number theory and proofs unlocks her ability to approach complex problems mathematically. Add (Essence) non-Charm bonus dice to her Craft, spell effects, and speculative Bureaucracy rolls, to Lore rolls which require logic or mathematics, and to any use of Wyld-Shaping Technique.</t>
  </si>
  <si>
    <t>5m per health level, 1wp</t>
  </si>
  <si>
    <t>This Charm functions as its prerequisite, but in reverse: the Solar can force up to (Essence) damaged health levels onto a target, healing her own health levels in turn. When done in combat, this is a difficulty 5 gambit done with the Solar's chosen hand-to-hand combat Ability.</t>
  </si>
  <si>
    <t>The Exalt may draw the Essence from a target with a touch. If the target possesses a mote pool, the Exalt may touch him and pay one Willpower to roll (Wits + Lore) against his Resolve (unmodified by Intimacies), stealing motes equal to the extra successes from his peripheral mote pool (defaulting to personal if their peripheral Essence is depleted). In combat, this is a difficulty 5 gambit executed with a hand-to-hand combat Ability of the Exalt's choice.</t>
  </si>
  <si>
    <t>The Exalt may touch a willing target who has an active mote pool, and may use this Charm to switch a number of his motes from peripheral to personal motes and vice versa. Roll a free full (Intelligence + Lore) Excellency with (Essence) automatic non-Charm successes to determine how many motes are converted. The Solar may not use this Charm on herself until Essence 5+, but if Lore is her Supernal Ability, waive this requirement.</t>
  </si>
  <si>
    <t>The Solar's knowledge of the world's secrets allows her to gainsay any force that would strike her down. As she is struck with a decisive attack, the Solar glances into the underpinnings of the universe, and utters a cipher she sees there. Roll the Exalt's (Wits + Lore). Each success removes a single die of damage from the attack and converts it to a point of Initiative granted to the Lawgiver. Solars have been seen to walk unharmed through direct hits from offensive sorcery through use of this Charm. Force-Draining Whisper may be used once per scene, but is reset if the Solar or any of her allies reaches their last undamaged health level. At Essence 4+, the Solar may use this Charm to protect an ally at up to long range.</t>
  </si>
  <si>
    <t>The Solar draws strength from her own recurring Essence. Any time the Solar rolls a 10 for any Lore-based roll, or any Lore Charm, she gains a mote of Essence.</t>
  </si>
  <si>
    <t>10m, 3a</t>
  </si>
  <si>
    <t>At the iconic anima level, the Solar may draw in her anima, internalizing it and then pushing it outward in a surge of Essence. Doing so returns her anima to the dim level, and resets the once-per-scene effect of Essence-Lending Method. This Charm's cost never generates anima display.</t>
  </si>
  <si>
    <t>2i, 3a</t>
  </si>
  <si>
    <t>When her anima is blazing, the Solar sees the flows of power clearly. While in combat, she may use this Charm to release her iconic anima. The blazing tendrils of her power race in every direction, striking her allies and drawing new power to them. The range of this effect is unlimited, within the same scene. Roll the Solar's (Perception + Lore) with (Essence) automatic successes. Convert generated successes into motes of Essenceand divide the awards amongst applicable allies. Using this Charm returns the Solar's anima to the dim level. At Essence 5+, remove the Perilous keyword, allowing her to spend Initiative into the negatives.</t>
  </si>
  <si>
    <t>The Solar's mastery of Essence flows allows her to guide the movements of pure spirit force. This Charm enhances Essence-Lending Method and Will-Bolstering Method permanently, allowing both Charms to be used on targets at short range, without having to touch them. This Charm also lowers the cost of its prerequisite to eight motes.</t>
  </si>
  <si>
    <t>The ravages of the Wyld and alterations to the Loom of Fate can be reversed by the Solar Exalted. With this Charm, the Solar can shatter the twisting effects of magic and the Wyld, stripping away all such effects and restoring a target to his natural state. If the target does not want to be touched, this can be executed socially with a successful Larceny vs. Awareness contest to clandestinely touch the target, or if the target is a bit more incautious, the Solar may attempt to seduce him in order to deliver the touch. In combat, this Charm is a difficulty 5 gambit made with the Solar's chosen hand-to-hand combat Ability. Fair Folk touched by this Charm are not undone, but experience a temporary transformation lasting (Solar's Essence) scenes, whose severity is based on an Intimacy the Fair Folk has for the Solar, as well as its context. If the Fair Folk has no Intimacy for the Solar, the Storyteller may decide how it is changed. The Fair Folk's player may also veto any changes to their character that makes him virtually unplayable or helpless.</t>
  </si>
  <si>
    <t>15m, 1wp, 2xp</t>
  </si>
  <si>
    <t>Chaos-Repelling Pattern, Order-Affirming Blow, Truth-Rendering Gaze</t>
  </si>
  <si>
    <t>Of all the Chosen, the Solar Exalted alone have the power to stem the tides of chaos with their force of will. This Charm represents a Solar whose mind flows with a command of knowledge so potent it can reverse the decay of Creation. Channeling endless lore through unsurpassed Essence, the Solar stands at the edge of the world and forces shape into the howling teeth of the storm. System: Through use of this Charm, the Solar can fashion the raw forces of chaos into practically anything–so long as her mind is able to conceptualize the reality of her desire and force it to take shape. This Charm occurs in and depends on phases to accomplish such a feat. Wyld-Shaping Technique consists of a dramatic action lasting about a minute, in which the Solar forces her will upon the Wyld, pays the cost of the Charm, and makes an (Intelligence + Lore) roll against a specified difficulty. Each time she succeeds at this roll, a phase is completed. Some things can be shaped in a single phase. Others require that the Solar continue to use Wyld-Shaping Technique, phase after phase, in order to reach an appropriate phase on which to accomplish her goal. Each time she reaches a new phase and repays the cost of the Charm, her results from the previous phase are dissolved and reshaped. Essentially, the Solar must shape and reshape the Wyld in order to create larger, more powerful, or more specific results. The base difficulty of using Wyld-Shaping Technique is 5. At each new phase, the difficulty increases by one. Therefore, at phase three the difficulty would be 7, and phase six would require overcoming a difficulty of 10. During each phase, the Solar must remain near the relative epicenter of her shaping action. She can defend and attack, and she can move in response to her own environmental shaping, but she cannot engage in other extended actions such as sorcery. If she is incapacitated or fails the difficulty roll, the consequences are severe. She loses the cost of her Charm, including any invested experience points, and the shaping action fails completely. Moreover, she will experience a backlash if she botches, provoking an immune response from the Wyld–whatever she was trying to shape will turn against her and try to strike her down. The higher the phase at which this occurs, the more powerful the Wyld's response will be.</t>
  </si>
  <si>
    <t>The Solar can teach the land to hone its masters. With use of this Charm, each time the Exalt uses Wyld-Shaping Technique to build a place of trade, practice, or service, her creation will also produce a specialist to work there. This works through a system of conceptual graduation: if she shapes forest lands, the people who rise from her working will be forest people. If she creates a blacksmith's forge, one of the arisen mortals will be a blacksmith with an appropriately high Craft score. If she creates a hunting lodge, her working will produce hunters. If she creates a medicine hut, her land will produce a shaman-healer, and so on.</t>
  </si>
  <si>
    <t>The Lawgiver's greater understanding increases her power to more easily shape the Wyld. This Charm grants (Essence) automatic successes to each phase of Wyld-Shaping Technique.</t>
  </si>
  <si>
    <t>7m, 1wp, 8xp</t>
  </si>
  <si>
    <t>In order to shape a daiklave or other Artifact weapon from the Wyld, the Solar must be capable of a greater refinement of Wyld-Shaping Technique. This Charm models Solars who have mastered one such refinement. In order to create an Artifact four weapon with one active Evocation, the Exalt must reach phase four and use this Charm before the roll is made. To draw forth a greater weapon such as a Thousand-Year Daiklave, the Solar must proceed to phase five, while a Ten-Thousand Year Daiklave can only be made at phase six. All weapons created in this manner possess one active Evocation. If the Solar intends to shape such a weapon, each phase is spent creating a narrative vector through which the weapon can be materialized. The form this description takes is entirely up to the player.</t>
  </si>
  <si>
    <t>With this Charm, the Lawgiver is capable of greater works of Wyld Shaping. Each time she uses the prerequisite on a new shaping attempt, she starts at phase two.</t>
  </si>
  <si>
    <t>Lore 5, Linguistics 5, Essence 3</t>
  </si>
  <si>
    <t>Wyld-Shaping Technique, Mind-Scribing Method</t>
  </si>
  <si>
    <t>With this Charm the Lawgiver may instantly shape from chaos a single copy of a book she has mentally written with Mind-Scribing Method. This can be done without a roll to create a tome with an average cover and simple font, though a (Wits + Lore) roll against a Storyteller-defined difficulty can change the cover's material and design, give the book multiple lingual translations and a striking font, illustrations, color-edged pages and so on. This Charm does not require an activation of Wyld-Shaping Technique–the Solar is simply powerful enough to unleash the story in her mind upon the Wyld and shape it page by page. This does however require that she be in at least the bordermarches of chaos.</t>
  </si>
  <si>
    <t>5m + 1m per 1xp</t>
  </si>
  <si>
    <t>Lore 5, Essence 4</t>
  </si>
  <si>
    <t>Essence Font Technique, Selfsame Master Instructor</t>
  </si>
  <si>
    <t>The Lawgiver's knowledge of the past and her understanding of physical laws allows her to make nigh-flawless general predictions. To use this Charm, the Exalt must spend a day studying a subject from an authoritative or definitive source. Her player may then make a pronouncement against an ongoing project based on knowledge her studies reveal, creating bonuses for those who act in accordance with her accurate predictions, and penalties for those who go against them. For example, after reading about the patterns of weather, hostile elemental activity and famine in Jiara during the summer months over the last thousand years, she predicts that Mnemon will not attack Jiaran rebels until fall at the earliest, and will instead spend the summer months consolidating her forces while conserving water and gathering resources for a winter campaign. If Mnemon enacts a project to consolidate her forces while gathering resources until winter, the Storyteller should consider Mnemon's project vastly more successful and easier to complete than otherwise. If Mnemon instead decides to invade Jiaran rebel territory in the summer, her invasion will be met with project difficulties, such as resource shortages, elemental attacks, inclement weather, and more specifically, mechanical penalties to the first War rolls her generals make in the conflict. Conversely, if Mnemon harbors her forces and the Jiaran rebels instead try to attack her, it is their commanders who will suffer penalties to their opening War rolls. Once the Solar has made a prediction, it may not be canceled with a conflicting use of this or similar Charms, though it may be counteracted with Sidereal Astrology or similar powerful fate-bending magic. Though this Charm has an instant duration, the motes spent activating it are committed until the Exalt has had a full night's rest.</t>
  </si>
  <si>
    <t>Chaos-Repelling Pattern, Force-Draining Whisper</t>
  </si>
  <si>
    <t>Drawing from the deepest well of her existence, the Solar conjures forth a riddle or apparition from her ancient Essence and channels it against a single target. Roll the Solar's (Wits + Lore) with (Essence) bonus dice. The successes on this roll create the difficulty of the riddle or illusion posed to her target. The character must answer this effect with his own ([Intelligence or Wits] + Lore). If he fails the roll, his mind is momentarily shattered, and he loses two points of temporary Willpower. When done in combat, the target also loses four Initiative, awarded to the Solar. If the target has equal or greater Essence than the Exalt, the Solar also gains a point of Willpower. This Charm may be used once per scene.</t>
  </si>
  <si>
    <t>The stresses of mental violence draw power from the recesses of the Solar's mind. Once per scene, the Solar may use this Charm to restore a number of motes based on her current temporary Willpower. For each permanent Willpower dot she possesses above her current temporary Willpower score, she gains two motes of Essence. When used in combat, this Charm adds an extra mote to the Solar's per-round regeneration, upping it from five to six. This effect lasts until she is struck with an attack that does successful withering damage. This Charm is reset by earning three or more points of temporary Willpower through stunts, Charms, and so on.</t>
  </si>
  <si>
    <t>The Lawgiver unbinds a lost vision of glory and rises to greater power. The next time the Exalt stands to benefit from Immanent Solar Glory, that Charm now counts 8s, 9s and 10s for the purposes of restoring essence. Also upon using this Charm, the Solar's anima automatically increases by one level, an effect which cannot be muted by any means. This Charm may be used once per scene, butcan be reset by a two point stunt which may include the activation of this Charm. At Essence 5+, this Charm becomes Reflexive and may be used during phases of Wyld-Shaping Technique.</t>
  </si>
  <si>
    <t>The Solar is a force of living lore that compels the Wyld into shape. Once per attempted Wyld-Shaping Technique, the Exalt may ignore the Willpower cost of the Charm, and apply a free full Lore Excellency to the phase.</t>
  </si>
  <si>
    <t>The Solar may call upon her vast stores of knowledge to greatly enhance Wyld-Shaping Technique at phase three or beyond, aiding her roll with double 8s. She may call upon this power during one phase per attempt. A repurchase at Essence 5+ allows her to call on this power during an additional phase, aiding it instead with double 7s.</t>
  </si>
  <si>
    <t>10m, 1wp, 10xp</t>
  </si>
  <si>
    <t>Similar to the prerequisite, the Exalt may raise a manse from chaos. In order to do this, the Solar must be on at least phase four of Wyld-Shaping Technique in which she has created land with at least three major demesnes. She may then use this Charm, consuming three major demesnes back into the Wyld and raising an exceptional manse in their place.</t>
  </si>
  <si>
    <t>The Solar learns to draw Essence from her nascent world to empower greater acts of Creation. After each successfully-completed phase, roll (Essence + completed phase) dice. Each success restores two motes of Essence. This bonus stacks with Immanent Solar Glory.</t>
  </si>
  <si>
    <t>God-King's Shrike (Dogstar Ruminations)</t>
  </si>
  <si>
    <t>30m, 1wp</t>
  </si>
  <si>
    <t>Lore 5, Essence 5</t>
  </si>
  <si>
    <t>Prophet of Seventeen Cycles + any three Lore Charms</t>
  </si>
  <si>
    <t>Sage-emperors returned from their long slumber, the Solars' great beards have shattered their stone tables. In their great and terrible throes, they may call upon the forces of doom in order to save their world. The Solar must spend a full week contemplating and researching a region's history, climate, geography, etc. before using this Charm. Casting her gaze toward a foe, the Solar draws deep from the well of her experience, her knowledge of this life connecting to her knowledge of lives before. Through this Charm she reaches realization of a certain calamity that must happen, and her consciousness is recognized, in turn, by the universe. In this instance, what the Solar realizes she causes to happen. Roll the Solar's (Intelligence + Lore) against difficulty 5. A basic success is tantamount to the Solar predicting a natural disaster that has relatively damning effects: flash floods ruin roads, a drought destroys crops, an earthON UNSTOPPABLE MAGNUS APPROACHNote that any use of this Charm which causes the character to be roleplayed as if she's aware of Initiative as a resource is illegal per the rules on page 190. This means that if the player defers attacks against an opponent, prolonging combat in order to restore a character's Willpower, this Charm doesn't work.</t>
  </si>
  <si>
    <t>Once per story, the Solar may use this Charm to channel an inner wellspring of restorative knowledge. This Charm awards three points of temporary Willpower to the Solar, and may increase her current Willpower past her permanent rating.</t>
  </si>
  <si>
    <t>5m, 10i</t>
  </si>
  <si>
    <t>Incalculable Flowing Mind, Surging Inner Fire</t>
  </si>
  <si>
    <t>With mental skill beyond comparison, the Solar deftly converts the flow of combat into restorative power. In combat, the Lawgiver may use this Charm to gain one point of temporary Willpower.</t>
  </si>
  <si>
    <t>The Solar is forever transformed by the knowledge that has awakened inside her. This Charm permanently lowers the mote cost of Wyld-Shaping Technique by five motes. Martial ArtsWith the exception of Excellent Solar Martial Arts, which they develop under the same conditions as other Excellencies (p. 255), the Solar Exalted don't develop native Martial Arts Charms; rather, they partake of the rich tradition of martial arts techniques shared between all the Exalted. Chapter Seven presents eleven of Creation's many martial arts styles. Medicine</t>
  </si>
  <si>
    <t>Medicine 1, Essence 1</t>
  </si>
  <si>
    <t>Disease and pestilence cannot stand against the Solar Exalted. This Charm represents an hour spent treating a patient for an illness the Exalt has properly diagnosed. Roll the Exalt's (Intelligence + Medicine) against the disease's morbidity (p. 233) and add half the extra successes to the patient's Resistance roll at the next interval. Through this Charm, the Solar can weaken or even cure supernatural maladies such as the Great Contagion. However, the target must remain in bed, and must be bathed, fed, and otherwise given care for the duration of the next interval. These ministrations can be performed by the Solar's assistants. The Exalt may use this Charm to treat her own diseases, though some may require a stunt or special instruments to treat.</t>
  </si>
  <si>
    <t>Medicine 3, Essence 1</t>
  </si>
  <si>
    <t>If the Lawgiver generates at least double her patient's Stamina or Resistance (whichever is greater) in successes through the use of the prerequisite, she may use this Charm to demand that a malaise leave her patient's body. This causes the disease's interval to conclude immediately, and allows the patient the benefit of all rather than half the Solar's extra successes from Ailment-Rectifying Method. If successful, the pestilence immediately vacates the host, and the patient begins to recover over the course of a day. If the Solar saves a character from death's doorstep through the use of this Charm, she gains one point of temporary Willpower.</t>
  </si>
  <si>
    <t>Through mastery of Essence flows and a keen understanding of the body, the Solar can repair even the most ruinous damage at an incredible pace. The Solar spends fifteen minutes to an hour doctoring the patient, depending on the severity of the wounds. She still requires the normal medicines, bandages, and any tools that mightbe needed for more complex operations, but her results are nonetheless miraculous. Roll (Intelligence + Medicine) with double 9s at the end of the treatment. This is the number of bashing or lethal health levels that will be restored if the patient remains in bed for the rest of the day. In addition, if the Solar's treatment would raise her patient two or more wound levels, she gains a point of Willpower.</t>
  </si>
  <si>
    <t>The Solar's advanced medical techniques allow her to draw the poison from unnatural wounds. With this Charm, the Solar spends an hour cleaning and wrapping wounds, disinfecting and draining injuries and preparing the patient for more complex internal treatment. At the end of the treatment, convert the patient's aggravated damage to lethal damage. This allows the Solar to treat damaged tissue and to attempt to reattach severed limbs with Wound-Mending Care Technique. This Charm does not allow the regrowth of lost tissue.</t>
  </si>
  <si>
    <t>The Solar hones her medical abilities to an unearthly degree. By examining a patient closely and hearing about his symptoms, the Exalt can flawlessly diagnose his illness. This Charm supplements a (Perception + Medicine) attempt to generate a formal diagnosis, preventing the Solar from making any error in her analysis. Note that this Charm does not provide the Exalt with a vast storehouse of medical knowledge, but is based on her Lore and Medicine ratings. If the character encounters an unfamiliar disease, she is able to determine its general type and whether it is magical in nature. Though she may not always know exactly what she is looking at, this Charm guarantees she will never misdiagnose a patient. Lastly, if she encounters a disease which she specializes in treating, or which she has flawlessly diagnosed more than five times in a season, then she gains one mote each time she diagnoses it through the use of this Charm.</t>
  </si>
  <si>
    <t>Medicine 4, Essence 2</t>
  </si>
  <si>
    <t>The Solar permanently gains (Essence) successes to treat forms of disease, even if she does not have the proper tools or medicine to do so. Her efforts still must be efficacious and logical, but even if she lacks the most ideal instruments, she can still attempt to cure a plague or other sickness. Once a patient has been treated by the Solar, if he recovers, he gains four automatic non-Charm successes to resist disease virulence for the rest of the season.</t>
  </si>
  <si>
    <t>5m, 1wp or 5i, 1wp</t>
  </si>
  <si>
    <t>This Charm allows the Solar to complete up to an hour of medical treatment in a handful of seconds. Using this Charm lowers the treatment time required for one Simple-type Medicine Charm. The Solar still requires the proper medicines and surgical tools, but may eliminate the need for such with a properly medical stunt, such as tapping her patient's pressure points to increase the flow of Essence or massaging a person's heart until it starts beating.</t>
  </si>
  <si>
    <t>Medicine 5, Essence 2</t>
  </si>
  <si>
    <t>The Solar medician may strike at a temporary wound, such as a damaged nerve, a clouded eye, or a blocked meridian in order to instantly heal it. In combat, the Solar may counter the temporary crippling effects of certain Charms and magic such as Crippling Pressure Point Strike (p. 428) through the use of a difficulty 3 Medicine-based gambit directed at her patient. The difficulty of the Medicine “attack” roll is equal to the temporary penalty she wishes to remove; extra successes on this roll add bonus dice to the Initiative roll of the gambit. In addition, any 10s on the Initiative roll grant the Solar an equal number of Initiative if the gambit succeeds. The Exalt performs this treatment instantly and may stunt to forego the use of conventional medical instruments, striking pressure points, dashing out a burn with fresh snow, throwing acupuncture needles and so on. The Lawgiver's expert touch can smooth the flow of Essence to realign chakras, push bones back into place, remove minor tears in muscle fibers and so on–so long as the crippling is temporary, the Solar can instantly heal it.</t>
  </si>
  <si>
    <t>Medicine 3, Essence 2</t>
  </si>
  <si>
    <t>With just a touch, the Solar can alleviate the suffering of a sick or wounded individual. The patient feels a narcotic surge as the pain of his symptoms dulls away almost completely. This allows the Solar to ease the pains of childbirth, surgery, or invasive illnesses and other injury for up to (Essence) hours. This Charm removes up to -3 in wound or illness penalties. This effect wears off if the patient engages in any activity that would require him to leave bed for more than a handful of minutes.</t>
  </si>
  <si>
    <t>Striking her patient's anima with Essence-laden fingers, the Solar imparts a surge of new life. This Charm grants the target a number of -0 health levels equal to the Solar's Essence. These -0 levels are the first to be checked off when the character is injured, and fade immediately when the Solar releases her commitment, taking any damage with them. This Charm can be used to staunch wounds and stop the flow of blood.</t>
  </si>
  <si>
    <t>The Solar can draw the most vicious and noxious of poisons from her victim's body–even those that are supernatural in nature. Roll the Exalt's (Wits + Medicine) against the toxin's duration. If the Solar fully succeeds in lowering the duration, venoms and intoxicants seep from their point of entry, while poisons boil to the surface wherever the Solar touches her patient. This Charm does not completely remove all traces from a target's system–the Exalt may still need to treat residual effects, and the patient mayexperience one final attack to his health levels. But itdoes ensure that the toxin fully leaves the body after its next interval. If the Solar strikes a supernatural poison from her target's body in one attempt, she gains a point of Willpower.</t>
  </si>
  <si>
    <t>Medicine 5, Essence 3</t>
  </si>
  <si>
    <t>Where the Exalt's Essence-charged hands go, shattered bones are made whole and torn flesh is instantly mended. With each use of this Charm, the Solar can convert (Essence) aggravated damage to bashing or lethal, or she can cure the same number of lethal or bashing health levels. This Charm can be used once per scene, but can be reset by a two point stunt to treat a patient, so long as it does not involve Anointment of Miraculous Health.</t>
  </si>
  <si>
    <t>Anointment of</t>
  </si>
  <si>
    <t>Miraculous HealthThis Charm functions as Instant Treatment Methodology, but also lowers the convalescence of the Solar's patient to just seconds, allowing her to rebuild a ruined body and stand it upright in the time it takes to lace on boots. This Charm may be used once per scene, but can be reset by a two point Medicine-based stunt that does not involve Body-Sculpting Essence Method.</t>
  </si>
  <si>
    <t>Through repeated treatment, the Lawgiver can restore lost tissue, and may even challenge congenital debilitation. Correcting some forms of blindness or deafness can be done in as little as an hour. The Solar can recalibrate optic tissues under a compact of earth, while ear bones align themselves to the movements of her fingertips. Such a feat is usually impossible, but the Exalt may roll (Intelligence + Medicine) against difficulty 5 to heal such conditions. Regrowth of lost or missing tissues is a much more challenging affair, as is the repair of deformities, Wyld mutation or mental Derangements. However, the Solar's prowess is such that of these, only Derangements cannot be fully cured. In each case, the Storyteller should decide if the wound, malady or defect is Minor, Major, or Defining. Defining would include paralysis, lost limbs, missing eyes, complete lunacy, and mutations that renders a person completely incapable of a normal human life. The Solar must dedicate four hours a month to treating such conditions through whatever medical means and stunts seem appropriate. This begins an extended roll with a goal of 20, an interval of one month and a difficulty of 5. Under wraps, earth compacts, and acupuncture, a Solar can rebuild the lost tissues of destroyed eyes and missing limbs, and can even aid a target in growing organs that he was born without. Each time the Solar succeeds at the goal number, the malady decreases in intensity. Once it the goal has been met at the Minor level, a condition vanishes. Missing limbs are fully regrown, paralysis victims are able to walk, mutations wither and slough away or become easily operable. Only Derangements remain at the Minor level, though the Solar may continue to treat her patient at the Minor level to keep his symptoms at bay.</t>
  </si>
  <si>
    <t>Contagion-Curing Touch, Wholeness-Restoring Meditation</t>
  </si>
  <si>
    <t>The Solar invokes the power of the unbeheld other,her Solar Essence flaring. Roll (Wits + Medicine) and add the successes to the Exalt's mote pool, even if this would temporarily increase the size of her pool. In addition, add any 10s she rolls to her temporary Willpower, even ifthis would increase her Willpower past 10. Finally, for the duration of the scene, every 10 the Exalt rolls on a Medicine action restores a mote of Essence, until shefails to roll at least one 10. If she knows Healer's Unerring Hands, she may avoid breaking her trance through use of that Charm. The majority of the motes and Willpower generated by this Charm must be used on Medicine actions. Healing Trance Meditation can be used</t>
  </si>
  <si>
    <t>1lhl per 3m</t>
  </si>
  <si>
    <t>With this Charm, the Exalt may trade her very vital energies for Essence to fuel Medicine Charms. Motes gained in this manner dissipate if the Solar attempts to use them on any other form of magic. This Charm may not target temporary health levels created by other Charms.</t>
  </si>
  <si>
    <t>The Exalt can completely banish a target's pain withbut a touch. When she uses this Charm, her subject is suffused with Essence that flows through his nerve endings, transforming pain signals into those of euphoria. This prevents a character from feeling pain, removing all wound penalties. However, it also puts stress on the Solar. Should her target engage in strenuous activity such as combat, the Solar takes a -1 penalty to all actions as long as she keeps the Charm committed. This penalty stacks; if the Exalt supports multiple characters in this way, then her penalty mounts.</t>
  </si>
  <si>
    <t>Medicine 5, Essence 4</t>
  </si>
  <si>
    <t>Any Medicine Charm</t>
  </si>
  <si>
    <t>The Exalt hones her Essence through her medical knowledge to save lives. Through practice and meditation, internal vows and moments of celestial focus, she calibrates her spirit. This Charm permanently lowers the cost of the Medicine Excellency to one mote per two dice.</t>
  </si>
  <si>
    <t>Master Chirurgeon</t>
  </si>
  <si>
    <t>MeditationOnce per scene, the Solar may use one Simple-type Medicine Charm without paying motes or Willpower. This Charm can be reset by saving a dying character (one whose Incapacitated health level has been checked off) through medical care.</t>
  </si>
  <si>
    <t>Once per scene, the Exalt may use a free full Medicine Excellency.</t>
  </si>
  <si>
    <t>Healer's Unerring Hands</t>
  </si>
  <si>
    <t>While repairing damage or treating illness, the Lawgiver can correct even the tiniest mistake before it is made. This Charm allows the Exalt to reroll all non-successes on a Medicine action. If she eliminates half or more of her non-successes, she gains a point of Willpower.</t>
  </si>
  <si>
    <t>Medicine 5, Essence 5</t>
  </si>
  <si>
    <t>When she needs it most, the Solar physician can infuse her actions with limitless Essence, making her every movement and action flawless. Once per day, the Solar may double the successes on any Medicine roll.</t>
  </si>
  <si>
    <t>When pressed to the utmost, the Lawgiver may drawon her vast stores of medical knowledge, condensing them down into a single surge of Essence. Once perstory, the Solar may apply double 7s to a single Medicine action. Melee</t>
  </si>
  <si>
    <t>Melee 2, Essence 1</t>
  </si>
  <si>
    <t>The Exalt channels Essence through skill, honing her accuracy in order to strike true. Her attack gains one automatic success. Additionally, all 1s are rerolled until 1s no longer appear.</t>
  </si>
  <si>
    <t>1m per die or success</t>
  </si>
  <si>
    <t>Melee 3, Essence 1</t>
  </si>
  <si>
    <t>The Solar strikes with telling force, burning Essence surging into the body of her target and shattering it from within. On a withering attack, the Exalt spends up to her (Strength) score in motes before making the attack. If the attack hits, each mote spent adds a single die to the post-soak damage of the attack. This strike has the potential to increase minimum damage (p. 184).On a decisive attack, the Exalt may spend up to (Essence or three, whichever is greater) motes before making the attack to transfer an equal number of extra successes from her attack roll into the raw damage of the blow.</t>
  </si>
  <si>
    <t>Sensing an opening, the Solar strikes with surpassing speed. Immediately after making a withering attack which lowers an opponent's current Initiative from a value greater to a value less than the Solar's own, she may use this Charm to unleash a second attack against that opponent. This second attack may be withering or decisive.</t>
  </si>
  <si>
    <t>1m, 1wp, 3a</t>
  </si>
  <si>
    <t>Drawing her raging anima inward, the Solar's offense is renewed in a sudden burst of flashing, streaking fire. When the Exalt's anima is at bonfire, she may use this Charm to make an additional attack, even if she's already attacked that turn. The Exalt moves like ice on hot metal, expelling her anima with her attack and returning her to the dim level.</t>
  </si>
  <si>
    <t>Melee 1, Essence 1</t>
  </si>
  <si>
    <t>With speed and grace, the Exalt flashes to her own defense. Even when she is beleaguered she strikes away blows with preternatural accuracy. The Solar can ignore all penalties to parry an attack with her full Defense. In addition, any attack she successfully parries with Dipping Swallow Defense grants her one point of Initiative. This Charm cannot by itself remove the penalties from a surprise attack.</t>
  </si>
  <si>
    <t>Until next turn</t>
  </si>
  <si>
    <t>The Solar's mastery of defensive Essence flows guides her weapon to intercept all blows. Until her next turn, the Lawgiver ignores all penalties to her Parry Defense. The Chosen's definitive guard dampens her foes' strikes. Any damage roll made against the Solar takes a -1 penalty for each 1 rolled on the attack roll, up to a maximum of the Solar's Essence rating.</t>
  </si>
  <si>
    <t>Melee 4, Essence 1</t>
  </si>
  <si>
    <t>The Solar learns to defend others upon learning to defend herself. Like a pacing lion, she represents a formidable obstacle. The Exalt may take a reflexive defend other action to protect an ally within close range. This effect lasts a full scene, but only applies while the Solar and her charge are close to one another, and is cancelled if she moves out of close range. The Solar must drop commitment to this Charm to defend a different character.</t>
  </si>
  <si>
    <t>Melee 5, Essence 1</t>
  </si>
  <si>
    <t>The Solar makes a spectacular feint attack that opens her enemy's guard to an ally's blow. When using defend other, the Exalt may use this Charm to use a distract gambit (p. 200) to benefit her charge, with double 7s on the Initiative roll. In addition, when her distraction is successful, her charge's next attack gains (Solar's Essence or three, whichever is greater) bonus dice.</t>
  </si>
  <si>
    <t>Counterattack, Decisive-only</t>
  </si>
  <si>
    <t>The Exalt draws focus from her foe's temerity. To strike her is to invite death. The Exalt may use this Charm in response to any attack she attempts to parry, creating a Melee counterattack that occurs after the opponent's attack result, but before damage has been rolled. This attack functions as a regular decisive attack. Solar Counterattack does not count as the Exalt's combat action and cannot be used in response to another counterattack.</t>
  </si>
  <si>
    <t>Extending her hand, the Solar may summon her weapon with but a thought. This Charm can reach a weapon within short range. Roll (Wits + Melee) at difficulty 4. On a success, the weapon flashes to hand instantly, without traversing the space between. On a failure, the weapon leaps to the Solar's hand, overcoming friction and gravity to do so. However, it is unable to defeat doors, chains, or other similar obstacles, and even if the path is unobstructed, the weapon does not return until the Solar's next turn. The Exalt cannot use this power to steal weapons, only to call her own weapon to hand.</t>
  </si>
  <si>
    <t>With a moment of concentration, the Solar may banish a weapon Elsewhere. She may reflexively lift commitment to this Charm, summoning her weapon to hand in a flash of Essence.</t>
  </si>
  <si>
    <t>Melee 4, Essence 2</t>
  </si>
  <si>
    <t>At the apex of her strike, the Solar channels an inexorable flow of offensive Essence through her weapon, increasing the speed and ferocity of her attack. This Charm is activated after an attack roll has been made, before a defense has been applied, and only when the Exalt uses a full Melee Excellency. If the attack's result contains at least one 7, 8, 9, and 10, add one non-Charm automatic success and roll (Essence) non-Charm dice.</t>
  </si>
  <si>
    <t>Melee 5, Essence 2</t>
  </si>
  <si>
    <t>Once per scene, the Lawgiver may use this Charm to enhance the prerequisite. This Charm treats the Exalt's Initiative as being three higher than it really is for the purposes of triggering One Weapon, Two Blows.</t>
  </si>
  <si>
    <t>The Solar becomes a killing blur, unstoppable as she whirls through a storm of blood and steel. This Charm splits the Exalt's Initiative to make a series of (the lowest of her Strength, Dexterity, or Stamina) decisive attacks. These attacks may be directed at a single target, or multiple targets as the player desires. The player divides the Solar's Initiative between the attacks when they activate the Charm, for the purpose of determining the damage of each attack. Each attack must have at least one Initiative allocated to it, and unlike normal decisive attack resolution, the Solar does not return to base Initiative until the final attack is resolved, and only loses Initiative for missed attacks if all of her attacks fail to connect. In the case of such a miss, the Exalt loses two Initiative per attackattempted. Special activation rules: Attack-enhancing Charms such as Excellent Strike and Hungry Tiger Technique need only be paid a single time to enhance every attack in this sequence, but the Melee Excellency must be paidper attack. Iron Whirlwind Attack can be activated directly after using Peony Blossom Technique as if it were a Reflexive Charm.</t>
  </si>
  <si>
    <t>Accepting no form of defeat, the Solar gazes along the edge of her blade and sees what it would see. The ebb and flow of battle becomes clear to her; she sees the arcs of incoming attacks as glowing trails of Essence, and moves with impossible, fluid speed to strike the path of all harm. For a full scene, the Exalt may ignore certain penalties to her Parry Defense and reduce the cost to use Bulwark Stance by two motes and Dipping Swallow Defense by one. In addition, when she uses Dipping Swallow Defense, it raises her Parry Defense by one.</t>
  </si>
  <si>
    <t>1i per success +4m or 4m or 4m, 1wp</t>
  </si>
  <si>
    <t>Perilous, Decisive-only</t>
  </si>
  <si>
    <t>The Solar may strike aside even the falling sky. When struck with a decisive attack, the Solar retroactively channels her Initiative to strike away harm–burning away successes on the damage roll at a rate of one success per one point of Initiative. Any successes she is unable or unwilling to strike away still register as injuries, removing an equal number of levels from her health track. An attack which is completely nullified by Heavenly Guardian Defense seems to strike the Solar at first, but then is turned aside by the blurring interposition of her blade. Heavenly Guardian Defense allows also the Solar to guard against damage deemed impossible to parry, such as unexpected attacks, hurled bolts of acid or lightning, the burning curses of Kimbery and so on, for just four motes. This Charm may also be invoked in or out of combatfor four motes, one Willpower, to strike away uncountable recurring damage without using the Solar's Initiative. As an island is disintegrated by the sky-shattering blast of a supervolcano, the Solar turns aside the heartof the explosion with the skill of her blade. Use of Heavenly Guardian Defense causes no harm to the Exalt's weapon.</t>
  </si>
  <si>
    <t>1m per success</t>
  </si>
  <si>
    <t>Melee 3, Essence 2</t>
  </si>
  <si>
    <t>The Solar can see the flaws in any strike, and use them to turn aside even the surest smite. The Exalt may pay one mote per 1 or 2 in the attacker's dice result to remove up to (Essence) successes from the attack. This Charm can be activated after the attack roll is made.</t>
  </si>
  <si>
    <t>The Unconquered Sun sent the Lawgivers to take Creation back from the hands of the wicked. They protect their charges with growing clarity–a natural sense of understanding that is theirs–allowing them to unleash havoc on the heads of their foes. If the Exalt successfully parries an attack while using the defend other action, she gains one Initiative.</t>
  </si>
  <si>
    <t>When the Lawgiver draws her blade in defense of another, her charge becomes nigh untouchable. When using War Lion Stance to defend another, the Exalt may use this Charm to make her charge an inapplicable target. All incoming attacks must target her until her next turn. During this time, if her defense is penetrated, her charge cannot be attacked. At Essence 3+, the Exalt may even defend her charge from sufficiently large sources of damage such as explosions with a stunt.</t>
  </si>
  <si>
    <t>Honing her skill and focusing her will, the Exalt shapes her Essence into the form of a blade. This Charm creates a weapon with stats identical to a daiklave, described on page 595. The weapon is made of solidified Essence forged in all the colors of Solar anima, and glows like a torch. Even a darkly-colored weapon such as a violet blade with a swirling hilt the color of blue flame will exude a shining aura.For additional purchases, players may add custom Evocations to Glorious Solar Saber. Players should work with their Storyteller to create Evocations that fits the character's personality or iconic anima manifestation. In addition, Glorious Solar Saber has the following power: Molten Sun Blade: For one mote, one willpower, the weapon becomes superheated and drips molten flame that burns whatever it touches. The Solar's next attack will destroy any mortal blade or shield that attempts to parry it. While the effect is active, the Solar may use a blade or spearhead like a blowtorch, melting through stone walls or steel gates at a rate of two feet per turn. If Molten Sun Blade is used in combination with a clash attack against a battle group, and the clash succeeds, the Solar is seen to strike a burning arc around her position, cleaving through the weapons of foes on all sides. The battle group may not attack her again until it has succeeded at a rally action.</t>
  </si>
  <si>
    <t>Mute, Uniform</t>
  </si>
  <si>
    <t>Call the Blade, Excellent Strike</t>
  </si>
  <si>
    <t>The Solar hurls her weapon across the sky to seek her foe like a bird of prey. This Charm allows the Exalt to make a withering or decisive attack at medium range without aiming. In addition, if Iron Raptor Technique is used to crash an opponent, the Exalt gains one point of temporary Willpower. Usually the weapon returns to the Solar's hand on the same tick she makes the attack. However, if the attack roll is a botch, the Lawgiver's weapon becomes embedded in scenery at close range to the defending target.</t>
  </si>
  <si>
    <t>5m, 2i</t>
  </si>
  <si>
    <t>Channeling power into her weapon, the Solar strikes a blow against a distant foe. A colorless ribbon of concentrated force leaps from her blade and arcs toward her target. This Charm allows the Solar to launch a decisive attack against opponents at short range. This attack ignores hardness, and does (Essence) automatic successes in damage to scenery, passing through objects it destroys to strike targets behind cover. Furthermore, if the Exalt withholds her attack in order to clash (p. 202), she may launch this attack reflexively in order to clash a ranged opponent's attack.</t>
  </si>
  <si>
    <t>The Lawgiver concentrates on manifesting her Essence through the medium of her weapon. Investing her attack with Solar power, she strikes a vicious blow against demons, undead, and other creatures of darkness. Onan attack that accrues at least one success on the damage roll, she may activate this Charm. Her weapon glintsat the point of impact, slicing her foe's corpus with purifying Essence. Roll (Essence) damage dice againsther target's health track. This damage roll ignoreshardness.</t>
  </si>
  <si>
    <t>Melee 5, Essence 3</t>
  </si>
  <si>
    <t>The Solar's existence is one of violence; she leads a life poised on the blade's edge. Given that her life is one of strife and war, she must draw peace and clarity between swings of her blade. This Charm is triggered each time the Exalt uses Rising Sun Slash, awarding a mote for every 10 in the attack roll.</t>
  </si>
  <si>
    <t>Dual, Perilous</t>
  </si>
  <si>
    <t>The Solar charges her body and weapon with Essence, unifying the two to unleash a brutal strike that rends her opponent. This Charm can only be used on a crashed target. On a withering attack, extra successes are doubled after the attack roll for the purpose of determining raw damage. On a decisive attack, extra successes from the attack roll are added to the damage roll. If used in conjunction with Fire and Stones Strike, the Exalt simply duplicates up to (Essence or three) extra successes when paying for damage dice.</t>
  </si>
  <si>
    <t>Drawing in Solar Essence, the Lawgiver is possessed by the soul of combat and moves across the battlefield like a killing wind. This Charm enhances its prerequisite: the Solar may make up to (the highest of her Strength, Dexterity, or Stamina) attacks, and may move a single range band to make each attack. In addition, when she activates Iron Whirlwind Attack, she gains an amount of Initiative to spread between her attacks equal to the number of attacks she intends to make. This extra Initiative vanishes after the attack is completed.</t>
  </si>
  <si>
    <t>Dipping Swallow Defense, Excellent Strike</t>
  </si>
  <si>
    <t>Tuning her understanding of martial Essence through her dedicated weapon-mastery, the Solar can momentarily achieve flawless combat efficiency. Once per scene, the Exalt may use a full Melee Excellency, paying only a single willpower to activate the Charm. Perfect Strike Discipline can be reset by incapacitating an opponent with a Melee attack.</t>
  </si>
  <si>
    <t>Counterattack, Withering-only</t>
  </si>
  <si>
    <t>One Weapon, Two Blows, Solar Counterattack</t>
  </si>
  <si>
    <t>The Solar moves her blade with the speed of her scorn, cutting through her foe in the moment he chooses to strike. The Exalt may use this Charm in response to any attack she attempts to parry, creating a Melee counterattack that occurs after the opponent's attack result, but before damage has been rolled. This attack acts as a special withering attack, with successes on the damage roll reducing the target's Initiative. However, rather than being added to the Solar's Initiative, these points are converted immediately to decisive damage dice and rolled against the target's health track, ignoring hardness. This damage occurs independently of the Solar's current Initiative and does not return her to base. Flashing Edge of Dawn does not count as the Exalt's combat action and cannot be used in response to another counterattack.</t>
  </si>
  <si>
    <t>The Lawgiver moves with the speed of a striking hawkto intercept a blow with one of her own. This Charmallows the Solar to make a reflexive Melee clash attack against an attack directed at her, regardless of her place in the Initiative order. This does not count as the Solar's combat action. The rules for clash attacks can be found on page 202.</t>
  </si>
  <si>
    <t>Over-and-Under Method</t>
  </si>
  <si>
    <t>–(7m, 1wp)</t>
  </si>
  <si>
    <t>This Charm allows the Solar to use Flashing Edge of Dawn in the same instant that she uses Fervent Blow. If the clash is successful, resolve the counterattack's attack and add the damage (if any) to that of Fervent Blow for a single damage roll. Over-and-Under Method's cost replaces that of Flashing Edge of Dawn and Fervent Blow.</t>
  </si>
  <si>
    <t>The Lawgiver channels the blinding radiance of her anima banner through her weapon, binding blade and soul in a glorious physical manifestation of terrifying power. The Solar may only use this Charm when her anima is at the bonfire level. Her anima crawls over her weapon, suffusing it, and her iconic avatar can be seen to emanate from the blade. For the rest of the scene, her anima is focused around her blade, fluxing and rising with the use of Charms that expel her aura and returning with expenditures of Essence. While Immortal Blade Triumphant is active, her weapon cannot be disarmed or destroyed, and when she makes attacks, her damage is boosted greatly. Any stunt bonuses to her attacks are also added to her damage rolls, and if she is at the bonfire anima level, (Essence) damage dice are converted into automatic successes. Should the Solar need even greater power than this, she may force her anima out through her blade, releasing the Essence committed and terminating this Charm in a single devastating decisive attack. Doing so adds (Essence) automatic successes to the damage roll instead of converting (Essence) dice to automatic successes, and allows the attack to bypass hardness. This attack can only be made at the bonfire anima level. Calling upon this power ends this Charm and resets the Solar's anima banner to the dim level.</t>
  </si>
  <si>
    <t>The Lawgiver draws her weapon through the air, focusing Essence through her aggression. Her flesh coruscates with Solar energy which gathers around her hand and her weapon when she parries. For the rest of the scene, her parry Defense is raised by one against creatures of the night, the Abyssal Exalted, demons and the impure residents of Creation's underways. In addition, if such creatures strike her without a weapon, they must contend with decisive damage dice equal to the Solar's Essence. This damage ignores hardness.</t>
  </si>
  <si>
    <t>Through meditation and practice, the Exalt learns to tap and refine her Solar Essence, sharpening her attacks against the forces of darkness. This Charm permanently enhances Corona of Radiance, Sandstorm-Wind Attack, and Blazing Solar Bolt. Attacks made against creatures of darkness during Corona of Radiance have their minimum damage increased by the Solar's Essence, while Sandstorm-Wind Attack and Blazing Solar Bolt gain an additional bonus to raw damage equal to the Solar's Essence. In addition, the Lawgiver may unleash Edge of Morning Sunlight and the aforementioned Charms against characters for whom she holds negative Major and Defining Intimacies, treating them as if they were creatures of darkness, if they are not already. Making such an attack against a Major target adds one Willpower to the cost of an attack, while making such an attack against a Defining foe only adds one mote to the attack's cost. Any attack against a hated foe that includes the minimum damage bonus from Corona of Radiance incurs a cost of two motes, even if it is enhanced by no other Charm. The benefits (and greater cost) of these Charms against hated enemies can always be waived.</t>
  </si>
  <si>
    <t>5m, 2i, 1wp</t>
  </si>
  <si>
    <t>The Lawgiver hones the force of her judgment into a lambent charge of pure Solar power, and raises her weapon to strike. A powerful stream of energy leaps between her weapon and her Caste Mark and is unleashed by her attack, flying through the air to lance through her opponent. This attack is made with the Solar's (Dexterity + Melee), and does lethal decisive damage with a base damage of (Essence + extra successes on the attack). Blazing Solar Bolt can strike an opponent from short range, ignores hardness, and cannot be dodged or blocked without a Charm. In addition, the Charm's range can be increased by spending anima levels at a rate of one level per increase, allowing the Solar to strike opponents four range bands distant. Against residents of Malfeas or the Underworld and other creatures of darkness, this Charm gains the Aggravated keyword. Damage done by this attack does not include the Solar's Initiative and does not return her to base Initiative upon success.Special activation rules: Blazing Solar Bolt can only be used once per combat, but can be reset by landing a decisive attack with 7+ Initiative and then building Initiative to 12+.</t>
  </si>
  <si>
    <t>Melee 5, Essence 4</t>
  </si>
  <si>
    <t>Decisive-only, Perilous</t>
  </si>
  <si>
    <t>With limitless speed and inexorable spirit, the Solar's weapon flashes in an arc, striking opponents on all sides. This Charm allows the Solar to roll a single decisive attack against all opponents at close range, using half her current Initiative value (rounded up) as the base damage for every attack. Against minor opponents, use the Solar's full Initiative for the base damage of each attack and ignore hardness. At Essence 5+, the cost of this Charm is reduced by one mote.</t>
  </si>
  <si>
    <t>6m, 1a, 2i</t>
  </si>
  <si>
    <t>Melee 5, Essence 5</t>
  </si>
  <si>
    <t>Withering-only, Perilous</t>
  </si>
  <si>
    <t>If the Lawgiver slays even one foe with Heaven Sword Flash, she may instantly unleash Circle of Bright Reaving, striking opponents on all sides within close range with a single withering attack. The Solar gains full Initiative reward from only the most damaging dice roll, and no more than three Initiative for each additional roll that does successful damage. If she manages to crash even a single opponent with this Charm, she has the option to unleash Heaven Sword Flash reflexively.</t>
  </si>
  <si>
    <t>When the Solar successfully parries decisive damage using Heavenly Guardian Defense, she gathers an amount of bonus Initiative equal to the 1s and 2s on the damage roll. This Initiative is not transferred to her current Initiative value, but is instead recorded and set aside until she must use it. She may gather up to (Essence) Initiative in this manner, and may use it only to enhance Heavenly Guardian Defense. The Exalt may choose to expend any or all gathered Initiative into paying the cost of Heavenly Guardian Defense, but doing so expends the bonus Initiative. In addition, the Solar may pay four motes, one Willpower to double the bonus Initiative she has already gathered for one tick, allowing her to further enhance the prerequisite. This Charm explicitly allows the Solar to use Heavenly Guardian Defense in crash, up to a limit of her gathered (or double gathered) bonus Initiative.</t>
  </si>
  <si>
    <t>Occult 1, Essence 1</t>
  </si>
  <si>
    <t>The Solar can look through the pall of reality to glimpse the realm of spirits beneath. With this Charm, the Solar can see (but not touch) immaterial spirits.</t>
  </si>
  <si>
    <t>Occult 2, Essence 1</t>
  </si>
  <si>
    <t>The Solar's senses are preternaturally attuned to the movements of spirits and other uncanny beings. Whenever a spirit or Fair Folk is within the range of the Exalt'ssenses, she experiences a strange sensory phenomena; she might hear bells tinkling, smell a particularly strong or unusual scent, or taste something resonant. The Solar gains half her Occult (rounded up) in successes to an Awareness-based attempt to notice such a being. The warning signaled by this Charm occurs even when a spirit is immaterial, allowing the Solar to use Spirit-Detecting Glance.</t>
  </si>
  <si>
    <t>Occult 3, Essence 1</t>
  </si>
  <si>
    <t>Immersion into the occult opens the Lawgiver's eyes to evidence of spirit actions. She more readily and easily sees the handiwork of ghosts and demons, and can more skillfully detect the footsteps of spirits. When using Survival or Investigation to track a spirit or uncover evidence of its actions, the Exalt gains (Essence or three, whichever is greater) bonus dice to the attempt.</t>
  </si>
  <si>
    <t>The Solar infuses her attack with the emotive force of her anima, to strike an immaterial spirit. This Charm supplements a single attack to strike a spirit which has not materialized. If the Solar is not using the prerequisite or another similar magic, this attack is made at -3 dice. Spirit-Cutting Attack may be used in combination with the Charms of other Abilities.</t>
  </si>
  <si>
    <t>The Lawgiver has the power to draw cold entropy and ethereal power from ghosts and spirits, adding swiftness and surety to her attacks. While this Charm is active, the Solar's successful withering attacks against spirit opponents generate one automatic level of withering damage. At Occult 4+, Essence 2+, the Exalt can choose to drain a mote instead of a point of Initiative.</t>
  </si>
  <si>
    <t>This Charm is the technique by which the Solars slew the enemies of the gods, and spirits hate and fear it. This Charm may supplement attacks made by other Abilities. An attack supplemented by this Charm does aggravated damage against spirits, and draws a number of motes from the spirit equal to the highest wound penalty inflicted by the attack. For example, striking off a number of -1 health levels would give the Solar one mote. Striking off a number of -2 health levels and a -4 would give the Solar four motes. If a spirit is slain by this attack, it is destroyed permanently, and the pattern of its Essence is subsumed by the Solar's anima. Destroying a spirit with this Charm grants the Exalt (Solar's Essence + spirit's Essence) motes.</t>
  </si>
  <si>
    <t>Occult 4, Essence 1</t>
  </si>
  <si>
    <t>The Exalt suffuses her target's body with Solar Essence. An immaterial opponent struck by this technique becomes material for two turns. The Solar may activate this Charm after landing an attack with Spirit-Cutting Attack. So long as the damage roll generates at least one success, she may trigger this Charm.</t>
  </si>
  <si>
    <t>Occult 5, Essence 1</t>
  </si>
  <si>
    <t>The Lawgiver may expertly hunt the things which slink and slide through cracks in the world. When this Charm is active, the Exalt gains (Essence) dice to her attacks against spirits.</t>
  </si>
  <si>
    <t>On the verge of death, the Exalt draws uncanny Essence around her like a shroud, stepping between worlds. When struck with any kind of damage or attack that would remove her last health level, the Exalt may use this Charm to stop the final level of damage. This Charm cannot be used if the Solar is currently on her last uninjured health level.</t>
  </si>
  <si>
    <t>The Solar speaks an unutterable word that pulls one spirit familiar or sorcerously-bound demon into the physical world. This Charm allows a spirit ally to materialize without having to pay a cost or use its own magic.</t>
  </si>
  <si>
    <t>The Exalt expands her knowledge of the realm of spirits to all corners of her mind, shunning knowledge that binds her understanding. While this Charm is in effect, the Lawgiver automatically speaks and understands Old Realm, even if it is not a language she has learned, but loses her ability to comprehend any other language. In addition, the Solar also naturally comprehends other spirit languages as old and strange as Old Realm, languages for which there exists little to no record. While this Charm is in effect, the Solar gains (half her Essence, rounded down, minimum one) automatic successes to all Occult rolls and shaping actions.</t>
  </si>
  <si>
    <t>The Exalt directs the flow of her Essence out of the world and draws it in, bringing back a quickening breath of realms beyond. Once per scene, the Solar may enact a free full Occult Excellency. This Charm may be reset by raising the Exalt's anima to iconic and shedding it back to the dim level.</t>
  </si>
  <si>
    <t>All-Encompassing Sorcerer's Sight</t>
  </si>
  <si>
    <t>Occult 5, Essence 2</t>
  </si>
  <si>
    <t>The Exalt gazes into the Essence of the world and sees the patterns of magic that make up Creation. For a few seconds after activating this Charm, the Solar can see Essence flowing through the world. She can perceive immaterial spirits, but moreover, she can see the workings of spirit energies around her. If a character is using a shaping action or Evocation, the Solar may make an Intelligence + Occult roll at a difficulty of the effect's Essence minimum to determine how the power works. This Charm may also be used to identify the presence of ongoing sorcerous effects such as mystical barriers and levitating platforms, revealing not only the presence of magic, but how it functions. This power also allows the Exalt to see places where Creation is thin–the borders of shadowlands and the Wyld appear as hazy, gauzy distortions of light. The Solar may also detect the entrance to spirit sanctums within her range of vision. This Charm does not reveal the working of the Charms of the Exalted.</t>
  </si>
  <si>
    <t>Upon destroying a spirit with Ghost-Eating Technique, the Solar may activate this Charm to draw the rent and torn Essence of the spirit into her limbs and through her chakras, embodying it. For the rest of the scene, the Exalt gains (Essence) powers or traits based on the Charms and themes of the destroyed spirit, to be decided by the Storyteller. This power explicitly allows the Solar to utilize magic effects that cannot be learned through the Eclipse anima power, but the Exalt may not take powers with a prerequisite higher than ([Solar's Essence] + 2).</t>
  </si>
  <si>
    <t>Sometimes those who are physically ill or mentally weak become prey to spiritual possession or another malaise of the soul. The Lawgiver may draw the malevolence from such a victim, rolling (Wits + Occult) against the Resolve of the possessing spirit, or the morbidity of a spiritual malaise. If she succeeds, the Solar draws a malaise or a spirit of equal or lower Essence into her anima, neutralizing it until she wishes its release. If the spirit is of a greater Essence than the Solar, then it is automatically forced out of the host, and may not return to the victim's body for a season, but it is otherwise free. The Exalt may not capture more spirits than she has points of permanent Essence.</t>
  </si>
  <si>
    <t>4i</t>
  </si>
  <si>
    <t>Occult 4, Essence 2</t>
  </si>
  <si>
    <t>The Solar's understanding of corporeal Essence allows her to channel her forces to rend spirits at the point of impact. Breath-Drinker Method supplements a decisive attack, allowing the Solar to steal a number of motes from a spirit equal to the number of health levels damaged by the attack. The Exalt may not steal more than (Essence x2) motes on a single attack.</t>
  </si>
  <si>
    <t>Occult 3, Essence 2</t>
  </si>
  <si>
    <t>Striking at an unseen movement, the Exalt draws a formless pattern from the depths of the universe. A blazing white-gold Essence diagram extends in a circle around the Lawgiver, spreading out to short range. Spirits with Essence ratings equal to or lower than the Exalt's must materialize or leave the circle. Spirits with a higher Essence rating than the Exalt must apply their Resolve against the Solar's (Wits + Occult) in order to resist, with the Solar's influence gaining (Essence) dice against normal spirits or (Essence) automatic successes against demons and other cursed spirits. This mandala stays fixed on the location the Solar is standing for one scene, and vanishes if she leaves the circle. Spirits of equal or lower Essence than the Solar cannot attack characters inside the circle while standing outside it, and spirits forced to leave the diagram may not attack characters within it.</t>
  </si>
  <si>
    <t>Spirit-Repelling Diagram, Uncanny Shroud Defense</t>
  </si>
  <si>
    <t>The divine flame of the Solar's Essence marks her as the greatest power in Heaven. Though she is made of mortal substance, her Essence is materially inviolate. When she uses this Charm, an immaterial being must struggle to strike her. Any attack made against her by such a being costs an additional point of Willpower.</t>
  </si>
  <si>
    <t>The Lawgiver inverts Spirit-Repelling Diagram, creating a pattern that binds a spirit in place. This Essence diagram forms around a target up to two range bands from the Solar. An intricate pattern in the diagram traps and binds the spirit's Essence, sealing it within the mandala. Pay the cost of this Charm once and roll the Solar's (Wits + Occult) against a difficulty of the spirit's Essence. If successful, the spirit is bound on the spot for a number of turns equal to (extra successes + 1), upon which the Solar must roll (Wits + Occult) against the spirit's Essence to maintain the cage. Each time the Solar succeeds at this contest, the binding effect is extended as above, but the difficulty also increases by one on each subsequent attempt. During this time, the Solar may approach the spirit, but if she moves more than two range bands away from it, the mandala fades and the spirit is freed. An immaterial spirit trapped in the Spirit-Caging Mandala may be perceived by characters who cannot normally see spirits, and may be struck by characters who cannot normally strike immaterial foes. As the spirit is rendered incapable of moving across range bands, spirits trapped in the cage can only attack characters outside the diagram if they have the ability to attack at range, and only then if they are attacked first. Foes who enter the mandala at close range are always fair game.</t>
  </si>
  <si>
    <t>With a greater expenditure of control, the Exalt may rend the veil with word and voice, giving physical form to a number of immaterial spirit allies. Roll the Solar's (Wits + Occult). Each success materializes a single sorcerously-bound demon or familiar spirit. If the Exalt rolls three sixes–no more, no less–all of her spirit allies materialize at once, regardless of the number of successes, and she gains two points of temporary Willpower.</t>
  </si>
  <si>
    <t>Dark-Minder's Observances</t>
  </si>
  <si>
    <t>Walking the haunted roads of Creation, the Lawgiver learns to hear the Essence of the world. These sounds govern her understanding of everything that is not said. With this Charm, the Solar may learn up to (Essence) thaumaturgic rituals without paying experience points.</t>
  </si>
  <si>
    <t>Occult 5, Essence 3</t>
  </si>
  <si>
    <t>The Solar's keen eyes burn through deception. This Charm enhances All-Encompassing Sorcerer's Sight, aiding the Solar in an attempt to see through magical disguises, shapeshifting, or any other magic which allows a character–even another Exalt–to appear to be something or someone other than who he is. This Charm makes it possible to notice such effects with Awareness, adding the Solar's Essence in automatic successes to the attempt. For the difficulty of seeing through disguises, see page 224. Unless stated otherwise, seeing through all other kinds of magical identity-deceptions is a difficulty 5 feat.</t>
  </si>
  <si>
    <t>The Solar may cast her spirit from her body to save a target from corruption. The Solar steps forward and touches her target, enacting a (Wits + Occult) battle against the character's Resolve, in which Intimacies do apply. Upon success, both the Exalt and the target become completely entranced, as the Solar casts her spirit into the body of her target. The exact effect of this dramatic action is up to the Storyteller–the Lawgiver may use this to enter a raksha to retrieve the soul of an eaten loved one, or she might enter the body of her Lunar mate to do battle with a Derangement created by a past incarnation. More specifically, the Exalt may use this to cast a spirit into her target, forcing a possession of that character, or infecting him with a spiritual malaise if he fails a Resistance check against the virulence of the attack. This attack requires the Exalt to have previously captured such a spirit or disease using this Charm's prerequisite.</t>
  </si>
  <si>
    <t>The Exalt infuses the Essence pattern of the Spirit-Caging Mandala with gossamer and iron, allowing it to trap formless denizens of the Wyld, temporarily forcing them to manifest a form as substantial as a materialized spirit.</t>
  </si>
  <si>
    <t>The Solar may draw on the Essence of a creature she has bound into the Spirit-Caging Mandala to power her Occult magic. Until the bound character is free, the cost of the Exalt's Occult Charms are reduced by the Essence score of the trapped entity. These motes are taken from the bound character to fuel the Solar's Charms. The Solar may also invoke this power each time she takes a shaping action in order to cast a spell.</t>
  </si>
  <si>
    <t>The Lawgiver's binding pattern stifles the will of her captive, weakening its Resolve. When using non-Occult based social influence on a target bound with Spirit-Caging Mandala, the Solar gains one automatic success to her influence, while the trapped spirit is at -1 Resolve until it escapes. If the captive is a creature of darkness, the Solar gains two automatic successes while the creature's Resolve is reduced by -2.</t>
  </si>
  <si>
    <t>16m, 1wp</t>
  </si>
  <si>
    <t>The Lawgiver speaks her authority into the world, and her words work through the moorings and bindings of Creation to bring forth spirits. Every spirit or immaterial being within six range bands must succeed at a (Wits + Dodge) check at a difficulty of ([the Solar's current temporary Willpower] + Essence). Beings who fail this check are forced to materialize, though without paying the cost of materializing magic. Ghosts struck with All Souls Benediction have the option to go immediately into lethe to avoid facing the Lawgiver's wrath. Creatures struck with All Souls Benediction may not dematerialize until the Lawgiver permits it, or until the scene ends.</t>
  </si>
  <si>
    <t>3m per Charm</t>
  </si>
  <si>
    <t>The Solar channels her Essence into a perfect medium. At the center of day and night, she may be taught up to (Essence) spirit Charms that are applicable to the Eclipse anima power. She need not pay experience points to learn these Charms; she maintains the power to perform such magic as long as she keeps motes committed to the effect. Releasing these motes causes knowledge of the Charm to fade. In order to learn these Charms, the Exalt must meet the trait requirements for the Charm, but does not need to have learned the Charm's prerequisites.</t>
  </si>
  <si>
    <t>Sorcerer's Burning Chakra</t>
  </si>
  <si>
    <t>Occult 5, Essence 4</t>
  </si>
  <si>
    <t>The Solar sees all things truly. When she is at the iconic anima level, she automatically gains the effects of All-Encompassing Sorcerer's Sight for free. Furthermore, using Spirit-Detecting Glance in combination with All-Encompassing Sorcerer's Sight allows the Exalt to discern the nature and Essence rating of a spirit if she succeeds at an Occult roll with a difficulty of the spirit's Essence.</t>
  </si>
  <si>
    <t>–(7m)</t>
  </si>
  <si>
    <t>The Solar may use the prerequisite to enter the psyche of another, examining his dreams and memories, no matter how distant or forgotten, for traces of spiritual taint, demonic possession, or other signs of haunting. While entranced, the Solar experiences the dream or memory of her subject in first person, and may interact with the world of her subject's mind using Awareness, Investigation and Occult Charms to look for signs of spiritual predation. Though she cannot use her presence in her subject's mind to change his memory's outcome, she can use what she discovers as a basis for further action. Furthermore, if she is able to confirm the presence of a spirit actor in her subject's past, she may also commit seven motes to create a doorway which opens in her mind the moment her subject is approached by the spirit. The moment she steps through it, the Exalt falls into a trance and experiences a dematerialized state that allows her to enter the scene through the dreamscape of her subject, where she may confront the spirit with all of the force that is hers to wield. While the Solar may not interact with any other physical beings in this state, if the spirit attempts to escape her by materializing, the Solar may still perceive and attack it by using Charms such as Spirit-Detecting Glance.</t>
  </si>
  <si>
    <t>After capturing a being within the Spirit-Caging Mandala, the Lawgiver strikes apart the pattern, inverting the mandala to rend apart the being's Essence. Roll the Solar's (Intelligence + Occult) against the target's Resolve. This attack can neither be enhanced nor defended against through an application of Intimacies–nor can it beresisted with Willpower. If successful, the target's permanent Essence is reduced by one until it escapes the pattern, and if the difficulty of binding the target hasincreased due to a number of successful (Wits + Occult) rolls (as per the rules of Spirit-Caging Mandala), thenthe difficulty returns to its base number, the spirit's Essence -1. Spirit-Shredding Exorcism may not be applied more than once to a single target. If this Charm reduces a being's Essence to 0, it's unable to act until it escapes the mandala.</t>
  </si>
  <si>
    <t>1wp, 3a</t>
  </si>
  <si>
    <t>Occult 5, Essence 5</t>
  </si>
  <si>
    <t>The Solar may channel the Essence of the world through her body, becoming a momentary vector for incredible power. While her anima is iconic, the Exalt perceives the flows of Essence around her. Even as she recognizes the inherent genius of cosmic design, she sees its flaws–loose or wasted motes, cast off from expelled Charms or sorcery, or flowing from fissures in the dragon tracks. For one Willpower, she may cast off her anima, shedding it to the dim level. It dissipates, flowing out across the world in all directions, and every loose mote it passes is drawn back to the Solar. Roll a free full Occult Excellency of the Solar's (Perception + Occult); successes on this roll determine how many motes the Solar is able to gather. These motes may only be used to power Charms from Craft, Investigation, Medicine, Lore, and Occult, or added to the mote total of a shaping action by the Solar. Spirit-Drawing Oculus may only be used once per day.</t>
  </si>
  <si>
    <t>20m, 1wp</t>
  </si>
  <si>
    <t>Carnal Spirit Rending, Gloaming Eye Understanding, Wyld-Binding Prana</t>
  </si>
  <si>
    <t>The Solar reaches into the Essence of the world to rip new life from the very fabric of Creation. This Charm allows the Solar to induct a single spirit into the world. She draws this creature from her surroundings, but may also use the Essence-patterns of spirits she has captured with Burning Exorcism Technique or absorbed with Carnal Spirit Rending to determine the being's nature and magic. The spirit begins the game with the Solar's Essence rating and half her total experience, but may only use the most basic spirit Charms until the Storyteller has had sufficient time to approve the spirit's stats, Intimacies, and magic, as determined by the Solar's player. This spirit is bound to the Solar as a familiar and becomes an applicable target for certain Survival Charms. A spirit created by the Solar is her thrall for a season. She may then choose to keep it as her familiar or release it. Freeing the current familiar allows her to use this Charm again to create a new familiar. If she decides to retain a bond with the original creature, then she keeps it for another season. Each season that comes and goes, she may choose to retain or relinquish her bond with the spirit so that she may attain a new familiar. Otherwise, the spirit remains as her familiar and is in all senses another character, gaining experience points as any character would. Alternately, the Solar may also induct a Fair Folk into the world. In the Wyld, this Charm usually entails the creation of a raksha, but in Creation, where many denizens of the Wyld were bound into place by the elemental fusion of the Poles, the result is bound to be more unpredictable. Sorcery</t>
  </si>
  <si>
    <t>Terrestrial Circle Sorcery</t>
  </si>
  <si>
    <t>The Solar steps through the First Circle and is forever transformed. Upon learning this Charm, the Exalt gains the ability to learn and cast spells from the Terrestrial Circle of sorcery. In addition, the Solar learns one shaping ritual (p. 466) and one Terrestrial spell for free. The spell selected becomes the sorcerer's “control spell,” and may feature in the anima iconography and be referenced in the mechanics of certain Charms.</t>
  </si>
  <si>
    <t>Celestial Circle Sorcery</t>
  </si>
  <si>
    <t>Occult 4, Essence 3</t>
  </si>
  <si>
    <t>The Solar ascends to the Second Circle and becomes an avatar bearing aspects of Heaven and Hell in her mind. In all the world, there are only a handful of sorcerers at this level of power. Upon learning this Charm, the Exalt gains the ability to cast spells from the Celestial Circle of sorcery. In addition, the Solar learns one shaping ritual and one Celestial spell for free. The spell selected acts as an additional control. Celestial Circle Sorcery may not be learned prior to Essence 3 by selecting Occult as a Supernal Ability.</t>
  </si>
  <si>
    <t>Solar Circle Sorcery</t>
  </si>
  <si>
    <t>The Solar rises to the Third and final Circle of sorcery and becomes a herald of untold power. Spells of the Solar Circle are the most powerful sorceries ever imagined. Only the Solar Exalted have the power necessary to master spells of this magnitude. Learning this Charm grants the ability to cast spells from the Solar Circle of sorcery. In addition, the Solar learns one shaping ritual and one Solar spell for free. The spell selected acts as an additional control. Solar Circle Sorcery may not be learned prior to Essence 5 by selecting Occult as a Supernal Ability. PerformanceOmni-Applicable</t>
  </si>
  <si>
    <t>Performance 3, Essence 1</t>
  </si>
  <si>
    <t>The Solar's talent is not free or instinctual, but rather the hard-won excellence that comes from a lifetime of practice. This Charm supplements a Performance-based action, granting one automatic success and rerolling1s until 1s fail to appear. This Charm also makes the Exalt's 1s unavailable to magic that might interfere with herperformance.</t>
  </si>
  <si>
    <t>Performance 5, Essence 1</t>
  </si>
  <si>
    <t>With revelatory ardor and revolutionary sound, the Solar's performance sends a shock through her audience. This Charm's timing differs through various mediums: oratory requires a speech of at least six minutes in length, whereas a piece of music need only be three minutes long and dance need only be two. Roll (Charisma + Performance) with (Essence) automatic successes against the group's Resolve. If successful, the group is struck with an emotion conveyed by the performance, and each affected target reconsiders a decision he made in his past, connected to that emotion. The Storyteller chooses what each character is forced to reconsider, putting each affected character into a Decision Point based on past influence. This Charm may only be used once per story.</t>
  </si>
  <si>
    <t>Performance 4, Essence 2</t>
  </si>
  <si>
    <t>Masterful Performance</t>
  </si>
  <si>
    <t>Performance 5, Essence 3</t>
  </si>
  <si>
    <t>In the throes of a harrowing performance, the Solar is wracked with the zeal-fired alleluias of a revival. The Solar may activate this Charm when she has 10+ motes committed to sustaining other scene-length Charms. While this Charm is active, every time she attempts a social influence action of any kind, she gains a mote of Essence. In addition, for every two minutes she spends in performance, she gains a mote. Finally, the Exalt gains a mote of Essence for every 10 she rolls on a Performance action against a difficulty of at least 4, to a maximum of three 10-derived motes per action.</t>
  </si>
  <si>
    <t>One Performance Action</t>
  </si>
  <si>
    <t>Channeling Essence through her mastery of Performance, the Exalt can momentarily meld all performance styles into a single action. This Charm allows the Exalt to switch methods between oration, dancing, singing, and playing an instrument. What she could previously only accomplish with oration, she can now accomplish with a dance. Strumming her sanxian, she could start a riot, activating Fury Inciting Speech without ever saying a word. This does not change the definitions of supplemental Charms; the Exalt can perform Shining Expression Style by singing instead of dancing, but can't use Graceful Reed Dancing to enhance her voice. If the Exalt's influence is successful against her primary target, be it a group or a specific individual, she gains a point of temporary Willpower.</t>
  </si>
  <si>
    <t>The Exalt reaches into the core of her being, tapping a primal harmony of Essence that makes her nearly impossible to resist. Before taking a social influence action, roll the Exalt's Willpower, rerolling non-successes once. Remaining non-successes determine the Charm's activation cost in Willpower points. Successes act as non-Charm successes on the Exalt's next social influence attempt. In addition, if this influence is successful, the affected character must pay three Willpower on (Solar's Essence) different days before he can overcome the influence, and may only do so if confronted with how his actions might be damaging to his Major or Defining Intimacies.</t>
  </si>
  <si>
    <t>Performance 5, Essence 4</t>
  </si>
  <si>
    <t>Filled with the power of the ages, the Solar's divine Essence pours out through the fulcrum of her performance. Once per scene, as a mute effect, the Exalt may use a free full Performance Excellency. This effect may be reset by using Performance to achieve one of the Solar's defining goals.</t>
  </si>
  <si>
    <t>Performance 5, Essence 5</t>
  </si>
  <si>
    <t>One Performance action</t>
  </si>
  <si>
    <t>Calling upon the divine other, the Solar dwells in the temple of her body like a burning icon. Activating this Charm reduces the cost of all the Lawgiver's Performance Charms to zero motes for one performance. This Charm may be used once per day, but may be reset when the Storyteller introduces a major element to the scene that changes a scene for the worse, such as the sudden arrival of Immaculate monks mid-performance.</t>
  </si>
  <si>
    <t>1wp, 1 lhl</t>
  </si>
  <si>
    <t>Once per day, the Solar may reach down deep, buffeting her spirit with renewed power. Using this Charm resets Unmatched Showmanship Style and Soul Voice. Utility</t>
  </si>
  <si>
    <t>Performance 2, Essence 1</t>
  </si>
  <si>
    <t>The return of the Solars is a miracle never before seen. The universe inclines to hear their voices once again. When this Charm supplements a Performance action of any length, characters are inclined to stop and listen. This does not guarantee that the Lawgiver is persuasive in her arguments, but it does guarantee that her audience listens respectfully to her entire performance. Characters may pay one Willpower to leave the performance, but if they wish to interrupt or attack the Lawgiver, they must pay two Willpower, and may only approach her by blending into her demonstration, capping the actions of each affected character by their individual (Charisma + Performance) ratings until one of them is able to successfully stop her act. This Charm does not function after combat has started, but if activated beforehand, it remains active after Join Battle has been rolled, up until the Solar is forced to stop her performance.</t>
  </si>
  <si>
    <t>Masterful Performance Exercise, Respect-Commanding Attitude</t>
  </si>
  <si>
    <t>While under the effect of at least one of the prerequisites, the Exalt may pay one mote, conjuring phantom images from the Essence of her surroundings. These phantoms coalesce within short range of the Solar, and aid in illustrating her narrative. Apparitions might appear as small animals, person-sized characters, and allusions of scenery in a chiaroscuro. At Performance 5, Essence 3+, the Lawgiver's apparitions grow larger and more robust. She can depict larger beasts and monsters and more substantial scenery. Phantoms may appear to curl from the smoke of her breath, the light of her eyes, or her very anima.</t>
  </si>
  <si>
    <t>Any five Essence 2+ Performance Charms</t>
  </si>
  <si>
    <t>The Exalt weaves a narrative so plausible and compelling that those who hear it forget the truth and believe the narrative. The Solar speaks for at least a minute, though more complex narratives may require longer. Roll the Exalt's ([Charisma or Manipulation] + Performance) against the group's Resolve, subtracting successes instead of dice (p. 188) for truly outrageous claims. Mere success entails a simple belief in the facts as the Solar has presented them. Extra successes, however, increase commitment to this belief. Affected characters gain a Resolve bonus equal to half the extra successes, rounded up, to defending their belief in the Solar's narrative. Until that belief is shattered, they will act in direct agreement with the Solar's version of events. In order to break his commitment, a character must present direct evidence to the contrary and defeat the character's boosted Resolve. Failing to do so makes the character immune to further attempts to erode this belief for the rest of the day. Each time an unsuccessful attempt is made, the affected character's bonus Resolve is diminished by two. Once the Solar has successfully changed a target's memories, she may not make additional changes to that character's mind with this Charm until the initial belief has been completely broken. The Solar may target herself with this Charm, but doing so earns her a single point of limit in addition to the Charm's cost.At Essence 4+, the Solar may use this Charm up to (Essence) times on a single character, including herself.At Essence 4+, the Solar may repurchase this Charm, teaching herself a five mote, one Willpower, instant, reflexive version of this Charm that may only target a single character. The Solar distills an entire soul-binding speech down to a single statement, allowing her to change a target's memories mid-conversation.</t>
  </si>
  <si>
    <t>???</t>
  </si>
  <si>
    <t>Long ago, the Solars slew the enemies of the gods. Now those demons lie ancient and forgotten, dreaming beyond the pale of time. What language may name the ancient nemeses? What words have erased, music will never forget. Sometimes, when a Solar is performing an exceptionally difficult or creative song or dance, she becomes aware of a memory older than herself. The presence of demons can also trigger the sensation of knowing the form of this technique. Upon perceiving this Charm, the Solar reaches out and grasps the tendril of its Essence, drawing it into her mouth, swallowing and binding it into her throat. The player pays 8 or 10 experience points as normal, and may go into debt if she lacks the available points, paying out the cost from the next 8 to 10 experience they gain. The Charm is learned instantly (at the normal price), and may be unleashed by paying its cost. Demon Wracking Shout unleashes a sonic blast that is merely terrifying to most creatures, but constitutes a non-physical (Charisma + Performance) decisive attack on all demons and spiritual creatures of darkness within long range of the Solar, with (Essence) automatic successes. The attack cannot be dodged, only parried, and adds ten dice to the Solar's Initiative for determining base damage. This attack strikes dematerialized demons as easily as the material. This Charm may only be used once per fight. Oratory</t>
  </si>
  <si>
    <t>The Solar speaks with the voice of Heaven, magnifying her authority. This Charm supplements a Performance-based speech, granting it double 9s.</t>
  </si>
  <si>
    <t>The Lawgiver speaks out against injustice, and a spirit of divine wrath falls over her audience. The Exalt harangues a crowd for at least ten minutes, exposing an injustice that has been done–typically playing on those specific principles of faith, tradition, or morality that are popular with her audience. This acts as a ([Charisma or Manipulation] + Performance) inspire action against the average Resolve of the crowd. If successful, the speech ignites anger at a specific cause, but leaves the mob as a disorganized, riotous mass. However, for every three extra successes on the roll, the Solar's player can direct the mob at a single target linked to the crowd's anger. For example, with nine extra successes, the Solar could lead a mob in Nexus to attack the Guild Hall, set fire to the docks as a distraction, and free the slaves on auction row.</t>
  </si>
  <si>
    <t>Performance 5, Essence 2</t>
  </si>
  <si>
    <t>The Solar's arguments and invocations resonate with her audience so profoundly that they're filled with her fiery passion. When the Solar uses oration to inspire a crowd, she may supplement the roll with this Charm. Extra successes on the roll are passed as bonus dice to those characters who she's able to successfully influence, for the express purpose of passing on the Solar's influence. Such characters will retain these bonus dice for (Essence) days. Anyone they are able to successfully influence with the Solar's arguments gain the same bonus to do so to others, although not the impetus. If this Charm is used with any other that requires an expenditure of Willpower, ignore this Charm's Willpower cost.</t>
  </si>
  <si>
    <t>Dogmatic Contagion</t>
  </si>
  <si>
    <t>DisciplineThe Lawgiver distills all the power and passion of an entire speech into a single statement, striking her target with an all-consuming fiery ambition. When the Solar perceives a character who is about to put off making a social influence attempt that the Solar believes should be attempted now, she may use this Charm, rolling a ([Charisma or Manipulation] + Performance) based action against her target's Resolve. The Solar inveighs against inaction and scorns all dereliction. If successful, her feverish contagion of will causes the target to forget all other concerns, goals, and ambitions, focusing socially on a single social objective for the rest of the scene. This effect can be resisted by paying one Willpower, but the affected character may only pay this Willpower if confronted by some circumstance that would force him to abandon a Defining Intimacy in order to carry out his social influence action. ON INFECTIOUS ZEALOTRY APPROACHIn Presence, the Charm Mind-Wiping Gaze (p. 372) momentarily blanks out a character's mind, erasing his social impetus. If used in combination with Infectious Zealotry Approach, the character is rendered catatonic unless attacked. In this state, Hypnotic Tongue Technique (p. 372) or Memory-Reweaving Discipline (p. 363) may be used on the target without a Resolve check.</t>
  </si>
  <si>
    <t>The Solar can shape her voice, or the voice of her instrument, into a perfect harmony of sound. This Charm supplements musical performances, granting them double 9s.</t>
  </si>
  <si>
    <t>Performance 4, Essence 1</t>
  </si>
  <si>
    <t>One song</t>
  </si>
  <si>
    <t>Taking up a musical instrument, the Exalt pours her Essence through her fingers as she plays, evoking the soul of a composition. This Charm supports social influence being employed by other characters in the scene. The player names a mood which the song should induce, with an intended effect. It can be a calming song to prevent hostility, a market song to induce trade, a romantic song to aid in seduction, and so on. After the player has named the effect of the song, the Storyteller can decide how it affects the scene, adding or subtracting bonus dice equal to the Solar's Essence. For example, a song with a calming influence will penalize social influence that attempts to provoke anger, while romantic music enhances sexual persuasion. This Charm enhances and penalizes the social influence of anyone who can hear it. The Solar's music can also instead be tailored to enhance a dance or a song sung by a specific character.</t>
  </si>
  <si>
    <t>The Lawgiver draws down the Essence of battle and manifests it through the medium of her instrument. While playing this song in combat, the Solar and her allies each automatically gain one Initiative per round, and their successful withering attacks each award an additional point of bonus Initiative. Allied battle groups who can hear the Solar's music enjoy (Solar's Essence) bonus dice to their attacks. While using this Charm, the Solar can't take any non-Reflexive actions. This song does not stack with itself when played by more than one ally. Under the effects of Soul Voice, allies automatically gain two Initiative per round, and battle groups gain (Solar's Essence) automatic successes to their attacks.</t>
  </si>
  <si>
    <t>Plectral Harbinger's Approach</t>
  </si>
  <si>
    <t>At any point during a song played with the prerequisite, the Lawgiver may channel and focus the song on a particular character, intensifying the mood of the music into that character's social influence. Roll the Solar's ([Charisma or Manipulation] + Performance) with (Essence) automatic successes against the Resolve of the beneficiary's target. If the Solar is enhancing a Presence or Socialize action, this is typically the Resolve of a single character, but it can be the group's Resolve if the Solar is enhancing another character's performance with her own music. If successful, convert the Solar's extra successes into non-Charm bonus dice on the beneficiary's social influence. If the beneficiary is successful on a roll so enhanced, the Lawgiver regains a point of Willpower, though this does not confer any knowledge of that success to the Exalt.</t>
  </si>
  <si>
    <t>The Lawgiver's music pulls at the soul of her target, impelling him to act on his deepest desires. This Charm creates a inspire action in which the Solar performs a song with instrument, voice, or both. Her song must continue for at least one minute before it affects anyone–roll ([Charisma or Manipulation] + Performance) against the target's Resolve. If her song is meant to convey sadness, it will automatically target an Intimacy in her target that reflects sorrow or regret, and may even revive a long-forgotten hurt to do so. The Solar's player may define the character's intent with the song, but on a success, the Storyteller gets to determine the exact Intimacy that is targeted and what behavior will manifest. As the Solar continues to play her most sorrowful tune, a prince might endlessly mourn his dead husband. With an aria that inspires hope, she might cause the prince to open his husband's private gardens to the city's children, in honor of an old wish.</t>
  </si>
  <si>
    <t>The Solar draws a song from deep within her soul, and frees it with her flawless voice. While the Exalt sings, the Solar and each ally who can hear her gain a single additional mote of Essence per turn in combat, if applicable, or one mote for every two minutes of song out of combat. Outside combat, Soul-Stirring Cantata can only be used once per day. While using this Charm, the Solar can't take any non-Reflexive actions. Singing Soul-Stirring Cantata is guaranteed to draw the attention of local spirits, and members of the Wyld Hunt are trained to listen for the sounds this song produces. This song does not stack with itself when sung by more than one ally. Under the effect of Soul Voice, this Charm grants two motes per turn or per minute.</t>
  </si>
  <si>
    <t>The Lawgiver's music is a benison against fear. While playing this song, the Lawgiver is immune to terror, and may target another character who can hear her song, making him completely immune to fear-based effects as well. Alternately, the Solar can inspire heroism in multiple allies, doubling Intimacy-derived Resolve bonuses from any applicable Tie or Principle: so long as there is a reason to be brave, her allies are emboldened against threaten actions and supernatural fear-based effects. Lastly, when the Lawgiver plays this song on the battlefield, allied battle groups gain (Solar's Essence) automatic successes to rally for numbers (p. 210). While using this Charm, the Solar can't take any non-Reflexive actions. Bonuses from this Charm count as dice added by a Charm. Dance</t>
  </si>
  <si>
    <t>The Exalt moves and sways with the Essence of the world, affecting a perfect rhythm. This Charm supplements a dance, granting double 9s.</t>
  </si>
  <si>
    <t>When dancing, add half the Exalt's Performance, rounded down, to her Parry or Evasion. If she is dancing by herself, this Charm can also raise her Resolve.</t>
  </si>
  <si>
    <t>The Exalt's skill is such that she can condense an entire emotional range into a single dance that embodies its very meaning. The Solar must dance for at least two minutes in order to use this Charm, rolling (Charisma + Performance) with (Essence) automatic successes against the group's Resolve. If successful, the group is struck with an emotion conveyed by the dance, each member becoming explicitly aware of one Tie he has which inspires that emotion in him. For instance, if the Solar does a dance that inspires fear, characters recall that which makes them most afraid. If she does a dance which inspires joy, they recall that which brings them the most happiness. If characters do not possess such an Intimacy, the Storyteller may assign one. Affected characters will feel inclined to discuss or act upon their feelings until they are affected by emotional influence that inspires a different mood. Characters who reveal an Intimacy in this fashion lower their Guile to 0 for the purposes of detecting and confirming that specific Intimacy. Note that the Solar is not necessarily going to be the beneficiary of the character's sudden openness, as she might not be directly involved in the conversation. For all her dancing, the Solar is never seen as the deliberate source of the target's thoughts. Not even All-Encompassing Sorcerous Sight can reveal the power of this Charm.</t>
  </si>
  <si>
    <t>The Solar channels Essence into her steps and motions, insinuating herself into the minds of her audience. The Solar winds through the motions of a dance. Roll ([Manipulation or Appearance] + Performance) with one automatic success against the target's Resolve. If successful, the target's Resolve or Guile is lowered by two against the Exalt's next social influence attempt.</t>
  </si>
  <si>
    <t>Thousand Courtesan Ways, Winding Sinuous Motion</t>
  </si>
  <si>
    <t>The Solar moves sensually through the eight stepsof silken ecstasy, provoking her spellbound audience. This is dance lasting three minutes, ending in an (Appearance + Performance) roll with (Essence) bonus dice against the group's Resolve. If successful, it inspires intense lust for the Exalt. Success guarantees that characters who are sexually attracted to the Lawgiver will attempt to seduce her. Characters who are not sexually compatible with the Solar instead experience strongadmiration for her, and will be inspired to speak with her at least once. Acting</t>
  </si>
  <si>
    <t>The greatest actors have the talent of making their audience forget. The Solar spends five minutes getting into character, psyching herself up, tuning her voice, repeating lines or otherwise practicing dance movesor musical movements. As long as she stays in character, this Charm raises the Exalt's Guile by one for the rest of the scene. Characters who fail to read her intentions while this Charm is active will pick up on false Intimacies or motivations that align with the role the Lawgiver is playing, and be convinced they are real.If the Exalt enters a scene with a dramatic stunt befitting the role she wishes to play, she may activate this Charm reflexively. This Charm is expressly permitted to be combined with Flawlessly Impenetrable Disguise (p. 317).</t>
  </si>
  <si>
    <t>With skill to humble a master ventriloquist, the Exalt throws her voice. With this Charm, the Solar can cast her voice out to short range, making it appear to come from particular objects, locations, people or animals. Voice-Hurling Method supplements a single social influence action or regular dialogue lasting no longer thanten seconds. When the character is concealed, she may use it to speak without giving away her position, penalizing her opponent's Awareness by two successes inthe process.</t>
  </si>
  <si>
    <t>The Solar's unerring ear and perfectly tuned voice allows her to flawlessly mimic the normal speaking voice of someone she is familiar with. For this mimicry to be flawless, she must spend at least an hour memorizing the speech patterns and vocal inflections of the character whose voice she wishes to copy. This Charm supplements a single social influence action or regular dialogue lasting no more than ten seconds.</t>
  </si>
  <si>
    <t>Clearing away her senses, the Solar attunes herself to a single mimicry. For one scene, the Exalt can perfectly mimic a single person whom she could perfectly copy with the prerequisite. While this Charm is active she may still choose to speak with her own voice, and may use Cunning Mimicry Technique to mimic the voices of other characters.</t>
  </si>
  <si>
    <t>The Lawgiver's genius voice is capable of fascinating mimicry. This Charm supplements an attempt to mimic the calls, songs, or sounds of a small to medium animal or insect. She need only hear the sound once to perfectly copy it. This Charm delights and amazes audiences and may aid in wilderness survival, by attracting food or a potential familiar. Sex</t>
  </si>
  <si>
    <t>The Solar suffuses her form with Essence, intensifying her every angle and motion. This Charm raises her Appearance by one for the rest of the scene, even if this increases it past five. An erotic vision made manifest, she may attempt and succeed at seductive persuade actions without targeting an Intimacy. In addition, she may make her movements and words effortlessly erotic, subtly or overtly sensualizing her social influence actions. She might be using a read intentions action to draw out someone's opinion on a social issue while subtly enticing him with an instill action, or she might play a song to remind a prince of his homeland while using an inspire action to stir a fire in the belly of his wife. In such cases, her social influence is made with a single roll, each different action sharing the roll's results.</t>
  </si>
  <si>
    <t>The Exalt performs the body-mudra of sighs and whispers upon a lover, unleashing a torrent of unimaginable ecstasy. This intense lovemaking lasts at least three minutes, inducing a world-shaking climax in her partner. In the afterglow, the Exalt becomes the object of a temporary Defining Tie of lust that lasts for (Essence) weeks, and gains (Essence) automatic successes to social influence actions targeting her lover for the rest of the scene.Presence</t>
  </si>
  <si>
    <t>Presence 3, Essence 1</t>
  </si>
  <si>
    <t>The Solar's passionate appeals can soften even the stoniest of hearts. This Charm supplements an instill or persuade action, granting the Solar one automatic success and additionally granting one non-Charm bonus die for every two points the target's Resolve is boosted by any means. The Solar cannot gain more than three bonus dice in this fashion.</t>
  </si>
  <si>
    <t>5m or 7m</t>
  </si>
  <si>
    <t>Presence 2, Essence 1</t>
  </si>
  <si>
    <t>The Lawgiver embodies virility, magnetism and grace, empowering her forces of persuasion. For five motes, this Charm grants three bonus dice to all forms of social influence from all Abilities except Stealth. In addition, the cost of all social influence Charms are reduced by one mote, to a minimum of one. The seven mote version of this Charm extends the duration to indefinite.370</t>
  </si>
  <si>
    <t>Presence 5, Essence 1</t>
  </si>
  <si>
    <t>Harmonious Presence Meditation, Listener-Swaying Argument</t>
  </si>
  <si>
    <t>The Lawgiver inspires tremendous devotion. A Solar with this Charm is held high in the esteem of her allies. Anyone who holds a positive Defining Tie to the Solar can bepersuaded to do inconvenient tasks (p. 216) withouta roll.</t>
  </si>
  <si>
    <t>Tiger's Dread Symmetry</t>
  </si>
  <si>
    <t>The Lawgiver is a singular and terrifying being, awesome to behold. Learning this Charm grants one bonus die to all Presence rolls and allows the Exalt to reroll (Essence or three, whichever is greater) non-successes on rolls to intimidate. In addition, if the Solar has activated Majestic Radiant Presence, a character must resist an automatic intimidate attempt before he's able to attempt an ambush attack. This effect does not make the Solar aware of her attacker–it simply means that, as her assassin draws a bead on her from the shadows, her fierce look and deadly grace emanates forth to cow him. The intimidate action may only be supported by Charms that are ongoing or otherwise can be used unconsciously.</t>
  </si>
  <si>
    <t>Presence 4, Essence 2</t>
  </si>
  <si>
    <t>The Solar argues from her beliefs, persuading listeners with the depth of her emotion. This Charm supplements a persuade action, granting the Solar one automatic success. In addition, when the Solar argues from a Principle she holds, she gains two, three, or four bonus dice, based on the intensity of the Principle. In essence, this Charm persuades a character to act as the Solar would act. She might argue from her own compassionate principles to convince her target to be merciful or generous, or principles reflecting temperance, to convince the target to abstain from debauchery, vice, dereliction or iniquity. Likewise she might invoke valorous Intimacies to urge courageous action, or she might sell a course of action with the force of her conviction.</t>
  </si>
  <si>
    <t>Presence 5, Essence 2</t>
  </si>
  <si>
    <t>Even bound in chains, the Lawgiver can inspire a subject to the heights of prowess. This Charm is a simple turn-length action in which the Solar exhorts a character to his true greatness. Such a character gains a +1 non-Charm bonus to one Attribute and Ability until his next turn. The Solar might call upon a strongman to lift rubble from a trapped family, increasing his Strength and Athletics by one each, or empower her guardian to strike swift and true, increasing his Dexterity and Melee, and so on. The Solar may also choose instead to raise her charge's Defense by one, but if this raises it past seven it counts as dice added by a Charm. Empowering Shout does not stack.At Essence 4+, the Exalt can use this Charm to grant +2 to one Attribute and Ability or +2 to a Defense.</t>
  </si>
  <si>
    <t>With a touch, the Exalt raises a servant to the role of a champion. By using this Charm and touching a person who serves or follows her, the Lawgiver temporarily makes her subject the beneficiary of respect and admiration usually reserved for the Solar. Characters who have ties of loyalty, respect or admiration to the Solar now also feel the same way toward her charge. Additionally, the character also inherits any social station or role it is within the Solar's right to grant, and all characters who are subject to that station instantly recognize that they are subject to the promoted one's authority.</t>
  </si>
  <si>
    <t>The Solar's intense sexuality magnifies her powers of persuasion, making any instill or persuade actions made with Presence, Performance or Socialize more compelling. Normally when a character has higher Appearance than her target's Resolve, she enjoys a non-Charm dice bonus equal to the difference of the two values. This Charm converts the difference into automatic successes. This bonus counts as dice added by a Charm. Note that this Charm still works if the character has the Hideous merit, as the amplification of her horrifying Appearance has an equally profound effect on persuasion. In this case, Threefold Magnetic Ardor also supplements threaten actions.</t>
  </si>
  <si>
    <t>Through intense preparation, the Lawgiver magnifies her own appearance, increasing the magnitude of her presence. The Solar enacts a simple dramatic action lasting five minutes, in which she verbally induces her inner greatness to external form. For as long as she commits Essence, the Solar's Appearance is increased by one, even if this raises her Appearance above five. In addition, any seduction attempt she makes treats her target as if he had one less Resolve, both lowering his resistance and increasing the effectiveness of her Appearance rating.</t>
  </si>
  <si>
    <t>Presence 5, Essence 3</t>
  </si>
  <si>
    <t>Impassioned Discourse Technique, Majestic Radiant Presence</t>
  </si>
  <si>
    <t>The Exalt sears her target with the caustic force of her judgment. This Charm supplements a social influence roll or an attack against a creature of darkness, lowering its Resolve or its Defense by one. If the attack is decisive, the damage is aggravated. If the influence is successful, it costs an additional Willpower to resist. In addition, if this Charm is combined with other Charms or magic which harm creatures of darkness, then the Solar may use this Charm against characters or ideas for whom she has a Defining Tie of hatred, even if they are not creatures of darkness. This makes those targets susceptible to the effects of all such Charms for one instant.</t>
  </si>
  <si>
    <t>When the Lawgiver argues from one of her defining principles, it is nearly impossible to disagree. Her words sow dissent within a target's soul. Upon successfully beating a target's Resolve with a bargain, threaten or persuade action, but before a Decision Point has been entered, she may activate this Charm to magnify the impact of her argument. Doing so raises the cost of the Decision Point to two Willpower. If the target acquiesces to the Solar's demands, then the Exalt gains a point of temporary Willpower when she realizes her success.</t>
  </si>
  <si>
    <t>The Lawgiver exudes rightful authority. This Charm prevents every ally within medium range from succumbing completely to fear. As long as they can see the Solar or hear her voice, they suffer no fear-based penalties to their actions. The Exalt's rally rolls (p. 210) are also enhanced, gaining one automatic success. This Charm does not protect characters from supernatural terror or from being threatened by a Dawn Caste.</t>
  </si>
  <si>
    <t>The Solar burns with fearsome power, transforming her into an icon of terrible majesty. The Solar activates this Charm when her anima is at bonfire. This Charm inflicts supernatural terror upon all who see the Solar. This is modeled as a threaten action, but requires no words, and suffers no penalty from being unspoken or without specific gesture; the Solar is simply terrifying to behold. This effect also ignores the penalty for group influence. Trivial opponents and most animals, even attack animals, will simply flee the Solar's presence. Those who fail their Resolve checks also flee. In combat, this effect can be perceived out to long distance, recurs every round without the need of a flurry, and may be resisted for the rest of the scene by paying one Willpower and five Initiative. Finally, a terrorized battle group suffers a loss of three dice from its rout checks (p. 208) when faced with the Solar's immense and terrifying spiritual force.</t>
  </si>
  <si>
    <t>The Solar's glory burns like the very sun in the sky. When her anima is at the glowing or burning level, her Presence-based attempts to threaten, persuade, or instill gain one non-Charm automatic success. When she is at bonfire, these actions gain an additional extra non-Charm die as well. The Solar is glorious and terrible; this power does not aid seduction attempts unless the Exalt channels her glory into amplifying her magnificence with a stunt, using her Appearance on the roll. This Charm never aids a bargain action.</t>
  </si>
  <si>
    <t>The Solar sheds the entire force of her presence out through her eyes. Her intense stare penetrates the soul of her target, momentarily blanking out his memories. When the Exalt perceives a character who is about to make a social influence attempt she disagrees with (or wishes to stifle for whatever reason), she may use this Charm, rolling a ([Charisma or Appearance] + Presence) action against her target's Resolve to extinguish the candle of his mind. If successful, her target forgets his social objective for the rest of the scene, and may only remember it if reminded and then by paying one Willpower. The Solar may only use this Charm on a given target once per scene. If her target spends a Willpower to resist, the Solar regains the Willpower she spent activating the Charm. Mind-Wiping Gaze may be enhanced by Presence Charms that enhance persuade and threaten actions.</t>
  </si>
  <si>
    <t>Psyche, Mute</t>
  </si>
  <si>
    <t>Mind-Wiping Gaze, Fulminating Word</t>
  </si>
  <si>
    <t>With no other recourse, the Solar dominates another with the force of her presence. The Solar's Caste Mark flashes and her eyes blaze as she casts her relentless spirit out into the world. It flows forth and strikes her target. Roll ([Charisma or Manipulation] + Presence) against the target's Resolve. This non-specific effect cannot lower the target's Resolve by exploiting an Intimacy, nor can the target invoke an Intimacy to raise his defense. If the roll is successful, the target goes catatonic for a moment, allowing the Solar to program him with instructions delivered via (threshold successes +1) short, clear sentences. These instructions may be complicated as the Solar is able to convey, but all must be carried out at the same time. If the Solar does not use a sentence to designate when the target should act, he will carry out this process immediately. Characters who complete given tasks or take actions on the back of this Charm do not remember why they did such things or even that they were ordered to do them. A character may spend three Willpower to reject the Solar's programming, but this also results in his completely forgetting the Solar's attempt. Characters who resist this Charm by any means cannot be confronted with it again for (target's Integrity) days.</t>
  </si>
  <si>
    <t>As the sun rises in prominence, shadows grow long upon the earth. Whenever the Solar achieves a goal through lecture, prophecy, oration, or other forms of performance, those who conspire against her are twisted against themselves. Enemies who witness her success must roll (Wits + Integrity) with a penalty of the Solar's Essence, against a difficulty of the Solar's strongest Social Attribute. Those who fail become enthralled with the Solar's wisdom and greatness and are inclined to follow her and do as she commands as if they had a Principle defining them as one of her acolytes. The character does not stop hating the Solar, but must grovel, cloy and defer to her for (Essence) days. Occasionally when this effect ends, if the character was treated well by the Solar, his negative Intimacies for her are diminished or destroyed and he becomes one of her true allies.</t>
  </si>
  <si>
    <t>4m, 1wp, 2xp</t>
  </si>
  <si>
    <t>With a gesture, the Solar uplifts a favored follower and grants him true power. This Charm permanently empowers a character under the effect of Underling-Promoting Touch, granting him a personal Essence pool of four motes plus up to five more, provided by the Solar upon using this Charm. The character becomes inured to supernatural terror, and may resist it with a +2 bonus to his Resolve. In addition, if the character has Integrity 3+, then he's granted a Charm called Unhesitating Dedication. This Charm allows the prophet to defend a Defining Principle from being decayed by reflexively paying three motes. TheLawgiver may have (Essence x2) prophets. If a prophet is slain, the Solar recovers experience points spent in the Charm's cost.</t>
  </si>
  <si>
    <t>With a provocative word and gesture, the Exalt amplifies her form with Essence, treating the target of such intensity to the fullness of her desires. This Charm supplements a persuade action to seduce a target, granting double 9s. The Solar may even seduce a character for whom such influence is unacceptable.</t>
  </si>
  <si>
    <t>Presence 5, Essence 4</t>
  </si>
  <si>
    <t>Authority-Radiating Stance,</t>
  </si>
  <si>
    <t>Empowering Shout, Underling-Promoting Touch</t>
  </si>
  <si>
    <t>This Charm copies the effect of Empowering Shout, but allows the Solar to empower an ally indefinitely. The subject's Attribute and Ability ratings may not be increased past five with this Charm, nor may he begin to learn Charms or magic he doesn't truly qualify for. Because this is a different Charm than its prerequisite, it may be used in conjunction with Empowering Shout.</t>
  </si>
  <si>
    <t>6m, 3a</t>
  </si>
  <si>
    <t>While under the effects of the prerequisite, the Solar draws in her anima, shedding it completely. As she ends the Charm's commitment, she draws her power inward, channeling it into a new and more terrifying form. This Charm adds (Essence) dice to the Lawgiver's single-target threaten actions, and allows her to terrorize even those creatures who are incapable of fear. In combat, opponents suffer the loss of a single point of Initiative on each round in which they do not direct an attack at her. At Essence 5+, when the character returns to bonfire, she resumes the effects of Terrifying Apparition of Glory automatically and for free. Characters who fail their Resolve checks must pay additional Willpower and Initiative to remain in battle. This Charm cannot be muted with the Night Caste anima or other magic. Resistance</t>
  </si>
  <si>
    <t>Resistance 2, Essence 1</t>
  </si>
  <si>
    <t>A child cannot cleave a tree with a dull knife, nor can a foe hope to strike down the Solar with his petty blade. Against a withering or decisive attack, this Charm reduces raw damage by two. Against a decisive attack it also grants the Exalt four hardness. Note that the hardness bonus cannot be applied during crash.</t>
  </si>
  <si>
    <t>1m per damage die removed</t>
  </si>
  <si>
    <t>The Solar channels Essence through her enduring toughness, hardening her skin and muscles beyond their mortal limits. After an attack hits her, but before damage is rolled, she may increase her soak at a rate of one mote per point. She may no more than double her natural soak in this fashion. This effect is incompatible with any magic that allows the Exalt to soak a decisive attack with withering-only magic. At Resistance 5+, Essence 3+, the Solar may use this Charm to remove successful dice of withering damage after damage has been rolled, at a rate of two motes per success. This use costs one point of Willpower, two points of Initiative, and has the Perilous keyword.</t>
  </si>
  <si>
    <t>2m or 6m</t>
  </si>
  <si>
    <t>Resistance 3, Essence 1</t>
  </si>
  <si>
    <t>Instant or Indefinite</t>
  </si>
  <si>
    <t>This Charm hardens the Exalt's skin, making it incredibly difficult to cut or pierce. Against a withering attack, the Solar can pay two motes to apply her Stamina as soak against unsoakable damage as an instant effect. Against a decisive attack, she may pay six motes after damage has been rolled to create (Stamina) -0 health levels, which take damage first, effectively shunting the attack away from her bones and vital organs. She still feels the pain of the strike, but a blow that appears to run her through may be shrugged off while drawing a mere trickle or no blood at all. If the created health levels exceed the damage successes for that attack, subsequent attacks' damage is automatically applied to remaining created -0's before damage begins registering with her regular health levels. The motes for the decisive version's cost are committed indefinitely. The Solar keeps her commitment to this Charm for as long as she remains injured; after combat ends, the health levels convert from -0 to -1 wounds, requiring the Solar to seek rest or treatment in order to end the Charm. These health levels are the first healed by any kind of rest or magical healing. Healing these levels is the only way to end the Charm; once they are healed they vanish. Undamaged health levels vanish at the end of the scene. The Solar may choose to continue fighting while carrying shunted injuries, but each day she does so increases the wound penalty by -1.At Essence 3+, the Solar may create up to (Stamina + Essence) health levels, but choosing to do so changes the cost of the Charm to five motes + one mote for every -0 created beyond the Solar's Stamina.</t>
  </si>
  <si>
    <t>Resistance 1, Essence 1</t>
  </si>
  <si>
    <t>The bodies of the Exalted are much more durable than those of mere mortals. To help simulate this, an Exalt may buy extra health levels with this Charm. The purchasing choices are based on the character's Stamina rating: At Stamina 1 and 2: One -1 and one -2 health level.3 and 4: One -1 and two -2 health levels.5: One -0, one -1, and one -2 health level. The Solar may purchase Ox-Body Technique (Resistance) times. If she increases her Stamina after purchasing Ox-Body Technique, her health levels automatically change to reflect the new rating.</t>
  </si>
  <si>
    <t>Even when unconscious, the Solar's body and Essence work in unison to knit wounds and mend broken bones. Roll the Solar's (Stamina + Resistance) to speed her natural healing by a factor of (Essence x successes). Alternately, successes on this roll can be added directly to the successes of Wound-Mending Care Technique on page 342. The Solar must spend an hour at rest for this power to take effect, but the boosted healing lasts for one day, so long as the Solar remains at rest.</t>
  </si>
  <si>
    <t>Front-Line Warrior's Stamina</t>
  </si>
  <si>
    <t>Once per day, the Exalt can draw from the deep well of her vitality to restore her momentum. Roll half the Solar's total health levels, rounded up, and add successes to her Initiative score. Do not include temporary health levels created by Iron Skin Concentration, Living Bonds Unburdened, or similar Charms. This Charm is reset when the Solar awakens from a full night's rest.Once per scene at Essence 3+, the Solar may pay an additional 1wp to remove the Perilous keyword from this Charm for an instant.</t>
  </si>
  <si>
    <t>Through the practiced motions of a master, the Lawgiver dons her armor with supernatural speed. With this Charm, it takes a character ([armor's mobility penalty] + 1) turns to don or remove a suit of armor.</t>
  </si>
  <si>
    <t>Armored Scout's Invigoration</t>
  </si>
  <si>
    <t>4m or 6m</t>
  </si>
  <si>
    <t>The Solar slides into her armor like it was second skin, Essence smoothing the way. The Exalt invokes this Charm when she equips her armor. So long as she wears her armor, its mobility is treated as if it were 0, removing the penalty to her movement, Stealth actions, and Evasion. If the Exalt is wearing light or medium armor, this Charm costs four motes. If she is wearing heavy armor, it costs six motes. If her armor's mobility is already 0, she can reroll a single non-successful die on her Join Battle roll.</t>
  </si>
  <si>
    <t>The Exalt's metabolism is strengthened by Essence, allowing her to easily endure the effects of toxins. The Solar gains one automatic success and three bonus dice when rolling (Stamina + Resistance) against a toxin's duration (p. 232). The Solar can also use this Charm at the toxin's interval, to reduce or change the anticipated symptoms of a poison or venom. For example, damaged health levels might be converted instead to a dice penalty until the venom runs its course, or poison-induced blindness might be bled out in viscous tears or a gout of sickly black Essence.</t>
  </si>
  <si>
    <t>1i</t>
  </si>
  <si>
    <t>The Exalt is resistant to all forms of damage, and empowered by them. When an attack makes it through her defense, she may pay one Initiative to draw Essence from deep within the core of her body. The Exalt gains a number of motes equal to half the damage (round up) of the attack before soak, but may gain no more than (Stamina) motes in a single round. Once the Solar has used this Charm, she may not use it until it has been reset by soaking a withering attack of 10+ raw damage without suffering Initiative loss. At Resistance 5, Essence 3+, the total number of motes the Solar may gain per round increases to (Stamina x2).</t>
  </si>
  <si>
    <t>Resistance 4, Essence 2</t>
  </si>
  <si>
    <t>The Exalt inverts her anima, turning the substance of her existence into something far beyond normal harm. For the rest of the scene, basic scenery damage, such as crashing through a window, running through a bramble, or stepping through a burning corridor (flames of less intensity than 4L per turn) does her no harm. The Solar can't be hurt by light contact with normally damaging edges. Her skin is tough enough for the claws of a tiger to skid off harmlessly, so long as the tiger isn't actually striking her. This Charm provides the following protection against withering attacks: when activated, the Solar rolls (Stamina + Resistance) dice with (Essence or three, whichever is higher) automatic successes and adds the successes to her soak for the rest of the scene. This roll cannot be enhanced by other magic. Against decisive attacks, this Charm provides (Stamina) hardness, and can stack with Durability of Oak Meditation, reducing that Charm's hardness bonus to +2. Diamond-Body Prana is incompatible with armor.</t>
  </si>
  <si>
    <t>Striking the Solar is like striking a piece of iron. For one round, all post-soak withering damage is halved (round up). This Charm must be invoked when an attack is directed at the Solar, but before it is rolled. At Essence 3+, less accurate blows glance and rebound painfully from the Solar's body–1s on a successful attack roll subtract from the attacker's Initiative at a rate of -1 for each 1 rolled, to a maximum of half the Solar's Stamina, rounded up. At Essence 4+, Initiative points lost striking the Exalt's Iron Kettle Body are awarded to the Solar. Triggering Adamant Skin Technique cancels Iron Kettle Body's effects for one tick. Iron Kettle Body's bonuses may not be used to enhance Adamant Skin Technique.</t>
  </si>
  <si>
    <t>Resistance 5, Essence 2</t>
  </si>
  <si>
    <t>Diamond-Body Prana, Iron Kettle Body</t>
  </si>
  <si>
    <t>Driven by purpose, the Solar refuses to be defeated. Channeling Essence through her Resistance, she may apply her full (Stamina + armor soak) to a decisive attack. As this Charm is a counter to decisive attacks, the weapon's overwhelming damage does not apply without a Charm. This effect is incompatible with Charms that increase soak except for Diamond-Body Prana, and Adamant Skin Technique can't be invoked against an ambush attack; however, it grants total immunity to scenery-based uncountable damage, allowing the Solar to escape seemingly-impossible recurring damage, like that of an explosion or a collapse, or falling from a great height. Such impacts still daze the Solar, knocking the wind from her, and giving her a -3 penalty for (7 - Stamina, minimum of 1) turns. Invoking Adamant Skin Technique sets the Solar's hardness to 0 for one instant.</t>
  </si>
  <si>
    <t>Tiger Warrior's Endurance</t>
  </si>
  <si>
    <t>Body-Mending Meditation, Front-Line Warrior's Stamina</t>
  </si>
  <si>
    <t>The Exalt's resilient anima encompasses her every cell and fiber, rejuvenating her at the brink of death. When the Exalt recovers from Initiative crash, she automatically heals two health levels, starting with -2s and continuing to her -1 and then her -0 health levels. This Charm does not heal wounds with penalties greater than -2, but will heal wounds even when the Solar is at -4–a Solar using this Charm with a “gap” in her damage track continues to suffer from her highest wound penalty but takes new wounds in the first available health box. This power may be invoked once per fight, and the player may dictate when this effect triggers, choosing to save it for a later crash. Once it has been used, Tiger Warrior's Endurance can be reset by gaining 20+ Initiative.</t>
  </si>
  <si>
    <t>Resistance 3, Essence 2</t>
  </si>
  <si>
    <t>The Solar can call her armor from conceptual Elsewhere–defined categorically as a point somewhere in existence that is “not here”–allowing her to don each piece of armor as if she were putting it on normally. If the Solar owns a shield, she may call it to hand as well. The Lawgiver can also send her armor Elsewhere through use of this Charm.</t>
  </si>
  <si>
    <t>The Lawgiver's immune system is fortified by inexorable spirit energies that purge her body of malaise. This Charm adds (Essence +1) automatic successes to the Exalt's attempt to resist a disease's virulence, as well as its morbidity. If the Exalt wishes to get sick, she can choose to apply this Charm's effects solely to the morbidity roll.</t>
  </si>
  <si>
    <t>2i</t>
  </si>
  <si>
    <t>The Exalt remembers past lives and past failures, and knows that her death is the death of the world. Once per scene, the Exalt may pay two Initiative when struck with a decisive attack, instantly regaining a point of temporary Willpower. This Charm is reset by surviving a decisive attack of 10+ raw damage without taking a single health level of damage.</t>
  </si>
  <si>
    <t>The Solar taps a replenishing well of inner rage, infusing her anger with primal magic, making her capable of superhuman feats. For the duration of the scene, the Exalt has +1 die to all pools related to combat and subtracts -1 from all wound penalties. However, the Exalt must be engaged in combat, or attempting to engage in combat, to become so enraged, and is compelled in all her desires toward battle. Intimacies that compel her to fight, including negative Intimacies that drive her to attack and positive Intimacies that reflect her love for combat, are more powerful, increased by one in their intensities, with Defining Intimacies representing a +5 or -4 rating instead of the usual +4 or -3. However, the Solar is unable to use social influence for commands unrelated to combat or persuasion more complicated than “Give up or die.” Battle Fury Focus does not make the Solar inelegant or stupid. The Exalt can make tactical disengage actions in order to kill someone or change targets, even gaining the +1 bonus to do so, but she must end the Charm in order to take a withdraw action.</t>
  </si>
  <si>
    <t>1m per -0 health level</t>
  </si>
  <si>
    <t>Resistance 5, Essence 3</t>
  </si>
  <si>
    <t>Until fully healed</t>
  </si>
  <si>
    <t>The Lawgiver shuns lesser forms of harm, fighting through injuries as though they never happened. This Charm slowly compensates for greater wounds by healing -0 health levels. The Exalt must pay the full cost of the Charm upon activation, paying one mote for every damaged -0 health level she wishes to heal. This Charm heals one -0 health level every (7 - Stamina) rounds.This Charm works even if the Solar has taken damage to her -1 or greater health levels.</t>
  </si>
  <si>
    <t>Unbreakable Warrior's Mastery</t>
  </si>
  <si>
    <t>Through the course of lifetimes, the Solar has felt a rain of blows that would shatter any mortal. Through this Charm, she knows all harm at once, and yet the greater truth is that she still exists, unbowed and unbroken. When struck with a crippling attack, the Solar may use this Charm to trade irreparable or permanent harm for alesser effect of a shorter duration. Instead of her eyebeing gouged out, it is closed by a glancing blow;instead of her arm being shattered, it simply hangs limp. Halve the penalty (round down) associated with asuccessful crippling attack, and eliminate it after (7 - Stamina) turns.</t>
  </si>
  <si>
    <t>Flesh imbued with impenetrable Essence, the Solar turns aside harm with forceful derision. After damage is rolled, the Solar may use this Charm to force the attacking player to reroll, keeping their non-successes, rerolling only successful dice. Damage on this reroll cannot exceed that of the initial roll. This Charm can be used once per scene, but may be reset by taking no withering or decisive damage on three separate damage rolls.</t>
  </si>
  <si>
    <t>Resistance 4, Essence 3</t>
  </si>
  <si>
    <t>Hauberk-Summoning</t>
  </si>
  <si>
    <t>Gesture The Solar bends her anima into a suit of armor in the form of hardened sunfire, bearing all the glorious colors of Solar anima. This armor has stats identical to artifact heavy armor (+11 soak, 10 hardness, -2 mobility), and if the Exalt has mastered the Armored Scout's Invigoration, Glorious Solar Plate activates its effects for free. Glorious Solar Plate may graft itself over a suit of armor, appearing as a series of interlinked cosmic runes that describe the ascent of the Unconquered Sun to the zenith of heaven at the birth of the universe. This upgrades the armor's traits if they are lesser than that of Glorious Solar Plate, and adds the armor-enhancing powers of this Charm to the Lawgiver's current set. If the Solar's current armor is attuned, grafting Glorious Solar Plate onto it replaces the commitment cost, releasing the attuned motes. For additional purchases, the player may grant Glorious Solar Plate custom Evocations. The player should work with the Storyteller to create Evocations that exude the nature of the Exalt's iconic anima manifestation. In addition, Glorious Solar Plate has the following powers:</t>
  </si>
  <si>
    <t>Through exposure and resistance, the Solar trains her anima to eat toxins and neutralize sicknesses. When activated, this Charm makes the Solar invulnerable to any toxin or illness she has ever been exposed to previously. She cannot be injured by familiar venom and cannot contract prior illnesses. She can sprinkle poison on her food as a condiment or walk hand-in-hand with a plague victim and be unaffected–so long as she has had exposure to these maladies. This Charm also assists the Solar in fighting toxins and disease she is unfamiliar with. When exposed to new toxins, the expected duration is reduced by one. When exposed to a new disease, the morbidity rating is lowered by one. In addition, if the Solar's Stamina is at least 3, she encounters incurable and irresistible diseases as if they had a morbidity of 5.</t>
  </si>
  <si>
    <t>When struck, the Solar can absorb the force from a decisive attack, increasing her combat momentum with empowering wrath. This Charm may be activated before a damage roll, converting half its non-successes before rerolls (rounded up) to Initiative and awarding it to the Solar.</t>
  </si>
  <si>
    <t>While channeling Battle Fury Focus, the Solar drops to a deeper level of consciousness, sinking into a meditation on violence and destruction. In this fugue state, her world narrows to a tight red tunnel with things that must die at the far end. On top of the +1 bonus from Battle Fury Focus, the Solar gains an additional +2 dice to all of her combat actions, ignores all wound penalties, and generates one mote per turn, which must be spent each turn on combat-related actions or physical actions in pursuit of combat, violence or destruction.In this state the Solar cannot be safely dissuaded from combat. Should friends or allies choose to stand in her way, she won't slaughter them unheedingly, but will use any force necessary to remove them from her path so she can continue to assault her original target. She will not, and cannot end her assault until her targets are dead or fled, and if she is convinced by an impassioned plea to drop her commitment to this Charm, she will go into immediate Initiative crash. If she crashes herself in this fashion, her Initiative is set to -3. Ending this Charm while already crashed does not change the Solar's Initiative value.When tremendously outnumbered, Bloodthirsty Sword-Dancer Spirit affords the Exalt renewed power: each time she empties a battle group's Magnitude track, she may roll Join Battle.</t>
  </si>
  <si>
    <t>Resistance 5, Essence 5</t>
  </si>
  <si>
    <t>When her life is threatened, the Solar channels her fury to make herself nigh invulnerable. After using Adamant Skin Technique, the Solar's hardness is raised to 20, and her withering soak is raised by her (Stamina + Resistance), while also cancelling (Stamina) post soak damage. This massive increase in toughness is based on a surge of Essence through the Solar's body. In order to maintain it, the Solar must either unleash a decisive attack each round on her turn, or pay 8+ motes on offensive Charms. This effect ends if the Solar is crashed or fails to take continuous combat actions. Ride</t>
  </si>
  <si>
    <t>Master Horseman's Techniques</t>
  </si>
  <si>
    <t>Ride 1, Essence 1</t>
  </si>
  <si>
    <t>The Exalt has the talent of a veteran equestrian, knowing a handful of ancient and proven techniques to control, console, and sustain her mount through the most arduous circumstances. Purchasing this Charm provides the Solar with three of the listed techniques, and the player may work with the Storyteller to expand the techniques available through this Charm. Additional techniques can be purchased for 2xp or a single bonus point.Harmony of Spirits Style: The Lawgiver can spend one mote reflexively to stop herself from falling off a mount. The Exalt can activate this effect when she is asleep, unconscious or otherwise incapacitated, and will not fall off the mount from being asleep or otherwise unconscious during ordinary travel. Against any attack which might knock her from her mount, she gains +1 Defense.Horse-Summoning Whistle: The Lawgiver can spend one mote reflexively to call a loyal mount to her side. The mount makes its way to her as circumstances best allow. Master Horseman's Eye: The Solar can spend one mote reflexively when evaluating a mount to perfectly recognize its strengths and weaknesses.</t>
  </si>
  <si>
    <t>Ride 2, Essence 1</t>
  </si>
  <si>
    <t>By tapping her own spirit, the Solar can imbue her mount with endless energy. The mount can run at full speed for an hour without becoming fatigued, and gains an automatic success toward all movement and balance-related actions. Furthermore, while this Charm is active the Exalt may use the Athletics Charms Graceful Crane Stance and Monkey Leap Technique (p. 261) while mounted, allowing her mount to keep its footing on the worst terrain and to leap across gaps or over obstacles.</t>
  </si>
  <si>
    <t>Ride 3, Essence 1</t>
  </si>
  <si>
    <t>The Solar draws her mount back as quick as the wind and as light as a sparrow. This Charm allows the Exalt to reflexively disengage while mounted.</t>
  </si>
  <si>
    <t>2m, 1wp or 4m, 1wp</t>
  </si>
  <si>
    <t>The Solar draws the Essence of the world through her reins, drawing herself toward her destination with incredible speed. This Charm lasts one hour, but the motes are not committed. If the prerequisite is active, it costs only two motes, one Willpower to activate, otherwise the mote cost is four. It adds (Essence or three, whichever is greater) successes to any Ride-based commands, and to each interval of a race (see p. 197). Also, when she succeeds at a mounted rush (see p. 197), she gains two point of Initiative. If her mount is rolled into combat, it gains two points of Initiative as well. Outside of combat, the Solar can travel at dramatic speeds. In narrative time, a distance that would take her mount an hour to cover can be cleared in ten minutes. What would take her a day can be covered in a handful of hours, and what would take a week can be covered in a single day. At the end of the hour, if the Solar chooses to renew Wind-Racing Essence Infusion, ignore the Willpower cost.</t>
  </si>
  <si>
    <t>The Lawgiver and her mount are as a single being, nearly indivisible. Should her mount lose its footing, the Solar may use this Charm to allow it to reflexively rise from prone. The Solar will neither be thrown from the saddle in this instance, nor will she be injured by her mount rolling on her.</t>
  </si>
  <si>
    <t>Seasoned Beast-Rider's Approach</t>
  </si>
  <si>
    <t>Drawn steadily to the pulse of battle, the Lawgiver and her mount's heart beat as one. Normally, if a rider wishes to let her mount attack, it uses up her attack action for the turn. With this Charm, activated when the player rolls Join Battle, the Exalt's mount gains an Initiative track with a starting value equal to her own, and may make attacks on its own turn. In addition, when the Solar commands her mount to perform a Ride-based movement action, it no longer uses up the Exalt's movement action for the turn.</t>
  </si>
  <si>
    <t>–(1i)</t>
  </si>
  <si>
    <t>The Solar is one with her mount. Through her skill and the bond they share, the mount can take reflexive defend other actions to defend the Solar, paying one from its Initiative to prevent attacks which would harm her. These defend other actions increase the mount's Parry and Evasion by 1, but cannot raise them past 5. In addition, while it is in a position to guard the Solar, its damage totals gain a number of dice equal to the Solar's Essence.</t>
  </si>
  <si>
    <t>1hl per three successes</t>
  </si>
  <si>
    <t>The Solar feels the thread of her life is intertwined. When her mount suffers a decisive attack, the Solar may reduce the damage the mount suffers, trading one of her own health levels for every three successes on the damage roll so neutralized. The Solar must be riding her mount to use this Charm.</t>
  </si>
  <si>
    <t>2m to 6m</t>
  </si>
  <si>
    <t>Ride 3, Essence 2</t>
  </si>
  <si>
    <t>With skill, flair, and Essence, the Exalt instills a mount's gear with harmonious movements, causing straps to flow together and cinch, latches to buckle, blankets to smooth and armor to settle perfectly in line with her dramatic tacking and barding actions. Normally, it takes minutes to tack and bard a mount, as described on page 204, but the entire process can be shortened through use of this Charm. Roll the Exalt's (Dexterity + Ride) against a difficulty of 3. On a success, she can tack a mount in a single turn, while failure sees it tacked in two turns. After tacking a mount, the Solar may reuse this Charm to affix its armor. Quickly armoring a steed works the same way–the Lawgiver armors the mount in one or two turns, depending on her success.Finally, the Exalt may use this Charm again to arm a fully tacked and barded steed with as many as three weapons in a single turn upon success, or one per turn if she fails. The steed she prepares with this Charm need not be her own.</t>
  </si>
  <si>
    <t>Untouchable Horseman's Attitude</t>
  </si>
  <si>
    <t>3m, 2i, 1wp</t>
  </si>
  <si>
    <t>Ride 4, Essence 2</t>
  </si>
  <si>
    <t>The Lawgiver may use her skill to flawlessly evade an oncoming threat, automatically succeeding at a disengage action, so long as there is no more than one opponent at close range.</t>
  </si>
  <si>
    <t>Immortal Charger's Gallop</t>
  </si>
  <si>
    <t>Feeding Essence through her mount's form, the Exalt greatly increases its speed for an instant. Convert the mount's Speed Bonus to automatic successes on a single movement action or one interval of a race. If the mount has a negative Speed Bonus, this Charm reverts it 0. This Charm does not affect the penalty to a mount's mobility that comes from heavy barding.</t>
  </si>
  <si>
    <t>Ride 5, Essence 2</t>
  </si>
  <si>
    <t>The Lawgiver holds the reins of Heaven and rides with the skill of divinity. Her skill allows her to draw supernatural levels of performance from her chosen steed, doubling its Speed for the scene. If this Charm is used without Flashing Thunderbolt Steed, mortal mounts will almost surely perish at the end of the scene. Used in conjunction with this Charm, the mount will still be tired and need to rest at the scene's end. This Charm ends if the Solar is crashed.</t>
  </si>
  <si>
    <t>Feeling her mount's agitation and its intense need to run, trample, and win, the Solar uses her Essence to focus its aggression into a wild burst of speed. This Charm permanently upgrades its prerequisite, allowing its effect to be used in a Join Battle roll for three motes.</t>
  </si>
  <si>
    <t>Inexhaustible Destrier's Gait</t>
  </si>
  <si>
    <t>One of the advantages of going mounted is that wound penalties to the rider do not hinder the movement of her steed. Inexhaustible Destrier's Gait also removes the steed's wound penalties and penalties for unsteady footing for one round, making the mount's movements flawless.</t>
  </si>
  <si>
    <t>3m or 4m, 1a</t>
  </si>
  <si>
    <t>The Lawgiver whips her reins and strikes against the world with her Essence, pushing aside all external forces to drive her mount forward with blistering speed. This Charm supplements a rush, disengage, or withdraw action (p. 197), or a single interval of a race (p. 197), adding one automatic success and rerolling all 1s until 1s fail to appear. For four motes, the Solar may unfurl a single level of her anima, leaving a trail of fire in her wake. This flame will not consume the scenery, but will burn steadily,for an hour, even in a driving rain, and does damage identical to a bonfire (p. 230). These flame trails are visible from a mile away, and can be seen by completely sightless characters. When using Coursing Firebolt Flash, and provided she knows Onrush Burst Method (p. 264), the Solar benefits from the latter Charm exactly as if she were using Athletics, save that she must use the gathered motes to power Ride Charms.</t>
  </si>
  <si>
    <t>4m, 3i, 1wp</t>
  </si>
  <si>
    <t>Gripping the reins of her loyal steed, the Solar rides inexorably through the tides of chaos and the uncertain forces that buffet Creation. This Charm allows the Solar to recover from a successful unhorse gambit without falling from the saddle. The Solar is seen to fall from her steed, only to flip in the air or rebound off scenery to reunite with her mount. This Charm is also effective against attacks which would knock the Solar from her mount, but not those which would launch or bodily drag her from the saddle.</t>
  </si>
  <si>
    <t>Horse-Stealing Leap</t>
  </si>
  <si>
    <t>With a cavalier leap, the Exalt unhorses a rider and takes the reins. This Charm supplements an unhorse gambit. If the Lawgiver has higher Initiative than her target, it also lowers the difficulty of the gambit by 1. Upon success, the Solar leaps onto an enemy mount, knocking the rider from the saddle and taking the reins in one smooth motion. If the Exalt is on foot, this gambit only works from close range. However, if she is already mounted, her steed can throw her an extra range band, allowing her to attempt the gambit from short range. The range of Horse-Stealing Leap can also be enhanced by appropriate Athletics Charms. If the Exalt is trying to steal back her own horse, this Charm automatically succeeds.</t>
  </si>
  <si>
    <t>Immortal Rider's Advantage</t>
  </si>
  <si>
    <t>The bond between the Exalt and her mount is intrinsic. So long as the Exalt sits in the saddle and they areconnected as horse and rider, half of either partner's initiative (rounded up) can be transferred reflexively between them to stave off Initiative crash or to deliver telling decisive attacks.</t>
  </si>
  <si>
    <t>4m, 1hl or 4m, 1lhl</t>
  </si>
  <si>
    <t>The Lawgiver trades blood and life to sustain her honored companion. With a dramatic action lasting a scene, in which the Exalt cares for her mount, treating its wounds and soothing it with words, she can heal her mountof (Essence) lethal or bashing damage, taking a single lethal or bashing damage in exchange. This Charm can be combined with Survival and Medicine Charms to treat injured mounts.</t>
  </si>
  <si>
    <t>When the Exalt's steed is using Worthy Mount Technique, and has been rolled into battle using Seasoned Beast-Rider's Approach, the mount may unleash a decisive counter attack against anyone who directs a close range attack at the Solar or itself.</t>
  </si>
  <si>
    <t>Snapping the reins and drawing her mount back from an attack, the Lawgiver salvages her companion's precious life. A withering attack that would have crashed her mount instead leaves it with 1 Initiative. A decisive attack that would have slain her mount leaves it with a single health level. This Charm cannot be used to stop a withering attack if the mount already sits at 1 Initiative, nor can it save the steed from a decisive attack if the steed has only one health level left.</t>
  </si>
  <si>
    <t>The Solar blesses her faithful companion with fortifying Essence. The Exalt may pay two motes after a damage roll against her mount to remove a number of successes equal to the 1s and 2s in the roll.</t>
  </si>
  <si>
    <t>Ride 5, Essence 3</t>
  </si>
  <si>
    <t>At the Lawgiver's command, the Essence of the world opens to release a phantom steed into her custody. This mount's coat is as black as coal, but its eyes burn with the light of twin suns, and its mane carries all the colors of Solar anima. This Charm creates an exceptional war horse (p. 567) that never tires, hungers, or thirsts, and need not sleep. This horse cannot be intimidated, nor can its loyalty be shaken. Its existence is an extension of the Solar's own.</t>
  </si>
  <si>
    <t>Enduring hardship, pain, and even loneliness, the Lawgiver draws renewing strength from the bond she has with a trusted mount. Each time the Lawgiver ends a combat scene riding, and each time she engages a dangerous situation with the aid of her mount and survives, she gains a number of motes equal to her Essence, and a single point of temporary Willpower. When a scene ends in which the Solar has accomplished a major goal with the help of her mount, subtract a point of Limit as well.</t>
  </si>
  <si>
    <t>Phantom Rider's Approach</t>
  </si>
  <si>
    <t>When using her mount to disengage, horse and rider seem to melt away, their very Essence converging with the scenery in an excess of speed. This Charm supplements a successful disengage, moving the Exalt and her mount two range bands should an enemy approach.</t>
  </si>
  <si>
    <t>Fierce Charger's Pulse</t>
  </si>
  <si>
    <t>Feeling her mount's fury piqued at a rival's temerity, the Lawgiver is empowered. For each 10 an opponent rolls in an interval of a race (p. 189) or in a rush or disengage action (p. 197), the Solar gains a mote of Essence which can only be used to fuel Ride Charms. Motes generated in this fashion fade if they are not used on the Exalt's next turn.</t>
  </si>
  <si>
    <t>Grizzled Cataphract's Way</t>
  </si>
  <si>
    <t>So long as she sits a saddle, the tireless Lawgiver need not give way to flawed senses or exhaustion. The Exalt may roll Join Battle using the higher of her Ride or Awareness, and by doing so, she eliminates all Awareness penalties to the roll relating to exhaustion.</t>
  </si>
  <si>
    <t>7m or 12m</t>
  </si>
  <si>
    <t>Infusing her chosen mount with Solar Essence, she lightens its body and magnifies its strength, allowing it to run at tremendous speeds. To activate this Charm, the Exalt must be at extreme range from all opponents. For seven motes, this Charm allows a naturally fast mount such as a horse or a great cat to move three range bands per turn. For twelve motes, it can confer the same effect to a slow or gigantic mount such as an ox or an elephant. Once within long range of any opponents, the Lawgiver's mounted speed is reduced to two bands per turn. This Charm ends if the Exalt or the mount attacks a target, or if the Solar is crashed.</t>
  </si>
  <si>
    <t>The Solar touches her mount with a mote of purefic power, opening its mind and teaching it the trick of running on air. The horse can gallop on water, clouds, and even an open gap across a chasm, allowing the Solar to take mounted movement actions across gulfs that would otherwise be impossible to cross.</t>
  </si>
  <si>
    <t>Their spirits conjoined, mount and rider streak toward their target with a powerful Essence-infused leap. This Charm allows a Solar using the prerequisite to attempt a rush action on an aerial opponent or target (such as a Haslanti skyship) at any range. If successful, the result is identical to a successful rush; if the target is moving away, the Exalt follows an additional range band. If the Solar pursues a target for more than two turns using the prerequisite, drop the Willpower cost from this Charm.</t>
  </si>
  <si>
    <t>1m to 3m or 5m, 1wp</t>
  </si>
  <si>
    <t>The Lawgiver may draw her horse's tack, armor, and weapons from conceptual Elsewhere, causing them to hover and leap onto her mount's body over the course of three rounds. She pays one mote for each set of gear–first tack, then barding, then up to three weapons. If the Solar is riding when she activates this Charm, she need not dismount. Her mount's saddle and armor flows into place, growing beneath her like second skin. She may also pay three motes to instantly send her mount's panoply Elsewhere.At Essence 4+, she may pay five motes, one Willpower to instantly clad her mount in the entirety of its gear. Whirlwind Horse-Armoring Prana is explicitly compatible with the Resistance Charm Glorious Solar Plate (p. 378). After using Whirlwind Horse-Armoring Prana, she may use Glorious Solar Plate reflexively on the same instant to apply the armor's effects to her steed's barding for only five motes.</t>
  </si>
  <si>
    <t>With an infusion of Essence, the Solar lightens her mount's barding, removing its mobility penalty.</t>
  </si>
  <si>
    <t>So long as she sits atop her horse, the Lawgiver knows its life is threatened. Through intense training of evasive maneuvers, the Solar learns to transfer the effects of attack-evasive Dodge Charms through her mount, allowing her to use them on her steed's behalf.</t>
  </si>
  <si>
    <t>Ride 4, Essence 3</t>
  </si>
  <si>
    <t>The Lawgiver's mount brooks no challenge to its authority, for it carries the sun on its back. After using Seasoned Beast-Rider's Approach to Join Battle, the Solar's mount gains one Initiative per turn. In addition, when the mount succeeds at a Ride-based movement action or gains more successes than its opponent in an interval of a race, the mount gains Initiative equal to the Solar's Essence. At Essence 4+, the mount's base Initiative value is set to 4 or its Stamina, whichever is higher, to a maximum of 6.</t>
  </si>
  <si>
    <t>Infuriated by an attacker's temerity, the Lawgiver's mount strikes an attack aside with one of its own. When the Exalt's steed is using Worthy Mount Technique, and has been rolled into battle using Seasoned Beast-Rider's Approach, the mount may unleash a decisive clash attack against any attack directed at the Solar. If the mount is clashing a withering attack while its rider is at base or lower Initiative, ignore the Willpower cost of this Charm.</t>
  </si>
  <si>
    <t>The Lawgiver raises her hands over her mount and draws away the Essence of softer substances, hardening its skin, giving it muscles like granite and turning its coat and mane into a fine mail of steely strands. Add (the Solar's Essence +1) to the mount's soak. Sail</t>
  </si>
  <si>
    <t>Sail 3, Essence 1</t>
  </si>
  <si>
    <t>Hardened by cruel elements and biting privation, the Solar has given her blood to the sea and been blessed by its life-giving forces. The Solar's Stamina is considered two higher than its true rating when resisting suffocation, dehydration, and starvation. The rules for surviving without oxygen, water, and food can be found on page 232.</t>
  </si>
  <si>
    <t>Sail 5, Essence 1</t>
  </si>
  <si>
    <t>The Lawgiver's resolve is steeled by a life spent on the deck of a ship, rocked to sleep by the hand of death. This Charm permanently enhances the Exalt's Willpower. So long as she started the day by waking up shipboard, on the water, she may ignore the Willpower cost to resist one instance of social influence per day. Note that this power is discretionary: the Exalt may always allow herself to be persuaded by mental influence, so that the player can husband this Charm's potential against more dangerous persuasion.</t>
  </si>
  <si>
    <t>Until the hazard has passed</t>
  </si>
  <si>
    <t>Through skill and resolve, the Solar conquers the darkest dominions of the sea. This Charm starts an ongoing dramatic action in which the Solar navigates a ship through a hazard such as a coral reef, the living sargassum around Bluehaven, the hidden rocks in a storm-tossed bay, and so on. The Exalt gains two bonus dice to navigate dangerous features she's unfamiliar with, or two automatic successes to clear a hazard she's navigated flawlessly in the past. Flawlessly means without taking hull damage and without using Charms or other magic to negate hull damage. Bonuses from this Charm are applied to each roll to evade the hazard. These bonuses do not count as dice added by a Charm.</t>
  </si>
  <si>
    <t>The Essence of a ship knows its master. This Charm claims a ship. If it was not owned by one of the Exalted, the ship disregards its former master. Those who do not bear the Exalt's remit suffer a -1 penalty to all actions taken on the Solar's ship until she has formally welcomed them aboard. The Exalt may renounce her welcome at any time, restoring this penalty at her pleasure. In addition, if the Lawgiver's positive intimacy toward the ship achieves Major or Defining status, the Exalt may draw up to five motes from her bond with the ship, once per day, but she must be shipboard to do so. Drawing motes from more thanone ship or familiar in a day causes all motes past five to dissipate at the end of the round.</t>
  </si>
  <si>
    <t>The Solar channels her Essence through the ship's hull, smoothing the timbers with a thin layer of frictionless anima and causing it to glide more easily through or over the water. This Charm increases the ship's speed by one for its duration.</t>
  </si>
  <si>
    <t>The waters of Creation abound with the dark dross of Heaven's judgment: galleys crewed by corpses, barges pulled by demons, and ships helmed by the Abyssal Exalted. Heaven recognizes the Lawgiver's authority to recruit such creatures. This Charm upgrades the prerequisite, allowing the Solar to welcome residents of Malfeas and the Underworld, Abyssal Exalted and other cursed Chosen to the crew of her ship. While engaged in the operation of the Solar's ship, such characters no longer count as creatures of darkness when targeted by social influence that would exploit this condition. In addition, while such characters may be deeply discomforted by the Solar's anima, they are not driven to dematerialize, nor do they suffer any automatic damage from the Exalt's iconic displays or area-effecting magic which would harm all creatures of darkness in the vicinity. In case of a mutiny, the Lawgiver may revoke this boon at any time. While her crew may be protected from social magic, this Charm provides no defense against attacks which harm cursed spirits and benighted creatures.</t>
  </si>
  <si>
    <t>Immortal Mariner's Advantage</t>
  </si>
  <si>
    <t>1 or 2m</t>
  </si>
  <si>
    <t>Talents honed by lifetimes of effort and sacrifice, the Exalt channels her experience into perfected motions of hand and sail, cunning naval attack plans, and decisive marine EXAMPLE HAZARDThe Mirror Court is a maze of mirrors left behind by the Wyld's retreat. Ships that sail into the Mirror Court are almost inevitably lost forever. Each round of sailing through the Mirror Court is made at difficulty 5. Each time the player fails a roll, the ship's crew–possibly disoriented by hundreds of reflections–steers into one of the mirrors, causing the ship to impact with its reflection exactly as if having been struck with the ram maneuver on page 245. Other hazards exist in the Mirror Court. Safe Bearing Technique vastly reduces the threat of these and any other hazards the Solar has bested.</t>
  </si>
  <si>
    <t>Legendary Captain's Signature</t>
  </si>
  <si>
    <t>Pilot</t>
  </si>
  <si>
    <t>The Exalt fashions her skill into a perfect Essence-fueled maneuver. The Solar's naval skill is such that she can overcome a ship's design flaws. Even a trash barge moves like a sleek pirate cutter in her capable hands. This Charm supplements a naval maneuver, doubling the ship's maneuverability rating and increasing its speed by one. If the ship's rating is zero or less, its rating increases to one.</t>
  </si>
  <si>
    <t>Sight of the Lawgiver's ship strikes dread into the heart of her enemies. Its sudden disappearance is a presage to disaster. This Charm supplements a concealment action in which the Exalt's ship quickly vanishes behind a piece of scenery, adding the ship's speed as bonus dice to the roll.</t>
  </si>
  <si>
    <t>The Solar's commands ignite a desire for victory in her crew, steeling their senses and honing their training into an awesome ballistic onslaught. This Charm supplements a broadside maneuver (p. 245), adding bonus dice to the naval maneuver roll, and treating the result as if it were (Essence) successes higher than it really is. The bonus dice on this Charm are equal to the Solar's Essence, but the price changes based on her permanent Essence. From Essence 1-4, the cost of this Charm is two motes. At Essence 5+, it costs three motes, and at Essence 8+ it costs four.</t>
  </si>
  <si>
    <t>Infusing the prow and ram of her ship with hardening Essence, the Solar empowers her ship to cut through the enemy's hull like a spear. This Charm supplements a ram maneuver, causing the attack to do one extra level of damage. In addition, this Charm automatically defeats a broadside maneuver, damaging the enemy ship and canceling the broadside attack completely. To avoid transparency, the player should not declare this Charm aloud, but should write it on a piece of paper and keep it face down until the dice have been rolled.</t>
  </si>
  <si>
    <t>The Solar guides her ship along a flow of Essence in opposition to an enemy vessel. This Charm supplements a positioning maneuver (p. 245), treating the opponent's 1s as 10s on the Solar's roll. In addition, this Charm automatically evades a ram maneuver, even if the opponent's roll succeeds. To avoid transparency, the player should not declare this Charm aloud, but should write it on a piece of paper for the Storyteller to keep face down until the dice have been rolled.</t>
  </si>
  <si>
    <t>Sail 4, Essence 2</t>
  </si>
  <si>
    <t>The Lawgiver has weathered storms and faced many crises on the open sea. With this Charm, the Exalt is quickened by peril and reacts to disaster with unhesitating action. When the vessel she is aboard has taken hull damage, the Exalt gains a number of bonus dice equal to the hull penalty. For example, if the hull penalty is -1, the Solar gains +1 to certain actions. These bonus dice can be applied to any action in defense of the ship or its crew, from combat to social influence to rolls to repair damage to the ship and stop its sinking. These bonus dice cannot be applied to Naval Maneuvers or pursuit rolls, although they do apply to Sail rolls to avoid hazards and navigate to a destination.</t>
  </si>
  <si>
    <t>Safe BearingTechnique</t>
  </si>
  <si>
    <t>The Solar's Essence is tied to the waves. Through this bond, the water speaks. By touching a body of water, the Solar can see through its eyes, and may predict the weather along her course of travel for the next (Essence * 10) hours. The only thing that will cause this forecast to err is the influence of powerful weather-changing magic. The Exalt may foresee even freak squalls andunexpected fogs.</t>
  </si>
  <si>
    <t>The Solar's anima enshrouds the ship, concentrating around the bow and waterline and causing it to cut through the water more effectively. The ship's speed is increased by one for the Charm's duration. This Charm is incompatible with Wave-Riding Discipline.</t>
  </si>
  <si>
    <t>The Solar's Essence suffuses the hull, mast and sails, lightening the ship until it rises out of the water and planes over the top of the waves. While this Charm is active, the ship's sails are more effective, doubling the ship's sail-derived speed bonus. The ship also gains an additional point of speed for favorable currents. However, the ship's speed bonus for having oarsmen (if it has any) falls to one (if it is higher), and the ship may not benefit from being pulled by a sea monster or other beast which would drag the hull back down into the waves. This Charm is incompatible with Tide-Cutting Essence Infusion.</t>
  </si>
  <si>
    <t>Sail 5, Essence 2</t>
  </si>
  <si>
    <t>By bracing herself against the ship and channeling Essence through it at the moment of impact, the Solar can cause her anima to absorb the damage, leaving the ship unharmed. The Exalt triggers this effect at the moment of impact, negating all damage to the ship's hull and masts. The Solar may only protect an area of the ship within (Essence * 20) feet of her current position. Some hazards, such as coral reefs or hidden rocks may cause continuous damage to the ship, forcing the Lawgiver to trigger this effect repeatedly. If so, ignore the Willpower cost forrepeated consecutive uses.</t>
  </si>
  <si>
    <t>2m, 3hls per 1hul</t>
  </si>
  <si>
    <t>In a desperate effort, the Solar conjoins her Essence to that of the ship's, trading life for life. By paying two motes at the moment of impact, the Solar opens a channel between body and hull, transferring damage from ship to self at a rate of three health levels per one level of hull damage ablated.</t>
  </si>
  <si>
    <t>Concentrating on damage to the hull, mast, or rigging, the Exalt sends her Essence lancing into the ship's wounds, suffusing them to strengthen timbers, tighten bolts and gaps, and hold frayed gear and sails together. This Charm negates the ship's hull penalty, and mustbe dropped and renewed each time that penaltyincreases.</t>
  </si>
  <si>
    <t>Indomitable Voyager's Perseverance</t>
  </si>
  <si>
    <t>Immortal Mariner's Advantage or Salty Dog Method</t>
  </si>
  <si>
    <t>Sensing a fault in her actions, the Solar's indefatigable spirit sets a new course of action. With this Charm, the Exalt can reroll any Sail-based action, keeping successes and rerolling non-successes, activating additional Charms on the reroll if she chooses to do so.</t>
  </si>
  <si>
    <t>Channeling deeply from her unending Essence, the Solar realizes her true potential. Eyes and Caste Mark blazing white, her nautical prowess expands tremendously. This Charm grants the Exalt one automatic success and applies a full free Sail Excellency (-2 dice to account for the automatic success) to her next Sail roll. This Charm may only be used once per scene.</t>
  </si>
  <si>
    <t>The Solar charges her ship and sails with wind-slicing Essence. Fueled by her defiance, the ship may sail almost directly into the wind. This Charm cuts wind-based penalties to the ship's speed and maneuverability, reducing such penalties by three.</t>
  </si>
  <si>
    <t>With an infusion of Essence, the Solar breaks the water's grip on her vessel. The Exalt may sail against a current, reducing penalties to the ship's speed by two. This Charm also helps the ship resist violent suction such as that employed by certain sea monsters, subtracting two successes from rolls to pull the ship through the water by means of a vacuum, whirlpool, or other suction.</t>
  </si>
  <si>
    <t>Steering into combat, the Solar's ship devours her enemies. This Charm lowers the momentum cost of naval maneuvers by two for the rest of the scene.</t>
  </si>
  <si>
    <t>Ship Breaker Method</t>
  </si>
  <si>
    <t>The overwhelming Essence of the Solar guides her ship on the attack, maximizing its momentum. When she succeeds at a ram maneuver, she may trigger this Charm to enact an automatically successful shock and board action (p. 246).</t>
  </si>
  <si>
    <t>Capitalizing on a perfect moment to strike, the Solar rallies her crew into a precision assault. This Charm supplements a Join Battle roll, adding three bonus dice to the Join Battle rolls of herself and her crew. Bonus dice from this Charm do not count as dice added by a Charm. Rail-Storming Fervor is expressly allowed to be combined with Join Battle-enhancing Charms of other abilities.</t>
  </si>
  <si>
    <t>The Lawgiver sees the course an enemy vessel will take outlined in a flow of Essence and moves her ship into a near perfect attack position. This Charm supplements a positioning maneuver, doubling momentum gained from extra successes on the roll.</t>
  </si>
  <si>
    <t>Sail 5, Essence 3</t>
  </si>
  <si>
    <t>The Solar sails upon the merciless tides, far from the comforts of hearth and temple, and so her eyes are keen to omens that will guide her to safety. The Solar can foresee danger in the wheeling of gulls, the pattern of the clouds, the rush of currents, the contents of the fishing net and the gavotte of stars. She becomes aware of danger to ship, self, or crew (Essence) minutes before it arrives, gripped by an increasing sense of foreboding, though she does not know what the danger is. While shipboard, the character gains (Essence) bonus dice to Awareness rolls to detect danger, such as ambushes, rogue waves or poisoned meals. This Charm does not allow the Exalt to detect threats it would be impossible for mortal senses to notice, but it will aid Awareness Charms that can detect such dangers.</t>
  </si>
  <si>
    <t>The Wyld often lures ships into unstable waters where the crew becomes monstrous and the ship transforms into something that can no longer float. A Lawgiver who knows this Charm will automatically sense the Wyld approaching her ship at least one round before passing into it. She may activate this Charm, thinning her anima into a crackling, stabilizing field that crawls over the deck, mast, and surrounding atmosphere, making it immune to the Wyld's shaping influence before fading out of view. This protection extends to the ship's crew as long as they remain aboard the ship. The Solar may activate this Charm even while she is asleep.</t>
  </si>
  <si>
    <t>Drawing on ancient wards and pacts between the Essence of sea and sky, the Solar awakens the anima of her ship. Over the course of the next month, the Solar and her crew experience an increase in vitality, as the ship's Essence feeds and strengthens their flesh. Each member of the crew, including the Exalt, gains a number of health levels identical to the ship's hull rating. These health levels remain in place even if the Solar or her crewmates disembark; only characters who are off the ship for a month or more lose this benefit, bonus health levels fading as their bond with the ship diminishes. If the ship should suffer hull damage while this Charm is active, the bonus levels are summarily stricken from the Solar and her crew. Such indirect damage does not generate wound penalties, however–simply discard bonus health levels until the ship's hull is repaired.</t>
  </si>
  <si>
    <t>With binding Essence, the Lawgiver makes her ship as tireless and unstoppable as she is. This Charm is triggered in response to an attack or impact that would destroy her vessel. Ship-Sustaining Spirit holds the ship together as long as the Solar remains on board and keeps the Essence committed. If the ship takes even one level of damage, it will fall apart, although the Exalt may continue to send her Essence spearing through the ship's frame to hold it together, maintaining multiple commitments to the Charm.</t>
  </si>
  <si>
    <t>6m, 1wp, 3a</t>
  </si>
  <si>
    <t>Blood and Salt Bondage,</t>
  </si>
  <si>
    <t>Ship-Sustaining SpiritAnima burning with righteous condemnation, the Lawgiver casts her blazes into the air, igniting her sails in a pennant for the world to see. The Exalt's anima must be at the bonfire level to use this Charm. The moment the Solar activates this Charm, her iconic anima crawls up the mast, rendering it invincible to all damage for an instant. If the sails are still flying, her anima crawls over them, suffusing them and igniting them in a massive display that can be seen for (Essence * 5) miles. If the sails are gone, the Lawgiver's anima flies in their place, restoring the ship's sail-based speed. While the Burning Anima Sails are flying, the ship is supernaturally terrifying to demons, the undead, and other benighted creatures from the recesses of Creation. All naval maneuvers attempted by such creatures suffer a dice penalty equal to half the Lawgiver's Essence, rounded up. In addition, any creatures of darkness who board the Solar's ship suffer a -1 penalty to all actions. Using this Charm drops the Solar to the dim anima level. When the Charm ends, the iconic anima dissipates, leaving the ship's fabric sails perfectly restored, even if they were completely destroyed.</t>
  </si>
  <si>
    <t>Much like hazards described on page 387, storms represent a major source of damage to ships. Storms can snap masts and oars, capsize ships or smash them beneath vast swells. While this Charm is active, the Solar can protect a ship no larger than a trireme, adding (Essence) automatic successes to each Sail roll to evade storm damage.</t>
  </si>
  <si>
    <t>The Solar is master of the sea and all that sail upon it. Her actions ignite fervor in her followers, impelling them toward emulation of her perfect form. Through use of mirrors, flags, and other signaling devices, the Exalt signals orders to ships in her fleet, preparing them for a series of naval maneuvers to combat their enemies. Roll the Lawgiver's ([Charisma or Intelligence] + Sail); all allied ships that can see the Exalt's orders add a number of dice to their naval maneuvers equal to half the successes, rounded up. This bonus also applies to the Solar's own ship.While this Charm is active, the Solar must make this roll each round, renewing her orders to her fleet. Because of the mobile nature of combat, the same ships probably won't always be able to see the Solar's orders, and if the Exalt's own ship falls under attack, she may be unable to signal for rounds at a time.</t>
  </si>
  <si>
    <t>Normally when a ship changes targets during naval combat, it loses all of its momentum. The Solar's ship only builds a greater head of steam. Upon launching a naval maneuver which incapacitates an enemy vessel, the Solar may use this Charm to keep all of her ship's momentum, and adds an additional momentum bonus equal to the enemy captain's Essence.</t>
  </si>
  <si>
    <t>The Solar is invigorated by the annihilation of her seafaring foes. Upon successfully incapacitating an enemy ship with a naval maneuver, roll a free full Sail Excellency. Successes on this roll restore an equal number of motes to the Solar's Essence pool, to a limit of motes she has spent on Sail Charms in the scene. In addition, the Solar may trade four of these motes for a single point of willpower, but may gain no more than a single point of willpower for the defeat of a single enemy ship.</t>
  </si>
  <si>
    <t>Any ten Sail Charms</t>
  </si>
  <si>
    <t>The Exalt taps deeply of her Essence, merging ship, sea and self into one form. For the rest of the scene, as long as she is on her ship, add the vessel's Speed as automatic successes to her movement actions, and the ship's Maneuverability to her defenses. Any magic which increases these values cannot increase the bonus to these traits by more than +1 each. In addition, regardless of whether she is aboard her ship, she may speak in an ancient maritime tongue that is instinctually understood by oceanic spirits, aquatic raksha, the Lintha family and members of theNiobraran League. She may drink salt water as if it were fresh, and though she can be incapacitated by drowning, she can never die by being submerged, neither from running out of oxygen or by the crushing weight ofthe depths.Socialize</t>
  </si>
  <si>
    <t>Socialize 3, Essence 1</t>
  </si>
  <si>
    <t>The Solar attunes herself to the patterns of social interaction, allowing Essence to guide her responses. While this Charm is active, the Exalt adapts to the expectations of a host culture, and is able to instinctively and reflexively follow its customs, behaving appropriately for the situation at hand. This Charm does not grant the Exalt perfect understanding of a society, but covers greetings, eating and gift customs, and flirtation mores. This Charm eliminates all penalties incurred by unfamiliarity with cultural expectations and group dynamics, and prevents a character from committing any major faux pas. In addition, those who hold positive Intimacies for the culture the Solar has attuned herself to gain a temporary positive Minor Tie of respect or admiration for the Solar, while those who hold negative Intimacies for foreigners or outsiders have that Intimacy temporarily lowered by one level of intensity.</t>
  </si>
  <si>
    <t>This Charm supplements a read intentions action (p. 218), applying the double 9s rule to the Solar's roll. In addition, the Exalt may substitute Wits for Perception when sheis reading the intentions of a person with whom she is speaking. A Socialize 4+ repurchase enhances this Charm's performance. When the Solar discerns the intentions of her target, the player may speculate on the existence of one of the target's related Intimacies. If the player is correct, the Solar becomes aware of that Intimacy as per Cunning Insight Technique.</t>
  </si>
  <si>
    <t>Quicksilver Falcon's Eye</t>
  </si>
  <si>
    <t>With a supernaturally keen sense for social interaction, the Lawgiver can gauge a character's response to any social influence. She can even tell conspirators from rivals at a glance. With this Charm the Solar can intuit when a character applies Resolve or Guile against social influence actions and when he doesn't. When she makes an argument she believes her target will readily accept, but he applies his Resolve, she senses his hesitation. When he applies his Guile to occlude his intentions,she knows he's hiding something. When characters engaged in an argument seem to disagree yet she sees no application of Resolve, this is a clear sign of a sham performance.</t>
  </si>
  <si>
    <t>Socialize 5, Essence 1</t>
  </si>
  <si>
    <t>At a glance, the Exalt can tell when an Intimacy she has created or modified with an instill action has changed in intensity. This Charm supplements a read intentions action to discern the intensity of all such Intimacies, supplying one automatic success and two bonus dice.</t>
  </si>
  <si>
    <t>Socialize 4, Essence 1</t>
  </si>
  <si>
    <t>When taking a read intentions action to discover what a target wants from her, the Solar may reflexively activate this Charm, applying a -2 penalty to the target's Guile. In order to use this Charm, the Solar needs to have already succeeded at a read intentions action against the target in the scene, reading his intentions while he was interacting with someone other than the Solar.</t>
  </si>
  <si>
    <t>1m or 2m</t>
  </si>
  <si>
    <t>The Solar flenses herself of emotion and expression, shedding her façade to become inscrutable. The Solar may reflexively raise her Guile by one point. At Essence 2+, the Solar may pay two motes for two points ofGuile.</t>
  </si>
  <si>
    <t>The Solar may reflexively ignore all penalties to her Guile from fatigue, surprise or other emotional states.This Charm does not remove penalties incurredthrough physical injury or from being observed by hidden characters.</t>
  </si>
  <si>
    <t>Motive-Discerning Technique, Shadow Over Day</t>
  </si>
  <si>
    <t>The Solar becomes preternaturally aware of the social scene, able to read invisible subtexts and sense the intensifying focus of another's scrutiny. Each time the Solar or a character within five feet is the target of a read intentions action, the Exalt feels a tingle at the base of her skull telling her to activate this Charm. Upon doing so, she can discern not only who the target of the action is, but who is watching them. The Solar must be aware of the initiate to notice him–this Charm does not grant the ability to spot hidden characters, though it does allow the Exalt to reflexively apply a (Perception + Awareness) check to try to notice hidden initiates.</t>
  </si>
  <si>
    <t>Socialize 4, Essence 2</t>
  </si>
  <si>
    <t>This Charm allows the Solar to make a special read intentions action while observing an unfamiliar ritual to discern its purpose. This action has a difficulty of the obscurity of the ritual, and can be lowered by a relevant Lore rating. For example, an expert on the Skullstone Archipelago could interpret the ritual of bone and ivory more easily than someone who has never visited Onyx. This Charm can also pick up ritual subtexts: an expert in cults might recognize a demon-worshiping dance disguised as a harvest ritual. Basic success on this roll tells the Solar the meaning of the ritual. For every two additional successes, she understands an additional one-sentence fact about the ritual. If she is expected to perform the ritual, each fact she uncovers in this manner amounts to a single automatic success on a Performance roll to participate.</t>
  </si>
  <si>
    <t>Socialize 5, Essence 2</t>
  </si>
  <si>
    <t>The Solar is the guardian of her thoughts. If she's in a situation where Mastery of Small Manners would apply, she may use this Charm to supplement a persuade or instill action that speaks to group policy, changing cultural attitudes or steering future courses. This Charm ensures that her arguments are logical and extremely well thought out: reroll all 1s until 1s fail to appear, and deny the benefits of the Solar's 1s to the magic of her enemies.</t>
  </si>
  <si>
    <t>The silver-tongued charisma of the Solar Exalted allows them to say things others would normally suffer to speak. This Charm supplements an instill, persuade, or bargain action. It does not aid the Solar's persuasion in gaining acceptance, but it does guarantee that her offer will sound delightful, charming, or at least a necessary evil coming from her lips. This prevents any Intimacy toward her from being decreased as a result of her persuasion. This Charm affects everyone who witnesses the social action, even if they were not the targets. Characters must pay a point of temporary Willpower in order to take offense.</t>
  </si>
  <si>
    <t>Upon failing a read intentions action, the Solar may use this Charm to reset her attempt, allowing her to try again. If the player describes a stunt in which the Solar re-engages her target–perhaps by spilling a drink on him, or posing lost beside a road as his carriage rolls up–then the cost of this Charm is reduced by a number of motes equal to the stunt level.</t>
  </si>
  <si>
    <t>The Lawgiver is a master of social theatre, drawing strength from her success like prayer from the cup of the gods. Each time she succeeds at a read intentions action, defends her Guile, or succeeds at a Socialize action with a difficulty of 0 or higher, she gains two motes of Essence. The Solar may not gain more motes of Essence than she has used activating Socialize Charms in the scene.</t>
  </si>
  <si>
    <t>The Exalt can master the social currents that surround her to gain a greater understanding of the situation. The Solar makes a read intentions action with (Essence) automatic successes, applying a single roll against the Guile of all targets in the scene of whom she is aware. Success reveals surface attitudes, (“She is nervous and impatient about something”), emotions (“He is angry at her”), and Ties (“Those two are besotted with one another”), revealing this information at a glance. The Solar can also discern what her targets want from one another (“He is trying to seduce her; she wants to buy his horse”). This Charm does not read minds–rather, it models the skill of a Lawgiver who can read the thousandfold nuances of social interaction with breathtaking ease. Failing to read a target's intentions with this Charm does not count as failing a read intentions action for the purposes of a reset. The Solar may only use this Charm once per scene, but she may reuse it if the scene changes significantly in some way.</t>
  </si>
  <si>
    <t>Through a sharp movement, a pointed glance, a whisper or a command to silence, the Lawgiver can raise the Guile of another. When the Solar perceives an ally being targeted by a Guile-piercing effect, she may use this Charm to reflexively raise his Guile. This Charm is facilitated by the urgency of the Lawgiver's stunt: if she glares or makes a cutting gesture, her ally's Guile is raised by a single point. If she distracts him from speaking through means both dubious and clever, his Guile is raised by two. If she slaps him full on in the face, his Guile is raised by three.</t>
  </si>
  <si>
    <t>After successfully defending herself through an application of Guile, the Solar's next read intentions action against the initiate gains (Essence) dice and one automatic success. This advantage vanishes at the end of the scene.</t>
  </si>
  <si>
    <t>When the Exalt defends herself against a read intentions action, she may activate this Charm to make the initiate believe he saw through her Guile. Instead of seeing the Exalt's true motives, he sees cluelessness, failure, or pursuit of vice, and disregards her for the rest of the scene.</t>
  </si>
  <si>
    <t>The Exalt shrouds her mind, concealing her inner thoughts behind fivefold walls. This Charm indefinitely raises her Guile by three points.</t>
  </si>
  <si>
    <t>3m per Intimacy</t>
  </si>
  <si>
    <t>Through concentration and practice, the Solar sheds a piece of her soul into the lightless blaze of her anima, dimming it. From that point onward, no read intentions action can uncover it. The Solar must meditate for an hour in order to bury a single Intimacy in this fashion. The Solar may eclipse as many Intimacies as she can afford to hide. Note that this Charm does not make it impossible to notice a Solar's overt tendencies–her Intimacies can still be revealed through her own actions.</t>
  </si>
  <si>
    <t>When her soul is glimpsed, the Solar may twist the very perceptions of her subject. The Solar may invoke this Charm when a character pierces her Guile, supplying a false purpose for her true motives. If the initiate inquires as to one of her Intimacies, and manages to uncover one, she may also use this Charm to misdirect his interpretation, changing the context of a Tie or the wording of a Principle to mislead him. This causes the initiate to make incorrect assumptions about the Solar's loyalties, interests or objectives, causing his social influence against her to be less effective or completely implausible. For example, he might discern that she is a devotee of the Immaculate Faith when in reality she holds the Order in contempt. His persuasion to get her to aid the Order by informing on her fellow Solars would then experience a boost in her Resolve, rather than a weakening. Though this Charm is paid instantly, the Solar's false Intimacy lingers until the end of the story. She is not compelled by this Intimacy and may freely act against it, nor is her Resolve lowered through its exploitation. However, should she experience Limit Break before the end of the story, the Intimacy becomes real, capable of influencing her until the story ends.</t>
  </si>
  <si>
    <t>Socialize 5, Essence 3</t>
  </si>
  <si>
    <t>Any time a Lawgiver witnesses another character dispute or reject a claim–typically a successful application of Resolve against a social influence action–she may activate this Charm, allowing the player to speculate on one of the character's attached Intimacies. For example, a Solar who witnesses a magistrate refusing to take a bribe might guess that he values justice. The Storyteller then must truthfully affirm or deny the accuracy of the player's speculation. This Charm does not guarantee success, but allows the Solar to piece together a clearer picture of a target by association or at least elimination. Intimacies guessed correctly become known to the Solar without a doubt.</t>
  </si>
  <si>
    <t>Sometimes a Solar must act quickly to prevent a disastrous incident. When she suspects a character intends to make a social influence roll she disagrees with, the Solar may use this Charm to prevent her target from making a social influence roll. Roll a (Manipulation + Socialize) persuade action, adding (Essence) automatic successes. If the roll succeeds, the target's intended social action–be it to persuade, bargain, threaten, instill, or read intentions–is treated as if it has already failed and must be reset (p. 223). This Charm is capable of defining influence without employing an Intimacy, but carries no inherent power to lower a target's Resolve on its own. This influence costs three Willpower to resist in a Decision Point and requires a Defining Intimacy to reject. Once a character has been hit with this Charm, if he successfully resets his social action or he pays Willpower to resist, this Charm can no longer prevent him from attempting the social influence he was initially denied. The Solar may however prevent him from taking other social actions through continued use. All uses of this Charm are reset when a new story begins.</t>
  </si>
  <si>
    <t>Counterattack</t>
  </si>
  <si>
    <t>Once per scene, the Solar may intercede in a persuade action she is witnessing in order to change the target's mind. After the initiate has rolled his persuasion but before Resolve is applied, the Solar may make a (Wits + Socialize) roll to persuade the subject to reject the initiate's influence. For every two successes she gains on this roll, the target's Resolve is boosted by one.</t>
  </si>
  <si>
    <t>The words of the Lawgiver turn the wheels of the world. When the Solar advises another character on social etiquette or group or cultural policy, roll ([Charisma or Manipulation] + Socialize) dice and add her successes as bonus dice that the target may use to enhance a Socialize roll, or to increase his Guile or Resolve for a single tick at a rate of two successes per point. The target of this assistance may spread this bonus out over the course of several scenes and multiple actions, or he may choose to use all of the dice at once. If the target applies any part of this bonus to an action, any positive Intimacy he has for the Lawgiver is increased in intensity and if one does not exist he gains one automatically.</t>
  </si>
  <si>
    <t>This Charm embodies the awe-inspiring resonance of the Solar Exalted, whose very presence shapes the flow of nations. This Charm is triggered by a Solar's success in a social scene, where through social influence she achieves a significant objective. She might broker an alliance, arrange a wedding, cancel an assassination or convince the local Guild to decrease opium production. Any objective success she attains at the expense of another social actor in the scene leaves that character in a state of obsession. The Lawgiver is an enigma, and though he can't remember the substance of her arguments, her casual wit haunts his dreams. For (Essence) days the character suffers a -2 dice penalty to all Bureaucracy, Craft, Investigation, Linguistics, Lore, Occult, Performance and Socialize rolls, with 1s on these rolls each counting as -1 success. When this obsession wears off, the target automatically develops a positive or negative Intimacy for the Solar, depending on how the days went. This effect may apply to multiple characters in the same scene.</t>
  </si>
  <si>
    <t>Unimpeachable Discourse</t>
  </si>
  <si>
    <t>TechniqueThe Lawgiver is ever blameless. With this Charm she can cast aside all 1s and 2s after making a Socialize roll, forcing them onto a target within five feet. This target must then make a (Wits + Socialize) roll with a difficulty of the Solar's Essence to keep his composure, with foisted 2s replacing the lowest successes (typically 7s) and 1s replacingthe next digit up (usually 8s). The Solar gains thesesuccesses to her initial roll, while her target appears tobe the one who said something ridiculous, upset his wine cup into the gravy bowl, or so on. The Solar may use his Charm in response to another Solar using Aspersions Cast Aside, but may not direct the impending botch back at the initiate.</t>
  </si>
  <si>
    <t>Counterattack, Mute</t>
  </si>
  <si>
    <t>Aspersions Cast Aside, Effective Counterargument</t>
  </si>
  <si>
    <t>When the Solar's name is impugned, she may turn those claims back on her accuser. When the Solar witnesses another character attempting a social action intended to harm the Solar's reputation or convince others to take action against her, she may invoke this Charm, rolling ([Charisma or Manipulation] + Socialize). If this roll gains more successes than the aggressor's, then the aggressor's claim is turned back against himself. If he were using an instill action to convince someone that the Solar is untrustworthy, the target would be instilled with an Intimacy of distrust for him instead. If he were trying to persuade the prince to have the Exalt taken into custody, he himself would be arrested. This consequence always follows in a way that make sense in the context of the scene, i.e. the target's accusations come off as suspicious, or he accidentally incriminates himself while trying to incriminate the Solar.</t>
  </si>
  <si>
    <t>The Lawgiver is the guardian of the peace. With this Charm she empowers herself to grant pre-emptive powers to her allies and subordinates. Any time the Exalt uses read intentions to notice hostile intentions which might result in violence, she gains three non-Charm dice to her Awareness for detecting a trap or assassination attempt, as well as three non-Charm dice to her next Join Battle roll. She may also confer this bonus to her allies through discreet warning at least one round before any hostile action occurs.</t>
  </si>
  <si>
    <t>When the Exalt successfully defends her motives or Intimacies through an application of Guile, she may reflexively make a read intentions action against the initiate, and if she pierces his Guile she gains a point of temporary Willpower. The Solar may only use this Charm to respond to actions she is aware of. The Solar may use this Charm against a character even if she has already failed to read his intentions in the scene. A repurchase of this Charm allows the Exalt to notice a read intentions action from a source she is unaware of, reflexively ignoring the -2 penalty and noticing the general direction from which the action is being made. She may even attempt to discern the motives of a character she cannot perceive–even one on another plane of existence–but will only pick up the surface emotions of a character she can't actually see.An Essence 4+ repurchase allows the Solar to respond to a read intentions action with one of her own, even if the target pierces her Guile.</t>
  </si>
  <si>
    <t>The Solar bares her soul to another, inviting him toread her intentions. This Charm is a special Socialize-based persuade action made as if it were exploiting a Defining Intimacy. Success causes the target to attempt a read intentions action on the Solar. Resisting thisinfluence in a Decision Point costs the target two Willpower.</t>
  </si>
  <si>
    <t>Similar to its prerequisite, this Charm compels the initiate to a certain belief upon failing a read intentions action. Instead of seeing the Lawgiver's true motives, the target sees her as a route through which he can achieve his goal for the scene. This Charm allows the Solar to gain the confidence of her mark. By acting as a facilitator she may be privy to a number of secrets her target would otherwise not disclose.</t>
  </si>
  <si>
    <t>Face-Charming Prana, Inverted Ego Mask</t>
  </si>
  <si>
    <t>Upon defending her Intimacies or her motives with an application of Guile, the Solar may activate this Charm. Doing so convinces the target he has seen into the Solar's motives for a moment, but when his gaze returns he finds himself staring into an empty, indescribable gulf ofmist and lights. This leaves the target character completely hypnotized and inert. During this time he cannot be socially influenced, and will remain in this hypnotic state for the rest of the scene, unless harshly shakenor worse.</t>
  </si>
  <si>
    <t>Knowing the Soul's Price</t>
  </si>
  <si>
    <t>Seen and Seeing Method, Wise-Eyed Courtier Method</t>
  </si>
  <si>
    <t>With a glance the Solar discerns those passions that sit hidden in the soul of her subject, desires for which he'd take great personal risks or engage in behavior he would normally resist. This Charm is a read intentions action with (Essence) automatic successes, rerolling 5s and 6s until 5s and 6s fail to appear. If successful, the Solar learns her target's price–that is, what will motivate him to undertake some specific task. The subject's price might be the recovery of a lost possession, sex with an unachievable object of desire, aid in a personal endeavor, simple flattery and so on. If the Exalt knows Cunning Insight Technique, she may activate it in an attempt to confirm up to (Essence) Intimacies suggested by the subject's price.</t>
  </si>
  <si>
    <t>Culture Hero Approach, Knowing the Soul's Price</t>
  </si>
  <si>
    <t>With this Charm the Solar gains a near-total understanding of a court. The Solar must spend (10 - Essence) days in the court observing its members before activating the Charm. Doing so synthesizes everything she has witnessed, discarding unimportant memories and magnifying the intensity of details which she may not have initially noticed. The Exalt gains a mind-map of the relations between the court's subjects. She discerns the strongest Tie each holds for the next, and the chief Principle relevant to each's purpose for attending court. These Intimacies come to her through understanding the social dynamics of her subjects. She not only perceives an Intimacy of respect or fondness between two members, but she sees how their banter creates its own positive Intimacy in other members. Her mind can draw out the interplay of connected Intimacies in this fashion as far as the Storyteller deems relevant. In addition, she perfectly recalls any customary roles or procedures performed by members of the court, even if that seems irrelevant. She might notice that one member takes leave at the same hour every day to walk in the sun, while remembering how another member drinks her tea–both how she holds the cup and what taste she favors. Overall, she is able to predict the movement, placement, mores and usual attitudes of her subjects perfectly, and has a strong understanding of their values and goals. This Charm also reveals the influences, Principles, and Ties of absent major players–observed members of the court hold Intimacies for members who are not present, whose role and impact the Exalt can guess by recalling conversations and comparing the Ties each member holds for the absentee.</t>
  </si>
  <si>
    <t>When driven to action, the Solar brings the experience of timeless ages. Her wisdom is the torch that lights the world. Once per scene the Solar may invoke a free full Socialize Excellency. This power may be reset by achieving a legendary social goal such that she vents a point of Limit .</t>
  </si>
  <si>
    <t>–(10m, 1wp)</t>
  </si>
  <si>
    <t>The Exalt creates a new persona with a set of false Intimacies she can use to change the way she thinks and acts. These Intimacies are purchased as a permanent effect, but the Solar must activate them by taking a dramatic action lasting four or more hours, in which she cloisters herself in a place of solitude and meditates or talks herself into her new persona. Upon entering her new persona, she gains her new Intimacies and temporarily voids her true Intimacies, and gains the following benefits:While this Charm is active, the Solar can act against her true Intimacies without eroding them or having to roll to gain Limit at the end of a scene. Furthermore, the Exalt cannot be impressed or persuaded by her true Intimacies–as if she were another person.The Solar may use her persona's Intimacies to void social influence against her, but doing so causes her to drag the affected Intimacy or Intimacies into her next persona change, or back to her true set of Intimacies, resulting in confusion as her identities begin to overlap and she begins to think competing thoughts in different voices. Heart-Eclipsing Shroud can be purchased (Essence) times, to create (Essence) personas. Motes spent activating this effect are not committed: reverting to her true Intimacies or changing to another persona requires that she use the Charm again.</t>
  </si>
  <si>
    <t>This Charm permanently upgrades all purchases of Heart-Eclipsing Shroud. The player can now purchase Charms for each persona using the experience granted by this Charm's prerequisite, paying favored or non-favored prices as the persona's character sheet dictates. With this Charm, the persona may learn Solar Charms the Exalt does not herself know. Knowledge of this Charm increases the Solar's deep mental and spiritual investment in her many personas. When she shifts into such a persona, she becomes increasingly vulnerable to her created passions. While in the guise of a persona, each time the Solar vents a point of Limit through an epic defense of one of her persona's Principles or Ties, the corresponding Intimacy is copied to her list of true Intimacies, temporarily voiding the strongest opposing Intimacy or the strongest Intimacy which is antithetical to her persona's character concept. The voided Intimacy cannot be restored until the transferred Intimacy has been eroded away, but the Exalt is as compelled by this Defining Intimacy as any other, and acting in accordance with it may cause her personality to transform even further.Special activation rules: This Charm retroactively lowers the cost of Flawlessly Impenetrable Disguise to three motes when it is activated during the four hour dramatic action described in Heart-Eclipsing Shroud. If Perfect Mirror is used during that time, ignore that Charm's Willpower cost. PERSONAS AND LIMIT BREAK</t>
  </si>
  <si>
    <t>Any four Essence 3+ Socialize Charms</t>
  </si>
  <si>
    <t>The Solar is a world-walker of some renown, and her good standing precedes her. Upon encountering a perfect stranger who has a positive Major or Defining Tie to a character who has a positive Defining Tie to the Solar, the stranger gains an automatic Minor Tie of respect for the Lawgiver. This automatic Intimacy is contingent on the stranger's awareness of his friend's Defining Tie to the Solar, as well as his recognition that the Lawgiver is who she claims to be. This automatic Minor Tie is fragile and can be destroyed instantly upon meeting if the Solar is offensive or demanding.</t>
  </si>
  <si>
    <t>Socialize 5, Essence 4</t>
  </si>
  <si>
    <t>The Lawgiver may cast the wicked from the fetes of the righteous, or turn the knives of thieves against their king. The Solar speaks against a group member for whom she holds at least a Minor negative Intimacy, accusing her target of some major betrayal, dereliction or perversion. The player rolls a single ([Charisma or Manipulation] + Socialize) instill action against the Resolve of all present group members, ignoring the penalty for group persuasion. To characters whose Resolve is beaten by thisroll, the Lawgiver's claim appears to be true: when the target interacts with affected characters, his social actions are penalized by twice the Solar's Essence score in dice, with botches inevitably reflecting the truth of the Solar's words. Affected characters may pay one Willpower to resist this influence, but that still does not remove the curse. The target must either present direct evidence with a successful persuade action to each individual member in order to cancel the effect, or leave the group for (Solar's Essence) days–when he returns he'll no longer suffer the Charm's penalty, but will still suffer the effects of the group turned against him, which he can counter with normal influence. This Charm can only be used on a single character once per story.</t>
  </si>
  <si>
    <t>The Lawgiver speaks from wisdom granted to her by the very fabric of the world. Once per scene she may use this Charm to apply the double 8s rule to a single Socialize-based action. This Charm may be reset by overturning social influence made against another character on the Defining level.</t>
  </si>
  <si>
    <t>Like day that turns to night, the Solar sinks into herself and becomes a perfect cipher. Once per story, the Solar may use this Charm to add her Resolve to her Guile, or her Guile to her Resolve. While this Charm is active, exploiting her Intimacies does not lower her Resolve, nor may she call upon an Intimacy to raise her Resolve.</t>
  </si>
  <si>
    <t>The Solar's inner self rises closer to the surface. This Charm can be purchased to upgrade one of the personas enhanced by Legend Mask Methodology, granting it an additional 25% of the Solar's experience points and increasing its experience gain to two for every three the Solar earns. However, purchasing this Charm grants the persona a new Limit Trigger in addition to the Solar's own. Draw the Curtain can be repurchased once for each persona the Solar wishes to enhance.</t>
  </si>
  <si>
    <t>Socialize 5, Essence 5</t>
  </si>
  <si>
    <t>Draw the Curtain, Knowing the Soul's Price</t>
  </si>
  <si>
    <t>Upon gazing into her subject's heart's desires, the Solar may reflexively transform into an all new persona. The Solar becomes a new character, shaped by the ambitions of her subject. If he needed a pirate captain, she might imbue herself with Sail, Larceny and relevant Intimacies toward anarchy and a love of plunder. The Solar creates this new persona by taking from the traits and Charms of personas created by Heart-Eclipsing Shroud. The persona she devises must have an equal number of traits and Charms as her strongest persona–one which has been enhanced by Draw the Curtain–but may borrow aspects from her true character sheet. If the Solar uses any Larceny Charms to change her appearance at the moment she activates this Charm, her subject is completely incapable of perceiving this change. He may wonder vaguely why that person vanished so suddenly, but will be more concerned with the new figure standing before him, as if they were cut from his dreams to make his wishes come true.</t>
  </si>
  <si>
    <t>1 Limit</t>
  </si>
  <si>
    <t>With this Charm, the Exalt can draw deeply from her psyche to uplift the Essence of one of her inner selves. Activating this Charm allows the Lawgiver to borrow the Ability rating of one of her personas for a single tick, and she may activate any Charms from that Ability which her persona has learned. Limit Break suffered as a result of Fugue-Empowered Other gives the Solar access to the full Charms and Abilities of her persona for the rest of the scene, but when her Virtue Flaw concludes, she will be genuinely confused as to who she is, without immediately realizing it. The Storyteller should represent this by randomly shuffling the Intimacies of the Solar and her persona.</t>
  </si>
  <si>
    <t>16m, 1wp, 20xp</t>
  </si>
  <si>
    <t>Once the Lawgivers were driven into the darkness beyond the edge of death. No longer. Upon being struck down, the Solar grasps the light of her divinity before it can flee and is drawn into her next incarnation without ever leaving her body. Instead she sheds her entire current set of Intimacies, Abilities and Charms, inheriting the traits, Charms and Intimacies of one of her personas. This Charm is activated the moment her last health box is checked off: her anima blazes to iconic one last time, and then is vented back to dim. When it goes, roll (Stamina) dice with one automatic success, restoring an equal number of health levels. From that moment onward the Solar is a new person, and remembers her last incarnation as if it were a persona created by Heart-Eclipsing Shroud. This Charm can only be invoked once per story. Using it changes the Solar's iconic anima manifestation permanently. This Charm's anima display cannot be muted by any means. Stealth</t>
  </si>
  <si>
    <t>Stealth 2, Essence 1</t>
  </si>
  <si>
    <t>The Lawgiver's stealth technique is honed until it's flawless. Perfect Shadow Stillness allows a reroll of any Stealth-based action, preserving the 10s from those results and rerolling the remaining dice. At Stealth 5, succeeding at a stealth attempt with this Charm awards the Solar one point of temporary Willpower.</t>
  </si>
  <si>
    <t>Stealth 3, Essence 1</t>
  </si>
  <si>
    <t>Assuming perfect stillness, the Solar fades from sight. A Solar with this Charm can affect true invisibility. However, the Exalt cannot move, nor can she take violent action without breaking this deception. Characters using Invisible Statue Spirit are not immaterial and can still be detected by touch, scent, taste, or hearing.</t>
  </si>
  <si>
    <t>The Lawgiver evades detection by hiding in plain sight. A Solar with this Charm is able to drift unnoticed through crowds or alone. This Charm models her talent for blending in and remaining unobtrusive. When active, characters cannot notice her unless she takes overt action. Such actions include any display of prowess–leaping from the street to the rooftops, braving a snowstorm in summer clothes, etc. Join Battle always counts as an overt action.This skill does not work against alert guards or those who intend to stop everyone (as with a checkpoint), but can be overcome by magic only if the user has a Minor or greater Intimacy to the Solar or a Major or Defining Intimacy to a cause the Exalt's presence directly threatens.</t>
  </si>
  <si>
    <t>The Solar leaps in and out of battle with nigh untraceable speed. The Exalt may use her (Dexterity + Stealth) to Join Battle. Her Join Battle result also acts as an attempt to enter Stealth. If she beats her opponent's Awareness-based Join Battle roll, she is automatically concealed, so long as there is a viable place to hide. If her foe uses a Join Battle roll modified to use any other Ability than Awareness, then he must make an Awareness roll to spot her, suffering a penalty equal to the difference in their Initiative, even if he rolled higher. If he fails the Awareness check, the Solar still vanishes from view.</t>
  </si>
  <si>
    <t>Stealth 4, Essence 1</t>
  </si>
  <si>
    <t>The Solar stalks her prey unseen, waiting for the perfect moment to strike. While concealed, the Solar uses this technique to focus on an opponent. Feeling along the pulse of the world's Essence, she stalks her target from the shadows, her veins coursing with lethal readiness. With this Charm, the Solar ignores the -3 penalty to Stealth rolls for moving while concealed. In addition, on each round in which she succeeds at the contested roll to evade detection by her mark, she gains an amount of Initiative equal to her extra successes on the roll. When the Exalt senses the perfect moment to strike, she may then leap from concealment to unleash a decisive attack, as long as she's been hidden by this Charm for at leasta round.For each round that she remains under the effects of this Charm, the Solar gains a mounting -1 penalty to her Stealth rolls, and if she is discovered or if she voluntarily leaves concealment or terminates the Charm without making a decisive attack, she loses all of the Initiative she gained through her most recent activation of the Charm.PERSONAS: RULES AND LIMITATIONS</t>
  </si>
  <si>
    <t>Through quick action, the Solar may obscure someone with her own efforts to remain hidden. The Solar must be touching the one she wishes to hide, and must herself attempt a Stealth action at the same time. The Solar works to obscure her charge, covering him with her body, shrouding him with her cloak, or guiding him into a cleverly concealed niche. Add half the Solar's successes (rounded up) and any stunt bonuses on this action as dice to her charge's own Stealth roll.</t>
  </si>
  <si>
    <t>Stealth 4, Essence 2</t>
  </si>
  <si>
    <t>The Solar sinks into the colorless field of her Essence, joining with the form of nothingness. This Charm allows the Exalt to make a Stealth attempt even if there is no cover available–so long as the Solar is standing still or moving slowly, she blends perfectly into her surroundings. While this Charm is in effect, her Stealth attempts garner (Essence) automatic successes.Extreme movement renders her temporarily visible. Any time she attacks or changes range bands, she can be seen and targeted by opponents until her next turn in which she doesn't. If she is struck by a withering or decisive attack, the Charm ends.</t>
  </si>
  <si>
    <t>The surreptitious Exalt may even hide in the spaces between thoughts. Roll the Exalt's (Dexterity + Stealth) against her subject's Resolve. On a success, she vanishes from her subject's notice, and cannot be perceived. This effect applies to every witness whose Resolve is surpassed by the Solar's skill. Not even overt action can reveal the Exalt to those affected by Mental Invisibility Technique. The Lawgiver may step out of her coat in a snowstorm or leap to the rooftops from the street without being noticed. However, rolling Join Battle or taking violent action ends this Charm's effects.Additionally, subjects may spend one Willpower to break free of the Solar's deception if the Exalt's presence is pointed out to him, the Solar intentionally reveals her-self to him, or the Exalt attempts to harm or stealsomething he values at the level of a Major or Defining Intimacy.</t>
  </si>
  <si>
    <t>Shadow Victor's Repose</t>
  </si>
  <si>
    <t>Standing unseen in the midst of her enemies, the Exalt revels in her control of battle's flow. Once per scene, while concealed during combat, the Exalt may rollJoin Battle and add her result to her current Initiative, so long as she has landed at least one decisive attack. Any Charms the Exalt uses to enhance her roll are automatically muted.</t>
  </si>
  <si>
    <t>Flash-Eyed Killer's Insight</t>
  </si>
  <si>
    <t>Stealth 5, Essence 2</t>
  </si>
  <si>
    <t>Triumphant, the Lawgiver's eyes flash upon hidden places, showing her the way to victory. Upon incapacitatingan opponent, the Lawgiver may trigger this Charm. If she has already used Shadow Victor's Repose in the scene, she may reuse it.</t>
  </si>
  <si>
    <t>1wp or 2i</t>
  </si>
  <si>
    <t>Stalking Wolf</t>
  </si>
  <si>
    <t>AttitudeLike a flashing viper, the Exalt strikes and is gone. Upon incapacitating a target, the Solar may reflexively attempt concealment by rolling (Dexterity + Stealth), adding (Essence) automatic successes. This Charm contributes four motes total to the cost of any Stealth Charms the Solar uses to aid in this attempt.</t>
  </si>
  <si>
    <t>Dark Sentinel's Way</t>
  </si>
  <si>
    <t>While using a defend other action on a subject, a hidden Solar may use this Charm to conceal her defense of that subject. Upon parrying an incoming attack, the Solar flickers briefly into view, then vanishes, returning her to concealment as if she had never left it. The Solar must be within close range of her subject or otherwise using Charms which allow her to apply defend other benefits from beyond close range.</t>
  </si>
  <si>
    <t>The Exalt is at one with the shadows, drawing safety from even the most intangible concealment. While this Charm is active, the Solar treats concealment as cover. Mild concealment (such as hiding in partially obscuring shadows, behind light foliage, or in obscuring fog) is treated as light cover, while heavy concealment (such as deep, full-body covering shadows, undergrowth that obscures all but the character's eyes, or thick, opaque smoke) is treated as heavy cover. Completely pitch-black, lightless environments count as full cover. Using concealment as coverrequires a take cover combat action (see p. 198) replacing Dodge with Stealth unless the character is already concealed. In that case, her hiding place counts as cover until she moves out of it or something happens to obviate it, such as flames banishing the shadows she's crouched in. Furthermore, this Charm also penalizes non-ranged attacks by one success in addition to any dice penalties the attack might accrue from fighting in low visibilityconditions.</t>
  </si>
  <si>
    <t>2m per anima level</t>
  </si>
  <si>
    <t>Stealth 5, Essence 3</t>
  </si>
  <si>
    <t>Taking a single short breath, the Solar drinks in her anima to restore the shadows. This Charm costs two motes per anima level the Exalt wishes to consume. Releasing this Charm causes the Solar's anima to leap into view. At Essence 5+, if the Solar has swallowed four or more levels of anima, she can release her commitment to this Charm by spitting her hidden anima into the air, creating a massive heatless flare that can be seen up to ten miles away. This method of release sheds her anima completely, and inflicts a (number of anima levels expelled + 3) penalty to the Awareness rolls of all characters within long range of the Solar until the next round. A Solar using Eye of the Unconquered Sun is immune to this effect.</t>
  </si>
  <si>
    <t>Vanishing From Mind's Eye Method</t>
  </si>
  <si>
    <t>One of the greatest of all deceptions–the Solar vanishes from memory. Roll the Exalt's (Dexterity + Stealth) and add her Essence in automatic successes to the result. Record the result. The Exalt slips out of the thoughts and memories of everyone who has ever known her, hiding in their minds. Upon meeting, she is unrecognizable to those who should know her. Once per day, individuals affected by this Charm may attempt to recognize the Exalt or remember her involvement in a past event. Roll the subject's (Wits + Lore) against a difficulty equal to the Exalt's result. If the roll does not succeed, he does not recognize the Solar, and the Exalt remains a nameless, shadowy distortion in his memories.</t>
  </si>
  <si>
    <t>Blurred Form Style, Vanishing From Mind's Eye Method</t>
  </si>
  <si>
    <t>The Exalt conquers her foe's senses, leaving only his eyes to settle the contest. The Solar enacts a technique allowing her to defeat one sense, rendering her undetectable to it. She can defeat the senses of hearing, smell, touch, and taste. However, she cannot use this Charm to overcome a target's sight.If she uses her sound-banishing technique, she is completely silent; not even the heightened sensory acuity of a guard dog's ears can detect her. Likewise, if she banishes touch, then someone who bumps into her in a pitch black room will be completely unaware. If she banishes taste, then the probing taste organs of an octopus or the flicking of a great serpent's tongue will not find her. This Charm may be stacked twice, allowing the Solar to banish up to two senses. If the player stunts the Charm description in such a way that it explains the nature of sensory muting as an extension of her skills, the cost of the Charm is reduced by two motes.</t>
  </si>
  <si>
    <t>Sound and Scent</t>
  </si>
  <si>
    <t>Banishing AttitudeThe Lawgiver whispers the ten koans of utter stillness, each quieter than the next. When she is finished, her concentration is improved, allowing her to swallow even the tiniest sounds. For the duration of this Charm, any Awareness attempt to detect her by hearing alone loses one success for every 1 and 2 the opponent rolls.</t>
  </si>
  <si>
    <t>Meditating on future combat, the Exalt speaks a design into her soul that erases her from combat's flow. This Charm permanently upgrades Shadow Victor's Repose. When the Exalt uses it to reroll Join Battle, she also momentarily vanishes (Essence) rounds from the short term memories of all opponents, allowing her next unexpected attack to act as an ambush provided it occurs within that period.</t>
  </si>
  <si>
    <t>Perilous, Mute</t>
  </si>
  <si>
    <t>Gripping her foe like a vice, the Lawgiver's penetrating gaze opens a rift into her target's soul, allowing her to hide there. This technique requires the Lawgiver be in control ON VANISHING FROM MIND'S EYE METHODSolar princes beware! Woe to the Solar who loses her crown by vanishing from the minds of her subjects. This Charm is not selective. Until the Solar voluntarily terminates the Charm, everyone forgets her.</t>
  </si>
  <si>
    <t>Unfurling her unseen anima, the Solar leaps to join the darkness she has conquered. While concealed, Exalt may move up to one range band, from one place of cover to an equal place of cover, without penalty. There must be a path for the Solar to make this leap: she cannot leap through solid walls or closed doors. This transition is instantaneous, the Solar blinking out of one location and flashing into another without passing through the space between. This Charm is incompatible with Blurred Form Style.At Essence 4+, the Solar can flash into hiding places that do not have a clear path to move by passing through structures that are transparent or partially opaque, such as windows or gates.At Essence 5+, the Solar may use this Charm even when she is not concealed, as long as she is moving through places where visual penalties might apply. If she is not concealed and not actively trying to stay concealed,this Charm no longer costs a point of Willpower to use. Crossing a range band with Shadow-Crossing Leap Technique always counts as the Exalt's movement action for the round.</t>
  </si>
  <si>
    <t>Stealth 5, Essence 4</t>
  </si>
  <si>
    <t>Banishing AttitudeThe Solar is a master of stealth deception, capable ofdefeating each of the five senses. This Charm represents the Solar's mastery of stealth by subtracting 2 successes for every 1 rolled in any Perception- or Awareness-based attempt to spot her. This penalty does not stackwith the penalized 1s affected by Ten Whispers Silence Meditation.</t>
  </si>
  <si>
    <t>Hidden Snake Recoil, Vanishing From Mind's Eye Method</t>
  </si>
  <si>
    <t>A hair's breadth from the blade's edge, the Exalt fades from harm. Only her anima is struck. When hit with a decisive attack, the Solar may use this Charm if the attacker rolls a combined total of six 1s and 2s across her attack and damage rolls. Roll the Solar's (Dexterity + Stealth) against her attacker's (Perception + Awareness). If she succeeds, she slips out of sight and into concealment, evading the attack as if she had dodged it. If she succeeds with at least one 10 in her result, she enters stealth while her opponent strikes an afterimage leftby the Solar's anima, transferring the damage resultharmlessly away from the Solar and returning her opponent to base Initiative. The Solar may leave an object concealed within her anima to receive the strike, reducing the Charm cost by one mote–two if the player makes a clever substitution.</t>
  </si>
  <si>
    <t>Shadow-Crossing Leap</t>
  </si>
  <si>
    <t>TechniqueThe deadliest Solars use this legendary stealth technique to evade discovery. When in a place of concealment,the Exalt may use this Charm to anchor the thread of her Essence to the spot. Should she relinquish hercommitment to the Charm, so long as she is within three range bands of her hiding place, she is carried thereinstantly on wings of anima. She does not travel the space between. This counts as an automatically successful Stealth attempt. After the Solar flashes back to her anchor point, others may not attempt to detect her for two rounds.Survival</t>
  </si>
  <si>
    <t>Survival 1, Essence 1</t>
  </si>
  <si>
    <t>The land gives its strength to the Lawgiver. The Solar may use this Charm to make a ([Charisma or Wits] + Survival) roll against a difficulty assigned by the Storyteller. Each extra success on this roll represents enough food gathered to feed a single person for a day. The fare guaranteed by this Charm is of a meager sort–berries, grubs, nuts, seeds, insects, and small animals–but the Solar has no need of a spear or bow or net to hunt such game. If the Storyteller decides there simply isn't any sort of sustenance in the region, or the player fails the roll, the Solar still finds enough food to feed at least one person. In addition,for every hour the Solar continues to use this Charm,the Solar works toward a climactic encounter with the rawest expression of survivalist skill possible. This guarantees that after repeated use, the Solar will have at least one chance per day to catch a large fish, kill a game animal, trap a large bird or find a fruit-bearing tree. This encounter will happen regardless of Storyteller decree, but is still contingent on a difficulty 6 roll in the worst case scenario.</t>
  </si>
  <si>
    <t>Survival 3, Essence 1</t>
  </si>
  <si>
    <t>Through the use of this Charm, the Solar becomes able to survive in even the most hostile conditions without special preparation. This Charm negates all environmental penalties to Survival rolls and eliminates the deleterious effects of exposure to extreme climates. The coldest glacier and the hottest desert are no more deadly to the Solar than the gentlest rolling plain. She ignores inclement weather even when lightly dressed, and does not suffer undue blisters, bug bites or plant poison even when walking barefoot through the jungle. This Charm does not protect the Exalt against environmental damage.In addition, Hardship-Surviving Mendicant Spirit lowers the difficulty to forage and find shelter by 2, to a minimum of 1.</t>
  </si>
  <si>
    <t>Friendship with Animals Approach</t>
  </si>
  <si>
    <t>Survival 2, Essence 1</t>
  </si>
  <si>
    <t>Through the use of this Charm, the Exalt can deal with nearly any wild animal. Herbivores and smaller omnivores will not break and run when the Solar approaches, and will even become somewhat docile, allowing the Exalt to pet or handle them. Predators are less susceptible to this Charm, and most will simply let the Solar pass unmolested through their territory. This Charm does not work on sentient animals or familiars, animals that are trained to attack, or animals that are maddened by pain, hunger, or disease.</t>
  </si>
  <si>
    <t>Survival 4, Essence 2</t>
  </si>
  <si>
    <t>The deepest wilds are no mystery to the Solar Exalted. With this Charm, the Exalt can find her way safely through even the worst terrain. The Solar and a group of up to (Essence * 2) followers can travel up to 10 miles a day across the harshest terrain, and 20 miles per day across normal wilderness. The Solar automatically succeeds at any Survival roll to find the next oasis, natural shelter, river or other topographical feature the region might include.</t>
  </si>
  <si>
    <t>Survival 5, Essence 2</t>
  </si>
  <si>
    <t>The Solar can track someone through the wilderness following the most minute signs, or sometimes no sign at all, following unerring instinct. This Charm supplements the (Perception + Survival) roll described on page 229. Reroll all 5s and 6s until 5s and 6s no longer appear, and treat 1s rolled by the opposing player as 10s on the Solar's result. This Charm can even contest perfect track-covering effects such as Traceless Passage.</t>
  </si>
  <si>
    <t>10m, 1wp, 1xp</t>
  </si>
  <si>
    <t>Survival 3, Essence 2</t>
  </si>
  <si>
    <t>An Exalt with a familiar has experienced the gift of having been chosen twice. The Exalt reaches through her anima to touch the bond she shares with her companion animal, elevating its spiritual status and according herself the following powers:Unbreakable Loyalty: The familiar gains a Defining Tie of loyalty to the Solar, if it does not already have one. No influence of any kind–other than that of the Solar–can make the familiar act against this Intimacy.Essence-Drawing Method: The familiar becomes a font of spiritual energy. The Solar may reflexively draw up to five motes from her pet once per day. The Exalt must be within short range of the familiar she wishes to tap.If the Exalt taps more than five motes from multiple pets in a scene, the motes she draws will only last until her next turn. Power-Renewing Bond: The Solar draws strength from her familiar bond. Once per day, through interaction with her familiar, the Exalt may draw a single point of Willpower as a simple action lasting at least a few seconds. This contact renews the Solar's mental energies and can even negate a -1 crippling penalty to the Exalt's social influence actions. The Solar may only use this power once per day, no matter how many familiars she has.</t>
  </si>
  <si>
    <t>The Solar holds dominion over the beasts of the field. With this Charm she can train an animal, familiar or otherwise, to follow her commands. Through exercise and repeated practice, she can also train the beast to use special abilities that are latent, such as an eagle's disarm ability (p. 563), or techniques designed by the player or the Storyteller which are appropriate to the animal.Normally, training an animal to unlock its latent potential requires a minimum of Survival 3, and two specialties: one in animal husbandry, and another specific to the animal–falconry for a hawk, lion taming for a great cat, and so on. The trainer makes an extended roll with an interval of one month and a goal of 10, modified by the animal's attitude–docile and tamed beasts presenting no penalties, familiars representing a number of bonus dice equal to the trainer's Intimacy to the animal, and hostile, wild, or otherwise untrainable animals representing a penalty of -2 or -3. The trainer must spend the entire month interacting with the beast, teaching it words, signals, commands, and running it through exercises daily. Any significant amount of time the trainer spends away from the beast during this time saps successes away at a rate of one success for every two or three days. Success at the extended roll means that the animal learns to use the technique and can be order to do so on command. ON SPIRIT-TIED PETThe first time a Solar uses this Charm, ignore the 1xp activation cost.</t>
  </si>
  <si>
    <t>The Lawgiver trains her familiar to strike on command. With a flash of Essence, they strike in tandem, delivering a terrible blow. With this Charm, the Exalt can call her familiar to strike on the same instant she attacks–so long as her familiar has not attacked that round, she can call it from any position in the combat order to attack her target immediately before or after her own strike.</t>
  </si>
  <si>
    <t>10m, 1wp, 2xp</t>
  </si>
  <si>
    <t>The Solar reaches into the substance of her familiar, and draws out that which is soft and vulnerable, hardening muscle, bone and hide. The familiar's soak increases by three, and its hardness by one. The Solar may enhance a single familiar with this Charm (Essence) times.</t>
  </si>
  <si>
    <t>The Solar taps a wellspring of Essence to increase her familiar's vitality and stature. Each purchase of this Charm increases a familiar's health levels, adding one -1 health level and two -2 health levels to its health track. In addition, each repurchase increases her familiar's size by 10%, to be manifested normally or only during Saga Beast Virtue and Deadly Predator Method. The Solar may enhance a single familiar with this Charm (Essence) times.</t>
  </si>
  <si>
    <t>Though the Solar's eyes may be blind to the spirit world, the eyes of her familiar can see into the realm of Essence. With this Charm, the Exalt invokes the familiar's senses, feeding them with the forces that primed Creation. For one turn, the familiar can attempt to detect immaterial beings with a (Perception + Awareness) roll, against a difficulty of the target's Essence or five, whichever is lower. If the Solar's familiar detects the target, it continues to do so for the rest of the scene.</t>
  </si>
  <si>
    <t>Following the pulse of Essence that forms at the moment of battle, the Solar guides her familiar on the attack. This Charm enhances a familiar's Join Battle roll, allowing it to use the Solar's (Wits + Survival) dice pool for the roll, and granting it (Exalt's Essence) non-Charm successes. Furthermore, if the Solar has used Familiar-Honing Instruction to order the familiar into battle, thereby enhancing this roll, each bonus die creates a cascading reroll– for each of these dice that turns up a success, reroll another die until the cascade fails to produce any successes.</t>
  </si>
  <si>
    <t>Survival 5, Essence 3</t>
  </si>
  <si>
    <t>Hardship-Surviving</t>
  </si>
  <si>
    <t>Mendicant SpiritThrough this Charm, the Solar becomes able to survive in any environment. When the prerequisite is active, the Solar can withstand the heat and toxic fumes in the caldera of an active volcano, can walk underwater with no ill effects, and can even withstand the hostile and inimical climes of the Elemental Poles. While Hardship-Surviving Mendicant Spirit is active, reduce damage from all elemental sources of environmental damage by the Exalt's Resistance rating.</t>
  </si>
  <si>
    <t>Unshakeable Bloodhound</t>
  </si>
  <si>
    <t>TechniqueAn Exalt with this Charm can vanish into the wilderness. This Charm affects the Solar and up to (Essence x2) followers, supplementing a (Wits + Survival) roll to cover the Exalt's tracks (p. 229). This roll gains (Essence) automatic successes and is bolstered by the double 9s rule. The Solar cannot be tracked conventionally, not even with the aid of tracking animals or other means–mundane attempts automatically fail. Only those with supernatural prowess can hope to find the vanished Lawgiver.</t>
  </si>
  <si>
    <t>With this Charm, the Solar can camouflage herself or an object (Essence + 1) yards wide so perfectly that they cannot be detected by mundane senses while immobile. Even the acute senses of a claw strider or other famed hunting beasts will fail to detect the Exalt (or her shelter, or her hidden cache of food, etc). Preparing this camouflage takes the Solar an hour. The player rolls (Intelligence + Survival) and records the successes, rerolling all non-successes a single time and all 1s until 1s fail to appear. A FAMILIAR INVESTMENTNothing's sacred. Sometimes familiars get killed. Many of the Survival Charms featured here require the Solar to make an investment of experience points in a familiar. These Charms do not represent a poor investment, nor a guarantee of painful regret in the future. Should the Exalt's familiar die, the experience points invested into the familiar return to the Solar.</t>
  </si>
  <si>
    <t>Deadly Onslaught</t>
  </si>
  <si>
    <t>CoordinationSensing a moment to strike, the Exalt orders her familiar in for the kill. Though it is a reflexive, this Charm supplements a familiar's decisive attack, adding extra successes from the attack roll to the attack's raw damage. Using this Charm sets the familiar's Initiative to base after the attack, even when it's under the effect of Deadly Predator Method. This Charm may not be used more than once per scene, but resets if the familiar raises its Initiative to 10+.</t>
  </si>
  <si>
    <t>Beast-Mastering Behavior, Bestial Traits Technique</t>
  </si>
  <si>
    <t>When the Solar controls a familiar using the Sense-Riding Discipline effect of Spirit-Tied Pet, she can indict the senses of her enemies. While taking the form of her familiar, the Exalt may activate any Stealth Charms she knows to protect her familiar-self from detection. Familiars which are large, unusual, or otherwise unsuited to stealth may incur penalties to normal Stealth actions based on unfavorable circumstances–a claw strider slinking through a forest can be difficult to notice, but a claw strider skulking through the shadowed streets of Nexus suffers a -2 penalty.</t>
  </si>
  <si>
    <t>Hide-Hardening Practice, Life of the Aurochs</t>
  </si>
  <si>
    <t>The Exalt infuses her familiar with Solar anima, unlocking the form of the sacred beast. Her familiar grows in size by 25%, and gains +1 to all Attributes, and both defenses. It also gains up to (Essence) mutations, determined by the player upon purchase of the Charm. The Exalt can choose to activate Saga Beast Virtue with as many or as few of the designated mutations as she chooses. While in Saga Beast form, the familiar is completely immune to fear-inducing effects.</t>
  </si>
  <si>
    <t>Reaching into the Essence of the world, the Solar channels condemnation through a bestial agent. Though it is a reflexive Charm, this Charm supplements a familiar's attack against an immaterial foe. If the familiar successfully grapples and establishes clinch control of the immaterial, it is rendered temporarily vulnerable to physical attacks for the clinch's duration. If the Exalt has enhanced this Charm with Familiar-Honing Instruction, the player may choose to lower the cost of this Charm by one mote per success, reducing the bonus dice added by Familiar-Honing Instruction by one for each less mote she pays to activate Phantom-Rending Fangs. This can reduce the cost of this Charm to zero.</t>
  </si>
  <si>
    <t>Survival 4, Essence 3</t>
  </si>
  <si>
    <t>This Charm permanently enhances a familiar rolled into combat with Ambush Predator Style. For the rest ofthe combat scene, this familiar automatically generates one Initiative per turn. This Charm temporarily ceases function when the familiar is under the effects of Deadly Predator Method.</t>
  </si>
  <si>
    <t>The Lawgiver and her familiar fight as one. With this Charm, the familiar learns to read the Exalt's momentum, flowing with her attacks as if it were part of the Solar's Essence. For each successful withering attack the Solar lands against an opponent, the familiar gains bonus Initiative equal to half the Initiative drained by the attack, rounded up. This bonus may not exceed the Solar's Essence score. This Charm must be repurchased for every familiar the Solar wishes to enhance with its effect.</t>
  </si>
  <si>
    <t>Crimson Talon Vigor, Red-Toothed Execution Order, Saga Beast Virtue</t>
  </si>
  <si>
    <t>Thrown 1, Essence 1</t>
  </si>
  <si>
    <t>The Solar imbues her chosen weapon with Essence, to feel its every angle and weight as part of her body. Its strike becomes an extension of her will. The Solar's accuracy is calculated as if it was made from close range, regardless of the distance from which she is throwing. If Precision of the Striking Raptor is used at close range, the target's defense is lowered by one. This Charm does not allow the Exalt to strike a target beyond the range of her weaponry.</t>
  </si>
  <si>
    <t>Thrown 2, Essence 1</t>
  </si>
  <si>
    <t>The character harnesses the spirit of her throwing weapons, allowing her to strike a perfect blow at the moment of release. To use this Charm, the Solar must win Join Battle and make a decisive attack. Winning Join Battle means beating the roll results of all enemies present in the scene. Steel Storm Descending supplementsthis attack, granting a number of bonus dice equal to the difference between her Initiative and the Initiative ofher target.At Thrown 5+, Essence 3+, this attack does not reset the Solar to base Initiative.</t>
  </si>
  <si>
    <t>Thrown 3, Essence 1</t>
  </si>
  <si>
    <t>The breathtaking speed with which a Lawgiver calls a weapon to hand is often the last miracle her opponent sees. This Charm adds a single automatic success to the Solar's Join Battle roll, and treats her roll as if she scored (Essence + 1) additional successes for the purpose ofdetermining attack order in the first round of combat. These successes are not “real”–they neither increaseher Initiative, nor do they count as dice added by Charm. Flashing Draw Mastery is expressly permitted to be used in combination with Charms that boost Join Battle results, so long as they are not based in Archery, Melee, or Brawl.</t>
  </si>
  <si>
    <t>Decisive-only, Stackable</t>
  </si>
  <si>
    <t>The Solar marks her target and strikes with deadly purpose. If her attack does at least three damage, it adds a -3 penalty to all of her opponent's dice pools for the rest of the scene. This can be portrayed as a stunning blow to the head, a scratched eye, injured hand, or other similar injuries. Any particular wounding does not automatically heal at the end of the scene; the target may need special care to restore lost sight or use of a hand suffering nerve damage.</t>
  </si>
  <si>
    <t>Thrown 4, Essence 1</t>
  </si>
  <si>
    <t>The Solar perceives the angle of her enemy's attacks as broken arcs of faintly glowing Essence, and uses them to guide her own. Through the use of this Charm, the Exalt completely removes all cover benefits from a target, banking her weapon off of walls and other solid surfaces to make near-impossible attacks. If Angle-Tracing Edge is used against a target in full cover, unless deemedcompletely impossible by the Storyteller, her attack finds its mark, but is made as if she had attacked from longdistance.</t>
  </si>
  <si>
    <t>The Solar imbues her weapon with Essence, lightening the weapon at the moment of launch and perfecting its course. This Charm extends the range of a thrown weapon to long range. At Thrown 5, Essence 3+, the Solar can use this Charm to make an attack across four range bands.</t>
  </si>
  <si>
    <t>Once per combat, the Solar can unleash this attack against a single target, giving her the full dice benefits of having used a full Thrown Excellency. This attack cannot be dodged, only blocked. If successful, the attack is joined by dozens or hundreds of copied weapons, striking points all around the target, doing twice the damage successes to all significant objects and insignificant opponents within short range of the initial strike. If the Exalt wins Join Battle and opens with this attack, she does notneed to take an aim action to launch it from medium or long range.The Solar can reset Cascade of Cutting Terror by hurling away her last missile and then recovering at least a single throwing weapon with a stunt.</t>
  </si>
  <si>
    <t>Thrown 4, Essence 2</t>
  </si>
  <si>
    <t>The Lawgiver answers the call of battle with a swarm of deadly steel. This Charm supplements a Join Battle roll, allowing the Solar to reroll a number of non-successes equal to the number of 10s in her result. 10s occurring in rerolled dice spark additional rerolls. In addition, if the Solar wins Join Battle, she may attack (Dexterity) opponents, rolling each attack separately so that she may alternate effectively between withering and decisive attacks. Swarm-Culling Instinct is expressly permitted to be used in combination with Charms that boost Join Battle results, so long as they are not based in Archery, Melee, or Brawl.</t>
  </si>
  <si>
    <t>2m per turn</t>
  </si>
  <si>
    <t>Decisive-only, Mute</t>
  </si>
  <si>
    <t>The Solar pours the cold instinct of her training into a blade, suffusing it with stifling Essence. This Charm supplements a decisive attack, silencing the struck target up to (Essence) turns. A victim of this attack cannot produce sound. He can neither cry out nor raise alarm, nor will his fist through a window produce the sound of shattered glass, nor will his body plummeting from the rooftops to the street make even the tiniest sound of thud or splatter. Characters thus affected may not be detected by any hearing-based Awareness, and those who are killed will die in an unnoticeable fashion, determined by the Storyteller: ELECTED TARGETSCertain Charms like Joint-Wounding Attack don't make sense when applied to a battle group. Instead of having a single dagger knock the eye out of ten thousand people, refer to the Orichalcum Rule on page 182. In addition, the Storyteller may elect a single target to take the strike instead of the battle group, assigning that character an amount of Initiative, combat skill, and weaponry appropriate to the drama at hand.If this character is crashed or given wound penalties that makes it a negligible threat, it recedes back into the swell of the battle group and can no longer be</t>
  </si>
  <si>
    <t>The art of misdirection comes naturally to a master of throwing weapons. Through the use of this Charm, the Solar can conceal a thrown attack, causing her opponents to believe it was made from a completely different angle or direction. Characters who want to spot the true course of the attack must succeed at a (Wits + Awareness) roll at difficulty of (Solar's Essence + [the number of 10s on the attack roll]). Any 1s rolled by her opponent subtracts from his successes. At Thrown 5, Essence 3+, successful misdirects allow the Exalt to attack without breaking stealth.</t>
  </si>
  <si>
    <t>Thrown 5, Essence 2</t>
  </si>
  <si>
    <t>The Solar feels the lines of Essence between her hand and her opponent's, allowing her to more effectively draw her opponent's guard. This Charm supplements a distract or disarm gambit, granting one automatic success and allowing the player to reroll a number of 6s equal to the number of 7s displayed on the roll.</t>
  </si>
  <si>
    <t>With a deceptive flick of her wrist, the Lawgiver can casually disarm even the heartiest grip. This Charm allows the Exalt to keep her Initiative upon succeeding at a single disarm gambit (p. 199). This Charm can only be used once per scene, but can be reset by rolling Join Battle.</t>
  </si>
  <si>
    <t>The Exalt hurls a flashing missile at a fallen weapon, knocking it through the air. Any time a weapon is disarmed within range of her attack, she may use this Charm to strike it from the air, causing it to fly one further range band than where it would have landed. She may conversely use this to send an ally's weapon flying back toward him. Using this Charm allows the Exalt to act out of turn, but acts as her combat action for the turn. A repurchase allows the Exalt to target a weapon that has already fallen, knocking a grounded weapon to the next range band by hitting it with a thrown weapon of her own. At Essence 3+, if the Lawgiver's Initiative is higher than the disarmed opponent, she can use this Charm even if she has already attacked for that round. Additionally, at Essence 3+ the Lawgiver may expressly use this Charm after successfully disarming an opponent with a Thrown-based attack or gambit.</t>
  </si>
  <si>
    <t>The Lawgiver lives in a haze of ghostly memories, of lives lost and battles won. Calling these fatal moments to hand, she makes her strike momentous. This Charm enhances an aim action from cover or stealth, adding (Essence x2) Initiative to the Solar's next decisive attack for the purposes of determining raw damage. If her attack misses, or she does not make a decisive attack following the aim action, this bonus Initiative is lost.</t>
  </si>
  <si>
    <t>The Lawgiver hurls a barrage of throwing weapons, centered around a single target, but striking every enemy within short range of that target. This is rolled as a single withering attack against all targets, but damage is only rolled against the initial target. Damage to all other targets is determined by this roll: foes struck by the attack automatically lose an amount of Initiative equal to the initial target, but not exceeding the Solar's Essence. This extra Initiative is not rewarded to the Solar upon success; she only gains Initiative from her initial target. This attack is generally used to scatter groups of enemies, and tends to leave dozens of throwing weapons embedded into the scenery.Using Shower of Deadly Blades forces an ammunition check (see p. 202) which cannot be enhanced by a Charm, and if she fails the Solar may not use this Charm again until she has taken at least three turns scavenging weaponry, as described on page 202.</t>
  </si>
  <si>
    <t>Thrown 5, Essence 3</t>
  </si>
  <si>
    <t>This Charm represents the blinding speed of the Solar's genius hands, honed by a lifetime of practice. Shrike Saving Discretion permanently enhances its prerequisite–when the Solar launches a successful decisive attack with Swarm-Culling Instinct, upon returning to base Initiative, she gains bonus Initiative equal to the 9s and 10s on the previous attack's damage roll.</t>
  </si>
  <si>
    <t>As killing momentum winds itself around the tip ofher blade, the Solar sees a perfect opening and strikes, hurling it with a streak of scarlet anima. When the Solar successfully misdirects an opponent with Observer-Deceiving Attack, she can use this Charm to makean immediate decisive attack against that opponent, striking as if from ambush (p. 203). She may only attack a single opponent with Crimson Razor Wind, even ifshe deceives more than one target with her throw.Using Crimson Razor Wind does not break the Solar's concealment.</t>
  </si>
  <si>
    <t>Through a feinting gesture, the Exalt lashes out with her anima, disrupting her opponent with a pulse of spirit force. This Charm supplements a distract gambit so that the attack succeeds without a roll. The Solar must still succeed at the Initiative roll for her gambit to be effective, however. Sharp Hand Feint is short range, but the Exalt may spend levels of anima display to increase its range at a rate of one range band per display level, without the need of an aim action.</t>
  </si>
  <si>
    <t>2m or 1m, 1wp</t>
  </si>
  <si>
    <t>With a snap of her wrist, the Lawgiver hurls two blades, one in the shadow of the other. For two motes, this Charm allows the Solar to make two decisive attack rolls and choose the better of the two results for determining damage. For one mote, one Willpower, she may use this Charm to benefit a disarm gambit in exactly the same manner. With either use of the Charm, the Lawgiver's first weapon forces the target to parry or dodge, creating an opening for the second attack to strike, but this does not create an additional onslaught penalty.For one mote, one Willpower, the Exalt may also use this Charm to reflexively clash a close or ranged attack, though without the reroll effect. The Solar may choose to disarm her opponent on a successful strike–a technique called Shadow Wind Slash–or she may direct her second blade at the target's vital points for decisive damage, a technique called Shadow Wind Kill. The clash version of this Charm can only be used once per scene, but can be reset by using Steel Storm Descending to successfully damage an opponent. At Essence 5+, the Lawgiver may pay three motes on a successful clash to direct one weapon into her target's hand and the other into his neck (or other exposed regions), both disarming and doing decisive damage.</t>
  </si>
  <si>
    <t>When executing Sharp Hand Feint, the Exalt expels her anima with a burst of Essence, causing it to strike her opponent's weapon as it passes. The Solar can invoke this Charm when a distract gambit supplemented by the prerequisite succeeds, automatically disarming the opponent and throwing his weapon to short range, to a location dictated by the Solar's player.</t>
  </si>
  <si>
    <t>The Solar marks a weapon that has fallen and dares its owner to try and retrieve it. This Charm can only be used after the Solar successfully disarms an opponent witha Thrown disarm gambit, and only if the owner takesa draw/ready weapon action to retrieve the weapon. When he does, he becomes subject to an unblockable, undodgeable withering attack. The Solar hurls this attack atthe moment he picks up his weapon, and may make this attack even if she has already attacked in the round. The Solar may only make this attack from close or short range. Savage Wolf Attack may be used once per scene, but can be reset by using a Thrown-based gambit to disarm a crashed opponent.</t>
  </si>
  <si>
    <t>Picking the perfect moment to strike, the Solar winds a killing flow of Essence around her blade and hurls it from the depths of her heart. To use this Charm, the Exalt must succeed at an ambush (p. 203) and launch a decisive attack against her target. Falling Icicle Strike doubles successes on the damage roll.</t>
  </si>
  <si>
    <t>5m, 1wp, 1+a</t>
  </si>
  <si>
    <t>Gathering her anima into a screaming, burning loop of surging enmity and power, the Solar hurls it at her foe in a blazing decisive attack. This attack requires no aim action, gains a number of automatic successes equal to her current anima levels greater than dim, and cannotbe used at the dim level. Extra successes on this attack are added to the Solar's Initiative to determine raw damage. In addition, if is used against demons, ghosts, or other creatures of the night, it does a number of automatic successes on the damage roll equal to the Solar's Essence.Fiery Solar Chakram can only be used once per fight unless reset. After discharging it, the Solar's hands glow andburn painfully, gloved in intensely-colored anima as it flees her body. Using this Charm sets her anima back to the dim level, and in order to use it again, the player must make three separate stunts in which her anima grows while she begins to produce the strength to unleash another fiery chakram.</t>
  </si>
  <si>
    <t>Thrown 5, Essence 4</t>
  </si>
  <si>
    <t>The Exalt hurls her weapon along a course designed to do the utmost harm. It screams through the air, careening from target to target, gathering momentum and Essence until it strikes a final, furious blow. For this attack, the player must designate a final target to be the recipient of a decisive attack, and up to (Dexterity) other targets her weapon will strike before reaching its final destination. For each of these other targets, Cutting Circle of Destruction creates a withering attack, and as long as each withering attack generates more damage than the last,her weapon continues on to the next target, until it launches itself against the final target with the gathered Initiative for a final decisive attack. If at any point her next withering attack fails to gain more Initiative than the last, Cutting Circle of Destruction aborts immediately to the last target in the string and the player rolls out a decisive attack against the designated final target.Special activation rules: Each withering attack in this string can be enhanced by supplemental Charms asif those Charms were reflexive, allowing the player to control how many motes they wish to spend on any attack in this string. War</t>
  </si>
  <si>
    <t>War 1, Essence 1</t>
  </si>
  <si>
    <t>Solars descend from the highest war god in Heaven. They speak armies into existence, and their mere presence is a call to arms. This Charm supplements the StrategicManeuver roll (p. 211); as the Lawgiver develops a tactic for victory, fighters of the world are drawn to her call to glory. Ignore the -1 penalty for troops with poor drill, and increase the battle group's effective Size by one upon joining battle.</t>
  </si>
  <si>
    <t>Immortal Commander's Presence</t>
  </si>
  <si>
    <t>War 2, Essence 1</t>
  </si>
  <si>
    <t>By drilling with a ballista squad, catapult crew, or other team of siege weaponry operators, the Lawgiver burns an image of perfect actions into their minds. This simple action can last for one minute or one hour. The Solar drills her charges in loading, aiming, and firing siege weaponry and ballistae, giving each crewman an automatic success on the firing roll, and allowing him to reroll all non-successes. If she drills the crew for one minute, they gain this benefit for a single attack. If she drills them for an hour, they gain it for an entire combat scene.</t>
  </si>
  <si>
    <t>War 3, Essence 1</t>
  </si>
  <si>
    <t>Reaching out to the hearts of her charges with an impassioned speech and fatal purpose, the Solar invokes their reasons for fighting. This Charm is activated when the Exalt begins the long, arduous process of drilling her soldiers. As she toughens them with want and rain, she reminds them of the hardships they have endured at the hands of their tormentors. When they hunger, her words feed them. When they shiver, her exhortations warm them. Fed by the Solar's will, they suffer less from long marches, empty bellies, or harsh climates. Whenthe Lawgiver is finished drilling these troops, her commitment to the Charm ends, and her soldiers are forever improved: they cannot suffer demoralizing effects (such as the Demoralize stratagem on page 212) that are not created by Reflexive or Simple types of magic. In addition, ignore penalties on the Strategic Maneuverroll having to do with hunger, bad weather, or the physical exhaustion associated with long marches over difficult terrain.</t>
  </si>
  <si>
    <t>The Solar strikes at the heart of panic, dissolving it with the force of her warrior's Essence. The Solar makes areflexive rally action (p. 210) with (Essence) automatic successes.</t>
  </si>
  <si>
    <t>Looking into the Essence of the battlefield, the Solar tactician knows the forces arrayed against her, if not in fact then in unerring instinct. This Charm supplements the Strategic Maneuver roll (see p. 211) to establish a stratagem, allowing the Solar to ignore all penalties from unfamiliarity with the opposing force or its generals.</t>
  </si>
  <si>
    <t>The Sun's Chosen speak in tongues of valor and know the ways of war. As one who has studied or waged war for a lifetime, the Solar simply knows what to do in any combat situation. This Charm applies the double 9s rule to all of the Solar's order actions (p. 209). At War 5, Essence 3+, the Exalt may pay six motes, three Initiative to enhance her orders with double 8s.</t>
  </si>
  <si>
    <t>War 4, Essence 2</t>
  </si>
  <si>
    <t>At the dawn of the world, man knew nothing of the gods save that they were inviolate and could not be vanquished. The Solar Exalted changed that. Through the use of this Charm, even the worst gutter-sweepings and bandits can be trained into an elite fighting force. This Charm enhances the effects of Drill (p. 206). The Solar's training regimens are brilliant, ingraining her troops with perfect actions codified from a peerless mind for war. With this Charm, she can train an undisciplined unit up to Average after just a week, and she can instill an Average unit with Elite status after only a month. Any unit which gains Average Drill under the aegis of this training also gains the combat traits of battle-ready soldiers, while any unit raised to Elite Drill gains the combat traits of elite troops (p. 497). In addition, at Essence 3+, the Solar can further enhance an Elite battle group with her transforming will. Demon-Fighting Principle: For 2xp, she can train her elite units to be more effective at fighting ghosts, demons, and other nighted creatures from the haunted tractsof Creation. The battle group gains +2 Might againstsuch foes.Giant-Slaying Tactics: For 2xp, the Exalt's elite are versed in battle tactics having to do with fighting gigantic opponents. Her forces gain +2 Might against behemoths or other titanic foes. This effect does not stack with Demon-Fighting Principle.</t>
  </si>
  <si>
    <t>The Lawgiver walks the battlefield as a legend, feared and respected by friend and foe alike. After an enemy general takes a rally for numbers action (p. 210), the Solar may use this Charm to restore an amount of Magnitude to her battle group equal to the 1s and 2s in her opponent's roll. This new influx of soldiers is pulled from the ranks of her enemy's forces as they switch sides.</t>
  </si>
  <si>
    <t>War 3, Essence 2</t>
  </si>
  <si>
    <t>The Lawgiver knows the path to victory is throughefficiency and planning. With less time for preparation, and fewer tools, she can quickly turn a battlefield into an abattoir. By supplementing a Strategic Maneuverroll with Redoubt-Raising Gesture, the Solar can complete a specific stratagem with one less success than</t>
  </si>
  <si>
    <t>Poring over maps and strategies real and remembered, the Solar sees perfect stillness beneath the chaotic Essence of combat. This Charm supplements the Strategic Maneuver roll, adding one automatic success plus (Essence) dice. In addition, the Exalt may choose to split her successes into multiple stratagems. The Solar may deploy no more stratagems than her Essence rating.</t>
  </si>
  <si>
    <t>Immortal Warlord's Tactic</t>
  </si>
  <si>
    <t>4m, 4i, 1wp</t>
  </si>
  <si>
    <t>Once per battle, the Lawgiver may enact a signature stratagem that may not be counteracted by prophetic magic or Charms such as Battle-Visionary's Foresight. This roll may be a unique strategy described by the player, orit may be one of the template strategies on page 212.In any case, the Strategic Maneuver roll is made with double 7s.</t>
  </si>
  <si>
    <t>The tide of battle turns, and the Lawgiver feels her body exult with renewing power, her very Essence moving to join the flow of battle. Whenever her army unleashes an attack which causes a battle group's Magnitude to empty, the Solar may use this Charm to roll Join Battle.</t>
  </si>
  <si>
    <t>War 5, Essence 3</t>
  </si>
  <si>
    <t>Magnanimity of the</t>
  </si>
  <si>
    <t>Unstoppable IconThe Solar represents a new dawn on the last day of Creation. Her coming foretells the battle's end, a day of blood for the wicked and light to vanquish darkness from the world once more. When her army is routed, the Lawgiver may call upon glories past–in this life and those that came before–to create a rallying tactic that miraculously reforms her army. This Charm is an automatically successful rally action (p. 210). It can be used once per scene, but it can be reset if the Solar succeeds at vanquishing a terrible foe or conquering a powerful enemy through the might of her army.</t>
  </si>
  <si>
    <t>The Exalt inspires loyalty such that the very beasts of the field flock to her call. Once per combat, the Exalt may make a reflexive rally for numbers action (see p. 210), adding (Essence) automatic successes. While this Charm cannot restore a dot of Size, any successes beyond the battle group's total Magnitude will be restored in the rounds following the battle group taking additional damage, at a rate of up two Magnitude levels per round. A Solar whose appeals are sufficiently compelling–a level two stunt–will see wild animals leaping into the fray on her behalf, while a Solar whose call for retribution strikes with resounding force–a level three stunt–will be answered by the very rocks and trees, as elementals and other strange spirits rise up to join her ranks.</t>
  </si>
  <si>
    <t>The Chosen meditates on the never-ending cycle of strife and conflict until her form is instilled with the Essence of war. Any War-based roll she makes rerolls any 6s in its result until 6s no longer appear.</t>
  </si>
  <si>
    <t>Transcendent Warlord's Genius</t>
  </si>
  <si>
    <t>Reaching into a past filled with glories and terror, the Exalt shapes a divinely-inspired order for her army to follow. Whenever the Exalt uses Battle Path Ascendant, she may use this Charm to create and employ a stratagem with a threshold of half the successes of her Join Battle roll, rounded up. This stratagem must make sense in the context of the battlefield.</t>
  </si>
  <si>
    <t>Battle-Visionary's Foresight</t>
  </si>
  <si>
    <t>General of the All-Seeing Sun, Transcendent Warlord's Genius</t>
  </si>
  <si>
    <t>The Solar taps a legacy of war greater and longer than the length of her life. Her battle-hardened visage stares into the Essence of the world through ancient eyes, seeing primal battles play out in ages lost. This Charm is used during strategic warfare, and requires one to five minutes to complete–the Solar concentrates on her foe, her army, the battlefield, and her memories, merging them into a single interlinked tactic that allows her to create a perfect response to enemy stratagems. The player privately chooses two stratagems (p. 212) and writes them down, not revealing them to fellow players. The selected tactics are hidden face down. If the opposing player wins the Strategic Maneuver roll and chooses to employ one of the strategies the Solar's player has selected, the enemy finds that his stratagem has led him into a terrible mistake: the Solar general is ready with a perfect counter-tactic. In this case, treat the battle as if the Exalt's player had won the strategic roll and deployed a stratagem of equal value to the one she just countered.The Solar's player may also choose stratagems that are listed in later publications. Opposing players may not opt to choose “No stratagem.” However, armies led by the Chosen may gain access to special, mystical stratagems, such as the divine miracles allowed by the Chosen of Battles. Such tactics are rare, and upon encountering one, the Solar may trade two prepared tactics to counter one of these reflexively. CHAPTER 7</t>
  </si>
  <si>
    <t>Martial Arts 2, Essence 1</t>
  </si>
  <si>
    <t>Mastery, Uniform</t>
  </si>
  <si>
    <t>Ducking and weaving, the snake confounds predators' attempts at violence. Serpentine Evasion adds +1 to the martial artist's Evasion against a single attack. If the attack is made after the martial artist has already taken her turn that round, she may declare this Charm after the attack has already been rolled–enemies who cannot even keep pace with her in battle have no hope of striking her.Mastery: Successfully evading an attack after using this Charm cumulatively lowers the cost of subsequent activations of it by one mote until the martial artist's next turn.</t>
  </si>
  <si>
    <t>Martial Arts 3, Essence 1</t>
  </si>
  <si>
    <t>Dual, Mastery</t>
  </si>
  <si>
    <t>The snake claims its victory not by striking hardest, but by striking first. Against an enemy with lower Initiative or who hasn't taken their turn yet this round, Striking Cobra Technique adds the martial artist's Dexterity to the raw damage of a withering attack, or one die to the raw damage of a decisive attack. Against enemies in Initiative Crash, the withering damage boost is added after soak, while the decisive damage boost is converted to an automatic success.Mastery: Add the martial artist's (Essence + 2) to her Initiative when determining if she can use this Charm against an enemy.</t>
  </si>
  <si>
    <t>Martial Arts 4, Essence 1</t>
  </si>
  <si>
    <t>Form</t>
  </si>
  <si>
    <t>Serpentine Evasion, Striking Cobra Technique</t>
  </si>
  <si>
    <t>The martial artist steps back into the posture of a wary snake–head back, ready to attack or retreat. Her motions become sinuous and hypnotic, as mesmerizing as they are deadly. Enemies are entranced by this posture, taking a -1 penalty on all attack rolls against her–which increases to a -3 penalty if their Initiative rating is lower than the martial artist's. In addition, this flexible pose makes it easier to roll with attacks and thus minimize their impact, adding the stylist's Dexterity rating to her soak. Special activation rules: Whenever the martial artist makes a withering attack which lowers an enemy's current Initiative value from greater than her own to less than her own, she may reflexively activate Snake Form.</t>
  </si>
  <si>
    <t>Martial Arts 5, Essence 2</t>
  </si>
  <si>
    <t>Dual, Terrestrial</t>
  </si>
  <si>
    <t>Essence hardens the Snake stylist's fingers into fangs capable of piercing through steel. The Armor-Penetrating Fang Strike allows a withering attack to ignore all of an enemy's soak from armor, or a decisive attack to ignore (higher of Essence or 3) hardness.Terrestrial: A Dragon-Blood may only use this Charm once per scene, unless she resets it by dealing 3+ levels of damage with a Snake style decisive attack and then builds back up to Initiative 12+.</t>
  </si>
  <si>
    <t>Martial Arts 4, Essence 2</t>
  </si>
  <si>
    <t>Decisive-only, Terrestrial</t>
  </si>
  <si>
    <t>– (+1m, 1wp)</t>
  </si>
  <si>
    <t>Mastery</t>
  </si>
  <si>
    <t>The martial artist's anima coalesces into thick layers of scales, and needle-sharp anima fangs extend from her fingertips or weapon. When Snake Form is activated, the martial artist may pay an additional mote and a point of Willpower to enhance it with this serpentine display. Doing so adds the martial artist's Essence to her soak in addition to the base soak bonus of the form, and adds +2 to the raw damage of all withering Snake attacks she makes.Mastery: The damage bonus of this Charm applies to decisive attacks against any enemy whose Initiative is at least two points lower than the martial artist's.</t>
  </si>
  <si>
    <t>7m, 3i</t>
  </si>
  <si>
    <t>Martial Arts 4, Essence 3</t>
  </si>
  <si>
    <t>Terrestrial, Uniform</t>
  </si>
  <si>
    <t>Essence Fangs and Scales</t>
  </si>
  <si>
    <t>TechniqueStriking a menacing blow in the direction of a distant enemy, the martial artist sends a serpentine ribbon of anima flashing towards him, bearing her wrath onits fangs. Uncoiling Serpent Prana can be used to attack an enemy with lower Initiative out to short range witha withering or decisive attack. If this deals 5+ Initiative damage or any decisive damage, the martial artistmay drag that enemy into close range with her, twisting the ribbon of Essence to coil around him and drawhim in.</t>
  </si>
  <si>
    <t>Clash, Dual, Terrestrial</t>
  </si>
  <si>
    <t>Those who tread on serpents may not live to repeat their error. This Charm allows the martial artist to reflexively make a withering or decisive clash attack. A withering clash does not grant any Initiative to the martial artist, only serving to disrupt the momentum of her enemy with the blurring violence of her unexpected attack. A decisive clash can only be used to execute a gambit, potentially including a reflexive activation of Crippling Pressure-Point Strike to use one of its gambits.If the martial artist knows Uncoiling Serpent Prana, she may activate it as though it were a Reflexive Charm to allow her to clash against a ranged enemy with Snake Strikes the Heel. Terrestrial: A Dragon-Blood treats the clash attack granted by this Charm as her action for the round, and cannot make another. If she's already acted this round, then it counts as her action for her next turn.</t>
  </si>
  <si>
    <t>Martial Arts 5, Essence 3</t>
  </si>
  <si>
    <t>Decisive-only, Perilous, Terrestrial</t>
  </si>
  <si>
    <t>Moving with the reflexes and raw speed of a startled snake, the martial artist leaves no flaw in her defenses. After the damage roll of a decisive attack against her, the martial artist may use this Charm to roll (Essence + Initiative). Each success on her roll negates a level of damage from the attack, after which she is reset to base Initiative. If this successfully negates all damage from the attack, then the martial artist emerges unscathed, revealing that what her opponent struck was only an afterimage, and adds +2 to her base Initiative when she resets. This Charm is incompatible with any other effect that reduces the damage of a decisive attack.Terrestrial: A Dragon-Blood must use this Charm before the damage of an attack is rolled, with each success subtracting a die of raw damage, and may only use it once per scene.</t>
  </si>
  <si>
    <t>6m, 3i, 1wp</t>
  </si>
  <si>
    <t>Aggravated, Decisive-only, Mastery, Terrestrial</t>
  </si>
  <si>
    <t>Armor-Penetrating Fang Strike, Countless Coils Evasion, Crippling Pressure-Point Attack, Uncoiling Serpent Prana</t>
  </si>
  <si>
    <t>Distilling her killing intent into venomous Essence, the Snake master delivers a blow as quick as lightning and as deadly as the strike of a dozen serpents. Essence Venom Strike poisons an enemy, envenoming him as long as a single level of damage is dealt. The poison deals one die of aggravated damage each round and inflicts a -2 penalty, with one round of duration for every two dice ofraw damage rolled. Characters in Initiative Crash do not receive a (Stamina + Resistance) roll to lower the duration of the poisonAn enemy poisoned with this Charm is treated as having a lower Initiative than the martial artist for the purposes of Essence Fangs and Scales Technique, Snake Form,and Striking Cobra Technique until the venom has run</t>
  </si>
  <si>
    <t>Moving with the speed and agility of a leaping tiger, the martial artist closes the distance to her prey. Crimson Leaping Cat Technique steals a point of Initiative from an enemy upon successfully rushing him. If the martial artist makes an attack against that enemy before the end of the next round, any extra successes on the rush are added as bonus dice to her attack roll.</t>
  </si>
  <si>
    <t>Mastery, Withering-only</t>
  </si>
  <si>
    <t>Rigorous training, intense discipline, and the suffusing Essence of the tiger gives the martial artist's claw strikes the force to rend flesh and disembowel fallen enemies, making her a bare-handed killer. Striking Fury Claws converts up to (Strength) extra successes that would be added to the raw damage of a withering attack to post-soak dice of damage instead. Against an enemy who took a disengage or withdraw action on his last turn, these post-soak dice are instead converted to successes added to the damage roll.Mastery: Extra successes converted by this Charm add both to the raw damage of the attack and to post-soak damage (or successes against fleeing enemies).</t>
  </si>
  <si>
    <t>Form, Terrestrial</t>
  </si>
  <si>
    <t>Crimson Leaping Cat Technique, Striking Fury Claws</t>
  </si>
  <si>
    <t>Dropped into the crouched, predatory pose of a tiger preparing to pounce, the martial artist's Essence comes to embody the pinnacle of predatory grace. Her fingers seem like claws as they move through their strikes,and her eyes narrow to cat-like slits. While Tiger Form is active, the martial artist may double up to (Strength) extra successes when calculating the raw damage of withering attacks, and takes no penalties for fighting while prone.She also adds (Essence) dice to rush actions and all rolls to contest a disengage. She gains any Initiative spentby an enemy attempting to disengage from within range of him.</t>
  </si>
  <si>
    <t>Terrestrial</t>
  </si>
  <si>
    <t>Essence strengthens the martial artist's skin, suffusingit with the toughness of a tiger's hide. Celestial Tiger Hide adds the martial artist's Strength to her natural soak,and grants her Hardness equal to her Essence. She adds +2 to both values against attacks made from long or extreme range.When the martial artist is struck with a decisive attack, she may pay a point of Willpower to deny it to her utmost, shattering the Essence of this Charm against the blow. This final defense, called the Undying Predator's Roar, immediately ends this Charm, but subtracts the martial artist's Hardness from the raw damage of the attack. After using the Undying Predator's Roar, Celestial Tiger Hide cannot be activated again until the martial artist has taken 3+ levels of damage to her health track over the course of the fight. Terrestrial: A Dragon-Blood cannot use the Undying Predator's Roar.</t>
  </si>
  <si>
    <t>The martial artist seizes hold of her enemy's joints with a forceful claw strike, digging fingertips or blades into vulnerable connective tissue. Iron Claw Grip can be used after successfully landing a grapple gambit, but before the roll to establish control. If the martial artist successfully gains control of the clinch, then every extra success on the gambit roll adds one round to her control over it, to a maximum of (Essence) bonus rounds. Mastery: Iron Claw Grip doubles 9s on the grapple's control roll.</t>
  </si>
  <si>
    <t>Once the martial artist has seized hold of an enemy, she lays in with a flurry of brutal strikes, flaying skin and smashing bone until little but a bloody pulp remains. The martial artist makes a decisive savaging attack against a grappled enemy, adding her Strength to the raw damage of the attack. Every round of control she has over the clinch adds +1 to her base Initiative when she resets, although this cannot bring her above her Initiative at the time she made the attack. Special activation rules: Prey-Maiming Frenzy can only be used once per fight, unless reset by crashing a grappled enemy.Terrestrial: A Dragon-Blood cannot add more than her Essence to her base Initiative with this Charm.</t>
  </si>
  <si>
    <t>A downward claw strike shatters the pillar of an enemy's balance, sending him sprawling to the ground–exactly where the martial artist wants him. An enemy damaged by the Raging Tiger Pounce is knocked prone. As long as he remains in close range to the martial artist, he must pay two points of Initiative to take a rise from prone action. The martial artist gains these points of Initiative if she has Tiger Form active. Mastery: Raging Tiger Pounce can also be used to supplement any attack against a prone enemy, rendering it undodgeable. The brutal impact of a successful withering hit on a prone target inflicts one die of bashing damage that ignores hardness, or the Charm adds one success to the damage roll of a decisive attack.</t>
  </si>
  <si>
    <t>Severing tendons and snapping bones, the Tiger stylist's brutal strikes leave her enemies helpless. When the martial artist rolls 3+ levels of lethal damage on a decisive attack, she can use Spine-Shattering Bite to paralyze her enemy, slashing through tendons, smashing joints, or rending connective tissue and shattering vertebrae at the base of the spine. She forgoes two of the rolled levels of damage, and instead cripples an enemy so that he cannot take movement actions.The enemy may spend a turn trying to shake off the crippling agony, paying two Initiative to roll (Stamina + Resistance) at a difficulty of the martial artist's Strength, recovering only if he succeeds. This action is treated as disengaging for the purposes of Leap From Cloaking Shadows, Striking Fury Claws, and Tiger Form.Terrestrial: A Dragon-Blood can only use Spine-Shattering Bite once per fight, unless reset by rolling four or more 10s on a decisive damage roll. She may then use it to enhance that attack.</t>
  </si>
  <si>
    <t>The martial artist's terrifying presence radiates across the battlefield, leaving her foes wary and unsure. Do they dare turn their backs on her, when at any moment she could suddenly be right behind them? Enemies who are at short or medium range to the martial artist must disengage to move away from her as though they were at close range, intimidated by her deadly elusive presence. They also take a -1 penalty to their Defense against surprise attacks made by her. Mastery: The martial artist may rush enemies while in stealth.</t>
  </si>
  <si>
    <t>Decisive-only, Mastery, Terrestrial</t>
  </si>
  <si>
    <t>Stalking Cat Movement</t>
  </si>
  <si>
    <t>MeditationThe Tiger stylist strikes with such speed that her hands seem little more than blurs of violence, no more substantial than a fleeting pattern of orange and black between the shadowed boughs of the jungle. What enemy can hope to defend against that? Leap From Cloaking Shadows doubles up to (half Strength, round up) 9s on an attack roll. Double the same number of 8s if the attack was unexpected or made against an enemy who disengaged or withdrew on her last turn; double that many 7s if both are true. For example, a Strength 5 Tiger stylist made an unexpected attack against an enemy who withdrew on her last turn; she could double up to three 9s, three 8s, and three 7s.Terrestrial: A Dragon-Blood cannot double 7s with this Charm.Mastery: Every die doubled on the attack roll (including 10s) adds one to the raw damage of the attack.</t>
  </si>
  <si>
    <t>– (+5m, 1wp)</t>
  </si>
  <si>
    <t>Mastery, Terrestrial</t>
  </si>
  <si>
    <t>Celestial Tiger Hide, Prey-Maiming Frenzy, Spine-Shattering Bite, Leap From Cloaking Shadows</t>
  </si>
  <si>
    <t>The apex of Tiger style is nothing less than predation in its purest form. As the martial artist enters the Tiger Form, she may pay an additional five motes and a point of Willpower to unleash the Angry Predator Frenzy, roaring with bestial fury as she casts aside the restraints of humanity. Her muscles surge with newfound strength, while her eyes narrow to red slits of berserker rage. While in the Angry Predator Frenzy, the martial artist may add up to (Strength) extra successes to the raw damage of decisive attacks, and gains a Defining Tie of savage hatred towards her enemies. In addition, she can rush as a reflexive action, in addition to her usual movement action for the turn. Conversely, while enraged, she cannot disengage or withdraw.Terrestrial: A Dragon-Blood add may add up to (lower of Strength or Essence) extra successes to the raw damage of decisive attacks.Mastery: Whenever the martial artist resets to base Initiative after making a decisive attack while in this rage,</t>
  </si>
  <si>
    <t>The clashing steel and ferocious blows of the swordsman's enemies do not disrupt her focus–rather, she welcomes them, gleaning the weaknesses of each foe's fighting style from their offense. After successfully parrying an attack, the stylist can use Gathering Light Concentration to reverse the onslaught penalties inflicted by it. Instead of applying them to her Defense, she applies them to her attacker's Defense until his next turn.Mastery: At Essence 3+, the Solar may spend an extra 3i when activating Gathering Light Concentration to cancel all onslaught penalties she's suffering from, and inflict them on her attacker.</t>
  </si>
  <si>
    <t>Decisive-only, Mastery</t>
  </si>
  <si>
    <t>Committing fully to a lethal blow, the swordsman cleaves through her enemies with killing speed. Shining Starfall Execution adds (her Dexterity/2, round up) to the raw damage of a decisive attack. If she is at Initiative 15+, she adds her full Dexterity instead. However, if the attack misses, then the stylist adds (Dexterity /2) to the amount of Initiative she loses. Mastery: Shining Starfall Execution also doubles 10s on the damage roll at Initiative 15+.</t>
  </si>
  <si>
    <t>Single Point Shining Into the Void Form</t>
  </si>
  <si>
    <t>Form, Mastery, Terrestrial</t>
  </si>
  <si>
    <t>Gathering Light Concentration, Shining Starfall Execution</t>
  </si>
  <si>
    <t>Sheathing her blade for a brief moment, the swordsman centers her mind and Essence. As she draws her sword once again and enters this form, it is as a lightning bolt of flashing steel, moving with unimaginable speed and control. While in this form, it is customary to sheathe one's sword after each strike, and draw it anew for each new one–not merely as a show of this style's formidable speed, but to contain and dissipate the overwhelming buildup of Essence that might erupt beyond the stylist's control without such restraint. The first time the swordsman uses this Charm in a fight, she rolls her sword into battle with a (Wits + Martial Arts) Join Battle roll, giving it its own Initiative track separate from her own. This does not represent the sword gaining intelligence or agency of its own, but rather, the superior speed of the stylist allowing her to strike twice during each round. When the sword's turn comes up in Initiative order, the swordsman may choose to make an attack with it, or to delay the action until later in the round. No other actions can be taken (including movement actions), and if the stylist does not choose one of these options, the sword's turn is wasted.The sword's Initiative is separate from the swordsman's own–withering attacks made by one cannot add to the other's Initiative, and decisive attacks made by one do not reset the other to base Initiative. The base raw damage of decisive attacks made on the sword's turn cannot exceed the swordsman's own Initiative, even if the sword's is higher. When the stylist is dealt Initiative damage, the character who damaged her may choose whether to apply it to her own Initiative or the sword's, but cannot split the damage across both pools. The sword also loses a point of Initiative at the end of every round it was not used to successfully land an attack. If the sword's Initiative is reduced to zero, then the stylist is forced out of this form, and cannot reactivate it again for three rounds. When she does, she does not reroll Join Battle, but only sets the sword to base Initiative. If the swordsman leaves this form voluntarily before the end of the fight, note the sword's current Initiative rating. If it is reactivated later during the scene, the sword's Initiative is reset to this value, rather than making a new Join Battle roll. Special activation rules: Whenever the martial artist achieves the highest Join Battle value at the start of a fight, she may reflexively activate Single Point Shining Into the Void Form.</t>
  </si>
  <si>
    <t>Seizing the crucial moment, the swordsman lunges forward into an all-or-nothing attack, her blade blurring into a flash of crimson-flecked steel. Against an enemy with lower Initiative, Fatal Stroke Flash adds the difference to the raw damage of a decisive attack against him. The bonus damage cannot exceed the swordsman's own Initiative. However, if the attack misses, then the stylist's own Initiative falls to equal the enemy's before he suffers the usual Initiative loss for missing a decisive attack. Terrestrial: A Dragon-Blood can only use this Charm after parrying an attack that caused the attacker's Initiative to fall beneath her own. Upon doing so, she may use Fatal Stroke Flash against him on her next turn. Mastery: The martial artist may also double up to (Essence) 9s on the attack roll.</t>
  </si>
  <si>
    <t>5m (+1wp)</t>
  </si>
  <si>
    <t>Dual, Mastery, Terrestrial</t>
  </si>
  <si>
    <t>One round</t>
  </si>
  <si>
    <t>Moving faster than her foes can even blink, the stylist's blade seems like a flowing river of steel. Liquid Steel Flow adds the stylist's Dexterity to the raw damage of all her withering attacks. After landing a successful attack, she may pay a point of Willpower to extend this Charm's duration to one scene. Making a decisive attack ends the Liquid Steel Flow, as the swordsman focuses all her speed into one deadly-perfect strike that converts up to (Dexterity/2, round up) dice of raw damage to automatic successes. If Fatal Stroke Flash is used to enhance this decisive attack, its Willpower cost is waived if the stylist paid Willpower into Liquid Steel Flow. While this style's form is active, if the stylist and her sword both act on the same tick to make decisive attacks, then the benefits of this Charm apply to both attacks before it ends. The swordsman does not seem to make two attacks, but a single stroke of steel that can fell even the mightiest enemies. Terrestrial: A Dragon-Blood cannot pay Willpower to extend this Charm's duration.Mastery: As long as the martial artist is at Initiative 11+, he also adds one automatic success on all attack rolls he makes against enemies of lower Initiative.</t>
  </si>
  <si>
    <t>As one heartbeat begins, the stylist draws her sword from its scabbard. By the heartbeat's end, the blade is already stained with the blood of her enemy. The swordsman may attack an enemy out to medium range, drawing her blade and flashing to the enemy's side in a single lunge that counts as her movement action for the round. She adds one automatic success to both the attack and damage roll for each range band she crosses, channeling the devastating momentum of her advance into the strike. However, if the attack misses, the swordsman loses control of her momentum, sliding past her target to end her movement at short range beyond him.When the stylist and her sword take their turns together on the same tick, they may unleash the devastating attack known as the Countless Strikes Sheathed, combining the two turns into the single action of activating this Charm. The swordsman makes the attack roll before beginning her movement, and chooses whether she will use her own Initiative or the sword's to make the final decisive attack. If the swordsman's movement toward her target brings her within close range of other enemies whose Defenses would be hit by her attack roll, she may choose to reflexively strike them. Against each such enemy, she may choose to make a withering strike, which deals her Essence in Initiative damage and adds to the Initiative pool chosen for the final attack (including any Initiative Breaks received), or a decisive strike, which lets her forgo up to (her Dexterity) points of Initiative from the chosen pool and roll it as damage which ignores hardness. If one of these preliminary decisive strikes incapacitates a non-trivial opponent, the Initiative invested in it is recovered. Once the swordsman has cleared all enemies between her and the final target, she concludes with a decisive attack against the final target. Those struck by the Countless Strikes Sheathed do not even realize they have been attacked until the swordsman sheathes her blade at the conclusion of the final strike, at which point their wounds burst open. Terrestrial: A Dragon-Blood cannot use Countless Strikes Sheathed.</t>
  </si>
  <si>
    <t>Clash, Decisive-only, Mastery, Terrestrial</t>
  </si>
  <si>
    <t>Moving without the least sign of effort, the swordsman repels the blows of her attackers in a flash of steel before sheathing her sword, as if to seal away the wasted force of their strikes. Horizon-Swallowed Star Flash allows the martial artist to make a reflexive clash attack. A successful attack grants Initiative equal to her extra successes, up to a maximum of her Wits. This Initiative is added before calculating the raw damage of the attack.While this style's form is active, the stylist chooses whether to use her Initiative pool or her sword's when making this clash attack. If she clashes, and then in the same round uses the other Initiative pool to make a decisive attack against the same enemy, that attack also receives the +1 damage bonus of being a clash attack. This combination move is known as the Shattered Mirror Nova-Strike.Terrestrial: A Dragon-Blood treats the clash attack granted by this Charm as her attack action for the round, and cannot make another. If she has already attacked this round, then it counts as her attack for her next turn.Mastery: The martial artist's attacker loses Initiative equal to the amount that the swordsman gains with this Charm.</t>
  </si>
  <si>
    <t>1m, 1wp (or 4m)</t>
  </si>
  <si>
    <t>Clash, Decisive-only, Terrestrial</t>
  </si>
  <si>
    <t>Sweeping her blade through the motions of an intricate Essence-channeling pattern, the stylist forces hostile magic to condense itself into form, taking on shape as a howling devil which she swiftly dispatches and seals away as she sheathes her sword. The Six-Demon Scabbard Binding allows the swordsman to defend against a warping, twisting, or shaping effect that would alter her mind or body by making a clash attack against it, opposed by the activation roll of the effect. If the magic has no roll, its user rolls (Essence + Willpower), or a more suitable dice pool chosen by the Storyteller. Success on the clashattack allows the swordsman to strike through the manifest devil of the magic and its master with a single stroke.She may even clash against distant enemies, sending the devil howling back at its creator to deliver her wrath (which can strike dematerialized enemies as well as material ones).The Six-Demon Scabbard Binding can also be used to cut a clear path through ambient or environmental transformative magic, such as the warping effects of the Wyld, at a cost of 4m. The stylist rolls (Dexterity + Martial Arts) against the difficulty to resist the effect, or an ad hoc difficulty set by the Storyteller. Success lets the swordsman cut a metaphysical path for herself, rendering her immune to that magic for one scene. It was with this Charm that Eternal Nova, the mythic creator of this style, defeated his own shadow to carve a path out of oblivion, giving this style its name. Terrestrial: A Dragon-Blood may only use this Charm to defend against hostile magic, and cannot make a clash attack against the character using it unless she uses Horizon-Swallowed Star Flash along with this Charm.</t>
  </si>
  <si>
    <t>Liquid Steel Flow, Six-Demon Scabbard Binding, Void-Slicing Wind</t>
  </si>
  <si>
    <t>The deadly finishing move of this style is a unique dual strike which can only be used when the swordsmanhas entered this style's form, and acts on the same tick as her sword to attack a single enemy. She makes asingle attack that slices between all hope for defense, splitting the air like a thunderhead. The first part of the Blinding Nova Flare is the overwhelming spiritual and physical pressure that precedes the edge of the swordsman's blade as she strikes, a difficulty 5 gambit made using the lower of the two Initiative pools. The swordsman need not roll an attack to execute this gambit. A successful gambit leaves the enemy incapable of any defense against the next part, a decisive attack made using the higher Initiative pool, rendered unblockable and undodgeable. Even if the opening gambit fails, the swordsman's enemy suffers a -2 penalty to his Defense against the attack.Special activation rules: Once the Blinding Nova Flare has been used successfully, it cannot be used for the rest of the fight until both the swordsman and his sword have</t>
  </si>
  <si>
    <t>After taking a moment to icily judge the optimal point to apply force to an opponent, the White Reaper strikes without restraint. When used with a withering attack, Falling Scythe Slash doubles the martial artist's Strength rating for calculating its raw damage. Alternatively, on a decisive attack against an enemy with lower Initiative,it adds the martial artist's (Strength/2, round up) toraw damage.</t>
  </si>
  <si>
    <t>4m, 1i</t>
  </si>
  <si>
    <t>The White Reaper is most at ease when surrounded by enemies, turning their strength of numbers to her own advantage. The Revolving Crescent Defense cancels all onslaught penalties to the martial artist's Parry against a single attack, instead converting each point of penalty into a +1 bonus to her Parry. Mastery: This Charm's duration is extended until the martial artist's next turn.</t>
  </si>
  <si>
    <t>Falling Scythe Flash, Revolving Crescent Defense</t>
  </si>
  <si>
    <t>The martial artist rears up into a grim and terrifying battle posture, regarding her opponents as little more than grass to be scythed down before her. She receives double 10s on all decisive damage rolls and can easily fight large groups single-handedly, treating the Drillof any battle group she attacks as one step lowerfor calculating their Defense bonus. Groups that already have poor Drill instead take an additional -1 Defense against her attacks. She may also move through thespace filled by a battle group without needing to spend Initiative.More spectacularly, whenever the White Reaper incapacitates or crashes a non-trivial enemy, a halo of sizzling, silver-white Essence surges around her like a second skin. Damaging a battle group also grants her a halo. The martial artist may have up to (higher of 2 or her Essence rating) in halos, up to a maximum of five, with each one adding +1 to her Resolve.</t>
  </si>
  <si>
    <t>Mastery, Terrestrial, Uniform</t>
  </si>
  <si>
    <t>Condensing the swirling corona around her into a single, blindingly bright line, the White Reaper suddenly strikes with preternatural accuracy. Bleeding Crescent Strike doubles up to (Strength) 9s on an attack roll. When attacking a battle group, she adds its Size to the number of dice that can be doubled, and may double 8s as well as 9s. While White Reaper Form is active, Bleeding Crescent Strike adds one die to the attack roll for each halo the martial artist has. However, at the end of the turn, all halos the martial artist has burn away into wisps of silver Essence, consumed by the ferocity of the attack (except for any halos received as a result of making the attack). Terrestrial: A Dragon-Blood can only use this Charm once per scene, unless reset by stocking three or more halos.Mastery: Any dice added to the martial artist's attack roll from halos do not count as dice added by a Charm.</t>
  </si>
  <si>
    <t>The White Reaper's corona flashes, then surges in one vast rush to the leading edge of her strike. A withering attack converts up to (Strength) dice of post-soak damage to automatic successes, and ignores any soak bonuses a battle group receives from its Size. Decisive attacks convert (lower of Strength or Essence) dice of raw damage to successes, and also double their effective raw damage for calculating how many extra levels of damage they deal to a battle group (p. 208).While White Reaper Form is active, Greatest Killer Attitude adds an additional die of post-soak damage to a withering attack for every halo the martial artist has. However, at the end of the turn, all halos burn away, as with Bleeding Crescent Strike.</t>
  </si>
  <si>
    <t>The martial artist swings her scythe through the ranks of her foes, trailing argent afterimages as she waters the earth with blood. Enemies Like Grass allows the martial artist to make a decisive attack against up to two separate enemies, making a single attack roll but rolling damage separately. Each attack has a base damage of the martial artist's Strength, and her Initiative is divided evenly among them. She does not reset to base Initiative until she has completed all attacks in this deadly onslaught. Alternatively, she may choose to make two withering attacks against a battle group, rolling each attack individually.While White Reaper Form is active, Enemies Like Grass allows the martial artist to make an additional attack–decisive or withering–for every halo she has. However, at the end of the turn, all halos burn away, as with Bleeding Crescent Strike.Terrestrial: A Dragon-Blood can only use this Charm to make multiple attacks against battle groups.</t>
  </si>
  <si>
    <t>Martial Arts 3, Essence 2</t>
  </si>
  <si>
    <t>Executing a lightning-fast kata, the White Reaper bends the arcing nimbus of power around herself into a flickering shield. Flickering Corona Barrier adds +1 to the martial artist's Parry against an attack. If the martial artist is defending against a battle group, that group does not add its Size to the attack roll. While White Reaper Form is active, the martial artist may expend all her halos to add (halos expended) to her Parry as well.Mastery: The Solar may activate this Charm after her opponent has rolled his attack.</t>
  </si>
  <si>
    <t>Taking a deep, measured breath, the martial artist draws the flickering aura of power around her tight against her skin. Impenetrable White Shroud adds (2 + [current halos x2]) to the soak of any armor the martial artist wears. If she is unarmored, she instead adds (3 + [halos x3]) soak, and gains (halos x2) hardness. In addition, battle groups do not add their Size to the raw damage of attacks made against her.</t>
  </si>
  <si>
    <t>– (+1wp)</t>
  </si>
  <si>
    <t>Enemies Like Grass, Greatest Killer Attitude, Impenetrable White Shroud</t>
  </si>
  <si>
    <t>Nothing But Shadows</t>
  </si>
  <si>
    <t>Students of the Ebon Shadow style fade in and out of sight in combat, emerging as if from nowhere to strike before vanishing back into the shadows. When the martial artist takes a Stealth action in combat, she may use Nothing But Shadows to apply a penalty equal to (higher of 3 or her Essence) to the opposed roll of any enemy with a lower Initiative than her, to a maximum of -5.Alternatively, when the martial artist is hit with a decisive attack, she may use Nothing But Shadows to play dead, slowing her heart rate to nearly nothing. This is treated as an attempt to go to ground by faking death, rather than seeking concealment. The usual penalties apply, but the martial artist applies the benefits of this Charm on all rolls she makes to go to ground for free, and also adds any wound penalties she is suffering as bonus dice on all rolls–the more damage she has taken, the more convincing her false death. Mastery: Every 1 that a non-trivial enemy rolls on his (Perception + Awareness) opposing the supplemented action gives the martial artist a point of Initiative, up to a maximum of (Stealth) points per activation.</t>
  </si>
  <si>
    <t>Pinpointing a seam or flaw in an enemy's armor, the martial artist strikes through it with the expert precision ofa trained assassin. Seven Points of Weakness Strike subtracts (the martial artist's Stealth) from her enemy's armored soak. Unexpected attacks double the amount of soak ignored. Mastery: If this Charm reduces an enemy's armored soak to zero against a withering attack, any remaining points of soak reduction are converted to post-soak damage dice.</t>
  </si>
  <si>
    <t>Form, Mute</t>
  </si>
  <si>
    <t>Nothing But Shadows, Seven Points of Weakness Strike</t>
  </si>
  <si>
    <t>The martial artist's outline begins to distort and flicker, as if it were a shadow cast by a candle's unsteady flame. She moves with eerie speed and unnatural grace, making her enemies question whether she is even human. If her anima banner flares, it seems shapeless and dark, an umbral mantle enveloping her in its depths. Any enemy who fails an opposed roll to spot her when she enters stealth loses a point of Initiative, and she adds (her Stealth/2, round up) to her base Initiative when she resets after making a decisive unexpected attack. She also adds +1 to her Defense.If the martial artist is killed while in the Ebon Shadow Form, her body evaporates into an acrid black smoke, leaving behind no physical remains by which she might be identified. Special activation rules: Whenever the martial artist makes a Stealth roll in combat that beats the opposing rolls of all enemies in the combat, she may reflexively activate Ebon Shadow Form. Enemies within range lose Initiative for failing their roll as described above.</t>
  </si>
  <si>
    <t>The Ebon Shadow moves in flashes, evading an enemy's attack without seeming to ever cross through space. Elusive Flicker Evasion forces an enemy to make two attacks rolls for a decisive attack against the martial artist, taking the lower result.Terrestrial: A Dragon-Blood may only use this Charm once per scene, though it can be reset by incapacitating a non-trivial opponent with an unexpected decisive attack.Mastery: When an enemy misses the martial artist,he loses points of Initiative equal to the difference between the two attack rolls, up to a maximum of the martialartist's Stealth.</t>
  </si>
  <si>
    <t>Decisive-only, Mute, Terrestrial</t>
  </si>
  <si>
    <t>The martial artist's body becomes tenebrous and insubstantial, dissipating and deforming to let blows pass harmlessly through her. Shadow-Body Dissolution subtracts the martial artist's (Essence + Stealth) from the raw damage of a decisive attack against her. If the martial artist takes no damage at all from the attack, she may reflexively make a Stealth attempt. On a successful roll, what her foe struck at was nothing but a shadowy illusion, while she had been hidden elsewhere all along. This Charm is incompatible with other effects that reduce decisive damage.MARTIAL ARTS AND SORCERY</t>
  </si>
  <si>
    <t>Dual, Mute</t>
  </si>
  <si>
    <t>The Ebon Shadow crosses from hiding place to hiding place as though she could walk through shadows, vanishing and reappearing across the battlefield. Shadow-Stepping Motion can supplement any movement action takenwhile in stealth, applying double 9s to the roll and negating the increased penalty for crossing wide-open terrain.If the martial artist uses Shadow-Stepping Motion to close in on an enemy before making an unexpected attackagainst him, her sudden lunge doubles the penalties inflicted by a surprise decisive attack, or adds the martial artist's Stealth to the post-soak damage of surprise withering attack.</t>
  </si>
  <si>
    <t>Shadow Body Dissolution, Throat-Slitting Shadow Atemi</t>
  </si>
  <si>
    <t>Moving her hands through lightning-quick strikes to an enemy's shadow, the martial artist corrupts it with her own Essence, warping it into a weapon of silent murder that betrays its master. When the martial artist makes an unexpected attack against an enemy, she may unleash the Umbra Noose Execution, a decisive attack that warps the enemy's shadow into a razor-edged chain that coils around its master's neck, raising him into the air. The umbra noose adds a number of dice equal to the total successes she received on her Stealth roll to the raw damage of the attack (to a maximum of [Essence x 2]).Mastery: In addition to inflicting damage, the next five motes the opponent spends during the scene are funneled away by his traitor shadow and given to the Ebon Shadow stylist. The stylist may only spend these motes to pay for Ebon Shadow style Charms, and vanish at the end of the scene if still unused.Crane StyleCrane style is a defensive style, emulating the grace of the crane in avoiding the blows of an enemy. Its student learns not just to fight with physical blows, but to empathize with her enemy, speaking or debating with him in an attempt to bring the fight to an end without violence. However, those who mistake the Crane master's restraint for weakness find themselves quickly meeting the ground. When she must, a student of this style can unleash devastating counterattacks, flowing with the force of an enemy's blow so she can strike back in turn.</t>
  </si>
  <si>
    <t>Crane stylists do not initiate hostilities–they end them. Empowering Justice Redirection can supplement any attack against an enemy who has attacked the martial artist or a character she is protecting with a defend other action during the current or previous round. It adds one success to the attack roll, and one die to the post-soak damage of the attack. This increases to two successes and two post-soak dice of damage if the provoking attack successfully landed. Mastery: The dice of damage added by this Charm are converted to automatic successes.</t>
  </si>
  <si>
    <t>The sheltering wings of the Crane stylist shield her allies from the aggression of their enemies. Fluttering Cry of Warning adds +2 Parry whenever the martial artist parries an attack directed at an ally protected by one of her defend other actions until her next turn. Additionally, an enemy who overcomes the Crane stylist's Parry and chooses to attack her ward rather than the martial artist must pay a point of Initiative to do so.Mastery: Fluttering Cry of Warning allows the martial artist to take a defend other action reflexively, even if it is not her turn.</t>
  </si>
  <si>
    <t>Empowering Justice Redirection, Fluttering Cry of Warning</t>
  </si>
  <si>
    <t>The crane embodies not violence, but elegance. The martial artist takes on its peaceful demeanor as she enters the stance of the Crane Form, presenting a defense that carries no hint of hostile intent, nor any sign of weakness. While in Crane Form, the martial artist adds +1 Parry, and if she is wearing clothing with long, flowing sleeves, her garment will never be torn or stained in combat. In addition, the Initiative cost for the martial artist to take a full defense action is reduced by one point.While taking a full defense action, the martial artist may respond to any attack against her with a withering or decisive counterattack. Likewise, taking a defend other action allows her to respond to any attack against her ward with a counterattack.Special activation rules: Whenever the martial artist successfully defends against an attack that causes her attacker's current Initiative to fall below her own, she may reflexively activate Crane Form. If she took a full defense or defend other action on her last turn, this potentially allows her to make a counterattack, if the conditions above are met.</t>
  </si>
  <si>
    <t>6m, 4i</t>
  </si>
  <si>
    <t>The perfection of the martial artist's defense is like the beauty of the crane, so absolute in its calm refinement that seemingly nothing could ever disturb it. The martial artist makes a (Wits + Martial Arts) roll that cannot be enhanced by magic, and banks all successes. Until her next turn, she may spend successes to add to her Parry on a one-for-one basis. Alternatively, she may expend a success after successfully blocking an attack to respond with a decisive counterattack.Terrestrial: A Dragon-Blood must expend two successes to add +1 to her Parry. The cost to make counterattacks is unchanged.</t>
  </si>
  <si>
    <t>2m (+1wp)</t>
  </si>
  <si>
    <t>With a mighty beat of its wings, the crane shames feathers bound to arrow shafts. Whenever the martial artist could validly make a counterattack in response to a ranged attack, she may use Feather-Stirred Arrow Deflection to extend the counterattack's range to equal the maximum range of the original attack, sending arrows or spears back at the foes who cast them. Making a counterattack against a foe at extreme range requires a stunt describing how the martial artist accomplishes this feat.Additionally, the martial artist may pay a point of Willpower when she uses this Charm to direct her ranged counterattack at an enemy other than the one who originally attacked her, as long as her chosen target is within the expanded range of the counter.Terrestrial: A Dragon-Blood cannot make counterattacks at greater than long range.</t>
  </si>
  <si>
    <t>Wings Spread to Sky</t>
  </si>
  <si>
    <t>Majestic and beautiful as the soaring crane, the martial artist leaps into the air, flying on the invisible currents of Essence that flow through it. Wings Spread to Sky may supplement any movement action, allowing the martial artist to fly through the air to complete the movement. If the martial artist is protecting a character with a defend other action, she may choose to carry him along with her, if he is willing and she has at least one hand free to carry him (or stunts around this limitation). On the offense,if the Crane stylist uses this flight to close the distance before making a decisive attack, she doubles 10s on the damage roll. If the martial artist ends her movement in mid-air or on a structure that could not support her weight, she may retain a stable footing there until her next turn. If she then uses a movement action to descend or alight on a viable footing, she suffers no impairment. Otherwise–for example, if she uses Wings Spread to Sky a second time to soar upward and attack an aerial foe–she falls gracefully to the earth at the end of her turn. She (and anyone with her) still takes falling damage, but may ignore up to (Dexterity) range bands of descent for purpose of calculating it. This Charm can be used reflexively to mitigate the damage from a fall in this manner, even if the martial artist was not in flight beforehand.</t>
  </si>
  <si>
    <t>The grace of the crane inspires those who bear witness to it. Humbling Enlightenment Commentary adds any stunt dice awarded to a decisive attack to its damage roll as well, as long as the stunt is based on verbally analyzing the enemy's fighting style or the conflict as a whole in the style of an illustrative lesson or parable. If the damage of the attack exceeds the enemy's Resolve, the martial artist may count it as an automatically successful instill action to build a positive Minor Tie to a group or a Principle representing a philosophical or ethical belief, based on the stunted commentary. If the enemy spends Willpower to resist or already possesses the Intimacy the martial artist is trying to create, he loses (the Crane stylist's Charisma) Initiative (which the martial artist does not gain) as his attention is split between physical and philosophical conflict.Terrestrial: A Dragon-Blood can only use this Charm to enhance counterattacks granted by Crane Form or Crossed Wings Deflection.Mastery: If the martial artist herself possesses the Intimacy she wishes to instill in her enemy with Humbling Enlightenment Commentary, she adds its rating in bonus dice to the attack roll.</t>
  </si>
  <si>
    <t>Kindly Sifu's Quill</t>
  </si>
  <si>
    <t>Gentle masters write their lessons in bruises, not wounds. Kindly Sifu's Quill applies the double 10s rule to a decisive damage roll, and causes decisive attacks to always deal bashing damage. An enemy who has an Intimacy as described in Humbling Enlightenment Commentary takes a penalty to his Defense against the attack as though it were his Resolve, as long as the attack is stunted in a way that includes dialogue or actions that exploit this vulnerability.Mastery: At Essence 3+, exploiting an Intimacy improves the damage bonus of this Charm based on the Intimacy's rating: Double 9s if it is Minor, 8s if it is Major, and 7s if it is Defining.</t>
  </si>
  <si>
    <t>Mournful Crane's Cry</t>
  </si>
  <si>
    <t>Martial Arts 5, Essence 4</t>
  </si>
  <si>
    <t>Feather-Stirred Arrow Deflection, Kindly Sifu's Quill, Mournful Crane's Cry, Wings Spread to Sky</t>
  </si>
  <si>
    <t>The crane is sacred in its beauty, a bird of celestial splendor and serene repose. Such are the virtues that the Crane master may teach to her disciples with the final move of this style. Wisdom of the Celestial Crane can be used when the martial artist makes a decisive counterattack in response to an enemy's decisive attack. Gambits, as well as the attacks of battle groups and trivial opponents, do not provide the opportunity to use this Charm. The martial artist adds her enemy's Initiative to the raw damage of the attack in addition to her own. Incapacitating an enemy with Wisdom of the Celestial Crane is always nonfatal, and allows the martial artist to choose any of her opponent's Intimacies that fit the criteria set out in Humbling Enlightenment Commentary, and strengthen it to Defining intensity. Alternatively, she may leave her foe with a Defining Tie of love towards all Creation.Special activation rules: Wisdom of the Celestial Crane can only be used once per combat, unless reset by going three rounds without being hit by an attack or making an attack (not including counterattacks). Terrestrial: A Dragon-Blood cannot add more bonus dice to the raw damage of the attack than her current Initiative with this Charm. Mastery: If the martial artist successfully defends against the attack that triggers the counterattack, then his enemy loses all Initiative and is crashed.</t>
  </si>
  <si>
    <t>The nightingale is no bird of prey, to swoop down with curved beak and cruel talons. Its greatest virtue is its song–and with that song, the students of Nightingale style give voice to their victory. This Charm allows the martial artist to make kiais, unleashing forceful waves of sound that strike her enemies like physical blows. A kiai has the traits of a mundane light weapon with the bashing and thrown (short) tags, save she rolls its attacks with Martial Arts (Silver-Voiced Nightingale style) rather than Thrown. The martial artist may flurry a kiai attack with Performance-based influence without the usual flurry penalties, as long as the content of the social influence is woven into the lyrics or emotional tenor of her song.Mastery: The martial artist's kiai has the traits of a light artifact weapon.</t>
  </si>
  <si>
    <t>As battle breaks out, the Nightingale raise her voice in a song that promises triumph, steeling the hearts of her allies so that they may fight more fiercely. Inspiring Battle Hymn rerolls all 1s on the Join Battle roll of the martial artist and all allies capable of hearing her. Characters who received this benefit add +1 Resolve against threats, supernatural fear, or similar forms of influence for the duration of the fight. Mastery: If the martial artist wins Join Battle, she may gain a single point of temporary Willpower, or grant it to an ally who also won Join Battle. This can raise characters above their permanent Willpower.</t>
  </si>
  <si>
    <t>The Nightingale's voice rings out in a deafening overture or in mocking lyrics, promising a horrible death to her SILVER-VOICED NIGHTINGALE REMIXSilver-Voiced Nightingale style, as written, assumes that its stylists must sing to use its Charms. However, over the ages, offshoot branches and deviant schools of this style have developed that use other forms of musical performance. If you want to fight as a sanxian player who draws razor-sharp winds forth with each pluck of the strings, a flute-player whose scales burst eardrums and shatter bones, or a freestyle poet whose rhymes sear themselves into the skin of his enemies as characters writ in fire–go for it!</t>
  </si>
  <si>
    <t>Inspiring Battle Hymn, Terrifying Battle Shriek</t>
  </si>
  <si>
    <t>Standing straight and pitching her voice to reach all listeners, the Nightingale begins a song that rings out with exquisite clarity, a melody in perfect synchronization with her every movement. This perfect harmony of music and motion adds +1 to her Evasion, while the circular breathing used to maintain her song in the midst of battle adds her Performance to the raw damage of her withering kiai attacks. Finally, whenever an enemy pays Willpower to resist a Performance-based influence roll made by the Nightingale, she gains three points of Initiative.Special activation rules: Whenever the Nightingale successfully overcomes a non-trivial enemy's Resolve with Performance-based influence relevant to an ongoing fight, she may reflexively activate Silver-Voiced Nightingale Form. She gains Initiative from any characters whopay Willpower to resist the initial influence roll, asdescribed above.</t>
  </si>
  <si>
    <t>Hearing the Heart's Song</t>
  </si>
  <si>
    <t>Mastery, Perilous, Decisive-only</t>
  </si>
  <si>
    <t>Honing her senses, the Nightingale hears the music of her foe's heart, catching a strain of melody that betrays his intent to attack. Hearing the Heart's Song adds (the martial artist's Performance/2, round up) to her Evasion against a decisive attack. If she successfully defends against the attack, she gleans insights into her enemy's heart, making a reflexive read intentions action against his Guile and adding her (boosted) Evasion in non-Charm bonus dice. Mastery: Successfully reading an enemy's intentions with this Charm allows the martial artist to steal one point of Initiative from him for each extra success on her roll.</t>
  </si>
  <si>
    <t>Acting with preternatural timing and the grace of a trained dancer, the Nightingale moves in perfect counterpoint to an enemy, mimicking the rhythm of his movements and predicting his every attack. When the martial artist uses Harmony in Opposition Stance, she chooses a single enemy to synchronize her movements with. She may always apply her full Evasion against attacks made by the chosen enemy, ignoring all penalties, and applies double 9s on rolls to rush him or disengage from him. Finally, whenever the chosen enemy gains Initiative, the martial artist gains a single point of Initiative, unless he gained that Initiative by attacking her.The martial artist may choose to synchronize her movements to those of a different enemy as a miscellaneous action, which cannot be placed in a flurry. If she incapacitates the enemy she is synchronized with, or causes him to flee, surrender, or otherwise become removed from combat through influence rolls, then she may reflexively designate a new enemy. Terrestrial: A Dragon-Blood must activate this as a Simple Charm. Successfully defending against an attack made by an enemy whose intentions she has successfully read this scene or in the preceding one gives her an opportunity to activate it reflexively against that attacker. The Essence minimum of this Charm becomes 3 for Dragon-Blooded.</t>
  </si>
  <si>
    <t>Singing a stirring melody that rouses passion and deep emotions, the Nightingale suffuses each note with the resonant hum of aural Essence. The martial artist rolls (Charisma + Performance) to inspire all enemies who can hear her with sorrow, regret, despair, or some other emotion that would impede their will to fight. She is not hindered by targeting multiple enemies and adds her Essence in bonus successes to the roll. An enemy who yields to these emotions takes a -3 penalty to Defense against any kiai attacks the martial artist makes, as long as she stunts them in a way that exploits the inspired emotion. Once an enemy has paid Willpower to resist this influence, he remains immune to it for the remainder of the scene. Unlike other Simple Charms, Haunting Heart-Rending Melody may be placed in a flurry.Terrestrial: A Dragon-Blood gains no bonus successes when using this Charm.</t>
  </si>
  <si>
    <t>Resounding Songbird's Cry</t>
  </si>
  <si>
    <t>Throwing back her head and closing her eyes tight, the Nightingale shrieks out an awful cry. Glass and crystal shatter spectacularly, metal warps, and enemies bleed from the ears as her devastating crescendo rises to its conclusion. Resounding Songbird's Cry applies a sonic environmental hazard against all enemies within short range of the martial artist. The hazard has damage 2B and a difficulty of (the martial artist's Essence + 2), resisted with (Stamina + Resistance). Stunting the hazard to destroy scenery such as large stained glass windows, crystal chandeliers, or similar can render the damage inflicted by this hazard lethal. On the turn after using Resounding Songbird's Cry to unleash an environmental hazard, the martial artist may use this Charm a second time at no cost to make a withering kiai attack that is dispersed through the lingering sonic resonance of the initial cry, known as the Shattering Echo Refrain. The attack is rolled against all enemies who failed their roll to resist the hazard, and doubles up to (the martial artist's Charisma) 9s. Special activation rules: Resounding Songbird's Cry can only be used once per fight, unless reset by landing a decisive kiai attack and then building up to Initiative 10+. Terrestrial: A Dragon-Blood cannot use the Shattering Echo Refrain.</t>
  </si>
  <si>
    <t>Humming deeply in her throat, the Nightingale causes an ally's weapon to resonate with vibrations of Essence, redoubling the force of his attacks. Whenever an ally within short range of the Nightingale makes a decisive attack, she may use Flashing Blade Harmony to apply the double 10s rule to the damage roll. Withering attacks benefit from double 9s.If the martial artist makes a kiai against an enemy who has already been hit by one or more of her allies' attacks that benefitted from Flashing Blade Harmony in the same round, the resonance of the multiple attacks combines to create a devastating vibration. She adds one die to the post-soak damage of the kiai for each such attack, and applies double 10s or double 9s on her own damage roll, as appropriate to the attack type. She does not need to activate Flashing Blade Harmony to gain this benefit on her own attack.Mastery: The martial artist may transfer up to (Essence) points of Initiative to an ally when she enhances his decisive attack with Flashing Blade Harmony.</t>
  </si>
  <si>
    <t>Perilous, Terrestrial</t>
  </si>
  <si>
    <t>Singing softly in a minor key, the Nightingale's voicecuts through the clangor of the battlefield, stilling the hearts and calming the nerves of her allies. Then, shifting into a major key with a triumphant flourish, her voice swells with glory and wrath, a battle-anthem to turn the tide of wars. The martial artist and all allies who can hear the song gain a single point of Willpower at the start of each turn, which must be spent to resist influence or add a success to an action before their next turn. This can raise characters above their permanent Willpower. This bonus Willpower disappears after one turn if unused.Terrestrial: A Dragon-Blood must pay four motes for each round after the first she wishes to maintain the effects of this Charm, in addition to its committed cost.</t>
  </si>
  <si>
    <t>Until the enemy's next turn</t>
  </si>
  <si>
    <t>Aria of Victory, Harmony in Opposition Stance, Resounding Songbird's Cry</t>
  </si>
  <si>
    <t>An eerie calm chills the Nightingale's voice as she moves through countless scales of song, seeking to find the one deadly note that will unravel the Essence of her foe. The martial artist makes a difficulty 4 kiai gambit against an enemy. Every success on the Initiative roll delays that enemy's next turn by one tick. The enemy's physical form begins to decohere, his features become blurry and amorphous, trailing behind him in streaks as his very existence threatens to dissolve into nothing more than a few notes of music. Any decisive attack made against that enemy before he acts also adds one die to its raw damage for each success rolled on the Nightingale's Initiative roll. If he's incapacitated, the target's body dissolves in a cacophony of disparate noises as his heartsong is ripped apart note by note, leaving only silence behind. Mastery: The martial artist may breathe in the ruin of a destroyed enemy's heartsong, making it a part of her own. This restores a number of motes equal to that character's Essence, and provides the Nightingale with any knowledge she could have obtained with a read intentions action against that character.Terrestrial: Only up to (Performance) successes on the Dragon-Blood's Initiative roll are counted for determining how many dice of damage are added to her ally's attacks. Righteous Devil StyleThe Righteous Devil is a figure of burning fury and solemn judgment, a wandering hero who protects the innocent and banishes the wicked into a fiery hell of their own making. Students of the style master the firewand (p. 589), wielding these exotic weapons with a deadly precision that's more art than archery. However, the heart of the Righteous Devil style is not in its fiery attacks, but in the judgment that precedes them. When the strong and powerful use their positions to oppress those beneath them, when the selfish put their own needs above those of the community, when the once-righteous turn from their ideals to pursue their own desires–these are the crimes which the Righteous Devil judges most harshly, and his verdict is spoken in cleansing flames. Many students of this style have a Principle encompassing this code of ethics, though there are some who turn against the moral teachings of their sifus, or who simply learn the martial techniques of the style with no heed for the ethics behind them.</t>
  </si>
  <si>
    <t>Drawing in a quick breath, the Righteous Devil tastes the wickedness of a world in need of judgment. As she exhales, pulling down hard on the trigger, she burns that world clean with fire. Blossom of Inevitable Demise applies double 10s on the damage roll of a decisive attack. It can also extend the range of a firewand attack to medium, although doing so still requires an aim action as usual (p. 195).</t>
  </si>
  <si>
    <t>Ebon grains of firedust stream from the stylist's hands as she moves like lightning, sighting and reloading faster than her enemies can blink. When the stylist aims with a firewand, she may also reload it (and/or draw it), without needing to take a separate action. If there are any enemies at close range to her, she must succeed on a (Wits + Martial Arts) roll at difficulty 2 to successfully execute this maneuver. On a failed roll, she successfully loads the weapon, but does not gain the advantages of aiming. Enemies whom she has successfully intimidated or chastised with social actions during that fight do not count for this restriction (even if they spent Willpower to resist). Mastery: Cloud of Ebon Devils can be used to supplement a Join Battle roll, in which case it allows the Righteous Devil to reflexively aim and draw or ready a weapon before any character acts in the fight.</t>
  </si>
  <si>
    <t>Sighting along the flows of Essence that connect her weapon with its mark, the Righteous Devil sends her will down a fine line of possibility, transforming it into inevitability. Kiss of the Sun Concentration adds any dice from aiming to the post-soak damage of a withering attack, or converts them to a single die added to the raw damage of a decisive attack. Disarm gambits, or any other gambit that could benefit from superhuman precision, add the full amount of aim dice to their Initiative roll instead of a single die.Mastery: When used with a decisive attack, the full amount of aim dice are added to the raw damage of he attack. Withering attacks and precision-based gambits convert the aim dice to automatic successes on the damage roll.</t>
  </si>
  <si>
    <t>Blossom of Inevitable Demise, Cloud of Ebon Devils, Kiss of the Sun Concentration</t>
  </si>
  <si>
    <t>Creation itself seems to hold its breath as the stylist cloaks herself in the majestic and terrible stillness of the Righteous Devil Form. An inescapable gravity seems to exude from her confident, unwavering posture, sending the innocent scurrying away to safety and calling the unjust to reap the whirlwind of judgment they've sown. The first time the Righteous Devil enters this form in a fight, she may roll (Charisma + Presence + Essence) to intimidate all enemies or inspire them with an emotion of shame, guilt, or remorse as appropriate to their sins. Affected enemies take a penalty equal to the stylist's Charisma on disengage, withdraw, or Stealth-based actions unless they pay Willpower to resist. Additionally, at the beginning of each turn, the Righteous Devil may reflexively aim against any enemy whose Resolve was overcome by the activation of this form, or by a similar influence roll made in combat (even if he resisted).Additionally, while in this form, the Righteous Devil can use firewands effectively in close combat, using the butt or handle of a flame weapon to effectively bludgeon enemies. When used in this way, they are treated as medium weapon with the bashing, martial arts, and shield tags. Firewands with an affixed bayonet instead have the lethal tag. While this use is not compatible with effects that specifically modify ranged attacks, such as the range extension of Blossom of Inevitable Demise, it can still benefit from other Charms of this or other staff or spear-compatible styles. Special activation rules: Whenever the stylist successfully lands a decisive attack after taking an aim action onher previous turn, she may reflexively activate Righteous Devil Form.</t>
  </si>
  <si>
    <t>Terrestrial, Withering-only</t>
  </si>
  <si>
    <t>5m, 4i</t>
  </si>
  <si>
    <t>Those who'd raise a hand against the Righteous Devil must walk through the fire of their own iniquities to do so. Pointing the tip of her firewand at the ground, the stylist draws the Burning Judgment Halo, a ring of flames that encompasses all characters at close range to her, with the traits of a bonfire (p. 230). It is not necessary to create the full circle of flame–if the stylist is standing between a brutal slaver and his victims, she may choose to create only a semi-circle of fire, for example.The flames created by this Charm will continue to burn for as long as the Righteous Devil remains at their center. Once she takes a movement action to move from that point, they will continue to burn for a single round more, then die down on her next turn. Moving through the blaze created by this Charm never damages the stylist–the devil walks through hell unscathed.Terrestrial: The fires created by this Charm only last until the Dragon-Blood's next turn, unless she pays an additional four Initiative to renew it at the start of each of her turns.</t>
  </si>
  <si>
    <t>A halo of gold and cobalt Essence rings the tip of the firewand's barrel as the Righteous Devil sights a foe, sending six golden wings spiraling forward to speed the tongue of flame towards him. This Charm boosts the damage of an attack based on the distance it's made from, adding +4 against an enemy at close range, +3 against an enemy at short range (and so on, if magic is used to extended the range of the attack). This bonus is addedas successes on a withering attack or dice on a decisive attack.</t>
  </si>
  <si>
    <t>10m, 3i, 1wp</t>
  </si>
  <si>
    <t>Fire seems to take on a wrathful life of its own as it pours from the barrel of the Righteous Devil's weapon, flaring off into howling, winged devils of fire that spiral hungrily towards her foes. Dancing Devil Trigger Finger allows the stylist to apply a decisive attack against all enemies in a ninety-degree arc. She may catch up to one enemy at close range, two enemies at short range, and three enemies at medium range (if extended using Blossom of Inevitable Demise), but only if they are positioned on the battlefield so that this targeting makes sense. She makes a single decisive attack roll, rolling damage separately against each enemy. Special activation rules: Dancing Devil Trigger Finger can only be used once per fight, unless reset by upholding an Intimacy that represents dedication to Righteous Devil style's philosophy or a similar code of ethics.Terrestrial: A Dragon-Blood must divide her Initiative evenly among all targeted enemies when rolling damage, and cannot assign more than (Essence + 3) damage to any enemy. Any points of Initiative that cannot be assigned over this maximum are not wasted, but converted to motes after she resets to base Initiative.</t>
  </si>
  <si>
    <t>Aggravated, Decisive-only, Terrestrial</t>
  </si>
  <si>
    <t>Azure Abacus Meditation, Burning Judgment Halo, Dancing Devil Trigger Finger</t>
  </si>
  <si>
    <t>There is no sin beyond redemption in the fires stokedby the Righteous Devil. The Caress of 1,000 Hells sets an enemy ablaze with the fires of judgment, engulfing him in a swirling vortex of cobalt and gold flames.Within this hellish pyre, disembodied voices recount his sins and misdeeds, and offer him a single choice–repent, or burn.If the enemy chooses to repent, the flames fade away, leaving him changed but unscathed. He forms a Defining Intimacy reflecting the nature of his atonement, chosen by that character's player. A Guild merchant princewho has made his fortune in the slave trade might form a Defining Tie of hatred for all slavers, while a hedonistic Abyssal mass murderer might form a Defining Principle of pacifism and simple living. An enemy who's atoned will generally retreat or surrender, and crashes to-10 Initiative if he attempts to reestablish hostilities</t>
  </si>
  <si>
    <t>From the very beginning, things start to go wrong. Righteous heroes find themselves cast as vicious bullies when they fight a student of the Black Claw–even when she starts the fight. Open Palm Caress can be used whenever the martial artist rolls Join Battle. As long as at least one enemy received more successes on the roll than the martial artist did, he and his allies are seen as having initiated hostilities, regardless of how the fight actually began. This applies both to any bystanders to the fight and to the enemies themselves, who might suddenly find themselves confused as to why they are attacking the Black Claw stylist. Characters may see through this deception with a reflexive read intentions roll against the martial artist's Guile. The Black Claw stylist gains a single point of Initiative for each opponent or bystander who was fooled by this ruse, up to a maximum of her Manipulation. Mastery: The martial artist's performance is so convincing that if she uses her first turn to make a clinch or decisive attack against an enemy who beat her Join Battle and failed to overcome her Guile, she may pay a point of Willpower to treat that attack as an ambush.</t>
  </si>
  <si>
    <t>Counterattack, Mastery, Terrestrial, Uniform</t>
  </si>
  <si>
    <t>Open Palm Caress, Torn Lotus Defense</t>
  </si>
  <si>
    <t>Even for the unjustly wronged, there comes a time to strike back. Scratching over the invisible lines of her enemy's Essence meridians with an attack, the Black Claw stylist taints them with a bilious green poison, distilled from her own malice. The poison created by Flexing the Emerald Claw has Damage 2i/round, Duration (Essence + Manipulation) rounds, and a -2 penalty. While Black Claw Form is active, any Initiative damage dealt to an enemy by this poison awards that many points of Initiative to the martial artist (even if the damage is converted to lethal against a crashed enemy).</t>
  </si>
  <si>
    <t>The martial artist slips into a defensive posture, making clear both her unwillingness to fight and her readiness to defend herself regardless. The martial artist adds +1 Evasion, and one success on rolls to disengage or withdraw, reducing the Initiative cost of both actions by one point. If she attacks an enemy who is in close range to another enemy that has a positive Tie towards the martial artist, then the victim of her attack takes a -1 penalty to his Defense, as he fears his allies have begun to turn on him. Enemies who themselves have a positive Tie towards the martial artist also take this penalty, unable to put up a whole-hearted defense.Special activation rules: Whenever the martial artist successfully defends against an attack that causes her attacker's current Initiative to fall below her own, she may reflexively activate Black Claw Form.</t>
  </si>
  <si>
    <t>Understanding that vulnerability is her greatest defense, the Black Claw stylist exploits it ruthlessly, falling back in exaggerated response to an attack. Every movement accentuates her inferiority in the face of the oncoming assault, unnerving or unduly exciting her aggressor depending on his temperament. Doe Eyes Defense imposes a penalty equal to the martial artist's Guile on an attack against her. Enemies who have a positive Tie towards her add its intensity to the penalty they suffer.Terrestrial: A Dragon-Blood uses the lower of her Essence or Guile when calculating the penalty inflicted by this Charm.Mastery: Successfully defending against an attack with this Charm grants the martial artist (1 + the enemy's Intimacy) Initiative.</t>
  </si>
  <si>
    <t>Until released</t>
  </si>
  <si>
    <t>Despite being cruelly assaulted, the martial artist clasps her foes to herself. Swallowing her rancor, she seeks no revenge for her wounds–such virtue! Storm-Calming Embrace applies double 8s on the (Strength + Martial Arts) control roll of a grapple and adds one success to the roll. However, it also limits the martial artist's options in the grapple, preventing her from savaging her enemy or throwing him. An enemy who's poisoned does not count rounds clinched by the Storm-Calming Embrace against the duration of the poison–although he still suffer damage, the poison's duration doesn't decrease.Mastery: Storm-Calming Embrace doubles up to (Manipulation) 8s and 9s on the attack and Initiative roll for the grapple, in addition to enhancing the control roll. An enemy caught in the clinch takes lethal damage from poisons, as though he were in Initiative Crash.</t>
  </si>
  <si>
    <t>Only a coward would use a weapon to strike down an unarmed man. All Creation rejoices to see a bully given a dose of his own medicine, and the Black Claw stylist is the one to do it. Table-Turning Reversal can be used to respond to an attack with a disarm gambit, adding one automatic success to both the attack roll and Initiative roll. If the martial artist successfully disarms her enemy, she may reflexively ready his weapon instead of throwing it aside. Stealing an artifact weapon breaks its wielder's attunement and allows the martial artist to reflexively commit the motes needed to attune to it. As long as she wields it, it is considered a Black Claw style weapon. The first time she uses a stolen weapon to land a successful decisive attack against the enemy she stole it from, she also treats her attack roll as an instill roll against the Resolve of all witnesses, either creating a positive Tie towards the martial artist or eroding positive Ties towards her victim (her choice).</t>
  </si>
  <si>
    <t>Counterattack, Terrestrial</t>
  </si>
  <si>
    <t>Doe Eyes Defense, Storm-Calming Embrace, Table-Turning Reversal</t>
  </si>
  <si>
    <t>Who can stand idly by while a fragile beauty endures torment and aggression from her brutish foes? Outrage-Kindling Cry can be used in response to a decisive attack against the martial artist, allowing her to counterattack with a (Manipulation + Presence) persuade roll against all characters who can hear her, adding (her enemy's CHAPTER 7Essence) dice to the roll. She doesn't suffer the usual penalties for targeting multiple characters. If the martial artist suffers any wound penalties after the resolution of the attack, then the same penalties apply to the Resolve of all targets. Any character whose Resolve is overcome turns on the enemy that attacked the Black Claw stylist, depending on the strength of his Intimacy for her. Characters with a Minor Tie or no Tie will attempt to restrain the enemy or talk him down, but will not turn to violence. A Major Tie might lead them to attempt to attack him, but only to subdue him or drag him away so that he cannot continue fighting. With a Defining Tie for the martial artist, they will go so far as to kill the enemy if no other recourse presents itself. A character must enter a Decision Point to resist, and treats the intensity of any positive Tie he has to the martial artist as one level higher for determining what Intimacies he can use to justify spending Willpower. If his Intimacy is already at the Defining level, then resisting costs an additional point of Willpower instead. Special activation rules: Outrage-Kindling Cry can</t>
  </si>
  <si>
    <t>Eight wisdoms lie at the heart of the Black Claw style: Love is a lie, innocence is a lie, blame is a lie–lies are inescapable; children betray their parents, gods betray their makers, students betray their teachers–betrayal, too, is inescapable. Those who are truly wise are always first to strike, and strike to kill. The Heart-Ripping Claw wreathes the martial artist's hand in screaming black shadows, lashing and razor-edged. She adds half her current temporary Willpower to the raw damage of the attack (round up). If the victim has a positive Tie for the martial artist, double the damage, or triple it if the Tie is Defining. Incapacitating a character with this Charm is a gruesome spectacle, as the Black Claw master tears the victim's heart from his chest, clutching it in her fist as it crumbles to ash. Special activation rules: Once the martial artist has revealed her Heart-Ripping Claw, she cannot use it again against any character who witnessed the attack for the rest of the fight, unless she successfully uses social influence to strengthen a victim-to-be's positive Tie towards her, or to cause him to form or strengthen a pre-existing negative Tie towards the enemy she attacked with the earlier use of this Charm.Terrestrial: A Dragon-Blood uses the lower of her Essence or temporary Willpower when calculating the damage added by this Charm.Mastery: Holding the still-beating heart of a slain enemy in her hand, the martial artist draws vitality and beauty from it. Incapacitating an enemy with this Charm allows the martial artist to heal one level of damage, and adds +1 to her Appearance for the rest of the fight.</t>
  </si>
  <si>
    <t>The Dreaming Pearl Courtesan dances away from the blows of her enemies without effort, as if her body was nothing more than so many cherry blossoms caught on the wind. Demure Carp Feint adds +1 to the martial artist's Evasion, or adds one success on a roll to disengage. If the martial artist's Appearance is higher than the Resolve of her attacker, or of all enemies she is disengaging from, this increases to +2. Successfully defending against or disengaging from an enemy whose Resolve is beaten by the martial artist's Appearance grants her a point of Initiative, as her provocative elegance and sinuous grace gain her an improved footing. Mastery: When the martial artist gains Initiative with this Charm, her attacker loses a point of Initiative as well. When disengaging, all enemies whose Resolve is beaten lose the point of Initiative (although this does not increase the amount the martial artist receives).</t>
  </si>
  <si>
    <t>A paper fan, a colorful sash, a pair of chopsticks, a ball gown's train–all of these can be killing weapons in the hands of a student of this style. Elegant Weapon Repertoire adds the accuracy bonus of a weapon to the raw damage of a withering attack made with it, or one die to the raw damage of a decisive attack. Alternatively, this Charm can supplement a ready weapon action to suffuse an accessory, garment, or some similar ornamental object with Essence, allowing the martial artist to wield it as a weapon. For the rest of the scene, it is treated as a mundane light weapon, with tags based on the exact nature of the item, as described below. While several examples are provided for each category, the Storyteller is encouraged to reward creative ideas that fit within the aesthetics of this style.Disarming: The disarming tag applies to garments or accessories that can be used to leverage weapons out of their wielder's grip–primarily sashes or sleeves that have had lead weights sewn into them for this specific purpose (which overrides the usual tag they would receive). These weapons usually also have the bashing and flexible tags.</t>
  </si>
  <si>
    <t>An iridescent sheen comes over the martial artist'sgarments as Essence enfolds them, turning silk as strong as steel. Any clothing the martial artist wears while this Charm is active is treated as mortal light armor. This is explicitly compatible with this style, but not with any other styles that forbid armor. In addition, wheneverthe martial artist is hit by an attack, she may spend up to her (Appearance) in motes, adding one point to her armored soak against that attack for each mote spent this way. Mastery: The first time the martial artist uses this Charm to defend against a decisive attack in a fight, she reveals the supernal resilience of her seemingly vulnerable figure, gaining hardness 10 against the attack as well as a surge of three motes that can be spent to add to the armor's soak, or on similar effects, such as many Solar Resistance Charms. These motes vanish at the end of the scene if not spent.</t>
  </si>
  <si>
    <t>Demure Carp Feint, Elegant Weapon Repertoire, Pearlescent Filigree Defense</t>
  </si>
  <si>
    <t>The Dreaming Pearl Courtesan embodies grace and beauty even in the midst of bloodshed, weaving through melee as if dancing through steps of a ballroom waltz, cutting down foes with gestures so delicate they can scarcely be noticed. The martial artist may make attacks out to short range, slashing a fan to unleash a razor-edged wind, letting a silk sash flow like a weaving serpent to strike enemies, or sending needles of nacreous Essence spiking from her fingernails. Any clothing she enchants with Pearlescent Filigree Defense gains the traits of light artifact armor, while weapons readied with Elegant Weapon Repertoire gain light artifact traits. Special activation rules: Whenever the martial artist successfully disengages with 5+ successes, she may reflexively activate Dreaming Pearl Courtesan Form.</t>
  </si>
  <si>
    <t>Dreaming Pearl</t>
  </si>
  <si>
    <t>Vindictive Concubine's Pillow Book</t>
  </si>
  <si>
    <t>Moving through the sultry, languid forms of a hypnotic kata, the Dreaming Pearl Courtesan beguiles her enemies with ethereal music and the fragrant scent of flower petals. Fragrant Petal Fascination Kata adds the martial artist's Essence in bonus successes to an inspire roll made to fill enemies with emotions of love, lust, mercy, distraction, or similar, and suffers no penalties for targeting multiple characters. With appropriate stunting, it may also enhance other types of social actions that align with the hypnotic, seductive nature of this Charm. In combat, an enemy whose Resolve is overcome by the influence roll loses a point of Initiative, even if he spends Willpower to resist. The Dreaming Pearl Courtesan gains all Initiative lost this way, up to a maximum of her (Appearance). Special activation rules: Once an enemy has been exposed to the Fragrant Petal Fascination Kata, he is immune to further uses of it for the rest of the scene, regardless of whether he succeeded or failed in resisting it.</t>
  </si>
  <si>
    <t>4m, 2i</t>
  </si>
  <si>
    <t>Fragrant Petal</t>
  </si>
  <si>
    <t>Fascination KataCatching hold of the Dreaming Pearl Courtesan is like trying to remember last night's dream–at first, one might be able to grasp it hazily, but as time passes, it slips away into nothingness. The Seven Storms Escape Prana subtracts dice equal to the martial artist's Appearance from a roll made to oppose one of her disengage attempts, to rush her, or from the control roll of a clinch against her. If the Dreaming Pearl Courtesan's successes on the opposed action exceed the Resolve of the opponent, then he must pay a point of Willpower to maintain his focus or else automatically fail the roll.Mastery: The duration of this Charm is extended to one round, imposing the penalty on all applicable opposed actions.</t>
  </si>
  <si>
    <t>Invoking the Chimera's Coils</t>
  </si>
  <si>
    <t>– (+8m, 1wp)</t>
  </si>
  <si>
    <t>Seven Storms Escape Prana, Vindictive Concubine's Pillow Book</t>
  </si>
  <si>
    <t>The Exalt grasps a blade in each hand and makes a lightning speed draw–a technique designed for ending a fight before it starts. This Charm supplements a Join Battle roll made with any Ability, adding (Essence or two, whichever is greater) successes to the result, and allowing the Exalt to shift successes from her Initiative pool directly into that of her Offhand Charge. In addition, if her result beats that of all of her opponents, she gains one automatic point of Charge.</t>
  </si>
  <si>
    <t>Moving with deceptive speed and feinting strikes, the Exalt slashes with one blade and strikes with another. This Charm creates a normal withering attack that has a chance to land an additional second strike. On a hit, if the threshold successes meet or exceed the target's Defense, this is treated as landing a second attack. If both attacks land, however, only a single damage pool is created and a single damage roll is made. On a successful double attack, add (the Exalt's Dexterity + [Charge/2, rounded down]) to the attack's base damage. Note that both attacks incur onslaught penalties (p. 194)–a strike against a Parry of 5 would only need to generate four extra successes to penetrate the resulting rating of Parry 4. Likewise, the successes used landing the second attack are not calculated as extra successes when determining damage.
Terrestrial: When used by a Terrestrial, this Charm's base damage is increased by (2 + [Charge/2, rounded down]).</t>
  </si>
  <si>
    <t>Mastery, Terrestrial, Withering-only</t>
  </si>
  <si>
    <t>Moving with blazing speed, the Steel Devil makes three attacks in succession. This Charm upgrades Double Attack Technique, allowing extra successes from the second blow to roll over the target's Defense again and create a third attack. If Triple Attack Technique is successful, add (Dexterity + Charge) to the attack's base damage. This Charm can trigger Steel Devil Strike and Empty Mind Strike in an identical fashion to Double Attack Technique.Terrestrial: When used by a Terrestrial, this Charm's base damage is increased by the Exalt's (Dexterity + [Charge/2, rounded down]).Mastery: Reroll (Essence) non-successes on the attack's damage roll.</t>
  </si>
  <si>
    <t>The ultimate killing technique of this style is a swift, hidden strike that occurs directly after a successful use of Double Attack Technique. This Charm can only be triggered when the damage done by Double Attack Technique is equal to or greater than the amount of Offhand Charge capacity that has yet to be filled with Charge. If this occurs, the Exalt may pay the cost to launch a decisive attack with (Essence) automatic successes, which ignores hardness and uses only the Initiative gained from Double Attack Technique's withering damage as base damage. If this attack is successful, all of the Initiative expended in making it is lost. Mastery: When in Steel Devil Form, if the Exalt successfully damages an opponent with Steel Devil Strike, he gains a point of temporary Willpower.</t>
  </si>
  <si>
    <t>Martial Arts 5, Essence 1</t>
  </si>
  <si>
    <t>Spinning her blades into an underhand or overhand grip and drawing them in alongside her arms, the Steel Devil coils her body in an attitude of lethal readiness. Assuming this form automatically increases the Exalt's Offhand Charge capacity by two, so that it becomes (Dexterity + Essence + 2). In addition, while the Exalt is in this stance, each time she crashes an opponent, her Offhand Charge's capacity increases by one for the rest of the scene–but this benefit may occur no more than once for any single crashed opponent. In addition, using this stance allows the Steel Devil to ignore penalties for attacking with the off-hand. Lastly, this Charm reduces the cost of Double Attack Technique by one mote and Steel Devil Strike by two.</t>
  </si>
  <si>
    <t>4m, 1 charge per success</t>
  </si>
  <si>
    <t>The Steel Devil's killing blade hums with lethal readiness, carrying her swiftly toward prey. This Charm supplements a rush action (p. 197), allowing the Exalt to pay one point of Charge per automatic success on the rush. If the rush succeeds, the Exalt retains the points of Charge thatwere spent.</t>
  </si>
  <si>
    <t>After successfully using the prerequisite, the Exalt's Offhand Charge surges. When she moves forward in a response to the opponent moving away, she may activate this Charm reflexively at the end of her motion. Crossing her blades, the Steel Devil draws them apart with impossible speed, blistering the air with a razor-sharp arc of force that hits all targets in front of her out to medium range with a decisive attack that has damage equal to her current Charge. This attack does not include the Exalt's current Initiative, nor does it reduce her to base Initiative.
Terrestrial: A Terrestrial's Sonic Slash only reaches out to short range.</t>
  </si>
  <si>
    <t>Considered the lesser of two forms, Dual Slaying Stance provides an offense that is passive but no less terrifying. While in this stance, the Exalt's Parry is increased by two, and it cannot fall below two, no matter how many times she's attacked. In addition, on any turn on which she foregoes an attack, she may react to any attack she attempts to parry with a decisive counterattack that has a base damage equal to her current Charge. This counterattack may be augmented with the Exalt's Initiative–the Exalt may reflexively devote up to (Essence x2) from her Initiative pool to the damage of each successful counterattack. If she successfully damages a foe with such a strike, she does not return to base Initiative, nor is her Charge affected–only any spent Initiative is lost. Lastly, this form allows the Steel Devil to ignore penalties for attacking with the off-hand.Terrestrial: A Terrestrial may augment counterattacks with up to (Essence) Initiative.</t>
  </si>
  <si>
    <t>3m, 1 charge per success</t>
  </si>
  <si>
    <t>The Steel Devil narrowly parries away a strike with her second blade. This Charm can be used after failing to parry an attack; the Exalt pays three motes and converts points of Charge into an impromptu second Parry at a one-for-one rate, in order to deal with the attack's remaining successes. If the Exalt is able to expend enough Charge to nullify the remaining successes, she strikes awaythe incoming attack with her second blade. If she can negate the attack with at least three Charge remaining, she is seen to cross her blades, catching the opponent's blow between them, a technique called the Cross-Blade Catch.</t>
  </si>
  <si>
    <t>After performing Twin-Blade Defense's Cross-Blade Catch, the Steel Devil may pay five motes, one Willpower to twist her blades apart with supersonic force, disarming her opponent and hurling his weapon two range bands hence. This Charm is modeled as a disarm gambit (p. 199) with double 9s on the Initiative roll. If it succeeds, the Exalt may pay three motes to unleash a point blank Sonic Slash, adding two automatic successes to the attack roll and (Essence) damage dice to the attack's base damage. The Exalt must know the Sonic Slash Charm to use this attack.</t>
  </si>
  <si>
    <t>This Charm is an attack similar to Steel Devil Strike, occurring after Double Attack Technique. This Charm can only be triggered when the damage done by Double Attack Technique is equal to or greater than the amount of Offhand Charge capacity that has yet to be filled with Charge. However, unlike Steel Devil Strike, this attack expends Charge instead of gathered Initiative to create the attack's damage pool. In addition, if the Steel Devil expends all her Charge in this attack, the damage roll gains (Essence) bonus dice. Alternately, the Exalt may choose to use this attack after unleashing a Steel Devil Strike that does at least half her current Charge (rounded down) in successful damage.</t>
  </si>
  <si>
    <t>If the Exalt lands a damaging Steel Devil Strike followed by a damaging Empty Mind Strike, she may use this Charm, wrenching her blades free to pause for a moment in a harmony of carnage and serenity, before unleashing a furious onslaught of strikes. Invoking this Charm automatically adds one point of Charge to the Exalt's Offhand Charge and allows her to immediately attack the same target with Triple Attack Technique, regardless of whether she has learned it. If she has, she is able to attack with a Quadruple Attack Technique, which uses Triple Attack's damage bonus and adds (Essence or three, whichever is lower) automatic successes to the post soak damage roll.Mastery: Dervish Blade Frenzy can chain into Steel Devil Strike or Empty Mind Strike.</t>
  </si>
  <si>
    <t>Form, Mastery</t>
  </si>
  <si>
    <t>Dervish Blade Frenzy, Iron Lotus Unfurling, Sonic Slash</t>
  </si>
  <si>
    <t>The Steel Devil enters the stance of 108 Sharp Deaths. In his mind, he sees angles of incoming attacks that haven't even been launched yet, and every jugular lies exposed. Entering this form combines the effects of both Steel Devil Form and Dual-Slaying Stance. Mastery: The Steel Devil may reflexively enter this stance upon crashing someone with Double Attack Technique or one of its variants, and gains one point to his current Charge as well as his Offhand Charge capacity. SorceryAcross Creation, sorcerers are known and feared as figures of great and dangerous power, said to be capable of slaying a man with a gesture or calling up storms with a glance. The magic of sorcery is fundamentally different from Solar Charms. A Solar Charm is an expression of the Solar's own Essence through supreme mastery of skill. Sorcery is the art of shaping the Essence of the world itself, willing it into accordance with the sorcerer's whims. To work sorcery is to command essential forces, consort with strange spirits, and call up impossible wonders.Spells and Sorcerous Workings</t>
  </si>
  <si>
    <t>Cirrus Skiff</t>
  </si>
  <si>
    <t>15sm, 1wp</t>
  </si>
  <si>
    <t>Spell</t>
  </si>
  <si>
    <t>Until ended</t>
  </si>
  <si>
    <t>The sorcerer calls down a Cirrus Skiff to bear her skyward, a small white puffy cloud just large enough for her and one other passenger to ride upon. The cloud descends from the sky and hovers near the sorcerer like a faithful puppy until she steps on, at which point it rises into the air, obeying her mental commands. It is slow-moving, managing a pace of only (Essence x 6) miles per hour, but is virtually unlimited in its flight capability, able to rise upward with no limit other than the ability of its caster to endure the rarefied air of the upper atmosphere. In combat, the sorcerer rolls (Wits + Occult) in place of standard movement rolls to mentally direct the cloud, but otherwise faces no complications or penalties.If the sorcerer wishes to sleep, study, or otherwise rest on the Cirrus Skiff without having to give it constant instructions, she may give it a set command, such as “Fly a mile up into the air and stay there” or “Circle around the satrap's palace,” which it will obey until she gives it new orders. The sorcerer may disembark from the skiff for up to one scene without ending this spell, but any absence beyond that ends the spell, sending the cloud flying back up into the stratosphere.A character who knows Cirrus Skiff as her control spell may cast it with an Indefinite duration. Her conjured cloud will follow after her after she disembarks, eagerly awaiting her return without ever leaving. It will follow simple instructions from the sorcerer, even when she's not riding it, and can be summoned by the sorcerer's call from anywhere in Creation, proceeding to her side at the best speed it can manage.</t>
  </si>
  <si>
    <t>Corrupted Words</t>
  </si>
  <si>
    <t>The sorcerer speaks words that bind the tongue–she evokes a seething, bilious mass of green Essence between her hands and casts it down the throat of a victim at short range, where it dissolves into a ward that censors that character's mind. As she does, she forbids the victim from speaking of a single subject, which may be as specific as “The letters I secretly send to the All-Seeing Eyeat the end of every month” or as broad as “The existence of Sidereal Exalted.” It is impossible to defend against this curse barring magic that can perfectly dodge orparry uncountable damage such as Heavenly Guardian Defense, but the sorcerer must roll (Intelligence + Occult) against the victim's Resolve to successfully bind hiswill.A cursed character feels waves of nausea if he even thinks of trying to communicate anything about the topic. If he tries to do so despite this warning, he becomes overwhelmed with wracking pain and begins vomiting up dozens of fat, white maggots, rendering that action or any other impossible for at least a turn. This applies to all forms of communication–speaking, writing, telepathy, or any desperate signals the victim tries to use to circumvent the restriction of this curse–and persists until the cursed character ceases trying to violate the ban. This spell may be ended by the sorcerer's death or may be willingly released, as the sorcerer reaches a hand down the victim's mouth and recites the last word of this spell backwards to extract a slimy egg-sac full of squirming larvae that is the physical embodiment of this curse.</t>
  </si>
  <si>
    <t>Death of Obsidian Butterflies</t>
  </si>
  <si>
    <t>Sculpting Essence into volant black glass, the sorcerer unleashes a cascade of obsidian butterflies. She rolls (Perception + Occult) as an undodgeable decisive attack applied in a line against enemies out to medium range. This line is wide enough to strike all opponents within the width of a single range band and reaches high enough to strike aerial enemies who are at short range to the ground (medium range enemies in the air can still be targeted by directing the butterflies to fly along an upward path, rather than a horizontal one). Battle groups are especially vulnerable to being cut down by this spell, taking a -2 penalty to Defense against it.The attack deals raw damage equal to the sorcerer's (Essence + extra successes), or (Essence + Occult + extra successes) against a battle group. It does not reset the sorcerer to base Initiative. Scenery made of wood, glass, or other fragile materials is generally destroyed. After this spell has been cast, the obsidian butterflies fall to the ground and shatter, creating terrain that may be hazardous for barefooted characters to traverse–treat as an environmental hazard inflicting two dice of lethal damage, difficulty 2 to resist with a (Dexterity + Athletics) roll, and if the character is barefoot, difficult terrain as well. Any character wearing armored boots can generally ignore the debris.A sorcerer who knows Death of Obsidian Butterflies as her control spell gains (Essence) bonus dice to the spell's attack roll. When her emotions run hot, butterfly silhouettes rise from her shadow. When she is angry, her fingernails turn to sharp volcanic glass, making it possible to cut cloth or paper, rend wood or flesh and other similar stunts.</t>
  </si>
  <si>
    <t>Demon of the First Circle</t>
  </si>
  <si>
    <t>Ritual, 2wp</t>
  </si>
  <si>
    <t>The sorcerer conjures one of the least monsters of the Demon Realm into Creation, breaking and binding it to her will. This spell requires a ritual that begins at sundown, and ends at the stroke of midnight. A faint green glow traces out a rift between Creation and Hell, and a First Circle Demon of the sorcerer's choice is drawn forth, howling with rage, fear, or sorrow. Demons summoned by this spell must be bound with an (Intelligence + Occult) roll against their Resolve. The sorcerer may choose to make the demon her personal slave for a year and a day, giving it a Defining Tie ofloyalty to her that cannot be weakened or altered by any means and setting its Resolve to 0 against any influence rolls she makes. Alternatively, she may assign it to complete a specific task–“Construct a tower using these plans,” “Murder Magistrate Yang,” “Dig a tunnel through this wall”–for as long as it takes to complete. Task-bound demons form a Defining Principle of “I must complete my task,” which is similarly impervious to tampering. On a failed binding roll, the sorcerer is unable to bind the demon, and must make a (Wits + Occult) roll against a difficulty of the demon's Willpower to banish it back to Hell. If she fails, then the demon is unleashed, unbound, into Creation–and is most likely very angry at her.</t>
  </si>
  <si>
    <t>Flight of the Brilliant Raptor</t>
  </si>
  <si>
    <t>The sorcerer shapes flames of diamond and ruby into the form of a majestic bird of prey, evoking the elemental majesty of the garda birds. The player rolls (Perception + Occult) as a decisive attack against an enemy at up to long range, then sends the raptor streaking forth to consume her foe in deadly flames. The brilliant raptor embodies the sorcerer's will, with a base lethal damage equal to (her Initiative + current temporary Willpower), and resets her to base Initiative on a successful attack. As long as the raptor deals 3+ levels of damage to its target, it ignites a bonfire (p. 230) that engulfs him and all terrain within short range of him, and burns until the end of the scene. A sorcerer who knows Flight of the Brilliant Raptor as her control spell may use it to attack a target one range band beyond long range by paying an extra 5sm when casting the spell.</t>
  </si>
  <si>
    <t>Infallible Messenger</t>
  </si>
  <si>
    <t>5sm, 2wp</t>
  </si>
  <si>
    <t>Until message is delivered</t>
  </si>
  <si>
    <t>The sorcerer shapes a small, six-winged messenger spirit to convey her words to another character. The spirit flies with immense speed, capable of crossing hundreds of miles in an hour or all Creation in less than a day–only the boundaries between realms of existence will stop it from delivering its missive. Upon arrival, the cherub is visible only to its intended target, to whom it can deliver a message of up to five minutes in length before dissipating. Sorcerers can convey social influence through the Infallible Messenger, but cannot normally use their Charms to enhance the roll.A sorcerer who knows Infallible Messenger as her control spell may pay an additional point of Willpower to project her senses through the cherub's own, allowing her to use Awareness and Investigation Charms while delivering the missive. Having this spell as her control will also cause a number of tells to begin manifesting in the sorcerer's vicinity, even when the spell has not been cast. It may appear in murals or paintings that she owns, carven amongst the gargoyles of her residence, or briefly fluttering in the periphery of a mirror's reflection.</t>
  </si>
  <si>
    <t>Invulnerable Skin of Bronze</t>
  </si>
  <si>
    <t>20sm, 1wp</t>
  </si>
  <si>
    <t>Mists of Eventide</t>
  </si>
  <si>
    <t>7sm, 2wp</t>
  </si>
  <si>
    <t>Three rounds</t>
  </si>
  <si>
    <t>The sorcerer lulls the Essence of air into sleep, transforming it into an opalescent fog of slumber. Mists of Eventide creates a cloud centered on a point out to medium range from the sorcerer, spreading to engulf all characters within short range of the center. Each round that a character breathes or has skin exposed to the mist, he must roll against its poison (Damage 3i/round, Duration 6 rounds, -3 penalty). Characters who are crashed while suffering from the Mists of Eventide's effects do not take damage from it–instead, they fall into magical slumber, rendered comatose for a single day.Special activation rules: Mists of Eventide can only be cast once per scene, unless reset when a Mists-poisoned opponent falls into Initiative Crash.A sorcerer who knows Mists of Eventide as his control spell can control the dreams of anyone who sleeps within his mists, causing them not only to dream what he commands, but to physically act out those dreams while sleepwalking. They can even be forced to battle their allies. Controlling someone in this fashion costs one point of Willpower per individual. Sorcerers with Mists of Eventide as their control spell sleep fitfully with their eyes wide open unless surrounded by the mists.</t>
  </si>
  <si>
    <t>Silent Words of Dreams and Nightmares</t>
  </si>
  <si>
    <t>Ritual, 1wp</t>
  </si>
  <si>
    <t>One dream</t>
  </si>
  <si>
    <t>Staring into a polished mirror, still pond, or other reflective surface, the sorcerer brandishes a scrap of clothing, lock of hair, or similar symbolic link to another character, using it to gain power over that person's dreams. The next time the target sleeps, he experience an especially vivid and memorable dream created by the sorcerer. She rolls (Intelligence + Presence) to instill, persuade, or inspire the dreaming character, as best fits the imagery and emotional tenor of the dream she creates. He cannot apply any Intimacies to enhance Resolve against this influence, nor can he pay Willpower to resist unless the influence threatens one of his Intimacies. The symbolic link to the dreamer is burnt to a fine white ash upon his waking, requiring the sorcerer to procure another before she can cast this spell on him again.A sorcerer who knows Silent Words of Dreams and Nightmares as her control spell may cast it without needing a link to her target, so long as she has interacted with him in person previously. Once she has done so, she must meet with him once more before she can cast this spell without a link again.Distortion (Special): Distorting the Silent Words of Dreams and Nightmares requires the opposing sorcerer to find either the character who cast it or the spell's victim before he sleeps. Instead of having a set goal number, every two successes the distorting sorcerer accumulates before the terminus of the action elapses adds +1 to the victim's Resolve against the dream's influence, up to a maximum bonus of +4.</t>
  </si>
  <si>
    <t>Stormwind Rider</t>
  </si>
  <si>
    <t>Summon Elemental</t>
  </si>
  <si>
    <t>Wood Dragon's Claws</t>
  </si>
  <si>
    <t>5sm, 1wp</t>
  </si>
  <si>
    <t>Until dismissed</t>
  </si>
  <si>
    <t>Cantata of Empty Voices</t>
  </si>
  <si>
    <t>15sm, 2wp</t>
  </si>
  <si>
    <t>Instant or until ended</t>
  </si>
  <si>
    <t>A choir of silver-white wraiths surrounds the sorcerer, inciting utter agony with their keening song. This is an environmental hazard against all enemies within short range, with a resistance difficulty equal to the sorcerer's Intelligence (use [Stamina + Resistance]) and Damage 2L. Characters who fail the roll lose a point of Willpower,while battle groups instead immediately check for rout.Once the sorcerer has begun the Cantata of Empty Voices, she may sustain it with an unrolled shape sorcery action taken on each subsequent turn at no additional cost. As she continues the song, its range expands–to medium range on the first subsequent turn, then to long range. Every three turns after that, it expands to cover another range band, until it ultimately spreads to a maximum radius SUMMONING AND BATTLE GROUPS</t>
  </si>
  <si>
    <t>Demon of the Second Circle</t>
  </si>
  <si>
    <t>Ritual, 3wp</t>
  </si>
  <si>
    <t>Celestial sorcerers may call upon demons of the Second Circle, baleful spirits that serve the Yozis. The ritual to summon a Second Circle Demon is much like that described in Demon of the First Circle, save that it can only be performed on the night of the new moon (and then only once per lunar cycle), or once during one of the five black nights of Calibration. Instead of pulling the demon through a glowing green glyph, tongues of green fire trace out a mandala that is the demon's name written in the alphabet of Hell, and it emerges from this circle at the sorcerer's call.The roll to bind Second Circle Demons is the same as with First Circle Demons, but failure is more dangerous. If the sorcerer fails her (Intelligence + Occult) roll against the demon's Resolve by three successes or more, then she is unable to banish the demon, and must contend with its wrath or wiles.</t>
  </si>
  <si>
    <t>Impenetrable Veil of Night</t>
  </si>
  <si>
    <t>30sm, 1wp</t>
  </si>
  <si>
    <t>A twisting nexus of living shadows takes form between the sorcerer's hands. As she completes the spell, she casts the umbral tangle upward, where it expands into a column of ebon darkness centered on the sorcerer that extends out one mile in horizontal diameter and immeasurably high vertically. Within the Impenetrable Veil of Night, torches, lanterns, and even anima banners cast light out only to half their usual range, while speech and noises echo in strange, unnatural ways. Even characters with supernatural senses capable of seeing in mundane darkness still suffer a -2 penalty on all Awareness or Perception-based rolls made within the veil. A battle group that is caught within the darkness immediately makes a rout check at +1 difficulty.A sorcerer who knows Impenetrable Veil of Night as her control spell speaks with a distorted voice, as if she were always standing within the nihil of the spell. Light subtly flees her body. She gains three bonus dice on Stealthrolls made to stay hidden while moving in combat atnight or in shadowy environs, but loses the same amount of dice in broad daylight while in open spaces. She also gains a +2 bonus to movement actions made at night,but a -2 penalty to movement actions made in open daylight.</t>
  </si>
  <si>
    <t>Incomparable Body Arsenal</t>
  </si>
  <si>
    <t>30sm, 2wp</t>
  </si>
  <si>
    <t>(Essence) hours</t>
  </si>
  <si>
    <t>The sorcerer reshapes her body into a clanking metallic form of rust-streaked black iron, mimicking her human appearance but roughly cast, studded with rivets where segments of her metal skin meet. While in this form, the sorcerer may reflexively produce any manner of mundane weapons from her body–rusty iron spikes burst from her skin, knives extend from fingertips, an arm lengthens into a broadsword or warhammer, and jagged metal blades fire NO SHORTCUTS IN HELLDemons of the Second Circle and other entities that can be summoned by powerful sorcery are sometimes initiated into sorcery themselves. A player might think that he could just have a demon perform a sorcerous working for him, allowing him to reap the benefit without having to pay the experience point cost of the working. Sadly for him, this isn't the case. The experience spent to finalize a sorcerous working represents the sorcerer's time and effort to bring the working into being, and summoning a demon to aid in undertaking the working is just another aspect of that effort. While having a bound demon will certainly help complete the working successfully–enhancing the sorcerer's Means, generally–it won't let the sorcerer avoid having to pay the experience point cost.</t>
  </si>
  <si>
    <t>Ivory Orchid Pavilion</t>
  </si>
  <si>
    <t>As the sorcerer spends a few minutes tracing the borders of this spell with her footsteps, a spire of ivory rises from the ground like the calyx of an immense flower carved from marble. Once she completes the circuit, the central pillar unfurls its petals to reveal a splendid mansion. Ornate furniture, silk curtains, and fine beddings adorn the chambers of the palace, and the pleasant scent of fresh orchids is everywhere. Feasting tables within the mansion's dining room are replete with fresh fruits and nuts and bowls of wine, never seeming to run empty, though vanishing if taken outside. Any character who enters the Ivory Orchid Pavilion and partakes of its amenities or sleeps within it is treated as having a Major Tie of blissful contentment towards dwelling within it until the end of his stay–most spirits and cultured sorcerers consider this a luxury rather than an imposition, relishing the chance to forget their troubles. Once this spell ends, the mansion folds back into the ground, safely depositing all guests outside. For five years after the casting of the spell, white orchids will grow from the ground where it was cast.A sorcerer who knows Ivory Orchid Pavilion as her control spell may cast it with a duration of Indefinite. The mansion will remain standing for as long as she stays within it.Distortion (Goal Number: 10): Distorting an Ivory Orchid Pavilion subtly inverts the blissful atmosphere of the sanctum, transforming the Intimacy imposed by this spell into a Major Tie of suspicion and distrust of all other characters within the pavilion. This inversion lasts until it leads to a scene in which built-up suspicion comes to a head in a dramatic fashion.</t>
  </si>
  <si>
    <t>Magma Kraken</t>
  </si>
  <si>
    <t>Calling to the Essence of fire and earth that roils deep beneath her, the sorcerer wills ten tentacles of lava to erupt from the ground, shaking the earth as they burst forward in torrents of molten stone. She designates where each appears, out to as far as long range from her. Together, these form the Magma Kraken. It is rolled into battle with the sorcerer's (Wits + Occult), and has a base Initiative equal to her Essence. As it erupts from the ground, any character who is at the point where a tentacle emerges must make a difficulty 2 (Dexterity + Athletics) roll to avoid it, or else be flung one range band away and knocked prone by the eruption.The Magma Kraken may act on its turn to make a withering or decisive attack, grapple an enemy, or wreak general havoc on the scenery. It uses the sorcerer's (Intelligence + Occult + Essence) for all attack and feat of strength rolls, and each tentacle can strike out to short range from its location. If it becomes necessary for the kraken to make a roll for another action, such as opposing an enemy's stealth attempt, its dice pool is equal to the sorcerer's ([Relevant Attribute] + Occult + Essence). Magma Kraken tentacles have Parry and Evasion values of 5, and 10 points of soak.</t>
  </si>
  <si>
    <t>Shadows of the Ancient Past</t>
  </si>
  <si>
    <t>10sm, 2wp</t>
  </si>
  <si>
    <t>The sorcerer calls up the lingering echoes of the past to reenact themselves before her. The sorcerer may choose a specific time in the past she wishes to view, such as “One hundred years ago, on the first day of Ascending Air,” or a subjective time that relates to something in the scene, such as “When this corpse died.” The spell creates translucent, insubstantial illusions that fill the room or area and display the events of the specified point intime. The sorcerer may mentally pause the action for detailed examination with Awareness or Investigation actions, or accelerate the flow of time within the illusion so that up to an entire day passes by in the space ofthe scene. Attempting to view events from more than five centuries ago call only vague, indistinguishable images that rarely convey useful details. The events of therecent present–within the past year or so–have yet to form substantial echoes, providing only the barest of imagery conjured.A sorcerer who knows Shadows of the Ancient Past as her control spell may mentally record all illusions conjured by any casting of this spell. She may cause them to reappear at a later point at any time by taking a shape sorcery action at no cost. Distortion (Goal Number: 5): Distorting this spell allows the opposing sorcerer to falsify the illusions for the duration of the spell, warping and obfuscating the truth. While she cannot totally eliminate the information the casting sorcerer is attempting to discern, she may introduce all manner of contradictory evidence, red herrings,or misleading images in an attempt to throw him off</t>
  </si>
  <si>
    <t>Travel Without Distance</t>
  </si>
  <si>
    <t>25sm, 2wp</t>
  </si>
  <si>
    <t>The sorcerer shapes a blazing corona of Essence around herself through mudras that describe the warp and weft of space. As she completes the spell, she is engulfed in whirling clouds of Essence and energy, and then is gone. She may reappear in any location within (Essence x 10) miles, as long as she has seen it before, either firsthand or through scrying magics. She appears in a safe location at the chosen duration in a swirling vortex of light sure to impress the locals. Travel Without Distance is mildly disorienting–the sorcerer suffers a -2 fatigue penalty on all actions for (6 - Stamina) hours afterwards, and cannot cast it again until this penalty has run its course. This spell is highly valued by both the Sidereal and Lunar Exalted, who maintain hidden meeting-places that can only be reached with this spell.A sorcerer who knows Travel Without Distance as her control spell may bring up to (Essence + 1) willing characters within short range along with her when she casts this spell. All transported characters suffer the fatigue penalty from disorientation.Solar Circle Spells</t>
  </si>
  <si>
    <t>Benediction of Archgenesis</t>
  </si>
  <si>
    <t>Chanting from one sunrise to the next, the sorcerercalls down a soft, warm rain that carries life-giving Essence. Over the course of this spell's ritual, the rain falls on up to (Essence x 100) squares miles of land which the Solar wishes to revitalize with the Benediction of Archgenesis. If the land is infertile, such as an arid desert, marshy bog or rocky mountain face, then the Benediction transforms it into arable terrain, encouraging plant growth and making it possible to sustain a productive agricultural community off the land. Weather is temperate, with only enough rain to keep crops well-watered and unseasonably pleasant temperatures year-round. Animal populations from other regions migrate to the newly-fertile ground, while indigenous species have been known to grow to prodigious sizes off the bounty conjured by the benediction. Even the spirit world is affected–elementals become far more likely to arise from the blessed land, while displaced gods may seek to find a position of stewardship over the terrain, flora, or fauna of the region.If the land is already fertile, Benediction of Archgenesis causes life to grow at an almost impossible rate. Fields of wheat grow to tower over those that tend them, while man-sized pumpkins and gourds become a common sight. Animals flock to the lush vitality of the region to the point of overpopulation. While this swell is enough to multiply the bounty of a single year's harvest by nearly a hundredfold, the surge of growth can easily deplete the soil of nutrients and create ecosystem imbalances that will persist for years. Unless the sorcerer is vigilant in counterbalancing the effects of this lush growth, she may leave famine in her wake for years thereafter.</t>
  </si>
  <si>
    <t>Death Ray</t>
  </si>
  <si>
    <t>Aggravated, Decisive-only, Perilous</t>
  </si>
  <si>
    <t>The Solar Exalted devised this spell to terrify the enemies of the gods. Holding her arms out before her and her hands closely together, the sorcerer makes a series of motions with her fingers that turns her conjoined hands into a channel for a flow of destructive energy. The sorcerer unleashes a violent stream of red Essencethat pours from her hands, slicing through scenery and incinerating those who stand in its path. Whereverthe Death Ray passes, it leaves a trail of molten slag behind it. Only the strongest magical substances are immune to the melting and carving power of this attack. The sorcerer rolls Intelligence + Occult as a decisive attack roll, adding Essence successes. The attack strikes all enemies in a line out to short range from her, adding extra successes and the Solar's current temporary Willpower to theraw damage roll. Mundane weapons cannot parry the attack and are immediately destroyed upon such an attempt. Any enemy that takes 3+ levels of damage from the Death Ray is blown back one range band and falls prone. Making this attack does not immediately reset the Solar to base Initiative. Death Ray is a tremendous torrent of power. While it is being released, the Solar may not move herself to a different range band without ending the spell, though she may be conveyed to another range band by other means (atop the deck of a ship, for example).On the Solar's next turn, she may continue casting this spell by rolling another shape sorcery action–maintaining the spell for another round costs 5 sorcerous motes. Each additional round of casting extends the range of the spell by one band, out to a maximum of six. The Solar may continue focusing the attack along its original path, or change its direction to a different angle, even an aerial one. She keeps the successes of her original attack roll, but rolls damage separately for each new round. If the sorcerer lacks the sorcerous motes needed to continue casting this spell or chooses not to continue it, then she immediately resets to base Initiative (if not already lower). Her turn is then delayed appropriately.</t>
  </si>
  <si>
    <t>Demon of the Third Circle</t>
  </si>
  <si>
    <t>Ritual, 4wp</t>
  </si>
  <si>
    <t>The Demons of the Third Circle are the very souls of the Yozis themselves. They are beings of world-shaping power and apocalyptic fury. The ritual to summon one of these dread fiends into Creation can only be performed on a night of Calibration, the five days of darkness that takes place between years, and only once each Calibration. Each Third Circle Demon has its own unique manifestation upon being summoned. Ligier, the Green Sun, appears in a pillar of emerald flames that descends from the starless sky to strike the earth. Ienimea, the River of Faces, condenses as a cloud of mist from the breath of all present before erupting forth from its ephemeral depths. Erembour, That Which Calls to Shadows, rises out of the sorcerer's own shadow, laying an inhumanly alluring hand on her shoulder. Failure to bind a Third Circle Demon is catastrophic. Reversing a failed summoning is impossible, leaving the demon unbound to fulfill its malevolent urges or alien agenda.</t>
  </si>
  <si>
    <t>Rain of Doom</t>
  </si>
  <si>
    <t>40sm, 3wp</t>
  </si>
  <si>
    <t>Aggravated</t>
  </si>
  <si>
    <t>Until sunrise</t>
  </si>
  <si>
    <t>MML</t>
  </si>
  <si>
    <t>MMM</t>
  </si>
  <si>
    <t>Code</t>
  </si>
  <si>
    <t>MMH</t>
  </si>
  <si>
    <t>Mortal Melee Light</t>
  </si>
  <si>
    <t>Mortal Melee Medium</t>
  </si>
  <si>
    <t>Mortal Melee Heavy</t>
  </si>
  <si>
    <t>Artifact Melee Light</t>
  </si>
  <si>
    <t>Artifact Melee Medium</t>
  </si>
  <si>
    <t>Artifact Melee Heavy</t>
  </si>
  <si>
    <t>MTL</t>
  </si>
  <si>
    <t>MTM</t>
  </si>
  <si>
    <t>MTH</t>
  </si>
  <si>
    <t>MAL</t>
  </si>
  <si>
    <t>MAM</t>
  </si>
  <si>
    <t>MAH</t>
  </si>
  <si>
    <t>AML</t>
  </si>
  <si>
    <t>AMM</t>
  </si>
  <si>
    <t>AMH</t>
  </si>
  <si>
    <t>ATL</t>
  </si>
  <si>
    <t>ATM</t>
  </si>
  <si>
    <t>ATH</t>
  </si>
  <si>
    <t>AAL</t>
  </si>
  <si>
    <t>AAM</t>
  </si>
  <si>
    <t>AAH</t>
  </si>
  <si>
    <t>/</t>
  </si>
  <si>
    <t>Dots</t>
  </si>
  <si>
    <t>Détail</t>
  </si>
  <si>
    <t>M21</t>
  </si>
  <si>
    <t>M22</t>
  </si>
  <si>
    <t>OBT</t>
  </si>
  <si>
    <t>STA</t>
  </si>
  <si>
    <r>
      <rPr>
        <u/>
        <sz val="11"/>
        <color rgb="FF000000"/>
        <rFont val="Liberation Sans"/>
        <family val="2"/>
      </rPr>
      <t xml:space="preserve">Health Levels </t>
    </r>
    <r>
      <rPr>
        <sz val="11"/>
        <color rgb="FF000000"/>
        <rFont val="Liberation Sans"/>
        <family val="2"/>
      </rPr>
      <t>: Auto-completion Stamina and number of "Ox-Body Technique" charms purchased</t>
    </r>
  </si>
  <si>
    <t>Weapons</t>
  </si>
  <si>
    <t>Weapon 1</t>
  </si>
  <si>
    <t>Weapon 2</t>
  </si>
  <si>
    <t>Weapon 3</t>
  </si>
  <si>
    <t>Weapon 4</t>
  </si>
  <si>
    <t>Weapon 5</t>
  </si>
  <si>
    <t>Weapon 6</t>
  </si>
  <si>
    <t>Weapon 7</t>
  </si>
  <si>
    <t>Weapon 8</t>
  </si>
  <si>
    <t>Spé</t>
  </si>
  <si>
    <t>VIRTUE FLAW</t>
  </si>
  <si>
    <t>Intimacies</t>
  </si>
  <si>
    <t>Intensity</t>
  </si>
  <si>
    <t>Intimacy 1</t>
  </si>
  <si>
    <t>Intimacy 2</t>
  </si>
  <si>
    <t>Intimacy 3</t>
  </si>
  <si>
    <t>Intimacy 4</t>
  </si>
  <si>
    <t>Intimacy 5</t>
  </si>
  <si>
    <t>Intimacy 6</t>
  </si>
  <si>
    <t>Intimacy 7</t>
  </si>
  <si>
    <t>Intimacy 8</t>
  </si>
  <si>
    <t>Intimacy 9</t>
  </si>
  <si>
    <t>Intimacy 10</t>
  </si>
  <si>
    <t>Intimacy 11</t>
  </si>
  <si>
    <t>Intimacy 12</t>
  </si>
  <si>
    <t>Intimacy 13</t>
  </si>
  <si>
    <t>Intimacy 14</t>
  </si>
  <si>
    <t>Intimacy 15</t>
  </si>
  <si>
    <t>Intimacy 16</t>
  </si>
  <si>
    <t>Intimacy 17</t>
  </si>
  <si>
    <t>Intimacy 18</t>
  </si>
  <si>
    <t>Intimacy 19</t>
  </si>
  <si>
    <t>Intimacy 20</t>
  </si>
  <si>
    <t>Intimacy 21</t>
  </si>
  <si>
    <t>Intimacy 22</t>
  </si>
  <si>
    <t>Intimacy 23</t>
  </si>
  <si>
    <t>Intimacy 24</t>
  </si>
  <si>
    <t>Intimacy 25</t>
  </si>
  <si>
    <t>Intimacy 26</t>
  </si>
  <si>
    <t>Intimacy 27</t>
  </si>
  <si>
    <t>Intimacy 28</t>
  </si>
  <si>
    <t>Intimacy 29</t>
  </si>
  <si>
    <t>Intimacy 30</t>
  </si>
  <si>
    <t>Intimacy 31</t>
  </si>
  <si>
    <t>Intimacy 32</t>
  </si>
  <si>
    <t>Intimacy 33</t>
  </si>
  <si>
    <t>Intimacy 34</t>
  </si>
  <si>
    <t>Intimacy 35</t>
  </si>
  <si>
    <t>Intimacy 36</t>
  </si>
  <si>
    <t>Intimacy 37</t>
  </si>
  <si>
    <t>Intimacy 38</t>
  </si>
  <si>
    <t>Intimacy 39</t>
  </si>
  <si>
    <t>Intimacy 40</t>
  </si>
  <si>
    <t>Intimacy 41</t>
  </si>
  <si>
    <t>Intimacy 42</t>
  </si>
  <si>
    <t>Intimacy 43</t>
  </si>
  <si>
    <t>Intimacy 44</t>
  </si>
  <si>
    <t>Intimacy 45</t>
  </si>
  <si>
    <t>Intimacy 46</t>
  </si>
  <si>
    <t>Intimacy 47</t>
  </si>
  <si>
    <t>Intimacy 48</t>
  </si>
  <si>
    <t>Intimacy 49</t>
  </si>
  <si>
    <t>Intimacy 50</t>
  </si>
  <si>
    <t>Tie</t>
  </si>
  <si>
    <t>Principle</t>
  </si>
  <si>
    <t>Minor</t>
  </si>
  <si>
    <t>Major</t>
  </si>
  <si>
    <t>Defining</t>
  </si>
  <si>
    <t>Intimacy (commentary)</t>
  </si>
  <si>
    <t>DEF</t>
  </si>
  <si>
    <t>At</t>
  </si>
  <si>
    <t>Used Ability</t>
  </si>
  <si>
    <t>=&gt; additional ability to enter in "Creation_1" if any.</t>
  </si>
  <si>
    <t>Cl</t>
  </si>
  <si>
    <t>Sh</t>
  </si>
  <si>
    <t>Md</t>
  </si>
  <si>
    <t>Lg</t>
  </si>
  <si>
    <t>Ex</t>
  </si>
  <si>
    <t>Dc</t>
  </si>
  <si>
    <t>Dg/Ovw</t>
  </si>
  <si>
    <t>Subtype</t>
  </si>
  <si>
    <t>Quantity</t>
  </si>
  <si>
    <t>BACKGROUND</t>
  </si>
  <si>
    <t>Inventory</t>
  </si>
  <si>
    <t>Item 1</t>
  </si>
  <si>
    <t>Item 2</t>
  </si>
  <si>
    <t>Item 3</t>
  </si>
  <si>
    <t>Item 4</t>
  </si>
  <si>
    <t>Item 5</t>
  </si>
  <si>
    <t>Item 6</t>
  </si>
  <si>
    <t>Item 7</t>
  </si>
  <si>
    <t>Item 8</t>
  </si>
  <si>
    <t>Item 9</t>
  </si>
  <si>
    <t>Item 10</t>
  </si>
  <si>
    <t>Item 11</t>
  </si>
  <si>
    <t>Item 12</t>
  </si>
  <si>
    <t>Item 13</t>
  </si>
  <si>
    <t>Item 14</t>
  </si>
  <si>
    <t>Item 15</t>
  </si>
  <si>
    <t>Item 16</t>
  </si>
  <si>
    <t>Item 17</t>
  </si>
  <si>
    <t>Item 18</t>
  </si>
  <si>
    <t>Item 19</t>
  </si>
  <si>
    <t>Item 20</t>
  </si>
  <si>
    <t>Item 21</t>
  </si>
  <si>
    <t>Item 22</t>
  </si>
  <si>
    <t>Item 23</t>
  </si>
  <si>
    <t>Item 24</t>
  </si>
  <si>
    <t>Item 25</t>
  </si>
  <si>
    <t>Item 26</t>
  </si>
  <si>
    <t>Item 27</t>
  </si>
  <si>
    <t>Item 28</t>
  </si>
  <si>
    <t>Background</t>
  </si>
  <si>
    <r>
      <rPr>
        <u/>
        <sz val="11"/>
        <color rgb="FF000000"/>
        <rFont val="Liberation Sans"/>
        <family val="2"/>
      </rPr>
      <t xml:space="preserve">Charms </t>
    </r>
    <r>
      <rPr>
        <sz val="11"/>
        <color rgb="FF000000"/>
        <rFont val="Liberation Sans"/>
        <family val="2"/>
      </rPr>
      <t>: Except for Supernal Ability, only "Essence 1" Charms can be purchased at this step.</t>
    </r>
  </si>
  <si>
    <t>Evocation</t>
  </si>
  <si>
    <t>HEALTH &amp; DEFENSE &amp; POOLS</t>
  </si>
  <si>
    <t>Read Intention</t>
  </si>
  <si>
    <t>Combat</t>
  </si>
  <si>
    <t>Spe</t>
  </si>
  <si>
    <t>Guile (Def)</t>
  </si>
  <si>
    <t>Resolve (Def)</t>
  </si>
  <si>
    <t>+1+1/Inti lvl</t>
  </si>
  <si>
    <t>-1/initi lvl</t>
  </si>
  <si>
    <t>Armor Name</t>
  </si>
  <si>
    <t>ML</t>
  </si>
  <si>
    <t>MM</t>
  </si>
  <si>
    <t>MH</t>
  </si>
  <si>
    <t>AL</t>
  </si>
  <si>
    <t>AM</t>
  </si>
  <si>
    <t>AH</t>
  </si>
  <si>
    <t>Natural</t>
  </si>
  <si>
    <t>Armor 1</t>
  </si>
  <si>
    <t>Armor 2</t>
  </si>
  <si>
    <t>Unarmed</t>
  </si>
  <si>
    <t>CHARMS (1)</t>
  </si>
  <si>
    <t>Snake</t>
  </si>
  <si>
    <t>Tiger</t>
  </si>
  <si>
    <t>Crane</t>
  </si>
  <si>
    <t>Health</t>
  </si>
  <si>
    <t>Levels</t>
  </si>
  <si>
    <t>Armor 3</t>
  </si>
  <si>
    <t>Step 2 (bonus points cost)</t>
  </si>
  <si>
    <t>Step 3 (xp cost)</t>
  </si>
  <si>
    <t>Step 1 &amp; Cost</t>
  </si>
  <si>
    <t>Attribute</t>
  </si>
  <si>
    <t>Ability (Spe/Cast)</t>
  </si>
  <si>
    <t>Speciality</t>
  </si>
  <si>
    <t>Merit</t>
  </si>
  <si>
    <t>Xp cost</t>
  </si>
  <si>
    <t>Charm/Evocation/Spell</t>
  </si>
  <si>
    <t>Charm/Spell (Spe/Cast)</t>
  </si>
  <si>
    <t>New lvl</t>
  </si>
  <si>
    <t>Coût</t>
  </si>
  <si>
    <t>cf Merits</t>
  </si>
  <si>
    <t>Solar</t>
  </si>
  <si>
    <t>Attun</t>
  </si>
  <si>
    <t>prev lvl</t>
  </si>
  <si>
    <t>Detail</t>
  </si>
  <si>
    <t>Tot BP</t>
  </si>
  <si>
    <t>Tot Xp</t>
  </si>
  <si>
    <r>
      <rPr>
        <u/>
        <sz val="11"/>
        <color rgb="FF000000"/>
        <rFont val="Liberation Sans"/>
        <family val="2"/>
      </rPr>
      <t>Name</t>
    </r>
    <r>
      <rPr>
        <sz val="11"/>
        <color rgb="FF000000"/>
        <rFont val="Liberation Sans"/>
        <family val="2"/>
      </rPr>
      <t xml:space="preserve"> :</t>
    </r>
  </si>
  <si>
    <r>
      <rPr>
        <u/>
        <sz val="11"/>
        <color rgb="FF000000"/>
        <rFont val="Liberation Sans"/>
        <family val="2"/>
      </rPr>
      <t>Player</t>
    </r>
    <r>
      <rPr>
        <sz val="11"/>
        <color rgb="FF000000"/>
        <rFont val="Liberation Sans"/>
        <family val="2"/>
      </rPr>
      <t xml:space="preserve"> : </t>
    </r>
  </si>
  <si>
    <r>
      <rPr>
        <u/>
        <sz val="11"/>
        <color rgb="FF000000"/>
        <rFont val="Liberation Sans"/>
        <family val="2"/>
      </rPr>
      <t>Caste</t>
    </r>
    <r>
      <rPr>
        <sz val="11"/>
        <color rgb="FF000000"/>
        <rFont val="Liberation Sans"/>
        <family val="2"/>
      </rPr>
      <t xml:space="preserve"> : </t>
    </r>
  </si>
  <si>
    <r>
      <rPr>
        <u/>
        <sz val="11"/>
        <color rgb="FF000000"/>
        <rFont val="Liberation Sans"/>
        <family val="2"/>
      </rPr>
      <t>Concept</t>
    </r>
    <r>
      <rPr>
        <sz val="11"/>
        <color rgb="FF000000"/>
        <rFont val="Liberation Sans"/>
        <family val="2"/>
      </rPr>
      <t xml:space="preserve"> : </t>
    </r>
  </si>
  <si>
    <r>
      <rPr>
        <u/>
        <sz val="11"/>
        <color rgb="FF000000"/>
        <rFont val="Liberation Sans"/>
        <family val="2"/>
      </rPr>
      <t>Anima</t>
    </r>
    <r>
      <rPr>
        <sz val="11"/>
        <color rgb="FF000000"/>
        <rFont val="Liberation Sans"/>
        <family val="2"/>
      </rPr>
      <t xml:space="preserve"> : </t>
    </r>
  </si>
  <si>
    <t>Welcome ! Follow the steps to make your caracter :</t>
  </si>
  <si>
    <t>Pts lefts</t>
  </si>
  <si>
    <t>Step 1</t>
  </si>
  <si>
    <t>Step 3 :</t>
  </si>
  <si>
    <t>Choose 15 charms</t>
  </si>
  <si>
    <t>One Defining</t>
  </si>
  <si>
    <t>One Major</t>
  </si>
  <si>
    <t>One Minor</t>
  </si>
  <si>
    <t>One negative</t>
  </si>
  <si>
    <t>Bashing</t>
  </si>
  <si>
    <t>Bonus Points</t>
  </si>
  <si>
    <t>Welcome to the final page, meant to be printed</t>
  </si>
  <si>
    <t>Xp points</t>
  </si>
  <si>
    <t>Total Spent (autocalc)</t>
  </si>
  <si>
    <t>Val 1</t>
  </si>
  <si>
    <t>Val 2</t>
  </si>
  <si>
    <t>Val 3</t>
  </si>
  <si>
    <t>Step 2 : Bonus Points</t>
  </si>
  <si>
    <t>Step 3 : playing/xp</t>
  </si>
  <si>
    <t>pré-xp (1+BP)</t>
  </si>
  <si>
    <t>pré-xp (Imported)</t>
  </si>
  <si>
    <t>Cost Calculus</t>
  </si>
  <si>
    <t>Total Cost</t>
  </si>
  <si>
    <t>Final/export</t>
  </si>
  <si>
    <t>val</t>
  </si>
  <si>
    <t>sp</t>
  </si>
  <si>
    <t>Grade</t>
  </si>
  <si>
    <t>name</t>
  </si>
  <si>
    <t>Val</t>
  </si>
  <si>
    <t>Abilit</t>
  </si>
  <si>
    <t>New ?</t>
  </si>
  <si>
    <t>ValBP</t>
  </si>
  <si>
    <t>1+BP</t>
  </si>
  <si>
    <t>xp mini</t>
  </si>
  <si>
    <t>Note</t>
  </si>
  <si>
    <t>Limit Trigger</t>
  </si>
  <si>
    <t>Main XP</t>
  </si>
  <si>
    <t>Secondary XP</t>
  </si>
  <si>
    <t>Suggested xp goal, but Storyteller-determined !</t>
  </si>
  <si>
    <t>Brawl : Light</t>
  </si>
  <si>
    <t>Brawl : Medium</t>
  </si>
  <si>
    <t>Brawl : Heavy</t>
  </si>
  <si>
    <t>Armor (line 2)</t>
  </si>
  <si>
    <t>Armor 1 (line 2)</t>
  </si>
  <si>
    <t>Armor 2 (line 2)</t>
  </si>
  <si>
    <t>Armor 3 (line 2)</t>
  </si>
  <si>
    <t>Left</t>
  </si>
  <si>
    <t>Tot</t>
  </si>
  <si>
    <t>(unused)</t>
  </si>
  <si>
    <t>Spé ?</t>
  </si>
  <si>
    <t>prcd</t>
  </si>
  <si>
    <t>Text</t>
  </si>
  <si>
    <t>Cestus</t>
  </si>
  <si>
    <t>Bashing, Brawl, Smashing, Worn</t>
  </si>
  <si>
    <t>Bashing, Melee, Smashing; sometimes Thrown (Short), Improvised</t>
  </si>
  <si>
    <t>Khatar</t>
  </si>
  <si>
    <t>Lethal, Brawl, Piercing</t>
  </si>
  <si>
    <t>Knife</t>
  </si>
  <si>
    <t>Sai</t>
  </si>
  <si>
    <t>Short Sword</t>
  </si>
  <si>
    <t>Lethal, Melee, Balanced</t>
  </si>
  <si>
    <t>Lethal, Melee, Thrown (Short)</t>
  </si>
  <si>
    <t>Lethal, Melee, Disarming</t>
  </si>
  <si>
    <t>Tiger Claws</t>
  </si>
  <si>
    <t>Lethal, Brawl, Worn</t>
  </si>
  <si>
    <t>Bashing, Brawl, Grappling, Natural</t>
  </si>
  <si>
    <t>Whip</t>
  </si>
  <si>
    <t>Bashing, Melee, Disarming, Flexible, Grappling, Reaching</t>
  </si>
  <si>
    <t>Lethal, Martial Arts, Disarming</t>
  </si>
  <si>
    <t>Axe/Hatchet</t>
  </si>
  <si>
    <t>Lethal, Melee, Thrown (Short), Chopping</t>
  </si>
  <si>
    <t>Lethal, Melee, Chopping</t>
  </si>
  <si>
    <t>Fighting Chain</t>
  </si>
  <si>
    <t>Bashing, Martial Arts, Disarming, Flexible, Grappling, Reaching</t>
  </si>
  <si>
    <t>Hook Sword</t>
  </si>
  <si>
    <t>Javelin</t>
  </si>
  <si>
    <t>Lethal, Melee, Thrown (Medium)</t>
  </si>
  <si>
    <t>Bashing, Melee, Smashing; sometimes Improvised</t>
  </si>
  <si>
    <t>Bashing, Martial Arts, Disarming, Flexible</t>
  </si>
  <si>
    <t>Shield</t>
  </si>
  <si>
    <t>Bashing, Melee, Shield</t>
  </si>
  <si>
    <t>Short Spear</t>
  </si>
  <si>
    <t>Lethal, Melee, Thrown (Short), Piercing</t>
  </si>
  <si>
    <t>Lethal, Melee, Piercing, Reaching</t>
  </si>
  <si>
    <t>Spear</t>
  </si>
  <si>
    <t>Straight Sword</t>
  </si>
  <si>
    <t>Staff</t>
  </si>
  <si>
    <t>Bashing, Melee, Reaching</t>
  </si>
  <si>
    <t>Lethal, Melee, Chopping, Reaching, Two-Handed</t>
  </si>
  <si>
    <t>Great Sword</t>
  </si>
  <si>
    <t>Lethal, Melee, Balanced, Reaching, Two-Handed</t>
  </si>
  <si>
    <t>Lethal, Melee, Piercing, Reaching; Two-Handed when on foot</t>
  </si>
  <si>
    <t>Lance</t>
  </si>
  <si>
    <t>Lethal, Melee, Piercing, Reaching, Two-Handed when on foot</t>
  </si>
  <si>
    <t>Bashing, Melee, Reaching, Smashing, Two-Handed</t>
  </si>
  <si>
    <t>Chakram</t>
  </si>
  <si>
    <t>Lethal, Thrown (Medium), Cutting, Mounted</t>
  </si>
  <si>
    <t>Dart</t>
  </si>
  <si>
    <t>Lethal, Thrown (Medium), Concealable, Mounted, Poisonable</t>
  </si>
  <si>
    <t>Needle</t>
  </si>
  <si>
    <t>Subtle, Thrown (Short), Concealable, Poisonable</t>
  </si>
  <si>
    <t>Shuriken</t>
  </si>
  <si>
    <t>Lethal, Thrown (Short), Concealable, Mounted, Poisonable</t>
  </si>
  <si>
    <t>Sling</t>
  </si>
  <si>
    <t>Bashing, Thrown (Medium), Concealable, Special</t>
  </si>
  <si>
    <t>Staff Sling</t>
  </si>
  <si>
    <t>Bashing, Thrown (Medium), Special</t>
  </si>
  <si>
    <t>Lethal, Thrown (Medium), Cutting, Mounted, Special</t>
  </si>
  <si>
    <t>Lethal, Archery (Medium), Crossbow, Mounted, One-Handed, Piercing, Slow, sometimes Concealable</t>
  </si>
  <si>
    <t>Self Bow</t>
  </si>
  <si>
    <t>Lethal, Archery (Long), Mounted</t>
  </si>
  <si>
    <t>Crossbow</t>
  </si>
  <si>
    <t>Lethal, Archery (Long), Crossbow, Piercing, Powerful, Slow</t>
  </si>
  <si>
    <t>Flame Piece</t>
  </si>
  <si>
    <t>Lethal, Archery (Short), Flame, Mounted, One-Handed, Slow</t>
  </si>
  <si>
    <t>Long Bow</t>
  </si>
  <si>
    <t>Lethal, Archery (Long)</t>
  </si>
  <si>
    <t>Firewand</t>
  </si>
  <si>
    <t>Lethal, Archery (Short), Flame, Slow</t>
  </si>
  <si>
    <t>Baton</t>
  </si>
  <si>
    <t>Cudgel</t>
  </si>
  <si>
    <t>Club</t>
  </si>
  <si>
    <t>Hammer</t>
  </si>
  <si>
    <t>Mace</t>
  </si>
  <si>
    <t>0</t>
  </si>
  <si>
    <t>13</t>
  </si>
  <si>
    <t>15</t>
  </si>
  <si>
    <t>13/15</t>
  </si>
  <si>
    <t>11</t>
  </si>
  <si>
    <t>Direlash</t>
  </si>
  <si>
    <t>Lethal, Melee, Disarming, Grappling, Flexible, Reaching</t>
  </si>
  <si>
    <t>Razor Claws</t>
  </si>
  <si>
    <t>Lethal, Brawl, Concealable, Worn</t>
  </si>
  <si>
    <t>Short Daiklave</t>
  </si>
  <si>
    <t>Slayer Khatar</t>
  </si>
  <si>
    <t>Lethal, Brawl, Piercing, sometimes Worn</t>
  </si>
  <si>
    <t>Smashfist</t>
  </si>
  <si>
    <t>Bashing, Brawl, Grappling, Smashing, Worn</t>
  </si>
  <si>
    <t>Daiklave</t>
  </si>
  <si>
    <t>Dire Chain</t>
  </si>
  <si>
    <t>Goremaul</t>
  </si>
  <si>
    <t>Bashing, Melee, Smashing</t>
  </si>
  <si>
    <t>Grimcleaver</t>
  </si>
  <si>
    <t>Longfang</t>
  </si>
  <si>
    <t>Bashing, Martial Arts, Disarming, Flexible, Reaching</t>
  </si>
  <si>
    <t>Wrackstaff</t>
  </si>
  <si>
    <t>Direlance</t>
  </si>
  <si>
    <t>Grimscythe</t>
  </si>
  <si>
    <t>Lethal, Melee, Piercing, Reaching, Two-Handed</t>
  </si>
  <si>
    <t>Lethal, Thrown (Medium), Cutting, Special</t>
  </si>
  <si>
    <t>Lethal, Thrown (Long), Concealable (+3), Special</t>
  </si>
  <si>
    <t>Lethal, Thrown (Long)</t>
  </si>
  <si>
    <t>Skycutter</t>
  </si>
  <si>
    <t>Lethal, Thrown (Long), Cutting, Special</t>
  </si>
  <si>
    <t>Powerbow</t>
  </si>
  <si>
    <t>16/18</t>
  </si>
  <si>
    <t>18</t>
  </si>
  <si>
    <t>War Fan</t>
  </si>
  <si>
    <t>Great Axe</t>
  </si>
  <si>
    <t>Scythe</t>
  </si>
  <si>
    <t>Poleaxe</t>
  </si>
  <si>
    <t>Halberd</t>
  </si>
  <si>
    <t>Sledge</t>
  </si>
  <si>
    <t>Tetsubo</t>
  </si>
  <si>
    <t>W&amp;Fire Wheel</t>
  </si>
  <si>
    <t>Chopping Swd</t>
  </si>
  <si>
    <t>7-Sction Stf</t>
  </si>
  <si>
    <t>Slashing Swd</t>
  </si>
  <si>
    <t>War Boomrg</t>
  </si>
  <si>
    <t>Hand Crsbow</t>
  </si>
  <si>
    <t>Cpst Bow</t>
  </si>
  <si>
    <t>Reaper Daikl</t>
  </si>
  <si>
    <t>Reaver Daikl</t>
  </si>
  <si>
    <t>Srpt-Sting Stf</t>
  </si>
  <si>
    <t>Gd Daiklave</t>
  </si>
  <si>
    <t>Gd Goremaul</t>
  </si>
  <si>
    <t>Gd Grimclver</t>
  </si>
  <si>
    <t>Infinit Chakram</t>
  </si>
  <si>
    <t>Sling Dist Surp</t>
  </si>
  <si>
    <t>Glrs Staff Sling</t>
  </si>
  <si>
    <t>Sht Powerbow</t>
  </si>
  <si>
    <t>Sg Crossbow</t>
  </si>
  <si>
    <t>Drg Sigh Wand</t>
  </si>
  <si>
    <t>-- BY NAME --</t>
  </si>
  <si>
    <t>WHERE AM I ?</t>
  </si>
  <si>
    <t>Fill me</t>
  </si>
  <si>
    <t>Drop Down list</t>
  </si>
  <si>
    <t>Don't touch me</t>
  </si>
  <si>
    <t>&amp; enjoy !</t>
  </si>
  <si>
    <t>Refhi &amp; Yoyoda</t>
  </si>
  <si>
    <t xml:space="preserve"> </t>
  </si>
  <si>
    <t>How it works :</t>
  </si>
  <si>
    <t xml:space="preserve"> Sp</t>
  </si>
  <si>
    <t>PB spent :</t>
  </si>
  <si>
    <t>Version</t>
  </si>
  <si>
    <t>Domain</t>
  </si>
  <si>
    <t>Reminder :</t>
  </si>
  <si>
    <r>
      <t xml:space="preserve">We tried to make it </t>
    </r>
    <r>
      <rPr>
        <b/>
        <sz val="11"/>
        <color rgb="FF000000"/>
        <rFont val="Liberation Sans"/>
        <family val="2"/>
      </rPr>
      <t>simple</t>
    </r>
    <r>
      <rPr>
        <sz val="11"/>
        <color rgb="FF000000"/>
        <rFont val="Liberation Sans"/>
        <family val="2"/>
      </rPr>
      <t xml:space="preserve"> and </t>
    </r>
    <r>
      <rPr>
        <b/>
        <sz val="11"/>
        <color rgb="FF000000"/>
        <rFont val="Liberation Sans"/>
        <family val="2"/>
      </rPr>
      <t>efficient</t>
    </r>
  </si>
  <si>
    <r>
      <t xml:space="preserve">P.S. </t>
    </r>
    <r>
      <rPr>
        <b/>
        <sz val="11"/>
        <color rgb="FF000000"/>
        <rFont val="Liberation Sans"/>
        <family val="2"/>
      </rPr>
      <t>Import &amp; Export is possible</t>
    </r>
    <r>
      <rPr>
        <sz val="11"/>
        <color rgb="FF000000"/>
        <rFont val="Liberation Sans"/>
        <family val="2"/>
      </rPr>
      <t xml:space="preserve"> so you can update your sheet with future versions</t>
    </r>
  </si>
  <si>
    <r>
      <t>Welcome to Step 7 !</t>
    </r>
    <r>
      <rPr>
        <sz val="11"/>
        <color rgb="FF000000"/>
        <rFont val="Liberation Sans"/>
        <family val="2"/>
      </rPr>
      <t xml:space="preserve"> Please spent your Bonus Points here.</t>
    </r>
  </si>
  <si>
    <t>For your confort it Include a calculator of your spent xp :</t>
  </si>
  <si>
    <t>Descr.</t>
  </si>
  <si>
    <t>Charms cells will try to auto-complete themself the best they can.
Thought it will NOT auto-update itself if you change a charm you bought before Creaction_XP (i.e. in _1, _BP or import).</t>
  </si>
  <si>
    <t>--MARTIAL--</t>
  </si>
  <si>
    <t>--OTHERS--</t>
  </si>
  <si>
    <t>DEX</t>
  </si>
  <si>
    <t>STR</t>
  </si>
  <si>
    <t>CHA</t>
  </si>
  <si>
    <t>MAN</t>
  </si>
  <si>
    <t>APP</t>
  </si>
  <si>
    <t>PER</t>
  </si>
  <si>
    <t>INT</t>
  </si>
  <si>
    <t>WIT</t>
  </si>
  <si>
    <t>Attrib</t>
  </si>
  <si>
    <t>Total points to spend</t>
  </si>
  <si>
    <t>Used Attribute</t>
  </si>
  <si>
    <r>
      <t xml:space="preserve">Please feel free to tweak it as you like, but for your first run please </t>
    </r>
    <r>
      <rPr>
        <b/>
        <sz val="11"/>
        <color rgb="FFFF0000"/>
        <rFont val="Liberation Sans"/>
        <family val="2"/>
      </rPr>
      <t>only touch the colored cells</t>
    </r>
    <r>
      <rPr>
        <sz val="11"/>
        <color rgb="FF000000"/>
        <rFont val="Liberation Sans"/>
        <family val="2"/>
      </rPr>
      <t xml:space="preserve"> and the </t>
    </r>
    <r>
      <rPr>
        <b/>
        <sz val="11"/>
        <color rgb="FFFF0000"/>
        <rFont val="Liberation Sans"/>
        <family val="2"/>
      </rPr>
      <t>arrows</t>
    </r>
    <r>
      <rPr>
        <b/>
        <sz val="11"/>
        <color rgb="FF000000"/>
        <rFont val="Liberation Sans"/>
        <family val="2"/>
      </rPr>
      <t>.</t>
    </r>
  </si>
  <si>
    <r>
      <rPr>
        <i/>
        <sz val="11"/>
        <color rgb="FF000000"/>
        <rFont val="Liberation Sans"/>
        <family val="2"/>
      </rPr>
      <t>Welcome to the</t>
    </r>
    <r>
      <rPr>
        <sz val="11"/>
        <color rgb="FF000000"/>
        <rFont val="Liberation Sans"/>
        <family val="2"/>
      </rPr>
      <t xml:space="preserve">
</t>
    </r>
    <r>
      <rPr>
        <b/>
        <sz val="11"/>
        <color rgb="FF000000"/>
        <rFont val="Liberation Sans"/>
        <family val="2"/>
      </rPr>
      <t>Advanced Character Generator</t>
    </r>
  </si>
  <si>
    <t>More space here as well if you need</t>
  </si>
  <si>
    <t>Scale me height !</t>
  </si>
  <si>
    <t>Don't forget to re-write or re-scale charms descriptions so you end up with a readable print !</t>
  </si>
  <si>
    <t>CHARMS</t>
  </si>
  <si>
    <t>Data</t>
  </si>
  <si>
    <t>value (TRUE/FALSE/Number)</t>
  </si>
  <si>
    <t>-1</t>
  </si>
  <si>
    <t>-2</t>
  </si>
  <si>
    <t>-4</t>
  </si>
  <si>
    <t>Base</t>
  </si>
  <si>
    <t>/OBT * nb</t>
  </si>
  <si>
    <t>Health lvl (again, it's easier this way for research fonctions)</t>
  </si>
  <si>
    <t>Wich box
start wich health penalty ?</t>
  </si>
  <si>
    <t>Penalty</t>
  </si>
  <si>
    <t xml:space="preserve">     Supernatural Merits</t>
  </si>
  <si>
    <t>Chameleon</t>
  </si>
  <si>
    <t>Claws/Fangs/Hooves/Horns</t>
  </si>
  <si>
    <t>Enhanced Sense</t>
  </si>
  <si>
    <t>Exalted Healing</t>
  </si>
  <si>
    <t>Extra Limbs</t>
  </si>
  <si>
    <t>Gills</t>
  </si>
  <si>
    <t>Poisoned Body</t>
  </si>
  <si>
    <t>Quills</t>
  </si>
  <si>
    <t>Subtlety</t>
  </si>
  <si>
    <t>Tail</t>
  </si>
  <si>
    <t>Thaumaturgist</t>
  </si>
  <si>
    <t>Unusual Hide</t>
  </si>
  <si>
    <t>Venomous</t>
  </si>
  <si>
    <t>Wall Walking</t>
  </si>
  <si>
    <t>Wings</t>
  </si>
  <si>
    <t xml:space="preserve">    Flaws</t>
  </si>
  <si>
    <t>Addiction</t>
  </si>
  <si>
    <t>Amputee</t>
  </si>
  <si>
    <t>Blind</t>
  </si>
  <si>
    <t>Deaf</t>
  </si>
  <si>
    <t>Hysteria</t>
  </si>
  <si>
    <t>Madness</t>
  </si>
  <si>
    <t>Megrims</t>
  </si>
  <si>
    <t>Obsession</t>
  </si>
  <si>
    <t>Paranoia</t>
  </si>
  <si>
    <t>Sterile</t>
  </si>
  <si>
    <t>Wyld Mutant</t>
  </si>
  <si>
    <r>
      <rPr>
        <u/>
        <sz val="10"/>
        <color rgb="FF000000"/>
        <rFont val="Liberation Sans"/>
        <family val="2"/>
      </rPr>
      <t>Weapons &amp; Armors</t>
    </r>
    <r>
      <rPr>
        <sz val="10"/>
        <color rgb="FF000000"/>
        <rFont val="Liberation Sans"/>
        <family val="2"/>
      </rPr>
      <t xml:space="preserve"> : fill them when you like (now, or in _XP)
</t>
    </r>
    <r>
      <rPr>
        <u/>
        <sz val="10"/>
        <color rgb="FF000000"/>
        <rFont val="Liberation Sans"/>
        <family val="2"/>
      </rPr>
      <t>Weapons</t>
    </r>
    <r>
      <rPr>
        <sz val="10"/>
        <color rgb="FF000000"/>
        <rFont val="Liberation Sans"/>
        <family val="2"/>
      </rPr>
      <t xml:space="preserve"> : by default used attribute is DEX; if you are using a special attack please change Attribute in the orange cell
</t>
    </r>
    <r>
      <rPr>
        <u/>
        <sz val="10"/>
        <color rgb="FF000000"/>
        <rFont val="Liberation Sans"/>
        <family val="2"/>
      </rPr>
      <t>Attunement cost</t>
    </r>
    <r>
      <rPr>
        <sz val="10"/>
        <color rgb="FF000000"/>
        <rFont val="Liberation Sans"/>
        <family val="2"/>
      </rPr>
      <t xml:space="preserve"> : discounted if you enter a same named artifact on multiple lines. (ex one line for thrown axe and on for melee axe)</t>
    </r>
  </si>
  <si>
    <r>
      <t xml:space="preserve">Most material is </t>
    </r>
    <r>
      <rPr>
        <sz val="11"/>
        <color rgb="FF000000"/>
        <rFont val="Calibri"/>
        <family val="2"/>
      </rPr>
      <t>©</t>
    </r>
    <r>
      <rPr>
        <sz val="11"/>
        <color rgb="FF000000"/>
        <rFont val="Liberation Sans"/>
        <family val="2"/>
      </rPr>
      <t xml:space="preserve"> The Onyx Path. The rest (Code, design and ideas) are</t>
    </r>
  </si>
  <si>
    <t>MA styles &amp;
 Lore Domains</t>
  </si>
  <si>
    <t>Show me MORE intimacies ?
There are 20 free lines between L68 and 88 if you need. (Put your arrow here for help)</t>
  </si>
  <si>
    <t>More lines
here as well.</t>
  </si>
  <si>
    <t>The Solar can inspire zealous devotion, even in the beasts of the wilderness. Conveying her wishes to her familiar through a brief command, the Solar orders her companion to attempt an action of which it is capable. Roll the Exalt’s (Charisma + Survival) and add her successes as dice to the familiar’s attempt to follow the Solar’s order. Unlike normal Simple Charms, this Charm may be placed in a flurry. At Essence 3+, this Charm can be used reflexively.</t>
  </si>
  <si>
    <t>Upon learning this technique, the Solar's senses guard her from threats she is not consciously aware of. Whenever the Solar is in danger–even if she is not consciously aware of the threat–her relevant senses will home in on the source of danger, enhancing her Awareness to make the threat known to her. Surprise Anticipation Method has two functions. First: for every 9 she rolls on an Awareness check to reveal a hidden enemy, trap, or any source of harm not readily apparent, she gains a single mote of Essence, and for every 10 she gains two. This charge of Essence can only be used to offset the cost of activating Awareness Charms to reveal a threat. Motes returned in this fashion may retroactively lower the cost committed to Awareness Charms of a scene or longer duration, both lowering the committed cost and returning the discounted mote(s) to the Solar's mote pool. Second: her senses function even when she is asleep or Incapacitated, allowing her to use any of her Awareness Charms subconsciously. A threat revealed to the Solar while she is asleep or unconscious automatically revives her, allowing her to defend herself. ON SURPRISE ANTICIPATION METHODThat's not a typo. This is a Reflexive Charm with no cost. Surprise Anticipation Method represents a Solar who has honed her senses to a near psychic degree. They act on her behalf to reveal threats to her. Remember, though, Charms are not actors–it is simply easier to communicate the idea to the player in terms of what a Charm does. In reality, Charms only represent the naturally enhanced proclivities of the character in question, pre-existing, validated by the player's investment of experience points.</t>
  </si>
  <si>
    <t>The Iron Wolf’s gaze cannot be misdirected, and her focus cannot be dissuaded. Even the greatest feats of stealth pale before her genius eyes. When a character attempts to hide from the Solar, steal from her, or cheat her with a quick motion, revert (Essence) of his double successes— typically 10s, but 9s under the effect of double 9s and so on—to single successes. This effect can even contest magic that is considered impossible to notice. The benefit of this Charm only applies to the Solar—it is her eye which is unswerving. The player can choose to activate this Charm after the opposing roll has been made.</t>
  </si>
  <si>
    <t>The Solar’s genius hands can outwit even the sharpest eye. This Charm allows her to hide any object small enough to palm. She may appear to swallow the item, fit it under her tongue, hide it up her sleeve, etc. The object vanishes. It does not go to Elsewhere. It merely ceases to exist until the Exalt needs it again, at which point she may will it into her hand with just a thought. The Exalt may hide no more than five objects, but each object must be hidden in a separate space.</t>
  </si>
  <si>
    <t>The Solar can uplift another Lawgiver, making him a vector for her power. With a touch, the Exalt grants the target a Solar Charm he qualifies for, even if the initiating Exalt does not know the Charm herself. If the initiating Solar has a higher Essence rating than her target, or has selected Lore as her Supernal Ability, the recipient may learn Charms at one Essence higher than his current rating. To use this Charm, the Solar commits five motes plus a number of motes equal to the experience points cost the target would have to pay to learn the Charm. The recipient pays the activation costs of such Charms from his own mote pools. At any time she wishes, the initiating Solar may end commitment to this effect, causing knowledge of the conferred Charm to fade from the recipient’s mind. Power-Awarding Prana can never be forcefully dispelled or prematurely ended by any sort of magic. At Essence 5+, the Solar can use this Charm on herself. If Lore is her Supernal Ability, waive this requirement. If the target is Essence 5 and beyond, Power-Awarding Prana does not allow the training of Charms at higher Essence ratings than the character’s current maximum. For example, an Essence 5 Solar cannot teach herself Essence 6 Charms, but she can still confer Essence 5 Charms to an Essence 4 character. Sorcery cannot be granted with this Charm.</t>
  </si>
  <si>
    <t>(Onyx Path Forum)</t>
  </si>
  <si>
    <t>Feedback &amp; Changelog Here</t>
  </si>
  <si>
    <t>Channeling her anima through her physical form, the Lawgiver merges with her iconic manifestation to become a visage of divine wrath. Her hair may lengthen and change colors while her skin darkens toward the spectrums of Solar anima. Her eyes glow white, her voice echoes and thunders, and her body becomes the blazing imprint of tattoos and markings that represent her iconic form, alive and glowing with inner fire. During this time, her anima licks the air as if it were burning, but will neither rise to iconic or fall to dim so long as this Charm's mote cost is committed. During this time, the Exalt moves with terrific speed. She may rush with double 7s, and may rush with her Strength instead of Dexterity, flying toward her opponent in great leaps. If her opponent is three or more range bands away, she may move two range bands to approach him until she is within medium or short range. During this time, she may clash any attack as her combat action, without having to delay, and if she successfully clashes a ranged attack she immediately flashes into close range with her opponent, clashing, blurring over the distance and striking her target all in the same instant. Furthermore, Ascendant Battle Visage makes the Solar incredibly resilient. For the duration of the Charm, no amount of withering damage can crash her unless it is delivered from close range. If the Solar knows Orichalcum Fists of Battle, she may activate that Charm and its prerequisite reflexively when she assumes this Charm, paying only six motes and ignoring the anima and Willpower cost to do so. In addition, if she knows the Charm Fire-Eating Fist she may store damage from any attack she clashes, with or without Charms. If she knows the Charm Apocalypse Flare Attack, she may unleash that attack at the iconic level without expending her anima or ending this Charm's effect.</t>
  </si>
  <si>
    <t>At the moment of impact, the Solar sends a surge of Essence up her arm or down her leg, multiplying the force of her blow many times over. This Charm is activated after a successful decisive Brawl attack. If the damage roll generates at least one success, the target is knocked prone by the force of the blow, and loses a point of Initiative, which is added to the Solar's base value (typically 3) when her Initiative resets. This blow strikes with the force of a hurricane condensed into the Solar's fist. The more damaging the blow, the more forcefully her opponent will be knocked away from her:For at least three successes, the opponent is lifted and bodily hurled into an object or surface within close range, hitting it with an impact equivalent to falling a shortdistance (see falling damage, p. 232), destroying anyless-obdurate objects he collides with, such as wooden furniture.At four or more successes, the foe is knocked into an object at close range with tremendous force, or is sent sailing a remarkable distance by the force of the blow. If the former, the opponent hits a surface with force sufficient to leave cracks in a stone wall, impacting with a surface as if he had fallen from a medium distance. If the latter, the force of the blow throws him to short range with a short-distance falling impact.At five or more successes, the foe is thrown to short range and suffers an impact like falling from a medium height. The Solar can use Heaven Thunder Hammer to knock her opponent into a high ceiling, forcing him to contend with falling damage on the way down. She might also choose to smash him through a weak point in a nearby wall, causing him to suffer a collapse. She might aim to hurl her opponent into a spike protruding from a surface, turning the damage lethal, or knock her enemy from a rooftop, causing him to suffer a fall from a much greater distance. The player should include the environment in their stunts to enhance this Charm’s effectiveness.At Essence 3+, double the successes for determining the distance the victim is hurled. At 7+, the victim can be hurled to medium range with a medium height impact.</t>
  </si>
  <si>
    <r>
      <rPr>
        <u/>
        <sz val="10"/>
        <color rgb="FF000000"/>
        <rFont val="Liberation Sans"/>
        <family val="2"/>
      </rPr>
      <t>Weapons &amp; Armors</t>
    </r>
    <r>
      <rPr>
        <sz val="10"/>
        <color rgb="FF000000"/>
        <rFont val="Liberation Sans"/>
        <family val="2"/>
      </rPr>
      <t xml:space="preserve"> : fill them when you like
</t>
    </r>
    <r>
      <rPr>
        <u/>
        <sz val="10"/>
        <color rgb="FF000000"/>
        <rFont val="Liberation Sans"/>
        <family val="2"/>
      </rPr>
      <t>Weapons</t>
    </r>
    <r>
      <rPr>
        <sz val="10"/>
        <color rgb="FF000000"/>
        <rFont val="Liberation Sans"/>
        <family val="2"/>
      </rPr>
      <t xml:space="preserve"> : by default used attribute is DEX; if you are using a special attack please change Attribute in the orange cell
</t>
    </r>
    <r>
      <rPr>
        <u/>
        <sz val="10"/>
        <color rgb="FF000000"/>
        <rFont val="Liberation Sans"/>
        <family val="2"/>
      </rPr>
      <t>Attunement cost</t>
    </r>
    <r>
      <rPr>
        <sz val="10"/>
        <color rgb="FF000000"/>
        <rFont val="Liberation Sans"/>
        <family val="2"/>
      </rPr>
      <t xml:space="preserve"> : discounted if you enter a same named artifact on multiple lines. (ex one line for thrown axe and on for melee axe) Unlock the sheet for more customisation in this row (ex. Invoked Weapons)</t>
    </r>
  </si>
  <si>
    <t>Natural_Immunity</t>
  </si>
  <si>
    <t>The Solar draws power from the spirit of her audience. Whenever she successfully influences a large group with a Performance-based action, she regains (Essence) motes.</t>
  </si>
  <si>
    <t>The Lawgiver sits at the cycle of events, shining with a spirit that casts all others in relief. Once per scene, she may use this Charm to enact a free full Presence, Performance, or Socialize Excellency.</t>
  </si>
  <si>
    <t>Start by going to Creation 1</t>
  </si>
  <si>
    <t>See Values to see how</t>
  </si>
  <si>
    <t>Step 7 : Spend your Bonus Points in "Creation_BP" (Clic here or clic on the tab)</t>
  </si>
  <si>
    <r>
      <t>Total Spent (</t>
    </r>
    <r>
      <rPr>
        <b/>
        <sz val="11"/>
        <color rgb="FF000000"/>
        <rFont val="Liberation Sans"/>
        <family val="2"/>
      </rPr>
      <t>autocalc</t>
    </r>
    <r>
      <rPr>
        <sz val="11"/>
        <color rgb="FF000000"/>
        <rFont val="Liberation Sans"/>
        <family val="2"/>
      </rPr>
      <t>)</t>
    </r>
  </si>
  <si>
    <t>It's also the place to spend the XP that pecky ST is so greedy about.</t>
  </si>
  <si>
    <r>
      <rPr>
        <b/>
        <sz val="11"/>
        <color rgb="FF000000"/>
        <rFont val="Liberation Sans"/>
        <family val="2"/>
      </rPr>
      <t>Step 2 :</t>
    </r>
    <r>
      <rPr>
        <sz val="11"/>
        <color rgb="FF000000"/>
        <rFont val="Liberation Sans"/>
        <family val="2"/>
      </rPr>
      <t xml:space="preserve"> Enter your Attribute Points</t>
    </r>
  </si>
  <si>
    <t>Every Black Claw student must submit to her sifu. As one whose heart is already conquered, she knows that any greater defeat is impossible. Drawing on this memory of love, the martial artist projects an unmistakable but fragile resolution. Whenever the martial artist successfully defends against an attack, she may use Torn Lotus Defense to make a counterattack with (Manipulation + Presence) to instill her attacker with a positive Tie towards herself, adding a number of dice equal to the attacker's Essence (maximum five). The context of the Tie, be it respect, admiration, or even unexpected love, depends on the circumstances of the situation and may be chosen by the attacking character's player. If the attacker already has a positive Tie towards the martial artist, this influence roll is also treated as a special withering counterattack that deals (Manipulation) points of unsoakable Initiative damage, as the martial artist plays on her enemy's sympathies to throw him off balance and gain the upper hand.Using Torn Lotus Defense while Black Claw Form is active allows the Black Claw stylist to also apply the influence roll against all enemies and bystanders who witnessed the attack, without suffering the usual penalties for targeting multiple characters. Bystanders only face the social influence aspect of the counterattack, and never take withering damage from it.Terrestrial: A Dragon-Blood enjoys no extra benefits from using this Charm while Black Claw Form is active. Mastery: The martial artist may declare this Charm prior to the attack roll, adding +1 to her Defense and then making the influence roll if she suceeds.</t>
  </si>
  <si>
    <r>
      <t xml:space="preserve">Spent regular XP </t>
    </r>
    <r>
      <rPr>
        <b/>
        <sz val="11"/>
        <color rgb="FF000000"/>
        <rFont val="Liberation Sans"/>
        <family val="2"/>
      </rPr>
      <t>declared</t>
    </r>
    <r>
      <rPr>
        <sz val="11"/>
        <color rgb="FF000000"/>
        <rFont val="Liberation Sans"/>
        <family val="2"/>
      </rPr>
      <t xml:space="preserve"> :</t>
    </r>
  </si>
  <si>
    <t>Use this place to tweak your unusual xp income/outcome (ex. Flowing Mind Prana)</t>
  </si>
  <si>
    <t>Date</t>
  </si>
  <si>
    <t>Amount</t>
  </si>
  <si>
    <t>Reason</t>
  </si>
  <si>
    <t>Since character creation or last Import, the sheet think you spent</t>
  </si>
  <si>
    <t>=&gt; your essence is calculated from this, so fill the blue boxes carefully</t>
  </si>
  <si>
    <t>10m, 1wp, 10wxp</t>
  </si>
  <si>
    <t>Arms</t>
  </si>
  <si>
    <t>Short description</t>
  </si>
  <si>
    <t>The Solar tempers an artifact to awaken even greater depths of power. She spends (10 – Essence) hours reforging an artifact with a rating of 3+ dots in a well-stocked workshop. Upon completion, the artifact’s master may instantly awaken a single Evocation of his choice (including custom Evocations) that he meets the prerequisites for without spending experience points. Design Beyond Limit may awaken Evocations beyond the normal maximum an artifact can sustain (p. 18). The Exalt can only use this Charm on an artifact once per story.</t>
  </si>
  <si>
    <t>10m, 1wp, 3wxp</t>
  </si>
  <si>
    <t>The Solar coaxes and reshapes an artifact’s Evocations with hammer and flame. She must spend (10 – Essence) hours at work. The player of the artifact’s owner may swap out any of that artifact’s currently active Evocations to unlock new ones, including custom Evocations (p. 18). The artifact’s owner must meet the Essence minimums and prerequisites of any new Evocations he takes, and cannot swap out an Evocation that’s a prerequisite for another currently active Evocation. The Exalt can only use this Charm on an artifact once per story.current active Evocations. This process takes (10 - Essence) hours, and allows the weapon's owner's player to change the weapon's current active Evocations. If the Solar does not own the weapon she is reforging, the owner can pay the experience point cost of the Charm's activation. This Charm may only be used on a particular weapon once per story.</t>
  </si>
  <si>
    <t>Need to tweak that ?</t>
  </si>
  <si>
    <t>== SOLARS ==</t>
  </si>
  <si>
    <t>== DRAGON BLOODED ==</t>
  </si>
  <si>
    <t>Air Aspect</t>
  </si>
  <si>
    <t>Earth Aspect</t>
  </si>
  <si>
    <t>Fire Aspect</t>
  </si>
  <si>
    <t>Water Aspect</t>
  </si>
  <si>
    <t>Wood Aspect</t>
  </si>
  <si>
    <t>== LUNARS ==</t>
  </si>
  <si>
    <t>Full Moon Caste</t>
  </si>
  <si>
    <t>Changing Moon Caste</t>
  </si>
  <si>
    <t>No Moon Caste</t>
  </si>
  <si>
    <t>Casteless</t>
  </si>
  <si>
    <t>Dragon Blooded</t>
  </si>
  <si>
    <t>Lunar</t>
  </si>
  <si>
    <t>Sideral</t>
  </si>
  <si>
    <t>Xp Cost</t>
  </si>
  <si>
    <t>Personal Base Essence</t>
  </si>
  <si>
    <t>Personal Essence Multiplier</t>
  </si>
  <si>
    <t>Peripheral Base Essence</t>
  </si>
  <si>
    <t>Peripheral Essence Multiplier</t>
  </si>
  <si>
    <t>Liminal</t>
  </si>
  <si>
    <t>Just Hatched</t>
  </si>
  <si>
    <t>Air Aspect - Just Hatched</t>
  </si>
  <si>
    <t>Earth Aspect - Just Hatched</t>
  </si>
  <si>
    <t>Fire Aspect - Just Hatched</t>
  </si>
  <si>
    <t>Water Aspect - Just Hatched</t>
  </si>
  <si>
    <t>Wood Aspect - Just Hatched</t>
  </si>
  <si>
    <t>Specialties</t>
  </si>
  <si>
    <t>Base Essence</t>
  </si>
  <si>
    <t>Charm names (Extracted from "Charms" tab)</t>
  </si>
  <si>
    <t>Ability ?</t>
  </si>
  <si>
    <t>Can I have it ?</t>
  </si>
  <si>
    <t>List me !</t>
  </si>
  <si>
    <t>Order me</t>
  </si>
  <si>
    <t>Committed</t>
  </si>
  <si>
    <t>Essence DB</t>
  </si>
  <si>
    <t>Essence Mortal</t>
  </si>
  <si>
    <t>Essence Other</t>
  </si>
  <si>
    <t>Essence DB_JH</t>
  </si>
  <si>
    <t>Wich ?</t>
  </si>
  <si>
    <t>lvl</t>
  </si>
  <si>
    <t>Spent :</t>
  </si>
  <si>
    <t>Total Won :</t>
  </si>
  <si>
    <t>Xp Left :</t>
  </si>
  <si>
    <t>Id</t>
  </si>
  <si>
    <t>Cost_motes</t>
  </si>
  <si>
    <t>Cost_wp</t>
  </si>
  <si>
    <t>Cost_other</t>
  </si>
  <si>
    <t>Exalt_exclusivity</t>
  </si>
  <si>
    <t>Ability_subtype</t>
  </si>
  <si>
    <t>Min_ability</t>
  </si>
  <si>
    <t>Min_essence</t>
  </si>
  <si>
    <t>Mins</t>
  </si>
  <si>
    <t>Hallowed Bond of Night and Flame (Hallowed Soul and Flesh Merging)</t>
  </si>
  <si>
    <t>MSE</t>
  </si>
  <si>
    <t>3a</t>
  </si>
  <si>
    <t>Essence 3</t>
  </si>
  <si>
    <t>Apocryphal</t>
  </si>
  <si>
    <t xml:space="preserve">When a Solar has a deeply physical and spiritual bond with one of the Lunar Exalted, that Lunar is said to be her bond mate — a tradition going back thousands of years. This Charm is occluded, hidden from the normal roll of Solar Abilities, and only becomes available to the Solar to learn if she has a Defining Tie for her Lunar and vice versa, and if their bond has been deeply established ac-cording to the Storyteller. Then, in circumstances where they are touching each other — sparring, one holding the other’s wrist to keep them from going over a cliff, sharing a kiss, etc — the Storyteller may deem that the Solar feels a sudden oneness with her Lunar. The Lunar will feel this same oneness in turn. Roll their combined Essence scores, and if the result is one or greater, the Storyteller describes a numinous moment in which the Solar and Lunar touch mind and soul and become as one. This can be a complete-ly disassociated stream of consciousness event, or it can be a series of images from their past lives. The end of this sequence leaves the Solar capable of learning this Charm.;This Charm allows the Solar to physically merge with her Lunar mate, becoming a single entity of divine wrath and living flame for one scene. The combined being re-sembles a fusion of the Solar’s physical form with her iconic anima, and the spirit-animal of her Lunar mate. This form usually has four arms, has bestial and ethereal traits, such as horns, hair that floats and crackles with lightning, gale force-winds that whip around in her vi-cinity, and so on. The mote pool for the merged being is the Solar’s current pool + 25, and the health levels of the combined being are equal to the Lunar’s undamaged health levels. As a quick character, the fusion has all of the traits of the Solar, but the players may do the work to assign the merged character its own sheet, giving it the Lunar’s Attributes and the Solar’s Abilities.;In any case, the merged Exalt uses all of the Solar’s Charms for actions, but its Attributes on any roll can be enhanced by any Attribute-boosting Charms the Lunar has learned. In addition, the form gains horns, fangs, claws, wings, and other mutations applicable to the Lunar’s spirit form and the Solar’s iconic manifestation, a number equal to the Lunar’s Appearance or Stamina +1. These natural weap-ons can be used to use animal attacks such as Bite, Gore, and so on, listed in the antagonists chapter of Exalted.;To use this Charm, the Exalts must share a Defining Principle that they are merging in order to defend. If they are killed while in this form, they both die. Once they have used this Charm, they may not end their merged form until the end of the scene, though they may choose to end it if they fall into Initiative Crash.;On Hallowed Bond of Night and Flame;This Charm was written in response to a backer’s desire to see a Charm that uses the Solar / Lunar bond to make a merged being with some combination of Solar and Lunar Charms and appearance. This Charm is hugely apocryphal. If we were to allow something like this to happen normally, we’d require a deeper buildup with a number of requisite Charms and story events. However, it is a delightful Charm and if you really want to use it we hope the Apocryphal keyword won’t get in your way. According to the backer, this Charm was used by her Lunar, Scarlet-Wings-Over-The-Mountain and her Solar lover, Brass Storm Spirit. Storytellers beware, this Charm is mechanically overpowered. Use with caution.;Backer: Jennifer Alyxendra Barron </t>
  </si>
  <si>
    <t>Core</t>
  </si>
  <si>
    <t>3 per duplicate</t>
  </si>
  <si>
    <t>When the Lawgiver is cornered and fighting for her life, the burning power of her judgment becomes even more terrifying. Drawing the burning Essence of her life from her very wounds, she can unleash a powerful, Essence-laden shot from her bow that can override other attacks and overwhelm her attackers. The Solar may use this  Charm to clash attacks against her from short or close range, but only when she is in her -4 health levels. This clash gains (Essence) automatic successes, and the damage roll doubles 9s. However, Initiative damaged by this roll is not transferred to the Solar; it is instead rerolled as decisive damage against her target, ignoring hardness and  doubling 10s. An Essence 5+ repurchase of this Charm removes the Perilous keyword, allowing the Solar to spend herself into lower negative Initiative numbers while crashed.</t>
  </si>
  <si>
    <t>Hanging Judgment Arc</t>
  </si>
  <si>
    <t>The Lawgiver’s divine judgment pours down on the heads of the wicked. Immediately upon joining battle, the Solar may target a specific bit of scenery that is not occupied by an enemy combatant. Naming it off limits, she fires a scintillating shot high into the air. Her arrow flies up and up and does not come down unless the opponent crosses through, over, or into the designated position, at which point they become subject to a decisive attack with the Solar’s unmodified attack pool, and with damage equal to the Initiative she had the moment she fired the shot. In ad-dition, this shot is enhanced by the prerequisite at no extra charge. If Hanging Judgment Arc succeeds at damaging the target, the Solar’s Initiative does not return to base. If the Exalt is crashed, slain, or the scene ends with-out the attack being triggered, the arrow comes down and will set fire to any flammable thing it touches. Any use of this Charm must occur in places with enough ver-tical space to fire an arrow upward without it getting lodged in the ceiling. The player can’t threat-mark an area inside an enclosed building or chamber while standing outside. Special activation rules: If the Lawgiver threatens a specific character with this attack, (ie “Winglord Kvetu may not retreat across that bridge”) the attack gains (Essence) automatic successes, (Essence) bonus dice, and (Essence) automatic damage successes. At Archery 5+, Essence 3+, the Lawgiver may use this Charm out of combat for eight motes, setting the Charm’s duration to Indefinite, and giving it a base damage of 17. With Archery 5+ Essence 4+, the out-of-combat use be-comes Stackable up to (Essence) times. These bans do not end if the Solar is crashed or slain, only if the threat is triggered or the Lawgiver ends her commitment. On Hanging Judgment Arc : The backer had a really awesome name and idea for an Archery Charm, but execution was trickier than it looked. In case you are wondering, if you mark an area where your ally is standing when an enemy triggers the attack, the attack is precise enough to only hit the ene-my. But whether or not they both catch on fire is a totally different issue. Backer: Andrew Bartkus</t>
  </si>
  <si>
    <t>Nova Arrow Attack</t>
  </si>
  <si>
    <t>The Solar channels her fiery Essence into an arrow that explodes on impact. This is a non-standard decisive at-tack that targets no particular character directly, but the range band they’re standing in. The shot lands without a roll, and everything at close range to the arrow is sub-ject to an explosion that can’t be parried, only dodged. The explosion has an attack pool of the Solar’s Initiative (maximum 10 dice), and rolls decisive damage equal to the Solar’s Initiative. If this attack is successful against at least one enemy, then it resets the Solar’s Initiative to base. It can expressly be used to blow up inanimate objects, scenery, and siege weaponry without affecting the Solar’s Initiative.;All characters struck by this attack are knocked out of the exploded range band and land prone, losing one Initiative each, not transferred to the Solar. Characters blown down by this Charm have no control over where they land; char-acters who dodge this explosion are automatically knocked to the next range band, but they do not lose Initiative nor do they fall to prone, simply rolling to their feet or skidding along on their heels without losing balance.;If used to damage a battle group, Nova Arrow Attack causes disarray and panic, applying a -2 success penalty to its next attack.;On Nova Arrow Attack;The natural evolution of Fiery Arrow Attack, I wanted to do this Charm originally, but was too pressed for time to come up with a balanced explosion mechanic. Fortunately as I was rounding out the Archery section of this book one came to me, partly inspired by one of the new Brawl Charm mechanics below. (Guess which.)</t>
  </si>
  <si>
    <t>Hell-Heeling Arrow</t>
  </si>
  <si>
    <t>Nova Arrow Attack, Searing Sunfire Interdiction</t>
  </si>
  <si>
    <t>The Exalt gives her enemies a taste of her wrathful Essence. As with Nova Arrow Attack, she fires an explosive arrow into a range band at close range with an enemy. But instead of exploding on contact, the arrow sits and smokes and rumbles. Characters within short range of this arrow can feel their slightest movement causing it to agitate and surge with Solar anima; their barest shifts in posture threaten to cause an explosion. If it explodes, Hell-Heeling Arrow will hit everything in short range, and the only way to escape it is to successfully disengage — once if at short range, twice if at close. The difficulty of this roll is 5.;If any character simply moves a range band (or gets moved), the arrow explodes, doing a non-standard deci-sive attack to all targets with an attack pool of (Essence;+  Initiative) dice (maximum 12), with a damage pool of (Initiative) dice. The blast from this explosion can only be dodged, and has the same knockdown rules as Nova Arrow Attack. In addition, characters knocked down by this attack are automatically lit on fire, suffering bonfire (4L/round) damage until they can put it out.;Hell-Heeling Arrow does not reset the Solar’s Initiative to base. It can only be used once per battle, but may be reset by joining battle.;On Hell-Heeling Arrow;Continuing to play up Archery’s theme of range band domination, a (sort of) converse of Searing Sunfire Interdiction.</t>
  </si>
  <si>
    <t>Solar Judgment Flare</t>
  </si>
  <si>
    <t>3m, 1wp and 1m per damage die</t>
  </si>
  <si>
    <t>3+1 per damage die</t>
  </si>
  <si>
    <t>Heart-Eating Incineration, Nova Arrow Attack</t>
  </si>
  <si>
    <t>The Exalt pours incandescent Solar Essence through her bow, firing a streaking shot of immolating flame. If the Solar has 15+ Initiative then she may use this Charm to unleash a horrific attack against opponents a minimum of three range bands away. If successful, this attack does (greater of Essence or three) automatic damage, and dice on the damage roll may be augmented at a rate of one mote per die, to a limit of (half current Initiative rounded up).;Where this arrow strikes, it will send out a line of burning destruction, one range band for every five Initiative (rounded up). Everything caught in this burning nova swath takes damage; characters are subject to a high intensity (6L/round) bonfire, while scenery takes fiat levels of damage. A character struck with this attack is likewise flung backwards one range band for every three health levels lost from the attack.;If a Solar uses this Charm against a ship made of natural materials, every three damage successes equals a point of hull damage. If she uses it against a battle group, they are automatically at -2 successes from their next rout check.;Solar Judgment Flare can be used without an aim action. On Solar Judgment Flare;The backer is brand new to Exalted, so I had to help him find the exact right Charm. The first couple of Resistance Charms we worked on didn’t feel right to his personality, so we scrapped them. Finally I asked him what characters he likes most, and he started to talk about an overpowered archer from Fate Stay/Night. I had known since the beginning that Archery yet needed an overpowered Charm, so I worked out this incredibly powerful mechanic. There may be yet be another up-grade to this Charm, one of unfathomable power.;Backer: Maha</t>
  </si>
  <si>
    <t>3 per dot</t>
  </si>
  <si>
    <t>or 3i per dot</t>
  </si>
  <si>
    <t>3 successes per dot</t>
  </si>
  <si>
    <t>(2m)</t>
  </si>
  <si>
    <t>Strength-Hying Heave</t>
  </si>
  <si>
    <t>A Solar who has used the prerequisite to increase her Strength to the limit is sufficiently strong enough to hurl a human-sized ally forward or up one range band. This Charm uses the Solar’s own movement action for the round.;If the Solar has learned Power Suffusing Form Technique (see Exalted, p. 266), she can combine that Charm with this to hurl an ally the size of a horse and rider safely up or forward one range band, or she may toss a human-sized ally forward two range bands. This use adds one Willpower to the cost of this Charm, but drops the mote cost to two.;On Strength-Hying Heave;The backer wanted something like the “Fastball Special” from Claremont’s run on the Uncanny X-Men, where Colossus hurls Wolverine at a target. I figured, why not let someone with superhuman strength throw a very heavy ally as well? I can already see a player writing in to tell me how their Zenith stood at the end of a dock as the Night rode up on an armored destrier, and they hurled horse and rider onto the deck of a retreating ship.;That said, a Solar using Nine Aeons Thew and other Charms might be able to throw an ally three or more range bands, but they will take falling damage unless they have Charms such as Soaring Crane Leap that will help them land safely. This is a good example of how Solar Charms can and do work together in ways that aren’t expressly outlined in the rules.;Backer: Mike Gill</t>
  </si>
  <si>
    <t>Faster than Self Technique</t>
  </si>
  <si>
    <t>10m, 1wp (+1m per round)</t>
  </si>
  <si>
    <t>#ERREUR!</t>
  </si>
  <si>
    <t>Living Wind Approach, Hurri-cane Spirit Speed</t>
  </si>
  <si>
    <t>Like the Unconquered Sun, the Solar is everywhere and nowhere at once. Moving at impossible, Essence-fueled speeds, the Solar becomes multiple copies of herself. As long as she keeps moving, she is each of her copies and none of them at the same time. The Lawgiver be-comes a battle group having Size (Essence / 2 rounded up), Magnitude 10 (regardless of her maximum Health Levels), and no bonuses from Drill or Might — simply use the Solar’s normal combat pool.;This Charm is incompatible with heavy armor, and in-compatible with all Resistance Charms except those which are Permanent-type or Simple-type Charms which were activated before using Faster than Self Technique. Nor can the Solar benefit from giving her “battle group self” enhanced abilities through the use of War Charms.;Each round this Charm is active costs the Solar an addi-tional mote of Essence to keep active. In addition, when the Solar’s Magnitude track fills up with damage and she loses a point of Size, instead of a rout check she is subject to a difficulty 3 Stamina + Athletics roll to maintain the Charm.;Ending this Charm gives the Exalt a -1 success fatigue penal-ty to all of her Athletics rolls for the next three rounds. Faster than Self Technique can only be activated once per scene.;On Faster than Self Technique;The backer’s friend, Koray Bilgin, is the genius behind this Charm. He came up with the name, the concept, and the framework of the mechanics. I just took care of balancing issues and placement in the tree. It’s a really fantastic idea!;Backer: U. Kaya YAVUZ</t>
  </si>
  <si>
    <t>or 6m, 1wp</t>
  </si>
  <si>
    <t>0 or 2</t>
  </si>
  <si>
    <t>3 per exchange</t>
  </si>
  <si>
    <t>Solars are the legacy of the Unconquered Sun. It is their destiny to see the world through this age of darkness. When this Charm is used, the Solar's Caste Mark blazes like a tiny sun, cancelling any Essence-muting magic the Solar may be using, and removing her from stealth. Eyes blazing white, Caste Mark burning, her gaze shines a wide beam of light across everything she searches, twin lamps moving over the terrain out to long range. Everything caught in her stare is subject to the following effects:? All magical and mundane Stealth effects are cancelled. Solid walls and other opaque objects grow transparent as the Lawgiver's gaze passes over them, rendering all forms of Stealth automatically unsuccessful.? Fog lifts, smoke parts, and clouds dissolve under the Solar's intense focus.? Dematerialized spirits are forced to materialize, at full cost of the Materialize Charm, or as much of the cost as they can pay.</t>
  </si>
  <si>
    <t>(3m)</t>
  </si>
  <si>
    <t>4 + 1 per die</t>
  </si>
  <si>
    <t>2 or 4</t>
  </si>
  <si>
    <t>8 + 1m per turn</t>
  </si>
  <si>
    <t>Swift Strike Prana</t>
  </si>
  <si>
    <t>Ferocious Jab, Thunderclap Rush Attack</t>
  </si>
  <si>
    <t>Sensing an opening, the Solar launches a vicious blow with any part of her body. When the Exalt successfully disarms a close range opponent by any means, then she may use this Charm to launch an immediate decisive attack against them. If the opponent is trivial, ignore the Willpower cost.;On Swift Strike Prana;This Charm will help those of you who like your disarm gambits, and especially those of you who like to antago-nize the entire city guard.</t>
  </si>
  <si>
    <t>Heart-Eating Fist</t>
  </si>
  <si>
    <t>3a, 1wp</t>
  </si>
  <si>
    <t>Fist swirling with molten fury, the Lawgiver punches her enemy in the heart, rips it out of his chest, and offers it up as a prayer to the divine force that flows through her. This Charm is a decisive gambit with a difficulty of the target’s remaining health levels. If successful, it does ex-actly enough damage to kill that opponent. The Solar rips her victim’s heart out, then she lifts it to the sky. The last thing they see is their heart going up in a gout of flames as the Solar’s fist closes around it. When the Solar kills a trivial opponent with this Charm, she gains a point of Willpower and automatically terrifies all other trivial opponents. When she kills a non-trivial opponent with Heart-Eating Fist, she gains no Willpower, but is suffused with a sudden surge of storming transformative anima. As the power of the Unconquered Sun flows through her, she automatically heals (half Essence rounded up) health levels and may reflexively trigger Ascendant Battle Visage or Burning Sky Apocalypse Strike at no cost. ;On Heart-Eating Fist;The Dragon Kings of old, prehuman worshipers of the Unconquered Sun, used to offer up sacrificial hearts to the Most High. Held aloft against the sunlight, these hearts would burn, signaling the Unconquered Sun’s ac-ceptance of the offering. With this Charm, the Lawgiver offers up the heart to herself. As her fires consume it, she gains a surge of incredible power.</t>
  </si>
  <si>
    <t>Burning Sky Apocalypse Strike</t>
  </si>
  <si>
    <t>Drawing in tremendous spirit energy, the Solar launch-es an explosive attack that carries her skyward with the force of the rising sun. This Charm can only be triggered at 20+ Initiative. It unleashes a massive decisive attack to everything within short range of the Lawgiver. The Exalt’s form is suffused with burning Solar Essence that fires straight up in a column that can be seen for miles.;This is a non-standard decisive attack; roll the Solar’s Dexterity + Brawl once and apply the result to the entire group. This attack can hit allies. Targets struck by this attack are carried upward on a column of destructive force, one range band for every ten Initiative the Solar possesses. For every range band the targets are lifted, they are subject to three dice of hardness-ignoring deci-sive bashing damage and must then contend with falling damage. This portion of the attack does not reset the Solar’s Initiative.;The Solar is also carried up to the same height as her enemies, but at the apex she pauses, Essence and anima swirling around her like a second sun. Then she plum-mets at an angle in any chosen direction, falling half the range bands she rose (rounded up). There she comes down like a falling star, hammering a crater into the earth and striking all opponents at close range with her explosive fury. This is a normal decisive attack that, if successful, does half her Initiative (rounded up) in hard-ness-ignoring decisive damage dice to all opponents at close range. This calamitous falling strike does no harm to the Solar.;On Burning Sky Apocalypse Strike;*John lowers an LP of smooth slow “doo-wop” onto the spindle and swishes his brandy around in a shot glass while staring out the window at the setting sun.*</t>
  </si>
  <si>
    <t>(Varies)</t>
  </si>
  <si>
    <t>Honor-Instilling Mantra</t>
  </si>
  <si>
    <t>By spending an hour meditating on a charter of an or-ganization she owns or leads, the Lawgiver may instill that charter with Intimacies that she feels are essential to running her business. This code of honor must be reflected in the writing of the charter, and the charter itself must be made available to every member the Solar wishes to effect with this Charm. Members who read the charter, or have had it read to them by a superior, become aware of the imbued Intimacies and can choose to act as the Solar would, taking advantage of those Intimacies as if they possessed them. Such a member can, for example, cite the Solar’s Intimacy in a decision point when someone is trying to promote corruption in the ranks of the Exalt’s subordinates. The effects of this Charm last until the Solar alters the charter, and may even continue beyond her death.;On Honor-Instilling Mantra;The backer wanted a Bureaucracy Charm that would allow him to instill the organization’s members such that they would always act as the Solar would. I felt that was way too powerful. Mind-controlling hundreds of people with a single Charm defeats the purpose of social influence. Instead we came up with a Charm that allows members of an organization to consult the Solar’s vi-sion of honor and leadership, creating a communal well of ethical and moral action to draw strength from. No one under the effect of this Charm is forced to abide by it, but there are undeniable benefits for those who do. Couple that with the power of the prerequisite and the Solar gains a very sharp understanding of what goes on in her offices while she is not there. Special thanks goes to Holden for the core mechanic of this Charm.;Backer: J Walker</t>
  </si>
  <si>
    <t>Pattern-Exploiting Commerce Spirit</t>
  </si>
  <si>
    <t xml:space="preserve">It often isn’t safe for a Lawgiver to hang out her shingle. Meditating on the business she seeks, the Solar expands her Essence outward so that it may guide troubled customers to her door. This Charm covers a city block from the Solar’s position, and will guide customers with financial or mer-cantile problems to the Exalt’s location, even going so far as to lead them through hidden alleys and secret doors to do so. When activating the Charm, the Solar must be very spe-cific about which kind of customers she will attract based on their Resources rating. The player can specify custom-ers with “financial problems and Resources 5”, “multiple Resources 5 who need to deposit vast sums of money”, “a valuation inquiry and any Resources rating”, and so on. As long as the Solar’s net isn’t cast extremely wide, as soon as a person with the designated problem steps into the area affected by her Essence they will be drawn to her. Note that an arriving customer won’t exactly understand why they’ve been drawn to the Solar or how it was done. It’s up to the Solar to recognize the customer, figure out what their problem is, and impress them with her expertise and preeminence in all things commercial.;Special activation rules: If the Solar knows the Larceny Charm Seasoned Criminal Method, the player may use this Charm to specify targets with “Larceny problems difficulty 1-5” or of one specific difficulty. The player may also combine specifications: “a subject with Resources 5 that has a difficulty 5 Larceny problem.”;On Pattern-Exploiting Commerce Spirit;The backer’s favorite Caste is Eclipse, and their favor-ite Ability is Bureaucracy, so I decided to make them a very mystical, extremely useful Charm for Solars trying to operate in the shadow economy or who are simply trying to be very exclusive. Readers might be interested to know that the J.P. Morgan banking dynasty began with banking services catering only to the ultra rich, usually exclusively to trade organizations. They never advertised, and never opened up more than a single of-fice in one country, and that exclusivity elevated them to a nigh-mythic stature. A Solar dealing in gigantic sums of capital, troubleshooting economic problems and pro-viding legal services can become an even greater subject of myth, and even more sought after. This Charm also helps the Solar to protect herself, since direct advertise-ment or street-side storefronts aren’t always safe.;Players should note that this Charm is bound to be more effective in busy trade districts of bustling cities. If you use this Charm in the dusty village of some half-dry des-ert watering hole, you might not have much luck attract-ing customers.;Backer: Jordan Neal </t>
  </si>
  <si>
    <t>Creation of Adamant Specie</t>
  </si>
  <si>
    <t>Taking a coin of natural metal in her hand, the Solar infuses it with her Essence, transforming it. In the mo-ment the Exalt uses this Charm, an obscuring shadow slowly passes over her face. When it has passed, the coin between her fingers has become a coin of pure adamant, with the Unconquered Sun’s emblem on one side and the Solar’s sigil on the other. This coin has a number of properties and abilities.;The Solar may give this coin to another, authorizing them to use it in the Solar’s name. Any ghost, god, or raksha who sees the coin will automatically recog-nize the bearer as a business agent of one of the Solar Exalted. Such beings gain automatic knowledge of the Solar’s full Resources rating, allowing the bearer to set-tle accounts and make purchases without an exchange of wealth. When the bearer makes such purchases on the Lawgiver’s behalf, the Adamant Specie represents a heavenly oath on the Solar’s behalf to pay the debt out of her standing Resources within a year and a day. If the target in this transaction is destroyed or makes it delib-erately impossible for the Exalt to settle her account, the heavenly oath — but perhaps not the debt — is nullified.;Mortal merchants have no power to recognize the ac-counts of the Solar Exalted at a glance, and Guildsmen are particularly well-trained in not accepting magicked coins. Demons, as participants in deliberately insurgent economies, recognize the Solar’s accounts but may al-ways refuse to confer them credit. Ergo, neither demons nor Guildsmen honor such trade.;Such a coin also has a number of other strange effects. For one, the bearer can travel through the bordermarch-es of the Wyld and as long as they are holding the coin, neither they nor the things they are wearing or carrying can be warped by the Wyld.;The coin also evinces personal agency. If it is stolen, it can cause sudden cases of bad luck — 9s and 10s turned to 1s. To some it appears to give off a cursed silvery glow and they refuse to touch it. Others try to lift it and find that it is far beyond mortal strength to lift.;In the open market, it has a way of getting mixed into local tender, riding commerce to the edges of the Solar’s reach. If taken up by someone who fits one of the speci-fied criteria of Pattern-Exploiting Commerce Spirit, the coin will lead that person to the Solar, even if they are at the far end of the city.;Note that characters who are not authorized cannot use the coin to make purchases on the Solar’s account.;Special activation rules: The Solar may only create one such coin per day, but may have up to (Essence) coins in circulation. She may at any time pay one mote reflexively to cause the magic to flee a coin, causing it to transform in-stantly into a dull lead coin with faded inscription. She may also will a coin back to herself, causing it to travel from per-son to person, riding transactions and turns of luck to make itself known to her so that she can reclaim it. This process usually takes five or six hours to complete. Less, if the Solar goes looking for it. If the Solar is slain, all of her adamant coins immediately lose their magic and turn to lead.;On Creation of Adamant Specie;A very strange and interesting Charm, particularly apt as it sits inside the Eclipse wheelhouse. This Charm also demonstrates how Solar Charms sometimes get a little inventive and outside-the-box at higher Essence, something I was hard-pressed to show while writing the framework of the design. The reason ghosts are an ap-plicable target for this Charm is because ghosts are often fettered to the living world, and concerned with trade and transaction. Gods, as natural bureaucrats, also quite often find it very natural to wheel and deal. Both types of spirits adore worship, and so the loftier ideal of “credit” is something they can easily and very naturally grasp and work with. Demons are excluded from this triad for a number of reasons, from insurgent economy to slave caveat. What it boils down to is that a Yozi wants a Solar to conduct her business in person. The Lords of Chaos are however included because their existence is so often defined by relational trade with Creation. Raksha are simply “in the know” when it comes to doing business with their Solar enemies, and Solar magic accounts for them. And for those who are wondering, magical mate-rials do not count as natural metals.</t>
  </si>
  <si>
    <t>Spectacle-Inciting Order</t>
  </si>
  <si>
    <t>If the Solar has established herself as a person of business renown in an area and has a practice or organization that is currently functioning, then she may use this Charm once per season to call a prestigious and strange package to be delivered to a local market or other place of public com-merce. This delivery comes to Creation through a spirit court, a raksha court, or from the court of the ancestors, and what is inside will be strange, ethereal, or morbid as matches its source. In any case, the package is wrapped in glorious, scintillating, luminously textured paper, but is magically bound by a ribbon and can be opened by none other than the Solar. The package draws fascinated crowds and it is automatically perceived as something wondrous, a gift from the gods, or something strange and exciting. Roll the Solar’s unmodified Intelligence + Bureaucracy against a difficulty of 2 to determine the package’s Resources value. The Solar does not know what is in the box before she opens it, but she does know its exact value the moment it is delivered, and may trade on the expectation of what might be inside. Through repeated use of this Charm, and the eventual delivery of goods which are nigh priceless, the Solar can drive up speculation on the mysterious delivery and, on the fiction of never knowing the value of what’s inside, she can sell away something utterly worthless for a fortune, and can keep something priceless for herself, or use high Resources packages to entice future prospects into bigger gambling, business partnerships, and so on.;On Spectacle-Inciting Order;The backer wanted a Charm that would allow him to make money in a crazy, unexpected way.;Backer: Greg Link</t>
  </si>
  <si>
    <t>1sxp</t>
  </si>
  <si>
    <t>10wxp</t>
  </si>
  <si>
    <t>1wxp</t>
  </si>
  <si>
    <t>3wxp</t>
  </si>
  <si>
    <t>4s/g/wxp</t>
  </si>
  <si>
    <t>1s/g/wxp per success</t>
  </si>
  <si>
    <t>2 per mote</t>
  </si>
  <si>
    <t>2wxp</t>
  </si>
  <si>
    <t>Ever-Ready Innovation Discipline</t>
  </si>
  <si>
    <t>Through prolific work in her chosen discipline, the Solar shows incomparable foresight. A Solar with this Charm may retroactively complete a major project she never of-ficially began in order to even the odds against a threat, dangerous obstacle, or critical conflict that has arisen. Upon using the Charm, the Solar’s player describes a retroactive continuity in which their Solar planned and built — or in some cases destroyed — the thing for just such an occasion. The sole limitation is that this plot de-vice cannot simply resolve the conflict on its own. It can only be something that helps to make an unfair situation less inequitable.;Special activation rules: The Solar must have at least 15+ silver points on hand to use this Charm. However, using this Charm requires no expenditure of craft ex-perience. The finished project must reflect the Exalt’s chosen Craft Ability as well; a Solar with no skill as a seamstress cannot produce a ballgown to help an urchin look like a princess, nor can a Solar with no engineering skill reveal the location of a secret earthwork and pali-sade she built as a fallback position against the advanc-ing Wyld Hunt. This Charm may only be used (Essence / 2 round up) times per story.;Lastly, if the player shows ingenuity or cleverness in their Solar’s invention, award them one silver and two gold points. If they devise something very witty, funny, or interesting — especially if it helps drive conflict — grant the Solar three gold and one white point.;On Ever-Ready Innovation Discipline;The backer requested a Charm for his Twilight master-mind, that would allow him to build a contingency plan through a flashback retcon. I decided to put it in Craft to help players insert a fresh opportunity to describe their character’s crafting efforts over time in a moment relevant to the scene at hand, essentially allowing them to bring their craftsmanship center stage. I stipulated that their labor couldn’t completely resolve the conflict because it made it easier to appreciate an act of Deus ex Anathema if the other players were allowed to get in on the action, as with a Solar who presents the Night Caste with a rickety hang-glider built from coastal ship-wreckage when she needs over the walls of Ostagul without actually touching them. Or the Solar who has revealed she’s dismantled three of the nine ballistae be-ing wheeled up to the city gates — snapping her fingers and causing them to fall apart completely — so that the Dawn Caste can hold off the rest.;Storytellers, if you feel like the plot device the player de-scribes would resolve the conflict, feel free to reduce, alter, or damage it in some way to bring the conflict back into question. In addition, if you feel like there was absolutely no behind-the-scenes opportunity for the Exalt to finish the project they are describing, you can veto a use of this Charm. However, try to avoid doing this; if you can fathom the Exalt working into the wee hours working on her craft between all the other events in your story, allow it! Players need every opportunity to bring the long term (and therefore background) fruits of their labors into live, ongoing scenes.;Examples in play:;As the Eclipse returns to port in her trireme, she is set upon by a number of enemy ships which lay ambush to her in the bay. As her Circle con-templates its options, the Twilight reveals a small ship — swift, sleek, and able — that will carry them to their comrade’s side.;•    An earthquake causes damage to thousands of expensive wheels of cheese, which will go bad if they are not used immediately, causing the eco-nomic collapse of an entire industry. The Solar chef produces a recipe for cheese soup that al-lows restaurateurs to buy the damaged wheels in increased volume, to attempt to save the industry from total collapse. See Projects on page 226 of Exalted.;•    A Lunar warlord-queen is sweet on the Dawn Caste, but if he makes an ass of himself at her feast the entire Circle is going to be kicked out of her dominion, and they badly need to remain there until their work is finished. Rather than trusting him to dress himself, the Zenith tailor presents a highly-stylized garment fit for royalty, so that the Circle’s fashion victim doesn’t get them exiled.;•    “What can be done about the Ten Thousand Wooden Soldiers of Andus Gouch? These thou-sand fire arrows I batched up are a start. Now let’s hope the winds are in our favor.”;Backer: Meridian</t>
  </si>
  <si>
    <t>3i +1m, 1i per hl</t>
  </si>
  <si>
    <t>As the Solar strengthens her defining Principle, she can also draw strength from the Principles that sustain her. This Charm allows the Solar to channel power through a Defining Principle not protected by Righteous Lion Defense. As long as she upholds this Principle at the Defining level, she may use it to reflexively shake off and ignore one of the following forms of magic:? Fiat-level alterations to her destiny.? Sorcerous curses such as the spell Corrupted Words.? Psychic assaults of any kind.</t>
  </si>
  <si>
    <t>Empathic Aegis Discipline</t>
  </si>
  <si>
    <t>The Solar might grow to consider her allies to be an ex-tension of her self. With a touch, the Lawgiver may use Empathic Aegis Discipline to deepen this connection. If the Solar has a Major or Defining Tie for a character who shares one of her Defining Principles, when the subject feels physical or emotional agony the Solar senses it and understands the context of their suffering. This is not a debilitating experience — a subject losing a hand does not have the same impact on the Solar. But she does understand that he’s been caught thieving and is being punished. If the subject is somewhere the Lawgiver has been, this Charm makes her aware of the subject’s whereabouts. If not, she gets a general sense of direction and (greater of Essence or three) non-Charm successes to Awareness, Investigation, or Survival to find them.;At Essence 4+, the cost of this Charm drops to three motes.;Special activation rules: As long as the Solar has com-mitted this Charm to at least one character, it automat-ically applies to every character that is bound to her through a magically powerful oath such as one produced through sorcery or the Eclipse anima power.;On Empathic Aegis Discipline;The backer asked for a Charm that would let him sense when his closest allies were in peril. For those of you who are wondering which Ability to use in order to find someone with this Charm, think of Awareness, Investigation, and Survival in terms of distances. If your friend has been tied, weighted, and thrown into a canal running through a busy city, you might be close enough;— say, inside a nearby building — that upon emerging, you use Awareness Charms to hear their heartbeat at the bottom of the river, applying this Charm’s bonus to your attempt. But say they’re across the city, in a warehouse you’ve never seen, and someone is torturing them to reveal a secret. In that case, you would want to use Investigation Charms to try to find evidence of the abduction. But over a much larger distance, like a vast woodland, you would use Survival to track someone. Note that Awareness based Solar Charms are always helpful in noticing clues with Investigation or using Survival to see the minutest traces of a presence that has disturbed a natural environment.;Backer: Alexandre Tiv</t>
  </si>
  <si>
    <t>Strength from Conviction Stance</t>
  </si>
  <si>
    <t>Steel Heart Stance or any five Ability Charms</t>
  </si>
  <si>
    <t>The Lawgiver wears her scars like armor. In a decision point she may cite something precious that she lost in defense of a Principle she still holds. Perhaps she lost an eye or a limb, or had to let go of someone she loved in order to pursue the path she’s now on. In doing so, she can resolve the decision point without paying a point of Willpower, and without tapping a relevant Intimacy (if any even exist). This Charm can only be used once per story, but can be reset by successfully resisting influence regarding the defended Principle twice more.;On Strength from Conviction Stance;The backer wanted something weighty and emotionally charged — a Charm to help demonstrate the strength and courage of a tremendously dedicated individual who has endured suffering in the pursuit of their cause. This Charm is uncanny, because at a glance it appears simple, but it is a little more complicated than it seems, yet at the same time it’s very easy to grasp when looking backward from the social influence system. If you’re a little fuzzy on decision points, this Charm functions by modifying the rule on Exalted page 221, third paragraph under the “Overturning Influence” header, about overturning in-fluence by citing what has come before. Only it expands the definition of what you are allowed to cite, and doesn’t require an Intimacy. (You might have lost a Tie when a loved one died, but did you have an Intimacy for your lost eye? Probably not.) It also doesn’t require that you be under the effect of an ongoing persuade action; it simply treats your Principle as if it has the weight of a legendary quest. It’s also recursive; by waiving your need to tap an Intimacy, you can cite the very same reasons the next time you fall into a decision point. You’ll have to pay the Willpower and come up with a new Intimacy if you fall into a third decision point, but I feel the second repetition helps it feel like the Solar’s Conviction is profound.;Backer: Sean Mattox</t>
  </si>
  <si>
    <t>Fetich-Tracing Eye</t>
  </si>
  <si>
    <t>When the Solar is tracking something that was taken from her, she can see lines and traces of that object’s Essence. This Charm supplements a case scene action to locate stolen items belonging to the Lawgiver, giving her one automatic success to find evidence leading her back to what she has lost. This Charm can also be used in Survival-based tracking rolls.;On Fetich-Tracing Eye;The backer wanted a Charm that would help him locate items that were stolen from his Solar.;Backer: Bryan Buschmann</t>
  </si>
  <si>
    <t>Truth-Rendering Attitude</t>
  </si>
  <si>
    <t>Investigation 4, Essence 2</t>
  </si>
  <si>
    <t>One action</t>
  </si>
  <si>
    <t>Judge’s Ear Technique</t>
  </si>
  <si>
    <t>The Lawgiver can reconstruct the statements of a wit-ness so perfectly that the Solar gains a psychic vision of any case scene (Exalted p. 224) or profile character (Exalted p. 225) action the character describes. So long as that character has undertaken such an action, the Exalt can analyze the evidence or the profiled character as if she were there, adding her own Wits or Perception + Investigation roll to the witness’s own result and making an even more profound or clear reading of the situation. The Lawgiver may use Judge’s Ear Technique to evaluate any statements heard by the witness during this psychic vision, and she may use the Investigation Excellency to amplify her roll, but she may not use any Simple-type Charms or Charms which would require her to handle evidence in order to fill out the witness’s testimony.;On Truth-Rendering Attitude;The backer wanted me to create a Charm for his Solar “Gavin of Nighthammer,” that would allow him to make a remote investigation through the eyes of a familiar or a subordinate. I decided to go with an approach that al-lows you to finish an action started by another, to model a great detective who can hear someone’s analysis of a crime scene and solve it instantly, or who can take their incomplete read on a particularly inscrutable or mysteri-ous person, and give a full composite of that person and their most probable identity. Note that if someone tries to describe an event they did not witness, this Charm simply reveals nothing to the Solar. She should probably use the prerequisite to evaluate what she’s hearing. Also I decided to make it Mute to offset the weighty price.;Backer: Ryan “Galby” Galbraith</t>
  </si>
  <si>
    <t>Or 5m</t>
  </si>
  <si>
    <t>The Exalt's meticulous preparation forms a bulwark against failure. This Charm can be triggered after performing any of the valid listed actions below. The player rolls (Intelligence + Larceny), converting each success to a pool of contingency points which can be spent on features listed below.Valid actions include a scene spent: forging or counterfeiting; preparing an alibi; pursuing information about a person without using violence; obtaining blueprints to a location the Exalt plans to infiltrate; making a plan to enter and escape a dangerous location; plotting to confuse or undermine local law enforcement or criminal syndicates. Contingency points can be spent in the following ways:? Distorting a single piece of evidence (5 points)? Door-Evading Technique 5m, 1wp (5 points)? Disguise attempt +1 automatic success (3 points)? Flashing Ruse Prana 0m, 0wp (7 points)? Retroactively leaving one's calling card (mark, sign, etc.) in a dramatic location. (1 point)Once the Exalt begins spending contingency points, this Charm may not be used to gather new contingencies until the Exalt has spent all the points. The Exalt may not use Master Plan Meditation twice for the same type of valid action in a single session. ON MASTER PLAN MEDITATION In each instance of altered evidence, the player is able to respond to the introduction or discovery of evidence, retroactively changing the narrative. This is not a Creationtime alteration, but rather a retroactive continuity of the Storyteller’s narrative or Investigation action results by another player. Literally, as a character discovers some evidence of your crime, you can pay contingency points to alter the evidence, changing what he found (even if that means he found nothing). Destroying evidence is different from erasing evidence; destroyed evidence may be reconstructed by various Charms. Erased evidence is treated as though your Solar carefully covered her tracks. Feel free to gloatingly describe how she outsmarted her pursuers by convincing an army of ants to right the blades of grass she walked over that day, or how she snatched up that single strand of hair before it could fall to the floor. Distorting evidence causes it to point at another character connected to the crime scene location. The Exalt’s player does not determine at whom it points; that determination is instead made by the player of the detective. If the only other character known to have visited the scene is the detective, the evidence will point to his guilt. This Charm models the Solar’s serious attention to detail and overqualification for mindgames. Each use should be depicted as the Lawgiver channeling a preternatural sense of preparedness and foresight and meditating on future plans to make her tactics flawless. The duration of each listed contingency is one instant, unless stated otherwise. The Exalt must know the Charms enhanced by contingencies in order to benefit from them.</t>
  </si>
  <si>
    <t>This Charm demonstrates the skill of a Lawgiver to steal the very weapon from her foe's hand. When used,this Charm alters a disarm gambit (see p. 199) in the following ways:? The cost of the gambit is replaced by the cost of the Charm.? The gambit is considered a reflexive action rather than a combat action, leaving the Exalt free to attack in addition to disarming. Doing so carries no Defense penalty. ? The Lawgiver's Initiative roll gains double 9s.</t>
  </si>
  <si>
    <t>The Solar walks among the wicked as a demon and a saint. Gathering all the speed and skill of her hands into the channel of her Essence, her talent is forced out through her skin, manifesting in a burning corona that coats her hands in the fires of her anima.For a moment, the gloves suffuse her hands and blaze. For the next thirty seconds or two rounds, whichever comes first, no member of a criminal organization nor creature of darkness may Join Battle against the Lawgiver or roll to attack her. During this time, each of her allies gains +3 automatic successes to any attempt to escape the scene.After this effect ends, her hands continue to blaze. She may mute the effect with just a thought: her Null Anima Gloves fade to invisibility. They are still there, however. Should she use her hands to block an attack, land a strike, or steal an object, they will flash and hum back into existence, and remain that way until she banishes them. This is merely a visual display, however?... Null Anima Gloves convey the following powers:- Raiton’s Unerring Claw: Once per full anima progression, she may reroll any Larceny-based action involving her hands.- Flashing Whip, Silent Whip: Once per day, she may use a free full Larceny Excellency to enhance an attempt to pickpocket or steal from plain sight.- Seize the Day: In combat, she may use a gambit which costs three Initiative to make a (Dexterity + Larceny) based decisive attack against her opponent, with double successes on the Initiative roll. If she succeeds, she regains four Initiative and steals an additional amount from the opponent equal to her Dexterity, adding it to her own total. The Exalt must be close enough to touch her opponent to use this technique and must use her hands to make the attack. Seize the Day can only be used once per battle, but is automatically reset when the Solar climbs to 15+ Initiative after landing a decisive attack which returns her to base Initiative. - Dream-Ending Gesture : With a curt flash of her hand, the Solar rips away the proof of her foe’s divinity. The Exalt uses a gambit costing five Initiative, making a (Dexterity + Larceny) based decisive attack against her opponent, with double successes on the Initiative roll. If the Exalt’s gambit succeeds, she steals a number of motes equal to her extra successes on the attack, adding them to her peripheral or personal motes. Dream-Ending Gesture can only be used once per scene. - Steal Inertia: Once per battle the Exalt may reflexively enact a (Dexterity + Larceny) Clash against an attack.This Clash is enhanced by (Essence) automatic successes. If her successes cancel her opponent’s, she can be seen to stop the blow with her blazing, anima-suffused hands, and may automatically respond with a disarm gambit at no cost, using extra successes on the Clash as automatic successes to her gambit’s Initiative roll. - Hand-Spear Convocation : Upon stealing an artifact, she experiences a rush of power that surges through herbody and floods into her hands, supplying the motes needed to attune the artifact, effectively reducing the cost of attunement to 0. This may only happen once per scene.</t>
  </si>
  <si>
    <t>Criminal Seduction Method</t>
  </si>
  <si>
    <t>—</t>
  </si>
  <si>
    <t>Speaking of treasure halls and harems’ jewels, easy mon-ey and ecstatic murder, the Solar can persuade almost anyone to break the law. If the Lawgiver is aware of an Intimacy which would allow her to persuade someone to commit a crime, this Charm gives her (Essence) bonus dice to a Presence- or Socialize-based attempt to do so.;On Criminal Seduction Method;The backer was interested in a Larceny Charm to help him convince other characters to join him on heists and other criminal activities.;Backer: Silent Winters Sun</t>
  </si>
  <si>
    <t>Sun-Stealing Shadow Spirit</t>
  </si>
  <si>
    <t>No fortress is impregnable to one of the Solar Exalted. Through continuous observation of movement and in-teractions around a specific location, the Solar becomes supernaturally aware of flaws in a pattern of security. She might notice an unlocked window or door, a guard who leaves his post at a certain time every night, a secret entrance, a pattern in security patrols, and so on. She can complete (Essence) weeks of observation in (difficulty x;10) minutes; flows of Essence show her snarls in the order of day to day operations, such that she can know a daily pattern after only having been present for just minutes.;Roll the Solar’s Perception + Larceny with a difficul-ty based on the size and tightness of security, with an undefended shop rating difficulty 1, a merchant prince’s mansion rating difficulty 3, and the Imperial Treasury rating difficulty 6. The difficulty of this roll can be low-ered with appropriately stunted Awareness Charms.;If successful, the Lawgiver can introduce one fact about a weakness in the location’s security, and for every addi-tional two successes she may name another factual secu-rity weakness, place of concealment, or other means of gaining surreptitious access to a place. Unlike introducing a fact with Lore, if the Solar beats the set difficulty, the Storyteller should always allow whatever fact the player introduces. If the Storyteller deems there are absolutely no flaws, the difficulty should be set to 10 and if the Solar jumps this hurdle then they still find at least one flaw.;Special activation rules: By spending six points ac-crued by Master Plan Meditation, this Charm may be used retroactively, without a roll and for free, allowing the Solar to declare away a guard that’s just caught her, a trap that’s just sprung on her, a hiding place that wasn’t there before, and so on. She may only introduce a single fact in this fashion. ;On Sun-Stealing Shadow Spirit;I badly wanted to do a Charm that would allow the Solar to effectively case a location using Larceny, but my initial try at it way back in 2013 was unworkable. Conversely, I came up with this mechanic as an afterthought while putting in bonus Charms. Oh the changes wrought by time and experience.</t>
  </si>
  <si>
    <t>plus 3m per language</t>
  </si>
  <si>
    <t>Soul-Drawing Pattern</t>
  </si>
  <si>
    <t>The Lawgiver settles down for a minimum of one minute, writing a description of a person with certain character traits the Exalt requires. In a single minute she can describe a character’s specific appearance (“a man with an island-er’s cast”), skill set (“good at being discrete, fully literate in Seatongue and skilled in Azurite legal writ”), social Ties (or lack thereof), and a Major or Defining Principle. Then the Solar waits. If a mortal who matches the description of the character is within a day’s travel, they will arrive at the place where the Solar wrote the description within the day. If the Solar is in an unreachable or foreboding place the character will only go as far as they are comfortable before returning to their regular course.;Characters drawn by this Charm are not aware of any overt magic that has drawn them to the place of writing. It is up to the Exalt to identify the character, and then to do with them as she wishes. This Charm provides no guarantee that the subject will cooperate, or that they will appreciate being set on by the Solar. It gives her no control over them whatsoever, only a chance to compel them to her purposes. It may also come to pass that no character in range perfectly matches the Solar’s bequest. In that case, the nearest match to the description will be drawn instead.;On Soul-Drawing Pattern;A neat little power, giving you anything from a helpful lawyer to a hot date.</t>
  </si>
  <si>
    <t>Indelible Spoken Script</t>
  </si>
  <si>
    <t>Linguistics: 5, Essence 3</t>
  </si>
  <si>
    <t>The Lawgiver’s words emblazon a solid surface in the vibrant, multi-hued colors of Solar anima. This creates a message no longer than two breaths in spoken length, and lays it over a space up to (Essence x 3) yards wide or (x 5) high. This message appears in the runes, picto-grams, or letters of the language the Exalt is speaking. If she wishes to infuse this message with Written-only Linguistics magic, she may pay to do so at this time, treating Simple-type Linguistic Charms as if they were Reflexive. The Solar must be within fifty yards of the surface she is speaking words onto.;Anyone who reads this message is subject to any social influence entailed in the script — usually modeled as a typical contest of Linguistics vs. Resolve — but only the first time they read it.;As long as the Solar keeps motes committed to this effect, the script cannot be scrubbed from the surface of the wall, and any attempt to write over it fails. If the script it paint-ed over, it bleeds through. Any attempt to otherwise cover it ends in horrific botches. The only way to remove the Lawgiver’s words are to kill her, destroy the surface her words are written on, or use a special sorcerous working (Terrestrial Circle, Ambition 2, Finesse 1, Terminus 3). This sorcerous working costs no experience points, but requires one point of temporary Willpower on each one week interval. Failing to reach the goal by the terminus makes this effect immune to any sorcerous tampering by any sorcerer for two weeks. This failure can be noticed by a character using All-Encompassing Sorcerer’s Sight (Exalted p. 356) or similar magic.;By paying one Willpower when activating this Charm, the Lawgiver raises the difficulty of removing her words with a sorcerous working to (Terrestrial Circle, Ambition 2, Finesse 3, Terminus 1) and can choose to gouge her words into a surface as hard as granite.;On Indelible Spoken Script;When I note that the failure can be noticed with All-Encompassing Sorcerer’s Sight, I am not only referring to the temporary invincibility of the effect, but also the sorcerer who failed the working. A sorcerer who looks into the world of Essence will see the failed sorcerer emblazoned with the Solar’s message.</t>
  </si>
  <si>
    <t>3m per health level</t>
  </si>
  <si>
    <t>5m per health level</t>
  </si>
  <si>
    <t>1w</t>
  </si>
  <si>
    <t>2xp</t>
  </si>
  <si>
    <t>8xp</t>
  </si>
  <si>
    <t>10xp</t>
  </si>
  <si>
    <t>10i</t>
  </si>
  <si>
    <t>Soul-Light Spreading Discipline</t>
  </si>
  <si>
    <t>Over time, the Solar’s wisdom becomes the foundation of empires. Whenever students of the Solar — characters significantly educated or trained by the Solar — pass on her knowledge in turn, the act of following her teachings becomes a kind of worship. Conceptualizing the Solar’s teachings themselves as a character, for every dot of Followers her teachings might accrue, the Solar may count half those (rounded down, minimum one) as a dot of Cult.;On Soul-Light Spreading Discipline;The backer requested a Lore Charm that would create a circular flow of benefit from the Solar teacher to their students, allowing the system to interpret the Solar’s students as her cult. A very cool concept indeed! In case you are wondering, for the hypothetical purposes of this Charm, Followers 4 reflects 1000+ followers, while Followers 5 reflects 5000+.;Backer: Matt Rock</t>
  </si>
  <si>
    <t>Cloud-Wreathed Scholar</t>
  </si>
  <si>
    <t>The Solar is a bottomless font of knowledge, renewed by any source of true intrigue. While pursuing the goals of her Circle or the goals of someone for whom she holds a Major or Defining Tie, the Solar may use this Charm to roll to introduce a fact, even if she has already in-troduced a fact that scene. The Solar may only use this Charm when she perceives a need for her expertise, and only if it pertains to the events at hand.;On Cloud-Wreathed Scholar;When I wrote the Lore rules, I limited players to one introduced fact per scene. I was wary of clogging one scene with too many lore-based revelations. But I think this Charm is significantly limited enough to prevent such abuse, while allowing the Solar savant to tackle a continuous flow of puzzles, riddles, and historical mys-teries to aid her allies in advancement.</t>
  </si>
  <si>
    <t>Hundred Sages Focus</t>
  </si>
  <si>
    <t>With the wisdom of the ages flowing through her mind, the Solar’s concentration can induce an epiphany. With a moment of intense observation of practically anything;— a natural phenomena, geographical feature, architec-tural feature, riddle, puzzle, and so on — the Lawgiver can name the Lore difficulty to introduce a fact about what she is observing, and the Lore background needed in order to make that roll. This Charm does not give the Solar knowledge she doesn’t have — it can’t turn a geol-ogist into a student of ancient histories — but it does tell her where to begin her studies anew.;On Hundred Sages Focus;I came up with this Charm while preparing to run my own personal game of Exalted. As I was seeding the environment with deeply-seated lore and “unsolvable” mysteries, I started looking at the hidden histories of my game and deciding what it would take for our group’s Lore Solar to crack those mysteries wide open. In my game notes I started tagging environmental features thusly: “geological formation: geology difficulty 3”, “co-lossal arm of blue stone sticking out of the mountain: ‘biography of the Celestial Incarnae’ difficulty 10” and so on. In the former case, geology is the needed back-ground or “Lore topic.” The latter refers to a book in a library in Yu-Shan, of which there is no other copy, and which has never been to Creation.;Whenever I contemplate running an Exalted game, I always consider which Charms my players are using and which Abilities they are going to be rolling, and then I fill out the structure of every night’s gaming with a list of interesting Ability checks and opportunities to use said Charms. I seed the environment with difficult challeng-es. For my friend the investigator, I create mysteries and leave evidence. For the Solar savant, I fill the game with wondrous lore. For the occult specialist, strange and un-canny mysteries that are outside Lore’s purview.;In essence, I build my personal games of Exalted around my players. This Charm is an outgrowth of that, allow-ing a player to mine the hidden secrets from the setting, to find the presents I have buried for the whole Circle to stare at — in wonder, in horror.;One last thing: Harmonious Academic Methodology increases the gamut of your Solar’s knowledge. So if you find your Storyteller has placed a mystery in front of you that is outside your Solar’s background, hit the library, conduct interviews at the local academy, quiz a Sidereal, put a spirit in a headlock and make them teach you — whatever it takes to expand your Solar’s mind — and use that Charm whenever you can, so your Solar’s knowledge grows voluminously.</t>
  </si>
  <si>
    <t>Legend-Spirit Convocation</t>
  </si>
  <si>
    <t>This Charm upgrades the prerequisite, allowing it to be used on weapons and armor forged of natural met-als such as brass, iron, and steel. As the Solar clasps a weapon, she speaks her legend into it, and the whispers of mysterious spirits flow into it, filling it with tales of her past incarnations. The empowering effect of Wake the Sleeper is less profound on such mortal panoplies: the roll is always difficulty 2, and the weapon gains a sin-gle Instant-duration Evocation whether it is successful or not. If the roll succeeds, the weapon may (optionally) become visually transformed by the Solar’s anima, tak-ing on elements of her iconic form, and gains a passive or Permanent-duration Evocation that enhances the weapon or armor in question.;Special activation rules: In order to enhance mortal gear, it must be a favored and select weapon or armor of the character in question. The Solar may explicitly use this Charm to enhance the weaponry of someone for whom she holds a Major or greater Intimacy, positive or negative, so long as they join the Lawgiver in holding the object aloft as she channels the Essence of legend through its form.;On Legend-Spirit Convocation;The backer asked for a Charm that would expand what Wake the Sleeper could do, so I wrote this.;Backer: Nick Khorlin</t>
  </si>
  <si>
    <t>All-Knowing Enlightened Sovereign</t>
  </si>
  <si>
    <t>By expanding her mind, the Lawgiver can consult an Essence that touches the ends of the universe to find the an-swer. This Charm allows the Solar to attempt to challenge a Lore difficulty that is outside the background reflected by her Lore rating. With especially difficult challenges, such a roll is not even possible, but the Lawgiver may challenge any difficulty and any topic with her Lore by using this Charm. This Charm confers no knowledge of the required difficulty, though the Solar becomes aware of the topic the moment she uses this Charm, if she doesn’t know already. This Charm can be used once per story, but can be reset by a scene in which the Solar spends time studying the Lore topic she last challenged with this Charm.;On All-Knowing Enlightened Sovereign;Seems like a no-brainer. Or should we say all-brainer?</t>
  </si>
  <si>
    <t>Striking quick, rapid jabs to nerve clusters and pressure points, the martial artist leave her foes numbed and deadened, as if they had actually been bitten by a venomous snake. Crippling Pressure-Point Strike allows the Snake stylist to use one of the following gambits, crippling vital pressure points and disrupting meridians of Essence with painful fang strikes.? Blinding Fang Strike (Difficulty 3): A finger-fang strike to each of the enemy's eyes leaves him blinded for the rest of the scene. The enemy suffers a -3 penalty on all actions. He may recover his sight by spending a turn rubbing his injured eyes, a miscellaneous action which cannot be placed in a flurry. ?Nerve-Deadening Venom Atemi (Difficulty 4): A lightning-swift flurry of fang strikes along an arm leaves it paralyzed until the end of the scene. The victim immediately drops anything he was holding in that hand, cannot use it to perform any actions, and suffers a -2 penalty on any actions that would normally require the use of both hands. It is possible to paralyze both (or sometimes, all) of an enemy's arms with repeated use of this gambit, leaving him unable to wield weapons at all without clever stunting on his part.</t>
  </si>
  <si>
    <t>(+1wp)</t>
  </si>
  <si>
    <t>(or 4m)</t>
  </si>
  <si>
    <t>A brilliant flare of scarlet suffuses the silver halos of the White Reaper's corona, as if stained with the blood of countless enemies. Then, in an instant, it flickers out, vanishing into her wounds and sealing them with a hissing burst of steam. The martial artist must have White Reaper Form active and at least one damaged -2 health level to use Snow Follows Winter, paying a point of Willpower at the start of her turn to heal (current halos) levels of bashing and lethal damage. Doing so expends these halos at the end of her turn. This healing surge can only be used once per scene. Additionally, for the rest of the scene, the martial artist gains the following benefits while she is in White Reaper Form: ? The martial artist reduces any wound penalties she suffers by the number of halos she has. ? Enemies who have witnessed the awful power of their seemingly invincible enemy lose their courage in battle. Any rout check provoked by the martial artist's attacks are made at (1 + [halos/2, round up]) difficulty ? Whenever she resets to base Initiative after making a  decisive attack, she may add +1 to her base Initiative for each halo she has. Doing so expends all halos at the end of the turn.Special activation rules: Snow Follows Winter can only be used once per fight. Mastery: Using Snow Follows Winter for the first time in a fight gives the martial artist a surge of (Stamina x</t>
  </si>
  <si>
    <t>Shrouding her weapon in a penumbra of Essence, the martial artist strikes before her foes have even realized they are under attack. For each extra success on a decisive attack roll, she converts one die of raw damage to an automatic successes, up to a maximum of (Essence) dice. Unexpected attacks have no upper limit on how many damage dice can be converted to successes. An enemy killed with this Charm dissolves into smoke, leaving behind no corpse. Terrestrial: A Dragon-Blood can only use this Charm to enhance unexpected attacks, and these attacks may convert a maximum of (Essence) dice.</t>
  </si>
  <si>
    <t>Violence begets violence. If there is to be an end to the suffering and sorrow which afflicts the world, something must stop this cycle. Drawing the hostile Essence and killing intent of an attack into his defense, the Crane stylist weave an intricate kata to break the flow of her opponent's aggression. Mournful Crane's Cry enhances a counterattack, providing a varying effect based on the weapon used to deliver it:? Feather-Strewn Path (Unarmed): The martial artist's unarmed counterattacks turn the momentum of her foe's attacks against him, tossing him up to two range bands horizontally in any direction at the conclusion of the attack and knocking him prone (assuming it succeeds). The Feather-Strewn Path is a gentle one, and enemies flung by it suffer no further damage when they touch down. ? Beak Spears Frog (Hook Sword): Using a hook sword to counter with a disarm gambit, the martial artist applies double 9s to the Initiative roll, and halves the Initiative cost of the gambit.</t>
  </si>
  <si>
    <t>Closing her eyes, the Righteous Devil perceives the ebb and flow of Essence around her through a mandala of blue rings, nine notched discs of silver-blue light that spin around her foes in her mind's eye. If her anima banner is at the bonfire level, this azure abacus becomes visible to all within its light, the silvery rings orbiting around the stylist and aligning as she lines up a shot. Firing through this reticule mandala hones in on an enemy's weakest point, granting benefits commensurate to the enemy's level of cover. ? Enemies that do not benefit from cover lose all soak against the attack, except for that provided by Charms and other magical effects. Artifact armor is not considered a magical effect. ? Enemies under light cover halve their mundane soak against the attack.? Enemies under heavy cover subtract -1 from their mundane soak for every extra success on the attack roll, but not below half their full value.? Enemies under full cover are unaffected.</t>
  </si>
  <si>
    <t>Courtesan FormJust as there is beauty in the budding and blossoming of flowers in the springtime seasons, so too is there a melancholy elegance in the fall of leaves as the autumnal seasons come in turn. It is with this mournful grace that the Dreaming Pearl Courtesan dispatches her victims. The Flurry of August Leaves enhances an attack based on the tags of the weapon used to make it. If the weapon has multiple valid tags, the martial artist can only choose one of the available options. ? Clearing the Banquet Table (Disarming): A successful disarm gambit allows the martial artist to fling her enemy's weapon out to medium range (or long range, with Dreaming Pearl Courtesan Form active). The Initiative cost of the gambit is waived.? Lethal Paper Fan Attack (Shield): As part of the attack, the martial artist may reflexively take a full defense action at no Initiative cost, effortlessly blending offensive and defensive motion in an elegant fan dance. ? Unraveling Loose Threads (Piercing): A successful attack with a piercing weapon neutralizes the enemy's armor, setting its base soak and hardness to zero against her for the next two rounds. ? Resplendent Sash Grapple (Grappling): Upon landing a grapple gambit with a grappling weapon, the martial artist may waive the Initiative cost of the gambit and roll</t>
  </si>
  <si>
    <t>Once a man has let the Dreaming Pearl Courtesan into his heart, his bedchamber, or his confidence, he is all but dead. Vindictive Concubine's Pillow Book applies the double 10s rule to the damage roll of a decisive attack after the attack roll has been made. In addition, for each of the following criteria met, the next number down is doubled. For example, meeting one of the listed conditions would apply double 9s, while meeting three or more would apply the maximum of double 7s.? The martial artist is making an ambush attack against a character who already knows her. ? The martial artist possesses some knowledge of the victim's personal life or dealings that could be potentially embarrassing or ruinous for him, and he knows that she knows it. ? The martial artist stole a point of Initiative from her victim with the Fragrant Petal Fascination Kata on her last or current turn. ? The martial artist used the Seven Storms Escape Prana and successfully overcame the enemy's Resolve on her last or current turn (regardless of whether he spent Willpower to resist or not). Terrestrial: A Dragon-Blood can only use Vindictive Concubine's Pillow Book once per fight, unless reset by successfully defending against a decisive attack with 15+ dice on its attack roll. Mastery: The martial artist treats being in Dreaming Pearl Courtesan Form as an additional criterion for doubling damage successes with this Charm. Additionally, once the martial artist has reached double 7s, any further criteria she meets add +1 to her base Initiative upon resetting.</t>
  </si>
  <si>
    <t>Mastering the Dreaming Pearl Courtesan style means mastering the countless layers of veils and facades that people place between themselves and the world. Students learn to insinuate themselves behind these veils and pierce through these facades to see the pearl of truth at their victim's heart, the fragile, vulnerable thing that is the self. But there is a deeper wisdom in the Dreaming Pearl Courtesan's enlightenment. When she must, she may cast off her own veils of selfhood, revealing the dreaming pearl that is her true Essence, a dread and beautiful truth to behold. In order to use this Charm, the martial artist must be in the Dreaming Pearl Courtesan Form, and must either have Initiative 15+, or have all of her -2 health levels filled with damage. With these conditions met, she may commit the cost of this Charm at the start of her turn to Invoke the Chimera's Coils. Her neck lengthens up towards the heavens as she grows up to five times her normal height, while her head becomes that of a delicate, gold-beaked foal. Four sets of spiraling gazelle's horns adorn her brow, and her arms and legs vanish while opalescent fins like those of a carp hold her new form aloft in the air. Countless eyes run down either side of her narrow snout and continue down her back, ranging from the size of small pearls to that of goose eggs, blazing like sapphires in the noonday sun. While in this transformed state, the Dreaming Pearl Courtesan may fly, floating effortlessly on her gold-veined fins, and adds her Essence to her natural soak. She retains these benefits even if her Initiative falls below 15+, or if her -2 health levels are healed–those conditions are needed only to invoke the transformation, not to sustain it. In addition, her transformation unlocks additional benefits when using the Charms of this style:? Demure Carp Feint: Internalizing the grace of this Charm, the martial artist no longer treats the bonuses it provides as successes added by Charms. ? Elegant Weapon Repertoire: Instead of enchanting props to serve as weapons, the martial artist may use this Charm to attack with dream-like ephemera of any form she can imagine, treated as a light artifact weapon with the tag of her choice (from the four options) and a +3 bonus to its damage. ? Pearlescent Filigree Defense: Armor enchanted by this Charm gains the traits of medium artifact armor, but with no mobility penalty. ? Flurry of August Leaves: The martial artist may convert up to her (Appearance) extra successes on an attack roll supplemented by this Charm to dice added to the damage roll.</t>
  </si>
  <si>
    <t>or 5i, 1wp</t>
  </si>
  <si>
    <t>Time-Halting Flow</t>
  </si>
  <si>
    <t>Anondyne of Celestial Dreaming</t>
  </si>
  <si>
    <t>The Lawgiver can hold back the hands of time. The Exalt channels her Essence and strikes the soul of a terminally ill, comatose, or mortally wounded patient, flooding their chakras with sustaining Solar Essence. For as long as this Charm is committed, any disease or poison interval is per-manently halted, and unless done direct harm by external forces, the patient’s physical injuries cannot drive them into a worse condition. While under the effect of this Charm, the patient’s vital signs drop to virtually nothing, and they stop aging entirely. This Charm allows the Solar the time she needs to devise an effective treatment or to handle threats to life and limb without losing her patient.;Healing the patient does not automatically restore them to consciousness. This Charm can be disrupted by an attack on the patient, or by an impassioned plea for them to wake up, if it is coming from someone for whom they hold a Major or Defining Tie. It automatically ends if the Exalt dies or ends her commitment.;On Time-Halting Flow;In case your Solar should need to postpone treatment, or the character has an ailment she hasn’t figured out how to deal with yet. The Abyssal version of this is bound to be nasty.</t>
  </si>
  <si>
    <t>Like lightning spilled from the cup of a storm god,the Solar strikes in all directions. Until her next turn, the Solar may counter all incoming attacks exactly as if she were using Solar Counterattack, save for one major difference–should any of her counterattacks do damage, her Initiative will not return to its base value until the next round begins. If she does not successfully counter an opponent in the first round, this Charm fades when the second round begins.</t>
  </si>
  <si>
    <t>Nimble Reaving Wind</t>
  </si>
  <si>
    <t>The Solar moves across the battlefield like an implacable force. She may use this Charm on her turn to move away from a target without using a disengage action, so long as she uses her movement to enter into close range with another target and uses her attack action against that target. Though it is learned through Melee, this Charm is expressly allowed to aid in close range Brawl and Martial Arts attacks.;On Nimble Reaving Wind;A simple yet delicious effect. Enjoy!</t>
  </si>
  <si>
    <t>Arc Shedding Rain Technique</t>
  </si>
  <si>
    <t xml:space="preserve">The Solar strikes away lesser attacks with speed that can stop the falling rain. Upon successfully parrying a trivial opponent, the Solar may use this Charm to strike their weapon away from herself, automatically disarming them. If she has any Charms which allow her to attack an opponent she has disarmed she may then do so, even if she has already attacked for the round. This Charm ex-plicitly allows the Exalt to switch to a Brawl or Martial Arts based attack, provided that she makes the attack unarmed or with a legal weapon. This Charm confers no ability to draw such a weapon instantly, however.;Arc Shedding Rain Technique can only be used once per round, but may be reset during the round by successfully par-rying any attack while suffering an onslaught penalty of -2 or greater, or by parrying the attack of a dangerous opponent, or by killing any opponent with a Counterattack Charm.;On Arc Shedding Rain Technique;The backer’s favorite anime is Moribito, so she wanted a Melee Charm that would help her fight like Balsa. This was a tricky Charm to write, as Melee Charms have to work not only with spears, but with axes, swords, claymores, etc. After watching Balsa fight, I decided to make the Charm a very solid defense against greater numbers that would allow the Solar to create openings for Charms such as Savage Wolf Attack (Exalted p. 419), or yet-unwritten Martial Arts or Brawl Charms. The Solar parries away an enemy attack and then spin kicks them face down in a rice paddy. Go Balsa or go home.;Backer: Lindsay Steussy </t>
  </si>
  <si>
    <t>Gleaming Sever</t>
  </si>
  <si>
    <t>1m, 1i</t>
  </si>
  <si>
    <t>In the moment before she strikes, the Solar focuses her Essence along the edge of her blade, making it infinitely sharp. Fueling an attack with this Charm guarantees it one automatic success, and grants it one bonus die of damage, guaranteeing that die gets rolled regardless of the target’s soak or hardness. If she is using this Charm in combination with the Clash keyword to destroy rub-ble or other heavy scenery that has been hurled at her with a decisive gambit, this Charm grants three auto-matic successes to the Initiative roll.;On Gleaming Sever;A nice little boost of power to help round out Essence 1 Melee. This Charm’s effect has been balanced against narrative, owing to the dramatic effect a powerful blow has on an object in motion. Storytellers should be wary about allowing it to easily cut down stationary objects like massive fortress gates or thick castle walls.</t>
  </si>
  <si>
    <t>Stark Truth of Steel Method</t>
  </si>
  <si>
    <t>2m, 1i</t>
  </si>
  <si>
    <t>Through combat the Solar sees all things truly. When she witnesses an opponent successfully apply their Parry or Evasion with the aid of Charms or magic, the Exalt is able to understand the principle behind their defense and may strike through it. This Charm adds an automatic non-Charm success to an attack after the opponent has applied their Defense, if and only if they are using a defensive magic the Solar has seen them use previously in the battle. The insight the Solar gains is fleeting and momentary; this advantage fades after the Solar has used this Charm, and she must witness or ex-perience her opponent’s defense again in one round in order to use this Charm in the round that follows.;On Stark Truth of Steel Method;The backer wanted a Melee Charm that would allow him to exploit a flaw in his opponent’s defense to land an attack. I felt that a Charm that magnified wound or onslaught penalties was a bit too divorced from an expression of Melee skill, so I went with this Charm, which would reveal a weakness or flaw in an opponent through a mystical insight. This Charm neither requires nor conveys inherit knowledge of magic; the Solar can simply analyze tactical magic as if it were any other technique and find a way around it.;Backer: John Esslinger</t>
  </si>
  <si>
    <t>Victorious Wreath (Against the World Stance)</t>
  </si>
  <si>
    <t>6m, 1wp (+1i per round)</t>
  </si>
  <si>
    <t>(+1i per round)</t>
  </si>
  <si>
    <t>Fivefold Bulwark Stance, Ready in Eight Directions Stance</t>
  </si>
  <si>
    <t>The Lawgiver sees every angle for attack and counterat-tack, her every parry and strike building on one another to make her unassailable. While using this Charm, every time the Exalt successfully parries, she gains a number of motes equal to the difference between her Parry and the attack’s successes plus one. These motes can only be used to fuel Melee Charms, and vanish at the end of her next action. Victorious Wreath has a one Initiative per round upkeep, and if the Solar is crashed, the Charm is broken and the full cost must be paid again if she wishes to reinstate it.;A repurchase of this Charm allows an Exalt using Ready in Eight Directions Stance to keep their Initiative from returning to base at the end of the round, so long as they successfully parry every attack launched at them during the round while using Victorious Wreath.;On Victorious Wreath (Against the World Stance);The backer wanted a Melee Charm for use by his Solar, the Invincible Sword Princess. He wanted Princess to have a Charm that would help her deal with focus fire from a group of opponents, so I came up with an effect that would defray the cost of continual use of Dipping Swallow Defense or Ready in Eight Directions Stance. I imagine fighting the Invincible Sword Princess to be like trying to fight someone who is wreathed in Essence and steel and able to move faster than light. Thus you have Victorious Wreath, or the more narrative Against the World Stance.;Backer: Jye Nicolson</t>
  </si>
  <si>
    <t>Whirlwind-Tempest Deflection</t>
  </si>
  <si>
    <t>Flashing Edge of Dawn, Heavenly Guardian Defense</t>
  </si>
  <si>
    <t>Even a world-consuming maelstrom is driven aside by a Solar’s defense. Brandishing her Essence-laden weapon, when the Solar successfully parries a decisive attack of 17+ base damage, she may use this Charm to redirect the damage in a shockwave that cuts a circle of destruction around herself.;This attack automatically damages or destroys any non-magical scenery in range, doing automatic damage equal to half the decisive attack (rounded down). Done in a temple, pillars will begin to slide off of their bases. Done in a forest, trees will begin to topple all around the Solar. This attack also automatically hits every trivial oppo-nent in close range, and (greater of Essence or three) dangerous opponents in close range. Roll decisive dam-age equal to half the attack’s Initiative (round down) against the dangerous opponents. Trivial opponents take automatic decisive damage equal to the dangerous opponent who takes the most damage plus three. This attack does not use the Solar’s Initiative and does not re-set her to base Initiative. The Solar may use this Charm once per battle, but may reset it by raising her Initiative to 20+ and then landing a decisive attack, or by rolling Join Battle.;If the Solar knows Sandstorm-Wind Attack, Whirlwind-Tempest Deflection can be increased to short range by paying three extra motes.;On Whirlwind-Tempest Deflection;The backer wanted a Charm that would allow him to block an attack and redirect a destructive shockwave around himself from parrying the force of the blow. A decidedly simple request that ended up being a fairly complicated Charm! I tried to make it as roll-free as pos-sible while retaining its balance. Thus the limitation to how often you can use it and the similarly high cost.;Backer: Scott Ryder</t>
  </si>
  <si>
    <t>Shattering Clash</t>
  </si>
  <si>
    <t>The Solar’s interdicting strike lays waste to her oppo-nent. Upon a successful decisive attack, but before damage is rolled, the Lawgiver channels the fury of her Essence through the strike. If the attack does at least six health levels of damage to the target, three of that damage can be traded to destroy the target’s weapon, provided that weapon is made of natural (non-magical) materials such as steel.;On Shattering Clash;This Charm is risky because of the cost and the fact that you have to throw it before you see the damage roll. Because 10s are not doubled on the damage roll of a decisive attack you want to use this Charm with 14+ Initiative for the best chance to do the required damage.</t>
  </si>
  <si>
    <t>Omniscient Focus Attack</t>
  </si>
  <si>
    <t>Even gods may be cut by the sharp light of Solar fury. As long as she is gripping her weapon, the Solar feels the slightest movement in the air around her and may react with impossible speed. The Solar may use Fervent Blow to clash an attack she is not aware of; she becomes aware of the attack at the last moment. This Charm also allows her to strike immaterial opponents with a clash. This Charm does not force spirits to materialize, even if the Solar’s attack manages to wound them.;On Omniscient Focus Attack;I wrote this bonus Charm to give Solar Melee a little more overt supernatural capacity. The Solar can clash an opponent with the hypothetical ability to strike while immaterial. The ability to attack while immaterial is typically a power belonging only to spirits. Omniscient Focus Attack will work on concealed foes as well. For the most part, attacking from concealment reveals the attacker’s location, but if they are using magic to keep this from happening and yet the Solar does a lot of dam-age or kills them with her clash, the Storyteller should consider them revealed anyway, as the Solar slashes through a grate and blood pours from the place of con-cealment, or a dead body tumbles down out of a well of perfect shadows.</t>
  </si>
  <si>
    <t>All-Sundering Strike</t>
  </si>
  <si>
    <t>Clash</t>
  </si>
  <si>
    <t>Fervent Blow, Hail-Shattering Practice</t>
  </si>
  <si>
    <t>The Solar meets an attack with a strike that can cut through the heavens. This Charm supplements a clash attack, allowing the Solar to roll her clash twice and take the higher of two results. In addition, any Charms she uses on the first roll enhance the second roll for free. New Charms may not be added to the rerolled clash.;On All-Sundering Strike;The backer requested a Charm for his Solar who he de-scribed as a “master of clashes.” One of the most incom-parably strong mechanics in the game is the free “mim-ic” reroll that copies your Charms. This Supplemental clash enhancer is limited by its high price point.;Backer: Matthew McGuire</t>
  </si>
  <si>
    <t>Divine Executioner Stance</t>
  </si>
  <si>
    <t>6m (+1m)</t>
  </si>
  <si>
    <t>When her sense of justice or righteousness is offended, the Solar’s wrath suffuses her blades, making her at-tacks swing faster and bite harder. When she first uses this Charm, she grips her weapon tightly and makes a vow based on a Principle or Tie that she holds, to use her every means to defend or protect that Intimacy. This act has great mystical significance, recorded in the celes-tial registers of Heaven, as the Lawgiver swears on her weapon and her skill to protect what is most dear.;Thenceforth, whenever the Exalt makes a Melee attack in defense of the attached Intimacy and pays one mote, she gains bonus dice equal to (Intensity). In addition, if her target has acted to harm one of her Ties or threaten one of her Principles, a successful attack adds damage equal to the target’s strongest opposed Intimacy to the Solar or her protected Tie or Principle. In simple terms, the Lawgiver may not know her opponent’s Intimacies, but the Storyteller does, and can select the most ap-propriate Intimacy on the damage roll. If the Solar has vowed to protect the street urchins of Nighthammer, she may not realize that her target despises children, but the damage of her attack rips through his corrosive spir-it and wounds him that much more deeply. This Charm confers no knowledge of Intimacies to the Solar. ;In addition, if the target is a cursed, blighted creature, such as a ghost or a demon, or one of the Abyssal Exalted, the damage on this attack is increased by one, gains one automatic success, and the damage is aggravated.;On Divine Executioner Stance;The backer wanted a Melee Charm that would give him some added whomp from drawing on his Intimacies for an attack. A critical read on this Charm reveals that Solar Essence rips through and obliterates beings that are antithetical to the Solar’s spirit, ideals, and personal character. Intimacies are important to the formulation of a character’s identity, and a character’s identity is the foundation of their Essence, their total being. Thus the Divine Executioner is poised to strike down those who stand against her and the things she represents.;Backer: Patrick “Ash” Colford</t>
  </si>
  <si>
    <t>Six Eternities’ Travail</t>
  </si>
  <si>
    <t>—(1wp)</t>
  </si>
  <si>
    <t>In becoming one with strange forces, the Solar experi-ences the hardships of the infinite. Through their suf-fering she is enlightened. This Charm upgrades Ancient Tongue Understanding, bringing the Solar’s Essence closer to true embodiment of the spirit of the Old Realm language. If she adds a point of Willpower to the cost of the prerequisite, then any Occult roll she makes is enhanced while it is active, rolling additional dice for (Essence) 10s that appear in the result. If any 10s appear in these bonus dice, they are also rolled again.;On Six Eternities’ Travail;The backer wanted a Charm that would help him as a sorcerer. I decided to bring it in line with the Solar Charm set by making it applicable to any Occult roll.;Backer: Alec Humphrey</t>
  </si>
  <si>
    <t>Anima-Suffused Spirit</t>
  </si>
  <si>
    <t>1m + 2m, 1a per health level</t>
  </si>
  <si>
    <t>Focusing her Essence into the corporeal form of a spirit fa-miliar, a summoned elemental, or sorcerously-bound demon, the Solar may pour her anima into such a creature to heal its wounds. The Exalt pays one mote to activate the Charm, and for every two motes and one level of anima she spends, one of the spirit’s damaged health levels is instantly healed.;On Anima-Suffused Spirit;The backer asked for a Charm that would allow him to heal his spirit familiar in combat.;Backer: Brian Rivers</t>
  </si>
  <si>
    <t>What Light Reveals (Living Specter’s Flame)</t>
  </si>
  <si>
    <t>The Solar occultist’s burning anima is alive with the Essence of the strange. When the Lawgiver’s anima is visible, it brings her spirit familiar into sharper relief, amplifying their power. The Solar may temporarily im-part spirit Charms to her familiar that belong to spirits whose Essence patterns she has captured with Burning Exorcism Technique.;•    At the dim level, the spirit gains no benefit.;•    At the glowing level, she can impart (Essence / 2, rounded up) minor Charms.;•    At the burning level, she can impart an additional major Charm.;•    At the iconic level, she can add yet another minor and major Charm.;As long as the Solar’s anima is visible, the familiar gains the imparted Charms automatically. If it drops a level the Charms it can use are likewise reduced.;If the Solar has learned any spirit Charms through the use of Carnal Spirit Rending, Gloaming Eye Understanding, or Divine Mantle, she may choose to impart such Charms to her familiar as well.;On What Light Reveals (Living Specter’s Flame);The backer wanted a Charm that would power up their spirit familiar based on the intensity of their anima. I decided it would be an Occult Charm, because the un-canny nature of Occult Charms allows for strangeness in the method. This Charm demonstrates the nature of Essence to be the whole or sum of the being. Therefore, if a Solar is absorbing the Essence of spirits, her own Essence is affected. For more on conceptualizing spirit Charms, read Divine Mantle on page 310 of Exalted.;Backer: M.C.G.</t>
  </si>
  <si>
    <t>1hl</t>
  </si>
  <si>
    <t>Divine Instrument</t>
  </si>
  <si>
    <t>With but a gesture, the Solar dismisses her instrument. Be it a sanxian or a lyre, she sends it Elsewhere for one mote. The Solar may only draw it back with a flourish, often a swipe of her hand that causes it to materialize from a glimmer, or from a gout of Solar flame. This flourish costs two motes, and all who witness it become immediately aware of the Solar’s divinity. Any relevant Intimacies they have for “divine beings” or “spirits” or “holiness” automatically qualify as Resolve modifiers for the Solar’s music, regardless of what she intends by it.;On Divine Instrument;I deliberated for a long time about whether to include this in the effect in the core book. I even wrote it as a different Charm, but decided to cut it for space. This Charm is actually a much better version with a more interesting name and mechanic.;For those who are interested, the Abyssal version is very similar, and has you drawing a musician’s bow across the Shroud, eliciting a screech as it passes over invisible strings into your hand. Then as you flourish and bow in introduction, your instrument appears in a gout of black flame. But don’t worry; if you don’t use a bow, plectrum, baton, et al, you’ll still be covered.;Another kind of Exalt has their own version called Oud Flying Elsewhere; they hold their instrument high, let go, and it falls into the sky. When they need it back they reach up and it falls back down into their hand. Even in a completely enclosed space, it comes right down.</t>
  </si>
  <si>
    <t>Seventeen Cycles Symphony</t>
  </si>
  <si>
    <t>Heart-Compelling Method, Plec-tral Harbinger’s Approach</t>
  </si>
  <si>
    <t>The Solar becomes a conduit of divine music; beautiful unnatural melodies flow through her. When confronted with a natural environmental hazard such as a forest fire, a driving blizzard, a hurricane, and so on, the Solar may dispel nature’s fury with overriding music. Roll the Lawgiver’s Charisma + Performance with Essence au-tomatic successes against the difficulty of the hazard. If successful, she creates a safe path for a group of followers (Essence + [one per two extra successes]) in Size. A rag-ing inferno that covers a hundred miles will snuff out in a path large enough for her party to pass safely through, a river of magma becomes cool enough to cross barefoot, and a hurricane may be diverted narrowly from its course.;The Solar’s music need only contend with elemental forces for a handful of seconds in order to dispel them, but this effect lasts (Essence x 30) minutes, despite the listed duration. Lastly, the effect is centered around the Solar, and if she is still in a state of danger from the environmental hazard when this Charm’s time is up, she becomes aware of her need to re-use the Charm at least five minutes in advance. In that case, waive the Willpower cost to reactivate the Charm.;A repurchase of this Charm allows the Exalt to deal with supernatural environmental hazards and unusual hazards such as acid baths. She can turn a cauldron of boiling oil into a warm bath or ward off the demon winds of Malfeas.;After a repurchase, at Essence 4+, the Solar can use this Charm to destroy a sorcerous working that is barring her in the pursuit of a Defining Intimacy, rolling Charisma or Manipulation + Performance against the Resolve of the sorcerer who placed it, even if they are dead. A success allows her to shatter a minor working, or undo a major working until she has safely passed through it. Such a working is typically never an environmental hazard. It might be a massive seam where two mountains were fused to seal a path, an immovable capstone over a cave of lost dreams, a mind-worm whose screams force your best friend to fight you to the death, and so on.;On Seventeen Cycles Symphony;The backer wanted a Charm that would allow him to play a Solar Orpheus, able to quell nature’s wrath. I liked the idea so much I decided to expand it to make it a real homage to the mythical hero, who would stop at nothing in his quest. ;Storytellers should allow some creative latitude in basic interpretation of this Charm. A bank of thick fog over a rocky bay might not count as an environmental hazard in the strictest terms, but you should let a Solar dispel the fog so her captain can steer a safer course. Her song can’t get rid of the rocks, but perhaps it can calm the tides. You also might note that using this to cut a swath through a blizzard won’t make it magically warm and sunny. It will just get rid of the worst, most dangerous and threatening conditions of the blizzard, allowing your group to pass.;Backer: Nathan Henderson</t>
  </si>
  <si>
    <t>Drama-Fueling Ardor</t>
  </si>
  <si>
    <t>When acting in a play, the Solar’s energetic charisma and sexual energy is almost palpable. This Charm supplements a Performance roll when play-acting, adding one auto-matic success. In addition, this Charm mutes the (highest of [Essence] or three) peripheral motes used on that tick, while taking any successes over the average audience mem-ber’s Resolve (or Guile if applicable) and awarding them to the person acting opposite the Solar, to be used as non-Charm dice for their next Performance roll. Characters thus enhanced feed off the Solar’s energy, enhancing their own acting. The Solar’s fellow actors experience this not as an infusion of “good acting magic” but rather feel the Solar inhabits the soul of the character she is playing, reads the audience perfectly, and puts on a performance of such magnitude that they themselves are elevated.;If such a character’s acting is particularly well received after critics review their performance, they will gener-ate an appropriate Intimacy for the Solar, such as awed respect for her talent, or adoration for the Solar herself.;Lastly, any 9s or 10s on the enhanced roll by the actor opposite the Solar restore an equal number of motes to the Solar.;On Drama-Fueling Ardor;Another case of not having enough room in the core book. I really wanted to explore the thespian arm of the Performance tree, but there was simply no room. Here we have a Charm that gets something interesting started, and helps ingratiate you to your acting troupe. The muting effect helps the Solar pour everything into her performance. A Solar who uses this Charm leaves her heart on the stage.</t>
  </si>
  <si>
    <t>Divinely-Inspired Performance</t>
  </si>
  <si>
    <t>By attuning herself to the Essence flowing between stage, actors, and audience, the Solar can inhabit a role completely. Upon activating this Charm, the Solar knows every line of a play she is acting in, without hav-ing read the script. She can divine the correct line and which character must speak it, just from listening to the dialogue. She also understands the exact emotion that needs to be evoked from any one response.;On Divinely-Inspired Performance;This Charm models a Solar whose genius is so profound that she seems almost to be possessed by the author. She can fashion the perfect line — the exact correct line — just from listening to dialogue and interpreting cues. It’s not as if she has a magic teleprompter reading her the script, but rather that she becomes so completely immersed in the world of the play that she becomes the perfect avatar of her character.</t>
  </si>
  <si>
    <t>Seven Thunders Voice</t>
  </si>
  <si>
    <t>5m, 1wp (6m, 1wp)</t>
  </si>
  <si>
    <t>(6m, 1wp)</t>
  </si>
  <si>
    <t>The Solar’s voice is mighty and can be heard for long distances. This Charm allows the Lawgiver’s speech to be heard up to extreme long range. Even in a city riot, the Solar’s voice can be heard above the din. While her mighty voice reverberates, she is only capable of inspire and threaten actions, but ignores all penalties from envi-ronment, distance, or group influence to do so. She may always choose to lower her voice and speak normally while using this Charm, and must do so in order to use other forms of social influence. ;This Charm may also be used shape the Lawgiver’s voice into a weapon, blasting into the target of her ire with a single explosive utterance. This use of the Charm costs six motes, one Willpower, and has a duration of Instant. Roll a full free Charisma + Performance excellency de-cisive attack with (Essence) automatic successes. This attack can only be parried or dodged with magic. If it hits, the target is flung wildly backwards one range band and lands prone, taking one automatic bashing damage. For every three extra successes on the attack, the target is flung an extra range band up or backwards, taking one automatic bashing damage for every level they are flung. If they impact with a solid surface they do so explosive-ly, taking falling damage equal to number of range bands they were thrown minus one. This attack does not use the Solar’s Initiative for damage, but resets the Solar’s Initiative to base.;On Seven Thunders Voice;Ever wanted to blow the doors off a courtroom with a spoken word, or shout from the rooftops of Nexus and be heard across the city? Now you can.</t>
  </si>
  <si>
    <t>or 7m</t>
  </si>
  <si>
    <t>The flames of Solar passion run deep. Sometimes they burst forth, igniting the greatness in others. With this Charm, the Solar prepares an acolyte, follower, student or agent for some great task. This is a simple dramatic action in which she exults and extolls the virtue of her cause, invoking a Principle which she has instilled upon her target. This is not a social influence action, merely the way in which she pours excellence into her subject. For as long as she commits Essence, her charge gains three automatic non-Charm successes to apply to action taken on behalf of a Principle granted by the Solar. The character may use these successes all on one roll, or may spread them out. Once all the successes have been spent, the Solar senses it, as commitment to the Charm ends. Successes granted by this Charm have certain limitations:? The character may not invoke more successes on an action than he has dots in the relevant Ability. For example, the Solar's envoy, having Performance 2 and Thrown 1, could apply two successes to his address to the corrupt senate of Paramour, before using his last automatic success to fling a hidden stiletto into the legate's neck. He would not be able to put more than one success into the assassination attempt, and each action would have to be done in upholding or advancing a Principle given to him by the Solar. (In this case, perhaps the legate was holding the senate hostage, preventing them from accepting the envoy's influence.)? This Charm is stackable, but the Solar may not stack it on a single target more than (Essence) times. ? Even if the character is benefitting from multiple applications of this Charm, he may not enhance a single action by more than three granted successes.</t>
  </si>
  <si>
    <t>Poised Lion Attitude</t>
  </si>
  <si>
    <t>Presence 4, Essence 1</t>
  </si>
  <si>
    <t>The Solar’s presence is such that she affects unnatural ease, even on the battlefield. This Charm allows the Exalt to engage in Presence or Socialize-based social influence on her turn during combat without the use of a flurry.;On Poised Lion Attitude;The backer asked for a Charm that would aid him in ban-ter on a battlefield. I felt like this would be a good start.;Backer: Nathan Henderson</t>
  </si>
  <si>
    <t>Holy Touch</t>
  </si>
  <si>
    <t>The Solar drives the fullness of her presence into her hand and touches someone, connecting them to the current of power that runs through her. Such a character is blasted away from her and lands prone. This Charm is a decisive gambit using (Charisma or Appearance) + Presence, with a difficulty of 3. On a success, the Exalt lays a hand on the target, her palm surges with Solar Essence, and the target is blasted back one range band and is knocked down, tak-ing a single range band of falling damage. This Charm can be used to instantly break free of a grapple.;On Holy Touch;This Charm can also be used socially if combat wouldn’t make sense — generally against characters the Storyteller wouldn’t have you Join Battle to defeat with a regular attack. In this case, the Solar can trigger the Charm without a gambit; roleplaying and social influence deter-mines whether she makes the appropriate contact. I’d also like to note that a Solar who has the power of Holy Touch can gather her Essence, condensing her anima into a visible sphere in her palms. This has no cost or overt social influence, but characters who see it will cer-tainly have some reaction to it.</t>
  </si>
  <si>
    <t>God-Heeling Gesture</t>
  </si>
  <si>
    <t xml:space="preserve">Presence suffused with the Essence of divinity, the Solar wields her charisma to restore order. The Exalt may use this Charm once per round on her turn to make a sud-den gesture or action that completely reverses a lesser miracle. Generally this works without a roll, but if the Storyteller deems it necessary, roll a clash between the Charisma + Presence of the two characters.;Thus with a clap of her hands, the Solar can cause a with-ered flower to stand back up and bloom brightly. With a stomp of her foot she can cause a spring that dried out centuries ago to well up with fresh water. Altering a spirit’s dominion in this fashion automatically informs the spirit of the presence of one of the Solar Exalted. No other being could so casually gainsay a god.;On God-Heeling Gesture;This Charm cannot be used to counter the effects of magic that supplements or creates an attack. Use your noggin when adjudicating where and when to allow this Charm in play. If “winter thaw” cruelly kills a random sparrow, the Solar can make a mudra to restore the bird to life. If the Solar’s sparrow familiar is killed by a light-ning bolt hurled by a god, nothing can restore it to life. </t>
  </si>
  <si>
    <t>Unnerving Solar Presence</t>
  </si>
  <si>
    <t xml:space="preserve">The Solar magnifies her presence to overwhelm a suppli-cant’s senses. The Solar may use this Charm in response to social influence being initiated by someone who desires her sexually or who is intimidated by her, amplifying their desire or unease to such a degree that they lose their social ease and become flustered. This Charm removes (Solar’s Essence) dice from an initiate’s attempt at social influence. The Solar’s fearsome aspect becomes momentarily more terrifying or her best features become ethereally pronounced. This effect is experienced subjectively and only by the initiate. To ob-servers, the Solar merely inclines to listen.;On Unnerving Solar Presence;The backer asked for a perfect defense in social influence, and I wasn’t able to write one that was balanced. So in-stead we settled for a less top-heavy effect that felt never-theless appropriate to Solars and to the Presence Ability.;Backer: Tom Huber </t>
  </si>
  <si>
    <t>Voice-Empowering Aspect (Aspect-Imbued Voice)</t>
  </si>
  <si>
    <t>6m (1m, 1wp)</t>
  </si>
  <si>
    <t>(1m, 1wp)</t>
  </si>
  <si>
    <t>Channeling the fullness of her presence briefly, the Lawgiver passes her divine aspect into another. The Exalt may only use this Charm on a character enhanced by the prerequisite. The enhanced character must also possess Charisma 3+ and Presence 3+ to receive this power. This Charm adds three motes to the prophet’s mote pool and grants them a Charm called Divine Aspect, a one mote reflexive Charm that grants them one automatic success to a Presence roll to social influence that is an accordance with one of the Solar’s Defining Principles. This Charm confers knowledge of a single such Intimacy; if the Intimacy is already known, this Charm confirms it as the Solar commands her prophet to go forth and be righteous and just according to her wishes. Divine Aspect may also be used to reflexively raise the prophet’s Resolve by one.;Lastly, whenever the prophet uses Divine Aspect to re-buke or command one who has transgressed against the Solar, the Lawgiver senses it and may pay one mote, one Willpower to cause the prophet to blaze with her glory, lit up with Solar anima. Wreathed in flame, the prophet’s mien appears as the Solar’s, and the prophet speaks with the Solar’s voice, and the Solar may inhabit her prophet’s form, using them as a vessel for her own Presence and Integrity Charms for (Essence) rounds. The Solar can use her prophet’s senses and can control their gestures, but this does not confer the Solar sensory control necessary for Awareness or Investigation, or the ability to fight using her prophet’s body. The Solar pays the cost of any Presence or Integrity Charms used on her prophet’s behalf.;On Voice-Empowering Aspect (Aspect-Imbued Voice);The backer requested a Charm that would allow a Solar to suffuse a follower with her sacred and divine pres-ence so that they might go forth in the Solar’s name like a prophet of old and do battle with evil. He specifically mentioned the conferring of power from Elijah to Elisha and gave the sense that he wanted to confront evil ideas through social influence rather than through violence.;Backer: Nathan Colon</t>
  </si>
  <si>
    <t>Divinity-Conferring Touch (Celestial Exaltation Method)</t>
  </si>
  <si>
    <t>Presence 5, Essence 5</t>
  </si>
  <si>
    <t>The Lawgiver may confer the power of divinity upon a mortal subordinate, allowing them to taste the power of the Exalted. The Solar touches the subject and uses this Charm. They feel the charge of Solar Essence, and their mind is spiritually opened for just a moment, long enough for them to hear the prayers of the Solar’s cult, like the flutterings of moths. As long as the Exalt keeps this Charm committed, the target may draw Willpower from the Solar’s cult. The subject also gains three specif-ic spirit Charms — two minor miracles, and one major miracle — that fit their most significant Principles. Any time they use the cult-derived point of Willpower to en-hance one of their dice rolls to uphold or defend one of their Intimacies, the prayers of the cult are channeled into them for a moment, giving them the Essence they need to perform the Charm for the Charm’s duration.;This does not grant the mortal an Essence pool, but allows them to sustain divine, transformative power in accordance with the divinity conferred to them by the Solar and the mystic power generated by her worship-ers. The subject loses access to these miracles if the Solar ends her commitment to this Charm.;As long as the Solar is continually expanding her cult through overt and subtle miracles, the Willpower her subject draws from the Solar’s cult does not diminish the reservoir of wor-ship (Willpower) the Solar herself draws upon.;On Divinity-Conferring Touch;(Celestial Exaltation Method);The backer wanted a Charm to uplift his mortal follow-ers with divine status and power. It should be noted that players and Storytellers should work out the details of what kind of spirit Charms should be conferred to the subject in advance. For one who wishes to spy on the Solar’s enemies, thereby upholding a Principle of belief in the Solar’s right to rule, the subject’s major miracle could be something like “Creeping Willow Meditation” in which her flesh becomes as bark and gnarled wood and she winds herself around a tree, melding with it so that she goes completely unnoticed in the forest where conspirators are known to meet. A minor miracle called “Sweet Ivy’s Bliss” would allow her to inflict sudden plant-based toxic necrosis in the skin of someone she touched — for example, if one of the conspirators con-fronted her as she was leaving the woods.;Backer: Ross Ramsay</t>
  </si>
  <si>
    <t>or 6m</t>
  </si>
  <si>
    <t>Armed and Ready Discipline</t>
  </si>
  <si>
    <t>On each round of donning armor with the prerequisite, the Lawgiver can attack without a flurry by doing a stunt in which she attacks while putting on a piece of armor. If she knows Call the Blade or Summoning the Loyal Steel, she may use either Charm reflexively for free while Armed and Ready Discipline is active.;On Armed and Ready Discipline;The backer wanted a Charm that would let him use Whirlwind Armor-Donning Prana and Summoning the Loyal Steel at the same time, and I thought “why stop there?” It was actually a tricky Charm to work out, since those other Charms are about as efficient as you can pos-sibly get. In the end I decided to value-add this Charm by allowing you to arm yourself while attacking, punching through vambraces to snap them on, clapping on a breast-plate while delivering a spinning slash, drop-kicking into your greaves, and so on.;Backer: Johan Westber</t>
  </si>
  <si>
    <t>Blade-Turning Body Technique</t>
  </si>
  <si>
    <t>Apocryphal, Dual</t>
  </si>
  <si>
    <t>Through rigorous training and the fortifying might of her Essence, the Solar learns to harden her skin until it can resist blade and flame alike as well as a suit of fine armor. While this Charm is active, the Solar is immune to incidental injury such as being cut by glass when crashing through a window, or bloodying her knuckles on a fore’s jaw. She can ignore outright any environmen-tal damage that would burn or lacerate her body of 3L or lower intensity, though she remains fully vulnerable to more insidious forms of damage such as freezing cold or deadly fumes.;The Solar gains 8 soak against withering attacks while this Charm is active, along with 5 hardness. Blade-Turning Body Technique is incompatible with both armor and with Diamond-Body Prana.;On Blade-Turning Body Technique:;The backer wanted a defensive soak option for his shirtless (his word) Solar, but without the variability of Diamond-Body Prana. The resulting Charm is Apocryphal because it uses the design logic of Solar armor-creating Charms. It averages out the soak-granting result of Diamond-Body Prana, but loses a bit of power in its incidental resistances to compensate for its reliability, along with the possibility of being further strengthened by Martial Arts Charms.;Backer: Matt Palsson</t>
  </si>
  <si>
    <t>Fortress-Body Discipline</t>
  </si>
  <si>
    <t>Resistance 5, Essence 4</t>
  </si>
  <si>
    <t>The Exalt exudes toughness; every fiber of her being is solid steel. Upon using this Charm, the Exalt gains (Essence) soak and (half Essence, rounded up) hardness for the rest of the scene. Unlike most forms of hard-ness, this bonus explicitly stacks with that offered by Diamond-Body Prana and Durability of Oak Meditation, but reduces the benefit of the latter to +2 rather than +4. Fortress-Body Discipline is incompatible with armor.;On Fortress-Body Discipline;For players who want a bit more “umph” for unarmored Resistance Solars, here is a much-coveted Reflexive that can be stacked with the awesome power of Diamond-Body Prana.</t>
  </si>
  <si>
    <t>or 4m, 1wp</t>
  </si>
  <si>
    <t>1h</t>
  </si>
  <si>
    <t>2 to 6</t>
  </si>
  <si>
    <t>or 4m, 1a</t>
  </si>
  <si>
    <t>1hl/lhl</t>
  </si>
  <si>
    <t>1 to 3</t>
  </si>
  <si>
    <t>or 5m, 1wp</t>
  </si>
  <si>
    <t>Storm-Racing Destrier</t>
  </si>
  <si>
    <t>Ride 3, Survival 3, Essence 1</t>
  </si>
  <si>
    <t>Flashing Thunderbolt Steed, Hardship-Surviving Mendicant Spirit</t>
  </si>
  <si>
    <t>The Lawgiver can ride her mount into the teeth of the storm. If the Solar uses Hardship-Surviving Mendicant Spirit, she may commit two additional motes to extend the power of that Charm to her mount. The Solar can dismount without losing commitment to the Charm, but the protection only functions to protect her mount while the Solar is riding it. If the Solar knows Element-Resisting Prana, extend the effect of that Charm to her mount as well, using the Solar’s Resistance.;On Storm-Racing Destrier;This is one of four ultra-rare Charms with a dual prereq-uisite. Two are in the core book, and another is below, un-der Sail. For those who are wondering, the Ability listed first in the “Mins” is the Ability the Charm belongs to.</t>
  </si>
  <si>
    <t>The Solar is the consummate mariner, seasoned by hardships, tried by adversity and proven true. This Charm gives the Exalt the following advantages:? The Solar's expertise often saves the ship. Reroll any 6s in the result of a Sail roll until 6s no longer appear. ? She is inured to supernatural horror. Fear effects caused by monsters, behemoths, demons, Yozis, and other existentially terrifying beings have less of an effect. Add half the Exalt's Sail (rounded up) to her Resolve against such influence.? If she fails a balance check on land or sea, she still falls down, but then she immediately falls up, landing on her feet. In addition, she can never fall from a ship. Even the most stumble-footed bastard will find a way to keep from going overboard.</t>
  </si>
  <si>
    <t>Va</t>
  </si>
  <si>
    <t>3hls per 1hul</t>
  </si>
  <si>
    <t>Once, the nations of the sea rose up to drive the Chosen from the world as the Exalted had driven the gods' masters before them. The Solars answered this piracy by training a host of marine-warriors to sweep the Niobrarans back across the sea. Through the use of this Charm, even the most degenerate blackguards can be trained into an elite crew. This Charm is an enhanced training regimen. The Solar's methods are brutal, harsh, and yet inspiring, teaching her initiates fear and respect in equal measures and strengthening them against the hardships to come. With this Charm, she can invest her crew with one of the following skills after a training period of one month:? Sail 4.? Soldier-level combat prowess described on pgs. 496-497</t>
  </si>
  <si>
    <t>Skiff-to-Scow Method</t>
  </si>
  <si>
    <t>Sail 4, Essence 1</t>
  </si>
  <si>
    <t>By disguising her ship’s sail, rigging style, ornamentation, and crew uniform, the Solar may use this Charm to com-plete the illusion. After a process of disguising the ship that takes one hour, this Charm completes the disguise, mak-ing it look like a vessel of slightly smaller or slightly larger build, going so far as to change the hull’s construction so that it appears as a completely different type of boat, and giving it the telltale ornamentation, flag, and name appro-priate to the style of vessel the Solar intends. As long as the ship is not behaving suspiciously, the disguise is perfect, allowing a pirate vessel to slip into a harbor disguised as a coastal merchant. This effect becomes uncertain when suspicious characters come within three range bands of the ship. Such characters can attempt to pierce this Charm by rolling Perception + Sail or Perception + Lore against the Lawgiver’s Manipulation + Sail. If successful, the sus-picious character sees some flaw that collapses the whole illusion. What constitutes “suspicious behavior” is up to the dramatic whim of the Storyteller.;On Skiff-to-Scow Method;The backer wanted a Charm that would help disguise his ship on pirate raids.;Backer: Legion over Midnight water</t>
  </si>
  <si>
    <t>Ash and Storm Aegis</t>
  </si>
  <si>
    <t>Sail 5, Survival 5, Essence 3</t>
  </si>
  <si>
    <t>Hull-Preserving Technique, Element-Resisting Prana</t>
  </si>
  <si>
    <t>While using Hardship-Surviving Mendicant Spirit, the Lawgiver pours her Essence into the ship’s hull, merg-ing with the ship’s anima and extending her protection over vessel and crew. This extends lesser but significant defenses against environmental hazards as Element-Resisting Prana; the ship and crew take three less dam-age per interval, but only a single member of the crew or the ship can be harmed per round, and none can be affected twice in a row.;On Ash and Storm Aegis;The backer wanted a Charm that would let him fly into a storm, sail into a volcanic eruption, or ride a sand-sea barge through a sandstorm without losing his entire crew. This Charm largely immunizes the crew to toxic fumes, severe heat, and violent winds, though it can’t make them as tough as the Solar. The limited resistance guarantees someone will eventually take some damage, but the number of characters taking damage has been reduced exponentially, so it becomes easily manageable.;Backer: Andrew Stephens</t>
  </si>
  <si>
    <t>Perfect Reckoning Technique</t>
  </si>
  <si>
    <t>Feeling the pulse of energy that moves through the world, the Solar can sense her exact position on any body of water. As long as she is on the deck of a ship, and that ship is touching a body of water, the Exalt can sense both the direction of the Pole of Earth and the North Star, even in broad daylight. The moment she uses this Charm, she knows her exact latitude, longitude, and bearing, and can plot an accurate course without a roll.;On Perfect Reckoning Technique;Originally this Charm was in the core rules, but I changed that Charm’s name to Safe Bearing Technique in order to have a more powerful version of this classic Solar Charm. Because Creation is flat, getting latitude and longitude works differently. It requires charts that map the course of the sun at certain dates and times of the day, and the use of a backstaff to measure the sun’s angle and distance from the horizon. This is a difficulty 3 roll for those who have been trained (Celestial Navigation specialty in Sail), difficulty 4 for those who have not. Without charts and a backstaff, the difficulty is raised by 2. A Solar with this Charm always knows her position relevant to the sun’s arc even at night, and she can see through sunlight to the North Star even by day. The reason this Charm requires her to be on a ship atop a body of water is because she is “feeling” along the greater surface area of her submerged hull to sense the flow of Water Essence. All bodies of water in Creation, even the Dreaming Sea, are resonant with the Pole of Earth — if one can feel along the Essence that flows through oceans and rivers, one’s sense will in-evitably be pulled toward the Pole of Earth. Thus a Solar standing on a ship, floating on water, needs no jade magnet needle to know the direction of the Imperial Mountain in relation to the North.</t>
  </si>
  <si>
    <t>Mast of Everything Situation</t>
  </si>
  <si>
    <t>Sometimes your ship’s mast suddenly explodes. Not a problem if you are one of the Solar Exalted! With this Charm you can quickly build a ship’s mast out of whatever is lying around. Cook-pots, old shoes, the ship’s cat, jewelry, loose weapons, and other contra-band will interlock tighter than the chains that hold up the walls of Pale Dominion. Building this mast is an action that takes the Solar just a handful of seconds, though that doesn’t account for gathering the mate-rials. At the end of the scene, when the Charm ends, the magic holding up the mast fails and it all comes tumbling down.;Disclaimer: Ship’s cat was not harmed in the writing of this Charm.;On Mast of Everything Situation;The backer describes opening a fortune cookie with a hilarious typo that has become a running joke in his Exalted games ever since, and so we were quite pleased to write a Sail Charm per his request.;Backer: Alex Richetta</t>
  </si>
  <si>
    <t>Death-Daring Maneuver</t>
  </si>
  <si>
    <t>Apocryphal, Pilot</t>
  </si>
  <si>
    <t>Any five Sail Charms</t>
  </si>
  <si>
    <t>They say a sailor’s mistress is the sea. Well, the Solar captain’s only true mistress is death. But not even death would try the crazy shit a Lawgiver captain is liable to pull. When the Solar uses this Charm, her player may introduce a hazard that imperils her ship and one other, that may only be avoided through incredible sailing. Roll the Solar’s Wits + Sail against that of her adversary. If the Solar has the greater result, her maneuvering not only allows her ship to skate through unscathed, but also causes the other ship to wreck spectacularly. This might involve the Solar sailing to the edge of a waterfall and pulling an impossible u-turn as her adversary sails right over the edge, or it might describe a Solar pushing her skyship into a steep descent, so the sun blinds her pur-suer and causes them to wreck on a high cliff. However, if the Solar loses the clash of sail, her opponent not only escapes the trap, but it also backfires, doing two damage to the hull of the Solar’s ship.;This Charm can be used once per story, but may be reset by using Sail to overcome a distinct disadvantage that threatens your crew or your ship. This Charm can in fact reset itself. Repeatedly, if needs be.;On Death-Daring Manuever;This Charm is chiefly apocryphal because it is really powerful. The backer wanted a Charm to help him cre-ate dangerous hazards he could sail around while other players wreck their shit. If you like it, use it anyway. Without a Willpower cost, you can technically use it repeatedly, provided your ship is damaged or you are suffering wound penalties, or have some other distinct disadvantage. Use it to force a bunch of ships to follow you down a whirlpool and laugh maniacally as you are the only one that sails back out again.;Backer: Clear Frozen Skies</t>
  </si>
  <si>
    <t>Master and Commander Method</t>
  </si>
  <si>
    <t>During a pitched naval battle, the Solar’s skills are test-ed to their utmost. Her sense of her ship and the flow of battle become the avenue for a critical apotheosis of Solar, ship, and skill. In a single moment of transfigur-ing brilliance, the Lawgiver merges with her vessel and crew, moving them through open air, phasing them from one position to another in order to escape destruction and to unleash an attack of their own.;To use this Charm, the Exalt activates it and becomes keen-ly aware of every flaw in her opponents’ movements. The Solar’s player begins to track all 1s and 2s rolled by enemy captains in the scene. When 15 of these have been accrued, they can be “spent” as special momentum to trigger this Charm’s unique stratagem, in which the ship teleports out of the way of a broadside maneuver (Exalted, p. 245) or other successful attack, phasing her ship out and in at a new position at the same relative distance from the enemy vessel. This counts as an uncontested positioning stratagem (Exalted, p. 245) — roll the Solar’s Wits + Sail and convert the result to momentum. In addition, this momentum can be paid to roll an immediate Broadside attack against the attacking enemy.;Master and Commander Method can be used in one scene per story, and within that scene as many times as the Solar can charge it. An Essence 4+ repurchase also allows the Solar to count her enemy’s 3s in order to use it. It can be reset by overcoming a major enemy while sailing under some penalty that cannot be easily recti-fied through the use of the Solar’s current Sail Charms. ;On Master and Commander Method;The backer wanted a Charm that was as close as possible to the Picard Maneuver from Star Trek, which involves flying your starship at an attacking starship using warp speed to confuse ship sensors and create an illusion of being in two places at once, allowing the phasing ship to launch an unexpected salvo against the confused ves-sel. The main reason this is apocryphal is because Solar Charms tend to depict one single action and this depicts several. The Solar teleporting her ship and crew over a short distance is a legal effect if it is reasonably hard to do, but this Charm requires the completion of multiple actions that stretches the limits of how Solar magic func-tions, and it might make the Charm feel like more of an actor than the Solar.;As stated in the core rules on page 250, Charms don’t “do” anything. Charms reflect the actions of the Solar. A Solar’s action can entail wholly supernatural expansions of the Ability, but their skill must always be present.;Like all other characters in Exalted, Solars are limited to specific actions per round. When a Charm depicts multiple complicated actions being completed that are usually left as round to round interactions of the rules and Storytelling, it starts to mark out the Charm as more of an actor than the Solar. Just remember this is a very apocryphal Charm and you should be wary of treating Solar mechanics this way.;Backer: Scott “The Hanged Man” McNabb Corpany</t>
  </si>
  <si>
    <t>This Charm permanently upgrades all purchases of Heart-Eclipsing Shroud, allowing the player to assign Abilities and specialties to each persona with the following rules:? Assign the persona's favored Abilities–ten which can be placed anywhere.? Count the Solar's dots in Integrity or Presence, Bureaucracy or Linguistics, Ride or Sail, Socialize, and one Dawn Caste Ability. This is the number of Ability dots the player may assign to the persona's character sheet. The persona cannot have a Craft, Lore, Occult or a Dawn Caste Ability rated higher than the Solar's own, and may not have a higher number of total dots spread across Dawn Abilities than the Solar has. At least half the dots (rounded up) must go into Eclipse or Zenith Abilities.? Halve the Solar's total experience (round down) and grant this as bonus experience to the persona. This experience cannot be used to change the persona's Attributes, increase her Willpower or purchase Charms or Merits, but can be used to upgrade Abilities using favored and non-favored prices. Where the persona shares Abilities with the Solar, it automatically knows Charms the Solar already knows. With the exception of Craft, Lore, and Occult it may also learn Abilities the Exalt does not herself know.</t>
  </si>
  <si>
    <t>20xp</t>
  </si>
  <si>
    <t>Viper-Scenting Method</t>
  </si>
  <si>
    <t>While using Mastery of Small Manners, the Lawgiver has a perfect intuition for social mores. While under its effects, the Lawgiver can use Viper-Scenting Method to augment her sense of social harmonics, such that she automatically notices when a character expresses disfavor toward her, even if they express it indirectly through a gesture, facial expression, disinterest in the Solar’s words, or whispered comments to someone else. The Lawgiver need not be watching or listening for such cues; this Charm points them out to her. Since Mastery of Small Manners makes it impossible to impugn her etiquette, the Solar understands by process of elimina-tion that xenophobic or other personal attitudes make the initiate distrust or dislike her. Still, the Lawgiver does not know the exact context of any Intimacies the character might hold. However, this Charm grants one automatic non-Charm success to reveal such an Intimacy with a read intentions action.;On Viper-Scenting Method;The backer wanted a Charm to amp up the power of Mastery of Small Manners, helping him to establish himself in a lasting role within a culture. The biggest obstacle to foreign inclusion are the prohibitive biases of members of that culture. This Charm helps the Solar fig-ure out the exact context of those attitudes by aiding her in revealing related Intimacies. By gathering social in-telligence, the Solar can work to defeat those who might seek to undermine her position in a foreign society.;Backer: Matthew Pascal</t>
  </si>
  <si>
    <t>Energic Influence Technique</t>
  </si>
  <si>
    <t>The Lawgiver can seed the minds of others with re-sounding goodwill or disfavor. This Charm supplements an instill action in which the Solar attempts to raise a target’s Minor Intimacy to Major, or a Major Intimacy to Defining. If the instill action is successful, the target also gains a new Minor Intimacy that reflects the one being increased. Thus a Solar could link “duty to one’s nation” to “appreciation for the captain of the guard.” This Charm fails if the target has Major or Defining Intimacies that di-rectly contradict the proposed Minor Intimacy.;Special activation rules: The player must declare what Minor Intimacy they plan to tack on before using this Charm. During the instill action, the declared Intimacy must be a part of the Solar’s pitch.;On Energic Influence Technique;The backer asked for a Charm that would allow him to take the Defining Principle of a character and turn it into a Defining Tie for a related character. For example, if you love your nation, that Charm could automatical-ly make you love your nation’s leader. We deemed this far too powerful effect, and decided to instead go with something a little more hands-on, that allows a Solar to increase favor with someone by using their goodwill, ;seeding them with an Intimacy for future use. Note that this Charm can also be used to increase and intro-duce negative Intimacies. This Charm only moves in one direction, though. You can’t use it to decrease one Intimacy and raise another.;Backer: Dan Sanford</t>
  </si>
  <si>
    <t>Rancor-Raising Spirit</t>
  </si>
  <si>
    <t>Sometimes the Lawgiver must tear down in order to build up. This Charm supplements an instill action to erode an Intimacy. If successful, the target also gains a new negative Minor Intimacy that reflects the one that has been eroded. Thus a Solar’s arguments could work to sow disfavor for the Guild, while also instilling a negative view of slavery. This Charm fails if the target has Major or Defining Intimacies that directly contradict the proposed Minor Intimacy.;Special activation rules: The player must declare what Minor Intimacy they plan to tack on before using this Charm. During the instill action, the declared Intimacy must be a part of the Solar’s pitch.;On Rancor-Raising Spirit;I wrote this Charm to demonstrate a more powerful con-verse of the prerequisite. The Solar can use this to defeat the iniquities that plague her lands, by coupling nega-tive viewpoints onto vehement or convincing obloquy. Some of you might think this Charm doesn’t work by its example, because someone with a positive view of the Guild would have to have a positive view of slavery. But that’s not actually true — the Guild deals in a number of vast enterprises, and this can work to conceal the effects of slave labor. Moreover, it is human nature to overlook or to refuse to see the moral or ethical contradictions in every day life. Evil flourishes thusly. Indeed, there is no other way that it flourishes.</t>
  </si>
  <si>
    <t>Soul-Testing Method</t>
  </si>
  <si>
    <t>The Solar can draw on a mutual history or shared experi-ence in order to make a powerful appeal. If the Solar shares a deep emotional connection to a specific society or culture with another character — as represented by an identical Major or Defining Intimacy they both hold — then the Lawgiver may use that bond to convince a target not to take an action the Solar disapproves of. This puts the character in a decision point immediately, without a roll, allowing them to evaluate whether the connection they share with the Solar outweighs the decision they have made. This Charm ignores restrictions on Intimacy use in decision points — the Exalt may use this Charm even if the target has already cited the shared Intimacy in a decision point. Nor does it count as exploiting a Tie to the Solar directly.;With a stunt, the Solar can also use a shared experience (such as serving in the same mercenary company during a legendary battle) as a reason for persuasion, even if there is no actual clear Intimacy being shared.;This powerful social influence Charm can be used once per story.;On Soul-Testing Method;The backer wanted a Socialize Charm that would ex-ploit cultural ties to allow him to reason with his en-emies. I expanded it so that it would be effective for a much broader set of characters. This Charm augments social bonds and ties that exist between people, basically using the Solar’s legendary reputation and the target’s emotional connection to an event to make them stop and think about what they’re doing.;Backer: Jeroboam “Fist of God” Sneerly</t>
  </si>
  <si>
    <t>15sm</t>
  </si>
  <si>
    <t>Ritual</t>
  </si>
  <si>
    <t>5sm</t>
  </si>
  <si>
    <t>20sm</t>
  </si>
  <si>
    <t>The sorcerer suffuses the void between her skin and the surrounding air with Essence, weaving a second skin of shining bronze, supple and flexible as silk but cold and impervious as any metal. The Invulnerable Skin of Bronze gives the sorcerer +6 natural soak and Hardness 6, while rendering her immune to poison delivered through contact. Her metal-armored limbs deal lethal damage and use the traits of medium weapons when she makes unarmed attacks. While her mobility is not normally impaired, she is considered to be wearing medium armor, which might deny her the use of certain Martial Arts styles or other effects. Her bronze skin is also heavy–she will sink in water or mud, and fragile surfaces won't support her weight.In addition, characters with an Essence pool gain access to the following powers while this spell is active:? Brazen Aegis Rebuke (3m, 1wp; Reflexive; Instant; Counterattack, Decisive-only): Even hardened steel recoils from the Invulnerable Skin of Bronze, ringing off its indestructible surface. After being hit with an attack in close combat, the sorcerer may use this power to counterattack with a disarm gambit. This counterattack is both unblockable and undodgeable. ? Invincible God-Metal Flash (10m, 2a or 3a; Reflexive; Instant; Decisive-only): When even the Invulnerable Skin of Bronze cannot withstand the force of an enemy's blows, the sorcerer may shed it in a burst of protective Essence. While her anima is at the burning or bonfire level, she may use Invincible God-Metal Flash to reduce the raw damage of a decisive attack by her (Essence + 5), discharging her anima through the spell. The skin of bronze shatters as it absorbs the attack, and the sorcerer cannot cast it again until its original duration has elapsed. Her anima is returned to the dim level. ? Sorcerer's Impervious Mantle (4m; Reflexive; Instant; Withering-only): The sorcerer's Essence surges through her armored skin, reducing the minimum damage of a withering attack by one.A sorcerer who knows Invulnerable Skin of Bronze as her control spell may add her Essence to the soak and Hardness bonus she receives as long as she is unarmored. Even without the spell, her skin takes on a faint bronze tint. She may also add her Essence to her soak when the spell is not in effect.</t>
  </si>
  <si>
    <t>7sm</t>
  </si>
  <si>
    <t>Bending the winds to her will, the sorcerer creates a servile dust devil to ride. The Stormwind Rider is treated as a flying mount (p. 202), although it cannot take the sorcerer to more than short range above the ground. (Wits + Occult) replaces the usual rolls for all combat movement actions. The whirlwind can carry up to (Essence x 2) additional characters, or one hundred pounds of cargo in place of a single passenger. While it cannot soar as high as the Cirrus Skiff, the Stormwind Rider can travel at nearly 100 miles an hour and maneuver through forests or cities. In a race with other characters, the sorcerer rolls (Intelligence + Occult + current temporary Willpower) for each interval. In combat, characters within the Stormwind Rider are treated as having light cover against attacks made from outside of it, and vice versa. A passenger who is crashed or hit with a decisive attack is knocked out of the whirlwind, and suffers falling damage if applicable.A sorcerer who knows Stormwind Rider as her control spell is buffeted by winds whenever she is beset by strong emotions. Sudden movements cause a small vortex powerful enough to scatter papers, upset furniture and topple someone caught off-guard. Her vertical leaps are buoyed by wind, allowing her to leap upward a single range band as her movement action; she can do so up to (Stamina) times before needing to rest.In addition, characters with an Essence pool gain access to the following powers while this spell is active: ? Enduring Tempest (5m; Reflexive; Instant): Once this spell's duration has elapsed, the sorcerer may use Enduring Tempest to extend its duration for another hour. She may do so for as long as she has Essence to continue using this power. ? Zephyr Rush (1m, 1wp; Supplemental; Instant): The sorcerer whips the Stormwind Rider into a sudden frenzy of speed, allowing her to move up to two range bands with a single movement action in combat or doubling 8s on one interval of a race.</t>
  </si>
  <si>
    <t>Drawing and shaping Essence through one of the five elements, the sorcerer calls an elemental into being and binds it to her will. Casting this spell requires a ritual of four hours as the sorcerer channels Essence through icons of the element, draws up sigils of creation and binding, or communes with the appropriate Elemental Dragon. At the end of her ritual, she summons an elemental of up to Essence 3 into existence, creating it out of pure Essence rather than calling it from somewhere else. Once summoned, the elemental must be bound to the sorcerer's will, as per Demon of the First Circle (p. 473), except that an elemental cannot break free–if the binding fails, the elemental simply disperses back into raw Essence, and the sorcerer doesn't regain the Willpower spent on the spell. At the end of a bound elemental's term of service or assigned task, it usually undergoes the same fate of dissipation, although elementals who have developed a fully-formed personality and identity may persist past the end of their binding at the Storyteller's discretion. Summon Elemental can only be cast once per day.</t>
  </si>
  <si>
    <t>The sorcerer transforms her hands into huge, gnarled claws of thorny oak, like those of the majestic elemental dragons of wood. Slashing with these claws uses the traits of a light artifact weapon with the same tags as an unarmed attack, save that its damage tag is lethal rather than bashing. They are compatible with Martial Arts styles that use claw-type weapons or rending strikes, such as Tiger style. They render the sorcerer's hands incapable of fine manipulation such as writing, wielding a weapon, or turning a doorknob.In addition, characters with an Essence pool gain access to the following powers while this spell is active: ? Bramble Hell Torment (10m; Simple; Instant; Decisive-only): When the sorcerer makes a decisive savaging attack against a clinched enemy, her claws explode into impaling spikes, adding (Essence) successes to the damage roll. This power can only be used once per grapple. ? Living Thorn Transformation (3m; Reflexive; Instant): Warping and twisting her claws, the sorcerer may grant them the tag of her choice for the rest of the scene. She might extend them into a lash of scourging brambles to grant them the flexible tag, reshape them into a bludgeoning club-fists to grant them the smashing tag, or similar. Only one tag can be granted by this power at a time. A sorcerer who knows Wood Dragon's Claws as her control spell may create and master Evocations for the claws, which can only be used while this spell is active. Distortion (Goal Number: 12): Distorting the Wood Dragon's Claws causes them to begin growing wildly, engulfing the enemy sorcerer's arms in a tangle of twisting roots. He cannot take any actions that require the use of his arms, including attacking, until he has succeeded on an extended (Strength + Athletics) roll (difficulty: 2; interval: one round; goal number: 10) to break free of this entanglement. If he is grappling an enemy when the distortion occurs, the distraction of his own spell turning on him allows that character to reflexively break free. The spell cannot be dismissed while it is distorted.</t>
  </si>
  <si>
    <t>30sm</t>
  </si>
  <si>
    <t>10sm</t>
  </si>
  <si>
    <t>25sm</t>
  </si>
  <si>
    <t>40sm</t>
  </si>
  <si>
    <t>The Rain of Doom can be called down only as the setting sun touches the horizon, as the sorcerer stands at the boundaries of what she'd consign to destruction. The sky darkens at an unnatural pace, with thick, oily clouds that roil with thunder forming over an area the size of a small city (or a major district of a metropolis such as Nexus). The storm gathers for an hour, building in intensity, until it finally climaxes in a downpour of apocalyptic devastation that lasts until sunrise. The spell can be countered by any opposing sorcerer within the affected area during the one hour period in which it takes form, assuming a sorcerer can recognize the signs of an oncoming Rain of Doom.The Rain of Doom has the following effects:? Caustic rain falls, a difficulty 4 environmental hazard that deals one die of aggravated lethal damage per round to anyone beneath the open sky. Even after a character has found shelter, he continue suffering from the corrosive rain at a reduced difficulty of 2 until he's stripped off all clothing and armor worn in the downpour. Most mortals and animals die within seconds of exposure, and the Storyteller need not roll dice for each individual victim. ? The Rain of Doom wreaks mass destruction on any structures or objects caught in its downpour. Any mundane object left unattended in the rain is destroyed. Wooden structures may be dissolved entirely by the downpour, while even stone and metal are damaged, their faces burned and pitted. Only manses, magically reinforced structures, or deep subterranean buildings are safe from this desolation. If it becomes dramatically relevant to see if a structure will remain intact to provide shelter to characters, the Storyteller can make a roll of five dice at intervals of an hour. One success is sufficient to damage structures made of wood or any weaker material, three successes will damage structures made of stone, and five successes will damage those made of metal. It takes two intervals of damage to destroy a house-sized structure, and five to collapse a mighty palace–prior to total collapse, the structure may begin to partially dissolve, creating openings in the roof and walls through which the rain might enter to menace those within. ? Any character bold or insane enough to try and fight while exposed to the storm must contend not only with the corrosive rain, but with harsh winds that impose a -3 penalty on all actions he takes. In addition, at the end of each round that a character spends under the open sky, the Storyteller rolls one die. On a 1, that character is struck by a lightning bolt, and takes ten dice of lethal damage which ignores Hardness. ? The runoff from the Rain of Doom remains potent until neutralized by the touch of daylight, causing any character who comes into contact with the runoff to roll against the environmental hazard of the rain. Even after sunrise, the rain's poison guarantees that nothing but stunted scrub will grow on the land washed by the storm's runoff for years or even decades to come.A sorcerer who knows Rain of Doom as her control spell may move the storm through the sky at a rate of (Essence x 3) miles in an hour. She is often followed by dark clouds and natural light becomes gray in her presence, making others feel uneasy. When outdoors, she takes a -2 penalty on all social influence actions other than threaten.</t>
  </si>
  <si>
    <t>or 2i</t>
  </si>
  <si>
    <t>Stalking Shadow Spirit</t>
  </si>
  <si>
    <t xml:space="preserve">Upon using this Charm, the Exalt patrols an area for an hour, studying its shadows and learning its secrets. During this time, the Solar examines boltholes, discovers blind-spots and sight-lines, and prepares hiding places. At the end of the hour, roll the Solar’s Wits + Stealth, adding (Essence) automatic successes. Successes on this roll are available to the Lawgiver as long as the Charm is committed or until spent entirely. These successes can only be used on Stealth attempts within the specific lo-cation the Solar patrolled, but the player can parcel them out across multiple attempts, deciding when to use them, and how many to use. The Solar is expressly allowed to use these successes after making the Stealth roll.;Special activation rules: Typically this Charm allows the Lawgiver to cover an area the size of a large ware-house or small park. This area can be slightly increased, but the Storyteller should apply a difficulty of 1 or 2 to the roll if the player wants to extend the range of the effect. By spending five points accrued by the Larceny Charm Master Plan Meditation (see Exalted, p. 318), this Charm may be used retroactively, as long as the Solar has the motes.;On Stalking Shadow Spirit;The backer wanted a Charm that would help him feel like he has Matrix-level knowledge of his surround-ings, able to anticipate where others will be looking or standing to simply not be there. Players are encouraged, while spending the successes to augment concealment, to describe their Solar’s manipulation of sight-lines and blindspots, to stand to the left when a guard is facing right, and so on. As a side-note, all Charms that accrue successes for you to use later treat those as “non-Charm” successes unless otherwise stated.;Backer: Clete D. Collum </t>
  </si>
  <si>
    <t>Killing Shroud Technique</t>
  </si>
  <si>
    <t>While concealed, the Lawgiver may grapple an opponent who has failed their Awareness check without taking a penalty to her concealment, gaining one non-Charm au-tomatic success in the attempt, and one automatic suc-cess in the Initiative roll. If successful, the Exalt pulls her victim into the shadows.;This is completely impossible to notice. The grabbed opponent seems simply to vanish. While the Lawgiver is still concealed, her victim is hidden for (control) rounds, unless the Solar’s Stealth check fails. The grapple is automatically released; though she is still thought to be holding the opponent in concealment, combat between the Lawgiver and her victim pro-ceeds as if there was no grapple occurring. During this time, the Solar may attack her hidden foe without breaking concealment, but takes a -1 die penalty to her Stealth check for doing so. Victims killed during this attack die in an unnoticeable fashion and their bodies cannot be discovered for (Solar’s Essence) rounds, and then not without a difficulty 3 Awareness check that explicitly ignores the Solar’s whereabouts, re-gardless of its result.;On Killing Shroud Technique;The backer said their favorite Caste is Night, and their favorite Ability is Stealth, so I wrote them a Charm that makes a Solar a terrifying opponent to take on in a poor-ly-lit space with plenty of hiding places, like a shadowy warehouse or the docks of Nighthammer in Nexus.;Backer: Silent Shadow</t>
  </si>
  <si>
    <t>Shadow-Striking Way</t>
  </si>
  <si>
    <t>Hidden Snake Recoil, Killing Shroud Technique</t>
  </si>
  <si>
    <t>The Lawgiver strikes from the shadows and is gone again. This Charm supplements a decisive attack made from concealment, and uses extra successes from the attack as automatic non-Charm successes on a Stealth roll for the Solar to re-enter concealment, ignoring the penalty for attempting concealment during combat. If the roll for concealment is successful, the Lawgiver moves to a new hiding place within one range band. As her old location is discovered, the Lawgiver must move in order to use this Charm. If the Storyteller deems there are no other places of cover or concealment within one range band, this Charm can’t be used. Extra decisive attack successes used by Shadow-Striking Way cannot be used by hypothetical other Charms that might use them.;If the Solar combines this Charm with Shadow-Crossing Leap Technique (Exalted p. 408) lower the cost of that Charm to one mote, one Willpower, and double the auto-matic successes granted to the Lawgiver’s Stealth attempt.;On Shadow-Striking Way;The backer wanted a way to attack from concealment and immediately disappear like a deadly shadow. I could tell from his description that he wanted something a little more versatile than Hidden Snake Recoil. The problem with this effect has always been balancing it. Fighting from a state of concealment is prohibitive on purpose. Thus, I balanced this Charm against the significant advan-tage it confers. Charms that follow Shadow-Striking Way will only enhance it in very gradual ways. Like many Solar Charms, Shadow-Striking Way is a central effect from which small upgrade Charms might radiate outward.;Backer: Kalzera of Nugasya</t>
  </si>
  <si>
    <t>With this Charm, the Solar can invest her Spirit-Tied Pet with traits beyond its natural capacity. This Charm supplements a normal beast-training roll, rerolling all 1s until 1s fail to appear. In addition to teaching her charge a new command, she can also increase one of the following traits upon the successful completion of the extended roll. ? Strength, Dexterity, Stamina, or Perception +1. This may not be repurchased for the same Attribute more than once, and may not give a familiar an Attribute rated higher than 10. ? Athletics, Brawl, Larceny, Martial Arts, Performance, Resistance, Stealth, or Survival, by one dot, to a maximum of the Exalt's rating in that Ability. ? Steeliness (Merit): This special merit permanently raises the familiar's Resolve against intimidation or othe fear inducing effects by 1. This may only be purchased once. The first time a Solar uses this Charm, ignore the 2xp activation cost.</t>
  </si>
  <si>
    <t>Opening her palm to a beam of pure Solar Essence, the Solar crushes a tiny star in her fist, releasing a massive amount of spiritual force into the world around her. Her surroundings become primal, shifting in modes and methods unseen since the dawn of time, and her familiar remembers an ancient time and an earlier form in which beasts were the life that beat at the heart of a supreme being. Channeling the Essence of the ancient world through her familiar, the Solar's honored companion is transformed into a primal beast of war. Deadly Predator Method has the following advantages: ? The familiar grows immense. Its size grows by 15%,and an additional 10% for every repurchase of Life of the Aurochs. The Solar may waive the growth bonus if she chooses. ? The familiar's appearance becomes magnificent and terrifying. Its markings become more extreme, its colors explosive and vibrant. Natural armor such as a shell or carapace becomes spiked and ridged, while natural weaponry such as horns, fangs and tusks grow even more pronounced. The familiar gains (Solar's Essence) automatic successes to intimidate targets. Against much smaller or cowardly opponents, the familiar is automatically intimidating–such enemies suffer a -1 penalty to their attacks against the familiar.</t>
  </si>
  <si>
    <t>Harmony with Nature Approach</t>
  </si>
  <si>
    <t>Food-Gathering Exercise, Friend-ship with Animals Approach, Hardship-Surviving Mendicant Spirit</t>
  </si>
  <si>
    <t>Sitting in quiet meditation, the Solar centers herself within the cycle of the elements and the forces of nature. Once per day, the Solar may use this Charm to generate motes that may only be used for activating Survival Charms, and which vanish at the end of the day if they aren’t used. Roll the Exalt’s Charisma or Wits + Survival and add one to the result to determine how many motes the Solar is able to accrue.;On Harmony with Nature Approach;Free motes to fuel your familiar’s Donkey Kong Rampage? Love me. Gotta learn Food-Gathering Exercise first? Curse me. Such is the life of the Exalted Developer.</t>
  </si>
  <si>
    <t>Elements-Sculpted Avatar</t>
  </si>
  <si>
    <t>Food-Gathering Exercise, Friend-ship with Animals Approach, Element-Resisting Prana</t>
  </si>
  <si>
    <t>The Solar communes with the elements and with the beasts of nature, gaining harmonious elements of both. This Charm requires use of Hardship-Surviving Mendicant Spirit and is completed by a Simple action in which the Lawgiver spends an hour meditating in a place where the elements are strong and fierce, such as the center of a sandstorm or beneath a massive waterfall.;Over the course of the hour, the Solar’s physical appear-ance becomes shaped by the surrounding elements. She gains distinct elemental and / or bestial features, though not the benefits associated with true mutations. This ethereal transformation raises her Appearance by one, even if this raises her Appearance above five. In addi-tion, she gains one non-Charm bonus die to soothe or comfort any elemental, beast, or Lunar Exalted through the use of social influence.;On Elements-Sculpted Avatar;For those of you who love your Appearance cap-break-ers — but only if you are willing to take the side trip into Survival. Also, just a friendly reminder that someone who wants to play a terrifying character with the Hideous Merit can benefit from Appearance magnifying Charms. Just give them a bunch of threatening or strange mark-ings. This voids the Charm’s ability to soothe aforemen-tioned characters, and does not conversely give them a bonus to social influence to horrify such creatures.</t>
  </si>
  <si>
    <t>Riotous Cry of the Beast</t>
  </si>
  <si>
    <t>In a moment of desperation, the Solar may call upon the fury of nature. Focusing her primal Essence through a mighty shout or the cry of her familiar, the Solar calls upon all natural animals within (Essence) miles that match the species of her familiar. These animals assem-ble into a Size 2 battle group (see Exalted p. 205) with average Drill — elite if they are pack hunters such as wolves or Lions — and Might 0 unless they are dimin-utive creatures such as rabbits or squirrels, in which case the amplitude of Solar Essence increases their Might to 2. Outside of combat, this battle group takes around ten minutes to assemble unless the assembled beasts are particularly slow. Battle groups of incredibly fast creatures such as hawks can assemble in less than a minute, as can battle groups composed as creatures who are in the immediate vicinity. In combat, assem-bly takes a number of rounds equal to eight minus the Dexterity of the average member of the battle group, or a single round if the subjects are all nearby or are incredibly swift.;The battle group is led by the Solar’s familiar. If the famil-iar is not present, the battle group will still instinctively attack targets on the Solar’s behalf, and will attempt to follow her if she moves or attempts to flee or indicates a new target for them to savage. War Charms that directly control battle groups are ineffective at leading such a mob, but Survival Charms that enhance the familiar’s own actions allow it to pass on orders and bonuses from the Solar’s War Charms, such as it is able to understand them. Lastly, at Essence 4+, all successful withering attacks made by this battle group award half the Initiative (rounded up) to the Solar’s familiar, if it is present on the battlefield.;This Charm has no effect on the familiars of other char-acters, spirit animals, or an animal that has a Major or Defining Intimacy of hatred for the Solar.;On Riotous Cry of the Beast;The backer wanted to use his Survival to call up an army of forest creatures to aid him in battle. I expanded the concept to any creature matching the Exalt’s familiar, and conceptualized it as a battle group and tertiary buff for your familiar. This Charm also allows rather “weak” animals to remain valid choices for a familiar. Players are encouraged to conceptualize a Might 2 animal as moving at tremendous speeds, leaping through the air, and fighting with unusual bravery, just like a Solar.;Backer: Kristopher Todd</t>
  </si>
  <si>
    <t>Colossal Rampaging Beast</t>
  </si>
  <si>
    <t>7m, 3a, 1wp</t>
  </si>
  <si>
    <t>Survival 5, Essence 4</t>
  </si>
  <si>
    <t>While her familiar is under the effects of the prerequisite, the Solar may infuse it with a surge of anima-laden Essence, magnifying its strength and size to a frightening degree. Using this Charm automatically triggers Saga Beast Virtue, replacing the cost of that Charm entirely. It also makes the size bonuses from all familiar-enhancing Charms non-optional; all take effect while this Charm is active. In addition, the familiar grows massively large. Large creatures grow exponentially; a bull grows larger than a war elephant, while already gigantic creatures grow slightly less, a war elephant growing large enough to peer into a second story window. Smaller familiars become large enough to ride, reaching excesses of 1000 pounds.;In addition to the benefits of the prerequisite and Saga Beast Virtue, familiars gain an additional three mutations. ;The largest familiars (tyrant lizards, mammoths, giant snakes) gain three automatic non-Charm successes to their feats of strength, and may reach into the short range band to attack targets. In addition, targets at short range must roll disengage to move away from such a massive opponent. As targets at close range must also disengage to escape, a target who starts at close range must disengage twice to get away. Such familiars double the hardness from any purchases of Hide-Hardening Practice and gain two additional -4 health levels and three additional -0health levels while this Charm is active.;The smaller familiars compensate by gaining three auto-matic non-Charm successes to rush and disengage, and one automatic success to each of their attacks. They gain two -0 health levels.;On Colossal Rampaging Beast;The backer wanted another size booster for his familiar, one that would let his smaller creature get large enough to ride. I decided “why stop there?” and made it so your pet tyrant lizard becomes a fortress-busting tank.;Backer: Michael Brewer</t>
  </si>
  <si>
    <t>Baara-Unleashing Technique</t>
  </si>
  <si>
    <t>Survival 5, Essence 5</t>
  </si>
  <si>
    <t>The Solar calls the inmost soul of her familiar outward, transforming it into a divine and terrible creature of wrath. This Charm can only be used on a familiar enhanced by Spirit-Tied Pet, and the Solar must take a moment to sense ride the animal before using this Charm. When in this state, she can trigger Saga Beast Virtue, Deadly Predator Method, Colossal Rampaging Beast, and Ambush Predator Style simultaneously and for free, across any plane of existence. The Solar need not continue to sense ride her familiar after using this Charm, unless she wishes to augment its actions with Survival Charms across extreme long distances.;On Baara-Unleashing Technique;The backer wanted a Charm that would allow his famil-iar to get powered up while he is not there to protect it. Thus Baara-Unleashing Technique. A “baara” in Exalted context is a divine creature, usually a gigantic beast.;Backer: Trey Mason</t>
  </si>
  <si>
    <t>or 1m, 1wp</t>
  </si>
  <si>
    <t>1+a</t>
  </si>
  <si>
    <t>Spitting Hand Technique</t>
  </si>
  <si>
    <t>The Solar draws her weapon and hurls it with blazing speed. This Charm allows the Exalt to switch weapons reflexively, without a draw/ready weapon action. This includes hurling improvised weapons. If she can reach it and she can lift it, then it’s fair game.;On Spitting Hand Technique;Novia drunkenly tangled her bandoliers on a chair and in-stead hurled every bottle and glass off the bar at her assailant, whirling, spinning, making blind around-the-back throws, every glass arcing and connecting until her attacker fled.</t>
  </si>
  <si>
    <t>Diving Hawk Discipline</t>
  </si>
  <si>
    <t>When she sees the perfect moment to act, the Lawgiver strikes with unthinkable speed. This Charm supple-ments a Thrown Disarm, Distract, or Unhorse Gambit, allowing it to be made without needing an aim action.;On Diving Hawk Discipline;Thrown is about versatility, utility, and quick bursts of damage. The more versatile it becomes, the better it gets at the other two.</t>
  </si>
  <si>
    <t>Thunder-Quelling Gesture</t>
  </si>
  <si>
    <t>Thrown 5, Essence 1</t>
  </si>
  <si>
    <t>With a quick eye and lightning movement, the Solar may reflexively hurl a Thrown-based decisive attack at an opponent who takes an aim action, without needing to aim herself. If her attack does at least one health level of damage, the aim action is interrupted. This Charm al-lows the Exalt to attack ahead of her actual turn, so long as she can perceive the aim action being readied. Using this Charm uses the Exalt’s combat action, and therefore cannot be used if the Exalt has already attacked on that round. Lastly, this Charm allows the Solar to use the pre-requisite reflexively in combination with itself.;At Thrown 5+ Essence 3+, the Solar may use this Charm without using her combat action once per round.;On Thunder-Quelling Gesture;The Exalt needs to be aware of her target taking aim in order to use this Charm. This Charm does not confer knowledge of whether or not this is happening, so if it is not clearly apparent, the player should consider using Awareness Charms and the prerequisite, Angle-Tracing Edge. With Awareness Charms dedicated to hearing, the Solar could commit herself to listening for the nigh-in-audible pull of a bowstring, and with the appropriate Awareness roll (difficulty or Stealth contest determined by the Storyteller) she could pinpoint the exact position of an archer hiding out of sight, and bounce her missile off a wall or a parapet (via prerequisite) to strike her target and stop them from taking aim. Note that this Charm does not specify who the target is aiming at. Use this Charm to judiciously intercept the slings and arrows that will no doubt be hurled at your Solar’s friends and allies.;This Charm was written in response to a backer’s desire to have some defense within the Thrown ability from formida-ble ranged attacks. It was structured as it is in order to meet that demand without violating the tactical limits of Thrown.;Backer: Robert-Sean Harley</t>
  </si>
  <si>
    <t>Death-Dealing Diffusion</t>
  </si>
  <si>
    <t>With this Charm, the Lawgiver whips out two missiles in succession. Whirling in at blinding speed, her attacks may confuse and disarm her opponents. This Charm al-lows the Solar to complete two eligible gambits at once, with a single difficulty 5 gambit. The eligible gambits are disarm, distract, and unhorse.;On Death-Dealing Diffusion;Don’t mistake this for a pure utility mechanic. This Charm is a signature trick that sets a Thrown Solar apart from her contemporaries.</t>
  </si>
  <si>
    <t>Whirlwind Hand of the Striker</t>
  </si>
  <si>
    <t>The Solar makes an Essence-infused throw that strikes her opponenttotheground.ThisCharmisadifficulty4Thrown gambit that, if successful, will knock down an opponent. Alternately, if the Solar hurls a bola, net, or other snare, then she makes a difficulty 4 Thrown-based grapple gambit against her target. If successful, roll (Strength + Thrown) to establish clinch control, with a number of automatic successes equal to extra successes on the initial attack roll plus one. The control roll cannot be modified by Thrown or other Ability Charms.;If successful the target is snared for the number of control rounds plus one. If the number of control rounds exceeds their Strength, they also fall to the ground. A snared char-acter can attempt to struggle free by spending a complete action without a flurry to remove two rounds of control each turn. They can also instantly break free from snares made of non-magical materials (cords, cables, etc) with a Strength 5+ difficulty 5 feat of strength.;Lastly, if the Lawgiver has the other end of a line, rope, or other tether hooked to the snare, then if she knows the Brawl Charm Crashing Wave Throw (Exalted p. 275) then she can use it to sling her opponent vio-lently into scenery with a decisive throw. The Solar is considered to have (Essence + 1) more Strength than her actual rating for the purpose of this stunt. Damage on this attack resets the Solar to base Initiative. Lastly, unassisted characters must struggle at least one round to remove this snare, even if the control rounds have been completely expended. A net won’t just fall off on its own, and a character bound by the legs and hurled with Crashing Wave Throw isn’t set free by smashing into scenery, even though this forfeits all rounds of control.;This gambit can be supplemented by Diving Hawk Discipline.;On Whirlwind Hand of the Striker;I know it is a complex Charm. Just make sure to record ex-tra successes on the attack roll to apply to the control roll. The Crashing Wave Throw tie-in can be ignored if you don’t have Brawl, but if you want to play a character who hooks people by the legs with a weighted line and then hurls them to a dangle over the rooftops, this is the Charm for you. ;As an aside, if you want to free a snared character, there are a couple of ways you might do it. A Storyteller should require a character to use their action without a flurry and an appropriate stunt to try to help a friend get free, removing an additional -2 rounds of control. Alternately you might have them try a difficulty 3 gambit to cut the snare loose with an edged, lethal weapon. A botch on the Initiative roll should be rather spectacular.</t>
  </si>
  <si>
    <t>Dancing Steel Symphony</t>
  </si>
  <si>
    <t>9m, 1wp</t>
  </si>
  <si>
    <t>Death-Dealing Diffusion, Shower of Deadly Blades</t>
  </si>
  <si>
    <t>The Solar whirls like a mad conductor, hurling preci-sion strikes in every direction. The Solar targets up to (Dexterity + 2) enemies out to short range with a barrage of Thrown disarm, distract, or unhorse gambits. Each attack is rolled separately, and each gambit is difficulty;1. The Solar need not aim to use this Charm. While this Charm is in effect, Spitting Hand Technique costs zero motes, and if she knows Whirlwind Hand of the Striker she may also throw snaring grapple gambits.;At Essence 4+, the Lawgiver may activate Death-Dealing Diffusion as if it were a Supplemental-type Charm while under the effect of Dancing Steel Symphony. This raises the difficulty of each gambit to 2, but drops the Willpower cost from that Charm, requiring the Solar to instead pay one mote for each gambit she wishes to double.;On Dancing Steel Symphony;Sometimes a Night Caste needs to knock down, unhorse, and snare an entire warehouse full of thugs as she passes casually through their attempted ambush.</t>
  </si>
  <si>
    <t>Unstoppable Solar Conqueror</t>
  </si>
  <si>
    <t xml:space="preserve">When the Exalt’s Initiative is higher than the enemy general’s, her order actions gain a dice bonus equal to the Size difference between her battle group and the enemy forces. If the enemy general is not rolled into bat-tle, this Charm doesn’t work, nor does it work if there is no opposed battle group.;On Unstoppable Solar Conqueror;Just a bonus Charm for all you players of strategists and generals. Something to help you round out your basic power structure. </t>
  </si>
  <si>
    <t>One With Five Forces</t>
  </si>
  <si>
    <t>War 5, Essence 4</t>
  </si>
  <si>
    <t>The Solar general, having made many calculations and knowing her enemy as well as herself, is at one with the five forces. At harmony with the universe, the Solar cannot be defeated. This is the Charm of the Dawn Caste generals who tore apart and routed the invincible armies of the Great Masters in the Time Before. When the Exalt’s battle group makes a successful attack against another battle group augmented by an order action, the Solar may use this Charm to take further control of the battle, for-feiting damage and using extra successes on the attack roll to place the enemy under the effects of a new stratagem.;In literal terms, the Solar uses her superior knowledge and tactics to control the enemy army, forcing it into a disadvantageous state for the rest of the battle. The Exalt may instead use this Charm to erase a stratagem of equal or lesser value that has been used against her own forces, allowing them to escape from the most harrow-ing of disadvantages through her military genius.;The Solar may deploy up to (Essence) additional strata-gems with repeated use of this Charm. If any stratagems the Solar deploys seem incompatible, void the incompat-ible one and increase the severity of disadvantage in a pre-existing penalty. For example, an army trapped in a desert canyon is suffering from lack of water normally, but the compounded stratagem reveals that they are also sinking in quicksand. Increase penalties accordingly.;On One With Five Forces;The backer wanted to expand the order action to make it more interesting and tactical from round to round. The backer also wanted the Charm to be Essence 4. His request led to the creation of this balanced but tremendously power-ful Charm that will greatly reward supernal War characters.;Backer: Brent A. Nellis</t>
  </si>
  <si>
    <t>God Mod</t>
  </si>
  <si>
    <t>free test column</t>
  </si>
  <si>
    <t>Is my essence high enough ? + Supernal check</t>
  </si>
  <si>
    <t>Based on ?</t>
  </si>
  <si>
    <t xml:space="preserve">    Lunars Only</t>
  </si>
  <si>
    <t>Heat's Blood</t>
  </si>
  <si>
    <t>Stolen Faces</t>
  </si>
  <si>
    <t>Antennae/Snaketongue</t>
  </si>
  <si>
    <t>Bioluminescent</t>
  </si>
  <si>
    <t>Bounding Legs</t>
  </si>
  <si>
    <t>Burrower</t>
  </si>
  <si>
    <t>Carapace/Shell</t>
  </si>
  <si>
    <t>Lunar Exalt</t>
  </si>
  <si>
    <t>Enhanced Sense (Smell)</t>
  </si>
  <si>
    <t>Unusual Hide ••+</t>
  </si>
  <si>
    <t>Centaur</t>
  </si>
  <si>
    <t>Constrictor</t>
  </si>
  <si>
    <t>Deadly Weaponry</t>
  </si>
  <si>
    <t>Echolocation</t>
  </si>
  <si>
    <t>Enhanced Sense (Hearing)</t>
  </si>
  <si>
    <t>Enhanced Toxin</t>
  </si>
  <si>
    <t>Poisoned Body or Venomous</t>
  </si>
  <si>
    <t>Entangling Limbs</t>
  </si>
  <si>
    <t>Tempered by the Elements</t>
  </si>
  <si>
    <t>Extreme Adaptation</t>
  </si>
  <si>
    <t>Fins</t>
  </si>
  <si>
    <t>Frightening Voice</t>
  </si>
  <si>
    <t>Hypermobility</t>
  </si>
  <si>
    <t>Imposing Features</t>
  </si>
  <si>
    <t>Inhuman Visage</t>
  </si>
  <si>
    <t>Ink Sacs/Smokescreen</t>
  </si>
  <si>
    <t>Long Reach</t>
  </si>
  <si>
    <t>Lure</t>
  </si>
  <si>
    <t>Musical Voice</t>
  </si>
  <si>
    <t>Natural Missile</t>
  </si>
  <si>
    <t>Natural Shield</t>
  </si>
  <si>
    <t>Night Vision</t>
  </si>
  <si>
    <t>Pheromones</t>
  </si>
  <si>
    <t>Prehensile Tongue/Trunk</t>
  </si>
  <si>
    <t>Serpentine</t>
  </si>
  <si>
    <t>Silent Movement</t>
  </si>
  <si>
    <t>Slippery</t>
  </si>
  <si>
    <t>Spinnerets</t>
  </si>
  <si>
    <t>Thermal Vision</t>
  </si>
  <si>
    <t>Enhanced Sense (Vision)</t>
  </si>
  <si>
    <t>Toxin Sacs</t>
  </si>
  <si>
    <t>Vibration Sense</t>
  </si>
  <si>
    <t>Innate (Lunar Book)</t>
  </si>
  <si>
    <t>List for the charm selection.</t>
  </si>
  <si>
    <t>List for ability based characters</t>
  </si>
  <si>
    <t>List for attribute based characters</t>
  </si>
  <si>
    <t>Universal</t>
  </si>
  <si>
    <t>What kind of exalt am I ?</t>
  </si>
  <si>
    <t>Penalty/sta</t>
  </si>
  <si>
    <t>This tab is ONLY usefull for reference when creating ID for charms.</t>
  </si>
  <si>
    <t>01</t>
  </si>
  <si>
    <t>02</t>
  </si>
  <si>
    <t>03</t>
  </si>
  <si>
    <t>WFHW</t>
  </si>
  <si>
    <t>Lunars</t>
  </si>
  <si>
    <t>04</t>
  </si>
  <si>
    <t>05</t>
  </si>
  <si>
    <t>06</t>
  </si>
  <si>
    <t>07</t>
  </si>
  <si>
    <t>08</t>
  </si>
  <si>
    <t>09</t>
  </si>
  <si>
    <t>10</t>
  </si>
  <si>
    <t>12</t>
  </si>
  <si>
    <t>14</t>
  </si>
  <si>
    <t>16</t>
  </si>
  <si>
    <t>17</t>
  </si>
  <si>
    <t>19</t>
  </si>
  <si>
    <t>20</t>
  </si>
  <si>
    <t>21</t>
  </si>
  <si>
    <t>22</t>
  </si>
  <si>
    <t>23</t>
  </si>
  <si>
    <t>24</t>
  </si>
  <si>
    <t>25</t>
  </si>
  <si>
    <t>26</t>
  </si>
  <si>
    <t>27</t>
  </si>
  <si>
    <t>28</t>
  </si>
  <si>
    <t>29</t>
  </si>
  <si>
    <t>30</t>
  </si>
  <si>
    <t>31</t>
  </si>
  <si>
    <t>32</t>
  </si>
  <si>
    <t>33</t>
  </si>
  <si>
    <t>34</t>
  </si>
  <si>
    <t>35</t>
  </si>
  <si>
    <t>36</t>
  </si>
  <si>
    <t>37</t>
  </si>
  <si>
    <t>38</t>
  </si>
  <si>
    <t>022601</t>
  </si>
  <si>
    <t>010101</t>
  </si>
  <si>
    <t>010102</t>
  </si>
  <si>
    <t>010103</t>
  </si>
  <si>
    <t>010104</t>
  </si>
  <si>
    <t>010105</t>
  </si>
  <si>
    <t>010106</t>
  </si>
  <si>
    <t>010107</t>
  </si>
  <si>
    <t>010108</t>
  </si>
  <si>
    <t>010109</t>
  </si>
  <si>
    <t>010110</t>
  </si>
  <si>
    <t>010111</t>
  </si>
  <si>
    <t>010112</t>
  </si>
  <si>
    <t>010113</t>
  </si>
  <si>
    <t>010114</t>
  </si>
  <si>
    <t>010115</t>
  </si>
  <si>
    <t>010116</t>
  </si>
  <si>
    <t>010117</t>
  </si>
  <si>
    <t>010118</t>
  </si>
  <si>
    <t>010119</t>
  </si>
  <si>
    <t>010120</t>
  </si>
  <si>
    <t>010121</t>
  </si>
  <si>
    <t>010122</t>
  </si>
  <si>
    <t>010123</t>
  </si>
  <si>
    <t>010124</t>
  </si>
  <si>
    <t>010125</t>
  </si>
  <si>
    <t>010126</t>
  </si>
  <si>
    <t>020127</t>
  </si>
  <si>
    <t>020128</t>
  </si>
  <si>
    <t>020129</t>
  </si>
  <si>
    <t>020130</t>
  </si>
  <si>
    <t>010201</t>
  </si>
  <si>
    <t>010202</t>
  </si>
  <si>
    <t>010203</t>
  </si>
  <si>
    <t>010204</t>
  </si>
  <si>
    <t>010205</t>
  </si>
  <si>
    <t>010206</t>
  </si>
  <si>
    <t>010207</t>
  </si>
  <si>
    <t>010208</t>
  </si>
  <si>
    <t>010209</t>
  </si>
  <si>
    <t>010210</t>
  </si>
  <si>
    <t>010211</t>
  </si>
  <si>
    <t>010212</t>
  </si>
  <si>
    <t>010213</t>
  </si>
  <si>
    <t>010214</t>
  </si>
  <si>
    <t>010215</t>
  </si>
  <si>
    <t>010216</t>
  </si>
  <si>
    <t>010217</t>
  </si>
  <si>
    <t>010218</t>
  </si>
  <si>
    <t>010219</t>
  </si>
  <si>
    <t>010220</t>
  </si>
  <si>
    <t>010221</t>
  </si>
  <si>
    <t>010222</t>
  </si>
  <si>
    <t>010223</t>
  </si>
  <si>
    <t>010224</t>
  </si>
  <si>
    <t>010225</t>
  </si>
  <si>
    <t>010226</t>
  </si>
  <si>
    <t>010227</t>
  </si>
  <si>
    <t>010228</t>
  </si>
  <si>
    <t>010229</t>
  </si>
  <si>
    <t>010230</t>
  </si>
  <si>
    <t>010231</t>
  </si>
  <si>
    <t>020232</t>
  </si>
  <si>
    <t>020233</t>
  </si>
  <si>
    <t>010301</t>
  </si>
  <si>
    <t>010302</t>
  </si>
  <si>
    <t>010303</t>
  </si>
  <si>
    <t>010304</t>
  </si>
  <si>
    <t>010305</t>
  </si>
  <si>
    <t>010306</t>
  </si>
  <si>
    <t>010307</t>
  </si>
  <si>
    <t>010308</t>
  </si>
  <si>
    <t>010309</t>
  </si>
  <si>
    <t>010310</t>
  </si>
  <si>
    <t>010311</t>
  </si>
  <si>
    <t>010312</t>
  </si>
  <si>
    <t>010313</t>
  </si>
  <si>
    <t>010314</t>
  </si>
  <si>
    <t>010315</t>
  </si>
  <si>
    <t>010316</t>
  </si>
  <si>
    <t>010317</t>
  </si>
  <si>
    <t>010318</t>
  </si>
  <si>
    <t>010319</t>
  </si>
  <si>
    <t>010320</t>
  </si>
  <si>
    <t>010321</t>
  </si>
  <si>
    <t>010322</t>
  </si>
  <si>
    <t>010401</t>
  </si>
  <si>
    <t>010402</t>
  </si>
  <si>
    <t>010403</t>
  </si>
  <si>
    <t>010404</t>
  </si>
  <si>
    <t>010405</t>
  </si>
  <si>
    <t>010406</t>
  </si>
  <si>
    <t>010407</t>
  </si>
  <si>
    <t>010408</t>
  </si>
  <si>
    <t>010409</t>
  </si>
  <si>
    <t>010410</t>
  </si>
  <si>
    <t>010411</t>
  </si>
  <si>
    <t>010412</t>
  </si>
  <si>
    <t>010413</t>
  </si>
  <si>
    <t>010414</t>
  </si>
  <si>
    <t>010415</t>
  </si>
  <si>
    <t>010416</t>
  </si>
  <si>
    <t>010417</t>
  </si>
  <si>
    <t>010418</t>
  </si>
  <si>
    <t>010419</t>
  </si>
  <si>
    <t>010420</t>
  </si>
  <si>
    <t>010421</t>
  </si>
  <si>
    <t>010422</t>
  </si>
  <si>
    <t>010423</t>
  </si>
  <si>
    <t>010424</t>
  </si>
  <si>
    <t>010425</t>
  </si>
  <si>
    <t>010426</t>
  </si>
  <si>
    <t>010427</t>
  </si>
  <si>
    <t>010428</t>
  </si>
  <si>
    <t>010429</t>
  </si>
  <si>
    <t>010430</t>
  </si>
  <si>
    <t>010431</t>
  </si>
  <si>
    <t>010432</t>
  </si>
  <si>
    <t>010433</t>
  </si>
  <si>
    <t>010434</t>
  </si>
  <si>
    <t>010435</t>
  </si>
  <si>
    <t>010436</t>
  </si>
  <si>
    <t>010437</t>
  </si>
  <si>
    <t>010438</t>
  </si>
  <si>
    <t>010439</t>
  </si>
  <si>
    <t>010440</t>
  </si>
  <si>
    <t>010441</t>
  </si>
  <si>
    <t>010442</t>
  </si>
  <si>
    <t>010443</t>
  </si>
  <si>
    <t>010444</t>
  </si>
  <si>
    <t>010445</t>
  </si>
  <si>
    <t>010446</t>
  </si>
  <si>
    <t>010447</t>
  </si>
  <si>
    <t>010448</t>
  </si>
  <si>
    <t>020449</t>
  </si>
  <si>
    <t>020450</t>
  </si>
  <si>
    <t>020451</t>
  </si>
  <si>
    <t>010501</t>
  </si>
  <si>
    <t>010502</t>
  </si>
  <si>
    <t>010503</t>
  </si>
  <si>
    <t>010504</t>
  </si>
  <si>
    <t>010505</t>
  </si>
  <si>
    <t>010506</t>
  </si>
  <si>
    <t>010507</t>
  </si>
  <si>
    <t>010508</t>
  </si>
  <si>
    <t>010509</t>
  </si>
  <si>
    <t>010510</t>
  </si>
  <si>
    <t>010511</t>
  </si>
  <si>
    <t>010512</t>
  </si>
  <si>
    <t>010513</t>
  </si>
  <si>
    <t>010514</t>
  </si>
  <si>
    <t>010515</t>
  </si>
  <si>
    <t>010516</t>
  </si>
  <si>
    <t>010517</t>
  </si>
  <si>
    <t>010518</t>
  </si>
  <si>
    <t>010519</t>
  </si>
  <si>
    <t>010520</t>
  </si>
  <si>
    <t>010521</t>
  </si>
  <si>
    <t>010522</t>
  </si>
  <si>
    <t>010523</t>
  </si>
  <si>
    <t>010524</t>
  </si>
  <si>
    <t>010525</t>
  </si>
  <si>
    <t>010526</t>
  </si>
  <si>
    <t>020527</t>
  </si>
  <si>
    <t>020528</t>
  </si>
  <si>
    <t>020529</t>
  </si>
  <si>
    <t>020530</t>
  </si>
  <si>
    <t>010601</t>
  </si>
  <si>
    <t>010602</t>
  </si>
  <si>
    <t>010603</t>
  </si>
  <si>
    <t>010604</t>
  </si>
  <si>
    <t>010605</t>
  </si>
  <si>
    <t>010606</t>
  </si>
  <si>
    <t>010607</t>
  </si>
  <si>
    <t>010608</t>
  </si>
  <si>
    <t>010609</t>
  </si>
  <si>
    <t>010610</t>
  </si>
  <si>
    <t>010611</t>
  </si>
  <si>
    <t>010612</t>
  </si>
  <si>
    <t>010613</t>
  </si>
  <si>
    <t>010614</t>
  </si>
  <si>
    <t>010615</t>
  </si>
  <si>
    <t>010616</t>
  </si>
  <si>
    <t>010617</t>
  </si>
  <si>
    <t>010618</t>
  </si>
  <si>
    <t>010619</t>
  </si>
  <si>
    <t>010620</t>
  </si>
  <si>
    <t>010621</t>
  </si>
  <si>
    <t>010622</t>
  </si>
  <si>
    <t>010623</t>
  </si>
  <si>
    <t>010624</t>
  </si>
  <si>
    <t>010625</t>
  </si>
  <si>
    <t>010626</t>
  </si>
  <si>
    <t>010627</t>
  </si>
  <si>
    <t>010628</t>
  </si>
  <si>
    <t>010629</t>
  </si>
  <si>
    <t>010630</t>
  </si>
  <si>
    <t>010631</t>
  </si>
  <si>
    <t>010632</t>
  </si>
  <si>
    <t>010633</t>
  </si>
  <si>
    <t>010634</t>
  </si>
  <si>
    <t>010635</t>
  </si>
  <si>
    <t>010636</t>
  </si>
  <si>
    <t>030637</t>
  </si>
  <si>
    <t>010638</t>
  </si>
  <si>
    <t>010639</t>
  </si>
  <si>
    <t>030640</t>
  </si>
  <si>
    <t>010641</t>
  </si>
  <si>
    <t>010642</t>
  </si>
  <si>
    <t>010643</t>
  </si>
  <si>
    <t>010644</t>
  </si>
  <si>
    <t>010645</t>
  </si>
  <si>
    <t>010646</t>
  </si>
  <si>
    <t>010647</t>
  </si>
  <si>
    <t>010648</t>
  </si>
  <si>
    <t>010649</t>
  </si>
  <si>
    <t>010650</t>
  </si>
  <si>
    <t>010651</t>
  </si>
  <si>
    <t>010652</t>
  </si>
  <si>
    <t>010653</t>
  </si>
  <si>
    <t>020654</t>
  </si>
  <si>
    <t>010701</t>
  </si>
  <si>
    <t>010702</t>
  </si>
  <si>
    <t>010703</t>
  </si>
  <si>
    <t>010704</t>
  </si>
  <si>
    <t>010705</t>
  </si>
  <si>
    <t>010706</t>
  </si>
  <si>
    <t>010707</t>
  </si>
  <si>
    <t>010708</t>
  </si>
  <si>
    <t>010709</t>
  </si>
  <si>
    <t>010710</t>
  </si>
  <si>
    <t>010711</t>
  </si>
  <si>
    <t>010712</t>
  </si>
  <si>
    <t>010713</t>
  </si>
  <si>
    <t>010714</t>
  </si>
  <si>
    <t>010715</t>
  </si>
  <si>
    <t>010716</t>
  </si>
  <si>
    <t>010717</t>
  </si>
  <si>
    <t>010718</t>
  </si>
  <si>
    <t>010719</t>
  </si>
  <si>
    <t>010720</t>
  </si>
  <si>
    <t>010721</t>
  </si>
  <si>
    <t>010722</t>
  </si>
  <si>
    <t>010723</t>
  </si>
  <si>
    <t>010724</t>
  </si>
  <si>
    <t>010725</t>
  </si>
  <si>
    <t>010726</t>
  </si>
  <si>
    <t>010801</t>
  </si>
  <si>
    <t>010802</t>
  </si>
  <si>
    <t>010803</t>
  </si>
  <si>
    <t>010804</t>
  </si>
  <si>
    <t>010805</t>
  </si>
  <si>
    <t>010806</t>
  </si>
  <si>
    <t>010807</t>
  </si>
  <si>
    <t>010808</t>
  </si>
  <si>
    <t>010809</t>
  </si>
  <si>
    <t>010810</t>
  </si>
  <si>
    <t>010811</t>
  </si>
  <si>
    <t>010812</t>
  </si>
  <si>
    <t>010813</t>
  </si>
  <si>
    <t>010814</t>
  </si>
  <si>
    <t>010815</t>
  </si>
  <si>
    <t>010816</t>
  </si>
  <si>
    <t>010817</t>
  </si>
  <si>
    <t>010818</t>
  </si>
  <si>
    <t>010819</t>
  </si>
  <si>
    <t>010820</t>
  </si>
  <si>
    <t>010821</t>
  </si>
  <si>
    <t>010822</t>
  </si>
  <si>
    <t>010823</t>
  </si>
  <si>
    <t>010824</t>
  </si>
  <si>
    <t>010825</t>
  </si>
  <si>
    <t>010826</t>
  </si>
  <si>
    <t>010827</t>
  </si>
  <si>
    <t>010828</t>
  </si>
  <si>
    <t>010829</t>
  </si>
  <si>
    <t>020830</t>
  </si>
  <si>
    <t>020831</t>
  </si>
  <si>
    <t>010901</t>
  </si>
  <si>
    <t>010902</t>
  </si>
  <si>
    <t>010903</t>
  </si>
  <si>
    <t>010904</t>
  </si>
  <si>
    <t>010905</t>
  </si>
  <si>
    <t>010906</t>
  </si>
  <si>
    <t>010907</t>
  </si>
  <si>
    <t>010908</t>
  </si>
  <si>
    <t>010909</t>
  </si>
  <si>
    <t>010910</t>
  </si>
  <si>
    <t>010911</t>
  </si>
  <si>
    <t>010912</t>
  </si>
  <si>
    <t>010913</t>
  </si>
  <si>
    <t>010914</t>
  </si>
  <si>
    <t>010915</t>
  </si>
  <si>
    <t>010916</t>
  </si>
  <si>
    <t>010917</t>
  </si>
  <si>
    <t>020918</t>
  </si>
  <si>
    <t>020919</t>
  </si>
  <si>
    <t>011001</t>
  </si>
  <si>
    <t>011002</t>
  </si>
  <si>
    <t>011003</t>
  </si>
  <si>
    <t>011004</t>
  </si>
  <si>
    <t>011005</t>
  </si>
  <si>
    <t>011006</t>
  </si>
  <si>
    <t>011007</t>
  </si>
  <si>
    <t>011008</t>
  </si>
  <si>
    <t>011009</t>
  </si>
  <si>
    <t>011010</t>
  </si>
  <si>
    <t>011011</t>
  </si>
  <si>
    <t>011012</t>
  </si>
  <si>
    <t>011013</t>
  </si>
  <si>
    <t>011014</t>
  </si>
  <si>
    <t>011015</t>
  </si>
  <si>
    <t>011016</t>
  </si>
  <si>
    <t>011017</t>
  </si>
  <si>
    <t>011018</t>
  </si>
  <si>
    <t>011019</t>
  </si>
  <si>
    <t>011020</t>
  </si>
  <si>
    <t>011021</t>
  </si>
  <si>
    <t>011022</t>
  </si>
  <si>
    <t>011023</t>
  </si>
  <si>
    <t>011024</t>
  </si>
  <si>
    <t>011025</t>
  </si>
  <si>
    <t>011026</t>
  </si>
  <si>
    <t>011027</t>
  </si>
  <si>
    <t>011028</t>
  </si>
  <si>
    <t>021029</t>
  </si>
  <si>
    <t>021030</t>
  </si>
  <si>
    <t>011101</t>
  </si>
  <si>
    <t>011102</t>
  </si>
  <si>
    <t>011103</t>
  </si>
  <si>
    <t>011104</t>
  </si>
  <si>
    <t>011105</t>
  </si>
  <si>
    <t>011106</t>
  </si>
  <si>
    <t>011107</t>
  </si>
  <si>
    <t>011108</t>
  </si>
  <si>
    <t>011109</t>
  </si>
  <si>
    <t>011110</t>
  </si>
  <si>
    <t>011111</t>
  </si>
  <si>
    <t>011112</t>
  </si>
  <si>
    <t>011113</t>
  </si>
  <si>
    <t>011114</t>
  </si>
  <si>
    <t>011115</t>
  </si>
  <si>
    <t>011116</t>
  </si>
  <si>
    <t>011117</t>
  </si>
  <si>
    <t>011118</t>
  </si>
  <si>
    <t>011119</t>
  </si>
  <si>
    <t>011120</t>
  </si>
  <si>
    <t>011121</t>
  </si>
  <si>
    <t>011122</t>
  </si>
  <si>
    <t>011123</t>
  </si>
  <si>
    <t>011124</t>
  </si>
  <si>
    <t>011125</t>
  </si>
  <si>
    <t>011126</t>
  </si>
  <si>
    <t>011127</t>
  </si>
  <si>
    <t>011128</t>
  </si>
  <si>
    <t>011129</t>
  </si>
  <si>
    <t>021130</t>
  </si>
  <si>
    <t>021131</t>
  </si>
  <si>
    <t>011201</t>
  </si>
  <si>
    <t>011202</t>
  </si>
  <si>
    <t>011203</t>
  </si>
  <si>
    <t>011204</t>
  </si>
  <si>
    <t>011205</t>
  </si>
  <si>
    <t>011206</t>
  </si>
  <si>
    <t>011207</t>
  </si>
  <si>
    <t>011208</t>
  </si>
  <si>
    <t>011209</t>
  </si>
  <si>
    <t>011210</t>
  </si>
  <si>
    <t>011211</t>
  </si>
  <si>
    <t>011212</t>
  </si>
  <si>
    <t>011213</t>
  </si>
  <si>
    <t>011214</t>
  </si>
  <si>
    <t>011215</t>
  </si>
  <si>
    <t>011216</t>
  </si>
  <si>
    <t>011217</t>
  </si>
  <si>
    <t>011218</t>
  </si>
  <si>
    <t>011219</t>
  </si>
  <si>
    <t>011220</t>
  </si>
  <si>
    <t>011221</t>
  </si>
  <si>
    <t>011222</t>
  </si>
  <si>
    <t>011223</t>
  </si>
  <si>
    <t>011224</t>
  </si>
  <si>
    <t>011225</t>
  </si>
  <si>
    <t>011226</t>
  </si>
  <si>
    <t>011227</t>
  </si>
  <si>
    <t>011228</t>
  </si>
  <si>
    <t>011229</t>
  </si>
  <si>
    <t>011230</t>
  </si>
  <si>
    <t>011231</t>
  </si>
  <si>
    <t>011232</t>
  </si>
  <si>
    <t>011233</t>
  </si>
  <si>
    <t>011234</t>
  </si>
  <si>
    <t>011235</t>
  </si>
  <si>
    <t>011236</t>
  </si>
  <si>
    <t>011237</t>
  </si>
  <si>
    <t>011238</t>
  </si>
  <si>
    <t>011239</t>
  </si>
  <si>
    <t>011240</t>
  </si>
  <si>
    <t>011241</t>
  </si>
  <si>
    <t>011242</t>
  </si>
  <si>
    <t>011243</t>
  </si>
  <si>
    <t>011244</t>
  </si>
  <si>
    <t>011245</t>
  </si>
  <si>
    <t>011246</t>
  </si>
  <si>
    <t>011247</t>
  </si>
  <si>
    <t>021248</t>
  </si>
  <si>
    <t>021249</t>
  </si>
  <si>
    <t>021250</t>
  </si>
  <si>
    <t>021251</t>
  </si>
  <si>
    <t>021252</t>
  </si>
  <si>
    <t>011301</t>
  </si>
  <si>
    <t>011302</t>
  </si>
  <si>
    <t>011303</t>
  </si>
  <si>
    <t>011304</t>
  </si>
  <si>
    <t>011305</t>
  </si>
  <si>
    <t>011306</t>
  </si>
  <si>
    <t>011307</t>
  </si>
  <si>
    <t>011308</t>
  </si>
  <si>
    <t>011309</t>
  </si>
  <si>
    <t>011310</t>
  </si>
  <si>
    <t>011311</t>
  </si>
  <si>
    <t>011312</t>
  </si>
  <si>
    <t>011313</t>
  </si>
  <si>
    <t>011314</t>
  </si>
  <si>
    <t>011315</t>
  </si>
  <si>
    <t>011316</t>
  </si>
  <si>
    <t>011317</t>
  </si>
  <si>
    <t>011318</t>
  </si>
  <si>
    <t>011319</t>
  </si>
  <si>
    <t>011320</t>
  </si>
  <si>
    <t>011321</t>
  </si>
  <si>
    <t>011322</t>
  </si>
  <si>
    <t>011323</t>
  </si>
  <si>
    <t>011324</t>
  </si>
  <si>
    <t>011325</t>
  </si>
  <si>
    <t>011326</t>
  </si>
  <si>
    <t>011327</t>
  </si>
  <si>
    <t>011328</t>
  </si>
  <si>
    <t>011329</t>
  </si>
  <si>
    <t>011330</t>
  </si>
  <si>
    <t>011331</t>
  </si>
  <si>
    <t>011332</t>
  </si>
  <si>
    <t>011333</t>
  </si>
  <si>
    <t>011334</t>
  </si>
  <si>
    <t>011335</t>
  </si>
  <si>
    <t>011336</t>
  </si>
  <si>
    <t>011337</t>
  </si>
  <si>
    <t>011338</t>
  </si>
  <si>
    <t>011339</t>
  </si>
  <si>
    <t>011340</t>
  </si>
  <si>
    <t>011341</t>
  </si>
  <si>
    <t>011342</t>
  </si>
  <si>
    <t>011343</t>
  </si>
  <si>
    <t>011344</t>
  </si>
  <si>
    <t>011345</t>
  </si>
  <si>
    <t>011346</t>
  </si>
  <si>
    <t>011347</t>
  </si>
  <si>
    <t>011348</t>
  </si>
  <si>
    <t>011349</t>
  </si>
  <si>
    <t>011350</t>
  </si>
  <si>
    <t>011351</t>
  </si>
  <si>
    <t>011352</t>
  </si>
  <si>
    <t>011353</t>
  </si>
  <si>
    <t>011354</t>
  </si>
  <si>
    <t>011355</t>
  </si>
  <si>
    <t>011356</t>
  </si>
  <si>
    <t>011357</t>
  </si>
  <si>
    <t>011358</t>
  </si>
  <si>
    <t>011359</t>
  </si>
  <si>
    <t>011360</t>
  </si>
  <si>
    <t>011361</t>
  </si>
  <si>
    <t>011362</t>
  </si>
  <si>
    <t>011363</t>
  </si>
  <si>
    <t>011364</t>
  </si>
  <si>
    <t>011365</t>
  </si>
  <si>
    <t>011366</t>
  </si>
  <si>
    <t>011367</t>
  </si>
  <si>
    <t>011368</t>
  </si>
  <si>
    <t>011369</t>
  </si>
  <si>
    <t>011370</t>
  </si>
  <si>
    <t>011371</t>
  </si>
  <si>
    <t>011372</t>
  </si>
  <si>
    <t>011373</t>
  </si>
  <si>
    <t>011374</t>
  </si>
  <si>
    <t>011375</t>
  </si>
  <si>
    <t>011376</t>
  </si>
  <si>
    <t>011377</t>
  </si>
  <si>
    <t>011378</t>
  </si>
  <si>
    <t>011379</t>
  </si>
  <si>
    <t>011380</t>
  </si>
  <si>
    <t>011381</t>
  </si>
  <si>
    <t>011382</t>
  </si>
  <si>
    <t>011383</t>
  </si>
  <si>
    <t>011384</t>
  </si>
  <si>
    <t>011385</t>
  </si>
  <si>
    <t>011386</t>
  </si>
  <si>
    <t>011387</t>
  </si>
  <si>
    <t>011388</t>
  </si>
  <si>
    <t>011389</t>
  </si>
  <si>
    <t>011390</t>
  </si>
  <si>
    <t>011391</t>
  </si>
  <si>
    <t>011392</t>
  </si>
  <si>
    <t>011393</t>
  </si>
  <si>
    <t>011394</t>
  </si>
  <si>
    <t>011395</t>
  </si>
  <si>
    <t>011396</t>
  </si>
  <si>
    <t>011397</t>
  </si>
  <si>
    <t>011398</t>
  </si>
  <si>
    <t>011399</t>
  </si>
  <si>
    <t>0113100</t>
  </si>
  <si>
    <t>0113101</t>
  </si>
  <si>
    <t>0113102</t>
  </si>
  <si>
    <t>0113103</t>
  </si>
  <si>
    <t>0113104</t>
  </si>
  <si>
    <t>0113105</t>
  </si>
  <si>
    <t>0113106</t>
  </si>
  <si>
    <t>0113107</t>
  </si>
  <si>
    <t>0113108</t>
  </si>
  <si>
    <t>011401</t>
  </si>
  <si>
    <t>011402</t>
  </si>
  <si>
    <t>011403</t>
  </si>
  <si>
    <t>011404</t>
  </si>
  <si>
    <t>011405</t>
  </si>
  <si>
    <t>011406</t>
  </si>
  <si>
    <t>011407</t>
  </si>
  <si>
    <t>011408</t>
  </si>
  <si>
    <t>011409</t>
  </si>
  <si>
    <t>011410</t>
  </si>
  <si>
    <t>011411</t>
  </si>
  <si>
    <t>011412</t>
  </si>
  <si>
    <t>011413</t>
  </si>
  <si>
    <t>011414</t>
  </si>
  <si>
    <t>011415</t>
  </si>
  <si>
    <t>011416</t>
  </si>
  <si>
    <t>011417</t>
  </si>
  <si>
    <t>011418</t>
  </si>
  <si>
    <t>011419</t>
  </si>
  <si>
    <t>011420</t>
  </si>
  <si>
    <t>011421</t>
  </si>
  <si>
    <t>011422</t>
  </si>
  <si>
    <t>011423</t>
  </si>
  <si>
    <t>021424</t>
  </si>
  <si>
    <t>011501</t>
  </si>
  <si>
    <t>011502</t>
  </si>
  <si>
    <t>011503</t>
  </si>
  <si>
    <t>011504</t>
  </si>
  <si>
    <t>011505</t>
  </si>
  <si>
    <t>011506</t>
  </si>
  <si>
    <t>011507</t>
  </si>
  <si>
    <t>011508</t>
  </si>
  <si>
    <t>011509</t>
  </si>
  <si>
    <t>011510</t>
  </si>
  <si>
    <t>011511</t>
  </si>
  <si>
    <t>011512</t>
  </si>
  <si>
    <t>011513</t>
  </si>
  <si>
    <t>011514</t>
  </si>
  <si>
    <t>011515</t>
  </si>
  <si>
    <t>011516</t>
  </si>
  <si>
    <t>011517</t>
  </si>
  <si>
    <t>011518</t>
  </si>
  <si>
    <t>011519</t>
  </si>
  <si>
    <t>011520</t>
  </si>
  <si>
    <t>011521</t>
  </si>
  <si>
    <t>011522</t>
  </si>
  <si>
    <t>011523</t>
  </si>
  <si>
    <t>011524</t>
  </si>
  <si>
    <t>011525</t>
  </si>
  <si>
    <t>011526</t>
  </si>
  <si>
    <t>011527</t>
  </si>
  <si>
    <t>011528</t>
  </si>
  <si>
    <t>011529</t>
  </si>
  <si>
    <t>011530</t>
  </si>
  <si>
    <t>011531</t>
  </si>
  <si>
    <t>011532</t>
  </si>
  <si>
    <t>011533</t>
  </si>
  <si>
    <t>011534</t>
  </si>
  <si>
    <t>011535</t>
  </si>
  <si>
    <t>011536</t>
  </si>
  <si>
    <t>011537</t>
  </si>
  <si>
    <t>011538</t>
  </si>
  <si>
    <t>021539</t>
  </si>
  <si>
    <t>021540</t>
  </si>
  <si>
    <t>021541</t>
  </si>
  <si>
    <t>021542</t>
  </si>
  <si>
    <t>021543</t>
  </si>
  <si>
    <t>021544</t>
  </si>
  <si>
    <t>021545</t>
  </si>
  <si>
    <t>021546</t>
  </si>
  <si>
    <t>021547</t>
  </si>
  <si>
    <t>021548</t>
  </si>
  <si>
    <t>011601</t>
  </si>
  <si>
    <t>011602</t>
  </si>
  <si>
    <t>011603</t>
  </si>
  <si>
    <t>011604</t>
  </si>
  <si>
    <t>011605</t>
  </si>
  <si>
    <t>011606</t>
  </si>
  <si>
    <t>011607</t>
  </si>
  <si>
    <t>011608</t>
  </si>
  <si>
    <t>011609</t>
  </si>
  <si>
    <t>011610</t>
  </si>
  <si>
    <t>011611</t>
  </si>
  <si>
    <t>011612</t>
  </si>
  <si>
    <t>011613</t>
  </si>
  <si>
    <t>011614</t>
  </si>
  <si>
    <t>011615</t>
  </si>
  <si>
    <t>011616</t>
  </si>
  <si>
    <t>011617</t>
  </si>
  <si>
    <t>011618</t>
  </si>
  <si>
    <t>011619</t>
  </si>
  <si>
    <t>011620</t>
  </si>
  <si>
    <t>011621</t>
  </si>
  <si>
    <t>011622</t>
  </si>
  <si>
    <t>011623</t>
  </si>
  <si>
    <t>011624</t>
  </si>
  <si>
    <t>011625</t>
  </si>
  <si>
    <t>011626</t>
  </si>
  <si>
    <t>011627</t>
  </si>
  <si>
    <t>011628</t>
  </si>
  <si>
    <t>011629</t>
  </si>
  <si>
    <t>011630</t>
  </si>
  <si>
    <t>011631</t>
  </si>
  <si>
    <t>011632</t>
  </si>
  <si>
    <t>011633</t>
  </si>
  <si>
    <t>011634</t>
  </si>
  <si>
    <t>011635</t>
  </si>
  <si>
    <t>011636</t>
  </si>
  <si>
    <t>021637</t>
  </si>
  <si>
    <t>021638</t>
  </si>
  <si>
    <t>021639</t>
  </si>
  <si>
    <t>011701</t>
  </si>
  <si>
    <t>011702</t>
  </si>
  <si>
    <t>011703</t>
  </si>
  <si>
    <t>011704</t>
  </si>
  <si>
    <t>011705</t>
  </si>
  <si>
    <t>011706</t>
  </si>
  <si>
    <t>011707</t>
  </si>
  <si>
    <t>011708</t>
  </si>
  <si>
    <t>011709</t>
  </si>
  <si>
    <t>011710</t>
  </si>
  <si>
    <t>011711</t>
  </si>
  <si>
    <t>011712</t>
  </si>
  <si>
    <t>011713</t>
  </si>
  <si>
    <t>011714</t>
  </si>
  <si>
    <t>011715</t>
  </si>
  <si>
    <t>011716</t>
  </si>
  <si>
    <t>011717</t>
  </si>
  <si>
    <t>011718</t>
  </si>
  <si>
    <t>011719</t>
  </si>
  <si>
    <t>011720</t>
  </si>
  <si>
    <t>011721</t>
  </si>
  <si>
    <t>011722</t>
  </si>
  <si>
    <t>011723</t>
  </si>
  <si>
    <t>011724</t>
  </si>
  <si>
    <t>011725</t>
  </si>
  <si>
    <t>011726</t>
  </si>
  <si>
    <t>011727</t>
  </si>
  <si>
    <t>011728</t>
  </si>
  <si>
    <t>011729</t>
  </si>
  <si>
    <t>011730</t>
  </si>
  <si>
    <t>011731</t>
  </si>
  <si>
    <t>011732</t>
  </si>
  <si>
    <t>011733</t>
  </si>
  <si>
    <t>011734</t>
  </si>
  <si>
    <t>011735</t>
  </si>
  <si>
    <t>011736</t>
  </si>
  <si>
    <t>021737</t>
  </si>
  <si>
    <t>021738</t>
  </si>
  <si>
    <t>021739</t>
  </si>
  <si>
    <t>021740</t>
  </si>
  <si>
    <t>021741</t>
  </si>
  <si>
    <t>011801</t>
  </si>
  <si>
    <t>011802</t>
  </si>
  <si>
    <t>011803</t>
  </si>
  <si>
    <t>011804</t>
  </si>
  <si>
    <t>011805</t>
  </si>
  <si>
    <t>011806</t>
  </si>
  <si>
    <t>011807</t>
  </si>
  <si>
    <t>011808</t>
  </si>
  <si>
    <t>011809</t>
  </si>
  <si>
    <t>011810</t>
  </si>
  <si>
    <t>011811</t>
  </si>
  <si>
    <t>011812</t>
  </si>
  <si>
    <t>011813</t>
  </si>
  <si>
    <t>011814</t>
  </si>
  <si>
    <t>011815</t>
  </si>
  <si>
    <t>011816</t>
  </si>
  <si>
    <t>011817</t>
  </si>
  <si>
    <t>011818</t>
  </si>
  <si>
    <t>011819</t>
  </si>
  <si>
    <t>011820</t>
  </si>
  <si>
    <t>011821</t>
  </si>
  <si>
    <t>011822</t>
  </si>
  <si>
    <t>011823</t>
  </si>
  <si>
    <t>011824</t>
  </si>
  <si>
    <t>021825</t>
  </si>
  <si>
    <t>021826</t>
  </si>
  <si>
    <t>021827</t>
  </si>
  <si>
    <t>021828</t>
  </si>
  <si>
    <t>021829</t>
  </si>
  <si>
    <t>021830</t>
  </si>
  <si>
    <t>011901</t>
  </si>
  <si>
    <t>011902</t>
  </si>
  <si>
    <t>011903</t>
  </si>
  <si>
    <t>011904</t>
  </si>
  <si>
    <t>011905</t>
  </si>
  <si>
    <t>011906</t>
  </si>
  <si>
    <t>011907</t>
  </si>
  <si>
    <t>011908</t>
  </si>
  <si>
    <t>011909</t>
  </si>
  <si>
    <t>011910</t>
  </si>
  <si>
    <t>011911</t>
  </si>
  <si>
    <t>011912</t>
  </si>
  <si>
    <t>011913</t>
  </si>
  <si>
    <t>011914</t>
  </si>
  <si>
    <t>011915</t>
  </si>
  <si>
    <t>011916</t>
  </si>
  <si>
    <t>011917</t>
  </si>
  <si>
    <t>011918</t>
  </si>
  <si>
    <t>011919</t>
  </si>
  <si>
    <t>011920</t>
  </si>
  <si>
    <t>011921</t>
  </si>
  <si>
    <t>011922</t>
  </si>
  <si>
    <t>011923</t>
  </si>
  <si>
    <t>011924</t>
  </si>
  <si>
    <t>011925</t>
  </si>
  <si>
    <t>011926</t>
  </si>
  <si>
    <t>021927</t>
  </si>
  <si>
    <t>021928</t>
  </si>
  <si>
    <t>021929</t>
  </si>
  <si>
    <t>012001</t>
  </si>
  <si>
    <t>012002</t>
  </si>
  <si>
    <t>012003</t>
  </si>
  <si>
    <t>012004</t>
  </si>
  <si>
    <t>012005</t>
  </si>
  <si>
    <t>012006</t>
  </si>
  <si>
    <t>012007</t>
  </si>
  <si>
    <t>012008</t>
  </si>
  <si>
    <t>012009</t>
  </si>
  <si>
    <t>012010</t>
  </si>
  <si>
    <t>012011</t>
  </si>
  <si>
    <t>012012</t>
  </si>
  <si>
    <t>012013</t>
  </si>
  <si>
    <t>012014</t>
  </si>
  <si>
    <t>012015</t>
  </si>
  <si>
    <t>012016</t>
  </si>
  <si>
    <t>012017</t>
  </si>
  <si>
    <t>012018</t>
  </si>
  <si>
    <t>012019</t>
  </si>
  <si>
    <t>012020</t>
  </si>
  <si>
    <t>012021</t>
  </si>
  <si>
    <t>012022</t>
  </si>
  <si>
    <t>012023</t>
  </si>
  <si>
    <t>012024</t>
  </si>
  <si>
    <t>012025</t>
  </si>
  <si>
    <t>012026</t>
  </si>
  <si>
    <t>012027</t>
  </si>
  <si>
    <t>012028</t>
  </si>
  <si>
    <t>012029</t>
  </si>
  <si>
    <t>012030</t>
  </si>
  <si>
    <t>012031</t>
  </si>
  <si>
    <t>012032</t>
  </si>
  <si>
    <t>012033</t>
  </si>
  <si>
    <t>012034</t>
  </si>
  <si>
    <t>012035</t>
  </si>
  <si>
    <t>012036</t>
  </si>
  <si>
    <t>022037</t>
  </si>
  <si>
    <t>012101</t>
  </si>
  <si>
    <t>012102</t>
  </si>
  <si>
    <t>012103</t>
  </si>
  <si>
    <t>012104</t>
  </si>
  <si>
    <t>012105</t>
  </si>
  <si>
    <t>012106</t>
  </si>
  <si>
    <t>012107</t>
  </si>
  <si>
    <t>012108</t>
  </si>
  <si>
    <t>012109</t>
  </si>
  <si>
    <t>012110</t>
  </si>
  <si>
    <t>012111</t>
  </si>
  <si>
    <t>012112</t>
  </si>
  <si>
    <t>012113</t>
  </si>
  <si>
    <t>012114</t>
  </si>
  <si>
    <t>012115</t>
  </si>
  <si>
    <t>012116</t>
  </si>
  <si>
    <t>012117</t>
  </si>
  <si>
    <t>012118</t>
  </si>
  <si>
    <t>012119</t>
  </si>
  <si>
    <t>012120</t>
  </si>
  <si>
    <t>012121</t>
  </si>
  <si>
    <t>012122</t>
  </si>
  <si>
    <t>012123</t>
  </si>
  <si>
    <t>012124</t>
  </si>
  <si>
    <t>012125</t>
  </si>
  <si>
    <t>012126</t>
  </si>
  <si>
    <t>012127</t>
  </si>
  <si>
    <t>012128</t>
  </si>
  <si>
    <t>012129</t>
  </si>
  <si>
    <t>012130</t>
  </si>
  <si>
    <t>012131</t>
  </si>
  <si>
    <t>012132</t>
  </si>
  <si>
    <t>012133</t>
  </si>
  <si>
    <t>012134</t>
  </si>
  <si>
    <t>012135</t>
  </si>
  <si>
    <t>012136</t>
  </si>
  <si>
    <t>012137</t>
  </si>
  <si>
    <t>012138</t>
  </si>
  <si>
    <t>012139</t>
  </si>
  <si>
    <t>022140</t>
  </si>
  <si>
    <t>022141</t>
  </si>
  <si>
    <t>022142</t>
  </si>
  <si>
    <t>022143</t>
  </si>
  <si>
    <t>022144</t>
  </si>
  <si>
    <t>022145</t>
  </si>
  <si>
    <t>012201</t>
  </si>
  <si>
    <t>012202</t>
  </si>
  <si>
    <t>012203</t>
  </si>
  <si>
    <t>012204</t>
  </si>
  <si>
    <t>012205</t>
  </si>
  <si>
    <t>012206</t>
  </si>
  <si>
    <t>012207</t>
  </si>
  <si>
    <t>012208</t>
  </si>
  <si>
    <t>012209</t>
  </si>
  <si>
    <t>012210</t>
  </si>
  <si>
    <t>012211</t>
  </si>
  <si>
    <t>012212</t>
  </si>
  <si>
    <t>012213</t>
  </si>
  <si>
    <t>012214</t>
  </si>
  <si>
    <t>012215</t>
  </si>
  <si>
    <t>012216</t>
  </si>
  <si>
    <t>012217</t>
  </si>
  <si>
    <t>012218</t>
  </si>
  <si>
    <t>012219</t>
  </si>
  <si>
    <t>012220</t>
  </si>
  <si>
    <t>012221</t>
  </si>
  <si>
    <t>012222</t>
  </si>
  <si>
    <t>012223</t>
  </si>
  <si>
    <t>012224</t>
  </si>
  <si>
    <t>012225</t>
  </si>
  <si>
    <t>012226</t>
  </si>
  <si>
    <t>012227</t>
  </si>
  <si>
    <t>012228</t>
  </si>
  <si>
    <t>012229</t>
  </si>
  <si>
    <t>012230</t>
  </si>
  <si>
    <t>012231</t>
  </si>
  <si>
    <t>012232</t>
  </si>
  <si>
    <t>012233</t>
  </si>
  <si>
    <t>012234</t>
  </si>
  <si>
    <t>012235</t>
  </si>
  <si>
    <t>012236</t>
  </si>
  <si>
    <t>012237</t>
  </si>
  <si>
    <t>012238</t>
  </si>
  <si>
    <t>012239</t>
  </si>
  <si>
    <t>012240</t>
  </si>
  <si>
    <t>012241</t>
  </si>
  <si>
    <t>012242</t>
  </si>
  <si>
    <t>012243</t>
  </si>
  <si>
    <t>012244</t>
  </si>
  <si>
    <t>012245</t>
  </si>
  <si>
    <t>012246</t>
  </si>
  <si>
    <t>022247</t>
  </si>
  <si>
    <t>022248</t>
  </si>
  <si>
    <t>022249</t>
  </si>
  <si>
    <t>022250</t>
  </si>
  <si>
    <t>012701</t>
  </si>
  <si>
    <t>012702</t>
  </si>
  <si>
    <t>012703</t>
  </si>
  <si>
    <t>012704</t>
  </si>
  <si>
    <t>012705</t>
  </si>
  <si>
    <t>012706</t>
  </si>
  <si>
    <t>012707</t>
  </si>
  <si>
    <t>012708</t>
  </si>
  <si>
    <t>012709</t>
  </si>
  <si>
    <t>012710</t>
  </si>
  <si>
    <t>012711</t>
  </si>
  <si>
    <t>012712</t>
  </si>
  <si>
    <t>012713</t>
  </si>
  <si>
    <t>012714</t>
  </si>
  <si>
    <t>012715</t>
  </si>
  <si>
    <t>012716</t>
  </si>
  <si>
    <t>012717</t>
  </si>
  <si>
    <t>012718</t>
  </si>
  <si>
    <t>012719</t>
  </si>
  <si>
    <t>012720</t>
  </si>
  <si>
    <t>012721</t>
  </si>
  <si>
    <t>012722</t>
  </si>
  <si>
    <t>012723</t>
  </si>
  <si>
    <t>012724</t>
  </si>
  <si>
    <t>012301</t>
  </si>
  <si>
    <t>012302</t>
  </si>
  <si>
    <t>012303</t>
  </si>
  <si>
    <t>012304</t>
  </si>
  <si>
    <t>012305</t>
  </si>
  <si>
    <t>012306</t>
  </si>
  <si>
    <t>012307</t>
  </si>
  <si>
    <t>012308</t>
  </si>
  <si>
    <t>012309</t>
  </si>
  <si>
    <t>012310</t>
  </si>
  <si>
    <t>012311</t>
  </si>
  <si>
    <t>012312</t>
  </si>
  <si>
    <t>012313</t>
  </si>
  <si>
    <t>012314</t>
  </si>
  <si>
    <t>012315</t>
  </si>
  <si>
    <t>012316</t>
  </si>
  <si>
    <t>012317</t>
  </si>
  <si>
    <t>012318</t>
  </si>
  <si>
    <t>012319</t>
  </si>
  <si>
    <t>012320</t>
  </si>
  <si>
    <t>012321</t>
  </si>
  <si>
    <t>012322</t>
  </si>
  <si>
    <t>012323</t>
  </si>
  <si>
    <t>022324</t>
  </si>
  <si>
    <t>022325</t>
  </si>
  <si>
    <t>022326</t>
  </si>
  <si>
    <t>012401</t>
  </si>
  <si>
    <t>012402</t>
  </si>
  <si>
    <t>012403</t>
  </si>
  <si>
    <t>012404</t>
  </si>
  <si>
    <t>012405</t>
  </si>
  <si>
    <t>012406</t>
  </si>
  <si>
    <t>012407</t>
  </si>
  <si>
    <t>012408</t>
  </si>
  <si>
    <t>012409</t>
  </si>
  <si>
    <t>012410</t>
  </si>
  <si>
    <t>012411</t>
  </si>
  <si>
    <t>012412</t>
  </si>
  <si>
    <t>012413</t>
  </si>
  <si>
    <t>012414</t>
  </si>
  <si>
    <t>012415</t>
  </si>
  <si>
    <t>012416</t>
  </si>
  <si>
    <t>012417</t>
  </si>
  <si>
    <t>012418</t>
  </si>
  <si>
    <t>012419</t>
  </si>
  <si>
    <t>012420</t>
  </si>
  <si>
    <t>012421</t>
  </si>
  <si>
    <t>012422</t>
  </si>
  <si>
    <t>012423</t>
  </si>
  <si>
    <t>012424</t>
  </si>
  <si>
    <t>022425</t>
  </si>
  <si>
    <t>022426</t>
  </si>
  <si>
    <t>022427</t>
  </si>
  <si>
    <t>022428</t>
  </si>
  <si>
    <t>022429</t>
  </si>
  <si>
    <t>012501</t>
  </si>
  <si>
    <t>012502</t>
  </si>
  <si>
    <t>012503</t>
  </si>
  <si>
    <t>012504</t>
  </si>
  <si>
    <t>012505</t>
  </si>
  <si>
    <t>012506</t>
  </si>
  <si>
    <t>012507</t>
  </si>
  <si>
    <t>012508</t>
  </si>
  <si>
    <t>012509</t>
  </si>
  <si>
    <t>012510</t>
  </si>
  <si>
    <t>012511</t>
  </si>
  <si>
    <t>012512</t>
  </si>
  <si>
    <t>012513</t>
  </si>
  <si>
    <t>012514</t>
  </si>
  <si>
    <t>012515</t>
  </si>
  <si>
    <t>012516</t>
  </si>
  <si>
    <t>012517</t>
  </si>
  <si>
    <t>012518</t>
  </si>
  <si>
    <t>012519</t>
  </si>
  <si>
    <t>012520</t>
  </si>
  <si>
    <t>012521</t>
  </si>
  <si>
    <t>012522</t>
  </si>
  <si>
    <t>012523</t>
  </si>
  <si>
    <t>012524</t>
  </si>
  <si>
    <t>022525</t>
  </si>
  <si>
    <t>022526</t>
  </si>
  <si>
    <t>022527</t>
  </si>
  <si>
    <t>022528</t>
  </si>
  <si>
    <t>022529</t>
  </si>
  <si>
    <t>022530</t>
  </si>
  <si>
    <t>012601</t>
  </si>
  <si>
    <t>012602</t>
  </si>
  <si>
    <t>012603</t>
  </si>
  <si>
    <t>012604</t>
  </si>
  <si>
    <t>012605</t>
  </si>
  <si>
    <t>012606</t>
  </si>
  <si>
    <t>012607</t>
  </si>
  <si>
    <t>012608</t>
  </si>
  <si>
    <t>012609</t>
  </si>
  <si>
    <t>012610</t>
  </si>
  <si>
    <t>012611</t>
  </si>
  <si>
    <t>012612</t>
  </si>
  <si>
    <t>012613</t>
  </si>
  <si>
    <t>012614</t>
  </si>
  <si>
    <t>012615</t>
  </si>
  <si>
    <t>012616</t>
  </si>
  <si>
    <t>012617</t>
  </si>
  <si>
    <t>022618</t>
  </si>
  <si>
    <t>022619</t>
  </si>
  <si>
    <t>Unobstructed Hunter’s Aim</t>
  </si>
  <si>
    <t>1m per die</t>
  </si>
  <si>
    <t>Archery 1, Essence 1</t>
  </si>
  <si>
    <t>Balanced, Excellency, Uniform, Wood</t>
  </si>
  <si>
    <t xml:space="preserve">Sighting along the flow of living Essence, the Dragon-Blood unleashes a flawless shot. She may add bonus dice to an Archery roll for one mote each. As long as she attacks a living target — or an undead one, which stands out as a void in the Essence of the world — each added die negates one point of penalty from visual obstruction such as poor lighting or smoke. </t>
  </si>
  <si>
    <t>Sky-Calming Draw</t>
  </si>
  <si>
    <t>Air, Uniform</t>
  </si>
  <si>
    <t xml:space="preserve">The Dragon-Blood’s focus quells the wind that would divert her arrow, ensuring her shot flies true. She extends the range of a withering or decisive attack by one range band, maximum long (including those made with Flame weapons), and ignores penalties from wind or inclement weather. If her weapon already has long range, she instead adds an automatic success on the attack roll. </t>
  </si>
  <si>
    <t>Death From Nowhere</t>
  </si>
  <si>
    <t>Air/Water, Balanced, Withering-only</t>
  </si>
  <si>
    <t xml:space="preserve">As the Dragon-Blood draws back her arrow against her bowstring, she withdraws and disperses its weightiness, sending it flying like an ephemeral phantom to pierce her foe’s heart. Her withering attack ignores (lower of Essence or Perception) points of soak from armor. If her attack benefits from aiming, she ignores (higher of Essence or Perception) soak instead. </t>
  </si>
  <si>
    <t>Harvest of the Hunter</t>
  </si>
  <si>
    <t>Wood</t>
  </si>
  <si>
    <t xml:space="preserve">The Dragon-Blood may go to hunt with an empty quiver yet never lack for arrows. Anything that grows will yield up arrows to the archer’s gathering hands. She can create useable ammunition for a bow or crossbow from any kind of plant, whether it’s a marsh reed or a stalk of corn. In combat, she doubles 8s on an ammunition check for an Archery weapon (Exalted, p. 202). As long as she rolls a single success, she’s guaranteed to scavenge a single arrow. Outside of combat, she may use this Charm to gather enough arrows to fill her quiver as long as there’s sufficient plant life to draw her harvest from, although the Storyteller may require a special ammunition check to create arrows in barren deserts or other areas devoid of plant life. </t>
  </si>
  <si>
    <t>Arrow Thorn Technique</t>
  </si>
  <si>
    <t>Balanced, Dual, Wood</t>
  </si>
  <si>
    <t xml:space="preserve">Thorns grow to wreathe the shaft of the DragonBlood’s arrow in flight. On a withering attack, she adds +1 Overwhelming, or (Essence) Overwhelming if the attack benefits from aiming. Decisive attacks add (Essence/2, rounded up) threshold successes on the attack roll as dice of damage, or (Essence) threshold successes if she aimed. </t>
  </si>
  <si>
    <t>Boughs of Burning Autumn</t>
  </si>
  <si>
    <t>Fire/Wood, Perilous</t>
  </si>
  <si>
    <t xml:space="preserve">Flame is born from wood. The Dragon-Blood may reflexively reload a firewand or similar flame weapon with the Slow tag on her turn. This permits her to use it in combination with Charms that make multiple attacks, such as Seven-Year Swarm Volley, as long as she pays this Charm’s cost before each additional attack past the first. </t>
  </si>
  <si>
    <t>Life-Swelling Sap Strike</t>
  </si>
  <si>
    <t>3m (+1wp)</t>
  </si>
  <si>
    <t>Archery 3, Essence 2</t>
  </si>
  <si>
    <t>Decisive-only, Wood</t>
  </si>
  <si>
    <t xml:space="preserve">The Dragon-Blood’s arrow bursts into a crush of ever-growing roots or vines in midflight, entangling her enemy in thick plants. She makes a distract gambit (Exalted, p. 200). On a success, her projectile bursts into growing vines, inflicting a -1 mobility penalty on the distracted character — which stacks with penalties from armor — for the rest of the scene. He or one of his allies can cut away the vines with a difficulty 3 gambit using an edged weapon, or the Storyteller might deem other actions or conditions sufficient. At the end of each round in which he remains entangled, he loses a point of Initiative (which the Dragon-Blood doesn’t gain). Battle groups lose one Magnitude instead. If the Dragon-Blood pays a one-Willpower surcharge, an undead crashed by this attack is incapacitated, crumbling into soil. This surcharge is waived against trivial foes. This doesn’t apply to stronger undead, such as nephwracks, Deathlords, or undead Exalted. The body of any living mortal slain while covered in vines won’t harbor a hungry ghost. Outside of combat, the Dragon-Blood may use this Charm on dying mortals to ensure they leave no hungry ghosts, waiving the Willpower cost for willing targets.  In Wood Aura, the Dragon-Blood may use this Charm to make a standard decisive attack instead of a distract gambit. </t>
  </si>
  <si>
    <t>Arbor Sentinel Technique</t>
  </si>
  <si>
    <t xml:space="preserve">As the Dragon-Blood lowers her bow to the ground, its once-living wood remembers what it once was, sprouting roots that dive into the soil. In a matter of seconds, the weapon grows into a small tree, less than a range band high, its branches replete with arrows. It’s still perfectly curved and weighted to allow the Dragon-Blood to attack with it, provides her with the benefits of heavy cover (Exalted, p. 199), and cannot be disarmed. It provides a never-ending supply of ammunition, ensuring she won’t run out of arrows even in a daylong battle. However, she cannot move the weapon in its tree form, and this Charm ends if she moves further than close range from it. </t>
  </si>
  <si>
    <t>Drawing Lightning Style</t>
  </si>
  <si>
    <t>Air, Aura, Perilous, Uniform</t>
  </si>
  <si>
    <t xml:space="preserve">As the Dragon-Blood takes aim, her arrow crackles with gathering lightning, shining as a glowing anima banner (p. 154). On her next turn, she may make a decisive attack, adding the bonus from aiming to her damage roll instead of the attack roll. An Archery 4, Essence 3 repurchase lets the DragonBlood expend her Aura to apply the aim bonus on both the attack and damage rolls. </t>
  </si>
  <si>
    <t>Spring Follows Winter</t>
  </si>
  <si>
    <t>2m (+1i per die)</t>
  </si>
  <si>
    <t>Aura, Perilous, Uniform, Wood</t>
  </si>
  <si>
    <t xml:space="preserve">Like green leaves reborn after the harshest winter, the Dragon-Blood’s arrow must inevitably strike its mark. After an attack roll, she can reroll up to (Essence) non-1 failures for one Initiative each. This Charm must be declared before the attack roll, but the Initiative isn’t paid until after the roll.  </t>
  </si>
  <si>
    <t>Horizon-Spanning Arc</t>
  </si>
  <si>
    <t>4m, 1wp, expend Air Aura</t>
  </si>
  <si>
    <t>Air Aura</t>
  </si>
  <si>
    <t>Archery 5,Essence 3</t>
  </si>
  <si>
    <t>Aura, Decisive-only, Signature (Air)</t>
  </si>
  <si>
    <t xml:space="preserve">The Dragon-Blood bends the winds to her bowstring, loosing a shot that could fly from heaven to earth. After spending two consecutive rounds aiming, she makes a decisive attack out to extreme range (Exalted, p. 197), converting the bonus dice from aiming to non-Charm successes. She must be able to clearly see her enemy, and cannot attack a foe from more than five range bands away. If she hits and incapacitates her foe, she may reflexively take aim at another enemy within long range. This Charm can only be used once per scene, unless reset by crashing an enemy whose Initiative was higher than the Dragon-Blood’s. </t>
  </si>
  <si>
    <t>Earth’s Judgment Awakened</t>
  </si>
  <si>
    <t>Counterattack, Decisive-only, Signature (Earth)</t>
  </si>
  <si>
    <t xml:space="preserve">Standing calm and centered on the earth, the Dragon-Blood rebukes an attacker with an arrow weighted with the unrelenting force of her will. When she’s standing on an earthen surface and successfully dodges an attack from an enemy within her weapon’s range, she may unleash a decisive counterattack, rolling against the lower of her target’s Defense or Resolve. It deals (Presence + attack roll threshold successes) dice of lethal damage, ignoring Hardness. It doesn’t include her Initiative or reset her to base. This counterattack is incompatible with any effect that lets her move away from her attacker, such as Hopping Firecracker Evasion. This Charm can only be used once per scene, unless reset by successfully disengaging from a nontrivial foe and beginning her next turn at short range or further from all enemies. </t>
  </si>
  <si>
    <t>Blazing Phoenix Pinion</t>
  </si>
  <si>
    <t>8m, 1a, 1wp, expend Fire Aura</t>
  </si>
  <si>
    <t>Fire Aura, 1a</t>
  </si>
  <si>
    <t>Aura, Decisive-only, Signature (Fire)</t>
  </si>
  <si>
    <t xml:space="preserve">Threading incendiary anima through her arrow, the Dragon-Blood unleashes a shot that erupts in a glorious blaze upon impact. After spending a turn aiming, she makes a decisive attack, adding (Essence) dice of damage. On a hit, as long as she rolls at least one 10 on her attack or damage roll, the arrow explodes in an unblockable blast that extends out to short range from her target. All characters caught within it, including allies, must dodge her original attack roll or suffer dice of Hardness-ignoring lethal damage equal to the total 10s on both her attack roll and the original damage roll. The original target of her attack cannot dodge the blast. Any character that takes damage from the explosion is knocked prone and catches fire, suffering (Essence) further dice of lethal damage each turn until he extinguishes himself. </t>
  </si>
  <si>
    <t>Fang-of-the-Depths Draw</t>
  </si>
  <si>
    <t>Signature (Water), Uniform</t>
  </si>
  <si>
    <t xml:space="preserve">Lurking beneath her victims, the Dragon-Blood unleashes death from the depths. She ignores penalties for firing into water or similar liquids, or for firing while submerged — she may even discharge a firewand while underwater. In Water Aura, if the Dragon-Blood uses this Charm to attack while underwater after aiming, she may reflexively roll (Wits + Stealth) against her target’s (Perception + Awareness) roll to establish concealment against him before she attacks, rendering her attack unexpected (Exalted, p. 203) on success. Once she does so, she cannot use this effect for the rest of the scene unless reset by landing an attack using any combat Ability against a nontrivial foe at close range. </t>
  </si>
  <si>
    <t>Heartbeats Before Death</t>
  </si>
  <si>
    <t>Aura, Signature (Wood), Uniform</t>
  </si>
  <si>
    <t xml:space="preserve">Sensing the interconnected web of life that surrounds her, the Dragon-Blood opens her eyes to deal out death. She may reflexively aim against a living or undead enemy before attacking it, and ignores any light or heavy cover it benefits from. If she already aimed the previous turn, she may attack an enemy behind full cover, though it grants him +3 Defense. This Charm can only be used once per scene, unless reset by aiming normally against an enemy before hitting him with a decisive attack. </t>
  </si>
  <si>
    <t>Dragonfly Finds Mate</t>
  </si>
  <si>
    <t>Archery 4, Essence 3</t>
  </si>
  <si>
    <t>Clash, Perilous, Withering-only, Wood</t>
  </si>
  <si>
    <t xml:space="preserve">Sensing the path of an enemy projectile, the Dragon-Blood strikes it aside with an arrow of her own. She may reflexively clash any ranged attack against her with a withering attack, without needing to aim. Winning the clash knocks the enemy’s attack away harmlessly, but doesn’t roll damage. She still gains Initiative from a successful attack, and her attacker suffers both an onslaught penalty and the -2 Defense penalty for losing a clash. </t>
  </si>
  <si>
    <t>Salamander Swallows Flames</t>
  </si>
  <si>
    <t>Clash, Fire</t>
  </si>
  <si>
    <t>Boughs of Burning Autumn,Dragonfly Finds Mate</t>
  </si>
  <si>
    <t xml:space="preserve">Catching her enemy’s flame with the barrel of her own firewand, the Dragon-Blood steals it for herself. When she uses Dragonfly Finds Mate with a firewand, she adds (Essence) dice to clash attacks made using another firewand, a fire-based attack, or a magical attack made of pure Essence or other energy such as Blazing Solar Bolt, and may do so even if her weapon is unloaded. Winning the clash reloads her weapon, which visibly burns with stolen flame until she discharges it. Such uses of Dragonfly Finds Mate are both Fire- and Wood-aspected.  </t>
  </si>
  <si>
    <t>Seven-Year Swarm Volley</t>
  </si>
  <si>
    <t>6m, 1wp, expend Wood Aura</t>
  </si>
  <si>
    <t>Wood Aura</t>
  </si>
  <si>
    <t>Aura, Decisive-only, Wood</t>
  </si>
  <si>
    <t xml:space="preserve">The Terrestrial’s hands move to swiftly nock and draw as Wood Essence strengthens her sinew and toughens her ligaments. She makes ([lower of Dexterity or Perception] / 2, rounded up) decisive attacks distributed against one or more enemies. Each attack has a base damage of (Essence - 2), and she divides her Initiative evenly among each of them, rounded up, to determine their total damage. Once she’s completed these attacks, she resets to base Initiative, even if they all missed. </t>
  </si>
  <si>
    <t>Sparrow Dives at Hawk</t>
  </si>
  <si>
    <t>Aura, Clash, Decisive-only, Wood</t>
  </si>
  <si>
    <t xml:space="preserve">The Dragon-Blood strikes down arrow and archer with a single shot. When she wins a clash with Dragonfly Finds Mate while in Wood Aura, she may spend one Willpower to send her arrow flying toward the enemy who attacked her as a decisive attack that uses the same attack roll. This Charm can only be used once per scene, unless reset by using Dragonfly Finds Mate to successfully clash a decisive attack made by a nontrivial foe with 15+ Initiative. </t>
  </si>
  <si>
    <t>Swallows Defend the Nest</t>
  </si>
  <si>
    <t>8m, 3i, 1wp</t>
  </si>
  <si>
    <t>Aura</t>
  </si>
  <si>
    <t xml:space="preserve">The Dragon-Blood sights along every possible line of attack, readying her arrows to strike anywhere and everywhere in defense of her allies. Whenever an enemy makes a ranged attack against the Dragon-Blood or one of her allies within her weapon’s range, she may reflexively clash it with a special decisive attack, without needing to aim. Unlike a normal clash, success doesn’t prevent the enemy attack from hitting, nor does it deal decisive damage or reset the Dragon-Blood’s Initiative. Instead, every threshold success subtracts one success from the enemy’s attack roll against his original target. The attacker still suffers the onslaught penalty of her attack, and if he misses his target, the -2 Defense penalty for losing a clash. The Dragon-Blood gains three Initiative if the clash removes all successes from the attack, or one Initiative if she lowers the attack successes from an amount the original target couldn’t have dodged or parried to one that he can. This doesn’t count as her combat action, and she may clash any number of attacks each round. This Charm ends if the Dragon-Blood attempts to dodge or parry, or if she makes an attack on her own turn (although she may use other Charms to clash, counterattack, or make reflexive attacks normally). This Charm can only be used once per scene. </t>
  </si>
  <si>
    <t>Arrow Rain Tempest</t>
  </si>
  <si>
    <t>6m, 5i, 1wp, expend Water Aura</t>
  </si>
  <si>
    <t>5i, Water Aura</t>
  </si>
  <si>
    <t>Archery 5,Essence 5</t>
  </si>
  <si>
    <t>Aura, Decisive-only, Water</t>
  </si>
  <si>
    <t xml:space="preserve">The Dragon-Blood fires a volley of arrows skyward, each one doubling and redoubling to unleash a descending storm of death. They hang fixed at the apex of their arc for a moment before falling in a storm of flashing blue streaks of light. To use this Charm, she must spend two consecutive turns aiming and maintain her Initiative at 12+ throughout. She targets a point within her weapon’s range, and rolls a single undodgeable decisive attack against all characters within short range of it, even allies. Each enemy hit suffers the Dragon-Blood’s full Initiative in damage dice. Battle groups instead take levels of damage equal to her Initiative. This Charm can only be used once per scene.  </t>
  </si>
  <si>
    <t>Effortlessly Rising Flame</t>
  </si>
  <si>
    <t>2m per success</t>
  </si>
  <si>
    <t>Balanced, Excellency, Fire</t>
  </si>
  <si>
    <t xml:space="preserve">Fire fills the Dragon-Blood’s body, suffusing her with power. She may add automatic successes to an Athletics roll for two motes each, and rolls an additional nonCharm die for every 10. </t>
  </si>
  <si>
    <t>Bellows-Pumping Stride</t>
  </si>
  <si>
    <t>Fire</t>
  </si>
  <si>
    <t xml:space="preserve">The Dragon-Blood darts forward with an explosive burst of speed to pursue her foes. She rolls an additional non-Charm die on a rush for every 1 that appears in the rushed character’s opposing roll. With Athletics 5, Essence 3, the Dragon-Blood may expend her Fire Aura when she reflexively moves to pursue an enemy after successfully rushing him with this Charm to ignite a fiery trail behind her, an environmental hazard with difficulty 3 and Damage (Essence/2, rounded up)L/round. It burns until the end of the round unless the Dragon-Blood crossed over a flammable surface such as a wooden floor or grass, which ignites until extinguished or end of scene. </t>
  </si>
  <si>
    <t>Verdant Dragon’s Footsteps</t>
  </si>
  <si>
    <t xml:space="preserve">The pulse of life bolsters the Dragon-Blood’s endurance. She may move through plant-based difficult terrain, such as dense forests or brambles, unimpeded, and ignores fatigue penalties on a single movement-based Athletics roll. In Wood Aura, this Charm’s duration is extended for as long as the Dragon-Blood remains in Aura.  </t>
  </si>
  <si>
    <t>Soaring Leap Technique</t>
  </si>
  <si>
    <t>Air, Balanced</t>
  </si>
  <si>
    <t xml:space="preserve">The Dragon-Blood takes to the air in a single bound, letting the motion of wind around her guide her leap. Every 10 on an Athletics roll to jump (including rushing or disengaging with a leap) rerolls a single non-1 failed die. </t>
  </si>
  <si>
    <t>Strength of Stone Technique</t>
  </si>
  <si>
    <t>Earth</t>
  </si>
  <si>
    <t xml:space="preserve">The Dragon-Blood reinforces her body with unyielding Earth Essence to accomplish mighty deeds. She gains one bonus dot of Strength as long as she remains standing on the ground or a natural stone surface. This increases her effective Strength to determine what feats of strength she can attempt, as well as adding one bonus die on Strength-based rolls and to withering damage rolls. </t>
  </si>
  <si>
    <t>Incense Smoke Ladder</t>
  </si>
  <si>
    <t>Air/Fire, Balanced</t>
  </si>
  <si>
    <t>Bellows-Pumping Stride,Soaring Leap Technique</t>
  </si>
  <si>
    <t>Like a burning ember, the Dragon-Blood drifts up-wards through the air. She can run up walls and other vertical surfaces, even upside-down along a ceiling, as long as she maintains constant movement. However, she cannot disengage or withdraw up walls. If she ends her movement somewhere she couldn’t normally stand and then fails to renew this Charm on her next turn, she falls and suffers damage normally.</t>
  </si>
  <si>
    <t>Grandmother Oak Exertion</t>
  </si>
  <si>
    <t>The Dragon-Blood’s strength is inexorable, finding points of leverage like an ancient tree digging roots into stone.  She adds a bonus success on a feat of strength, and may use her Stamina in place of her Strength rating to deter- mine if she qualifies to attempt it. If she has Strength of Stone Technique active, she counts the dot of Strength it grants as a dot of Stamina for the purposes of the feat. An Athletics 5, Essence 4 repurchase lets the Dragon- Blood spend one Willpower to add her Stamina to her Strength to determine if she may attempt a feat, rather than substituting it.</t>
  </si>
  <si>
    <t>Mountain-Toppling Might</t>
  </si>
  <si>
    <t>The Dragon-Blood is capable of hefting huge boulders or toppling wagons, drawing from the strength of the earth. She adds (Essence/2, rounded up) to her Strength rating to determine if she may attempt a feat of strength.</t>
  </si>
  <si>
    <t>Perfect Climbing Attitude</t>
  </si>
  <si>
    <t>Balanced, Earth</t>
  </si>
  <si>
    <t>The Dragon-Blood scales sheer rock face and perilous mountains with effortless grace, her fingers carving handholds from unyielding stone. She may use her reflexive move action to climb a single range band up or down a stone or earthen surface without needing to make an Athletics roll, and can even ascend sheer surfaces. Any handholds carved with this Charm close as soon as the Dragon-Blood has moved on from them, de- nying the advantage to her pursuers. With Athletics 3, Essence 2, she may choose to leave them in place, acting as exceptional equipment (Exalted, p. 580) for any others who wish to climb up that path.</t>
  </si>
  <si>
    <t>Soaring Zephyr Flight</t>
  </si>
  <si>
    <t>5m, 1wp (4i per round)</t>
  </si>
  <si>
    <t>Athletics 5,Essence 3</t>
  </si>
  <si>
    <t>Aura, Perilous, Signature (Air)</t>
  </si>
  <si>
    <t xml:space="preserve">Outracing even herself, the Dragon-Blood surpasses the bounds of gravity. She moves two range bands upwards with a mighty leap, hovering in place at the apex of her jump. She can subsequently fly through the air with her normal movement actions, moving vertically or horizontally, and hover in place while not moving. In combat, each round after the first that she maintains this Charm, she must pay four Initiative to remain in the air. This Charm ends if she’s crashed or incapacitated, leaves Air Aura, or ends her mote commitment, causing her to drift harmlessly to the ground. </t>
  </si>
  <si>
    <t>Unshakable Mountain Spine</t>
  </si>
  <si>
    <t>5m, 1wp, expend Earth Aura</t>
  </si>
  <si>
    <t>Earth Aura</t>
  </si>
  <si>
    <t>Aura, Signature (Earth)</t>
  </si>
  <si>
    <t xml:space="preserve">The Dragon-Blood braces her muscles with the strength and solidity of earth, becoming an unshakable pillar of stone. To use this Charm, she must be in contact with the earth — she could use it while standing on the lowest floor of a building that’s directly atop earth, but not on that building’s upper stories or roof. She doubles her  Strength rating to determine whether she qualifies to attempt a feat of strength, and doubles 9s on the roll. If this would raise her Strength above the necessary minimum, each excess point adds a single non-Charm die. This Charm may only be used once per day. </t>
  </si>
  <si>
    <t>Inescapable Blazing Advance</t>
  </si>
  <si>
    <t>5m, 1wp, expend Fire Aura</t>
  </si>
  <si>
    <t>Fire Aura</t>
  </si>
  <si>
    <t>Aura, Signature (Fire)</t>
  </si>
  <si>
    <t xml:space="preserve">As the Dragon-Blood runs, flames streak behind her like scarlet ribbons as she builds to her utmost speed, incinerating those left in her wake. She adds (Essence) non-Charm dice on a rush. (Essence) 1s on the opposing character’s roll strip one point of Initiative each from him, which the Dragon-Blood gains. When this Initiative loss crashes an enemy, the DragonBlood’s speed is such that her fiery wake literally sets him ablaze. He catches fire, suffering (the Initiative he lost) dice of Hardness-ignoring lethal damage on each  of his turns. This lasts until he successfully extinguishes himself. </t>
  </si>
  <si>
    <t>Dragon Surmounts the Waterfall</t>
  </si>
  <si>
    <t>Signature (Water)</t>
  </si>
  <si>
    <t>The Dragon-Blood is a legendary swimmer, drawing on both her body’s well-honed strength and unyielding endurance and on her affinity for the elemental flow of Water Essence. She doubles 8s on movement rolls while swimming, and may ignore any penalties or difficult terrain from swimming against the current, through waves, across whirlpools, or through similar obstacles. She may even ascend waterfalls and similar vertical flows of wa- ter, though she treats these as difficult terrain. Any feats of strength the Dragon-Blood attempts while underwater, such as dragging the survivors of a shipwreck to safety or breaching the hull of an enemy warship, benefit from double 9s. She adds (Essence/2, rounded up) to her Strength to determine what feats she qualifies for.</t>
  </si>
  <si>
    <t>Graceful Dryad Dance</t>
  </si>
  <si>
    <t>Signature (Wood)</t>
  </si>
  <si>
    <t xml:space="preserve">The Dragon-Blood moves through forests with unfettered grace, scaling the highest trees and dancing effortlessly along the leaves of the canopy. She can walk on branches, leaves, or similar living plant-based surfaces with perfect balance, able to stand and cross over them even if they couldn’t normally bear her weight and never needing a roll to maintain her balance no matter how narrow they are. As long as she’s standing on such a plantbased surface, she gains +1 Evasion. In addition, she may use her reflexive move action to move one or two range bands up or down a tree or similar plant-based surface, as long as there’s a horizontal surface on which she can stand at the end of her movement (or if she uses Incense Smoke Ladder to continue moving up it). </t>
  </si>
  <si>
    <t>Dancing Ember Stride</t>
  </si>
  <si>
    <t>Fire, Perilous</t>
  </si>
  <si>
    <t>The Dragon-Blood is as inevitable in her pursuit as a raging wildfire, yet elegant as a dancing tongue of flame. She rolls to rush an enemy from short range with double 9s. On a success, she instantly moves into close range with her foe, instead of the usual effect of a rush. The Dragon-Blood may pay one Willpower and expend her Fire Aura when she uses this Charm to rush a foe from medium range.</t>
  </si>
  <si>
    <t>Seething Dragon Footprint</t>
  </si>
  <si>
    <t>5i</t>
  </si>
  <si>
    <t xml:space="preserve">The Dragon-Blood’s burning footprints burst into a roaring conflagration, drawing in the light and heat of her anima as she speeds away. When she ignites a trail of fire with Bellows-Pumping Stride, she may use this Charm to stoke it into a bonfire (difficulty 4, Damage 5L/round). Essence fuels the bonfire for the scene even if there’s no flammable material underfoot. </t>
  </si>
  <si>
    <t>Falling Star Maneuver</t>
  </si>
  <si>
    <t>Decisive-only, Fire</t>
  </si>
  <si>
    <t xml:space="preserve">The Dragon-Blood’s speed builds into an all-sundering force, burning red around her as she crosses the battlefield. She may use this Charm when she successfully rushes an enemy with Dancing Ember Stride, or when she descends from the air into close range with an enemy, to make a reflexive decisive attack at close range with Brawl, Martial Arts, or Melee. This counts as her combat action for the turn. A successful attack creates a shockwave as a one-time environmental hazard stretching out to short range from her foe. Its difficulty is (Strength), and its Damage is equal to the total levels of damage she rolled on her attack, to a maximum of (Essence)L. The Dragon-Blood is immune to this hazard, but other characters, including her allies, are subject to it. A character that takes damage falls prone and is knocked one range band away from the Exalt.  </t>
  </si>
  <si>
    <t>Precision Observation Method</t>
  </si>
  <si>
    <t>1m per die or 2m per success</t>
  </si>
  <si>
    <t>Awareness 1, Essence 1</t>
  </si>
  <si>
    <t>Balanced, Earth, Excellency</t>
  </si>
  <si>
    <t xml:space="preserve">The serenity of earth focuses and heightens all of the senses. The Exalt may add dice to an Awareness roll for one mote each, or automatic successes for two motes each. </t>
  </si>
  <si>
    <t>Cloud-Piercing Focus</t>
  </si>
  <si>
    <t>Balanced, Earth or Fire or Water</t>
  </si>
  <si>
    <t xml:space="preserve">Neither ocean depths nor raging flame nor swirling sands can hinder a keen Terrestrial eye. As an Earth Charm, this negates visual penalties from dust storms, sandstorms, or similar obstructions. As a Fire Charm, it negates such penalties from smoke, fire, or volcanic fumes. As a Water Charm, it negates penalties from mist, rain, or being underwater. Regardless of the version used, the Dragon-Blood’s sight is extended to its full normal range. </t>
  </si>
  <si>
    <t>Deep-Listening Palm</t>
  </si>
  <si>
    <t xml:space="preserve">Touching a surface, the Dragon-Blood displaces her sense of hearing through the Essence of earth. She can listen through that barrier as though it weren’t there. Obstructions made of stone, wood, or weaker materials don’t require a roll to hear through, while metal or similarly durable materials may require a (Perception + Awareness) roll at difficulty 3+. On a failed roll, she’s only able to hear fragments of conversation or certain noises determined by the Storyteller with this Charm for the rest of the scene. </t>
  </si>
  <si>
    <t>All-Encompassing Earth Sense</t>
  </si>
  <si>
    <t xml:space="preserve">The Dragon-Blood can sense the vibrations that move through the earth when a soldier takes a step or a leaf falls from a branch. When she comes within short range of a hidden enemy or danger, she rolls (Perception + Awareness) with double 9s to detect it. In order for her to perceive concealed characters, they must be standing on the same surface that she stands on, or no more than one vertical range band up on structures or scenery that rest on that surface (such as the roof beams of a low ceiling or the understory of a forest). She cannot sense enemies who are airborne, in or on water, or taking other measures to avoid moving across a solid surface. If she fails her initial roll, she may reactivate this Charm once per subsequent round to detect the same threat. With Awareness 4, Essence 2, the Dragon-Blood may purchase elemental variants of this effect for three experience points each. Air: The Dragon-Blood can sense hidden threats through air motion out to close range while in an enclosed space such as a room. This extends to short range at Awareness 5, Essence 5. Fire: The Dragon-Blood can sense hidden threats out to long range while both are standing in a fire, a burning building, or similar circumstances, sensing their cooler temperature against the heat of the flames. Water: While submerged in water, the Dragon-Blood can sense hidden threats that are at least partially immersed out to medium range. In driving rain or similar weather, she can sense hidden characters out to short range. Wood: While in undergrowth, foliage, or similar vegetative terrain, the Dragon-Blood may sense hidden threats in the same terrain out to short range. This extends to medium range at Awareness 5, Essence 5. </t>
  </si>
  <si>
    <t>Dragon’s Crushing Gaze</t>
  </si>
  <si>
    <t>Awareness 3, Essence 2</t>
  </si>
  <si>
    <t>Balanced, Earth or Water</t>
  </si>
  <si>
    <t xml:space="preserve">The Terrestrial’s attention falls on thieves and cowards like a lead weight dropping into one’s stomach. She may use this as an Earth Charm when she rolls to oppose a character’s Stealth, or as a Water Charm against a disguise. She subtracts one success either from the total successes of the opposing character’s concealment as the crushing weight of earth pins him down, or from  his disguise successes as the pounding force of the tide washes away his facade.  successes from her (Perception + Awareness) roll as non-Charm dice on her Join Battle roll.  In Earth or Water Aura, using the appropriate elemental variant strips an additional success from the opposing character for every two threshold successes the Dragon-Blood rolls.  </t>
  </si>
  <si>
    <t>Feeling the Dragon’s Bones</t>
  </si>
  <si>
    <t>The Dragon-Blood extends her senses through the earth, constructing an accurate image of her surroundings from vibrations. The Dragon-Blood rolls (Perception + Awareness) to sense characters and objects out to medium range, even things that are behind walls or underground. A single success is sufficient both to hear and to visualize a black-and-white image of anything that is moving or creating vibrations, such as a person walking or an underground spring’s water. In underground locales or structures made entirely of stone, this extends to long range. In Earth Aura, the Dragon-Blood may commit this Charm’s mote cost for as long as she remains in Aura state. Doing so waives the mote cost of All-Encompassing Earth Sense.</t>
  </si>
  <si>
    <t>Hesiesh’s Discerning Tongue</t>
  </si>
  <si>
    <t>When the Dragon-Blood places potentially harmful food or drink in her mouth, she may roll (Perception + Awareness) to detect poison or other harmful ingredients. Most common poisons are difficulty 1-3 to detect, while an odorless or tasteless poison would be difficulty 4-5. Successfully identifying the danger im- mediately ignites the offending item in the Terrestrial’s mouth, letting her spit it out before it can harm her. With Awareness 5, Essence 3, if detecting a poison causes the Dragon-Blood to roll Join Battle against a foe she believed poisoned her, she adds any threshold successes from her (Perception + Awareness) roll as non-Charm dice on her Join Battle roll.</t>
  </si>
  <si>
    <t>Horizon-Spanning Echoes</t>
  </si>
  <si>
    <t>Signature (Air)</t>
  </si>
  <si>
    <t xml:space="preserve">Closing her eyes to the world, the Dragon-Blood casts her senses out onto the winds. Upon using this Charm, she specifies either a specific individual whose voice she wishes to listen for, or a specific sound to search for such as a particular phrase being spoken by any individual, a wagon’s wheels moving across a road, or a sword being drawn. She enters a trance in which she can hear the specified sound from (Essence) miles away, or (Essence x5) miles if it’s extremely loud, such as a tyrant lizard’s roar or an army on the march. If the specified sound occurs, she rolls to detect it with double 7s. Even on a failed roll, she’s able to hear the sound; success pinpoints its exact location. The Charm ends after she rolls. </t>
  </si>
  <si>
    <t>One-With-Earth Embodiment</t>
  </si>
  <si>
    <t>At one with Creation, the Dragon-Blood may flow through earth unimpeded. Touching an earthen surface, she may move into and through it as though moving in water. This counts as her movement action in combat. If she doesn’t emerge from the earth upon completing her movement, she must either use this Charm again on her next turn, waiving its Willpower cost, or be ejected from the earth at the point where she entered, falling prone and suffering an unpreventable level of bashing damage. However, while moving through stone, she gains the benefit of full cover (Exalted, p. 199) against all attacks unless an enemy uses a feat of strength, gambit, or appropriate stunt to create an opening through the stone.</t>
  </si>
  <si>
    <t>Serpent-of-the-Depths Discernment</t>
  </si>
  <si>
    <t>Attuning her senses to the subtle flow of water and Essence, the Dragon-Blood spies from the depths. While submerged in a body of water such as a lake or river, she may displace her sense of hearing to another point within the same body of water no more than (Essence) range bands away from her. She’s able to hear everything around the chosen point as though she were physically there. She doubles 9s on Awareness rolls she makes through the water, as well as on Socialize rolls to read the intentions of characters she’s eavesdropping on. This Charm doesn’t enable the Dragon-Blood to breathe underwater, requiring her to hold her breath or use magic such as the Water Aspect anima power (p. 155) or Unbreathing Earth Meditation (p. 248) to make extended use of it.</t>
  </si>
  <si>
    <t>Eye of Blazing Truth</t>
  </si>
  <si>
    <t>4m, 2i, 1wp</t>
  </si>
  <si>
    <t>Perilous, Signature (Fire)</t>
  </si>
  <si>
    <t>The Dragon-Blood’s eyes burn with intense flame, incinerating shadows and whatever hides within them. When she makes a vision-based Awareness roll, she rolls an additional non-Charm die for each 10 that appears, and ignores penalties from poor lighting, seeing even in total darkness. If she succeeds on a roll opposing the Larceny or Stealth of an enemy within medium range, she may send twin lances of flame streaking from her eyes to strike him, rolling (Essence) dice of lethal damage against him, ignoring Hardness. If a hidden enemy takes damage while hiding in an area of low lighting, his concealment is disrupted as flame illuminates him, forcing him to change hiding places, making a new Stealth roll subject to the -3 penalty for moving. This doesn’t require a move action if he can find new concealment in the same range band; if not, he must reflexively move, consuming his movement action for the round (or his next turn, if he’s already moved this round). If his hiding place is flammable, such as a tree or wooden crate, it’s set ablaze, likewise forcing him to make a new roll. Mundane disguises burn away if any damage is dealt, laying bare the impostor’s identity. This Charm can only be used once per scene, unless reset by beating a hidden opponent’s Stealth roll and subsequently, while he’s still in concealment, either landing a decisive attack against him or crashing him with a withering attack.</t>
  </si>
  <si>
    <t>Dragon’s Flaring Nostrils</t>
  </si>
  <si>
    <t xml:space="preserve">The Dragon-Blood’s keen nose can pick out the fragrance of a lone rose in a field of lilies, or the poisonous scent of hemlock diluted a hundredfold. She doubles 9s on scent-based Awareness rolls, as well as Survival rolls to track by scent, Medicine rolls to diagnose diseases or poisons, and Socialize rolls to read the intentions of a character she can smell. The range of her sense of smell extends to (Essence) range bands. She can distinguish individuals by scent, and can gauge how recently a scent was left. In combat, successfully scenting a concealed enemy or danger grants her two Initiative.  </t>
  </si>
  <si>
    <t>Dragon’s Twitching Whisker</t>
  </si>
  <si>
    <t>Awareness 4, Essence 3</t>
  </si>
  <si>
    <t>Dragon’s Crushing Gaze,Feeling the Dragon’s Bones</t>
  </si>
  <si>
    <t xml:space="preserve">The Dragon-Blood’s senses are keenly attuned to the presence of those she disfavors, piercing their deceptions to reveal them to all. When a character that the Dragon-Blood has a negative Major or Defining Tie to comes within long range of her, she may automatically activate this Charm to strip away a single success from any Stealth or disguise rolls that character has made and then make a (Perception + Awareness) roll against him. An Awareness 5, Essence 4 repurchase of this Charm extends this Charm’s effect to (Essence) range bands. </t>
  </si>
  <si>
    <t>Sense the Hidden Ember</t>
  </si>
  <si>
    <t xml:space="preserve">The Dragon-Blood can feel the lingering traces of supernatural power left by the might of gods and Exalted. When she comes within close range of a location where an Exalt’s anima has reached the bonfire level or where a spirit has used one of its greater miracles (Exalted, p. 311) during the current story, she may use this Charm to roll (Perception + Awareness), gaining information based on the number of successes. 1-2 successes: The Dragon-Blood gains a general sense of how long ago the trace was left — minutes, hours, days, months, or longer. 3-4 successes: The Dragon-Blood can determine precisely how long ago the trace was left. 5+ successes: As above, and the Dragon-Blood can determine whether the trace was left by a spirit or by an Exalt, as well as whether its Essence rating is greater or lower than her own. If she’s personally witnessed an Exalt or spirit of the type that left the trace using its overt supernatural power, she recognizes its nature, able to identify the anima of a Solar Anathema or to tell the greater miracles of a god from those of a demon.  </t>
  </si>
  <si>
    <t>Sense-Riding Technique</t>
  </si>
  <si>
    <t>(Essence + Manipulation) days</t>
  </si>
  <si>
    <t xml:space="preserve">The Dragon-Blood etches an imprint of her Essence onto another living character’s consciousness, riding his senses from afar to see what he sees and hear what he hears. The Dragon-Blood touches a character and rolls (Manipulation + Awareness) against his Resolve, unmodified by Intimacies. Success establishes a link, allowing the Dragon-Blood to ride the target’s senses by meditating. While using his senses, she may make Perception-based rolls using her own dice pools and Charms, but benefits from any of the target’s Merits that enhance his senses. Depending on her rolls, she may notice details that the target overlooked, or vice versa. This Charm ends if the sense-ridden character goes more than (Essence x5) miles from the Dragon-Blood. </t>
  </si>
  <si>
    <t>Sense-Destroying Method</t>
  </si>
  <si>
    <t xml:space="preserve">The Dragon-Blood may cast down her enemies into a void as dark as the earth’s depths, stripping them of their senses. Like its prerequisite, this Charm requires her to touch her target and roll (Manipulation + Awareness) against his Resolve, unmodified by Intimacies. In combat, touching an unwilling character is a difficulty 1 Brawl or Martial Arts gambit. On a success, she may seal away one of the following sets of senses as a crippling effect. Every two threshold successes on her (Manipulation + Awareness) roll allow her to seal an additional set of senses. Sight: An enemy stripped of sight suffers blindness (Exalted, p. 168).  Hearing and Touch: In addition to deafness (Exalted, p. 168), the victim cannot make touch-based Perception rolls. He can still feel pain, although in a numbly debilitating way. Smell and Taste: The character cannot make Perception-based rolls to discern any level of detail with his senses of smell or taste. He also takes a -3 penalty on Awareness rolls to detect tainted food or drink, poisonous vapors, or similar harmful substances. </t>
  </si>
  <si>
    <t>Essence Disruption Attack</t>
  </si>
  <si>
    <t>Awareness 5, Essence 5</t>
  </si>
  <si>
    <t>Aura, Earth</t>
  </si>
  <si>
    <t xml:space="preserve">Having mastered disruption of the five mortal senses, the Dragon-Blood now learns to strike at the spiritual faculty that allows gods and the Exalted to sense and channel Essence. Like its prerequisite, this Charm requires her to touch her target and roll (Manipulation + Awareness) against his Resolve, unmodified by Intimacies. Success seals the target’s Essence. Whenever he spends Essence to use Charms or other magic in a single instant, the total cost is increased by (the Dragon-Blood’s Perception + threshold successes). The seal breaks once the target has paid this surcharge (6 - his Integrity) times, or a day passes.  </t>
  </si>
  <si>
    <t>Become the Hammer</t>
  </si>
  <si>
    <t>1m per die or 2m per +1 Parry</t>
  </si>
  <si>
    <t>Supplemental or Reflexive</t>
  </si>
  <si>
    <t>Balanced, Excellency, Uniform, Water</t>
  </si>
  <si>
    <t xml:space="preserve">Force flows through the Dragon-Blood with every strike. She may add bonus dice to a Brawl or Martial Arts attack or the control roll of a clinch for one mote each, and deals lethal damage unarmed. She rerolls 6s on the damage roll until they cease to appear. Alternatively, she may raise her Brawl- or Martial Artsbased Parry by two motes per point, and block lethal damage unarmed. </t>
  </si>
  <si>
    <t>Pounding Surf Style</t>
  </si>
  <si>
    <t>Brawl 2, Essence 1</t>
  </si>
  <si>
    <t>Balanced, Water, Withering-only</t>
  </si>
  <si>
    <t xml:space="preserve">Water strikes with inexorable power, like pounding waves that erode stone. The Dragon-Blood adds her opponent’s current onslaught penalty to the Overwhelming value of a withering attack. In Water Aura, this bonus also adds to the attack’s raw damage. </t>
  </si>
  <si>
    <t>Water Dragon’s Coils</t>
  </si>
  <si>
    <t>Balanced, Decisive-only, Water</t>
  </si>
  <si>
    <t xml:space="preserve">The Dragon-Blood’s grasp is as sudden and inescapable as the riptide. She makes a grapple gambit, rolling (Strength + Brawl) to attack. Bonus dots of Strength granted by magic such as Strength of Stone Technique don’t add to her attack roll. Every two threshold successes on her attack roll add a bonus die to the gambit’s Initiative roll. </t>
  </si>
  <si>
    <t>Inescapable Whirlpool Hold</t>
  </si>
  <si>
    <t xml:space="preserve">The Dragon-Blood’s grasp is a prison that brooks no escape. She rerolls 6s until they cease to appear on both the Initiative roll and the control roll of a grapple. In Water Aura, succeeding on the control roll of a grapple refunds the gambit’s Initiative cost. </t>
  </si>
  <si>
    <t>Oaken Thew Exertion</t>
  </si>
  <si>
    <t>Dual, Wood</t>
  </si>
  <si>
    <t>Pounding Surf Style or Water</t>
  </si>
  <si>
    <t xml:space="preserve">Dragon’s Coils The Dragon-Blood channels her boundless vitality into her limbs as she strikes. She adds (Stamina) either to the raw damage of a withering attack, or as bonus dice to the control roll of a clinch.  In Wood Aura, if the Dragon-Blood reaches her dice limit (p. 162) on a grapple control roll, she adds an additional non-Charm success. </t>
  </si>
  <si>
    <t>Blade-Deflecting Palm</t>
  </si>
  <si>
    <t>1m per die, 1i</t>
  </si>
  <si>
    <t>Perilous, Uniform, Water</t>
  </si>
  <si>
    <t xml:space="preserve">The Dragon-Blood channels Water Essence into her defense to disperse even the deadliest blows. When she uses Brawl or Martial Arts to block, after the attack is rolled she may pay one mote per 1 in the roll, maximum (Essence), to reroll that many of the attacker’s successful dice, beginning with 7s and moving up. </t>
  </si>
  <si>
    <t>Crushing Avalanche Grasp</t>
  </si>
  <si>
    <t>Decisive-only, Earth</t>
  </si>
  <si>
    <t xml:space="preserve">The Dragon-Blood’s grip is sure and unshakable as stone. If she hits an enemy with a grapple attack roll and successfully establishes a clinch, she doesn’t lose rounds of control over it from attacks against her that miss. In Earth Aura, attacks that hit her but fail to deal any damage also don’t cause her to lose rounds of control. </t>
  </si>
  <si>
    <t>Currents Sweep to Sea</t>
  </si>
  <si>
    <t>4m (+1a)</t>
  </si>
  <si>
    <t>1a</t>
  </si>
  <si>
    <t>Decisive-only, Water</t>
  </si>
  <si>
    <t xml:space="preserve">The Dragon-Blood reaches through water, shaping it into a flowing torrent that can constrict foes and drag them across the battlefield. As long as there’s a source of water on the battlefield, such as a small pool, cistern, river, or recent rainfall, she creates a grasping limb or tendril of water, rolling a grapple gambit against an enemy at short range. If she wins control of the grapple, her foe is dragged into close range with her. If there’s no source of water to use, she may expend a level of her anima instead. In Water Aura, this Charm’s range extends to medium.  </t>
  </si>
  <si>
    <t>Entangling Roots Embrace</t>
  </si>
  <si>
    <t xml:space="preserve">Like a sapling whose roots draw sustenance from the soil as it grows skyward, the Terrestrial’s hold saps the strength of her foe, breaking his fighting spirit. If a grapple enhanced by this Charm succeeds, she steals one point of Initiative from the clinched enemy at the end of each of her turns. </t>
  </si>
  <si>
    <t>Hammering Wave Technique</t>
  </si>
  <si>
    <t>Dual, Water</t>
  </si>
  <si>
    <t xml:space="preserve">The Dragon-Blood batters her foe like a wave hammering against the shore. She doubles her Strength to calculate the raw damage of a withering attack, or doubles 10s on a decisive damage roll. In Water Aura, if the Dragon-Blood deals 3+ withering damage or 1+ decisive damage, the onslaught penalty inflicted by her attack doesn’t fade on her enemy’s next turn, but the turn after. </t>
  </si>
  <si>
    <t>Stone Fist Strike</t>
  </si>
  <si>
    <t>Dual, Earth</t>
  </si>
  <si>
    <t xml:space="preserve">Seizing on martial instinct, the Dragon-Blood hardens her limbs with Essence. She grants an unarmed attack the Smashing tag (Exalted, p. 586). An unarmed withering attack roll adds an automatic success on the attack roll and (Essence/2, rounded up) Overwhelming. In Earth Aura, the Overwhelming bonus increases to (Essence). </t>
  </si>
  <si>
    <t>Rolling Boulder Blow</t>
  </si>
  <si>
    <t>Aura, Decisive-only, Earth</t>
  </si>
  <si>
    <t xml:space="preserve">The Dragon-Blood strikes with the force of a falling mountain, sending her foes flying. She adds (Strength) threshold successes on the attack roll of a decisive smash attack as dice of damage, and may both knock her enemy prone and send him one range band back. </t>
  </si>
  <si>
    <t>Flying Whirlwind Razor</t>
  </si>
  <si>
    <t>5m, 5i, 1wp</t>
  </si>
  <si>
    <t xml:space="preserve">The Dragon-Blood becomes one with the unseen flow of air that moves through Creation, unleashing a chop or kick that hones the wind into a swirling vortex. She makes a decisive attack against an enemy within medium range. She may choose to unleash the wind in a blast, remaining where she is, or to throw herself into the whirlwind as it flies towards her foe, instantly moving into close range with him. The latter counts as her movement for the turn. The damage of the attack equals (Dexterity + attack roll threshold successes)L, ignoring Hardness. It doesn’t include her Initiative, nor does it reset her to base. This Charm can only be used once per scene, unless reset by crashing an enemy whose Initiative was higher than the Dragon-Blood’s with a single withering attack. </t>
  </si>
  <si>
    <t>Crater-Making Impact</t>
  </si>
  <si>
    <t>Aura, Decisive-only, Signature (Earth)</t>
  </si>
  <si>
    <t xml:space="preserve">Sensing the seismic forces that move beneath Creation and aligning her martial prowess with them, the Dragon-Blood unleashes devastating force upon a foe, sending him flying like a meteor crashing down to earth. She makes either a decisive smash attack against a crashed enemy or a decisive throw against a clinched foe. Success allows her to both fling her foe one range band back and knock him prone, shattering the ground where he lands to create difficult terrain and/or smash through destructible scenery. If she deals 3+ levels of decisive damage, she may hurl her victim to medium range, causing him to take damage as though from a short-range fall (Exalted, p. 232). With 7+ levels of damage, she may fling him to long range, causing him to take damage as though from a medium-range fall.  </t>
  </si>
  <si>
    <t>Erupting Fury Barrage</t>
  </si>
  <si>
    <t>10m, 3i, 1wp, expend Fire Aura</t>
  </si>
  <si>
    <t>3i, Fire Aura</t>
  </si>
  <si>
    <t>Brawl 5,Essence 3</t>
  </si>
  <si>
    <t xml:space="preserve">The Dragon-Blood erupts into a swift barrage of violence, her fists burning with raging Essence. To use this Charm, she must have Initiative 15+. She unleashes a rapid series of strikes, making a single decisive attack roll to launch (1 + the number of 10s on the attack roll) attacks against a single enemy, using the successes on her roll to determine if each attack hits. She doesn’t reset to base Initiative normally — instead, each successful attack reduces her Initiative by one for each die that shows a success on the damage roll, to a minimum of (Essence). Once she’s completed making all attacks, she resets to base Initiative, even if they all missed. Every hit the Dragon-Blood lands inflames its victim’s Essence with inward fire, creating an ignition point that lasts until end of scene. Once the barrage of attacks has been completed, the Dragon-Blood or any of her allies can detonate a single ignition point by landing a decisive attack against this enemy. The first ignition point detonated deals one die of lethal damage, ignoring Hardness, the second deals two dice, and so on. If the Dragon-Blooded subsequently uses this Charm against an enemy still carrying undetonated ignition points, she cannot inflict any new ignition points on him. Once all his ignition points have been ignited, the damage of ignition points from a subsequent activation starts at one die, as usual. </t>
  </si>
  <si>
    <t>Embracing the Violent Flow</t>
  </si>
  <si>
    <t>10m, 1wp (+1a)</t>
  </si>
  <si>
    <t>Aura, Dual, Signature (Water)</t>
  </si>
  <si>
    <t xml:space="preserve">The Dragon-Blood’s violent prowess is fluid and formless, matched only by that of her weapon — the water itself. As long as she’s within short range of a large source of water such as a river or a cistern, she may draw it to herself, engulfing her body in a fluid mantle. If no source of water is available, she may expend a level of anima instead. With a thought, countless lashing tendrils of water extend to strike, allowing her to make unarmed attacks out to short range, adding a non-Charm success on both attack and damage rolls, and adding (Strength)  Overwhelming. The water tendrils also grant her natural attacks the Disarming and Flexible tags (Exalted, p. 586). The Dragon-Blood takes no penalties for flurrying unarmed attacks with other physical actions using the tendrils, such as scaling a palace’s walls or using a feat of strength to lift a portcullis. This Charm is compatible with Martial Arts styles that use unarmed attacks. </t>
  </si>
  <si>
    <t>Body of Deadly Thorns</t>
  </si>
  <si>
    <t>10m, 1a, 1wp</t>
  </si>
  <si>
    <t>Aura, Signature (Wood)</t>
  </si>
  <si>
    <t xml:space="preserve">As the Dragon-Blood seizes her foe, she draws her anima banner into her body and lets it bloom from her limbs into a hedge of barbed thorns, skewering and impaling her victim. She makes a grapple gambit, doubling 9s on both the attack roll and the control roll. The thorns burrow into her foe’s flesh as she wrestles him, allowing her to combine a restrain action with a decisive savaging attack against him on each round of the clinch. Additionally, the thorns deflect attacks away from her, negating the grappling-induced Defense penalty to her Parry and granting her bonus soak equal to the successes she rolled on the (Strength + Brawl) roll to establish control of the clinch. This counts as soak from armor, and doesn’t stack with any armor she’s wearing. This Charm can only be used once per scene, unless reset by incapacitating a nontrivial foe by landing a decisive savaging attack, slam, or throw against him. </t>
  </si>
  <si>
    <t>Become the Wave</t>
  </si>
  <si>
    <t>2m, 2i</t>
  </si>
  <si>
    <t>Brawl 4, Essence 3</t>
  </si>
  <si>
    <t>Balanced, Perilous, Water</t>
  </si>
  <si>
    <t xml:space="preserve">The Dragon-Blood lunges for a foe in the same instant that her ally forces him off guard with a feint or harrying strike, turning her ally’s stillness into her speed. Upon receiving the benefit of a successful distract gambit from an ally who hasn’t used his movement action, the Dragon-Blood may reflexively leap one range band towards the gambit’s victim. If she’s already in close range with another enemy, she must reflexively roll to disengage in order to take this reflexive movement. This doesn’t count as her movement for the round, but it does count as the movement action of her ally.  </t>
  </si>
  <si>
    <t>Swift-Striking Tide</t>
  </si>
  <si>
    <t xml:space="preserve">The Dragon-Blood’s fluid offense constantly tests her enemy’s guard, waiting for him to show weakness. At the opportune moment, she flows into a deadly swift strike. Once per round, if an ally uses a distract gambit to benefit the Dragon-Blood, she may reflexively make a decisive attack against the gambit’s target. This doesn’t count as her attack for the round. </t>
  </si>
  <si>
    <t>Waves Swallow the Mountain</t>
  </si>
  <si>
    <t>2m, 1i, one round of control</t>
  </si>
  <si>
    <t>Brawl 4,Essence 3</t>
  </si>
  <si>
    <t>Perilous, Water</t>
  </si>
  <si>
    <t xml:space="preserve">The Dragon-Blood uses her hold over an enemy to wear down his defenses, leaving him vulnerable to attack. She expends one round of control over a grapple to set the clinched foe’s Hardness to 0 for a single tick. </t>
  </si>
  <si>
    <t>Fist-Spinning Maelstrom</t>
  </si>
  <si>
    <t>Aura, Water, Withering-only</t>
  </si>
  <si>
    <t xml:space="preserve">The Dragon-Blood moves with the fury of the waves to strike away enemies on all sides. She rolls a single withering attack against up to (Essence) enemies in close range, moving through a fluid sequence of blows to attack and pummel them all. If her Initiative is higher than that of at least one target, she can instead attack (Essence + 2) enemies. She rolls withering damage separately against each enemy, but only gains Initiative from the single highest damage roll. If she crashes at least one foe, a geyser of water erupts from beneath her feet and traces the arc of her blows, knocking all crashed enemies hit by the attack prone. </t>
  </si>
  <si>
    <t>Drowning Embrace</t>
  </si>
  <si>
    <t>Aura, Dual, Perilous, Water</t>
  </si>
  <si>
    <t xml:space="preserve">The Dragon-Blood wrestles foes into submission, breaking them with a powerful hold whose intensity and pressure can drown men on dry land. Upon successfully grappling a crashed foe, or crashing an enemy she’s clinching with a withering savaging attack, she may overflow his lungs with Water Essence, causing him to begin asphyxiating (Exalted, p. 232) and subtracting one success from all actions he takes for as long as she maintains control over the grapple. Even if he recovers from crash, he continues to drown. She may choose not to kill a foe who runs out of breath, leaving him unconscious instead. This Charm can only be used once per scene, unless reset by successfully grappling a nontrivial enemy with 5+ threshold successes on the control roll. </t>
  </si>
  <si>
    <t>Hanging Tree Technique</t>
  </si>
  <si>
    <t>Entangling Roots Embrace,Fist-Spinning Maelstrom</t>
  </si>
  <si>
    <t xml:space="preserve">Arms and legs twist as the Dragon-Blood throws her entire body into an attack, lunging with each of her limbs to grapple and pin down foes. She makes a grapple gambit against up to (Dexterity) enemies in close range, clinching one or even two foes at a time with each of her limbs. She makes only one attack roll and Initiative roll against all enemies, but rolls (Strength + Brawl) separately to establish control against each enemy. On each turn of the clinch, she may either restrain all foes, expending two rounds of control over each of them; make a withering or decisive savaging attack against all foes; or release all foes. Withering savaging attacks use a single attack roll, but roll damage separately against each grappled foe. Only the single highest withering damage roll awards Initiative to the Dragon-Blood, although she can receive Initiative Breaks for crashing multiple foes. Decisive savaging attacks divide her Initiative evenly among all foes (rounded up) to determine the damage rolled against them, ignoring Hardness. </t>
  </si>
  <si>
    <t>Smashing Tidal Wave Technique</t>
  </si>
  <si>
    <t>—(8m, 1a, 1wp, expend Water Aura)</t>
  </si>
  <si>
    <t>Water Aura, 1a</t>
  </si>
  <si>
    <t>The Dragon-Blood pins her foes beneath the weight of the seas, crushing them under a torrential cascade of water. When she uses Currents Sweep to Sea, she may unleash a flood of water from the depths of her anima banner, amplifying the tendril of water she creates with both intense pressure and incredible size. She can grapple a foe within long range, and doubles 8s on the control roll. If succcessful, the Dragon-Blood may choose to drag the clinched enemy one or two range bands towards her, pinning him beneath a high-pressure downpour or entangling him in giant coils of water. She still takes the normal penalties of grappling regardless of the distance between them, as she must maintain focus to control it. Restraining him with this mighty downpour only costs one round of control. If she savages, slams, or throws him, she adds (Strength/2, rounded up) automatic successes on withering damage rolls, or (Strength/2, rounded up) dice on decisive damage rolls.</t>
  </si>
  <si>
    <t>Geese-Flying-South Administration</t>
  </si>
  <si>
    <t>Balanced, Excellency, Water</t>
  </si>
  <si>
    <t xml:space="preserve">The Essence of a bureaucracy is flow — the flow of a leader’s orders to her subordinates, the flow of wealth in and out, the flow of information, the flow of progress and delay. The Dragon-Blood may add automatic successes to a Bureaucracy roll for two motes each, and rerolls 6s until they cease to appear. </t>
  </si>
  <si>
    <t>Confluence of Savant Thought</t>
  </si>
  <si>
    <t>Water</t>
  </si>
  <si>
    <t xml:space="preserve">The Dragon-Blood’s understanding of bureaucracies is vast, encompassing the myriad ways in which mercantile and administrative tasks pool and eddy like water. She rolls (Intelligence + Bureaucracy) to introduce a fact (Exalted, p. 237) about a bureaucratic or mercantile organization that she belongs to or is familiar with. </t>
  </si>
  <si>
    <t>Finding The Water’s Depths</t>
  </si>
  <si>
    <t xml:space="preserve">The Dragon-Blood attunes her senses to the tides of desire that govern markets and negotiations. She reads a character’s intentions with (Perception + Bureaucracy) to determine what it would take to entice him to perform a specific course of action with a bargain roll (Exalted, p. 216). Success reveals a general description of the quantity and quality of payment, monetary or non-monetary, that he’d consider for a bargain roll — for example, “he’d do this for free,” “he’ll demand exorbitantly high payment for it,” or “he wants you to owe him a favor.” A successful roll also reveals his strongest Intimacy relating to the price he’d place on the deal, if any. </t>
  </si>
  <si>
    <t>Testing the Waters</t>
  </si>
  <si>
    <t>Finding the Water’s Depths</t>
  </si>
  <si>
    <t xml:space="preserve">A slick political dealer, the Dragon-Blood understands the motives of officials better than they do themselves. This Charm functions identically to its prerequisite, except that a successful read intentions reveals how the target plans to vote on an upcoming issue before a governmental, bureaucratic, or mercantile organization. It also reveals the strongest Intimacy motiving that character’s vote, if any. A Bureaucracy 5, Essence 3 repurchase of this Charm lets the Dragon-Blood pay an additional point of Willpower once per scene to apply her read intentions roll against the Guile of all voting characters she can perceive. She doesn’t learn Intimacies for each individual voter whose Guile is beaten, but is able to discern the major factions within the group and which one each character whose Guile she beat belongs to, as well as an Intimacy driving each faction’s agenda. </t>
  </si>
  <si>
    <t>Benevolent Master’s Blessing</t>
  </si>
  <si>
    <t>Bureaucracy 3, Essence 2</t>
  </si>
  <si>
    <t xml:space="preserve">The Dragon-Blood marks a subordinate with a sign of her authority, often handing out a badge or token, or leaving a swirling black tattoo of Water Essence on his hand. If the subordinate presents the token or mark,  all who see it know instinctively that he’s the DragonBlood’s servant (or, if they don’t know of her, the servant of a Prince of the Earth), and that he carries authority to negotiate on her behalf. In addition, that character gains a temporary Bureaucracy specialty that applies on rolls to follow the Dragon-Blood’s orders or pursue her best interests. </t>
  </si>
  <si>
    <t>Dashing Brook Method</t>
  </si>
  <si>
    <t>Bureaucracy 4, Essence 2</t>
  </si>
  <si>
    <t xml:space="preserve">The Dragon-Blood clears the obstacles that impede the flow of her bureaucracy, channeling its labor into efficacious speed. This Charm enhances a project (Exalted, p. 226) or other bureaucratic task, multiplying the speed at which the organization makes progress by (highest of Charisma, Manipulation, or Intelligence). The Attribute she uses must match her leadership style. This Charm cannot speed a bureaucratic task that would normally take more than (Essence) years. </t>
  </si>
  <si>
    <t>Unshakable Mountain Management</t>
  </si>
  <si>
    <t xml:space="preserve">By her very presence, the Dragon-Blood guards the harmonious stability of bureaucracy against the disharmony of corruption and disloyalty. She may invoke this Charm whenever she perceives another character’s social influence that would cause characters to betray or sabotage an organization that they belong to, or abuse a position of power they hold within an organization. All members of that organization within medium range targeted by the influence gain +1 Resolve against it. In Earth Aura, this bonus rises to (the Dragon-Blood’s Essence/2, rounded up). </t>
  </si>
  <si>
    <t>Water-Stained Ledger</t>
  </si>
  <si>
    <t xml:space="preserve">The Dragon-Blood’s reckoning of accounts is as perfect as the calm of a still lake. Within its depths, she conceals bureaucratic intrigue and financial maneuvering. She rerolls 5s and 6s until they cease to appear on a Larceny roll to conceal evidence (Exalted, p. 224) of bureaucratic misdoing such as embezzlement or abuse of authority. A character attempting to discover the hidden evidence must roll (Perception + [lower of Bureaucracy or Investigation]). </t>
  </si>
  <si>
    <t>Shells-for-Silver Ruse</t>
  </si>
  <si>
    <t xml:space="preserve">The Dragon-Blood adopts a deceptive bearing that suggests illusory wealth or squalor, deceiving thieves and merchants alike. She can use this Charm to conceal her economic status in one of two following ways. She can take advantage of this deception with social influence as though it were a Minor Intimacy. Poverty: Those who see the Dragon-Blooded perceive her as utterly destitute, with Resources 0. If she’s wearing finery, exquisite jewels, artifact weapons, or anything else incompatible with total poverty, her Resources rating instead appears one dot lower than it actually is. Wealth: Those who see the Dragon-Blooded assume that her Resources rating is one dot higher than it actually is. If she has Resources 5, she appears wealthy beyond all dreams of avarice. </t>
  </si>
  <si>
    <t>Thoughtful Gift Technique</t>
  </si>
  <si>
    <t xml:space="preserve">The Dragon-Blood has an uncanny sense for the perfect gift, favor, or bribe to grease the wheels of a bureaucracy. To use this Charm, she must first use Finding the Water’s Depths to confirm that an offer she intends to make will be acceptable to her target. She doubles 9s on the bargain roll, which can be made with any social Ability. </t>
  </si>
  <si>
    <t>Humble Exemplar Attitude</t>
  </si>
  <si>
    <t xml:space="preserve">The Dragon-Blood evinces the conviction of her beliefs through work, encouraging her subordinates to follow her example and inspiring shame in those who fail to live up to her standards. She undertakes a project (Exalted, p. 226) or bureaucratic task that upholds one of her Defining Principles, adding (Essence) non-Charm bonus dice on all Bureaucracy rolls that she makes as part of the task. Once the project begins, the Dragon-Blood’s Principle becomes apparent to all members of the organization as though they’d read her intentions. Upon the completion of the project, she gains three points of Willpower and instills her Principle by example in all organization members as a Major Intimacy. Subordinates cannot apply their Resolve or spend Willpower to resist this influence — the only way to avoid it is to resign their membership in the group. </t>
  </si>
  <si>
    <t>Graven Stone Edict</t>
  </si>
  <si>
    <t>Signature (Earth)</t>
  </si>
  <si>
    <t>Words written in stone aren’t easily disobeyed. The Dragon-Blood imposes a binding edict, engraved onto a stone tablet or monument, upon an organization that she either leads or holds rulemaking authority within. The rule she imposes must be a singular task or requirement, and must be related to that group’s bureaucratic function. The prohibition or requirement carves out a place in the memories of the organization’s members. When a character is faced with the prospect of breaking the rule, it becomes an overwhelming duty, forcing him to comply unless he enters a Decision Point and calls on a Defining Intimacy to spend one Willpower resisting this influence. Once a character has resisted, he’s freed from the compulsion to obey that particular rule. Characters may also disobey the rule if they resign or otherwise formally leave the group. The promulgation of harmonious rules with this Charm fortifies a bureaucracy against the influence of the Wyld. Any member of an organization acting in his official capacity is treated as wielding or touching iron so long as he abides by the Dragon-Blood’s edict.</t>
  </si>
  <si>
    <t>Seething Firebreak Technique</t>
  </si>
  <si>
    <t>Signature (Fire)</t>
  </si>
  <si>
    <t>One story</t>
  </si>
  <si>
    <t xml:space="preserve">The Dragon-Blood fans the flames of dissent and unrest within her own organization, forcing traitors and conspiracies out into the open. She makes passionate speeches, spreads propaganda, or carries out strict disciplinary measures, rolling (Charisma + Bureaucracy) with double 9s. Any member of the organization whose Resolve is beaten is suffused with Fire Essence. For loyal members, this manifests as a passionate enjoyment of their work. Conversely, members who plan to betray the organization or conspire against its leadership experience intense passion surrounding their dissent. They’re unable to take covert or stealthy action against the group, its membership, or its leaders — instead, their passions drive them to be open, overt, and honest. They can enter a Decision Point and call on a Defining Intimacy that justifies discretion to pay one Willpower to resist for the rest of the story. This Charm can only be used once per story, unless reset by completing a major character or story goal (Exalted, p. 170) through bureaucratic means. </t>
  </si>
  <si>
    <t>Distraction of the Babbling Brook</t>
  </si>
  <si>
    <t>Psyche, Signature (Water)</t>
  </si>
  <si>
    <t xml:space="preserve">Suffusing her language with the fluid ambiguity of water, the Dragon-Blood ensnares business partners or customers in labyrinthine contracts. She makes a bargain roll using any social Ability, concealing one condition or requirement of the deal from the target. If the deal is verbal, the hidden words slip past the target’s attention; if it’s written, his eye slips over the obfuscated terms. Because the target isn’t consciously aware of this part of the bargain, he cannot call on Intimacies that oppose it to bolster his Resolve or spend Willpower in Decision Points. Similarly, his Resolve isn’t penalized by Intimacies that support it. The Dragon-Blood’s influence roll subtracts a number of successes based on the severity of the clause. If it’s comparable to an inconvenient task (Exalted, p. 216), such as a hidden fee, it suffers -1 success. If it’s a serious task, such as committing a serious crime or making payments that risk bankrupting the target, it suffers -3 successes. If it’s a life-changing task, such as convincing someone to sell himself into slavery or trading a queen a horse for her palace, it suffers -5 successes.  The target may pay three Willpower to resist, becoming aware of the hidden clause and able to call on any applicable Intimacies in response. Resisting renders him immune to this Charm for the next (his Essence + Integrity) days. Otherwise, he’s bound to the term — once he becomes aware of it, his mind rationalizes an explanation for how he could have accepted it voluntarily and why he must honor it, despite having no memory of doing so. He must comply with the bargain, no matter how harsh, unless another character overturns the Dragon-Blood’s influence (Exalted, p. 221). This Charm can only be used once per story, unless reset by achieving a legendary social goal (Exalted, p. 134) through negotiation, dealmaking, or other bureaucratic means. </t>
  </si>
  <si>
    <t>One Forest, Many Trees</t>
  </si>
  <si>
    <t>Mute, Signature (Wood)</t>
  </si>
  <si>
    <t xml:space="preserve">The Dragon-Blood cultivates interpersonal relationships and spreads her roots through society. This Charm depicts an Exalt whose mastery of networking ensures that she always knows just the person for a job. Once per story, she may make an (Essence + Bureaucracy) roll that cannot be enhanced by magic. She immediately gains a number of dots equal to the successes on the roll to divide among the following Merits. These Merits depict new Storyteller characters who have some past entanglement with the Dragon-Blood, perhaps impressed by her bureaucratic prowess or indebted to her for a past favor. Allies: The Dragon-Blood calls on the assistance of a noteworthy character. Contacts: The Dragon-Blood gets in touch with a character that can provide access to the intelligence gathered by a group of contacts. Followers: The Dragon-Blood recruits a large volunteer workforce. Mentor: The Dragon-Blood requests the guidance of a more experienced character. Retainers: The Dragon-Blood obtains the services of mortal experts. At the end of the story, the Merits are lost as the recruited characters return to their lives, unless the Storyteller deems that the Dragon-Blood’s treatment  of them qualifies to retain them long-term as Story Merits (Exalted, p. 158).  This bonus doesn’t stack with any bonus dice from her Appearance (Exalted, p. 218).  </t>
  </si>
  <si>
    <t>Bestow the Saffron Mantle</t>
  </si>
  <si>
    <t>Bureaucracy 4, Essence 3</t>
  </si>
  <si>
    <t xml:space="preserve">If the Dragon-Blood uses Shells-for-Silver Ruse to increase her apparent Resources, this increases her rating, up to a maximum of Resources 6, for this Charm’s purposes.  The Dragon-Blood bestows her favor upon one of her subordinates with a gift, kiss, promotion, or the like, promoting him to her proxy in all bureaucratic matters. This must be done in person. She insinuates her own Essence into his, allowing him to call upon her judgment and expertise. To become a proxy, the subordinate must have a positive Major or Defining Tie toward the Dragon-Blood. He gains the following benefits: • He gains the benefits of Benevolent Master’s Blessing at no additional cost. • He intuitively understands how the Dragon-Blood would act in any bureaucratic context or market venue. This doesn’t increase his Bureaucracy rating, but it does allow him to know what the DragonBlood would ask him to do in such a situation. • He adds +1 to the Resolve bonus against contrary social influence provided by his Tie towards the Dragon-Blood. Social influence cannot completely erode his Intimacy, although it can weaken its intensity. • Once per day, he may ignore one point of the Willpower cost to resist any influence opposed to his Tie. • If the Dragon-Blood knows Sense-Riding Technique, she waives its Willpower cost when she rides her proxy’s senses, and the maximum range of the Charm is extended to (Essence x50) miles. </t>
  </si>
  <si>
    <t>Blazing Hoard of Hesiesh</t>
  </si>
  <si>
    <t xml:space="preserve">Flaunting her wealth, the Dragon-Blood cows those beneath her into submission. She gains (her Resources - target’s Resources) non-Charm bonus dice on instill, persuade, and threaten rolls made with any Ability.  </t>
  </si>
  <si>
    <t>Following the River’s Course</t>
  </si>
  <si>
    <t>Mute, Water</t>
  </si>
  <si>
    <t>Dashing Brook Method, Finding</t>
  </si>
  <si>
    <t xml:space="preserve">the Water’s Depths It’s easier to understand the tides that bring every piece of flotsam and jetsam than to understand the forces that govern the flow of money, but the DragonBlood does both. When she receives payment as part of an economic transaction, she gains a flash of insight into the flow that brought it to her, rolling read intentions with (Perception + Bureaucracy), doubling 9s. If she’s paid in hard currency or physical goods, success lets her discern how the payer obtained them. If she takes payment on credit, success lets her evaluate the actual quality of the payer’s credit and whether or not he intends to fulfill his promises. A Bureaucracy 5, Essence 4 repurchase allows the Dragon-Blood to use this Charm on any payment she observes being made. </t>
  </si>
  <si>
    <t>Thrashing Carp Serenade</t>
  </si>
  <si>
    <t>Dashing Brook Method, Water-Stained Ledger</t>
  </si>
  <si>
    <t xml:space="preserve">The Dragon-Blood impedes the flow of an enemy organization with frightening efficacy, whether by sabotaging a rival’s commercial contracts, sowing discord among ministers of a foreign government, or bringing about a bureaucracy’s ruin from within. After at least one scene spent sabotaging a project or bureaucratic task, she rolls ([Manipulation or Intelligence] + Bureaucracy) with double 9s. The difficulty is (the project leader’s higher of Essence or Bureaucracy). A successful roll doubles the time needed to complete the project. Every threshold success increases this multiplier by one, up to a maximum of (the DragonBlood’s Essence). This can be negated by magic such as Bureau-Reforming Kata (Exalted, p. 286).  The Dragon-Blood cannot use Thrashing Carp Serenade against the same organization more than once per story, even if its projects are led by different characters. </t>
  </si>
  <si>
    <t>Sea-Changed Secrets</t>
  </si>
  <si>
    <t xml:space="preserve">Dredging up her foe’s deepest secrets, the DragonBlood confronts him with a secret he’d thought forgotten. The Dragon-Blood rerolls non-1 failures on a threaten roll made with any social Ability to intimidate a character with blackmail, compromising information, or evidence of his criminal misdeeds. Resisting this influence requires entering a Decision Point and calling on a Major or Defining Intimacy that supports refusing to be blackmailed. </t>
  </si>
  <si>
    <t>Sprouting Bamboo Cultivation</t>
  </si>
  <si>
    <t xml:space="preserve">The Dragon-Blood cultivates the growth of an organization as though it were her garden. This Charm supplements any project or other bureaucratic task that has the primary goal of amassing wealth or manpower: recruiting a work force, collecting taxes, selling goods at market, and similar tasks. She doubles 8s on any Bureaucracy roll necessary to complete the project, and gains five motes that can be spent on other Charms that enhance it. </t>
  </si>
  <si>
    <t>Drowning in Negotiation Style</t>
  </si>
  <si>
    <t>Distraction of the Babbling</t>
  </si>
  <si>
    <t xml:space="preserve">Brook Calling upon the endless Essence of the depths to stand witness to a contract, the Dragon-Blood binds all parties to it to their words. This Charm may be invoked when the Dragon-Blood witnesses a verbal or written contract being made. If any party to the contract willingly violates it, he drowns on dry land as water appears inside his mouth and lungs. This deals (Essence x2) dice of lethal damage, ignoring Hardness, and leaves ink-black  stains dripping from his mouth that are visible only to the Dragon-Blood and other parties to the sanctified contract, marking him as an oathbreaker for (DragonBlood’s Essence + Charisma) years. </t>
  </si>
  <si>
    <t>Flowing Authority Insinuation</t>
  </si>
  <si>
    <t>Psyche, Water</t>
  </si>
  <si>
    <t xml:space="preserve">Creation itself confers its authority upon the DragonBlood, turning even the most meager scrap of paper into proof of her bureaucratic mandate. She may invoke this Charm whenever someone challenges her authority to be in a location, access an organization’s resources, or take some form of bureaucratic action. She rolls (Manipulation + Bureaucracy) as she brandishes a blank sheet of paper or other putative token of authority, suffusing it with Water Essence. If the roll suffers any penalties due to her looking out of place, those penalties subtract successes instead of dice. A character whose Resolve is beaten by this roll perceives this document as bureaucratic credentials or permission from an authority he respects. This authorization counts as a Major Intimacy when it’s exploited. In addition to functioning as an Intimacy, it also prevents affected characters from challenging the Dragon-Blood over the same reason for the remainder of the scene, including through social influence. Resisting this effect requires a character to enter a Decision Point, invoking at least a Major Intimacy and paying three Willpower to resist. </t>
  </si>
  <si>
    <t>Sowing the Dragon’s Teeth</t>
  </si>
  <si>
    <t xml:space="preserve">Battles may be won by force of arms, but wars are won with logistics. To use this Charm, the Dragon-Blood must have first completed a challenging project relating to establishing supply lines, stocking supplies, or other logistical matters. When she or one of her allies makes a Strategic Maneuver roll that somehow benefits from that project, such as using supply lines to keep an army fed on a long march, she may use this Charm before the roll to grant it double 8s. This Charm can only be used once per story, unless reset by completing a project or other bureaucratic task that fulfills a legendary social goal (Exalted, p. 134).   </t>
  </si>
  <si>
    <t>Masterful Dragon-Artisan Expertise</t>
  </si>
  <si>
    <t xml:space="preserve">The Dragon-Blood labors with hands steady as stone. She may add bonus dice to a Craft roll for one mote each. If she’s awarded a stunt on the supplemented roll, she gains one silver craft point, maximum one per scene. </t>
  </si>
  <si>
    <t>Stone-Carving Fingers</t>
  </si>
  <si>
    <t>One project</t>
  </si>
  <si>
    <t xml:space="preserve">The Dragon-Blood can split stone with her bare hands, delivering a series of precise strikes that carve it from within, shaping it to her will. She may undertake a basic or major project to craft stone or earth (but not metal) without needing tools or a workshop. If she uses tools to assist the project, such as striking a boulder with a chisel, she multiplies the rate at which she works by (Essence + 1), reducing the time to complete the project to a minimum of one minute. </t>
  </si>
  <si>
    <t>Flaw-Finding Examination</t>
  </si>
  <si>
    <t xml:space="preserve">The Dragon-Blood’s careful scrutiny discerns any flaw that undermines the harmony of a project’s design. She undertakes either a basic or major repair project (Exalted, pp. 242-243) or a feat of demolition, making a (Perception + applicable Craft) roll before doing so. She multiplies the rate at which she works by her successes, and gains a temporary Craft or Athletics specialty that lasts until the task is completed, which she adds to her total Strength to determine what feats she may attempt. If she already has an applicable specialty, she converts the die it adds to a non-Charm success. If she also uses Stone-Carving Fingers to speed a repair project, her total speed is multiplied by (her Essence + rolled successes).  </t>
  </si>
  <si>
    <t>Shaping Hand Style</t>
  </si>
  <si>
    <t xml:space="preserve">The Dragon-Blood may use Stone-Carving Fingers to manipulate the raw materials of any Craft that she has 4+ dots in. Such uses take on an elemental aspect determined by the Storyteller based on the nature of the project: Forging metal is fire-aspected, as furnace-heat radiates from the Exalt’s bare hands; spinning silk is wood-aspected; carving an ice sculpture is air-aspected; mixing an alchemical reagent by hand is water-aspected; and so on. This doesn’t apply to crafting artifacts or manses. </t>
  </si>
  <si>
    <t>Stones-from-Rubble Restoration</t>
  </si>
  <si>
    <t xml:space="preserve">The Dragon-Blood knows where each fragment of a broken object belongs. After using Flaw-Finding Examination on a damaged object, she may use this Charm to supplement each roll of a repair project with (Essence/2, round down) non-Charm successes. </t>
  </si>
  <si>
    <t>Touch of Unmaking</t>
  </si>
  <si>
    <t xml:space="preserve">Tracing her fingers over an object’s surface, the DragonBlood discerns its weakest point. After using Flaw-Finding Examination on an object, she may use this Charm to supplement a feat of demolition, adding (an applicable Craft/2, round up) to her effective Strength rating to determine if she may attempt the feat (Exalted, p. 229). If this would raise her above the feat’s Strength minimum, any excess points are instead added as non-Charm dice on her roll. </t>
  </si>
  <si>
    <t>Flawless Facet Realization</t>
  </si>
  <si>
    <t xml:space="preserve">Honing her skill with a gem-cutter’s precision, the Dragon-Blood perfects her handiwork. She rerolls (Essence) non-1 failures on a supplemented roll. For each rerolled die that shows a success, the DragonBlood gains one silver craft point in addition to any rewards from the project itself. Rerolled dice that show 10s grant gold craft points instead. </t>
  </si>
  <si>
    <t>Strike the Dragon-Anvil</t>
  </si>
  <si>
    <t>1m, 1wp, 1gxp</t>
  </si>
  <si>
    <t xml:space="preserve">The Dragon-Blood’s forge imparts a portion of her mighty Essence into the outcome of her craftsmanship, suffusing it with perfection. She doubles 9s on a single Craft roll. An Essence 5 repurchase of this Charm allows the Exalt to use it for ten motes, one Willpower, and one white craft point to double 8s on a Craft roll. </t>
  </si>
  <si>
    <t>Passion-Inflaming Artistry</t>
  </si>
  <si>
    <t xml:space="preserve">The Dragon-Blood’s labors are suffused with the passionate Essence of fire. She undertakes a basic or major project to craft a painting, sculpture, meal, or similar art object that’s primarily aesthetic or ornamental in function. Major projects benefit from (Essence) nonCharm dice. She chooses an emotion to be conveyed through her craftsmanship, and treats the Craft roll used to complete the project as an inspire roll (Exalted, p. 217) to spread that emotion to any character who engages with the object if his Resolve is beaten by her successes — a painting of a historic battle could inspire courage in those who gaze upon it, while a bowl of noodles flavored with sorrow could bring tears to the eyes of anyone who eats it. This effect lasts (Essence + Charisma) days from the project’s completion, after which its supernatural potency fades. </t>
  </si>
  <si>
    <t>Talents-to-Obols Refinement</t>
  </si>
  <si>
    <t xml:space="preserve">The Dragon-Blood may exchange her craft points for those of a lower tier: she may convert one white craft point to two gold craft points, or one gold craft point to two silver craft points. Each use can only convert one type of craft points, although there’s no limit on how many can be exchanged. At Essence 4, the Exalt may pay one Willpower when she uses this Charm to convert silver craft points into gold craft points at a four-to-one ratio, although she cannot create white craft points. </t>
  </si>
  <si>
    <t>Ephemeral Form Composition</t>
  </si>
  <si>
    <t xml:space="preserve">The Dragon-Blood pores over her blueprints, drawing the lines up from the page with wisps of Air Essence into a shimmering three-dimensional mirage of anima. She can refine and perfect this ephemeral design with thought alone, her creativity unbounded by the material world’s limitations. This Charm can be used before beginning a major, superior, or legendary project. The Dragon-Blood must spend ten hours preparing the design in her workshop, rolling (Intelligence + Craft). The craft point cost to complete the project or roll an interval is reduced based on its tier and her rolled successes, as follows: Major: Rolling to complete the project costs (10 - successes) silver craft points, minimum one. Superior: Rolling an interval costs (10 - [successes/2, round down]) gold craft points, minimum one. Legendary: Rolling an interval costs (10 - [successes/4, round down]) white craft points, minimum one. This Charm can only be used once per story, unless reset by upholding a Defining Principle by either completing a crafting project or giving or selling an object the Exalt has crafted to another character. </t>
  </si>
  <si>
    <t>Eternal Omphalos Forge</t>
  </si>
  <si>
    <t>15m, 1wp, 15gxp</t>
  </si>
  <si>
    <t xml:space="preserve">The Dragon-Blood feels the world turn on its axis as she labors over the forge, affirming her will and genius with every fall of her hammer as she shapes a world-shaking treasure. She begins a superior or legendary project, adding one to the project’s terminus. If the Exalt completes the project before its terminus has elapsed, she gains one point of Willpower for each unused interval, in addition to her normal craft point reward. This can raise her above her permanent Willpower. This Charm can only be used once per story. The Exalt may reset it by spending five white points. </t>
  </si>
  <si>
    <t>Blazing Dragon-Smith Arete</t>
  </si>
  <si>
    <t xml:space="preserve">The Dragon-Blood’s genius is explosive, as powerful and dangerous as an erupting volcano. She undertakes a superior or legendary project, enhancing all of her rolls with (Essence) non-Charm bonus dice and rolling a non-Charm die for each 10, but at the cost of lowering the project’s terminus by one. If she completes the project successfully, she gains one white point in addition to the normal crafting reward. </t>
  </si>
  <si>
    <t>Fortune-from-Flotsam Ingenuity</t>
  </si>
  <si>
    <t>15m, 1wp, 5sxp</t>
  </si>
  <si>
    <t>The Dragon-Blood’s fluid ingenuity adapts to her circumstances, turning whatever materials she can find into exactly what she needs. This Charm is a (Wits + Craft) roll to undertake a major project in a matter of seconds, jury-rigging it together. It can even be used in combat on the Dragon-Blood’s turn. The Charm’s cost replaces the normal craft point cost of the project. The Dragon-Blood can accomplish projects that would normally be impossible in the brief instant she uses this Charm, whether it’s fletching enough arrows to supply an army in a whirling maelstrom of craftsmanship, or lashing together a raft from palm trees in a single flowing motion. This Charm can only be used once per story, unless reset when the Dragon-Blood or one of her Hearthmates achieves a major character or story goal (Exalted, p. 170) with the assistance of an object that the Exalt crafted this story.</t>
  </si>
  <si>
    <t>Imago-Hatching Realization</t>
  </si>
  <si>
    <t>10m, 1wp, 5gxp</t>
  </si>
  <si>
    <t xml:space="preserve">Cultivating the Essence of her work as though it were a living thing, the Dragon-Blood guides its growth from raw materials into a fully realized whole, letting the project flourish in accordance with its own strengths. She undertakes a Craft project, and may reroll all dice that show non-1 failures on a single roll of that project. If this increases the successes on the roll, the project manifests a single unexpected but useful feature determined by the Storyteller. A longbow might have the perfect composition to also function as an exceptional flute; a river-spanning bridge might attract local honeybees to build hives underneath it. The Storyteller might choose to hold off on determining this quality, instead revealing it later at a dramatically appropriate future time. On an artifact, this introduces a new but related theme from which Evocations can be drawn — the Exalt might discover that a white jade daiklave she forged to slay raksha also has an unexpected proclivity for controlling cold iron through magnetic force. This Charm can only be used once per story. The Exalt may reset it by spending one white craft point, though she can still only use it once per project. </t>
  </si>
  <si>
    <t>Forge-Hand Prana</t>
  </si>
  <si>
    <t>One project or One scene</t>
  </si>
  <si>
    <t>Shaping Hand Style, Touch of Unmaking</t>
  </si>
  <si>
    <t xml:space="preserve">The Dragon-Blood takes the destructive power of fire into her own hands, tempering it so that it will burn only what she wishes it to. She needs no tools to undertake any basic or major project for which a forge or similar source of flame would normally be used, such as smithing a sword or fire-hardening a wooden spear, as well as superior projects to create artifacts from jade (but not other magical materials). The rate at which the Exalt completes work on the project is multiplied by (Essence/2, round up). Alternatively, the Dragon-Blood may use this Charm to channel the blaze through her hands offensively for one scene. Any barehanded attacks she makes using Brawl or Martial Arts set their Overwhelming value  to (Essence/2, round up), and double 10s on decisive damage rolls. </t>
  </si>
  <si>
    <t>Stoking Inspiration’s Forge</t>
  </si>
  <si>
    <t>Balanced, Fire</t>
  </si>
  <si>
    <t xml:space="preserve">The Dragon-Blood husbands the flame of her genius, sparking greater heights of creativity. Whenever she’d gain silver craft points as a reward for completing a crafting project or at the end of a story in which she completed a project (Exalted, p. 240), she may instead roll that many dice, rolling an additional die for each 10. 10s grant two silver and one gold craft point; 9s grant one silver and one gold craft point; 8s and 7s grant one silver craft point each.   </t>
  </si>
  <si>
    <t>Threshold Warding Stance</t>
  </si>
  <si>
    <t>2m per +1 Evasion or success</t>
  </si>
  <si>
    <t>Dodge 1,Essence 1</t>
  </si>
  <si>
    <t>Balanced, Excellency, Fire, Uniform</t>
  </si>
  <si>
    <t xml:space="preserve">The Dragon-Blood’s body is as light as flames, skimming over the ground as she moves to evade. She may raise her Evasion for two motes per point, or add automatic successes on a Dodge roll for two motes each. She ignores environmental penalties to her Evasion or to the Dodge roll. </t>
  </si>
  <si>
    <t>Flickering Candle Meditation</t>
  </si>
  <si>
    <t>Fire, Perilous, Uniform</t>
  </si>
  <si>
    <t xml:space="preserve">The Dragon-Blood dances like a flame around the flaws in her enemy’s attack. (Essence) 1s on her enemy’s attack roll allow her to ignore that many points of penalty to her Evasion. </t>
  </si>
  <si>
    <t>Heat-of-Battle Advance</t>
  </si>
  <si>
    <t xml:space="preserve">When the Dragon-Blood recedes from her enemies, she doesn’t retreat, but rather burns a new course. She waives the Initiative cost of disengaging as long as it moves her into close range with another, nontrivial opponent, and rolls an additional non-Charm die for each 10 she rolls. </t>
  </si>
  <si>
    <t>Hopping Firecracker Evasion</t>
  </si>
  <si>
    <t>Dodge 3, Essence 2</t>
  </si>
  <si>
    <t xml:space="preserve">The Dragon-Blood’s feet strike sparks from the ground, finally igniting in an explosive leap When she dodges an attack that misses her Evasion by at least two successes, she may move one range band in any direction. </t>
  </si>
  <si>
    <t>Virtuous Negation Defense</t>
  </si>
  <si>
    <t>Uniform, Wood</t>
  </si>
  <si>
    <t xml:space="preserve">The Dragon-Blood twists to interpose herself between an ally and an incoming attack to guide it off course. When an ally within close range of her is attacked, she may interpose her Evasion against that single attack  as though with a defend other action (Exalted, p. 196). When used to protect one of the Dragon-Blood’s Sworn Kin, this Charm costs only two motes. In Wood Aura, the Dragon-Blood may protect an ally within short range once per round, reflexively moving one range band to cover him. This doesn’t count as her movement action for the round. </t>
  </si>
  <si>
    <t>Ember-Amid-Smoke Misdirection</t>
  </si>
  <si>
    <t>Aura, Fire, Uniform</t>
  </si>
  <si>
    <t xml:space="preserve">Striking at smoke only leads one closer to the flame. The Dragon-Blood gains +1 Evasion. On a successful dodge, her attacker overextends, suffering (Essence) dice of unsoakable withering damage. She doesn’t gain Initiative from this. With an Essence 4 repurchase, the Dragon-Blood may expend her Fire Aura after successfully dodging to gain all Initiative lost by her attacker. </t>
  </si>
  <si>
    <t>Safety Among Enemies</t>
  </si>
  <si>
    <t>Aura, Decisive-only, Perilous, Signature (Air)</t>
  </si>
  <si>
    <t xml:space="preserve">As the Dragon-Blood spins or swoops around an attack, she twists the wind around the blow to redirect it. Successfully dodging a decisive attack allows her to redirect it to another character within range of the original attack. To do so, her Initiative must exceed (attacker’s Initiative + new target’s Initiative). The attack and all effects enhancing it are then rolled again, using the same dice pool, against its new target. </t>
  </si>
  <si>
    <t>Unmoving Center Enlightenment</t>
  </si>
  <si>
    <t>Dodge 5,Essence 3</t>
  </si>
  <si>
    <t xml:space="preserve">The Dragon-Blood settles into a rooted stance of evasion through non-evasion, unleashing a seismic wave of spiritual force. It’s not she who recedes, but her foes. She rolls her (Stamina + Dodge) against the Resolve of all enemies within close range as she unleashes incredible spiritual pressure. Each enemy whose Resolve is beaten must immediately make a disengage roll opposing her at a -3 penalty. On a success, an enemy must immediately use his reflexive movement to move away from the Dragon-Blood. On a failure, the only action he can take on subsequent turns is to continue disengaging from the Dragon-Blood until he succeeds, even if subsequently forced beyond close range. Characters may resist this for one Willpower and five Initiative. This Charm can only be used once per scene, unless the Dragon-Blood resets it by beginning her turn at medium range or further from all enemies while in Earth Aura. </t>
  </si>
  <si>
    <t>Unassailable Body of Fire</t>
  </si>
  <si>
    <t>Aura, Counterattack, Decisive-only, Signature (Fire)</t>
  </si>
  <si>
    <t xml:space="preserve">The Dragon-Blood’s body dissolves into an untouchable blaze, incinerating those who dare strike her. When she uses Hopping Firecracker Evasion to leap away from an enemy at close range, she makes an unblockable decisive counterattack with the flames  of her leap, rolling (Wits + Dodge). The counterattack deals ([Essence + base Evasion]/2, rounded up)L damage dice, ignoring Hardness. This doesn’t include her Initiative or reset her to base Initiative. An enemy that takes 3+ levels of damage from the counterattack is set ablaze, suffering (Essence) dice of lethal damage each turn until he extinguishes himself. </t>
  </si>
  <si>
    <t>Flow With Strife</t>
  </si>
  <si>
    <t>3i per level of damage, expend Water Aura</t>
  </si>
  <si>
    <t>3i, Water Aura</t>
  </si>
  <si>
    <t>Aura, Decisive-only, Perilous, Signature (Water)</t>
  </si>
  <si>
    <t>The Dragon-Blood’s movements are fluid and shapeless, adapting to whatever force is directed against her. Even when struck she may be unscathed, flowing with her enemy’s attack rather than against it. After the damage roll of a decisive attack that the Dragon-Blood attempted to dodge, she can use this Charm to negate damage successes at a cost of three Initiative per level of non-aggravated damage. If she completely negates the damage of an attack, it seems that she was struck, but she flows away from the attack at the last second; this counts as dodging the attack. The Initiative cost of this Charm is discounted to two Initiative per level of damage while the Dragon-Blood is at least ankle-deep in water or fighting in driving rain.</t>
  </si>
  <si>
    <t>Swaying Grass Elusion</t>
  </si>
  <si>
    <t>2i per +1 Evasion</t>
  </si>
  <si>
    <t>Aura, Perilous, Signature (Wood), Uniform</t>
  </si>
  <si>
    <t xml:space="preserve">The Dragon-Blood bends and sways under an enemy’s attack, letting the force of his strike blow past her like the wind. She may raise her Evasion for two Initiative per point, and adds two to the maximum amount she may raise her Evasion with Charm bonuses (p. 162). Upon successfully dodging an attack made by a nontrivial enemy with lower Initiative, the Dragon-Blood may expend her Wood Aura to regain half the Initiative spent on this Charm, rounded up. </t>
  </si>
  <si>
    <t>Ebbing Tide Recedes</t>
  </si>
  <si>
    <t>Dodge 4, Essence 3</t>
  </si>
  <si>
    <t xml:space="preserve">Like water trickling away through a drain, the DragonBlood extricates herself from melee. When she disengages, (Essence) 1s on her enemies’ opposing rolls add that many non-Charm bonus dice to her roll. In Water Aura, the Dragon-Blood also doubles 9s on her disengage roll. </t>
  </si>
  <si>
    <t>Elusive Crosswind Defense</t>
  </si>
  <si>
    <t xml:space="preserve">The Dragon-Blood’s dodge unleashes a swirling vortex of air, turning aside her enemies’ arrows. She gains +1 Evasion against a ranged attack from medium range, or +2 against an attack from long or extreme range. This doesn’t count as a bonus from Charms. </t>
  </si>
  <si>
    <t>Bonfire Shadow Evasion</t>
  </si>
  <si>
    <t>6m, 1a</t>
  </si>
  <si>
    <t xml:space="preserve">The Dragon-Blood’s evasive instincts urge her towards impossible motion, dodging her own anima banner to disperse it in a blinding flare. She must be at bonfire anima to use this Charm. When enemies with lower Initiative attack her, (Essence) 1s on their attack roll subtract successes. If this removes all of an attacker’s successes or he botches, he’s blinded (Exalted, p. 168) until the scene ends. </t>
  </si>
  <si>
    <t>Coiling Dragon Dance</t>
  </si>
  <si>
    <t>Dodge 5, Essence 4</t>
  </si>
  <si>
    <t>Aura, Dual, Fire</t>
  </si>
  <si>
    <t xml:space="preserve">Subliming her presence into shadow and smoke, the Dragon-Blood dares her foes to strike her. She gains one  Initiative when she successfully dodges an attack, and adds her Evasion to her soak against withering attacks she attempts to dodge. If a withering attack hits her but deals no damage, it counts as her having dodged it. Additionally, when using Flickering Candle Meditation or Bonfire Shadow Evasion, she counts her attackers’ 2s as well as 1s, although the maximum remains unchanged. </t>
  </si>
  <si>
    <t>Elusive Dragon-God Dispersion</t>
  </si>
  <si>
    <t>Aura, Decisive-only</t>
  </si>
  <si>
    <t>Prerequisite Charm: Unassailable Body of Fire</t>
  </si>
  <si>
    <t>The Dragon-Blood unleashes a seething furor of elemental Essence in her wake, forcing her enemies to plunge through flames, brambles, storms, and all Creation’s fury in pursuit of her. She may use Unassailable Body of Fire while in any Elemental Aura, changing the aspects of that Charm and Hopping Firecracker Evasion to match her Aura and enhancing her counterattack based on its element. Air: The Dragon-Blood dissolves into gusting wind. As long as she deals any damage, she may force the enemy to move one range band horizontally in any direction. Earth: The Dragon-Blood counterattacks with a blast of sand, sediment, or dust, adding one bonus success to the damage roll. On a successful attack, this either knocks her enemy prone or blinds him (Exalted, p. 168) until he spends his whole turn clearing his eyes. Fire: The Dragon-Blood doubles 10s on the decisive damage roll. Water: The Dragon-Blood becomes a torrent of water in motion, knocking her enemy off balance. The counterattack deals bashing damage, and if it hits, her attacker takes a -3 penalty on all physical rolls for his next three turns. Wood: The Dragon-Blood counterattacks with tangling brambles that deal no damage, but instead grapple her attacker on a hit without need for an Initiative roll. The brambles use the Dragon-Blood’s (Stamina + Dodge) to establish control of the grapple, and can only take restrain actions. The Dragon-Blood can act normally while the brambles maintain the clinch.</t>
  </si>
  <si>
    <t>Granite Curtain of Serenity</t>
  </si>
  <si>
    <t>2m per +1 Resolve or success</t>
  </si>
  <si>
    <t>Integrity 1,Essence 1</t>
  </si>
  <si>
    <t xml:space="preserve">Taking on the stoicism of stone, the Dragon-Blood stands unmoved by honeyed words or ferocious threats. She may raise her Resolve or add automatic successes to an Integrity roll for two motes each. In addition, she ignores a single point of penalty from wounds, deprivation, or poison. </t>
  </si>
  <si>
    <t>Frozen Heart Prana</t>
  </si>
  <si>
    <t xml:space="preserve">Icy reason prevails over specious arguments or seductive wiles. The Dragon-Blood may use Intelligence in place of Wits to calculate her Resolve against a single influence roll. In addition, the opposing character must compare his Appearance to the highest of her Intelligence, Lore, or Resolve to determine how many bonus dice it adds to his influence roll (Exalted, p. 218). </t>
  </si>
  <si>
    <t>Slippery Thoughts Technique</t>
  </si>
  <si>
    <t>Balanced, Water</t>
  </si>
  <si>
    <t xml:space="preserve">A consummate liar, the Dragon-Blood deftly negotiates intrigues and galas. She may use Manipulation in place of Wits to calculate her Resolve against a single influence roll. Alternatively, she may substitute her Manipulation-based Resolve for her Guile against a single roll. </t>
  </si>
  <si>
    <t>Oath of the Ten Thousand Dragons</t>
  </si>
  <si>
    <t xml:space="preserve">The Dragon-Blood swears a vow of personal fealty to a character she holds a Tie of loyalty towards, or swears to complete a task at the request of such a character. She gains +2 Resolve against any influence that would weaken or alter that Tie (if she promised personal loyalty), or that would dissuade her from completing the task. This Charm can only be used once per story. If the Dragon-Blood maintains it through multiple stories, she cannot use it again until she’s ended it and a new story begins. </t>
  </si>
  <si>
    <t>Heart-Hardening Meditation</t>
  </si>
  <si>
    <t>Integrity 2, Essence 2</t>
  </si>
  <si>
    <t xml:space="preserve">The mountain sheds no tears for those who die upon it. The Dragon-Blood gains +2 Resolve against inspire rolls, as well as any influence that leverages either an inspired emotion or a Tie based on strong passions. In Earth Aura, this doesn’t count as a bonus from Charms. </t>
  </si>
  <si>
    <t>Inviolate Dragon Spirit</t>
  </si>
  <si>
    <t xml:space="preserve">The Dragon-Blood’s mind and soul are an unassailable tower of pure will. In a Decision Point (Exalted, p. 219), she may call upon the same Intimacy she used to bolster her Resolve to resist that influence. </t>
  </si>
  <si>
    <t>Unquenchable Battle-Passion</t>
  </si>
  <si>
    <t xml:space="preserve">The Dragon-Blood’s fierce spirit is undaunted by threats and unmoved by pleas for mercy. Against influence that would cause her to refrain from hostilities or impair her ability to fight, she may use this Charm to automatically inspire herself (Exalted, p. 217) with an emotion to bolster her Resolve against the influence for one scene. If the opposing influence beats her Resolve  and she spends Willpower to resist, she gains (Essence) Initiative for each Willpower point she spends. </t>
  </si>
  <si>
    <t>Chaos-Warding Prana</t>
  </si>
  <si>
    <t xml:space="preserve">Centering her mind and spirit, the Dragon-Blood embodies the stability of the omphalos, walking unscathed through the chaos of the Wyld. She and any items she carries are impervious to physical transformation or addiction caused by Wyld exposure, as well as similar environmental effects that warp mind or body. This doesn’t protect her from shaping magic used by other characters or from non-transformative perils of the Wyld. An Integrity 5, Essence 3 repurchase lets the DragonBlood pay a five-mote surcharge to extend this Charm’s effects to her Hearthmates out to medium range. </t>
  </si>
  <si>
    <t>Ten Thousand Dragons Fight as One</t>
  </si>
  <si>
    <t>Oath of the Ten Thousand</t>
  </si>
  <si>
    <t xml:space="preserve">Dragons The bellicose temperament of the Dragon-Blooded has set them against each other throughout the ages, but in times of crisis, the bonds of shared blood are stronger than any division of house against house or nation against nation. When the Exalt witnesses another Dragon-Blood in risk or danger — physical, social, or otherwise — she may use this Charm to instantly form a Minor Tie of loyalty towards him, or to strengthen such a Tie by one step. For the rest of the scene, that Tie benefits as though she’d used this Charm’s prerequisite to swear an oath to assist him. If she Joins Battle or makes an influence roll in this pursuit, she adds (Intimacy) non-Charm bonus dice on the first such roll she makes. This Charm can only be used once per scene. </t>
  </si>
  <si>
    <t>Wound-Denying Dragon Faith</t>
  </si>
  <si>
    <t xml:space="preserve">Unwavering in her dedication, the Dragon-Blood won’t yield even to mortal injury. As long as she’s striving to pursue or uphold an Intimacy to which she’s sworn herself with Oath of the Ten Thousand Dragons, Ten Thousand Dragons Fight as One, or Unflagging Vengeance Meditation, she ignores up to (Intimacy/2, round down) points of wound penalties. In Earth Aura, she ignores (Intimacy) points of wound penalties instead. </t>
  </si>
  <si>
    <t>Ascendant Ideal Inspiration</t>
  </si>
  <si>
    <t xml:space="preserve">Rising above the turmoil of the world, the DragonBlood dedicates herself to a Defining Principle that represents her ideals. Any character who attempts to either weaken the chosen Principle or cause the Dragon-Blood to act against it must make two separate influence rolls, using the lower result. Additionally, the Dragon-Blood doubles 9s on influence rolls with any Ability to either instill the chosen Principle in others or persuade them to act by appealing to it. If the Dragon-Blood acts against the chosen Principle or voluntarily weakens it in any session where this Charm was used to empower it, she loses all temporary Willpower, and this Charm ends if still active. Likewise, she cannot use it to empower a Principle she’s acted against or weakened earlier in the same session. If influence weakens it below Defining, this Charm ends, but the Dragon-Blood doesn’t lose Willpower. This Charm can only be used once per story, unless reset by upholding a Defining Principle the Exalt wishes to devote herself to in a way that either fulfills a major character or story goal (Exalted, p. 170) or makes significant narrative progress towards such a goal. If the Dragon-Blood maintains it through multiple stories, she cannot use it again until she’s ended it and either a new story begins or she resets it.  </t>
  </si>
  <si>
    <t>Flawless Diamond Heart</t>
  </si>
  <si>
    <t>Balanced, Signature (Earth)</t>
  </si>
  <si>
    <t xml:space="preserve">Unfaltering in her convictions, the Dragon-Blood embodies the unbreakable strength of earth. When her  Resolve is beaten by influence that opposes one of her Major or Defining Intimacies, she lowers the cost to resist by (Essence/2, round up) Willpower, minimum zero. If she enters a Decision Point, she must still call upon a valid Intimacy to use this Charm. This Charm may only be used once per story, unless reset by upholding the Intimacy this Charm was used to protect. </t>
  </si>
  <si>
    <t>Immolating Phoenix-Soul Fury</t>
  </si>
  <si>
    <t>Balanced, Signature (Fire)</t>
  </si>
  <si>
    <t xml:space="preserve">The soul-twisting lies of Anathema and the curses of sorcerers cannot hope to tame the boundless fire of the Dragon-Blood’s heart. If a Psyche effect (Exalted, p. 253) would cause her to act against one of her Intimacies, she may instead use this Charm to enter a berserk state in which her will cannot be constrained. The Psyche effect is completely suppressed for the duration, but she cannot take any actions except to engage in hostilities. She may fight as best she sees fit, including using disengage actions to tactically reposition herself, but cannot withdraw from combat or accept an enemy’s surrender. The only social influence she may attempt is threatening foes. If she’s not in combat, then she must either devote herself entirely to seeking out a specific enemy, or provoke other characters into hostilities. She cannot end this Charm voluntarily. If the Dragon-Blood defeats the character responsible for inflicting the Psyche effect on her while in this rage, the unnatural influence is permanently broken, and she gains two Willpower. This can raise her above her permanent Willpower. This Charm may only be used once per story, unless reset by subsequently upholding through violence or intimidation the Intimacy it was used to protect.   </t>
  </si>
  <si>
    <t>Waves-Swallow-Mountains Persistence</t>
  </si>
  <si>
    <t xml:space="preserve">Against the persistence of the tides, even the mightiest arguments crumble into dust. When the Dragon-Blood asserts her Resolve against an influence roll, up to (Essence/2, round up) 1s on the opposing character’s influence roll each subtract a success. If the DragonBlood uses this Charm multiple times in the same scene against a single character’s influence, each subsequent use increases the maximum penalty by one, to a maximum of (Essence), and counts the next-highest number towards the penalty. On her second use, 1s and 2s would subtract successes; on the third, 1s, 2s, and 3s would.  This Charm can only be used against a single character each scene, although there’s no limit on how many times the Dragon-Blood may use it against him.  </t>
  </si>
  <si>
    <t>Roots-of-the-World Meditation</t>
  </si>
  <si>
    <t>Until meditation is completed</t>
  </si>
  <si>
    <t xml:space="preserve">Communing with the endless flow of Essence through every living thing, the Dragon-Blood draws up this boundless vitality to sustain herself. She must spend (10 - Essence) hours in meditation, at the end of which she rolls (Essence + current temporary Willpower). She may spend her successes on one or more of the following:  1 Success - Heal a level of bashing or lethal damage. 1 Success - Convert a level of aggravated damage to lethal. 2 Successes - Halve the duration (round up) of a poison she suffers from. 3 Successes - Cure herself entirely of a disease or Derangement at Minor intensity. 5 Successes - Reduce a disease or Derangement from Major intensity to Minor. 7 Successes - Reduce a disease or Derangement from Defining intensity to Major.  This Charm can only be used once per story.   </t>
  </si>
  <si>
    <t>Thicker Than Stone</t>
  </si>
  <si>
    <t>Integrity 4, Essence 3</t>
  </si>
  <si>
    <t>Inviolate Dragon Spirit, Ten Thousand Dragons Fight as One</t>
  </si>
  <si>
    <t>One could sooner grind a mountain to dust than turn the Dragon-Blood against her allies. Against influence that opposes one of her positive Ties to another Dragon-Blood, a family member, or a subordinate under her command, she add (Intimacy/2, round down) Resolve as a non-Charm bonus. Successfully resisting the influence grants her a point of Willpower. This Charm can only be used to protect a given Tie once per story.</t>
  </si>
  <si>
    <t>Unflagging Vengeance Meditation</t>
  </si>
  <si>
    <t>Ten Thousand Dragons Fight as</t>
  </si>
  <si>
    <t xml:space="preserve">One The Dragon-Blood swears vengeance on a character that has harmed the subject of one of her Major or Defining Intimacies, instantly forming a Major Tie of hatred towards him, or strengthening such an existing Tie by one step. She gains +2 Resolve against any influence that would weaken this Tie, or that would deter her from her chosen course of revenge. For the duration of her vendetta, she waives the cost of Uneating Earth Meditation, Unsleeping Earth Meditation, and Untiring Earth Meditation (pp. 247-248). In battle against the object of her vendetta or his allies or minions, she adds +(Intimacy) natural soak and gains (Intimacy) Hardness. If the Dragon-Blood goes a day without pursuing her vendetta, she loses two Willpower. If she has no Willpower remaining, she suffers a level of unpreventable aggravated damage. Upon successfully concluding her vendetta to her satisfaction, she sheds the Intimacy formed by this Charm and gains two points of Willpower. This may bring her above her permanent Willpower rating.  This Charm can only be used once per story. If the Dragon-Blood maintains it through multiple stories, she cannot use it again until she’s ended it and a new story begins. </t>
  </si>
  <si>
    <t>The Mountain Still Stands</t>
  </si>
  <si>
    <t xml:space="preserve">When the Dragon-Blood successfully asserts her Resolve against influence that opposes one of her Defining Intimacies, or successfully instills a nontrivial character with one of her Defining Intimacies using any social Ability, she gains a single point of Willpower. This Charm can only be used once per day.   </t>
  </si>
  <si>
    <t>Indisputable Physical Analysis Technique</t>
  </si>
  <si>
    <t xml:space="preserve">The Dragon-Blood refines her attention to the pristine clarity of water, washing away false leads and red herrings. She may add automatic successes on an Investigation roll for two motes each. She rerolls 6s until they cease to appear.  </t>
  </si>
  <si>
    <t>Tampering-Detection Technique</t>
  </si>
  <si>
    <t>Even the slightest disturbance at the scene of a crime can have consequences that ripple throughout an entire investigation. Success on a case scene roll reveals whether any attempt has been made to conceal evidence (Exalted, p. 224), although not the identity of the character responsible. Alternatively, this Charm can be used when the Dragon-Blood examines an item for signs of tampering. She can automatically tell if any character has used Larceny to interfere with that object in the last (Essence + Investigation) hours — picking a lock, forg- ing credentials, hiding contraband inside a barrel, and so on. This reveals the nature of the tampering, but not the perpetrator’s identity or the time it occurred. With Investigation 4, Essence 3, the Dragon-Blooded can detect tampering that has occurred in the last (Essence + Investigation) days.</t>
  </si>
  <si>
    <t>Heart-Maze Navigation</t>
  </si>
  <si>
    <t>Investigation 3, Essence 2</t>
  </si>
  <si>
    <t>Scent-of-Crime Method</t>
  </si>
  <si>
    <t>The Dragon-Blood can test the composure of even the most practiced liar, discovering the path that leads to the truth. When she makes a profile character roll, her target’s Guile can be penalized by any of his Intimacies that would support revealing information to the Dragon-Blood, lowering it as though it were his Resolve. While the Dragon-Blood is in Water Aura, she can use this Charm to profile a character instantly.</t>
  </si>
  <si>
    <t>Permeating Insight</t>
  </si>
  <si>
    <t xml:space="preserve">Deceit, lies, and obfuscation won’t avail fugitives from the Dragon-Blood’s justice. Their sins are pellucid as crystal in her eyes. She adds (Essence) non-Charm dice on a roll to profile a character (Exalted, p. 225). If she succeeds, she gains a temporary Investigation specialty in the profiled character. She retains the specialty indefinitely, but may only have one specialty granted by this Charm at a time. </t>
  </si>
  <si>
    <t>Even if a murderer washes the blood from his hands, the smell of iniquity that clings to his heart draws the magistrate to him. The Dragon-Blood doubles 9s on an Awareness, Investigation, or Survival roll to detect the presence of a character that has made a Larceny roll in the last (Essence) hours. She can determine whether or not a given individual is the source of the guilt by successfully profiling him.</t>
  </si>
  <si>
    <t>Revelation-of-Associates Hunch</t>
  </si>
  <si>
    <t xml:space="preserve">Criminals surround themselves with cronies, accomplices, and hirelings like a bonfire wreathes itself in cast-off embers, leaving behind a trail for an intrepid Dragon-Blood to follow. She rolls an additional non-Charm die for each 10 on an Investigation roll. If she successfully uncovers evidence of crime, she experiences a sensation of flashing heat. Based on the intensity of this heat, she can gauge roughly how many individuals were involved — a lone offender’s crime barely registers as heat at all, while a conspiracy of hundreds roars like a bonfire. With an Investigation 5, Essence 3 repurchase of this Charm, the Dragon-Blood can detect that a character is connected to the crime with a successful profile character roll enhanced by Revelation-of-Associates Hunch, recognizing an all-too-familiar heat rising off of the suspect. This doesn’t reveal the role he played in the crime.  </t>
  </si>
  <si>
    <t>Bloodhound’s Nose Technique</t>
  </si>
  <si>
    <t>Water/Wood</t>
  </si>
  <si>
    <t>(Essence) days</t>
  </si>
  <si>
    <t xml:space="preserve">The Dragon-Blood smells the sin on a criminal’s back, pursuing him through city and wilderness alike by the scent of his iniquity. She makes a case scene roll with double 9s to investigate a piece of evidence. The base difficulty of this roll is 3, although the Storyteller may increase the difficulty based on the length of time since the object was left, any exposure to the elements, or supernatural concealment. On a success, the DragonBlood is able to pick up the scent of the character who left the evidence. If she’s already familiar with that individual, she identifies him immediately. The Dragon-Blood doubles 9s on rolls to track that character by smell, and can recognize his scent without needing an Awareness roll upon coming within medium range of him. In addition, the Storyteller may inform her player, through the Exalt’s keen sense of smell, whenever a case scene or profile character roll would turn up information relevant to that character. </t>
  </si>
  <si>
    <t>Tenacious Flowing Truths</t>
  </si>
  <si>
    <t xml:space="preserve">Attuning her senses to the ebb and flow of truth and lies, the Dragon-Blood can solve even the most challenging cases. She ignores (Essence) points of penalties on rolls to case a scene, as well as on Awareness rolls opposing Larceny. In Water Aura, the Exalt also adds an automatic success on all rolls that benefit from this Charm. </t>
  </si>
  <si>
    <t>Warrant of Divine Safety</t>
  </si>
  <si>
    <t xml:space="preserve">Dragon-Blooded magistrates may bind the wicked to their words, capturing a carelessly offered oath  or negotiated concession from the air into which it’s spoken and sealing it with Essence. She can use this Charm to sanctify any spoken offer made to her of hospitality or of invitation into a building. The invitation must be made by a character with customary authority to do so, even if informal — a guest at a noble’s court could extend hospitality to a stranger, and even a palace servant might welcome her in discreetly, but a thief or trespasser cannot give a valid invitation. As long as the Dragon-Blood and her companions take no hostile actions, other characters cannot violate the guarantee of hospitality without incurring Heaven’s wrath. An attacker’s knife might be blown from his hand by a sudden gust of wind, elemental spirits might appear to restrain an oath-breaker from violence, or a bolt of lightning might strike a would-be poisoner on his way to the kitchen. Whatever consequences the Storyteller introduces should be commensurate to the violation and sufficiently dire to negate most oathbreakers’ attempts at harming those under this Charm’s protection. Characters with an Essence higher than the Dragon-Blood’s can attempt to fight despite these consequences, but still face significant obstacles — large penalties, environmental hazards, or similar. This protection is limited to the premises on which she was offered hospitality. It doesn’t extend beyond the bounds of that location — offering no protection for those outside — and ends if the Dragon-Blood leaves the premises. </t>
  </si>
  <si>
    <t>Echoes Caught in Stone</t>
  </si>
  <si>
    <t xml:space="preserve">Taking a piece of evidence in hand and meditating on it, the Dragon-Blood rolls (Perception + Investigation) against a difficulty equal to the number of days since that evidence was placed. On a successful roll, she hears a relevant conversation that occurred near that object sometime in the last (Essence) months. A murder weapon might reveal the last words between killer and victim, a carelessly abandoned sandal could uncover good-humored banter between thieves, or a hidden switch in a manse might repeat the words of the last person to operate it. To use this Charm, the Dragon-Blood must first have identified an object as evidence with a case scene roll. She may listen through the conversation once, and may need to make hearing-based Awareness rolls to discern very faint or obscured sounds. She doesn’t control what period  in time she listens to, but the Storyteller should select the conversation most relevant to her current investigations. This Charm can only be used once per story, unless reset by upholding a Defining Intimacy in the pursuit of investigating a crime or bringing a criminal to justice. </t>
  </si>
  <si>
    <t>Shadow-Immolating Talon</t>
  </si>
  <si>
    <t>Decisive-only, Signature (Fire)</t>
  </si>
  <si>
    <t xml:space="preserve">Her claws unsheathed, the Dragon-Blood brings fire down into the shadows and returns with truth. She can use this Charm to enhance a decisive attack made with any Ability, confronting her enemy with a question or accusation as she attacks. She adds (Essence) bonus dice on the attack roll and doubles 10s on the damage roll. If the Dragon-Blood’s successes on her attack roll exceeds her target’s Resolve, he’s compelled to answer her question or accusation honestly, without deception or half-truths. Even an enemy incapacitated by the attack has time to answer in his final moments. If this would oppose one of his Defining Intimacies, he may pay a point of Willpower to give an answer that is cryptic, half-true, or incomplete. If a character doesn’t know enough to give the Dragon-Blood an answer, the attack gains no benefits and the cost of this Charm is refunded. Shadow-Immolating Talon can only be used once per scene, unless reset by incapacitating a significant enemy that the Dragon-Blood knows has committed a crime that offends one of her Major or Defining Intimacies. It doesn’t need to be reset if its target is unable to answer. </t>
  </si>
  <si>
    <t>Clear Water Prana</t>
  </si>
  <si>
    <t xml:space="preserve">As flowing water erodes dirt and stone to reveal what hides beneath, so too does the Dragon-Blood’s Essence wash away attempts at concealment. The Dragon-Blood focuses her attention on a small area, out to close range from a single point. She rolls to case the scene with double 7s; this requires only one minute of concentration to complete. In addition to any clues she finds, she also detects any items that have been hidden in the area as long as she rolls a single success. This doesn’t reveal items that are concealed  on a character’s person, or that have been lost rather than purposefully hidden. The Dragon-Blood’s case scene roll is capable of contesting magical concealment such as EyeDeceiving Camouflage (Exalted, p. 412). Clear Water Prana can only be used once per story, unless reset by accomplishing a major character or story goal (Exalted, p. 170) by successfully concluding an investigation or using the information gained from one. </t>
  </si>
  <si>
    <t>Death-Unraveling Eye</t>
  </si>
  <si>
    <t xml:space="preserve">The ravages of decay and deterioration fall away from the Dragon-Blood’s perspective as she looks on the dead through eyes lit with Wood Essence. She can examine a corpse that has been dead for no more than (Essence + Perception) years with a case scene roll, ignoring penalties from the decomposition of the corpse or any dismemberment inflicted on it. In addition to any information turned up by the case scene roll, the Dragon-Blood is capable of mentally rewinding the corpse’s decomposition, allowing her to view it as it was at the time of death and potentially identify him. She can analyze the state of the corpse’s injuries or diagnose any conditions present at the time of death with a (Perception + Medicine) roll, doubling 9s. Additionally, by viewing the entire process of the corpse’s decomposition in reverse, she automatically notices any conflicts with information she’s already turned up. For example, if a criminal hid a corpse in an ice chest to slow its rate of decay, the Dragon-Blood would be able to notice the slowed progress of deterioration and infer that the victim has been dead longer than he appears. </t>
  </si>
  <si>
    <t>A Face in the Fog</t>
  </si>
  <si>
    <t>Investigation 4, Essence 3</t>
  </si>
  <si>
    <t>Revelation-of-Associates</t>
  </si>
  <si>
    <t xml:space="preserve">Hunch, Tenacious Flowing Truths The Dragon-Blood draws information from the flow of Essence through a crime scene, calling up a vision of her suspect from the murky depths of the past. When she  succeeds on a case scene roll opposed by another character’s attempt at concealing evidence, she may activate this Charm. For a moment, her perception of the space around her is filled with a thick, heavy mist. She catches a glimpse of the perpetrator in the mist — not enough to recognize him, but sufficient to convey some combination of height and build, gender, age, or other distinctive features. If the Dragon-Blood encounters the perpetrator, a successful profile character roll allows her to confirm that he’s the one she saw. Upon doing so, she gains a point of Willpower. </t>
  </si>
  <si>
    <t>Falsehood-Unearthing Attitude</t>
  </si>
  <si>
    <t xml:space="preserve">Even an honest man can lie, and the Dragon-Blood knows why. She makes a profile character roll with (Essence/2, rounded up) bonus successes, requiring only a few seconds. Success reveals one of that character’s Intimacies that he’d be willing to lie to protect. If the character has multiple such Intimacies, the Storyteller should choose the one most directly relevant to ongoing events. For example, if she profiles a character while investigating embezzlement from the Imperial Treasury, she might discover his Defining Principle of unscrupulous greed. Using it against the same character amidst a murder mystery might reveal a Tie to someone else who could be a potential suspect in the case. </t>
  </si>
  <si>
    <t>Foul Stench of Lies Discernment</t>
  </si>
  <si>
    <t>Air, Mute</t>
  </si>
  <si>
    <t xml:space="preserve">To speak lies before a Dragon-Blood is to foul the air with one’s breath. The Dragon-Blood may reflexively roll to profile a character when she hears him make a statement, adding (Essence) non-Charm bonus dice. A successful roll reveals whether that character was attempting to be deceptive or misleading with his statement. It doesn’t reveal what parts of the statement are untrue. Once the Dragon-Blood has caught a character lying, she waives the Willpower cost of any subsequent activations against that character in the same scene.  </t>
  </si>
  <si>
    <t>Scent of the Stranger’s Threshold</t>
  </si>
  <si>
    <t xml:space="preserve">The Dragon-Blood can tell outsiders from locals with a glance, picking up on the subtle cues woven into the living web of society. While she’s in a city, village, or similar settlement, she can determine whether a character she perceives lives in that location, no matter how humble the place he calls home. Outside of a settlement, she instead discerns if a character is a resident of the largest nearby settlement she’s aware of. Fair Folk always appear as strangers, no matter how integrated into society they may be, but this doesn’t reveal their true nature. If the Dragon-Blood uses this Charm against a character in disguise or employing a similar magical deception, and learning his residence would compromise his ruse, she must roll (Perception + Investigation) with double 9s against his Guile. On a failed roll, the Dragon-Blood receives a result that conforms with her target’s cover. If the Dragon-Blood has memorized a character’s scent with Bloodhound’s Nose Technique, she can use this Charm to see if he calls a place home without needing him to be present. </t>
  </si>
  <si>
    <t>Homeward Trail Discovery Method</t>
  </si>
  <si>
    <t>Air</t>
  </si>
  <si>
    <t xml:space="preserve">Both dragons and thieves take great interest in tending to their lairs; neither can hide from the vigilant magistrate. Once the Dragon-Blood has used this Charm’s prerequisite to determine that a character lives in a location, this Charm activates when she comes in sight of a door or other entryway into his home. In her perspective, the entryway briefly flashes blue with the Essence of air, automatically revealing it to her. If she rolls to pick a lock, force a door, or otherwise secure her entry by physically manipulating an entrance, she doubles 9s on the first such roll.  </t>
  </si>
  <si>
    <t>River-of-Memory Meditation</t>
  </si>
  <si>
    <t>A Face in the Fog, Bloodhound’s</t>
  </si>
  <si>
    <t xml:space="preserve">Nose Technique The Dragon-Blood knows the criminal underworld as an angler knows the sea. After uncovering evidence or a clue that a crime has been committed, she rolls (Perception + Investigation) to correlate the details of the crime with what she knows of any character that she’s successfully profiled during this story, at a difficulty of (higher of his Essence or Larceny). Success reveals whether that character has a Major or Defining Intimacy that would have supported committing the crime. This doesn’t reveal what his Intimacy is or whether he’s guilty, only that he has a compelling motive. This Charm can also be used to recognize the signature method or calling card of a criminal, allowing the Dragon-Blood to instantly recognize a crime committed in the style of a character she’s profiled, and to distinguish his work from that of a copycat. </t>
  </si>
  <si>
    <t>Inescapable Wave Insight</t>
  </si>
  <si>
    <t xml:space="preserve">The Dragon-Blood builds her case day by day, every piece of evidence or witness questioned adding another drop to the rising tide of her investigation. As she completes her case, these waters overflow their banks in an overwhelming torrent of revelations. After uncovering a number of clues equal to (higher of her target’s Essence or Larceny) through case scene rolls, profile character rolls, or roleplaying, the Dragon-Blood gains the following benefits until she’s conclusively closed the case: • She adds (Essence) bonus dice on Investigation rolls against her suspect, Awareness rolls opposing his Stealth or Larceny, and on Join Battle rolls against him. • When she uses one or more Investigation Charms targeting him, the total Willpower cost is reduced by one point and their mote cost is muted.  • She may treat any social influence that requires her to end the investigation as unacceptable (Exalted, p. 220). Once she apprehends the suspect and decides on how best to do justice, any influence to deter her from that course is likewise unacceptable. Inescapable Wave Insight can only be used once per story, unless reset by witnessing a serious crime that offends against one of her Defining Intimacies.   </t>
  </si>
  <si>
    <t>Underground River’s Flow</t>
  </si>
  <si>
    <t>Balanced, Excellency, Mute, Water</t>
  </si>
  <si>
    <t xml:space="preserve">Adept at criminal ways, the Dragon-Blood moves effortlessly within criminal underworlds. She may add automatic successes to a Larceny roll for two motes each. </t>
  </si>
  <si>
    <t>Flowing Body Disguise</t>
  </si>
  <si>
    <t xml:space="preserve">The Dragon-Blood’s subtle arts make her appearance as fluid as water. She ignores (Essence) points of penalty on a disguise roll from impersonating a specific character, or disguising herself as someone of another sex, body type, or similar physical traits. If the Dragon-Blood impersonates one of her blood relatives, she adds a non-Charm bonus success on her roll. </t>
  </si>
  <si>
    <t>Nimble Thief’s Fingers</t>
  </si>
  <si>
    <t xml:space="preserve">No one can follow the sinuous, fluid motions of the Dragon-Blood’s hands as she enacts her sleight. She  rerolls 6s until they cease to appear on a roll to steal an object, pick a lock, poison a meal, cheat at cards, or any other use of Larceny that involves manual dexterity or sleight of hand. </t>
  </si>
  <si>
    <t>Resetting Tumblers Technique</t>
  </si>
  <si>
    <t xml:space="preserve">The Dragon-Blood washes away all signs of her trespass, doubling 9s on a roll to conceal evidence (Exalted, p. 224). </t>
  </si>
  <si>
    <t>Naked Thief Style</t>
  </si>
  <si>
    <t>Stackable, Water</t>
  </si>
  <si>
    <t xml:space="preserve">The Dragon-Blood is a master of concealing small items, whether smuggling contraband through a port or concealing her lock picks in her coiffure. She rolls ([Dexterity or Appearance] + Larceny) to conceal on her body a single item small enough for her to hold in one hand, or an entire set of thieves’ tools, such as a roll of lockpicking equipment or a disguise kit. Characters cannot roll (Perception + Awareness) to contest this concealment unless they’re within short range of the Exalt or use magic that extends the range of their senses. She may stack up to (Dexterity) uses of this Charm to conceal multiple items. </t>
  </si>
  <si>
    <t>Observer Awareness Method</t>
  </si>
  <si>
    <t xml:space="preserve">Even the slightest ripple of attention is perceptible to the savvy Dragon-Blood. When her suspicions are roused, she may invoke this Charm to roll (Perception + Larceny). As long as she rolls a single success, she can intuitively discern whether she’s being watched and by how many people. With Larceny 4, Essence 2, the Dragon-Blood may identify the precise location of an observer if she beats (the higher of his Stealth or Guile).  </t>
  </si>
  <si>
    <t>Rose-Among-Thorns Distinction</t>
  </si>
  <si>
    <t>Observer-Awareness Method</t>
  </si>
  <si>
    <t xml:space="preserve"> The Dragon-Blood weaves herself seamlessly into the company of thieves and gangsters. After spending at least an hour interacting with a particular criminal society, such as “the Nexus crime underworld” or “the Lintha family,” that she’s interacted with in the past, she may gain a temporary Larceny specialty in interacting with it. The specialty also applies on any influence rolls she makes to convince others she belongs to that criminal group or to exploit that belief. She retains the specialty indefinitely, but may only have one specialty granted by this Charm at a time.</t>
  </si>
  <si>
    <t>Dragon’s Hidden Treasure</t>
  </si>
  <si>
    <t>The Dragon-Blood strikes the earth or an earthen structure with precise deliberation, attuning herself to the flow of Earth Essence. She may cause a held object to vanish into soil, stone, or similar materials, submerging into them without displacing or increasing the earth. She cannot store an object in something that is smaller than it — she could hide her daiklave in a brick wall, but not in a pebble, coin, or gemstone. A second use of this Charm allows her to retrieve the embedded object.   This Charm can also be used to steal objects that other Dragon-Blooded have hidden using it. Finding the location of a hidden cache usually requires both Investigation and Awareness rolls. The hidden object also reappears, intact, if whatever it’s embedded in is destroyed.</t>
  </si>
  <si>
    <t>Whispering Thief Technique</t>
  </si>
  <si>
    <t xml:space="preserve">A subtle current of wind carries the Dragon-Blood’s words through the air. This Charm lets her throw her voice, making it seem to come from a character or object within short range. This ventriloquism supplements a single influence roll or about ten seconds’ worth of ordinary dialogue. While in stealth, she can use this Charm to speak without breaking concealment. </t>
  </si>
  <si>
    <t>Artful Flowing Theft</t>
  </si>
  <si>
    <t>Nimble Thief’s Fingers, Observer Awareness Method</t>
  </si>
  <si>
    <t>The Dragon-Blood’s wandering fingers strike suddenly and without warning, wresting away treasures like a riptide. She doubles 9s on a roll to pickpocket or steal from a character, and increases the difficulty of noticing the theft for all characters other than the victim by (Essence) unless they use magic or superhuman senses to oppose her roll. Even if she fails, her target doesn’t realize she was trying to steal from him unless he beats her roll with (Essence) threshold successes. This Charm can only be used once per scene.</t>
  </si>
  <si>
    <t>Face-Stealing Reflection</t>
  </si>
  <si>
    <t>Flowing Body Disguise, Observer Awareness Method</t>
  </si>
  <si>
    <t xml:space="preserve">Flowing from one identity to another, the DragonBlood reflects the desires and expectations of those around her. She rolls read intentions with (Perception + Larceny). Success reveals the identity of an individual her target has a Tie towards that the Dragon-Blood knows well enough to attempt to disguise herself as, as well as the nature of the Intimacy. If no such individual exists, she learns that instead. In Water Aura, the Exalt doubles 9s on the roll. </t>
  </si>
  <si>
    <t>Bramble Purse Technique</t>
  </si>
  <si>
    <t xml:space="preserve">It’s easier to pluck a jewel from within a briar hedge than from a Dragon-Blood’s pocket. All rolls to pickpocket the Exalt or disarm her from close range lose  (Essence) dice. On a failed roll, the would-be thief suffers a single level of lethal damage as invisible thorns of Essence pierce his hand, visibly marking his crimes. </t>
  </si>
  <si>
    <t>Evidence-Erasing Tide</t>
  </si>
  <si>
    <t>4m, 1a</t>
  </si>
  <si>
    <t>The Dragon-Blood’s anima banner overflows, rushing across a crime scene to wash away all signs of her presence. She completes a conceal evidence roll instantly, and adds a non-Charm bonus success.</t>
  </si>
  <si>
    <t>Instant Disguise Prana</t>
  </si>
  <si>
    <t>The Dragon-Blood can roll to disguise herself in a single minute, and does so without any need for makeup, props, or other equipment. If she does have suitable equipment for her disguise, her roll benefits from double 9s.</t>
  </si>
  <si>
    <t>Waters-of-Honesty Method</t>
  </si>
  <si>
    <t>Observer Awareness Prana</t>
  </si>
  <si>
    <t xml:space="preserve">No one outcheats a cheater. Whenever a character the Dragon-Blood can perceive attempts to cheat in a game or use the Larceny Ability, she may read intentions with (Perception + Larceny) against the perpetrator’s Guile. Success reveals the identity of the perpetrator and the nature of his misdeed. On a failed roll, she’s aware that some wrongdoing has occurred, but not who did it or what it was. Disguises don’t trigger this Charm, unless the DragonBlood witnesses a character disguising himself. </t>
  </si>
  <si>
    <t>Vault-Emptying Whirlwind Heist</t>
  </si>
  <si>
    <t>(Essence) days or Until crime is completed</t>
  </si>
  <si>
    <t>The Dragon-Blood’s foresight envisions countless possible scenarios that might occur in a crime, planning out contingencies and countermeasures for any obstacle that she can conceive. Invoking this Charm requires spending an hour casing the site of a planned heist, planning out the steps of a crime, consulting with various criminal allies, or other activities taken in preparation of a crime. She rolls (Intelligence + Larceny), banking all rolled successes. To access the banked successes, the Dragon-Blood must begin the planned crime. She may add some or all of the banked successes as a Charm bonus on any rolls that she or another character present in the scene makes with Larceny, Investigation, Lore, or Stealth to advance the crime. Additionally, she may expend banked successes to gain the following effects: 1 Success - Retroactively leave her calling card, mark, or sign in a dramatic location. 2 Successes - Waive the anima cost of Evidence-Erasing Tide. 5 Successes - Waive the Willpower cost of Instant Disguise Prana. 7 Successes - Invoke Investigation-Deflecting Current (if she knows it) retro- actively to conceal evidence of an act she’s already committed in the course of the crime. Vault-Emptying Whirlwind Heist can only be used once per story, unless reset by successfully upholding a Major or Defining Intimacy as the result of a successful crime. This can either be direct, such as stealing a jewel the Exalt has a Tie of avarice towards, or indirect, such as fencing a jewel in order to feed a community of urchins she has a Tie of compassion for.</t>
  </si>
  <si>
    <t>Dragon Snatches Jewel</t>
  </si>
  <si>
    <t>Decisive-only, Signature (Earth)</t>
  </si>
  <si>
    <t xml:space="preserve">The Dragon-Blood’s grasp is as sure as stone, capable of wresting away the weapons of the Anathema. She makes a disarm gambit from close range with (Dexterity + Larceny), doubling 9s. On a successful gambit, the Exalt may reflexively ready the disarmed weapon and is refunded the gambit’s Initiative cost. If she disarms an artifact weapon, she reflexively attunes to it at no cost for the rest of the scene. This breaks  the original character’s attunement. Alternatively, she may steal a hearthstone out of the socket of an enemy’s artifact, likewise stealing attunement to it for the rest of the scene. This Charm can only be used once per scene. </t>
  </si>
  <si>
    <t>Burning Sins Seduction</t>
  </si>
  <si>
    <t xml:space="preserve">The Dragon-Blood’s tongue stokes the flames of criminal passions, inciting poorly made decisions and reckless disregard for law. She makes a special inspire roll with ([Charisma or Manipulation] + Larceny) against a single character, expounding on the folly of the law or the thrill of the criminal lifestyle. On a successful roll, the target’s player chooses what emotion this influence inspires in him, as well as one of his Intimacies related to that emotion that he’d be willing to break the law for. If he has no such Intimacies, he must form a Minor Intimacy that answers this question. The action that he takes as a result of this influence (Exalted, p. 217) must be a crime or equivalent transgression, and must uphold the inflamed Intimacy. Resisting this influence requires the target to enter a Decision Point, calling on an Intimacy of equal or greater strength than the inflamed Intimacy. </t>
  </si>
  <si>
    <t>Flowing God-Dragon Stance</t>
  </si>
  <si>
    <t>Aura, Mute, Signature (Water)</t>
  </si>
  <si>
    <t>Artful Flowing Theft, Evidence-Erasing Tide</t>
  </si>
  <si>
    <t xml:space="preserve">It’s the nature of water to flow past obstacles unchanged. The Dragon-Blood sloughs off the physicality of flesh, her body becoming fluid and translucent for as long as she remains in Water Aura. With her movement action, she may attempt to flow through locked doors, cracks in walls, or any other obstruction that isn’t waterproof — passing through the bars of a jail cell, flowing under a door, or pouring herself through a crack in a wall. This also lets her escape any grapple not enhanced by magic. If this Charm ends while she’s in a space too narrow to contain her, she’s forcibly shunted back to where she entered it, and suffers a level of unpreventable bashing damage.  The Dragon-Blood’s watery form is more difficult to damage, granting her +1 Evasion. If she’s unarmored, she also gains (Essence + 1) hardness. She adds (Essence/2, rounded up) bonus successes on all Stealth rolls. If she attempts to hide underwater, these don’t count as a Charm bonus. This Charm can only be used once per day. </t>
  </si>
  <si>
    <t>Terrifying Forest-Devil Mask</t>
  </si>
  <si>
    <t xml:space="preserve">The Dragon-Blood dons a mask and vanishes into a world of legends and devils, taking up a disguise embodying an archetypal warrior-hero, monster, or mythic character. Most Dynasts create ornate ritual masks from wood by hand, shaping their persona as they carve it, but any mask suffices on short notice if it suitably evokes the persona’s image. She rolls to create a disguise with double 7s. Her persona must be either a fictitious identity or archetypal role — such as an Immaculate Dragon, a hero or villain out of folklore, a legendary figure of the Shogunate, or a figure invented out of whole cloth. Her disguise only serves to conceal her identity, not to impersonate specific characters. She divides (Essence) temporary specialties that fit her persona among any of her Abilities for as long as she remains in disguise. Upon donning the mask, the Dragon-Blood accepts a Defining Intimacy that suits her role, such as “Those who abuse their power must be humbled” or “Destroy all Anathema.” As long as she remains in disguise, this Intimacy cannot be weakened or changed by any means. Onlookers who fail to beat her disguise roll will react to her as though they had a Minor Tie, with a context appropriate to her persona and the circumstances. A folk hero might inspire gratitude among the peasants she fights for while drawing the ire of princes and their minions; a horrible devil inspires sheer terror in all who look upon it. In combat, an enemy may attempt to strike away the Dragon-Blood’s mask as a difficulty 6 gambit. Success ends this Charm. </t>
  </si>
  <si>
    <t>Vaporous Visage Evasion</t>
  </si>
  <si>
    <t xml:space="preserve">Even those who peer into the sea know nothing of its hidden depths. The Dragon-Blood embodies this secrecy, wearing masks behind masks. When another character succeeds on a roll to pierce her disguise, she may conceal her features behind a swirling cloud of mist that spumes from her anima, perfectly obscuring her identity. The opposing character and other onlookers realize that she wasn’t who she was posing as, but don’t learn anything about who she actually is. The Dragon-Blood reverts back to her true appearance at the end of the scene, making a hasty retreat advisable. </t>
  </si>
  <si>
    <t>Incendiary Accusation Approach</t>
  </si>
  <si>
    <t xml:space="preserve">Every criminal knows that they’re playing with fire, but those who dare to cheat the Dragon-Blood discover just how true that is. When she uses this Charm’s prerequisite to detect a character cheating or using Larceny, she may pay an additional one mote and one Willpower to cause a small fire to ignite on his person, revealing his misdeeds to all and rolling a single die of lethal damage against him, ignoring Hardness. A cheating gambler’s illicit cards go up in flames, while a pickpocket is caught literally red-handed. </t>
  </si>
  <si>
    <t>Investigation-Deflecting Current</t>
  </si>
  <si>
    <t xml:space="preserve">The Dragon-Blood diverts the watchful eyes of the law from her misdeeds, redirecting them in pursuit of endless false leads or of her own foes, like fish swimming against the tide. She makes a roll to conceal evidence, arranging the scene so that a specific character she knows of is implicated as the perpetrator of whatever actions she took that scene. An investigator who fails his roll to case the scene believes that he’s succeeded, but receives a false clue that points him towards the character the Exalt framed. Even on a successful roll, he still finds the false clue, but also discovers any genuine evidence left behind. He’s aware of the discrepancy, but doesn’t know which clue is false. A character may realize he’s been duped if he turns up enough contradictory evidence. Each time he discovers a  clue which contradicts the Dragon-Blood’s deception, he rolls (Intelligence + Investigation) opposing the conceal evidence roll to realize the discrepancy and identify the clue as false. Even if he fails, he gains a cumulative +1 nonCharm bonus on his roll the next time he discovers a clue. Investigation-Deflecting Current can only be used once per story, unless the Exalt resets it by conclusively defeating the attempts of a significant character to investigate her crimes. </t>
  </si>
  <si>
    <t>Mischievous Wind Grasp</t>
  </si>
  <si>
    <t xml:space="preserve">The air itself is the Dragon-Blood’s accomplice when she has need of it, rising up in a small breeze directed by deft hand gestures. She directs a subtle current of wind to dislodge an object small enough to hold in one hand from a character within short range, whether it’s stationary or on someone’s person, though not one that a character’s currently using. She could pull a key ring from a jailer’s belt, pluck a sealed letter out of a courtier’s robes, or knock a wineglass off a banquet table. If the item is on someone’s person, the Exalt must roll (Wits + Larceny) opposing his (Perception + Awareness) roll. In combat, this is treated as a ranged disarm gambit. A successful roll dislodges the item, causing it to fall to its owner’s feet. Other characters cannot notice this for up to one minute or (Essence) rounds, whichever comes first, unless circumstances call attention to it, such as trying to draw a displaced blade. Even on a failed roll, onlookers don’t realize the unnatural nature of the wind unless they use magic, though repeated use may stir suspicions. In Air Aura, this Charm’s range is extended to medium. </t>
  </si>
  <si>
    <t>Exploding Evidence Technique</t>
  </si>
  <si>
    <t>Fire, Mute</t>
  </si>
  <si>
    <t>Investigation-Deflecting</t>
  </si>
  <si>
    <t xml:space="preserve">Current Such is the fire behind the Dragon-Blood’s crimes of passion that any investigator that pursues her risks being burned. She makes a conceal evidence roll, rolling a non-Charm bonus die for every 10 that appears,  and suffuses the hidden evidence with Fire Essence. If a character attempts to case the scene and fails, the evidence catches fire, exposing him and anyone else on the scene to a one-time environmental hazard with difficulty 5, Damage (Essence)L. This conflagration all but obliterates any evidence remaining at the scene, increasing the difficulty of any subsequent rolls to case the scene by (the Dragon-Blood’s Essence). </t>
  </si>
  <si>
    <t>Window-In-The-Door Technique</t>
  </si>
  <si>
    <t xml:space="preserve">Locks and walls aren’t enough to stymie the prying curiosity of a Dragon-Blooded thief. She may peer through an obstruction as though it were pellucid water, spying through solid walls or examining the contents of a chest before risking its trapped lock. This is a (Perception + Larceny) roll against a difficulty based on the material and thickness of the obstacle she attempts to see through. For example, a wooden door or chest is difficulty 1; a stone wall or metal vault would be difficulty 3; a manse’s walls, an artifact container, or the heavy stone walls of a fortress are difficulty 5+. Barriers more than (Essence + Perception) feet thick can’t be seen through. A successful roll causes a small portion of the obstruction, up to (Essence) square feet, to appear totally translucent to the Exalt (but not to anyone else). Each use of this Charm lasts a single round, or around ten seconds out of combat. If the Dragon-Blood wishes to renew this Charm at the end of that duration, she doesn’t need to pay its Willpower cost or make another roll. While using this Charm, the Exalt may reflexively activate Mischievous Wind Grasp, waiving its Willpower Cost, to send a current of wind through the barrier as though it weren’t there. </t>
  </si>
  <si>
    <t>Expectation-Mirroring Stance</t>
  </si>
  <si>
    <t>Face-Stealing Reflection,Instant Disguise Prana</t>
  </si>
  <si>
    <t xml:space="preserve">Those who gaze too long into their own reflection in the water risk drowning in themselves. Upon successfully  using Face-Stealing Reflection, the Dragon-Blood may use this Charm to instantly and reflexively roll to disguise herself as the revealed character. Every threshold success on her read intentions roll grants her one mote to spend enhancing her disguise. </t>
  </si>
  <si>
    <t>Infallible Alibi Approach</t>
  </si>
  <si>
    <t xml:space="preserve">The Dragon-Blood is everywhere and nowhere in the sea of crime. Such is her criminal ingenuity and masterful deception that she leaves no trace of her passage. Whenever an investigator rolls enough successes to uncover a piece of evidence she’s concealed, she may use this Charm to oppose the investigator’s roll with a special (Manipulation + Larceny) conceal evidence roll, doubling 7s. If she beats his roll, his attempt fails, and whatever evidence she left behind dissolves away into water, rendering future attempts futile. While the evidence is erased, the vanished secret drifts through the mysterious flows of Water Essence, finding itself drawn to the Dragon-Blood. A successful use of this Charm marks her with a swirling tattoo of black jade over her heart chakra. If the tattoo is revealed, witnesses may attempt a difficulty 3 (Intelligence + Occult) roll to realize the Dragon-Blood has used this Charm. Infallible Alibi Approach can only be used once per story, unless reset by accomplishing a legendary social goal (Exalted, p. 134) through criminal or underhanded means. Once the Charm resets, the incriminating tattoo vanishes.   </t>
  </si>
  <si>
    <t>Lightning Quill Mastery</t>
  </si>
  <si>
    <t>Air, Balanced, Excellency</t>
  </si>
  <si>
    <t xml:space="preserve">The Dragon-Blood’s brush scatters calligraphy across the page like leaves on the wind. She may add bonus successes to a Linguistics roll for two motes each. Each 10 on her roll rerolls a non-1 failed die.  </t>
  </si>
  <si>
    <t>Cryptic Essence Cipher</t>
  </si>
  <si>
    <t>Linguistics 2, Essence 1</t>
  </si>
  <si>
    <t>Water, Written-only</t>
  </si>
  <si>
    <t>The Dragon-Blood’s mastery of speech and language is synonymous with her mastery of deception. She rolls ([Manipulation or Intelligence] + Linguistics) to create a coded message, designating a single character who can understand it. Through her insight into his mind, she devises a cipher that he can intuitively read — for him, the symbols on the page seem to rearrange themselves to spell out the hidden message. For others, deciphering the message, even with code-breaking magic, requires a ([Perception or Intelligence] + Linguistics) roll opposing the DragonBlood’s initial roll.  Alternatively, the Dragon-Blood may draw from one of her Principles to create a code that can be intuitively understood by any character who shares that Intimacy.</t>
  </si>
  <si>
    <t>Tenacious Dragon Scholar</t>
  </si>
  <si>
    <t xml:space="preserve">The Dragon-Blood isn’t easily swayed by idle words. She gains +1 Resolve against written influence, and may use Linguistics in place of Integrity to calculate her Resolve against written influence.  </t>
  </si>
  <si>
    <t>Signature-Stealing Calligraphy</t>
  </si>
  <si>
    <t>The Dragon-Blood’s calligraphy ripples like the surface of a pond and settles into another writer’s hand. She rolls (Manipulation + Linguistics) to forge another character’s handwriting and mimic his writing style. If she includes written social influence in the forgery, she uses the same roll. Using this Charm requires access to either a full manuscript or three smaller samples of the character’s writing. A reader may roll (Perception + Linguistics) opposing the Dragon-Blood’s roll to detect the forgery, granting +2 Resolve against any influence it contains.</t>
  </si>
  <si>
    <t>Wind-Carried Words Technique</t>
  </si>
  <si>
    <t>The Dragon-Blood speaks into the wind, sending her voice afar on subtle currents of air. She may send a spoken message of no more than a few sentences to a chosen target within (Essence) miles. Messages sent with this Charm cannot be overheard or intercepted by any mundane means. Magical attempts to do so must overcome a difficulty of (the Dragon-Blood’s Essence + Linguistics). This Charm’s range extends to (Essence x5) miles at Linguistics 3, and (Essence x10) miles at Linguistics 5. With Linguistics 5, Essence 4, the Terrestrial may pay one Willpower to extend it to (Essence x100) miles.</t>
  </si>
  <si>
    <t>Fervor-Inciting Brushstrokes</t>
  </si>
  <si>
    <t>Fire, Written-only</t>
  </si>
  <si>
    <t xml:space="preserve">None The Dragon-Blood writes words to spark flames in her readers’ hearts, incinerating all inhibitions in a swell of passion. She doubles 9s on a written inspire roll that creates anger, fear, lust, or another powerful passion. If she chooses to tailor her influence for a single reader only, he must enter a Decision Point and call upon a Major or Defining Intimacy to resist. </t>
  </si>
  <si>
    <t>The Dragon-Blood writes words to spark flames in her readers’ hearts, incinerating all inhibitions in a swell of passion. She doubles 9s on a written inspire roll that creates anger, fear, lust, or another powerful passion. If she chooses to tailor her influence for a single reader only, he must enter a Decision Point and call upon a Major or Defining Intimacy to resist.</t>
  </si>
  <si>
    <t>Language-Learning Ritual</t>
  </si>
  <si>
    <t>The Dragon-Blood contemplates a foreign tongue until its meaning is, like air, transparent. She may use this Charm to gain understanding of a language that she’s spent at least (6 - Intelligence) days studying, allowing her to un- derstand it in both spoken or written forms. This doesn’t confer the ability to communicate in that language. With Linguistics 4, Essence 2, the Dragon-Blooded may speak and write in the chosen language. She is lacking in accent and unsophisticated in vocabulary, imposing a -3 success penalty on any social influence rolls. With Linguistics 5, Essence 3, the Dragon-Blooded no longer suffers a penalty after a total of (6 - Intelligence) weeks spent studying or using it.</t>
  </si>
  <si>
    <t>Voices on the Wind</t>
  </si>
  <si>
    <t>Linguistics 3, Essence 2</t>
  </si>
  <si>
    <t>The Dragon-Blood is privy to backroom dealings and covert assignations, drawing hushed whispers to her ear on currents of air. She adds (Linguistics/2, rounded up) bonus dice on rolls to eavesdrop on conversations. If she reads a character’s intentions while eavesdropping on him from medium range or further, he takes the -2 Guile penalty for being unaware of her even if he can see her.</t>
  </si>
  <si>
    <t>Enigma-Reading Eye</t>
  </si>
  <si>
    <t xml:space="preserve">The Dragon-Blood’s eye pierces ciphers and circumlocutions like lightning. She rolls ([Perception or Intelligence] + Linguistics) with double 9s to break a code or deceptive message, including those that aren’t ciphered but have hidden subtext. Success lets her decipher the text as she reads it, completing hours or days of work in minutes. Enigma-Reading Eye is capable of contesting magical codes or ciphers, such as Letter-Within-A-Letter Technique (Exalted, p. 323). </t>
  </si>
  <si>
    <t>Thousand Tongues Meditation</t>
  </si>
  <si>
    <t>—(+5m, 1wp)</t>
  </si>
  <si>
    <t>The Dragon-Blood has mastered fundamental principles of language, allowing her to converse with anyone from the conquered princes of the Realm’s dominion to the most savage barbarians beyond its borders. She may pay an additional five motes and one Willpower when she uses Language-Learning Ritual to waive the need for prior study and extend its effect to all languages she’s ever encountered, rather than a single language, developing fluency without needing any prior study.</t>
  </si>
  <si>
    <t>Speech Without Words</t>
  </si>
  <si>
    <t xml:space="preserve">The Dragon-Blood creates a bond between herself and her Sworn Kin, as well as up to (Essence) additional characters, allowing them to communicate silently for the duration of this Charm. Hand gestures, body language, and other visual signals are as easily understood as spoken language, although only short, simple sentences can be conveyed. Most onlookers don’t perceive this signaling, but a character specifically on watch for such tactics or using superhuman or magically enhanced senses may roll (Perception + Awareness) against any participant’s Guile to notice, but not understand, his signalling. </t>
  </si>
  <si>
    <t>Caustic Wit Invective</t>
  </si>
  <si>
    <t xml:space="preserve">The Dragon-Blood lets her scorn overflow into her words, her sarcasm and ridicule slowly wearing down even the strongest-rooted beliefs. She writes a mocking  message or satire that conveys an instill roll to erode a specific Principle or positive Tie. Her mockery inflicts momentary doubts on even the most dedicated readers, preventing them from drawing on the targeted Intimacy to bolster their Resolve. </t>
  </si>
  <si>
    <t>Flashing Saga Flourish</t>
  </si>
  <si>
    <t>Signature (Air), Written-only</t>
  </si>
  <si>
    <t xml:space="preserve">The Dragon-Blood’s brush strikes the page like a levinbolt, the only thing swift enough to keep pace with her inspiration. She doubles 7s on a written Linguistics roll, and dramatically reduces the time needed to complete the work — a long-form work like a book or collection of poetry requires only a day, and anything shorter is finished in seconds. This Charm can only be used once per story, unless reset by upholding a Defining Principle by authoring, distributing, or defending a written text. </t>
  </si>
  <si>
    <t>Unshattered Diamond Parables</t>
  </si>
  <si>
    <t xml:space="preserve">Every word the Dragon-Blood has ever written is engraved into her soul, giving her the strength to defy. In a Decision Point (Exalted, p. 221), she may call upon a novel, collection of poetry, or other long-form written work she’s completed over the course of the chronicle. Her player summarizes the work’s theme or moral in a short phrase, which she treats as a Major Intimacy in the Decision Point. The Dragon-Blood can’t invoke the same work twice — she must continue writing to maintain her resolve. Works that have already played a significant narrative part in the Dragon-Blood’s story carry a stronger weight, and count as Defining Intimacies. This includes any work whose completion fulfilled a major character or story goal (Exalted, p. 170) or legendary social goal (Exalted, p. 134), or any other work the Storyteller agrees is sufficiently meaningful. In Earth Aura, the Dragon-Blood may expend her Aura state in place of the Willpower cost to resist influence in a Decision point.  </t>
  </si>
  <si>
    <t>Wildfire Words Technique</t>
  </si>
  <si>
    <t>Signature (Fire), Written-only</t>
  </si>
  <si>
    <t xml:space="preserve">The Dragon-Blood’s words spread across Creation like swift-burning flame, a thousand tongues of fire repeating her message in every direction. She makes a written (Charisma + Linguistics) instill roll with (Essence) non-Charm dice to create or strengthen an Intimacy based on a strong passion — love, anger, valor, fear, lust, or the like. She rolls an additional non-Charm die for every 10 on the roll. On a success, the instilled Intimacy can’t be altered or removed for the next (6 - his Integrity) days, although it can be weakened. The next time the target engages in a conversation during this time, he’s overcome with a burning urge to spread that Intimacy, and must attempt his own instill roll against all listeners, adding (Exalt’s Essence) non-Charm dice. His words don’t convey this Charm’s effect, though he may direct listeners to the Dragon-Blood’s text. This Charm can only be used once per story, unless reset by upholding a Major or Defining Intimacy based on fiery passions with a Linguistics roll. </t>
  </si>
  <si>
    <t>Rewriting the Truth Technique</t>
  </si>
  <si>
    <t>Psyche, Signature (Water), Written-only</t>
  </si>
  <si>
    <t xml:space="preserve">The Dragon-Blood pens a seductive deception, her words seeping into the deep channels of the subconscious mind. She rolls (Manipulation + Linguistics) as a written instill action, rerolling 5s and 6s until they cease to appear and ignoring any penalties for making implausible claims (Exalted, p. 215). This influence must target a specific character. If her influence roll beats his Resolve, he forms a Major Principle of belief in the lie unless he pays three Willpower to resist. Attempting to voluntarily weaken the Principle instilled by this Charm costs one Willpower. This Charm can only be used once per story, unless reset by successfully leveraging a character’s Intimacy of belief in a falsehood to persuade him to undertake a serious or life-changing task (Exalted, p. 216) that directly advances the Dragon-Blood’s goals or those of her Hearth.  </t>
  </si>
  <si>
    <t>Enthralling Lotus Calligraphy</t>
  </si>
  <si>
    <t>Psyche, Signature (Wood), Written-only</t>
  </si>
  <si>
    <t>The Dragon-Blood fashions a trap from beautiful words, weaving a puissant compulsion into every sen- tence and simile. She makes a written influence roll to instill, persuade, or bargain with a specific character. The written message exerts an unnatural influence upon its intended recipient. Once he’s able to see the document, even if he cannot see the writing, he’s subtly compelled to begin reading it unless he spends (her Essence/2, rounded up) Willpower to break free. This impulse appears natural, and won’t force the victim to endanger himself or abandon pressing tasks. If the target doesn’t resist and begins reading, he must do so long enough to be subjected to whatever influence the document contains. A character who resisted this Charm’s influence with Willpower is immune to this Psyche effect, although he’s still subject to the written influence roll. Enthralling Lotus Calligraphy cannot be used against the same character more than once per story.</t>
  </si>
  <si>
    <t>Poisoned Tongue Technique</t>
  </si>
  <si>
    <t>The Dragon-Blood insinuates her influence into another’s conversation, subtly manipulating his voice’s tone and cadence by controlling the air he speaks through. When a character within short range makes a spoken influence roll, the Dragon-Blood may use this Charm to roll (Manipulation + Linguistics) against his Resolve. Each threshold success on her roll subtracts one die from his influence roll.In Air Aura, if the Dragon-Blood succeeds, (Essence) 1s on the penalized roll subtract successes from it. With War 3, the Dragon-Blood can use this Charm to penalize an enemy’s command action, disrupting the communication between a commander and his troops.</t>
  </si>
  <si>
    <t>Incendiary Argument Approach</t>
  </si>
  <si>
    <t>Linguistics 4, Essence 3</t>
  </si>
  <si>
    <t xml:space="preserve">The Dragon-Blood sparks outrage with her diatribe. She rolls (Charisma + Linguistics) as a written influence roll targeting a specific character. If she beats his Resolve, her words provoke him to react with hostility and argument regardless of what the message actually says — either by seeking the author out in person, or by sending a written response. This influence doesn’t compel the target to endanger himself or escalate to violence, although he may well do so of his own accord. Resisting requires entering a Decision Point and calling on a Major or Defining Intimacy. If the Dragon-Blood knows Signature-Stealing Calligraphy (p. 209), she may use it reflexively alongside this Charm to write a letter under another person’s identity, rolling with (Manipulation + Linguistics) instead. As long as the target is convinced by her forgery, he’ll pursue whoever the message is attributed to. If he sees through the forgery, the influence is overturned.  In Air Aura, if the Dragon-Blood succeeds, (Essence) 1s on the penalized roll subtract successes from it. With War 3, the Dragon-Blood can use this Charm to penalize an enemy’s command action, disrupting the communication between a commander and his troops. </t>
  </si>
  <si>
    <t>Reading the Unspoken Word</t>
  </si>
  <si>
    <t xml:space="preserve">The Dragon-Blood’s keen intuition can discern the words that someone expects to hear, uncovering the expectations or assumptions couched in that language. A servant awaiting a foreign prince expects to be greeted with haughty disdain; a disguised intruder fears his identity will be questioned; a guard at a secret meeting awaits a specific password. The Dragon-Blood makes a read intentions roll with ([Intelligence or Perception] + Linguistics). Success lets her discern exactly what that character expects to be told in his current circumstances. This may assist her in impersonation, or give her an opening to exploit. If she leverages this knowledge as part of an influence roll, she adds (Essence) non-Charm bonus dice. </t>
  </si>
  <si>
    <t>Dragon’s Voice Mastery</t>
  </si>
  <si>
    <t xml:space="preserve">When a dragon speaks, who dares dispute her? The DragonBlood adds (Essence/2, rounded up) non-Charm successes  on a spoken social influence roll made with any Ability that aligns with one of her Major or Defining Principles. The Willpower cost of resisting her influence increases by one. Dragon’s Voice Mastery can only be used once per day, unless reset by upholding a Major or Defining Intimacy. </t>
  </si>
  <si>
    <t>Tantalizing Dragon’s Tongue</t>
  </si>
  <si>
    <t>Fire/Wood, Written-only</t>
  </si>
  <si>
    <t xml:space="preserve">The Dragon-Blood courts her reader’s passion with provocative language and sensuous choices of words, infusing erotic undertones into whatever she writes. This Charm functions identically to Incendiary Argument Approach, except that instead of provoking the target to argue, the influence overwhelms him with passionate admiration and fascination for the author, bordering on lust. If he’s sexually attracted to the Dragon-Blood, he’ll attempt to seduce her, either by seeking her out in person or with a written declaration of lust. If he’s not sexually attracted (or his player invokes the Red Rule, Exalted, p. 222), he instead feels inspired to seek her out for friendly conversation. As with its prerequisite, Tantalizing Dragon’s Tongue can be used with Signature-Stealing Calligraphy to forge love letters. </t>
  </si>
  <si>
    <t>Intoxicating Lotus Manuscript</t>
  </si>
  <si>
    <t>Psyche, Wood, Written-only</t>
  </si>
  <si>
    <t>Enthralling Lotus Calligraphy,Tantalizing Dragon’s Tongue</t>
  </si>
  <si>
    <t>The Dragon-Blood creates an enthralling world of story and sensuality to snare a reader, leaving him desperate for another chance to escape into the bliss of her writing. This Charm is a special (Manipulation + Linguistics) roll with double 9s to compose a piece of poetry, fiction, or other creative narrative tailored to a specific character. If the Terrestrial’s influence roll beats the target’s Resolve, he develops an obsession with her writing as a Minor Derangement (Exalted, p. 167). If he goes more than (6 - Integrity) weeks without reading a new work, he suffers withdrawal symptoms in the form of a -1 penalty on social and mental rolls. When the target spends Willpower to resist this Derangement, he may also ignore his withdrawal symptom penalty for the same duration. Once he’s spent three Willpower, the influence is broken, and the Derangement and withdrawal penalty subside. In addition, if the Dragon-Blood goes a full story without writing and releasing a new work that could fulfill the victim’s addiction, it likewise ends. She may make her works difficult or expensive to acquire, but making it impossible for the victim to obtain them negates this Charm. An Essence 5+ repurchase allows the Dragon-Blood to strengthen the Derangement with repeated uses of this Charm targeting the same character. Once she uses it against him, she must wait until the next story before she can do so again, raising the intensity of the Derangement by one step if she succeeds. Each level of intensity above Minor adds +1 to the total Willpower the victim must spend to break free of this Charm’s influence.</t>
  </si>
  <si>
    <t>With One Mind</t>
  </si>
  <si>
    <t>Linguistics 5, Essence 5</t>
  </si>
  <si>
    <t>Air, Perilous</t>
  </si>
  <si>
    <t>Dragon’s Voice Mastery, Speech</t>
  </si>
  <si>
    <t>The Dragon-Blood weaves her mind together with that of her allies, creating a shared battle-consciousness that transcends language’s limitations. She forms a mental bond with either a single character she can see, or all of her Sworn Kin she can see. Participants in the bond gain the following benefits: • They can communicate telepathically with each other. This isn’t limited by range or line of sight, but they must share a common language. • As long as one of them is aware of a hidden threat or concealed character, all of them are. This may render them immune to unexpected attacks (Exalted, p. 203) or allow them to attack a concealed enemy. • Whenever one of them is attacked, another bonded character within close range may reflex- ively interpose his Parry, as though with a defend other action. Only one character may make this reflexive defense against a single attack, even if several are in range.• If a participant attempts a distract gambit (Exalted, p. 200) against an enemy to benefit an- other bonded character, the beneficiary doubles 7s on the attack roll. A successful gambit grants the beneficiary one point of Initiative in addition to those spent by the attacker.</t>
  </si>
  <si>
    <t>Careful Insight-Gathering Study</t>
  </si>
  <si>
    <t xml:space="preserve">Breathing deep of the world’s Essence, the DragonBlood pronounces her wisdom with impeccable clarity. She may add automatic successes to a Lore roll for two motes each. In addition, if she adds 2+ successes on a roll to introduce or challenge a fact (Exalted, pp. 237-238), she doubles 9s on the roll. </t>
  </si>
  <si>
    <t>Opening the Mind’s Gates</t>
  </si>
  <si>
    <t xml:space="preserve">Speaking a sagely aphorism, the Dragon-Blooded calls up the winds of knowledge to disperse whatever miasma closes a student’s mind to learning. She makes a special instill roll with ([Charisma or Intelligence] + Lore) to induce a state of supernatural receptivity in a single character, treating him as though he had a Major Principle of “I must seek out education” for one scene. If the Dragon-Blood exploits this Intimacy with a persuade or bargain roll to convince the target to study with her, the cost of resisting increases by one Willpower. </t>
  </si>
  <si>
    <t>Flawless Study Focus</t>
  </si>
  <si>
    <t xml:space="preserve">The Dragon-Blood clears her mind, drawing upon the clarity of the upper air to enter a receptive trance. To use this Charm, she must spend at least (10 - Intelligence)  hours studying under a teacher or consulting a library, archive, or similar repository of information. She gains a temporary Lore specialty in a single topic possessed by her mentor or covered by the materials she had access to. She retains the specialty indefinitely, but may only have one specialty granted by this Charm at a time. </t>
  </si>
  <si>
    <t>Elemental Concentration Trance</t>
  </si>
  <si>
    <t>Balanced</t>
  </si>
  <si>
    <t xml:space="preserve">To use this Charm, the Dragon-Blood must spend a few minutes contemplating an expression of an elements: observing the movement of clouds, meditating beneath a waterfall, staring unblinking into a flame, or so on; this determines the Charm’s elemental aspect. At the end, she makes a ([Mental Attribute] + [Bureaucracy, Investigation, Lore, Medicine, Survival, or War]) roll with a single bonus success. She may roll to introduce a fact as though she has a Lore background in facts that relate to the Charm’s elemental aspect. An Airaspected use could introduce facts about weather or music theory; an Earth-aspected use could relate to geology, masonry, or architecture; and so on. If the Dragon-Blood knows Dragon-Kin Empowerment, she may provide the benefits of this Charm to one of her Sworn Kin, guiding him through meditation. </t>
  </si>
  <si>
    <t>Dragon-Kin Empowerment</t>
  </si>
  <si>
    <t>Elemental Concentration</t>
  </si>
  <si>
    <t xml:space="preserve">Trance The Dragon-Blood’s understanding of the cycle of elements and the flow of Essence allows her to empower her fellow Terrestrial Exalted. She transfers her Elemental Aura to a touched Dragon-Blood who isn’t in Aura state, and up to (Essence x3) of her own motes to her choice of his personal or peripheral pool. This Charm has the same aspect as the transferred Aura, and granted motes can only be spent on Charms of that element, Balanced Charms, or magic without an elemental aspect. If the target’s mote pool can’t accept all the motes transferred, he has until his next action to spend them before they dissipate.  A Lore 5, Essence 2 repurchase of this Charm allows the Dragon-Blood to also transfer a single level of anima when she uses this Charm. </t>
  </si>
  <si>
    <t>Elemental Bolt Attack</t>
  </si>
  <si>
    <t xml:space="preserve">The Dragon-Blood channels elemental Essence into a deadly blast. Air manifests as crackling lightning; Earth as flying stones; Wood as poisoned thorns; and so on. This is a withering or decisive attack with (Dexterity + [Archery or Thrown]) against an enemy within short range, which can be enhanced with Charms of the appropriate combat Ability. The Exalt may spend a level of anima to extend this to medium range. This Charm’s elemental aspect is the same as the Exalt’s, and it gains additional benefits based on its element. Air: The elemental bolt deals lethal damage and ignores (higher of Essence or 3) soak or (Essence) hardness from metal armor, including the five magical materials. Earth: The elemental bolt deals bashing damage and has the Smashing tag (Exalted, p. 586). Fire: The elemental bolt deals lethal damage. Decisive attacks double 10s on damage. Water: The elemental bolt deals bashing damage and has the Flexible and Disarming tags (Exalted, p. 586). Wood: The elemental bolt deals lethal damage. Decisive attacks carry a poison with Damage 1i/round (B in Crash), Duration (Essence + 5), and penalty -1. The Dragon-Blood may purchase additional elemental variants of this Charm for three experience points each.  </t>
  </si>
  <si>
    <t>Elemental Empowerment Meditation</t>
  </si>
  <si>
    <t>—(+1lhl or 1wp)</t>
  </si>
  <si>
    <t>Lore 3, Essence 2</t>
  </si>
  <si>
    <t xml:space="preserve">Trance The Dragon-Blood replenishes her spirit with elemental power drawn from her understanding of Creation. Once per day, when she uses Elemental Concentration Trance to roll (Intelligence + Lore) at difficulty 3+, she may pay one Willpower or one lethal health level before rolling to gain motes equal to twice her threshold successes on the roll. These motes can only be spent on Charms of the same element as the one she meditated on, and last one day. If the Exalt knows Dragon-Kin Empowerment, she may pay this Charm’s cost to provide its benefits to a Hearthmate when she leads him through meditation. A character — either the Dragon-Blood or a Hearthmate — may only receive this benefit once per day. </t>
  </si>
  <si>
    <t>Sagacious Elder’s Instruction</t>
  </si>
  <si>
    <t>(Intelligence) days</t>
  </si>
  <si>
    <t xml:space="preserve">The Dragon-Blooded savant’s wise words part the fog of mystery and confusion. When the Dragon-Blood gives advice to another character and successfully rolls to introduce a fact that supports it, that character gains a temporary specialty based on that advice that can apply to rolls with any Ability for the duration of this Charm, as long as he follows her guidance. </t>
  </si>
  <si>
    <t>Stern Tutor Discipline</t>
  </si>
  <si>
    <t>The Dragon-Blood’s tutelage pushes her students to test their boundaries, allowing a single player character studying under her to go into “experience debt” to purchase a single dot in an Attribute, Ability, or specialty, without having to spend the normal experience cost. Instead, any experience points that player gains go towards paying off the experience debt until it has been fully repaid. A character cannot benefit from this Charm while he’s still in experience debt due to any effect. The training time is divided by (higher of the Dragon-Blood’s Essence or Intelligence) Alternatively, the Dragon-Blood may confer a specialty to a single Storyteller character after a week of training time, or a dot in an Ability or Attribute after a month. A Storyteller character can only receive one specialty and one Attribute or Ability dot per story. A Lore 5, Essence 4 repurchase of this Charm allows the Exalt to instead teach any Charm, spell, or thaumaturgical ritual she knows, letting her student go into experience debt to learn it as long as he’s normally capable of learning that type of power and meets all necessary prerequisites. Storyteller characters can be trained in a Charm, spell, or ritual over the course of a month. A Storyteller character can only receive this benefit once per story.</t>
  </si>
  <si>
    <t>Lightning Flash Inspiration</t>
  </si>
  <si>
    <t xml:space="preserve">The Exalt’s mind races with lightning speed, revealing to her any errors in her logic while she’s on the cusp of completing her thought. After a Lore roll, she may reroll (Essence) non-1 failures. </t>
  </si>
  <si>
    <t>Fulminating Thunderhead Brilliance</t>
  </si>
  <si>
    <t>Aura, Signature (Air)</t>
  </si>
  <si>
    <t xml:space="preserve">The Dragon-Blood’s mind traces countless branching paths of thought, her eyes crackling with brilliant light. This is a special roll to introduce a fact (Exalted, p. 237). Instead of proposing a fact she wishes to introduce, the player names a goal, such as defeating a rival Dynast or investigating corruption within a bureaucracy, and asks the Storyteller to produce the insight she needs with an (Intelligence + Lore) roll at difficulty 3. If other characters are concealing or suppressing relevant information, the highest Guile among them is added to her roll’s difficulty. On a success, the Storyteller introduces a relevant fact that will assist her in achieving her goal, which she experiences as a flash of sudden insight. Threshold successes improve the relevance and specificity of her revelation at the Storyteller’s discretion.  This Charm can only be used once per story, unless reset by achieving a major character or story goal (Exalted, p. 170) through the use of a relevant fact that the Dragon-Blood has introduced, either with this Charm or otherwise. </t>
  </si>
  <si>
    <t>Truth-In-Stone Binding</t>
  </si>
  <si>
    <t>10m, 1wp, expend Earth Aura</t>
  </si>
  <si>
    <t>Lore 5,Essence 3</t>
  </si>
  <si>
    <t xml:space="preserve">Drawing on her knowledge of the world and understanding of its Essence, the Dragon-Blooded may speak truths antithetical to the chaos of the Wyld, sealing away those horrors that have no place in Creation. She rolls a special gambit with (Intelligence + Lore) against the Resolve of a raksha or other native of the Wyld within short range. The gambit’s difficulty is (higher of target’s Essence or Willpower); battle groups add (Size) to the difficulty. Success incapacitates the enemy, petrifying its Essence into an inanimate form engraved with words of binding that describe the horror trapped within. A raksha might be imprisoned within an egg of jade, while a swarm of hobgoblins might be transformed into stone gargoyles. The bound creatures aren’t truly slain, and are restored if the binding words are scratched out or destroyed. The specifics of how this is achieved are left to the Storyteller, but the difficulty should be commensurate with the power of the sealed character, possibly requiring high-level feats of strength, specially crafted artifacts, or sorcery to accomplish. This Charm can also be used on environmental features of the Wyld, such as a river of flames that lures in travelers with whispers, or a memory-eating mist. She rolls (Intelligence + Lore) against a difficulty equal to the base difficulty of the hazard or whatever roll is used to resist it, plus a modifier based on the intensity of the surrounding Wyld: +2 in the bordermarches that lap up against Creation, +4 in the middlemarches that lie beyond, and +6 in the deep Wyld, the heart of chaos. Success seals away the hazard, rendering it inert and harmless: The lake of fire cools into a glassy patch of obsidian; the mist condenses into crystalline droplets. At the Storyteller’s discretion, overwhelmingly powerful targets — such as uniquely powerful raksha or Wyld behemoths, or equally potent environmental manifestations of the Wyld — can only be sealed away temporarily. Such bindings last a scene at Essence 3, a day at Essence 4, and a year and a day at Essence 5.  </t>
  </si>
  <si>
    <t>Ten Thousand Minds Ablaze</t>
  </si>
  <si>
    <t xml:space="preserve">Knowledge is the spark that lights the tinder of curiosity, crackling like flame from the Dragon-Blood’s lips as she expounds her teachings. She rolls ([Charisma or Intelligence] + Lore), which is treated both as a roll to introduce a fact and as an influence roll to instill all characters who hear her with an Intimacy of interest or fascination towards the proposed fact or a broader field it relates to. She ignores the penalty for targeting multiple characters with the influence roll. To resist, a character must spend Willpower equal to (his Intelligence/2, rounded up). Likewise, the instilled Intimacy cannot be voluntarily lowered until the target spends (his Intelligence/2, rounded up) Willpower, while attempts to erode it with instill actions follow the rules for overturning social influence (Exalted, p. 221). </t>
  </si>
  <si>
    <t>Ink-Black Ocean Depths</t>
  </si>
  <si>
    <t>Until completed</t>
  </si>
  <si>
    <t xml:space="preserve">The Dragon-Blood reaches into the pages of a manuscript as though they were flowing water, plumbing its depths to commune directly with the wisdom it contains. She can absorb and comprehend the contents of a book or other record of information, such as a mural or coded tattoo, in only a handful of minutes as though she’d read it completely. This doesn’t allow her to understand information in a language she cannot read. If she uses this Charm on an exotic repository of wisdom, such as a gemstone enchanted with a sorcerer’s memories, the Storyteller may require a (Perception + Lore) roll to comprehend its contents. This Charm can be used in conjunction with Flawless Study Focus to waive the normal time requirement for using it. Once the Dragon-Blood finishes reading a text or similar document, she may roll (Manipulation + Lore) to siphon away its wisdom, removing crucial facts and key details to prevent subsequent readers from discovering useful information by reading it. The target and intention of written social influence cannot be altered. A reader may recognize that the text has been altered with a (Perception + [Linguistics or Lore]) roll opposing the Dragon-Blood’s result, but this doesn’t reveal  what was erased. This alteration can be undone by another character with a use of this Charm or similar magic, such as Flashing Quill Atemi (Exalted, p. 326), requiring an opposed (Intelligence + Lore) roll. </t>
  </si>
  <si>
    <t>Root-and-Branch Wisdom</t>
  </si>
  <si>
    <t xml:space="preserve">The Dragon-Blood learns best by teaching, cultivating the garden of her own mind as she sows the seeds of wisdom among her students. Once per story, when she acts as a mentor or trainer to another character (Exalted, p. 178), she may impart her student with a Major Tie towards herself while accepting a Minor Tie towards him. Each Tie has a positive emotional context that is defined by the player of the character that gains it. If the Dragon-Blooded maintains her Tie towards a student until the end of the story, she permanently gains a free Lore specialty that relates to what she taught her student and what she learned from him. Providing riding lessons to a Hearthmate might grant a Lore specialty in equestrianism, while instructing a young scion of a Great House in academic topics might grant a specialty in the affairs of that house. </t>
  </si>
  <si>
    <t>Elemental Succor Method</t>
  </si>
  <si>
    <t>Lore 4, Essence 3</t>
  </si>
  <si>
    <t xml:space="preserve">Understanding the harmonious flow of elemental Essence through the human body, the Dragon-Blood may direct it to heal her wounds. This Charm upgrades Elemental Empowerment Meditation. The Exalt may exchange five motes granted by it to heal a single level of non-aggravated damage. If she knows Dragon-Kin Empowerment and guides another Dragon-Blood through the meditation, he may likewise heal this way. </t>
  </si>
  <si>
    <t>Thunderstruck Charlatan Imprecation</t>
  </si>
  <si>
    <t xml:space="preserve">The ferocity of the Dragon-Blood’s rebuke overcomes those she bests with her mind, leaving them as speechless as if struck by lightning. This Charm supplements a roll to challenge a fact (Exalted, p. 238) with a spoken rebuke. If the Dragon-Blood’s successes exceed the deceiving character’s Resolve, then he’s left humbled before her mastery, instantly forming a Minor Tie to her of respect, fear, or a similar emotion, or strengthening such an existing Tie by one step. He cannot speak or otherwise communicate for the rest of the scene unless he resists by entering a Decision Point, calling on an Intimacy that exceeds his Tie towards the Dragon-Blood. </t>
  </si>
  <si>
    <t>Elemental Burst Technique</t>
  </si>
  <si>
    <t xml:space="preserve">When the Dragon-Blood uses Elemental Bolt Attack to make a decisive attack with the same aspect as her current Aura state, she may apply the attack against all characters, friend or foe, within close range of her initial target. She divides her Initiative evenly among all hit characters, rounding down, to determine the damage rolled against them, ignoring Hardness. Additionally, the attack gains a benefit based on its aspect. Air: Lightning arcs from foe to foe. Metal weapons, including those made of the five magical materials, can’t be used to parry the attack. For each enemy hit by the attack, the Dragon-Blood adds one bonus die to the base damage rolled against each of them, maximum +(Essence). Earth: The Dragon-Blood adds (Strength/2, rounded up) to the base damage rolled against each hit character, and waives the Initiative cost and Defense penalty for making a smash attack. Fire: As long as the elemental blast deals 3+ total levels of damage, the targeted area catches fire as long as it contains flammable materials, becoming an environmental hazard with difficulty 4, Damage (Essence - 1)L/round. The hazard burns for at least (Essence) rounds unless extinguished. Water: Enemies with an Initiative lower than the Dragon-Blood’s when she makes the attack are disarmed (Exalted, p. 200) if they take any damage. Wood: The elemental bolt’s poison is upgraded to Damage 1L, Duration (Essence + 5), penalty -3.  Elemental Burst Technique can only be used once per scene, unless reset by dealing enough withering damage to a nontrivial opponent with Elemental Bolt Attack to reduce his Initiative from a rating higher than the Dragon-Blood’s to a lower rating.  upgrades Elemental Empowerment Meditation. When she or a character she’s guiding through the meditation rolls 5+ threshold successes, that character gains a point of Willpower in addition to the usual rewards of the Charm, up to his maximum Willpower.  </t>
  </si>
  <si>
    <t>Eternal Mind Meditation</t>
  </si>
  <si>
    <t>The Dragon-Blood empties her mind of all distraction, dispersing the dark clouds of forgetfulness and  ignorance so that she might answer a conundrum with the totality of her knowledge. After a scene spent in contemplation, she makes a roll to introduce a fact that doesn’t need to be based on any of her Lore backgrounds. Instead, she draws this knowledge forth by collating an entire lifetime of memories, piecing together fragments of information and intuitions to reveal a greater whole. The Storyteller may still veto the introduction of a fact (Exalted, pp. 237-238), refunding this Charm’s cost, if it would compromise the narrative of the game, or if a player proposes a fact that not even this Dragon-Blood’s entire lifetime of memories could reveal. Alternatively, the Dragon-Blood may use this Charm to free herself from a Psyche effect that alters her mem- ories, such as the Solar Charm Memory-Reweaving Discipline. She rolls as though introducing a fact with this Charm against a difficulty of (the Essence + Manipulation of the character that used the effect). On a success, she gradually begins recovering her true, unaltered memories; for each day that passes, a single month’s worth of memories are restored. Multiply this rate by (her threshold successes + 1). This Charm can only be used once per story, unless reset by discovering an important secret or piece of information in a way that either upholds one of the Dragon-Blood’s Defining Principles or achieves a ma- jor character or story goal (Exalted, p. 170). No reset is needed if the Storyteller vetoes a proposed fact.</t>
  </si>
  <si>
    <t>Endless Coils Enlightenment</t>
  </si>
  <si>
    <t>—(+1wp)</t>
  </si>
  <si>
    <t>The thunderstorm is born from many clouds, each one casting its lightning from horizon to horizon. When the Exalt uses Eternal Mind Meditation to introduce a fact, she may pay one additional Willpower to draw from the wisdom of up to (Intelligence - 1, minimum one) willing Dragon-Blooded within medium range of her. Each Dragon-Blood that contributes his wisdom adds a single non-Charm die on her roll, as well as contributing the whole of his memories and any Lore backgrounds he possesses to the body of information on which the introduced fact is based. On a successful Lore roll, all participating Dragon-Blooded form a Major Tie of loyalty to the Dragon-Blooded as a whole.</t>
  </si>
  <si>
    <t>Glorious Birthright Font</t>
  </si>
  <si>
    <t>One with five elements, the Dragon-Blood discovers her true self reflected in the Essence of Creation. This Charm  upgrades Elemental Empowerment Meditation. When she or a character she’s guiding through the meditation rolls 5+ threshold successes, that character gains a point of Willpower in addition to the usual rewards of the Charm, up to his maximum Willpower.</t>
  </si>
  <si>
    <t>The Wind Turns</t>
  </si>
  <si>
    <t>2wp, expend Air Aura</t>
  </si>
  <si>
    <t>Air, Aura</t>
  </si>
  <si>
    <t xml:space="preserve">A breath sent out into the world may return as a hurricane, and Essence is the breath of the world. The Dragon-Blood rolls (Willpower + Initiative). She and any of her Hearthmates within short range gain one mote for every two successes. Using this Charm resets her to base Initiative. This Charm can only be used once per story, unless reset by upholding a Major or Defining Tie towards another Dragon-Blood, or to the Dragon-Blooded host as a whole. </t>
  </si>
  <si>
    <t>Dragon Vortex Attack</t>
  </si>
  <si>
    <t>20m, 2wp, expend Aura</t>
  </si>
  <si>
    <t>Aura, Perilous</t>
  </si>
  <si>
    <t>Elemental Burst Technique, The</t>
  </si>
  <si>
    <t xml:space="preserve">Wind Turns  At the apex of the Dragon-Blood’s understanding, she draws forth the power of her draconic ancestors, shaking Creation to its foundations as she unleashes the primal wrath of the elements. To use this Charm, she must have Initiative 15+. A tremendous burst of elemental Essence radiates outward from her, a onetime environmental hazard that extends to close range, plus an additional range band for every ten Initiative she has. The aspect of this Charm and the hazard’s nature depend on which Elemental Aura she expends. Allies and enemies alike are caught in the hazard, but it won’t harm the Dragon-Blood’s Sworn Kin. If she knows Enfolded in the Dragon’s Wings (p. 282), she may likewise spare allied characters. The hazard has difficulty (the Dragon-Blood’s Intelligence), but doesn’t have a standard damage. Instead, the Dragon-Blood divides her Initiative evenly, rounding up, among all characters who failed their rolls to determine how much lethal damage is rolled against each. Battle groups and trivial opponents instead suffer (her full Initiative) damage, without counting against the total she divides. As long as at least one enemy fails his roll, this resets the DragonBlood to base Initiative. The hazard carries additional effects based on its aspect: Air: Roiling storm clouds darken the sky, unleashing countless bolts of lightning and raining down hail. Any character wearing metal armor, including armor made from the magical materials, applies its mobility penalty on his roll to resist the hazard. The damage roll benefits from double 9s. Earth: The earth rumbles in a mighty earthquake, scattering stone debris skyward to strike flying foes. A character that takes 3+ levels of damage falls into a chasm and lands prone, suffering damage as per a short-range fall (Exalted, p. 232). Climbing out of the chasm counts as moving through difficult terrain (Exalted, p. 199). Fire: A pyroclasm sweeps across the battlefield, igniting anything flammable. As long as there’s fuel, even after the vortex fades, it leaves behind a hazard with difficulty 5, Damage 4L/round within its range, which burns for at least (Intelligence) hours. These flames won’t burn the Dragon-Blood or any allies spared from the vortex. Water: A standing wave towers above the DragonBlood before collapsing outward in all directions with tsunami force. For every three levels of damage  a character suffers from the hazard, rounded up, he’s knocked back one range band from the Dragon-Blood to fall prone, and suffers an additional three dice of bashing damage, ignoring Hardness. Wood: Fast-growing briar patches and massive thorny vines spread rapidly across the battlefield, while bright-colored flowers bloom with poisonous pollen. Characters who fail their roll must roll (Stamina + Resistance) against a poison with Damage 3i/round, Duration (Essence + Intelligence) rounds, and a -3 penalty. Additionally, the area of the hazard becomes difficult terrain until the plant growth has been cleared entirely. The Dragon-Blood and any allies spared from the vortex are unimpeded by this terrain, the plants parting to clear their path. If any of the Dragon-Blood’s Sworn Kin are within the vortex’s initial range and in Elemental Aura, they may expend it to add that element’s effect to the hazard. The expended Aura must be of an element that hasn’t already been expended; each participating DragonBlood must contribute a unique element to the vortex. Crashed Hearthmates can’t contribute their Aura. Each Hearthmate who expends his Aura adds +1 to the hazard’s Difficulty and adds his Initiative to the primary DragonBlood’s total to determine both the range and damage of the hazard, resetting him to base Initiative. This Charm can only be used once per story, unless reset by accomplishing a legendary social goal (Exalted, p. 134).   </t>
  </si>
  <si>
    <t>Master Healer Meditation</t>
  </si>
  <si>
    <t>Balanced, Excellency, Wood</t>
  </si>
  <si>
    <t xml:space="preserve">Blessed with understanding of the flow of living Essence through the body, the Dragon-Blooded physician refines her skill to perfection. She may add bonus dice to a Medicine roll for one mote each. If she adds enough to reach her dice limit (p. 162), she also adds a non-Charm success on the roll. </t>
  </si>
  <si>
    <t>Disease-Banishing Technique</t>
  </si>
  <si>
    <t>Medicine 2, Essence 1</t>
  </si>
  <si>
    <t>Balanced, Wood</t>
  </si>
  <si>
    <t xml:space="preserve">The Dragon-Blood strengthens her patient’s body against the malaise that ravages it. She doubles 9s on a roll to treat a disease. If her threshold successes exceed (higher of the disease’s virulence or morbidity), then her ministrations grant her patient a temporary Resistance specialty in that disease until it has run its course. A character can only benefit from one such specialty at a time. </t>
  </si>
  <si>
    <t>Venom Expulsion Method</t>
  </si>
  <si>
    <t>Tapping her patient’s pressure points with swift, precise strikes, the Dragon-Blood halts the flow of poison through his body. She may roll to cure poison as a miscellaneous action without facing increased difficulty for rushing treatment. If she takes a full hour to administer aid, she instead doubles 9s.</t>
  </si>
  <si>
    <t>Nature’s Healing Bounty</t>
  </si>
  <si>
    <t>Medicine 3, Survival 3, Essence 1</t>
  </si>
  <si>
    <t>A master of herbalism and nature lore, the Dragon-Blood finds all she needs to heal her patients in gar- dens or the wilderness. As long as she has access to medicinal herbs or similar flora, she may roll Medicine to treat injury, disease, poison, or other afflictions without any increased difficulty for lacking equipment or medication. If she uses medicinal herbs in addition to tools, she treats them as exceptional equipment (Exalted, p. 580), or converts the bonus die from already-exceptional equipment to a non-Charm success.</t>
  </si>
  <si>
    <t>Wound-Closing Technique</t>
  </si>
  <si>
    <t>The Dragon-Blood spends fifteen minutes tending to a patient’s wounds, at the end of which she rolls (Intelligence + Medicine). Each success converts a single level of lethal damage to bashing, speeding the rate at which it heals (Exalted, p. 173). Alternatively, if she rolls successes equal to (her patient’s wound penalty + 1), she may heal a single level of bashing damage. Once a character has been treated with Wound-Closing Technique, he must receive at least a day of bedrest or fully heal all damage before he can benefit from it again.</t>
  </si>
  <si>
    <t>Indomitable Vitality Discipline</t>
  </si>
  <si>
    <t>Drawing strength from the Dragon-Blood’s ministrations, her patient can fight through the worst of his illness. When the Terrestrial successfully grants her patient a specialty with Disease-Banishing Technique, she may commit that Charm’s mote cost. When that disease would inflict an automatic botch on one of his rolls (Exalted, p. 234), it instead only inflicts a penalty equal to (6 - [higher of her patient’s Stamina or Resistance]). The Exalt may mitigate up to (Essence) botches this way.</t>
  </si>
  <si>
    <t>Ailment-Sensing Meditation</t>
  </si>
  <si>
    <t>The Dragon-Blood observes the natural rhythms of her patient’s body, intuiting any ailments that afflict him. She may complete a roll to diagnose a patient (Exalted, p. 237) in a handful of seconds. Successfully diagnosing a disease, poison, or similar ailment grants her a temporary Medicine specialty in it. She retains the specialty indefinitely, but may only have one specialty granted by this Charm at a time.</t>
  </si>
  <si>
    <t>Poisoner’s Deft Hand</t>
  </si>
  <si>
    <t xml:space="preserve">The Dragon-Blood’s understanding of toxins and venoms can harm as well as heal. When she poisons another character — with a decisive attack, poisoning his food or drink, using magic, etc. — she adds (Essence/2, rounded up) to the poison’s duration. Each use of this Charm only applies to a single dose of poison. If the Dragon-Blood wishes to serve a poisoned feast to her  enemies, she must use it separately for each of her victims. </t>
  </si>
  <si>
    <t>Death-Defying Endeavor</t>
  </si>
  <si>
    <t xml:space="preserve">Drawing from her patient’s own fierce will to survive, the Dragon-Blood refuses to fail. After a Medicine roll, she may reroll (Essence) non-1 failed dice. </t>
  </si>
  <si>
    <t>Grievous Wound Alteration Energy</t>
  </si>
  <si>
    <t xml:space="preserve">Even the most horrific injuries inflicted by the Anathema yield to the Dragon-Blooded physician’s life-saving prowess. This Charm upgrades WoundClosing Technique, allowing the Dragon-Blood to pay a one-Willpower surcharge to treat aggravated damage with it. She rolls (Intelligence + Medicine), each success converting a level of aggravated damage to lethal. Any successes above her patient’s total aggravated damage convert levels of lethal damage to bashing. </t>
  </si>
  <si>
    <t>Purity-of-Mind Method</t>
  </si>
  <si>
    <t>10m (+1wp per interval)</t>
  </si>
  <si>
    <t>Medicine 5,Essence 3</t>
  </si>
  <si>
    <t>Extended action</t>
  </si>
  <si>
    <t xml:space="preserve">The Dragon-Blood may treat afflictions of the mind with insightful counseling, guided meditation, soothing hypnosis, or other beneficial methodologies, granting her patient the serenity of still air and the crystalline clarity of ice. Once she’s diagnosed a Derangement, she may treat it with an extended ([Charisma or Intelligence] + Medicine) roll with difficulty 5, goal number (5 + [intensity x5]), terminus (10 - intensity), and an interval of one month (Exalted, p. 189). She must pay one Willpower at each interval before rolling. Successfully completing the extended action reduces the Derangement’s intensity by one step, to a minimum of Minor, and grants one Willpower to both the Dragon-Blood and her patient.  While under the effects of this Charm, the patient adds (the Dragon-Blood’s Essence) bonus dice on Willpower rolls to resist the treated Derangement, and reduces any Resolve penalties it imposes by one. Although this Charm can’t reduce Derangements below Minor intensity, the DragonBlood may use it to treat a patient’s Minor Derangement, rolling ([Charisma or Intelligence] + Medicine) roll at difficulty 5 to grant her patient these benefits for one month. She doesn’t need to spend Willpower or commit this Charm’s mote cost when using it in this fashion. </t>
  </si>
  <si>
    <t>Marmoreal Body Fortification</t>
  </si>
  <si>
    <t xml:space="preserve">Alabaster anima limns the Dragon-Blood’s hands as she massages her patient’s pressure points and meridians, causing his flesh to take on a pale, marble-like hue as the strength of stone suffuses it. She rolls (Essence) dice, granting her patient a single temporary -0 health level for each success. Damage is applied to these temporary levels before the patient’s own health levels, and any damage filling them is removed along with them when this Charm ends. In addition, if the patient is unarmored, his stony skin adds (the Dragon-Blood’s Essence) to his natural soak and grants 2 Hardness. Normally, only one character may benefit from this Charm at a time. However, the Dragon-Blood may sustain multiple uses to empower herself and her Sworn Kin with it. </t>
  </si>
  <si>
    <t>Unbinding the Inner Flame</t>
  </si>
  <si>
    <t xml:space="preserve">The Dragon-Blood stokes the flames of vitality with a precisely-measured strike to the heart chakra, inflaming the Essence of herself or an ally until blood boils and thews surge with unrestrained might. She grants a touched character a bonus dot of Strength and doubles 10s on his decisive damage rolls. On each of his turns, he gains one mote and — if he’s not crashed — one Initiative. The power unleashed by this Charm is greater than the body can endure unharmed. Once it ends, the target suffers a level of aggravated damage, which cannot be prevented.  </t>
  </si>
  <si>
    <t>Body-Cleansing Ablution</t>
  </si>
  <si>
    <t xml:space="preserve">The Dragon-Blood calls upon water as a healing tool, washing away pain and purifying the body. She must spend at least an hour overseeing her patient as he bathes or washing his wounds with pure water. This treatment alleviates pain, allowing her patient to ignore (his Stamina - 1) points of wound penalties for one day. In addition, if the Dragon-Blood has diagnosed any diseases or poisons he suffers from, he makes a single (Stamina + Resistance) roll. This is treated as a roll against the morbidity of each diagnosed disease, except that failure doesn’t intensify his symptoms. In addition, each success reduces the duration of any diagnosed poisons in by one interval. A character can only benefit from this Charm once per story. </t>
  </si>
  <si>
    <t>Rebirth of Flesh and Ivy</t>
  </si>
  <si>
    <t>10m, 5i, 1wp</t>
  </si>
  <si>
    <t>Perilous, Signature (Wood)</t>
  </si>
  <si>
    <t xml:space="preserve">Vines and ligneous tendrils spring from the DragonBlood’s anima as she lays hands upon a wounded ally. Ivy stitches shut bleeding wounds; lianas twist to set broken bones; bark grows over damaged limbs to reinforce their strength. The Dragon-Blood rolls (Intelligence + Medicine), instantly healing levels of non-aggravated damage equal to her successes as plants replace damaged tissue. If the target suffers from any crippling injuries or effects that he could eventually heal or recover from naturally (including magically inflicted effects such as Joint-Wounding Attack or Crippling Pressure-Point Strike), the Dragon-Blood may split her successes between healing damage and alleviating these wounds, spending two successes for each point of crippling penalty she wishes to cancel. The player of the healed character may choose to be marked by this healing, accepting a scar that resembles wood more closely than flesh or strands of green interwoven with restored tissues.  This Charm can only be used once per story, unless reset by saving a dying character (one whose Incapacitated health level is damaged) through medical care. </t>
  </si>
  <si>
    <t>Dread Infection Strike</t>
  </si>
  <si>
    <t>Medicine 4, Essence 3</t>
  </si>
  <si>
    <t xml:space="preserve">Drawing on her abundant medical expertise, the Dragon-Blood turns disease into another weapon in her arsenal. She strikes at a foe with malaise-bearing Essence, afflicting him with any mundane disease that she’s successfully made a Medicine roll to treat during the chronicle. This is a difficulty 3 gambit using any combat Ability. Success exposes that enemy to the disease, with every two threshold successes on the Dragon-Blood’s Initiative roll imposing a -1 penalty on his (Stamina + Resistance) roll against its virulence. Trivial foes and crashed enemies acquire the disease at Major intensity on a failed roll. With Medicine 5, Essence 5, the Dragon-Blood may add supernatural diseases that she’s treated with a successful Medicine roll to the repertoire of ailments she can inflict by repurchasing this Charm for each disease. She must pay a one-Willpower surcharge to do so, and the difficulty of the gambit rises to 5. Incurable or irresistible diseases such as the Great Contagion cannot be transmitted through this Charm. </t>
  </si>
  <si>
    <t>Flesh-as-Stone Inurement</t>
  </si>
  <si>
    <t xml:space="preserve">The Dragon-Blood brushes her fingers across pressure points to numb her patient to pain. She rolls (Wits + Medicine) against a difficulty of (an ally’s wound penalty + 1). Success lets that character ignore (the Dragon-Blood’s Essence/2, rounded up) points of wound penalties for the scene. Alternatively, this Charm can be used to numb an enemy’s limb, a gambit rolled against an enemy at close range with (Dexterity + [Brawl, Martial Arts, or Medicine]). Its difficulty equals (higher of the target’s  Stamina or Resistance). Success imposes a -3 penalty on all actions taken with the struck appendage until the victim receives a day’s bed rest. This can be healed with magic such as Wound-Banishing Strike (Exalted, p. 343). </t>
  </si>
  <si>
    <t>Jade Crucible Method</t>
  </si>
  <si>
    <t>1ahl</t>
  </si>
  <si>
    <t>Grievous Wound Alteration</t>
  </si>
  <si>
    <t xml:space="preserve">Energy Essence flows through all living things, the ultimate source of vitality. Drawing on her understanding of this principle, the Dragon-Blood may heal others at the cost of her own life. After spending fifteen minutes meditating or performing medical treatment, she may roll (current temporary Willpower), gaining one mote per success and one Willpower for each 10. This can raise her above her Willpower rating. These motes and Willpower can only be spent on Medicine Charms, and are lost if unspent by the end of the day. This Charm may only be used once per day, unless reset by succeeding on a Medicine roll to treat a character the Dragon-Blood has a Major or Defining positive Tie for. </t>
  </si>
  <si>
    <t>Most Beneficent Seed of the Five Dragons</t>
  </si>
  <si>
    <t>5m, 1ahl</t>
  </si>
  <si>
    <t xml:space="preserve">The blood of the Dragons is precious beyond measure, manifesting the vitality of a lineage that reaches back to the dawn of time. Slicing a palm to pour out a draught of her own blood, the Dragon-Blood confers this undying vigor on her patient. She doubles 7s on a roll to provide medical treatment. This Charm can only be used once per story, unless reset by achieving a major character or story goal (Exalted, p. 170) through medical skill or expertise, such as successfully treating a plague-ridden city or saving the life of a sibling stricken with a supernatural malady.   </t>
  </si>
  <si>
    <t>Stoking Bonfire Style</t>
  </si>
  <si>
    <t>Melee 1,Essence 1</t>
  </si>
  <si>
    <t xml:space="preserve">The Dragon-Blood’s aggression stokes her Essence hotter and higher as she strikes relentlessly at her opponent, until he finally falls before her onslaught. She may add bonus dice on a Melee attack roll for one mote each, or raise her Parry for two motes per +1. When she lands an attack against an enemy or blocks one with this Charm, the cost of using this Charm against him is cumulatively lowered by one mote on subsequent rounds. Missing an attack or failing to parry resets the discount, as does attacking or blocking against another enemy, or going a round without using this Charm. </t>
  </si>
  <si>
    <t>Burning Fury Wreath</t>
  </si>
  <si>
    <t>Balanced, Decisive-only, Fire</t>
  </si>
  <si>
    <t xml:space="preserve">The Dragon-Blood’s superheated edge cuts through armor as though it were ice. She ignores (Strength/2, rounded up) points of Hardness, plus an additional point for every 10 on her attack roll. In Fire Aura, double the Hardness ignored. </t>
  </si>
  <si>
    <t>Flame-Borne Interception</t>
  </si>
  <si>
    <t>Balanced, Fire, Uniform</t>
  </si>
  <si>
    <t xml:space="preserve">Flames wreathe the Exalt’s weapon, burning brighter with each blow that it deflects. She gains +1 Parry until her next turn. This increases by one each time she blocks an attack. This bonus resets if the Dragon-Blood is hit by an attack, or defends using an Ability other than Melee. </t>
  </si>
  <si>
    <t>Blinding Spark Distraction</t>
  </si>
  <si>
    <t>Balanced, Fire, Uniform, Perilous</t>
  </si>
  <si>
    <t xml:space="preserve">Sparks fly from the Dragon-Blood’s weapon as it wards off an attack, blinding her foes. Successfully blocking an attack or winning a clash from close range blinds her attacker (Exalted, p. 168) until the end of his next turn unless he succeeds on a (Stamina + Resistance) roll at a difficulty of (her Essence + the successes he missed by). </t>
  </si>
  <si>
    <t>Graceful Flowing Defense</t>
  </si>
  <si>
    <t xml:space="preserve">The Dragon-Blood’s weapon moves like a flowing river to deflect enemy attacks, suffused with the grace and serenity of water. She ignores a single point of penalty to her Parry. In Water Aura, she ignores (higher of Essence or 3) points of penalty to her Parry. </t>
  </si>
  <si>
    <t>Crimson Fang Bite</t>
  </si>
  <si>
    <t>Dual, Fire</t>
  </si>
  <si>
    <t xml:space="preserve">The Dragon-Blood channels the fury of the flame to strike a devastating blow. She adds (higher of Essence or Strength) to the raw damage of a withering attack, or doubles (Strength) 10s on a decisive damage roll. </t>
  </si>
  <si>
    <t>Demon-Crushing Wolf Bite</t>
  </si>
  <si>
    <t>Perilous, Withering-only, Wood</t>
  </si>
  <si>
    <t xml:space="preserve">Emerald thorns burst from the Terrestrial’s weapon, adding (Stamina) Overwhelming to a withering attack. In Wood Aura, the Dragon-Blood adds (Stamina) to the raw damage of the attack as well. </t>
  </si>
  <si>
    <t>Elemental Sheath</t>
  </si>
  <si>
    <t>3m (+1a)</t>
  </si>
  <si>
    <t>The Dragon-Blood consigns an artifact Melee weapon to the elements, banishing it Elsewhere through a dramatic and significant manifestation of an element that is at least as large as her weapon. Her daiklave might become translucent and fluid as she touches it to the surface of a lake, dissolving into the body of water; a direlance plunged into a boulder or stone wall might vanish into it; a goremaul fades away as a strong gust of wind carries it away. She may alternatively recall it from a similar manifestation of the same element. If the Exalt doesn’t have access to an appropriate elemental manifestation, she may expend a level of anima to banish or recall her weapon. Once banished this way, it may be recalled through a manifestation of her Aspect element.</t>
  </si>
  <si>
    <t>Crossfire Flash</t>
  </si>
  <si>
    <t>A wave of flame rolls down the Dragon-Blood’s weapon as she strikes, flying into her enemy’s eyes or scorching other extremities. She rerolls (Essence) non-1 failures on the attack roll of a clash attack. Each rerolled die that shows a 10 strips away a success from her foe’s own attack roll.</t>
  </si>
  <si>
    <t>Dragon-Graced Weapon</t>
  </si>
  <si>
    <t>When the Dragon-Blood recalls a banished weapon with Elemental Sheath, it’s wreathed with the element she summons it forth from (or her Aspect element, if she expends anima to summon it). Alternatively, the Dragon-Blood can use Elemental Sheath to reflexively shape and ready a mundane Melee weapon from an elemental manifestation, drawing the flames of a bonfire into a lance or shaping a sword from the razor-sharp edge of a biting gale. Either way, the weapon gains benefits based on the chosen element: Air: Wind chills the weapon to a deadly cold. An enemy damaged by a decisive attack takes a -1 penalty on physical rolls until the end of his next turn. Earth: Bulky stones reinforce the weapon, granting the Smashing tag. If it already has that tag, its smash attacks deal an additional die of damage. Fire: Flames wreathe the weapon, granting +1 Overwhelming. Water: The weapon is fluid and graceful, granting the Flexible and Grappling tags. If it already has at least one of those tags, add one bonus die on the attack roll of grapple gambits.</t>
  </si>
  <si>
    <t>Flame Warden Stance</t>
  </si>
  <si>
    <t>The Dragon-Blood’s gleaming blade flickers into place between her allies and her enemies. She takes a defend other action (Exalted, p. 196) that extends its benefits to one scene, without needing to take the defend other action again on subsequent turns. Her ward must be within close range to benefit, but this Charm doesn’t end if he moves out of range. In Fire Aura, each time the Dragon-Blood parries an attack against her ward, she adds one bonus die to his next attack roll.</t>
  </si>
  <si>
    <t>Blazing Interception</t>
  </si>
  <si>
    <t>Counterattack, Decisive-only, Fire</t>
  </si>
  <si>
    <t xml:space="preserve">The Dragon-Blood’s battle spirit flares as she fends off peril to her ward, driving her forward in a fiery counterstrike. After successfully parrying an attack against a character she’s protecting with a defend other action, she may respond with a decisive counterattack. In Fire Aura, the Dragon-Blood’s ward may attempt a reflexive distract gambit (Exalted, p. 200) against his attacker to benefit the Exalt before she makes her counterattack. This doesn’t count as her ward’s attack for the round.  </t>
  </si>
  <si>
    <t>Steel Tempest Strike</t>
  </si>
  <si>
    <t>Melee 5,Essence 3</t>
  </si>
  <si>
    <t xml:space="preserve">The Exalt leaps into the air and rides a current of wind to strike at her foe with deadly speed. On her turn, she may use her movement action to advance one range band towards an enemy at short range and make a decisive attack against him. She ignores difficult terrain, and may skim over chasms or pits as long as she ends on solid ground. This doesn’t count as her attack for the round. This Charm can only be used once per scene, unless reset by gaining 15+ Initiative in a single tick. </t>
  </si>
  <si>
    <t>Harnessed Firestorm Assault</t>
  </si>
  <si>
    <t>10m, 1wp, expend Fire Aura</t>
  </si>
  <si>
    <t>Channeling pure Fire Essence to stoke her spirit’s fervor and her body’s speed, the Dragon-Blood unleashes  a furious series of blows that blister the air and fell her foes. She makes ([higher of Dexterity or Strength]/2, rounded down) decisive attacks, divided among one or more enemies. If she has an applicable Melee specialty, she adds it to the relevant Attribute to determine how many attacks she makes. Each attack has a base dam- age equal to (Initiative/2, rounded up), and she doesn’t reset to base Initiative until she’s completed all attacks. If she uses any non-Excellency Fire Charms to enhance these attacks, she need only pay their cost once. Harnessed Firestorm Assault can only be used once per scene, unless reset by successfully landing a decisive attack while in Fire Aura and building up to Initiative 12+ without leaving Fire Aura.</t>
  </si>
  <si>
    <t>Falling Mountain Fang</t>
  </si>
  <si>
    <t>The Dragon-Blood strikes a blow laden with Earth Essence, magnifying the weight of whatever she strikes. She makes one of the following gambits: Weigh Down Weapons (Difficulty 6): Earth Essence weighs down a weapon, increasing its weight a thousandfold for the rest of the scene. The wielder must reflexively roll a Strength 5 feat of strength against (the Exalt’s Essence + her Initiative roll threshold successes) or drop the weapon to the ground. Such a feat is also required to lift it or ready it. Even if the wielder does retain his hold on the weapon or later manage to lift it, all attack rolls with it take a -3 penalty, and carrying it while moving counts as difficult terrain. Weigh Down Armor (Difficulty 4): This gambit increases the mobility penalty of armor by -3, and requires the wielder to spend one Initiative in order to take any movement action. This penalty only lasts three rounds, but a subsequent use of this Charm allows a difficulty 5 gambit against the weighted armor that intensifies its weight until the wearer can no longer stand, forcing him prone and preventing him from taking any movement actions at all for the rest of the scene. He can free himself by removing the armor (Exalted, p. 591).Collapse Structure (Difficulty 3+): The Dragon-Blood can collapse flimsy, weakened, or uneven structures, such as a poorly maintained bridge, a makeshift barricade, or an ancient statue. The difficulty is equal to the Strength minimum of the feat that would be necessary to destroy that structure (Exalted, p. 231), although the Dragon-Blood need not actually possess that much Strength.</t>
  </si>
  <si>
    <t>Roaring River Slash</t>
  </si>
  <si>
    <t>5m, 1wp, expend Water Aura</t>
  </si>
  <si>
    <t>Water Aura</t>
  </si>
  <si>
    <t>Aura, Decisive-only, Signature (Water)</t>
  </si>
  <si>
    <t xml:space="preserve">The outer edge of the Dragon-Blood’s attack is followed by a ribbon of water moving at incredible speed. She makes a decisive attack and rolls its damage twice, combining both results to determine the total damage. If used together with offensive magic that sets foes on fire, the water extinguishes the flames. This Charm can only be used once per scene, unless reset by going a full round without either making attacks or being attacked. It cannot be reset while the Dragon-Blood is crashed. </t>
  </si>
  <si>
    <t>Aura of Grasping Branches</t>
  </si>
  <si>
    <t>5m, 3i, 1wp</t>
  </si>
  <si>
    <t xml:space="preserve">The Terrestrial takes on a defensive stance that emulates the snarled branches of a forest, or a beautiful flower’s blossom. Each round, she may ignore up to (Essence) points of onslaught penalty to her Parry. She may divide this among multiple attacks in a round, as long as she ignores no more than (Essence) total points of penalty in a single round. In Wood Aura, the Dragon-Blood doesn’t take onslaught penalties from attacks she successfully parries. </t>
  </si>
  <si>
    <t>Dragon Soul Burst</t>
  </si>
  <si>
    <t>Melee 4, Essence 3</t>
  </si>
  <si>
    <t xml:space="preserve">Through intense effort and concentration, the DragonBlood can channel a burst of flames through her attack. To use this Charm, she must first spend a turn aiming at an enemy within close range. On her next turn, she may use this Charm to make a decisive attack with a base damage of (her Essence + 2), ignoring Hardness. This doesn’t include her Initiative or reset her to base Initiative. An enemy that takes 3+ levels of damage from the attack is set ablaze, suffering (Essence) dice of lethal damage on each of his turns until he extinguishes the flames. In Fire Aura, the Dragon-Blood may add her Initiative to the base damage of this attack. Doing so resets her Initiative to base. </t>
  </si>
  <si>
    <t>Smoldering Essence Attack</t>
  </si>
  <si>
    <t>5m, 1a</t>
  </si>
  <si>
    <t>Aura, Fire, Withering-only</t>
  </si>
  <si>
    <t xml:space="preserve">The concentrated Essence of flame limns the edge of the Exalt’s weapon and burns in her enemy’s blood and soul, searing away his fighting spirit. She makes a withering attack, burning away an extra point of her foe’s Initiative for every 10 on the damage roll, which she doesn’t gain. The victim suffers this Initiative loss again on each of his next (Essence) turns, or until he  damages the Dragon-Blood with a withering attack. </t>
  </si>
  <si>
    <t>Burning Pinnacle Strike</t>
  </si>
  <si>
    <t xml:space="preserve">The Exalt’s body, skill, and Essence unite in the moment of her triumph, striking a rapid blow guided by sheer instinct and the flame of her fighting spirit. After making a withering attack that leaves her with an Initiative higher than that of all enemies present in the combat, she reflexively makes a withering or decisive attack. This doesn’t count as her attack for the round. This Charm may only be used once per round. </t>
  </si>
  <si>
    <t>Root-and-Hand Merging</t>
  </si>
  <si>
    <t xml:space="preserve">The Dragon-Blood is one with her weapon. Roots spring from the bones of her wrists and hands and from her weapon’s grip, interlocking to form an unbreakable hold. She gains +1 Parry when blocking with the bound weapon, and the difficulty to disarm it increases by +2. In Wood Aura, this doesn’t count as a Charm bonus. </t>
  </si>
  <si>
    <t>Portentous Comet Deflection</t>
  </si>
  <si>
    <t>Clash, Decisive-only, Fire</t>
  </si>
  <si>
    <t xml:space="preserve">The Exalt sees with eyes of fire, realizing the perfect path of a strike the moment before she suffers an attack. She may reflexively clash an attack against her with a decisive attack. This counts as her attack for the round, and can’t be used if she’s already made an attack this round. In Fire Aura, the Dragon-Blood may expend her Aura to clash without it counting as her attack for the round. </t>
  </si>
  <si>
    <t>Fire Incites Water to a Riot of Clouds</t>
  </si>
  <si>
    <t>4m, 3i</t>
  </si>
  <si>
    <t>Clash, Fire/Water, Withering-only</t>
  </si>
  <si>
    <t>Water vapor or rain boils into steam as the arc of the Dragon-Blood’s attack agitates them with ferocious Essence, whipping a great cloud from the air as she intercepts her enemy’s blow. She may reflexively clash an attack against her with a withering attack, without it counting as her attack for the round. She doesn’t gain any Initiative from the damage roll, but a successful clash creates a steam cloud that spreads out to close range from her enemy, plus an additional range band for every five points of withering damage dealt to him. Any of the Dragon-Blood’s allies that are within the steam cloud gain one point of Initiative for every 10 on her damage roll. The cloud remains for the rest of the scene, or until dispersed by strong winds or magic. This Charm can only be used once per scene, unless reset by landing a decisive attack while at 15+ Initiative in either Fire or Water Aura.</t>
  </si>
  <si>
    <t>Mela’s Flashing Tongue</t>
  </si>
  <si>
    <t>Air, Withering-only</t>
  </si>
  <si>
    <t xml:space="preserve">Burning Pinnacle Strike  </t>
  </si>
  <si>
    <t>Flaws and openings in her foe’s defense draw the Exalt’s blade as the mountain draws the lightning. The Dragon- Blood makes a number of withering attacks against a single opponent equal to his onslaught penalty at the time she ac- tivates this Charm, maximum (Dexterity + Strength), static crackling around her as spent Essence builds a charge in the air. Each withering damage roll only grants Initiative equal to half the damage inflicted, rounded down. In Air Aura, the Dragon-Blood may use the final attack of this Charm to make a decisive attack instead of a withering attack, channeling the electric charge that has built around her into a final, devastating flash. This attack resets her to base Initiative even if it misses. This Charm can only be used once per scene, unless reset by dealing enough decisive damage with a single attack to incapacitate a nontrivial enemy with an uninjured health track.</t>
  </si>
  <si>
    <t>Mirror-on-Water Focus</t>
  </si>
  <si>
    <t>Aura, Counterattack, Decisive-only, Mute, Perilous, Water</t>
  </si>
  <si>
    <t xml:space="preserve">When her spirit is becalmed, the Dragon-Blood becomes empty and still. She generates no killing intent, and reflects the killing intent of her enemies back upon them. To use this Charm, the Dragon-Blood’s anima must be at the dim level, and it ends if her anima rises above dim. If an enemy attacks her, she may end this Charm to make a decisive counterattack before the enemy rolls his attack, with a base damage equal to (her attacker’s Initiative/2, rounded up). She isn’t reset to base Initiative by this attack; instead, every success on the damage roll strips one point of Initiative from her attacker, reducing the damage of his own attack, in addition to dealing damage. This counts as the Dragon-Blood’s attack for the round, and cannot be used if she’s already attacked this round. This Charm can only be used once per scene, unless reset by using its prerequisite to successfully clash and deal 20+ withering damage while in Water Aura.   </t>
  </si>
  <si>
    <t>Hidden Secrets Whisper</t>
  </si>
  <si>
    <t xml:space="preserve">Attuned to the subtle winds of the spiritual, the Dragon-Blood draws forth sublime truths. She may add bonus dice to an Occult roll for one mote each. Each 10 rerolls a non-1 failed die. </t>
  </si>
  <si>
    <t>Soul-Fire Cremation Technique</t>
  </si>
  <si>
    <t xml:space="preserve">Reciting holy texts or heartfelt words, the Exalt returns a corpse to nature. She may burn a mortal’s corpse to ashes in a few seconds, ensuring the deceased’s lower soul won’t linger in the world as a hungry ghost. An existing hungry ghost is unaffected, though the destruction of its corpse requires it to find a new place it can spend the day without being destroyed by sunlight (Exalted, pp. 503-504).  This rite provides emotional catharsis to the deceased’s ghost, allowing it to abandon its undead existence and enter the cycle of reincarnation if it chooses. Even if it doesn’t, the ritual appeases it, causing it to form a positive Minor Tie towards the Dragon-Blood that cannot be fully removed until the story’s end. </t>
  </si>
  <si>
    <t>Seed and Salt Warding</t>
  </si>
  <si>
    <t>Earth or Wood</t>
  </si>
  <si>
    <t xml:space="preserve">The Dragon-Blood lays down a line of salt or germinated grain to keep ghosts at bay (Exalted, p. 506), spanning up to a single range band. The aspect of this Charm depends on which she uses — salt is Earth, while grain is Wood. She rolls (Intelligence + Occult) to determine the power of the warding. Powerful ghosts who could normally cross the line by spending Willpower can only do so if their Resolve exceeds the Dragon-Blood’s successes on her Occult roll. Otherwise, they cannot cross the line. The line also repels other forms of undead, such as zombies or hungry ghosts. </t>
  </si>
  <si>
    <t>Spirit-Detecting Mirror Technique</t>
  </si>
  <si>
    <t xml:space="preserve">Drawing back the veil between worlds, the DragonBlood makes invisible spirits and phantasms visible within the glass. To use this Charm, she must be touching a mirror or a similar reflective surface, such as the blade of a well-polished daiklave. The Exalt can see the reflections of dematerialized characters in that mirror, and can even hear what they say in the form of whispers that rise up from the mirror’s surface. Only the Exalt is capable of seeing the reflection — to others, even the spirit itself, it doesn’t appear in the mirror. This doesn’t allow the Dragon-Blood to physically interact with spirits, but it can be used in conjunction with magic that does. Using reflections to pinpoint a foe is somewhat awkward — instead of fully negating the -3 penalty for attacking a dematerialized spirit one can’t see, it reduces the penalty to -1. An Occult 5, Essence 3 repurchase of this Charm lets the Dragon-Blood pay one Willpower to make the spirit reflections visible and audible to her allies as well. Their attacks against it still take a -1 penalty.  </t>
  </si>
  <si>
    <t>Spirit-Grounding Shout</t>
  </si>
  <si>
    <t>Air, Balanced, Uniform</t>
  </si>
  <si>
    <t>Rending the air with a fierce kiai, the Dragon-Blood strikes that which cannot be struck. She can strike a dematerialized character with an attack made with any Ability. If the Exalt is unable to see her target, her attack roll suffers a -3 penalty. If the Exalt uses this Charm on her next turn to attack the same enemy, its mote cost is lowered by one. This discount can be stacked, to a minimum cost of zero. Attacking another character or going a round without attacking that spirit resets the discount to zero.</t>
  </si>
  <si>
    <t>Fivefold Resonance Sense</t>
  </si>
  <si>
    <t>Air/Earth/Fire/Water/Wood</t>
  </si>
  <si>
    <t xml:space="preserve"> If the Exalt uses this Charm on her next turn to attack the same enemy, its mote cost is lowered by one. This discount can be stacked, to a minimum cost of zero. Attacking another character or going a round without attacking that spirit resets the discount to zero. </t>
  </si>
  <si>
    <t>Secret Wind Revelation</t>
  </si>
  <si>
    <t xml:space="preserve">Attuned to subtle currents of spiritual wind, the DragonBlood can hear a demon’s whispers or a ghost’s tread. When a dematerialized entity comes within long range or closer of the Exalt, the Storyteller informs her player that she may activate this Charm. She rolls (Perception + Awareness) with (Occult) bonus dice opposing its (Dexterity + Stealth) roll to pinpoint his location. A failed roll still reveals the presence of a dematerialized being nearby. However, that entity uses the result of his Stealth roll to establish concealment against the Dragon-Blood until the scene ends or he breaks concealment, escaping her notice even if she later uses Spirit-Detecting Mirror Technique. She cannot use this Charm against the same spirit for the rest of the scene. </t>
  </si>
  <si>
    <t>Dragon’s Sacred Talon</t>
  </si>
  <si>
    <t>Balanced, Dual, Earth or Wood</t>
  </si>
  <si>
    <t xml:space="preserve">When darkness gnaws at the roots of the world and chaos threatens the very balance of Creation, it’s the will of the Dragons that restores order. This Charm can supplement an attack made with any Ability, drawing upon the orderly Essence of Earth to strike down raksha and other creatures of the Wyld, or channeling vital Wood Essence to destroy one of the undead. A withering attack adds (Essence) dice to its damage after subtracting the target’s soak. A decisive attack deals aggravated damage and doubles 10s on the damage roll. </t>
  </si>
  <si>
    <t>Spirit-Chaining Strike</t>
  </si>
  <si>
    <t xml:space="preserve">Dragging a spirit halfway into the material realm with her attack, the Dragon-Blood exposes it to her allies. She rolls a gambit using any combat Ability against a dematerialized foe, adding (Essence/2, rounded up) bonus successes on the attack roll. Spirit-Grounding Shout enhances this attack for free. The difficulty of the gambit is equal to (the target’s Essence). A successful gambit weaves gossamer threads of wind through the spirit, binding it partly to the material world. While it doesn’t become fully materialized, it’s visible to all Dragon-Blooded characters in the scene, and can attack or be attacked by them as though it were material. This lasts for one round, plus an additional round for every two threshold successes the Exalt rolled on the gambit’s Initiative roll.  </t>
  </si>
  <si>
    <t>Hundred Devils Whirlwind</t>
  </si>
  <si>
    <t xml:space="preserve">The Dragon-Blood stirs the winds of the spirit world into a mighty storm. She rolls (Wits + Occult) with double 9s to create a mystical vortex extending out to medium range, and chooses whether it repels spirits and other dematerialized characters or draws them in. Both material and dematerialized spirits are affected. Each target whose Resolve is beaten is blown one range band in the chosen direction. As long as they remain within medium range of the Exalt, they cannot use Hurry Home to escape and treat any movement opposing the whirlwind’s direction as difficult terrain (Exalted, p. 199). </t>
  </si>
  <si>
    <t>Sage of Iron Meditation</t>
  </si>
  <si>
    <t>(Stamina) days</t>
  </si>
  <si>
    <t xml:space="preserve">Her will tempered by the blood of dragons, the Exalt imposes order onto chaos. She may spend up to (Stamina) days in meditation. As long as her focus remains unbroken, the Wyld abides by the natural laws of Creation out to short range from her, and cannot cause any mutation, addiction, or other warping to characters in that range. She gains Hardness 20 against attacks made by creatures of the Wyld, and such beings within short range of her lose two Initiative at the start of each turn as long as she continues meditating. Crashed creatures of the Wyld suffers a single die of aggravated damage instead. This Charm can only be used once per story, unless reset by upholding a Major or Defining Intimacy by defeating a creature of the Wyld. </t>
  </si>
  <si>
    <t>Smoke Ascends to Heaven</t>
  </si>
  <si>
    <t xml:space="preserve">Offering up an efficacious prayer, the Dragon-Blood casts an offering into the fire, beseeching a spirit’s favor in exchange for the pleasing scent of smoke. She makes a persuade roll with any social Ability,  doubling 7s, to influence a spirit in person, or to offer up a prayer through any fire. A prayer made from afar will always be heard if the sacrifice is made in the spirit’s temple or overseen by one of its priests; otherwise, the Storyteller determines whether the spirit hears the offer. The intensity of any of the spirit’s Intimacies that support the influence is treated as one step higher when determining the level of task it’s willing to accept (Exalted, p. 216). Even if it has no applicable Intimacies, she treats it as having a Minor Tie towards her that supports the influence. This Charm can only be used once per story, unless reset by accomplishing a major character or story goal (Exalted, p. 170) by interacting with spirits. If the Dragon-Blood’s prayer isn’t heard, no reset is necessary. </t>
  </si>
  <si>
    <t>Crashing Wave-Dragons Warding</t>
  </si>
  <si>
    <t xml:space="preserve">Blessing a body of running water with her touch, the Dragon-Blood bids it to flow sanctified and pure. Performing the consecration takes one minute. If the body of water is no more than a single range band wide, this effect extends (Essence x2) range bands downstream in a direction of her choice. If it’s wider than that, the effect extends (Essence) range bands. Any demon, undead, or fae that enters the water suffers its wrath in the form of dragon-shaped waves, an environmental hazard with difficulty 5 and Damage (Essence)B/ round. They also suffer a -3 penalty on physical actions as long as they touch the water, on top of any penalties crossing normally involves. Withering attacks directed at these creatures deal an additional level of Initiative damage. A character whose Essence exceeds the Exalt’s may spend one Willpower as a miscellaneous action that can’t be flurried to best the wave-dragons in a dramatic display of its supernatural prowess, freeing it (but not other characters) from this Charm’s effects for the remainder of its duration. This counts as both its attack and movement for that round. This Charm can only be used once per story, unless reset by successfully advancing a personal goal or one of the Hearth’s group goals by defeating or overcoming a significant demon, fae, or undead in combat or in another milieu, such as intrigue or a contest of riddles.  </t>
  </si>
  <si>
    <t>Eternal Death-Banishing Blossom</t>
  </si>
  <si>
    <t>10m, 1wp (+3a on next turn)</t>
  </si>
  <si>
    <t>Occult 5,Essence 3</t>
  </si>
  <si>
    <t xml:space="preserve">The Dragon-Blood, utterly serene, channels the fierce persistence of life through her anima banner, which branches out like a great tree budding with petals of iridescent light. To use this Charm, she must be at bonfire anima. She gains +2 Defense and (Essence + 3) bonus soak. Against undead enemies or necromantic attacks, this increases to +3 Defense and (Essence + 5) soak. On the Dragon-Blood’s next turn, as long as she’s still at bonfire anima and not crashed, her anima banner finally blooms as she expends it. Petals of shimmering Essence fall out to medium range from her. This petal-storm is harmless to the living, but any undead or ghost caught in it must succeed on a difficulty 5 (Stamina + Resistance) roll or take aggravated damage equal to (the Exalt’s current Initiative/2, rounded up), minimum (Essence). Even dematerialized undead are affected by the petals. Trivial undead foes are automatically destroyed. Against undead Exalted such as Abyssals and powerful beings such as Deathlords, the damage can’t exceed (her Essence). This Charm can only be used once per day. </t>
  </si>
  <si>
    <t>Blazing Purification Chant</t>
  </si>
  <si>
    <t>Soul-Fire Cremation Technique,Spirit-Chaining Strike</t>
  </si>
  <si>
    <t xml:space="preserve"> Affixing a prayer strip to the forehead of a victim of possession, the Dragon-Blood speaks a potent incantation, setting the paper alight. This flame doesn’t burn the possessed character, but rather, the possessing entity. The DragonBlood rolls ([Charisma or Intelligence] + Occult) against the possessing being’s Resolve. Success deals (her Essence + threshold successes) dice of decisive aggravated damage to the possessor, ignoring Hardness. If the total damage equals or exceeds that being’s Essence rating, it’s forced out of its host, and cannot attempt to possess him again for the rest of the story. Otherwise, the host can’t benefit from any use of this Charm until a day has passed. Up to five Dragon-Blooded who know this Charm can use it cooperatively. Each character beyond the first adds one additional die of damage.  </t>
  </si>
  <si>
    <t>Spirit-Shredding Attack</t>
  </si>
  <si>
    <t>Air, Balanced, Decisive-only</t>
  </si>
  <si>
    <t xml:space="preserve">Rending a spirit’s ephemeral form, the Dragon-Blood disperses its Essence like dust on the wind. Her decisive attack with any combat Ability against a crashed spirit adds attack roll threshold successes as dice of damage. A spirit slain by this attack can potentially reform its Essence (Exalted, pp. 508-509), but does so greatly diminished, losing a permanent dot of Essence. This reduces its mote pool by ten motes, and may deny it access to certain Charms based on their Essence minimums. </t>
  </si>
  <si>
    <t>Seal of Heavenly Binding</t>
  </si>
  <si>
    <t>5m, 1a, 1wp</t>
  </si>
  <si>
    <t xml:space="preserve">The Terrestrial raises her hand in a devil-sealing mudra, raising a binding circle around a spirit or creature of the Wyld. This is a gambit rolled with (Intelligence + Occult) against the Resolve of a spirit out to short range. The difficulty of the gambit is equal to (that being’s Essence). Outside of combat, this Charm only requires the (Intelligence + Occult) roll against Resolve to succeed. On a success, the Dragon-Blood’s anima traces an efficacious sigil that entraps that spirit for a single round, plus an additional round for every two threshold successes on the Initiative roll (one scene outside of combat). It immediately materializes, if it wasn’t already material, and cannot dematerialize or use the Hurry Home Charm. It cannot move out of the circle or attack enemies outside it, although those who enter the circle to reach close range are fair game. The bound spirit may use its entire turn to attempt to break out of the circle, spending one Willpower to make a (Wits + Integrity) roll opposing an (Intelligence + Occult) made by the Dragon-Blood. Success breaches the circle and lets the being escape. This Charm can only be used once per scene. </t>
  </si>
  <si>
    <t>Chaos-Banishing Revelation Gesture</t>
  </si>
  <si>
    <t>Dragon’s Sacred Talon, Seal of</t>
  </si>
  <si>
    <t xml:space="preserve">Heavenly Binding The Dragon-Blood strikes away temptations and madness born of the Wyld with a mudra of revelation, restoring the harmony of reality. She may free a character within short range of any Psyche effect or Derangement imposed by a creature of the Wyld or exposure to the Wyld itself, including Wyld addiction. The Exalt rolls ([Intelligence or Wits] + Occult) against the Resolve of the character she treats, but (the Essence of the creature that used that magic) is added to his Resolve. A successful roll terminates unnatural influence or removes a Derangement. On a failed roll, the Dragon-Blood cannot use this Charm to treat that character for the same affliction again for the rest of the story. This Charm can only be used once per day. </t>
  </si>
  <si>
    <t>Purifying Dragon Suspiration</t>
  </si>
  <si>
    <t>Air/Water</t>
  </si>
  <si>
    <t>Blazing Purification Chant,Chaos-Banishing Revelation Gesture</t>
  </si>
  <si>
    <t xml:space="preserve">The winds banish smog and miasma; the running river washes away pollution. Embodying all the purifying power of Creation, the Dragon-Blood cleanses curses and spiritual malaise. This Charm is an extended (Intelligence + Occult) action that can be used to free one character of a sorcerous curse, such as the spell Corrupted Words, or a shaping effect that transforms the victim’s body. It can also lower the intensity of a magically inflicted Derangement by one step. However, sorcerous workings can’t be broken with this Charm. The extended action has a difficulty equal to (the Essence of the character that imposed the effect), a goal number of (that character’s Essence x10), terminus 10, and an interval of one month. The DragonBlood must use this Charm at each interval, anointing the beneficiary with sacred cleansing water or using ritual fans to drive away evil. Some curses are beyond the power of this Charm to purify. This includes Solar Circle Sorcery; the magic of the Celestial Incarnae, Yozis, and Deathlords; or any other effect the Storyteller deems completely beyond the capability of the Terrestrial Exalted to break. </t>
  </si>
  <si>
    <t>Anathema-Sealing Tomb</t>
  </si>
  <si>
    <t>When the Dragon-Blood incapacitates a spirit with a decisive attack, she may use this Charm to seal its Essence away into the nearest dramatic manifestation of Earth Essence: the depths of a cavern, a cairn or standing stone, a statue, an Earth demesne or manse, a mountain, or something similar. The imprisoned spirit is unable to reform itself (Exalted, pp. 508-509) for at least (Essence) centuries, and spirits that cannot reform themselves (including most elementals and First Circle Demons) are sealed away permanently. The spirit can be freed by destroying its earthen prison, a dramatic endeavor as difficult as the Storyteller deems appropriate. It’s unknown what would happen if this Charm were used to seal one of the Deathlords or Yozis; the result is explicitly left up to the Storyteller’s discretion.</t>
  </si>
  <si>
    <t>Any four Occult Charms</t>
  </si>
  <si>
    <t xml:space="preserve">The Dragon-Blood steps across the threshold of the Emerald Circle, and is forever changed. She gains the ability to cast spells of the Terrestrial Circle, and learns one shaping ritual (Exalted, p. 466) and one Terrestrial Circle spell, which becomes her control spell. </t>
  </si>
  <si>
    <t>Five Winds Raiment</t>
  </si>
  <si>
    <t>3m, 1a</t>
  </si>
  <si>
    <t>Until spell is cast</t>
  </si>
  <si>
    <t xml:space="preserve">The Dragon-Blood’s anima banner twists into a whirlwind as Essence gathers in her hand, shielding her from all harm. This Charm supplements a Shape Sorcery action (Exalted, p. 465). The winds grant her +1 Defense and (Essence) Hardness until she casts the spell or stops shaping. In Air Aura, this doesn’t count as a Charm bonus, and the Hardness granted rises to (higher of Essence or Stamina).  </t>
  </si>
  <si>
    <t>Dragon-Sorcerer Puissance</t>
  </si>
  <si>
    <t xml:space="preserve">The Dragon-Blood’s elemental Essence overflows into her sorcery. Whenever she shapes a spell based on a single element, such as Flight of the Brilliant Raptor, Invulnerable Skin of Bronze, or Wood Dragon’s Claw, she gains a single additional sorcerous mote each round she spends shaping it. If the Dragon-Blooded is in the Aura state that matches the spell’s element, she gains three sorcerous motes each round instead.   Universal </t>
  </si>
  <si>
    <t>Audience-Enthusing Display</t>
  </si>
  <si>
    <t xml:space="preserve">The Dragon-Blood drinks in her audience’s appreciative eyes and repays them with her masterful performance. She may add automatic successes to a Performance roll for two motes each and ignores the penalty for targeting multiple characters with a social influence roll (Exalted p. 221). </t>
  </si>
  <si>
    <t>Hidden Petal Aria</t>
  </si>
  <si>
    <t xml:space="preserve">The Dragon-Blood expresses multiple layers of meaning via an artistic performance, conveying a secret message through nuances of speech and movement. She may embed a message one sentence long into a performance, conveying it only to select members of her audience. This can incorporate social influence. Magical attempts to detect the message must succeed on a roll at difficulty (higher of her Manipulation or Performance).  </t>
  </si>
  <si>
    <t>Invisible Street Performer Technique</t>
  </si>
  <si>
    <t>One performance</t>
  </si>
  <si>
    <t>The Dragon-Blood vanishes into her performance, receding from her audience’s notice. She rolls (Manipulation + Performance). As long as she continues to perform, characters whose Resolve is beaten by her roll cannot directly notice her. While they see or hear her artistic display, they pay no mind to the person performing it. The Dragon-Blood can take other actions while continuing the performance by flurrying them with a miscellaneous action to continue performing, but this Charm ends if the Dragon-Blood stops performing, rolls Join Battle, or takes an overt action that draws notice to herself, such as brandishing a weapon.</t>
  </si>
  <si>
    <t>Soul-Stirring Performance</t>
  </si>
  <si>
    <t>Talented Improvisation</t>
  </si>
  <si>
    <t>The Dragon-Blood’s grace and beauty sow the seeds of passion in her audience’s hearts. She makes an inspire roll with (Essence) non-Charm bonus dice. A character whose Resolve is beaten must enter a Decision Point to resist, calling on an Intimacy of any intensity that opposes the emotion the performance conveys.</t>
  </si>
  <si>
    <t>Dance of Flashing Swords</t>
  </si>
  <si>
    <t>The Dragon-Blood can pass off a fight to the death as a piece of street theater. She makes a special instill roll with (Manipulation + Performance) against all bystanders to a combat or other violent altercation, explaining how it is actually an artistic performance. A character whose Resolve is beaten by this roll accepts the Dragon-Blood’s explanation of the scene’s events. He cannot spend Willpower to resist this influence unless the circumstances of the fight dramatically change in a way that undermines the Exalt’s lie, or if his ignorance would pose a threat to one of his Major or Defining Intimacies. Unlike other Simple Charms, Dance of Flashing Swords can be placed in a flurry.</t>
  </si>
  <si>
    <t>Heart-Strengthening Defense</t>
  </si>
  <si>
    <t>The Dragon-Blood’s performance charges her audience with the vital will to endure. All characters that can see or hear her performance gain +1 Resolve against any other influence, or +2 Resolve against Psyche effects or other unnatural influence. The Dragon-Blood can take other actions while continuing the performance by flurrying them with a miscellaneous action to continue performing.</t>
  </si>
  <si>
    <t>The Dragon-Blood is moved by an innate genius for performance, intuiting the entire composition of a song after hearing only a few notes or turning a clumsy misstep into the beginning of a provocative dance. After making a Performance roll, she rerolls (Essence) non-1 failed dice. If she uses a stunt to explain how she recovers from her misstep, this Charm’s cost is reduced by the stunt’s level.</t>
  </si>
  <si>
    <t>Harmonious Life-Affirming Song</t>
  </si>
  <si>
    <t>The Dragon-Blood’s performance revives those who hear it, like the coming of an early spring. All characters who witness her performance add a bonus success on rolls against poison, disease, and other maladies, and multiply the rate at which they heal damage (Exalted, p. 173) by (Essence + [Charisma or Appearance]). The Dragon-Blood can take other actions while continuing the performance by flurrying them with a miscellaneous action to continue performing.</t>
  </si>
  <si>
    <t>Irresistible Whirlpool Diversion</t>
  </si>
  <si>
    <t xml:space="preserve">The Dragon-Blood’s performance draws in her audience’s attention like a maelstrom sucking in flotsam, making it difficult for them to pay attention to anything but her. She rolls ([Manipulation or Appearance] + Performance) with double 9s. Any audience members with a Resolve lower than her rolled successes suffers a penalty of (her Essence) to Awareness-based rolls to pay attention to anything or anyone other than her. The Dragon-Blood can take other actions while continuing the performance by flurrying them with a miscellaneous action to continue performing. </t>
  </si>
  <si>
    <t>Thundering Dragon Proclamation</t>
  </si>
  <si>
    <t xml:space="preserve">Breathing deep of the world, the Dragon-Blood raises her voice to a resounding shout, her words rumbling across the sky like thunder. Her voice is loud enough to be heard clearly by characters at extreme range, up to four bands away from her. The influence she can take through her amplified voice is limited to inspire and threaten actions, but she ignores environmental or distance penalties. She doubles 9s on all voice-based Performance rolls, as well as command actions (Exalted, p. 209). She may lower her voice to normal volume, and must do so to engage in non-Performance forms of social influence, but doesn’t benefit from doubles 9s when she does. This Charm can only be used once per day. </t>
  </si>
  <si>
    <t>Tears-From-Stone Eloquence</t>
  </si>
  <si>
    <t xml:space="preserve">The Dragon-Blood’s performance brings the world into harmony, suffusing the traditions and institutions of society with the enduring Essence of earth. She makes an inspire roll with (Charisma + Performance). If any character’s Resolve is overcome by the inspire roll, his  player must choose a response to the inspired emotion that will affirm, support, or protect a social institution or tradition that he has an Intimacy towards. If that character has no such Intimacies, he must immediately form one at Minor intensity. A stern polemic could rouse villagers to the defense of the Immaculate Order, while a joyful tune played at a Dynastic salon might inspire shows of gratitude and goodwill to the Great House hosting it. Resisting this influence requires spending one Willpower in a Decision Point, calling upon an Intimacy at least as strong as the one affected by this Charm. This Charm can only be used once per story, unless reset by upholding a Major or Defining Intimacy for a social institution or tradition. </t>
  </si>
  <si>
    <t>Immolating Passion Alleluia</t>
  </si>
  <si>
    <t xml:space="preserve">The Dragon-Blood lets the fires of her performance consume her, radiating passionate intensity with every word, note, or movement. She makes an inspire roll using ([Charisma or Appearance] + Performance), rolling an additional non-Charm die for every 10. The emotions she inflames are incredibly intense, compelling an equally intense response from her audience. While the player of an affected character still chooses how that character reacts to the influence, his reaction must rise to the level of at least a serious task (Exalted, p. 216) chosen by his player. Resisting this influence Costs three Willpower. Immolating Passion Alleluia can only be used once per story, unless reset by achieving a legendary social goal (Exalted, p. 134) by influencing a character to act on his passions. </t>
  </si>
  <si>
    <t>Mesmerizing Siren Call</t>
  </si>
  <si>
    <t>A scintillating facade of beauty and grace conceals hidden depths of danger. The Dragon-Blood rolls (Manipulation + Performance), rerolling all dice that initially show non-1 failures. Each character whose Resolve is beaten by this roll is hypnotized by the performance. The Exalt may spend her threshold successes over a given character’s Resolve to impose one or more illusions from the follow- ing list on him for as long as she continues to perform. If she affects multiple characters, she may inflict different illusions on each, though groups of minor targets should be combined into audiences (Exalted, p. 223). 0 Successes - The target perceives phantasmal imagery, sounds, or scents, but is aware that they’re unreal. 1 Success - The target perceives a single illu- sory entity or object, up to roughly the size of a person or horse, and believes it to be real. This cannot imitate a specific character. 2 Successes - The target perceives an illusory duplicate of an existing, hu- man-sized character that the Exalt knows, and believes it to be real. 2 Successes - One individual within medium range, no larger than a human, is concealed from the target’s senses. He cannot perceive the concealed character, even if she takes overt actions that would nor- mally draw his attention, although she’s revealed if she attacks him. 3 Successes - The target perceives a single large illusory entity, object, or structure, up to the size of a house or tyrant lizard, and believes it to be real. This can imitate a specific character. The Dragon-Blood can take other actions while con- tinuing the performance by flurrying them with a miscellaneous action to continue performing. Illusions created with this Charm act as the Exalt wills them to, but cannot physically interact with the world. If a figment engages the target in social influence, it uses the Exalt’s dice pools, but she cannot enhance its rolls with her magic. If a victim of this Charm discovers evidence that what he’s perceiving isn’t real, he can spend two Willpower to resist, breaking free of all illusions. Walking into an unreal fire and discovering it doesn’t burn, being attacked by an enemy concealed behind an illusory wall, or noticing a discrepancy in an illusory impos- tor’s behavior would all provide such an opportunity. In addition, he may resist if the illusions would cause him to act against or fail to protect one of his Major or Defining Intimacies. Mesmerizing Siren Call can only be used once per story, unless reset by accomplishing a major character or story goal (Exalted, p. 170) through deception.</t>
  </si>
  <si>
    <t>Life-Spirit Symphony</t>
  </si>
  <si>
    <t xml:space="preserve">Nature dances, exultant, to the Dragon-Blood’s performance. Flowers blossom from her footsteps, vines twist and coil with her rhythm, and thorns turn away from harming her. As long as the Exalt continues to perform, she and all allies within medium range can ignore difficult terrain based on foliage or vegetation, its movements opening a path to let them through. Whenever a plant-based environmental hazard or poison threatens those allies, she may roll (Charisma + Performance). They can use the result of her roll in place of their own rolls to resist the hazard or poison. The Dragon-Blood can take other actions while continuing the performance by flurrying them with a miscellaneous action to continue performing. If she wishes, she may use her miscellaneous action to direct vines and plants to attack an enemy within medium range, rolling a difficulty 4 gambit with (Charisma + Performance). Success ensnares him in vines, preventing him from taking any movement actions until he or one of his allies clears them with a difficulty 3 gambit using an edged weapon. Even after they’re hacked away, they linger on as difficult terrain beneath his feet. This Charm can only be used once per day. </t>
  </si>
  <si>
    <t>Blossom Hides Thorns</t>
  </si>
  <si>
    <t>Aura, Mute, Wood</t>
  </si>
  <si>
    <t>The Dragon-Blood turns the strumming of her fingers on an erhu’s strings or the graceful steps of a dance into a facade for a deadly ambush, concluding her show with a truly breath-taking finale. To use this Charm, she must be in the middle of a performance. She rolls (Manipulation + Performance) with double 9s against the Resolve of a single target. On a successful roll, the Dragon-Blood, her allies, and her target roll Join  Battle. Either the Exalt or one of her allies, designated before the Join Battle roll, has the opportunity to make an unexpected attack against the target (Exalted, p. 203). If the attacker beats the target’s Join Battle, the attack is an ambush that bypasses defense completely; if not, it’s only a surprise attack, inflicting -2 Defense. Dance of Flashing Swords can be activated reflexively together with this Charm to disguise the sneak attack as part of the performance. If so, its Willpower cost is waived.</t>
  </si>
  <si>
    <t>Lightning Declamation Style</t>
  </si>
  <si>
    <t>The voice of a dragon evinces perfection. The Exalt rerolls 6s until they cease to appear on an oratorical Performance roll. If she’s upholding a Major or Defining Principle, she rerolls 5s until they cease to appear as well.</t>
  </si>
  <si>
    <t>Epoch Saga Memory</t>
  </si>
  <si>
    <t>Performance 4, Essence 3</t>
  </si>
  <si>
    <t>Legend-Hewn Wisdom</t>
  </si>
  <si>
    <t>The Dragon-Blood has eidetic recall of every story she’s heard before. Finding one within the depths of her memories, she forces it to the surface. Her flawless recitation adds a non-Charm bonus success on a Performance roll made to tell that story, or any mental or social roll with another Ability that could benefit from her perfect recall of every detail of the story. Alternatively, she may add +1 Resolve against an influence roll contrary to that story’s moral, or +1 Guile against a roll by immersing herself in recollection, as a non-Charm bonus. Epoch Saga Memory can only be used once per day.</t>
  </si>
  <si>
    <t>Dragon-Blooded storytellers pass down lessons of history and tradition, ensuring that society’s foundation remains strong. She rolls (Charisma + Performance) to inspire an audience with emotion by telling a story. In addition to creating the chosen emotion, this influence also instills targets with an Intimacy based on the mor- al or allegory of her story, either creating it at Minor intensity or strengthening an already-existing Intimacy. A Performance 5, Essence 3 repurchase allows the Dragon-Blood to pay one Willpower to grant a temporary point of Willpower to any character that allows the influence to succeed without applying his Resolve. This Willpower may only be spent to resist influence that opposes the Intimacy instilled with this Charm. A character may only benefit from this effectonce per day.</t>
  </si>
  <si>
    <t>Puissant Precursor’s Monologue</t>
  </si>
  <si>
    <t>Storm-Gathering Fervor, Thundering Dragon Proclamation</t>
  </si>
  <si>
    <t>The Dragon-Blood speaks with the undeniable authority of a revered grandmother, her every word as powerful as a bolt of lightning. She makes a persuade roll with ([Charisma or Manipulation] + Performance), doubling 7s, to convince her audience to take a course of action that upholds one of her Defining Principles. Characters who share that Intimacy with her must pay an additional point of Willpower to resist her influence. This Charm can only be used once per story unless reset by achieving a legendary social goal (Exalted, p. 134) that upholds one of her Defining Principles.</t>
  </si>
  <si>
    <t>Storm-Gathering Fervor</t>
  </si>
  <si>
    <t>Performance 3, Essence 2</t>
  </si>
  <si>
    <t>An electric understanding arcs between the Dragon-Blood and one who shares her values. When she uses oratory to make an inspire, instill, or persuade roll that is supported by a Principle that her target shares with her, she adds non-Charm bonus dice equal to (the Intimacy of whichever of them has the Principle at the lowest rating). If she targets multiple characters, all of them must share the same Principle with her for her to benefit from this Charm.</t>
  </si>
  <si>
    <t>Sanxian-Charming Fingers</t>
  </si>
  <si>
    <t xml:space="preserve">The Dragon-Blood draws on practice-honed perfection and creative virtuosity, doubling 9s on a Performance roll to play a musical instrument. </t>
  </si>
  <si>
    <t>Voice-Uplifting Aspect</t>
  </si>
  <si>
    <t xml:space="preserve">The Dragon-Blood sings with the voice of the winds, adding an automatic success on a Performance roll to sing and rerolling a single die that showed a non-1 failure for each 10 on the roll. </t>
  </si>
  <si>
    <t>Blossoming Instrument Evocation</t>
  </si>
  <si>
    <t xml:space="preserve">Nature itself yearns for the sweet music of the DragonBlood, offering itself up as the instrument of her harmony. A tree branch will reshape itself into a sanxian should she have need of it, and reeds become flutes of unsurpassed beauty in her hands. She may create a musical instrument from any living plant. If she has a Performance specialty in that instrument, it’s an exceptional tool (Exalted, p. 580). Once this Charm’s duration ends, the instrument reverts back to its natural form. </t>
  </si>
  <si>
    <t>Vibrating Strings Defense</t>
  </si>
  <si>
    <t>Clash, Decisive-only, Wood</t>
  </si>
  <si>
    <t>The Dragon-Blooded makes no distinction between weapons and instruments, rebuking anyone gauche enough to interrupt her song. To use this Charm, she must be carrying or playing a musical instrument. She reflexively clashes an attack against her with a decisive attack, rolled with (Wits + Performance). This doesn’t count as her combat action.  If successful, the Dragon-Blood doesn’t roll damage or reset Initiative, but her attacker loses (Essence + attack roll threshold successes) Initiative, which she doesn’t gain. The base Resolve of an enemy crashed by the gambit is set to 0 against the first Performance-based influence roll the Dragon-Blood makes against him before he recovers from crash. This Charm can only be used once per scene, unless reset by lowering an enemy’s Initiative from a value higher than the Exalt’s own to a value lower than hers.</t>
  </si>
  <si>
    <t>Three-String Sword Prana</t>
  </si>
  <si>
    <t>7m, 1a</t>
  </si>
  <si>
    <t>Drawing on her mastery of an instrument, the Dragon-Blood suffuses its music with anima, unleashing a deadly attack with her song. She can send spectral blades flying at a foe with a strum of her sanxian, play a bone- hattering trill on a flute, create a phantasmal beast that moves in time with the beat of her drums, or similarly spectacular displays of martial prowess. This is a decisive attack rolled with (Wits + Performance) against an enemy out to medium range. With the Storyteller’s permission, the Exalt’s stunt can grant this attack any weapon tags (Exalted, pp. 585-590) that fit the manifestation of the attack. She rolls her Initiative for damage as usual, doubling 10s. If the Dragon-Blood is using other Performance Charms that require her to continue playing to main- tain their effect, using Three-String Sword Prana counts as continuing her performance on the round she uses it.</t>
  </si>
  <si>
    <t>Swaying Boughs Arabesque</t>
  </si>
  <si>
    <t>Moving with sensuous rhythm and vivacious appeal, the Dragon-Blood embodies beauty through dance. This Charm supplements a Performance roll to dance, lowering the Resolve of all targets by 1. This both low- ers the difficulty of the roll and potentially increases the bonus dice added by the Exalt’s Appearance (Exalted, p. 371).</t>
  </si>
  <si>
    <t>Battle Anthem of Ten Thousand Dragons</t>
  </si>
  <si>
    <t>4m, 4i</t>
  </si>
  <si>
    <t>Aura, Perilous, Wood</t>
  </si>
  <si>
    <t>The war-song of the Terrestrial Host has been passed down from mother to daughter for time immemorial, a battle hymn as ancient as the Divine Revolution. As long as the Dragon-Blood continues her musical performance with instruments or her voice, she and all allies that hear it gain a single bonus die on all attack rolls, combat movement, and command actions. Allied battle groups also add this bonus on rolls to resist rout. In addition, her and her allies’ successful withering attacks grant one bonus point of Initiative. If multiple characters use this Charm, these bonuses don’t stack. The Dragon-Blood can take other actions while continuing the performance by flurrying them with a miscellaneous action to continue performing.</t>
  </si>
  <si>
    <t>Petal-Strewn Pavane</t>
  </si>
  <si>
    <t>Balanced, Perilous, Wood</t>
  </si>
  <si>
    <t>The Dragon-Blood makes no distinction between dance hall and field of battle. She adds (Performance) bonus dice to any combat movement roll. Additionally, she can flurry the supplemented movement with a Performance-based action without flurry penalties. This Charm can’t be used if the Exalt is wearing medi- um or heavy armor. In Wood Aura, this Charm also adds a non-Charm bonus success on the roll, and allows the Dragon-Blood to ignore the normal penalties for moving through difficult terrain.</t>
  </si>
  <si>
    <t>Falling Leaves Sway</t>
  </si>
  <si>
    <t xml:space="preserve">Every movement of the Exalt’s body is suffused with emotional intensity. Her Appearance adds non-Charm bonus dice to an inspire roll made through dance based on her target’s Resolve (Exalted, p. 218). Any social influence that she or her allies subsequently use against that target in the same scene that’s supported by the inspired emotion gains an automatic success. </t>
  </si>
  <si>
    <t>Waltz of Honeyed Wine</t>
  </si>
  <si>
    <t>Aura, Wood</t>
  </si>
  <si>
    <t xml:space="preserve">The Dragon-Blood is vivacity and allure made manifest in motion, dancing with irresistible sensuality. She converts the non-Charm dice added by her Appearance on any dancebased Performance roll to non-Charm successes. Characters with a base Resolve at least two points lower than her Appearance must spend an additional point of Willpower to resist her influence, while those whose Resolve is five points lower cannot spend Willpower to resist at all. Waltz of Honeyed Wine can only be used once per story, unless reset by achieving a major character or story goal (Exalted, p. 170) by playing on another character’s emotions, or by seducing him.   </t>
  </si>
  <si>
    <t>Glowing Coal Radiance</t>
  </si>
  <si>
    <t>Presence 1, Essence 1</t>
  </si>
  <si>
    <t xml:space="preserve">The blazing power that radiates from the DragonBlood’s every word and gesture is enough to humble those who stand before her. She may add automatic successes to a Presence roll for two motes each, and rolls an additional non-Charm die for every 10. </t>
  </si>
  <si>
    <t>Eternally Argumentative Flame</t>
  </si>
  <si>
    <t xml:space="preserve">A Dragon-Blood’s tongue is but one of her many weapons. When she flurries a Presence- or Socialize-based influence  roll, the flurry penalty on both actions is reduced by one point, and she doesn’t suffer a Defense penalty. In Fire Aura, this Charm removes the flurry penalty entirely. </t>
  </si>
  <si>
    <t>Unbearable Taunt Technique</t>
  </si>
  <si>
    <t xml:space="preserve">Even the meekest hearts are tinderboxes for the flames of outrage the Dragon-Blood stirs. She rolls to inspire a single character with anger. If successful, her target must immediately respond to her with hostility. His player chooses the form this takes — outrage, threats, or even Joining Battle. In combat, this influence roll instead provokes an enemy into prioritizing attacking the Dragon-Blood instead of any of her allies on his next turn. Even if he does pay the Willpower cost to resist, he loses two Initiative if he attacks any other character that turn. </t>
  </si>
  <si>
    <t>Burning Dragon Mien</t>
  </si>
  <si>
    <t xml:space="preserve">The fury of a dragon strikes fear into even the boldest hearts. The Dragon-Blood makes a threaten roll with double 9s against a single character. An enemy whose Resolve is beaten in combat loses 1 Initiative, even if he resists. </t>
  </si>
  <si>
    <t>Warm-Faced Seduction Style</t>
  </si>
  <si>
    <t xml:space="preserve">The Dragon-Blood radiates desirability and enchanting allure. She makes a persuade roll to seduce a single target. Overcoming his Resolve also instills him with a Minor Tie of lust or desire toward her unless he spends Willpower to resist. In Fire Aura, the Dragon-Blood may convert up to (Essence) bonus dice added by her Appearance (Exalted, p. 218) to non-Charm bonus successes.  </t>
  </si>
  <si>
    <t>Debate-Sparking Bonfire</t>
  </si>
  <si>
    <t>Presence 3, Essence 2</t>
  </si>
  <si>
    <t>A few choice words are all it takes to turn any soiree or party into a firestorm of argument and recriminations. The Dragon-Blood rolls to inspire one or more characters with anger, ignoring the penalty for targeting multiple characters. Affected characters must express their outrage towards the DragonBlood using social influence in a way chosen by their player —engaging the Dragon-Blood in an argument, bad-mouthing her to his associates, or some similar social expression of outrage. If that character already intended to commit violence against her, he may do so, but must express his rage through word and deed simultaneously.</t>
  </si>
  <si>
    <t>Fearsome Dragon Presence</t>
  </si>
  <si>
    <t>The Dragon-Blood’s terrifying battle aspect cows her foes. For one tick, all attack rolls, social influence rolls, and rushes made against the Dragon-Blood take a -2 penalty. An enemy may spend one Willpower to be- come immune to this penalty for the rest of the scene. In Fire Aura, the penalty inflicted by this Charm rises to (Essence).</t>
  </si>
  <si>
    <t>Hot-Blooded Ardor</t>
  </si>
  <si>
    <t>The Dragon-Blood is fire given flesh. She treats her Appearance as one dot higher, even above 5, when determining how many bonus dice it adds (Exalted, p. 218) to an influence roll made with Presence or Socialize. With a Presence 5, Essence 3 repurchase, the Dragon-Blood may expend her Fire Aura to treat her Appearance as (Essence/2, rounded up) dots higher instead.</t>
  </si>
  <si>
    <t>Moth to the Candle</t>
  </si>
  <si>
    <t>Outraged foes rush headlong for the Dragon-Blood like moths plunging to their doom. The Dragon-Blood’s enemies are so enraged by the sight of her that they must prioritize attacking her over any other character. This doesn’t prevent them from taking non-attack actions, but they cannot attack her allies as long as she remains in the fight. An enemy can resist this for one scene by spending a point of Willpower. This Charm also reduces the cost of Unbearable Taunt Technique to one mote. If the Dragon-Blood success- fully taunts an enemy who hasn’t resisted Moth to the Flame, that character must use his next turn to move into range and attack her if possible.</t>
  </si>
  <si>
    <t>Passion-Transmuting Nuance</t>
  </si>
  <si>
    <t>Burning Dragon Mien, Unbearable Taunt Technique, Warm-Faced Seduction Style</t>
  </si>
  <si>
    <t>Just as a rising tide transforms landscapes, the Terrestrial’s words can turn fear to hope or delight to sorrow. She makes an inspire roll with (Manipulation + Presence) against a single character who’s in the grip of strong emotion, either as a result of an inspire action (Exalted, p. 217), or due to roleplaying reasons. Success lets the Dragon-Blood change her target’s emotion to another, unrelated passion. The new emotion is treated as a Major Intimacy even if the original wasn’t inspired using influence. A character must enter a Decision Point and call on a Major or Defining Intimacy to resist this influence with Willpower.</t>
  </si>
  <si>
    <t>Grinding Millstone Argument</t>
  </si>
  <si>
    <t xml:space="preserve">The Dragon-Blood embodies the relentless nature of earth in her persistent argument, shaking the convictions of even her strongest-willed rivals. After failing a persuade roll, she may reset her attempt (Exalted, p. 222), allowing her to try again. If her target uses the same  Intimacy to bolster his Resolve that he did against the original attempt, the bonus it provides is lowered by one. Grinding Millstone Argument can only be used once per scene. </t>
  </si>
  <si>
    <t>Haunting Words Infliction</t>
  </si>
  <si>
    <t xml:space="preserve">Even if the Dragon-Blood cannot persuade another with her arguments, she can give him the clarity of air to know the truth for himself when he sees it. She rolls (Charisma + Presence) with double 9s to instill a single character with an Intimacy she possesses. Even if she doesn’t beat her target’s Resolve or he resists, her words linger with him for (6 - his Integrity) weeks thereafter. Every gust of wind seems to whisper her argument in endless repetition, while weather patterns take on symbolic or allegorical meaning to him. Each time the target learns new information that supports the Dragon-Blood’s argument and would allow her to retry her instill action (Exalted, p. 222), he makes a (Charisma + Presence) instill roll against himself, adding (the Dragon-Blood’s Essence) in non-Charm bonus dice. He cannot choose to fail the roll, and the rules for lengthy debates apply (Exalted, p. 219). Successfully asserting his Resolve against such a roll ends this Charm’s effect. This Charm may only be used against any given character once per story. </t>
  </si>
  <si>
    <t>Virtuous Mountain’s Shadow</t>
  </si>
  <si>
    <t xml:space="preserve">Disharmonious words, offensive to propriety and right action, invite the Dragon-Blood’s censure. When she witnesses a character using social influence she wishes to dispute, she may draw on one of her Major or Defining Intimacies to make her counterargument. All characters who hear her gain access to that Intimacy, which they may use to bolster their Resolve against the influence or in a Decision Point. Characters who choose to accept this benefit gain the chosen Intimacy at Minor intensity.  </t>
  </si>
  <si>
    <t>Terrifying Fire-Dragon Roar</t>
  </si>
  <si>
    <t>Presence 5,Essence 3</t>
  </si>
  <si>
    <t xml:space="preserve">Roaring with her draconic ancestors’ fury, the DragonBlood exhales a deadly blast of fire. She rolls an unblockable decisive attack with (Charisma + Presence) that extends in a line out to medium range, striking all characters caught within it, including allies. The attack roll is also treated as a threaten roll against all enemies caught in the blast to terrify them into fleeing, even if they successfully dodge. The Dragon-Blood divides (her Initiative + Essence) evenly among all hit characters, rounded down, to determine the lethal damage rolled against them, ignoring Hardness. Battle groups caught in the blast suffer (Initiative + Essence) damage, which doesn’t count against the total Initiative she has to divide, and must roll against rout (Exalted, p. 209) if their Resolve is beaten. Any flammable scenery in the area of the blast catches fire. This Charm can only be used once per scene, unless reset by gaining 15+ points of Initiative in a single tick. </t>
  </si>
  <si>
    <t>Fluid Recollection Insinuation</t>
  </si>
  <si>
    <t xml:space="preserve">The Essence of the Dragon-Blood’s presence flows into her target’s mind like seeping water, finding a place in his memories wherein she can exist. She rolls (Manipulation + Presence) as a special instill roll, describing a past encounter between the two of them that never happened. If she beats the target’s Resolve, she creates a false memory, up to five minutes long, of that encounter. The memory is focused solely on the interaction between the two, whether that was a conversation, a dance at a soiree, an introduction as children, or a street brawl. Implausible claims (Exalted, p. 215) in this false version of events do not inflict penalties; instead they subtract successes equal to the penalty they’d normally inflict. If a target has never met the Dragon-Blood before, he forms a Minor Tie towards her, with an emotional context chosen by his player based on the nature of the false memory. He cannot voluntarily weaken this  Tie. For him to resist this influence, other characters must fully erode the Intimacy using social influence or magic, at which point he may pay one Willpower to recognize the false memory for an illusion. A character who already knows the Dragon-Blood can still have his memories altered. He still forms a new Minor Tie based on the false memory, but doesn’t need to erode it before he may pay Willpower to recognize a discrepancy between the false memory and what he knows about the Dragon-Blood. This Charm may only be used against any given character once per story. </t>
  </si>
  <si>
    <t>Spirit-Cultivating Leadership</t>
  </si>
  <si>
    <t xml:space="preserve">The Dragon-Blood is a source of strength for her followers and attendants, helping them realize their true potential through her leadership. She may use this Charm on a character with a Defining Tie of loyalty to her. For the duration of this Charm, he gains the following benefits: • +2 Resolve against any influence that would weaken his Tie to the Dragon-Blood. • Three temporary specialties of the DragonBlood’s choice, distributed among the Archery, Athletics, Awareness, Brawl, Dodge, Integrity, Martial Arts, Melee, Presence, Resistance, Ride, Sail, Survival, Thrown, or War Abilities. • One extra Willpower per day, which may only be spent resisting social influence. This cannot raise him above his permanent Willpower and is lost at the end of the day if not spent. The Dragon-Blood may use this Charm on up to a maximum of (Essence +3) characters at a time. </t>
  </si>
  <si>
    <t>Blazing Heart Ascendancy</t>
  </si>
  <si>
    <t>Presence 4, Essence 3</t>
  </si>
  <si>
    <t xml:space="preserve">Fire is best fought with fire. This Charm supplements a persuade or threaten roll made with Presence or  Socialize. If the target enters a Decision Point to resist the supplemented influence, the only Intimacies he can call upon to justify his resistance are those based on passion. Intimacies with no emotional power, such as a Principle of belief in the rule of law, cannot be used, even if they have a higher intensity. Characters who have no passionate Intimacies to inflame are immune to this effect. </t>
  </si>
  <si>
    <t>Heartstring-Pulling Approach</t>
  </si>
  <si>
    <t xml:space="preserve">The Dragon-Blood speaks directly to her listener’s emotions, stoking the flames that burn within his heart. She adds a non-Charm success on a Presenceor Socialize-based influence roll with a single target. If the target’s Resolve is lowered by a Major or Defining Intimacy based on passionate emotion, the cost to resist the influence increases by one Willpower. </t>
  </si>
  <si>
    <t>Aura of Invulnerability</t>
  </si>
  <si>
    <t>Aura, Fire, Perilous</t>
  </si>
  <si>
    <t xml:space="preserve">A fiery nimbus of anima engulfs the Dragon-Blood, burning with the radiance of her own peerless self-confidence. After paying this Charm’s cost, she rolls (current temporary Willpower), gaining a temporary -0 health level for each success, and adds (Charisma) to her natural soak. Once this Charm ends, these temporary health levels fade, and all levels of damage contained in them shift back into the DragonBlood’s damage track. If this incapacitates her, she falls unconscious, even if lethally damaged, instead of being left dead or dying. </t>
  </si>
  <si>
    <t>Vivacious Dragon Beauty</t>
  </si>
  <si>
    <t xml:space="preserve">Suffusing her demeanor with the sensuality of Wood Essence, the Dragon-Blood affects an efficaciously seductive bearing. She gains a bonus dot of Appearance, which may raise her Appearance above 5.  </t>
  </si>
  <si>
    <t>Minds Like Fertile Fields</t>
  </si>
  <si>
    <t>Earth, Psyche</t>
  </si>
  <si>
    <t xml:space="preserve">The Dragon-Blood speaks an aphorism weighted with Earth Essence, suffusing her listener with receptive passivity. She rolls ([Charisma or Manipulation] + Presence) against the Resolve of a single character. A successful roll induces a pleasant trance state that lasts a few seconds. If anyone immediately follows this up with an influence roll targeting the entranced character, his receptive state leaves him unable to call on Intimacies to bolster his Resolve, nor can his Intimacies be exploited to lower his Resolve. </t>
  </si>
  <si>
    <t>Entombed Mind Technique</t>
  </si>
  <si>
    <t>Aura, Earth, Psyche</t>
  </si>
  <si>
    <t xml:space="preserve">With a low droning voice, the Dragon-Blood lulls her listener into dreamless sleep. To use this Charm, she must first use its prerequisite to induce a receptive state in her target. She rolls (Manipulation + Presence) against his Resolve, causing him to fall asleep unless he pays two Willpower to resist. He cannot be woken from this sleep by others without magic for the rest of the scene and an hour thereafter, and won’t awake of his own volition for at least a day. While asleep, the Dragon-Blood may make a single influence roll against him with the benefits of Minds Like Fertile Fields, whispering the words in his ear as he sleeps. With an Essence 4 repurchase, the Dragon-Blood may pay an additional five motes to place a target whose permanent Willpower is lower than her Essence into perpetual slumber. He doesn’t suffer from hunger or thirst while he sleeps, nor does he age, but he cannot be woken without magical intervention. The Exalted are immune to this effect; other supernatural creatures aren’t. A third Essence 5 repurchase lets her pay a total of ten motes and two Willpower to petrify a target she could have placed into eternal slumber, transforming him into an inanimate statue. She may spend five motes and one Willpower to reverse the petrification with a touch. Otherwise, it can only be undone with magic such as Order-Affirming Blow (Exalted, p. 334). This Charm may only be used against a character once per story.  </t>
  </si>
  <si>
    <t>Dragon Warlord’s Convocation</t>
  </si>
  <si>
    <t>Blazing Heart Ascendancy,Heartstring-Pulling Approach</t>
  </si>
  <si>
    <t xml:space="preserve">The Dragon-Blood forges loyalty with fiery words, overawing and inspiring those who hear her. She makes an instill roll against a single character with ([Charisma or Appearance] + Presence), doubling 9s, to create a Tie of loyalty towards her. This creates an Intimacy at Major intensity, or strengthens a Minor or Major Intimacy to Defining intensity. If the target wishes to resist, he must enter a Decision Point, calling on another Intimacy of equal or greater intensity and paying two Willpower. For the remainder of the story, the target cannot voluntarily weaken this Intimacy unless the Dragon-Blood directly harms him or threatens one of his Major or Defining Intimacies. Even then, he can only weaken it by one level for each offense. Dragon Warlord’s Convocation can only be used once per story, unless reset by achieving a legendary social goal (Exalted, p. 134).   </t>
  </si>
  <si>
    <t xml:space="preserve">The blood of the dragons confers incredible resilience. Each purchase of this Charm grants extra health levels based on the character’s Stamina rating. At Stamina 1 and 2: Two -2 health levels. 3 and 4: One -1 and one -2 level. 5: One -1 and two -2 levels. This Charm may be purchased (Resistance) times. If the Dragon-Blood’s Stamina increases, her health levels change to reflect her new rating. </t>
  </si>
  <si>
    <t>Purifying Blood Ascendancy</t>
  </si>
  <si>
    <t xml:space="preserve">The blood of the Dragons suffuses the Terrestrial’s body with legendary vigor. She may add automatic successes to a Resistance roll for two motes each, and rerolls 6s until they cease to appear. </t>
  </si>
  <si>
    <t>Body-Cleansing Prana</t>
  </si>
  <si>
    <t>Air or Fire or Water, Balanced</t>
  </si>
  <si>
    <t xml:space="preserve">The Dragon-Blood overcomes poison through mastery of her body’s own internal cycle of elements, channeling Essence inward to cleanse herself of poison or disease. She may use this as an Air Charm against inhaled poisons, as a Fire Charm to burn disease from her body, or as a Water Charm against poisons transmitted through food, drink or weapons. Regardless of aspect, she doubles 9s on the roll to resist. With a Resistance 5, Essence 3 repurchase, if the DragonBlood rolls enough successes to completely negate the duration of a poison, she may pay one Willpower to expel it at an enemy within short range as an unblockable attack, either exhaling a great gout of venomous gas or smoke, or driving poisons from her pores in a liquid burst. She rolls (Stamina + Resistance) against his Evasion, exposing him to the poison if successful. </t>
  </si>
  <si>
    <t>Uneating Earth Meditation</t>
  </si>
  <si>
    <t xml:space="preserve">Like the earth itself, the Terrestrial has no need for external nourishment. She ignores any deprivation penalties from starvation or dehydration (Exalted, p. 232). Additionally, she adds (Resistance) to the amount of time she can go before succumbing to starvation or dehydration, as long as she uses this Charm for that entire time. </t>
  </si>
  <si>
    <t>Untiring Earth Meditation</t>
  </si>
  <si>
    <t xml:space="preserve">Exhausted, the Dragon-Blood may find sustenance in the ground beneath her feet. As long as she’s standing on the ground or touching stone, she ignores fatigue penalties. </t>
  </si>
  <si>
    <t>Impervious Skin of Stone</t>
  </si>
  <si>
    <t>Balanced, Earth, Withering-only</t>
  </si>
  <si>
    <t xml:space="preserve">Bracing herself against a blow, the Dragon-Blood deflects attacks with the force of solid stone. She doubles her Stamina to determine her natural soak against a single withering attack. In Earth Aura, this Charm can be used after an attack hits the Dragon-Blood, but before damage is rolled. </t>
  </si>
  <si>
    <t>Eternal Tide Endurance</t>
  </si>
  <si>
    <t>Water, Withering-only</t>
  </si>
  <si>
    <t xml:space="preserve">The Dragon-Blood adapts to her foe’s attacks, turning his force to her advantage. Every 1 on a withering attack roll against her increases her soak by +1. In Water Aura, this Charm can be used against decisive attacks, granting two points of Hardness, plus an additional point for every 1 on the attack roll, maximum (Stamina) Hardness. This doesn’t stack with other sources of Hardness. </t>
  </si>
  <si>
    <t>Supple Viridian Scales</t>
  </si>
  <si>
    <t xml:space="preserve">The Dragon-Blood wears her armor like a second skin, pliant and yielding as living wood, as she moves with the sinuous grace of a dancing dragon. She lowers her armor’s mobility penalty by 1 for a single tick. If it’s light armor, she instead adds a non-Charm die on rolls to rush or disengage. In Wood Aura, this Charm’s duration lasts for as long as the Dragon-Blood remains in Aura.  </t>
  </si>
  <si>
    <t>(Element) Protection Technique</t>
  </si>
  <si>
    <t xml:space="preserve">The Dragon-Blood harmonizes her body with one of the five elements, rendering her body almost impervious to any harm from that element. She chooses one of the five elements upon activating this Charm, gaining +3 natural soak and (Stamina) Hardness against attacks made using that element, such as a firewand’s blast, a wooden spear, a hurled stone, or the talons of an air elemental. She subtracts (lower of Stamina or Resistance) from the damage of appropriate environmental hazards. This Charm can only negate harm that directly relates to the chosen element. An Earth-aspected use won’t defend against metal weapons, nor would a Fireaspected use defend against a Blazing Solar Bolt. </t>
  </si>
  <si>
    <t>Elemental Aegis</t>
  </si>
  <si>
    <t xml:space="preserve">The Dragon-Blood can banish artifact armor into one of the five elements, dissolving her hauberk into water or letting the whirling wind divest her of armor piece by piece. She may send attuned jade armor Elsewhere through a significant and dramatic manifestation of the chosen element: it might vanish as she walks through fire, dissolve as she meditates beneath a waterfall, or be drawn beneath a tree’s bark or into the rocky surface of a boulder or stone pillar. She may use this Charm to retrieve the armor from a similar elemental manifestation, donning it as though donning it normally (Exalted, p. 591). If the Exalt doesn’t have access to an appropriate elemental manifestation, she may expend a level of anima to banish or recall her armor. Once banished this way, it may be recalled through a manifestation of her Aspect element. </t>
  </si>
  <si>
    <t>Unsleeping Earth Meditation</t>
  </si>
  <si>
    <t xml:space="preserve">The Terrestrial sustains herself without need for sleep, renewing her wearied body by drawing on Earth Essence. Once per day, she may spend an hour in meditation to gain all the benefits of a good night’s sleep, including a point of Willpower. She may use this Charm to remain awake for up to (Essence + Stamina) days without hindrance, but past that point, she ceases to regain Willpower from it until she’s received a full eight hours of sleep normally each day over as many days as she used this Charm to stay awake. </t>
  </si>
  <si>
    <t>Unbreathing Earth Meditation</t>
  </si>
  <si>
    <t xml:space="preserve">A single breath of air is enough to sustain the DragonBlood as she slows the rhythm of her lungs and the beating of her heart. She may hold her breath for up to ([Stamina + Resistance] x5) minutes, or ([Stamina + Resistance] x2) rounds in combat. </t>
  </si>
  <si>
    <t>Unfeeling Earth Meditation</t>
  </si>
  <si>
    <t xml:space="preserve">The Dragon-Blood suffuses her body with Earth Essence, inuring herself to the pain and frailty of her flesh. She may ignore wound penalties on a single action with any Ability. With an Essence 4 repurchase, using this Charm in Earth Aura extends its duration for as long as the Dragon-Blood remains in Aura. </t>
  </si>
  <si>
    <t>Body-Like-Clouds Meditation</t>
  </si>
  <si>
    <t>Aura, Signature (Air), Withering-only</t>
  </si>
  <si>
    <t xml:space="preserve">The Dragon-Blood channels Air Essence throughout her body with circular breathing, lightening and dispersing her form to become all but untouchable. Withering damage rolls against her take a penalty of (Essence), which can reduce them below their minimum damage, minimum one die. If a withering attack hits her but deals no damage, she steals 2 Initiative  from her attacker as he overextends, striking where she’s not. </t>
  </si>
  <si>
    <t>Perfected Scales of the Dragon</t>
  </si>
  <si>
    <t>7m, 1wp, expend Earth Aura</t>
  </si>
  <si>
    <t>Resistance 5,Essence 3</t>
  </si>
  <si>
    <t xml:space="preserve"> The Dragon-Blood settles into a deep-rooted stance, will and Essence hardening her body into an impervious form with an almost crystalline sheen. She gains Hardness equal to ([Essence + Stamina] x2) against all decisive attacks until her next turn. This doesn’t stack with Hardness from armor, but is compatible with Hardness granted by Resistance Charms. Whenever a decisive attack is negated by her Hardness, her attacker doesn’t reset to base Initiative; instead, he loses Initiative as though he’d missed, which she gains. Such is the focus required by this Charm that the Dragon-Blood cannot attack or move on her next turn after using it, although she may still take other miscellaneous actions.  </t>
  </si>
  <si>
    <t>Raging Fire-Dragon Spirit</t>
  </si>
  <si>
    <t>6m, 1wp, 1ahl</t>
  </si>
  <si>
    <t xml:space="preserve">The Dragon-Blood unleashes the deepest flames of her vitality, awakening the deadly force of her inner fire. Her body becomes faster and stronger at the cost of risking exhaustion or death. She gains a bonus dot of Strength, ignores a single point of wound penalty, and adds (lower of Essence or Stamina) bonus dice on all rolls she makes to attack, rush, or attempt a feat of strength. However, her Stamina doesn’t add to her soak and she loses one point of Initiative at the end of each round. </t>
  </si>
  <si>
    <t>Fathomless Depths Replenishment</t>
  </si>
  <si>
    <t xml:space="preserve">The Dragon-Blood meditates on the deepest depths of herself, discovering that she is eternal. After spending  an hour in meditation, she rolls (Essence + Stamina), unmodified by other effects. Each success grants her a temporary -1 health level. Undamaged health levels fade away at the end of this Charm’s duration, but the Dragon-Blood keeps any levels that are filled with damage, and they count against her total successes on a subsequent roll to use this Charm. These health levels are healed before any others of the same level when the Exalt recovers from rest or receives magical healing. If the Dragon-Blood carries a wounded health level for more than (Stamina) days, it falls from a -1 to a -2 health level. After another (Stamina x2) days, they become -4 levels. Damaged levels vanish once they’re healed. </t>
  </si>
  <si>
    <t>Well-Tended Garden of the Soul</t>
  </si>
  <si>
    <t>5m, 1wp, expend Wood Aura</t>
  </si>
  <si>
    <t>Aura, Perilous, Signature (Wood)</t>
  </si>
  <si>
    <t xml:space="preserve">The Dragon-Blood beckons to the Wood Essence that moves through the wilderness, calling forth healing renewal from the forest’s boughs. In a barren wilderness, it’s sufficient that she touches a single shoot of green life to use this Charm. She weaves her hands through a series of mudras that ends in a flash of anima that leaves every plant out to medium range radiant and flourishing, traced with hints of green anima. Any blighted or diseased plants are healed, while mundane plants that have died of winter frost or drought might be revived. On her next turn, the blessing of life circles back unto her, unless this Charm is interrupted before then by her being crashed, taking decisive damage, or being forced into a range band devoid of plant life. She rolls (Essence + Stamina), unmodified by other effects, and heals a single level of non-aggravated damage for each success. This Charm can only be used once per day. </t>
  </si>
  <si>
    <t>Earth Bears Witness</t>
  </si>
  <si>
    <t>5m, 3i</t>
  </si>
  <si>
    <t>Aura, Decisive-only, Earth, Perilous</t>
  </si>
  <si>
    <t xml:space="preserve">The Dragon-Blood braces her body solidly against the ground, feeling the Earth’s Essence upholding her own. As she’s struck, the force of the blow passes through her and into surrounding earth or stone. She subtracts (Stamina/2, rounded up) dice from the damage of a decisive attack, shunting it into the ground.  The Storyteller may deem that this creates difficult terrain or destroys mundane objects. If there’s a large, dramatically significant source of stone or other earth-based substance, such as a boulder or stone pillar, within short range of the Exalt, she instead subtracts (Stamina) as it bears the force of the attack for her. The force of her enemy’s blow might smash a crater in the shape of her silhouette into a fortress’s walls or blast a stone monument from its pedestal. With Resistance 5, the Dragon-Blood may purchase the following elemental variants of this Charm for three experience points each. Water: In Water Aura, this Charm can shift (Stamina/2, rounded up) dice of decisive damage into any nearby water. It reduces damage by (Stamina) if she shifts it into a body of water or a large vessel, such as a cistern or a well. Wood: In Wood Aura, this Charm can shift (Stamina/2, rounded up) dice of decisive damage into wooden objects or living plants. It reduces damage by (Stamina) if she shifts it into a wooden structure or tree-sized plant. </t>
  </si>
  <si>
    <t>Immovable Mountain Technique</t>
  </si>
  <si>
    <t>Earth, Perilous</t>
  </si>
  <si>
    <t xml:space="preserve">Filling her body with the incredible weight of mountains and continents, the Dragon-Blood refuses to be moved. She cannot be knocked back by smash attacks, thrown in a grapple, or shifted by comparable mundane forces. Even magic is impeded by this Charm, although not entirely negated, with the Storyteller adjudicating the specific nature of the defense based on the nature of the Charm being used: A Solar using Heaven Thunder Hammer might be forced to halve her damage successes when determining how far she can knock the Dragon-Blood. This Charm ends if she moves from the spot where she used it, or if she’s crashed or incapacitated. </t>
  </si>
  <si>
    <t>Ripples-on-Water Defense</t>
  </si>
  <si>
    <t>Aura, Dual, Water</t>
  </si>
  <si>
    <t xml:space="preserve">The Exalt’s body becomes almost fluid as it disperses the force of attacks. Against a withering attack, (lower of Essence or Stamina) 1s on the damage roll subtract  successes. Against a decisive attack, (lower of Essence or Stamina) 1s force her attacker to reroll that many damage dice that show success, beginning with 7s and moving up. </t>
  </si>
  <si>
    <t>Dragon’s Unfailing Vigor</t>
  </si>
  <si>
    <t>Ox-Body Technique (x5)</t>
  </si>
  <si>
    <t xml:space="preserve">The Dragon-Blood has forged her body to a fivefold extreme of durability, reaching the apex of her supernatural vitality. She gains one -0 health level and one -4 health level. </t>
  </si>
  <si>
    <t>Flowing Dragon-Body Endurance</t>
  </si>
  <si>
    <t xml:space="preserve">The Dragon-Blood becomes as a standing wave, untouched by the attacks of lesser enemies. She gains Hardness equal to her current Initiative against all decisive attacks. This Charm isn’t compatible with armor. </t>
  </si>
  <si>
    <t>Revolving-Hurricane-Force Defense</t>
  </si>
  <si>
    <t>Air, Aura, Withering-only</t>
  </si>
  <si>
    <t xml:space="preserve">The Dragon-Blood’s incredible resilience is like a raging gale barely contained within her body, striking aside her enemies’ blows before they even touch her. She rolls (Stamina + Resistance) with (Essence) non-Charm bonus dice, and gains a soak bonus equal to the successes against any attack by a character with lower Initiative. The soak bonus falls by one point each time an attack hits the Dragon-Blood. This Charm can only be used once per scene.   </t>
  </si>
  <si>
    <t>Scattered Pearl Hoof Falls</t>
  </si>
  <si>
    <t xml:space="preserve"> The hoofbeats of the Dragon-Blood’s mount strike the ground as swiftly and lightly as pearls falling from a broken necklace, speeding her onwards to her goal. She may add automatic successes to a Ride roll for two motes each, and she ignores one point of mobility penalty from her mount’s barding. </t>
  </si>
  <si>
    <t>Heaven-Racing Leap</t>
  </si>
  <si>
    <t xml:space="preserve">The Dragon-Blood urges her steed skywards in a leap that defies gravity. She may have her mount automatically jump one range band forward horizontally with her reflexive movement for the turn. Alternatively, when she has her mount jump as part of a movement roll, including rushing and disengaging, every 10 rerolls a non-1 failed die. In Air Aura, her steed may leap one range band vertically, as long as the steed can land on a surface capable of bearing its weight. </t>
  </si>
  <si>
    <t>Tread Rooted in Life</t>
  </si>
  <si>
    <t xml:space="preserve">At one with the wilderness that surrounds them, horse and rider move with matchless grace. They may gallop through undergrowth, weave between trees in a dense forest, or trample over brambles. The Dragon-Blood ignores plant-based environmental penalties to her mounted movement actions. Any environmental penalties on her Ride rolls due to plants or vegetation-covered terrain are lowered by two points. With Essence 2, the Dragon-Blood may learn elemental variants of this Charm for three experience points each. These variants are Stackable with each other. Air: This variant negates penalties from wind and foul weather. Earth: This variant negates penalties for moving over uneven earth or rocky terrain. Water: This variant negates penalties for moving while partially immersed in water, or over a wet or slippery surface.  </t>
  </si>
  <si>
    <t>Great Heart Companion</t>
  </si>
  <si>
    <t>Even the best-trained warhorse trembles at the perils that the Dragon-Blood faces, but the bond between mount and rider is strong enough to withstand any test. She may grant her mount +2 Resolve against a threaten roll or other fear-based influence, or herself +1 Defense against an unhorse gambit. In Wood Aura, this Charm lasts as long as the Dragon-Blood remains in Aura, providing both benefits.</t>
  </si>
  <si>
    <t>Reins-Like-Roots Unity</t>
  </si>
  <si>
    <t>The bond between the Dragon-Blood and her mount isn’t easily broken. This Charm can be used to defend against an unhorse gambit. 1s on the attack roll subtract successes, and the difficulty of the gambit increases by 1. In Wood Aura, this Charm’s duration lasts as long as the Exalt remains in Aura.</t>
  </si>
  <si>
    <t>Cloud-Harnessing Technique</t>
  </si>
  <si>
    <t>Heaven-Gracing Leap</t>
  </si>
  <si>
    <t>The hooves of the Dragon-Blood’s horse barely seem to touch the earth as it gallops, seeming to fly over the ground. Until her next turn, her mount can run across and stand on surfaces that wouldn’t normally bear its weight, and ignores difficult terrain.</t>
  </si>
  <si>
    <t>Creation-Turning Hoof</t>
  </si>
  <si>
    <t>Enemies ridden down by the Dragon-Blood know that escape is hopeless when they hear her steed’s pound- ing hoofbeats build to a rumbling avalanche behind them. The Dragon-Blood imposes a penalty equal to her mount’s Speed bonus on an enemy’s roll to oppose her mounted rush.</t>
  </si>
  <si>
    <t>Dance of the Jade Bridle</t>
  </si>
  <si>
    <t>Even the mightiest beasts learn to bow before the dragon. The Dragon-Blood rolls ([Attribute] + Ride) against an animal’s Resolve, impressing or subduing it with a stunt over the course of a few minutes of interaction. She might win a tiger’s respect by staring it down using Charisma, wrestle a river dragon using Strength to se- cure a place on its back, or leap out of a tree to land on a strix using Dexterity. On a success, the animal allows the Dragon-Blood to saddle and mount it, forming a Minor Tie of loyalty to her. A single use of this Charm is insufficient to completely tame a wild animal, but it begins the process. Kindly treatment, roleplaying interactions, and magic such as Beast- aming Aspect (p. 271) over the course of one or more sessions can tame even the most feral beast, at the Storyteller’s discretion.</t>
  </si>
  <si>
    <t>Ebony Spur Technique</t>
  </si>
  <si>
    <t>2m, 3i</t>
  </si>
  <si>
    <t>Dragon-Blooded cavalry learn to ride and fight together in martial harmony, creating openings in even the strongest defenses. This Charm can be used when a mounted ally successfully lands an attack against an enemy within short range of the Dragon-Blood. She may reflexively move up to one range band towards that enemy and make a decisive attack using any combat Ability, adding her mount’s Speed bonus to the attack roll. This counts as her combat action for the round, and she cannot use this Charm if she’s already attacked earlier in the round, but it doesn’t count against her movement action. Ebony Spur Technique can only be used once per scene, unless reset by crashing an enemy with a mounted withering attack.</t>
  </si>
  <si>
    <t>Ass-to-Elephant Method</t>
  </si>
  <si>
    <t>A humble draft horse can haul massive boulders behind it when ridden by a Prince of the Earth. This Charm supplements a feat of strength by a mount being ridden by the Dragon-Blood, adding its Speed bonus to its Strength. This both increases its dice pool and its effective Strength rating for determining what feats it may attempt (Exalted, p. 231).</t>
  </si>
  <si>
    <t>Mountain-Trampling Hoof</t>
  </si>
  <si>
    <t>The Dragon-Blood endows her mount with the endurance of the mountains and the strength of a falling avalanche as it charges forward like a battering ram to smash down gates and fortifications. The Exalt’s mount makes a feat of demolition to destroy or topple an object at least human-sized, adding (Essence/2, rounded up) non-Charm bonus successes. If she uses this Charm after spending multiple consecutive turns moving towards the object, each range band of movement lowers the Strength total required to attempt the feat by one, to a maximum of (Essence). The mount is able to complete the feat in instants, even if it would normally take longer. The immense force unleashed by the mount’s battering charge isn’t without risk. For every 1 on its feat of strength roll, roll a single die of bashing damage against it, ignoring Hardness. This Charm cannot be used if the Dragon-Blood’s mount has no undamaged health levels above Incapacitated.</t>
  </si>
  <si>
    <t>Untethered Pegasus Spirit</t>
  </si>
  <si>
    <t>Cloud-Harnessing Method</t>
  </si>
  <si>
    <t>With a deft hand on the reins, the Dragon-Blood urges her steed skywards. She can ride horizontally over thin air for as long as her mount continues to move, allowing her to horizontally cross over canyons and similar gulfs. In addition, she may pay an additional point of Willpower when she uses Heaven-Gracing Leap to rush an aerial enemy at out to medium range. If successful, she’ll automatically ride one vertical or horizontal range band towards her target on the rushed character’s next two turns, in addition to her normal movement. If the Dragon-Blood ceases movement, ends this Charm early, or is unhorsed, both she and her steed drift to the ground without taking falling damage.</t>
  </si>
  <si>
    <t>Charge of One Hundred Generals</t>
  </si>
  <si>
    <t xml:space="preserve">The Dragon-Blood and her allies charge across the battlefield like a rapidly spreading flame. She makes a mounted rush roll against a significant enemy or battle group out to four range bands away, but no closer than medium range. If not already rolled into battle, all characters Join Battle immediately. On a success, the Dragon-Blood and all other mounted characters within close range of her (short range for mounted battle groups) move one range band towards the target on each of their next four turns in addition to their normal movement, or until they reach close range. All characters in the charge gain 1 Initiative for each range band they move while charging the rushed character. </t>
  </si>
  <si>
    <t>Ride Beneath the Waves</t>
  </si>
  <si>
    <t xml:space="preserve">The Dragon-Blood can lead her mount even to the ocean’s depths, dancing through rivers and seas as though born to them. Her mount can breathe water and is capable of swimming or running over riverbeds and sea floors at no penalty. Ride rolls to control it underwater double 9s. Note that this Charm doesn’t extend to the Dragon-Blood, who must use other magic such as the Water Aspect anima or Unbreathing Earth Meditation (p. 248) to survive underwater. </t>
  </si>
  <si>
    <t>Dragon-Among-Horses Exaltation</t>
  </si>
  <si>
    <t>5m, 1wp, 1ahl, 2xp</t>
  </si>
  <si>
    <t>1ahl, 2xp</t>
  </si>
  <si>
    <t xml:space="preserve">The Terrestrial anoints her beloved steed with her own blood, marking it with the blood of the Dragons. As the droplets fall on its hide, the beast begins to flare with the Exalt’s own anima banner, building over the next  few minutes into a great bonfire of Essence in which it’s transformed. A mount transformed by this Charm gains the following benefits: • It gains one of the following: +1 die to all Strength-based dice pools and raw withering damage; +1 die to all Dexterity-based dice pools; or +1 die to all Stamina-based dice pools and +1 soak. • Its natural Hardness increases by one point. Note that this renders it immune to anima flux (p. 154). • It gains two additional -4 health levels. The Dragon-Blood can only use this Charm on a single mount at a time, but is refunded its experience point cost if that creature dies. Rare horses descended from bloodlines intermingled with elementals of the appropriate aspect are prized by the Dragon-Blooded, and using this Charm on them requires no experience cost. The Blessed Isle’s horse-breeders compete ruthlessly over such stock, which are sufficiently rare that Resources expenditures alone aren’t enough to secure them. A Dynast might need to procure an opulent gift simply to open negotiations with a seller, or perform a significant favor for a family elder in exchange for making use of his connections. </t>
  </si>
  <si>
    <t>Indomitable Warhorse Endurance</t>
  </si>
  <si>
    <t>3m, 1i per die removed</t>
  </si>
  <si>
    <t xml:space="preserve">The Dragon-Blood may activate this Charm when her mount would take decisive damage, after any attack roll but before damage is rolled. She may spend up to (Essence) Initiative to subtract that many dice from the damage roll. Outside of combat, such as riding through an environmental hazard, she always subtracts (Essence) dice. </t>
  </si>
  <si>
    <t>Seizing-the-Reins Approach</t>
  </si>
  <si>
    <t xml:space="preserve">The Dragon-Blood rides away with her enemies’ steeds, showing even the most ferocious mounts that they cannot equal her burning, reckless spirit. She attempts  to leap onto the mount of an unhorsed foe (or another trained animal without a rider) within close range. This is a difficulty 3 gambit rolled with (Dexterity + Ride). Successfully executing this gambit lets the DragonBlood climb onto the animal and reflexively order it to make a withering attack (Exalted, p. 203). In Fire Aura, the Dragon-Blood may use this Charm reflexively when she successfully unhorses an enemy (Exalted, p. 200) within close range using any combat Ability. </t>
  </si>
  <si>
    <t>Unbreakable Stallion Spirit</t>
  </si>
  <si>
    <t>Essence ripples through the thews of the Dragon-Blood’s mount, bolstering its speed and surety. This Charm adds +1 to the Speed bonus of the Exalt’s mount, and doubles 9s on any Ride rolls she makes to maintain her steed’s balance, avoid being thrown from the saddle, or otherwise avoid mount-related obstacles.</t>
  </si>
  <si>
    <t>Vanishing Cloud-Rider Ways</t>
  </si>
  <si>
    <t xml:space="preserve">Moving with the grace and speed of a zephyr, the DragonBlood’s steed effortlessly evades harm. This Charm supplements a mounted disengage roll, rerolling 6s until they fail to appear and negating all penalties from flurrying the roll. In Air Aura, this Charm also refunds the Initiative cost of a successful disengage.  </t>
  </si>
  <si>
    <t>Seven-League Gallop</t>
  </si>
  <si>
    <t>Imbued with legendary vitality, the Exalt’s mount achieves the apex of speed. She converts one die of her mount’s Speed bonus into a non-Charm success on rolled movement. Outside of combat, her mount’s movement speed is dramatically accelerated, letting her move (Essence) times the normal distance she’d be able to cover in an hour. If she maintains the use of this Charm throughout a longer journey, the time it takes to complete is halved. Once the Dragon-Blood has spent two Willpower in a day on this Charm’s cost, she waives the Willpower cost of all subsequent activations.</t>
  </si>
  <si>
    <t>Blazing Charger Attack</t>
  </si>
  <si>
    <t>Ride 5, Essence 4</t>
  </si>
  <si>
    <t>Trail-Blazing Dragon Steed</t>
  </si>
  <si>
    <t>The Dragon-Blood builds her killing pace as she charges across the battlefield, urging her mount onwards faster and faster. She doubles 9s on a mounted rush. On a success, if her enemy provokes her reflexive movement, she may move up to two range bands towards him instead of one. If she reaches close range, she may also make a reflexive decisive attack using Brawl, Martial Arts, or Melee. If she attacks with a fixed lance, she may make an impaling attack (Exalted, p. 203) without needing to meet the normal requirements.</t>
  </si>
  <si>
    <t>The inexorable Essence of fire blazes in the Dragon-Blood’s steed as it gallops at full speed towards its goal, leaving a trail of burning hoofprints behind it. After a successful mounted rush, if the rushed foe provokes the Dragon-Blood’s reflexive movement, she ignites a fiery environmental hazard along her path, with difficulty 4 and Damage (Essence)L/round. It continues to burn until her next turn, although the Storyteller may deem that terrain such as dry grass continues to burn for a full scene.</t>
  </si>
  <si>
    <t>Elusive Skirmisher Tactic</t>
  </si>
  <si>
    <t xml:space="preserve">Horse and rider move as one to take aim, lining up the perfect shot. Upon disengaging from an enemy, the  Dragon-Blood may use this Charm to reflexively aim at him. A ranged attack that receives the dice from aiming also adds one bonus die of raw damage. </t>
  </si>
  <si>
    <t>Horses-Like-Dragons Stampede</t>
  </si>
  <si>
    <t>5m, 2wp</t>
  </si>
  <si>
    <t>Ride 5, Essence 5</t>
  </si>
  <si>
    <t>Until battle is joined</t>
  </si>
  <si>
    <t>Blazing Charger Attack, Seizethe-Reins Approach</t>
  </si>
  <si>
    <t xml:space="preserve">Stampeding beasts follow the Dragon-Blood in an overwhelming charge, routing enemy formations and smashing through their fortifications. This Charm is a dramatic action to prepare for an upcoming battle by rounding up a herd of horses or other wild, ridable animals — even blundering yeddim. This is a series of (Charisma + Ride) rolls, which are treated as rally for numbers actions (Exalted, p. 209), building up the Magnitude of animals that the Dragon-Blood has gathered. Each roll takes five minutes of animal calls, handling, or impressive stunts to complete. Once the Dragon-Blood has built up enough Magnitude to form a Size 1 battle group, she may continue making rally rolls to increase the group’s Size, up to a maximum of Size 3. Concealing the approach of this stampeding herd is impossible without large-scale magic. The herd isn’t treated as a battle group in combat. Instead, when the Dragon-Blood rolls Join Battle, it stampedes across the battlefield, imposing a penalty equal to (its Size) on all enemy Join Battle rolls, before dispersing. Every enemy whose Join Battle roll is beaten by the Dragon-Blood’s takes decisive damage as the stampede tramples over them. She divides (Initiative + stampede’s Size) dice of bashing damage evenly among the victims (round up), ignoring Hardness. Trivial opponents and battle groups instead take the full (Initiative + Size) damage roll, which doesn’t detract from the total divided among other enemies. This attack resets the Dragon-Blood to base Initiative once it’s completed. The Dragon-Blood may learn elemental variants of this Charm for three experience points each. While she’s in appropriate terrain, she may rouse that element’s natural perils instead of wild animals. She still rolls to build up its effective Size for determining the Join Battle penalty and total damage inflicted, but this represents the force of nature that follows her, growing stronger as she rides. Air: Riding through snow-covered land, the DragonBlood trails an avalanche behind her. Any enemy that  takes decisive damage on the initial roll is hurled one range band away from the Dragon-Blood and falls prone. The numbing cold imposes a penalty equal to the avalanche’s Size on all movement rolls a damaged character makes until he receives medical treatment as a difficulty 3 (Intelligence + Medicine) roll. Earth: Charging across mountainsides or stony terrain, the Dragon-Blood unleashes a rockslide that follows in her wake. Any enemy that takes decisive damage on the initial roll is hurled one range band away from the Dragon-Blood and falls prone, covered in rubble. A buried character or one of his allies must succeed on a Strength 3 feat of strength at difficulty 3 to clear the rubble before he can attempt to rise from prone. Fire: Riding over dry grass or other parched foliage, the Dragon-Blood ignites a roaring grass fire that follows in her wake. A bonfire (4L/round, difficulty 5) ignites at the feet of each enemy that that takes decisive damage from the initial roll. At the Storyteller’s discretion, flammable scenery may also catch fire as long as no character is present in the same space. These fires burn until the end of the scene unless put out. Water: The Dragon-Blood may ride with a river, coastline, or similar body of water at her back, running along the riverbed until the river runs with her. As she Joins Battle, it changes its course to spill over onto the battlefield, positioned by the Storyteller to benefit the Dragon-Blooded. Its largest dimension is at least (Size/2, rounded up) range bands long, from a starting point determined by the Storyteller. Once the scene ends, the river slowly reverts to its original course.   </t>
  </si>
  <si>
    <t>Fine Passage-Negotiating Style</t>
  </si>
  <si>
    <t>Sail 1, Essence 1</t>
  </si>
  <si>
    <t xml:space="preserve">The Dragon-Blood threads her ship like a needle through dangerous patches of sargasso seas, rockstrewn shallows, or warship-patrolled waters. She may add automatic success to a Sail roll for two motes each, and rerolls 6s until they cease to appear. </t>
  </si>
  <si>
    <t>Storm-Outrunning Technique</t>
  </si>
  <si>
    <t>Sail 2, Essence 1</t>
  </si>
  <si>
    <t>Pilot, Water</t>
  </si>
  <si>
    <t xml:space="preserve">The Dragon-Blood is the ocean’s own kin, plying its waters not as obstacles to be overcome but as welcome friends to be greeted. When she makes a Sail roll that her ship’s Speed applies to, she rerolls ([lower of Wits or Speed], minimum one) non-1 failed dice. </t>
  </si>
  <si>
    <t>Ocean-Darting Maneuver</t>
  </si>
  <si>
    <t>Balanced, Pilot, Water</t>
  </si>
  <si>
    <t xml:space="preserve">Steering her ship with the fluid grace of Water Essence, the Dragon-Blood can accomplish nigh-impossible maneuvers. She doubles 9s on a roll to navigate through a naval hazard or enact a positioning stratagem in naval combat (Exalted, pp. 244-245). On a successful positioning stratagem, she receives (Essence) additional Momentum. </t>
  </si>
  <si>
    <t>Dragon Mariner Attitude</t>
  </si>
  <si>
    <t xml:space="preserve">The Dragon-Blood’s reputation precedes her ship to shore. She can manipulate the flow of her reputation as though it were a stream of water, choosing one of the following effects. Carousing: Adopting the poise of a sailor in port, the Dragon-Blood radiates a desire to take part in drinking, gambling, and similar vices common to sailors, as well as any local indulgences. Characters seeking to supply such vices will seek her out to provide them or information about where to get them. Heroism: The Dragon-Blood’s naval prowess marks her as a hero of the seas. Characters facing problems that a seafaring hero could solve, such as pirate raids, a loved one lost on a missing ship, or an urgent shipment of exotic goods that needs to be delivered, will seek her out as the solution to their problem, treating this as a Minor Tie of trust to her. Leadership: The Dragon-Blood radiates the confidence of a commanding admiral. All sailors under her command are treated as having a Minor Tie of respect  towards her, and she adds one bonus success on inspire rolls and command actions targeting them. Trivial characters who are seafarers gain this Intimacy even if they aren’t part of the Exalt’s crew. Menacing: The Dragon-Blood’s bearing suggests ruthlessness and a history of violence. She adds one automatic success on threaten rolls and gains the Hideous Merit (Exalted, p. 162). </t>
  </si>
  <si>
    <t>Deck-Striding Prana</t>
  </si>
  <si>
    <t xml:space="preserve">No landlubber she, the Dragon-Blood crosses over storm-tossed decks or windswept rigging with fluid grace. She adds (Sail) bonus dice on a movement roll or a roll to maintain her balance, or may use her reflexive move action to ascend or descend one vertical range band up a ship’s rigging, a ladder that spans decks, or similar nautical scenery without needing to roll. In Water Aura, this Charm’s Initiative cost is waived and it loses the Perilous keyword. </t>
  </si>
  <si>
    <t>Hurricane-Predicting Glance</t>
  </si>
  <si>
    <t xml:space="preserve">The Dragon-Blooded mariner can smell trouble on the salty breeze or see a coming storm in red clouds, allowing her to steer safely through monsoons, thunderstorms, and roiling waves. She rolls ([Perception or Intelligence] + Sail) against a difficulty based on her familiarity with the seas she’s sailing — home waters might be difficulty 1; a trade route leading to an island she’s never been to before might be difficulty 3; and completely unmapped seas might be difficulty 5+. A successful roll lets her flawlessly predict any weather she’ll encounter at sea along the course of her ship’s travel for a single day, letting her foresee even the most freakish natural weather phenomena. She cannot predict the effects of weather-controlling magic. If the Exalt foresees dangerous weather, she gains a temporary Sail specialty in avoiding or navigating it, which lasts until the weather has passed. She may only have one specialty granted by this Charm at a time.  </t>
  </si>
  <si>
    <t>Old Salt Spirit</t>
  </si>
  <si>
    <t>Sail 3, Essence 2</t>
  </si>
  <si>
    <t>Balanced, Mute, Water</t>
  </si>
  <si>
    <t>Weathered by her time at sea, the Dragon-Blood is undaunted by unknown terrors and deaf to the calls of sirens. She gains +1 Resolve against fear-based influence, as well as any influence that would cause her to sail her ship into peril or prevent her from taking to the seas aboard her ship. If she incorporates the memory of a past seafaring adventure into a stunt, this bonus increases to (Sail/2, rounded up) for that action.</t>
  </si>
  <si>
    <t>Storm-Singer’s Reprieve</t>
  </si>
  <si>
    <t>Seven Seas Wind-Luring Chanty</t>
  </si>
  <si>
    <t>Singing ancient rimes and sea shanties passed down across generations of sailors since the dawn of history, the Dragon-Blood appeals to the gods of the sea for mercy, dispersing thunderstorms or opening a path through hurricane winds. Faced with a weather-based maritime hazard or other troubled waters (Exalted, pp. 244-245), she may use this Charm to roll (Charisma + Sail) with double 9s against the hazard’s difficulty. Success disperses the hazard entirely, without needing an extended Sail action. On a failed roll, she can still attempt to navigate the hazard normally.This Charm can only be used once per story, unless reset by successfully dispersing or otherwise navigating through a hazard to continue sailing on to a location for the direct purpose of achieving a major character or story goal (Exalted, p. 170) or a legendary social goal (Exalted, p. 134).</t>
  </si>
  <si>
    <t>The Dragon-Blood leads her crew in a bawdy chorus, appeasing the spirits of air. When she suffers penalties for sailing against the wind or from other foul weather, she may roll (Charisma + Sail). Every two successes she rolls, rounded down, lowers any penalties she faces by one point. If she uses this Charm in favorable weath- er, success calls up a wind that keeps her sails filled, increasing any Speed bonus from the ship’s sails by +1.</t>
  </si>
  <si>
    <t>Hull-Shattering Avalanche Impact</t>
  </si>
  <si>
    <t>6m, 1a, 1wp</t>
  </si>
  <si>
    <t>Pilot, Signature (Earth)</t>
  </si>
  <si>
    <t>The Dragon-Blood’s anima banner enfolds her ship as it builds speed, growing into an insurmountable onslaught of force to smash through enemy ships or fortifications. She undertakes a ram stratagem in naval combat (Exalted, p. 245) with double 8s. A successful stratagem inflicts an additional point of Hull damage. Outside of combat, this Charm can be used to demolish a seafaring structure or obstacle by ramming it. This is a feat of strength (Exalted, p. 229) rolled using (Wits + Sail), adding (the ship’s Speed) non-Charm bonus dice. This Charm can be used to attempt feats that normally require up to Strength 10, as long as the Storyteller deems it feasible based on the size of the ship. This Charm can only be used once per day.</t>
  </si>
  <si>
    <t>Sturdy Bulkhead Concentration</t>
  </si>
  <si>
    <t>The Dragon-Blood’s anima spreads to enfold the timbers of her ship, hardening its hull to rebuff the harshest perils of the sea or the weapons of oceangoing pirates. Whenever her ship suffers Hull damage from a failed roll to navigate an aquatic hazard or from a damage-dealing stratagem such as a broadside in naval combat (Exalted, p. 245), she may roll (Essence + 2) non-Charm dice. If these successes raise the Dragon- Blood’s total roll high enough to have beaten the hazard’s difficulty or the opposing captain’s roll, the total damage her ship suffers is reduced by one point, although this doesn’t change her failure on the roll. This Charm can only be used once per scene, unless reset by succeeding on a Sail roll with difficulty 4+.</t>
  </si>
  <si>
    <t>Dragon Sets the Seas Ablaze</t>
  </si>
  <si>
    <t>Pilot, Signature (Fire)</t>
  </si>
  <si>
    <t xml:space="preserve">The dragon admiral’s burning fury reduces enemy fleets to charred cinders. The Exalt makes a broadside stratagem (Exalted, p. 245) with double 9s, discharging her anima through her ship’s weaponry to set the enemy ship aflame. On a successful roll, the enemy ship catches fire and continues to burn for the rest of the scene. At the end of each round, including the round this Charm is used, roll one die of Hull damage against that ship. A captain can direct her crew to put out the fires as a special naval stratagem rolled with (Wits + Sail) that costs two Momentum. If that ship’s captain loses the opposed roll for that stratagem, the ship remains aflame, although it doesn’t take damage from the fire that round. This Charm can only be used once per scene. </t>
  </si>
  <si>
    <t>Shipwreck-Strewn Tempest Wake</t>
  </si>
  <si>
    <t>Aura, Pilot, Signature (Water)</t>
  </si>
  <si>
    <t xml:space="preserve">The Dragon-Blood’s ship churns the seas into a roiling frenzy in its wake, forcing her pursuers to choose between risking destruction or watching her sail free into the horizon. When she succeeds on an extended roll to escape from naval pursuit or to enact an escape  stratagem in naval combat, she creates a swirling maelstrom or similar peril that the opposing captain must contend with. Navigating this hazard is a (Wits + Sail) roll at a difficulty of (the Exalt’s Essence + 2). A ship whose captain fails this roll suffers one point of Hull damage. In addition, he’s either thrown off course or otherwise delayed, leaving him unable to make any meaningful progress towards pursuing the DragonBlood’s ship for (Essence) days. If multiple ships are in pursuit of the Dragon-Blood or engaged in naval combat in the same waters, they must all navigate through the hazard if they wish to follow her. This Charm can only be used once per story, unless reset by achieving a major character or story goal (Exalted, p. 170) through seafaring prowess, or after using a ship to reach a vital locale. </t>
  </si>
  <si>
    <t>Benediction of the Living Ship</t>
  </si>
  <si>
    <t xml:space="preserve">Verdant Essence races across the Dragon-Blood’s ship, reawakening the sylvan vitality of its timbers. Roots and branches knit together damaged portions of hull; flowers or fruit sprout to nourish the ship’s crew. She  rolls (Essence), plus any applicable Sail specialty, and heals her ship of that many points of Hull damage. The Exalt and all allied characters aboard the ship heal a single level of non-aggravated damage as they bask in the fragrant aroma of blossoming flowers or eat of the ship’s bounty. If the ship’s food stores are running low, this Charm provides enough food to sustain the crew for the rest of the story. All members of the crew gain a non-Charm bonus success on any roll to resist poison or disease that they make while aboard the ship. This Charm can only be used on a ship once per story, unless all Hull damage to it is fully repaired. </t>
  </si>
  <si>
    <t>Vanishing Fog-Bank Escape</t>
  </si>
  <si>
    <t>Sail 4, Essence 3</t>
  </si>
  <si>
    <t>Mute, Pilot, Water</t>
  </si>
  <si>
    <t>Seven Seas Wind-Luring</t>
  </si>
  <si>
    <t xml:space="preserve">Chanty The Dragon-Blood sloughs off her anima banner as a cloud of mist that engulfs her ship, buying her a chance to flee unseen. In naval combat, she may use this Charm to attempt an escape stratagem (Exalted, p. 245) at a reduced cost of six Momentum. In addition, for each point of Momentum she has over the opposing captain after both pay the costs of their stratagems that interval, she adds one bonus die on the escape roll. This Charm can also enhance the interval roll for a pursuit at sea (Exalted, p. 244) in which she’s fleeing, imposing a penalty of (Essence) on the opposing captain’s roll. This Charm can be used outside of naval combat or naval pursuit, creating a large fogbank that covers the entire ship for one scene unless dispersed by magical or extremely strong winds. </t>
  </si>
  <si>
    <t>Pirate-Masquerading Method</t>
  </si>
  <si>
    <t>Vanishing Fogbank Escape</t>
  </si>
  <si>
    <t xml:space="preserve">Skilled in the ways of seafaring deception, the DragonBlood conceals the true colors of her ship under a mirage of Essence, causing other vessels to perceive it as a ship of their own allegiance or purpose. A merchant vessel from a foreign kingdom would see her warship as flying under its own kingdom’s flag, while a pirate raiding-ship would see her as a fellow corsair. She rolls  (Manipulation + Sail) to determine the quality of this ruse, adding (Essence) non-Charm bonus dice. Any nontrivial character within long range or closer of the ship can attempt to see through this ruse with a (Perception + [Awareness or Investigation]) roll with a difficulty equal to the Dragon-Blood’s result on the roll. Characters who attempt this roll without the benefit of applicable magic or superhuman senses suffer a -3 penalty on the roll. Once a character has boarded the ship, he can see through this ruse automatically. Alternatively, the Dragon-Blood may use this Charm on herself whenever she attempts to fit in to a society of sailors or other seafarers: a ring of smugglers operating out of Champoor, a Tya guildhouse, the Lintha crime family, etc. She adds (Sail) bonus dice on any disguise roll she makes to pose as a member of that group, and gains +2 Guile against any roll that would reveal information exposing her outsider status. </t>
  </si>
  <si>
    <t>Bellowing Thunder Admiral</t>
  </si>
  <si>
    <t xml:space="preserve">Barking orders over the din of hurricanes, the DragonBlood incites her sailors to courage and swift victory in battle. She adds (Essence/2, rounded up) successes on command actions targeting battle groups made up of sailors under her command. Such groups add (her Essence/2, rounded up) successes on Willpower rolls against rout and gain the Resolve bonus of Old Salt Spirit as long as they’re within medium range of her. Special activation rules: If the Dragon-Blood wins Join Battle after taking a boarding action in naval combat (Exalted, p. 246), she may use this Charm reflexively. </t>
  </si>
  <si>
    <t>Ship-Seizing Dragon Talon</t>
  </si>
  <si>
    <t>Sail 5, Essence 4</t>
  </si>
  <si>
    <t xml:space="preserve">Enacting a fluid battle strategy, the Dragon-Blood and her crew descend on enemy ships with unstoppable force. This Charm enhances any boarding action in naval combat (Exalted, p. 245) with double 9s. If the Dragon-Blood successfully boards and initiates combat,  every threshold success on her naval stratagem roll adds one bonus die to the Join Battle rolls of her and all her allies, and she may waive the Willpower cost of Bellowing Thunder Admiral if she wins Join Battle. </t>
  </si>
  <si>
    <t>Fog Shroud Ambush</t>
  </si>
  <si>
    <t>Sail 5, Essence 5</t>
  </si>
  <si>
    <t>Pirate-Masquerading Method,Ship-Seizing Dragon Talon</t>
  </si>
  <si>
    <t xml:space="preserve">Mist swirls around the Dragon-Blood’s ship as she maneuvers it out of sight, catching enemy ships off guard as she emerges from the fog. She waives the Momentum cost of a concealment stratagem in naval combat (Exalted, p. 245). If she succeeds and uses her next round to enact a broadside, escape, or ram stratagem against the enemy ship, she succeeds automatically, regardless of the opposing captain’s roll. If the opposing captain benefits from superhuman senses capable of seeing through fog or magic such as Eye of the Unconquered Sun, or is guided by an ally with such senses, the Dragon-Blood doesn’t automatically succeed, but imposes a penalty of (Manipulation) on opposing rolls. This Charm can only be used once per scene, unless reset by successfully incapacitating an enemy ship with a naval stratagem.   </t>
  </si>
  <si>
    <t>Loquacious Courtier Technique</t>
  </si>
  <si>
    <t>2m per success or +1 Guile</t>
  </si>
  <si>
    <t>Socialize 1,Essence 1</t>
  </si>
  <si>
    <t>Balanced, Excellency, Fire, Mute</t>
  </si>
  <si>
    <t xml:space="preserve">The Dragon-Blood endears herself to all company with pleasing and faultless manners, She may add automatic successes to Socialize rolls or raise her Guile for two motes each. </t>
  </si>
  <si>
    <t>Wary Yellow Dog Attitude</t>
  </si>
  <si>
    <t>Socialize 2, Essence 1</t>
  </si>
  <si>
    <t xml:space="preserve">The line between social pleasantries and drawn blades can be all too thin, but the Dragon-Blood isn’t caught unawares. When combat breaks out amid social interaction, she may use this Charm to Join Battle with ([Perception or Wits] + Socialize). If she’s successfully influenced or read the intentions of one of her enemies earlier in the scene, she rolls an additional non-Charm die for each 10 on her Join Battle roll. </t>
  </si>
  <si>
    <t>Friend-to-All-Nations Attitude</t>
  </si>
  <si>
    <t xml:space="preserve">The Dragon-Blood ingratiates herself into insular cliques, foreign courts, and barbarian tribes with skillful understanding of their customs and mores. After spending at least an hour being exposed to any culture or social group, she may gain a temporary Socialize specialty in it. She may have up to (Essence) specialties granted by this Charm at a time. If she wishes to gain a new temporary specialty while at the maximum, she must abandon an old one. </t>
  </si>
  <si>
    <t>Loyalty-Reading Meditation</t>
  </si>
  <si>
    <t xml:space="preserve">Who can conceal the heat of his passion from the Dragon-Blood’s keen eye? When she reads intentions to discern an Intimacy based on emotion, that Intimacy penalizes the target’s Guile as though it were his Resolve (Exalted, p. 215). </t>
  </si>
  <si>
    <t>Smoke-Wreathed Mien</t>
  </si>
  <si>
    <t xml:space="preserve">Feigned languor conceals the Dragon-Blood’s true feelings. When a character she’s aware of rolls to read her intentions, (Essence) 1s on his roll each force him to reroll a successful die, starting with 7s and moving up. </t>
  </si>
  <si>
    <t>Auspicious First Meeting Attitude</t>
  </si>
  <si>
    <t>Socialize 3, Essence 2</t>
  </si>
  <si>
    <t>Friend-to-All Nations Attitude,Loyalty-Reading Meditation</t>
  </si>
  <si>
    <t xml:space="preserve">Swift to win new friends and impress new acquaintances, the Dragon-Blood reads them and tailors her bearing to their expectations to leave a perfect first impression. Upon meeting a character for the first time, the Dragon-Blood may combine a read intentions action with an instill action to create a positive Tie towards herself, making a single ([Charisma, Appearance, or Perception] + Socialize) roll against his (lower of Guile or Resolve). </t>
  </si>
  <si>
    <t>Brother-Against-Brother Insinuation</t>
  </si>
  <si>
    <t xml:space="preserve">Sometimes a lone spark is all it takes to destroy a relationship. The Dragon-Blood makes an instill roll with double 9s to either weaken a positive Tie towards a character that belongs to the same culture or social group as her target, or to instill a negative tie towards such a character. In addition, targets cannot draw on Intimacies towards the culture or group they share to bolster Resolve against this influence. </t>
  </si>
  <si>
    <t>Seizing-the-Tongue Technique</t>
  </si>
  <si>
    <t xml:space="preserve">Quick wits allow the Dragon-Blood to nimbly avoid social pitfalls and correct faux pas without giving offense. She rerolls (Essence) non-1 failed dice on an influence roll made with Presence or Socialize. In Air Aura, the Dragon-Blood may use this Charm reflexively after making a roll. </t>
  </si>
  <si>
    <t>Sweeten-the-Tap Method</t>
  </si>
  <si>
    <t>Fire/Wood</t>
  </si>
  <si>
    <t xml:space="preserve">Whether it’s freely flowing libations at a Dynastic salon or a ration of rum at a military encampment, alcohol improves moods and eases social friction. When the DragonBlood supplies drinks, she may use this Charm to heighten their potency and quality. Each character who partakes is treated as having a positive Minor Tie for his fellow partygoers — whose context, such as affection or camaraderie, is chosen by his player — and suffers -1 Guile. However, sweetening the tap also increases the risk of fraying tempers or violent overreactions. If a character botches a social action, the positive Tie towards him created by this Charm inverts into a negative Tie for all inebriated partygoers who witnessed the offense.  </t>
  </si>
  <si>
    <t>Shadow-Dispersing Radiance</t>
  </si>
  <si>
    <t>Whether enticed by her striking looks or menaced by her intimidating features, few can keep their secrets when they look upon the Dragon-Blood. If her Appearance is higher than a character’s Guile, she adds non-Charm dice equal to the difference on a roll to read his intentions.</t>
  </si>
  <si>
    <t>Eye-for-Passions Scrutiny</t>
  </si>
  <si>
    <t>When the Dragon-Blood successfully reads a character’s intentions, the Storyteller reveals an additional Intimacy based on emotion that relates to the motives or other Intimacy she discerned. For example, uncovering a courtier’s Intimacy for a beautiful performer might reveal his Tie of hatred for a romantic rival, while uncovering that a vagabond intends to pickpocket her might reveal a Tie of love for the family he needs to feed.</t>
  </si>
  <si>
    <t>Watching the Salon’s Shadows</t>
  </si>
  <si>
    <t>Loyalty-Reading Meditation,Smoke-Wreathed Mien</t>
  </si>
  <si>
    <t xml:space="preserve">Even as she flaunts her finery and shares laughter with intimate friends, the Dragon-Blood is at her most vigilant. She gains +1 Guile against the read intentions roll of a character she’s unaware of. If she defeats his roll, she may roll (Perception + Awareness) with double 9s to detect him. </t>
  </si>
  <si>
    <t>Smoke Without Flame</t>
  </si>
  <si>
    <t xml:space="preserve">Those who expect intemperance or unthinking passion from the Dragon-Blood are the most easily deceived. She gains +1 Guile. If the opposing character fails to read her intentions, he believes that he’s succeeded, but what’s revealed to him is an exaggeration of the Dragon-Blood’s emotional state or one of her emotion-based Intimacies, chosen by the player. Irritation might be misread as a hate-filled vendetta; infatuation as passionate longing; or boredom as soul-crushing ennui. In Fire Aura, the Guile bonus doesn’t count as a bonus from Charms. With a Socialize 5, Essence 4 repurchase, even if the Dragon-Blood’s Guile is beaten, she may expend her Fire Aura to exaggerate any emotions or emotion-based Intimacies that are revealed. </t>
  </si>
  <si>
    <t>Clear-Eyed Courtier’s Scrutiny</t>
  </si>
  <si>
    <t>Mute, Signature (Air)</t>
  </si>
  <si>
    <t xml:space="preserve">As she gazes down from a superior social vantage, the complexities of courtly intrigues lay themselves bare before the Dragon-Blood. She makes a single read intentions roll against all characters she can perceive, doubling 9s. She may  either attempt to determine each of their intentions in the current scene — for instance, scanning an office of functionaries to determine which ones are working dutifully, which are lazing, and which are in the process of embezzling; or she can attempt to identify their Intimacies on a single topic — discerning how the members of a prince’s court feel about him, or the reasons why a mob of peasant is protesting a satrap’s rule. Even if her roll fails to overcome a character’s Guile, she doesn’t need to reset her read intentions action before attempting it against him again in the same scene. This Charm can only be used once per day. </t>
  </si>
  <si>
    <t>Unfaltering Pillar of Unity</t>
  </si>
  <si>
    <t>Mute, Signature (Earth)</t>
  </si>
  <si>
    <t xml:space="preserve">Expounding on the importance of tradition and social order while inveighing against disloyalty, the DragonBlood strengthens the foundations of society. She rolls (Charisma + Socialize) to instill one or more members of a single culture or social group with a Tie of loyalty towards that society, doubling 8s and ignoring the penalty for influencing multiple characters. A character whose Resolve is beaten must enter a Decision Point and call on a Major or Defining Intimacy to resist the Tie being created. As usual, strengthening an existing Intimacy can’t be resisted with Willpower. An affected character cannot voluntarily weaken the instilled Tie until (6 - his Integrity) weeks have passed, nor can he take actions that would oppose the Intimacy during that time, unless failing to do so would oppose a Defining Intimacy. Other characters can attempt to erode the Tie normally using social influence, but are subject to the rules for overturning social influence (Exalted, p. 221). Fully eroding the Intimacy frees the character from this Charm’s effects. This Charm can only be used once per story, unless reset by accomplishing a major character or story goal (Exalted, p. 170) that benefits a culture or social group that the Exalt belongs to. </t>
  </si>
  <si>
    <t>Wildfire Scandal Revelation</t>
  </si>
  <si>
    <t>Mute, Signature (Fire)</t>
  </si>
  <si>
    <t xml:space="preserve">No tinder burns hotter than a stolen secret, igniting a blaze that spreads with the swiftness of rumor. To use  this Charm, the Dragon-Blood must first uncover an embarrassing or damaging secret of another character, one that, if revealed, would have dramatic negative consequences for that character. She may then use this Charm when she reveals his secret to others, rolling (Charisma + Socialize), doubling 8s, to instill a negative Tie toward him or weaken positive Ties towards him. This also instills a negative Tie or weakens positive Ties towards a culture or social group that he belongs to, chosen by the Exalt. Resisting this influence costs (Dragon-Blood’s Essence/2, round up) points of Willpower. For the rest of the story, affected characters gain the benefit of a temporary specialty on any influence roll they make to spread the secret using any social Ability. This Charm can only be used once per story, unless reset by accomplishing a major character or story goal (Exalted, p. 170) by orchestrating the social downfall of a rival — causing him to lose an official position or social standing, creating a scandal that destroys his reputation, or similar. She can only use this Charm again on the same character by revealing a different secret, even if it resets. </t>
  </si>
  <si>
    <t>Ego-Dissolving Deception</t>
  </si>
  <si>
    <t xml:space="preserve">Diving below the shallows of her conscious mind into the depths of her deepest self, the Dragon-Blood submerges herself in a life of falsehoods. After spending at least an hour in meditation, she may rewrite her own memories of a single event or relationship. She could convince herself that a beloved spouse died in battle, erase an incriminating meeting with a co-conspirator from her memory, or make herself believe that she’s defected from her Great House to loyally serve a group that she’s actually infiltrating. She gains a Major Principle reflecting this belief, and may treat any influence that would weaken it as unacceptable for this Charm’s duration. She may release her mote commitment to this Charm reflexively to end its duration and restore her true memories, even if she doesn’t remember using it, but the Intimacy remains in place until she erodes it normally, until which time she may confuse her two sets of memories. At Essence 5, the Dragon-Blood may expend her Water Aura to use this Charm reflexively in response to any effect opposing her Guile, altering her memories  so that even if the effect succeeds, the information gleaned will be falsified. This Charm can only be used once per story, unless reset by accomplishing a major character or story goal (Exalted, p. 170) that the Exalt has altered her memories to achieve. </t>
  </si>
  <si>
    <t>Poisonous Sneer Reproach</t>
  </si>
  <si>
    <t xml:space="preserve">Tongue dripping with venom, the Dragon-Blood excoriates the speech of an ill-mannered rival. When she witnesses another character attempt social influence, she may speak against it, deriding the speaker or exposing the flaws in his argument with a ([Charisma or Manipulation] + Socialize) roll. Each of her successes imposes a -1 penalty on the speaker’s influence roll. If this penalty reduces his dice pool to zero, or if he rolls and botches, his influence has the opposite of its intended effect on each character whose Resolve was beaten by the Dragon-Blood’s roll. Attempting to flatter an official would create a negative Tie instead of a positive one, while intimidating a group of guards into standing down would cause them to attack instead. This Charm can only be used once per day. </t>
  </si>
  <si>
    <t>Ember-Fanning Provocation</t>
  </si>
  <si>
    <t>Socialize 4, Essence 3</t>
  </si>
  <si>
    <t>Brother-Against-Brother Insinuation, Seizing-the-Tongue Technique</t>
  </si>
  <si>
    <t xml:space="preserve">A dragon’s breath stokes the embers of enmity into a fullblown bonfire. The Dragon-Blood makes a persuade roll supported by a negative Tie for foreigners, outsiders, or members of an undesirable subculture, or a negative Tie instilled with Brother-Against-Brother Insinuation, doubling 9s. If the leveraged Intimacy is Major or Defining, the cost of resisting increases to two Willpower. </t>
  </si>
  <si>
    <t>Smoothing-Over-the-Past Technique</t>
  </si>
  <si>
    <t xml:space="preserve">The Dragon-Blood’s lulling speech and hypnotic bearing muddles the memory of an enemy, rival, or ill-treated acquaintance, banishing a past event that would reflect poorly on a current conversation to the depths of his unconscious. She makes a special (Manipulation + Socialize) instill roll against a single character to suppress his memory of a single incident of her past misbehavior. She takes a penalty determined by the Storyteller based on the misconduct’s severity — an insult without lasting consequences might suffer no penalty; petty theft or humiliation in front of a small group might suffer a -1 penalty; inflicting a disfiguring wound or public humiliation before a large group might suffer a -3 penalty; a murder attempt might suffer a -5 penalty. Success suppresses the chosen memory, allowing the Dragon-Blood to interact with her victim for a single scene as though it never happened. The victim cannot bring it up or even remember it, rationalizing away any inconsistencies this causes. If he has a negative Tie towards the Dragon-Blood based on the erased memory, it’s likewise suppressed. If the Intimacy is based on more than one transgression, the Dragon-Blood must erase them all with multiple uses of this Charm to suppress the Intimacy. If the victim’s loss of memory would cause him to act inconsistently with a Major or Defining Intimacy, other than a negative Tie for the Dragon-Blood, he may pay one Willpower to resist. However, he’s unaware she caused his memory lapse. A Socialize 5, Essence 5 repurchase allows the DragonBlood to expend her Water Aura to permanently erase the targeted memory with this Charm. The penalty for erasing egregious misdeeds subtracts successes instead of dice. The victim may still resist, as above, but doing so only restores the memory for a single scene. Once he’s spent three total Willpower resisting, the memory is restored permanently. </t>
  </si>
  <si>
    <t>Enticing Flame Feint</t>
  </si>
  <si>
    <t xml:space="preserve">The Dragon-Blood draws attention away from less-subtle allies with inflammatory words or a provocative display. When she witnesses a character attempting to read an ally’s intentions, she may impose a penalty of (lower of her Essence or Manipulation) on the roll. Each use of this Charm inflicts a -1 penalty on her own Guile for the rest of the scene.  </t>
  </si>
  <si>
    <t>Rumor-Dredging Gaze</t>
  </si>
  <si>
    <t>Auspicious First Meeting Attitude, Shadow-Dispersing Radiance</t>
  </si>
  <si>
    <t xml:space="preserve">A master blackmailer, the Dragon-Blood draws forth secrets from the murkiest depths. She rolls to read intentions with double 9s. Instead of specifying an Intimacy she wishes to discern, the Dragon-Blood instead uncovers whichever Intimacy her target most desires to keep hidden from her. If she uses this information to blackmail her target with a bargain or threaten action in the same scene, she doubles 9s on the influence roll, which can be made with any social Ability. A successful influence roll grants her one Willpower. </t>
  </si>
  <si>
    <t>Implacable Dragon Mien</t>
  </si>
  <si>
    <t>Earth, Mute</t>
  </si>
  <si>
    <t xml:space="preserve">The Dragon-Blood’s stoic countenance gives away no more than a mountain’s face. She gains +2 Guile, except against rolls that would reveal a Major or Defining Intimacy based on emotion, or an intention arising out of such an Intimacy. In Earth Aura, this rises to +3 Guile. Even against rolls that would reveal an emotion-based Intimacy or an intention that upholds such an Intimacy, she adds +1 Guile. </t>
  </si>
  <si>
    <t>Rippling Mirror Face</t>
  </si>
  <si>
    <t>Rumor-Dredging Gaze, Smoke</t>
  </si>
  <si>
    <t>The sparkling waters of the sunlit ocean conceal dark depths, hidden beneath blinding reflections. The Dragon- lood may use this Charm when she asserts her Guile against a read intentions roll. If that roll fails, the opposing character believes he succeeded. Instead of revealing the truth, the Dragon-Blood may choose an Intimacy possessed by any character present in the scene that she’s previously discerned with her own read intentions action, passing it off as her own. In Water Aura, this Charm may be declared after a character has failed a read intentions roll, rather than before he rolls.</t>
  </si>
  <si>
    <t>Soundless Action Prana</t>
  </si>
  <si>
    <t>Stealth 3, Essence 2</t>
  </si>
  <si>
    <t>Vanishing Wind-Body Technique</t>
  </si>
  <si>
    <t>The Dragon-Blood silences herself with an inner whirlwind, drawing in the sound of every unintended gasp or misplaced footstep before it reaches the ears of her foes. Every 10 on a Stealth roll rerolls a non-1 failed die, and she can’t be detected by hearing unless the opposing character’s hearing is superhuman or magically enhanced. Such characters still take a -2 penalty on rolls to hear her.</t>
  </si>
  <si>
    <t>Distracting Breeze Meditation</t>
  </si>
  <si>
    <t>Stealth 1, Essence 1</t>
  </si>
  <si>
    <t>Air, Balanced, Excellency, Mute</t>
  </si>
  <si>
    <t xml:space="preserve">As the Dragon-Blood moves through the shadows, the wind itself conspires to conceal her, blowing out torches, flapping curtains, or knocking over objects to create distractions. She may add automatic successes to a Stealth roll for two motes each. </t>
  </si>
  <si>
    <t xml:space="preserve">The Dragon-Blood is one with the air around her, releasing the solidity and substance that weigh down her body. She ignores one point of the penalty for using Stealth in combat, and effects that detect air motion, like Living Pulse Perception (Exalted, p. 271) or the air-aspected variant of All-Encompassing Earth Sense (p. 172), don’t work against her. She can still be detected normally by hearing and other senses. In Air Aura, the Dragon-Blood may ignore (her Essence/2, rounded up) in penalties for using Stealth in combat. </t>
  </si>
  <si>
    <t>Flowing Shadow Stance</t>
  </si>
  <si>
    <t>The Dragon-Blood moves with the grace of a secret current, flowing past the notice of her enemies. She rerolls 6s on a Stealth roll until they cease to appear, and gains a point of Initiative if she beats the opposed rolls of all enemies. In Water Aura, when the Exalt gains Initiative with this Charm, she may choose one of the enemies she beat with her Stealth roll, causing him to lose one Initiative.</t>
  </si>
  <si>
    <t>Shimmering Heat-Mirage Tactic</t>
  </si>
  <si>
    <t xml:space="preserve">The Dragon-Blood’s outline wavers and distorts like heat haze, her movements seeming to double and treble as she trails afterimages. She gains +2 Evasion. This Charm ends if a nontrivial enemy attacks her and rolls no 1s, even if she successfully defends. In Fire Aura, withering attacks don’t end this Charm even if they have no 1s, as long as they have no 10s. </t>
  </si>
  <si>
    <t>Whispering Dragon Soul</t>
  </si>
  <si>
    <t>—(2m per Charm)</t>
  </si>
  <si>
    <t xml:space="preserve">Having meditated on the nature of silence, the DragonBlood directs her enlightenment inward, suffusing her anima banner with the subtlety of air. She may pay two motes to apply the Mute keyword to any Air or Balanced Charm she uses. The Dragon-Blood can master this Charm for other elements for three experience points each. She cannot mute multiple Charms of different elements in a single instant (excluding Balanced Charms).  </t>
  </si>
  <si>
    <t>Sleeping Dragon’s Lair</t>
  </si>
  <si>
    <t xml:space="preserve">The Dragon-Blood descends into the earth beneath her, either to coil and slumber or simply to wait. As long as she’s touching reasonably pliant ground, she may sink into it, entombing herself just below the surface. She cannot be seen or heard without using applicable magic, such as hearing her heartbeat with Knowing Beyond Silence or sensing her presence with Feeling the Dragon’s Bones (p. 173). She can still be tracked by scent, but her trail ends abruptly at the point where she vanished into the earth. While entombed, the Dragon-Blood cannot use her senses or move without the use of appropriate Charms. She could eavesdrop through a layer of topsoil with Deep-Listening Palm (p. 172), detect the presence of anyone within range with All-Encompassing Earth Sense (p. 172), or move underground with One-WithEarth Embodiment (p. 174). She buries herself along with enough air to breathe for five minutes, after which she must hold her breath or make use of Charms such as Unbreathing Earth Meditation (p. 248). When this Charm ends, the Dragon-Blood emerges from the earth in a great plume of dust that she can hide within. She may expend her Earth Aura through the dust plume to blind all enemies in short range for one scene unless they succeed on a (Stamina + Awareness) roll at difficulty 3. Blinded characters must spend three Initiative and a turn washing out their eyes to regain sight. An Essence 5 repurchase of this Charm lets the DragonBlood descend into solid rock as long as it’s natural, unworked stone. She could embed herself in the wall of a cavern or a mountain overhang, but not the stone floor of a dungeon. She may expend her Earth Aura when she emerges from solid rock to unleash a spray of stone shrapnel that both blinds enemies as above and acts as a one-time environmental hazard out to short range from the Dragon-Blood with Damage 3L and a difficulty equal to (the lowest of her Strength, Dexterity, or Stamina). </t>
  </si>
  <si>
    <t>Flame-Becomes-Shadow Technique</t>
  </si>
  <si>
    <t>Psyche, Signature (Fire)</t>
  </si>
  <si>
    <t xml:space="preserve">The Terrestrial shrouds the flame of her presence in smoke and shadows, diverting the attention of those who are most in awe of her. The Dragon-Blood rolls ([Manipulation or Appearance] + Stealth) against the Resolve of any character that has an Intimacy which supports deference or submission towards her — whether love, fear, or belief in Immaculate orthodoxy. The targeted Intimacies penalize Resolve as normal. Affected characters are incapable of perceiving the Dragon-Blood until she takes hostile action or chooses to reveal herself. An Immaculate monk could walk unnoticed into the midst of a meeting plotting sedition against the Realm, stepping forward from the shadows to pronounce judgment. A character that wishes to resist this unnatural influence must enter a Decision Point, calling upon an Intimacy of equal or greater strength than the one exploited and paying a point of Willpower. </t>
  </si>
  <si>
    <t>Depth-Stalking Discipline</t>
  </si>
  <si>
    <t xml:space="preserve">The Dragon-Blood submerges herself in Water Essence to wash away anything that might betray her presence. She doubles 9s on Stealth rolls. While surrounded by water, such as being submerged or in driving rain, she doubles 8s and is completely imperceptible by scent — able to evade the hunting hounds of a god by fleeing into a storm, or to swim through the sea while bleeding heavily without drawing the notice of siaka. This Charm can only be used once per scene. </t>
  </si>
  <si>
    <t>Shadow-Stalking Predator Spirit</t>
  </si>
  <si>
    <t>5m (+1wp, expend Wood Aura)</t>
  </si>
  <si>
    <t>Stealth 5,Essence 3</t>
  </si>
  <si>
    <t>Aura, Dual, Mute, Signature (Wood)</t>
  </si>
  <si>
    <t xml:space="preserve">The Dragon-Blood moves through the wilderness as its hidden master, stalking her prey unseen. Boughs twist to conceal her movement; fragrant flowers and pollen obscure her scent trail. To use this Charm, she must be moving through or hiding behind light foliage, small trees, or comparable vegetation. When an enemy within medium range — or long range, in areas of heavy growth such as thick bamboo groves or forests dense with underbrush — rolls to oppose her Stealth, his 1s subtract successes.  When the Dragon-Blood makes an unexpected attack against an enemy within range of this Charm, she may pay one Willpower and expend her Wood Aura — ending this Charm — to double her attack roll’s threshold successes when calculating the damage of a withering attack, or to add her threshold successes as dice to the damage of a decisive attack. If she conveys poison through an unexpected decisive attack this way, she adds (Essence/2, rounded down) to its duration. This Charm can only be used once per scene. </t>
  </si>
  <si>
    <t>Burning Shadow Double</t>
  </si>
  <si>
    <t>Stealth 4, Essence 3</t>
  </si>
  <si>
    <t>Shimmering Heat-Mirage</t>
  </si>
  <si>
    <t xml:space="preserve">Tactic The Dragon-Blood radiates her presence through the shadows as a heat mirage, distorting the air to create a near-perfect double of herself, tinged with glowing hints of her anima. To use this Charm, she must be in concealment. She may place a decoy at any point within medium range. The decoy is realistically lifelike and can appear to take most actions the Exalt could, as determined by her, but cannot speak, make sounds, or touch anything, and has no scent. It can’t move beyond medium range from her, and vanishes if she moves further than medium range from it. The decoy has Evasion (Manipulation) against attacks, and dissipates into nothingness once struck. Against attacks made from short or close range, its Evasion falls to 0. As long as it isn’t hit, it continues to convincingly imitate the Dragon-Blood, though it cannot take combat actions. Once a character comes within short or close range of the decoy, he may roll (Perception + Awareness) opposing (the Dragon-Blood’s Manipulation + Stealth) to realize the decoy is a sham, and can warn his allies not to attack it. Magic such as Keen Sight Technique (Exalted, p. 267) allows characters to make this roll at any range. In Fire Aura, the Exalt may create up to (Essence + Manipulation) separate decoys with each use of this Charm, paying two motes for each additional mirage. </t>
  </si>
  <si>
    <t>Zone of Silence Stance</t>
  </si>
  <si>
    <t xml:space="preserve">The Dragon-Blood weighs down the air around her, trapping sounds in frozen stillness. She can silence the ringing of blades, the desperate cry of a wounded bandit, or the shattering of a thousand-year-old vase. This Charm functions as Soundless Action Prana, but silences the Exalt completely, defeating even supernatural hearing. In addition, she can radiate silence out to close range, making it impossible to hear anyone or anything within that radius and obstructing the passage of sound through the zone of silence as though it were a solid steel dome over her. Characters may pay one Willpower to speak forcefully enough to pierce the silence long enough to make one social roll if remaining silent would threaten one of their Major or Defining Intimacies. In Air Aura, the Dragon-Blood may expand the zone of silence by one range band at the end of each round, maximum long range. </t>
  </si>
  <si>
    <t>Deadly Riptide Executioner</t>
  </si>
  <si>
    <t>Aura, Dual, Mute, Water</t>
  </si>
  <si>
    <t xml:space="preserve">The Dragon-Blood stalks her victim calmly but inexorably, slowly gathering force until she finally draws blood. This Charm can only be used in concealment. The Dragon-Blood chooses a character, and gains one point of Initiative each turn that she moves towards him without breaking concealment. If she leaves concealment or fails to pursue the chosen target, this Charm ends. If the Dragon-Blood ends this Charm by making an unexpected attack, she may expend her Water Aura to dissolve into dark water as she lunges forward, ignoring (Essence + 2) points of soak on a withering attack, or ignoring (Essence) points of Hardness and doubling 10s on the damage roll of a decisive attack. </t>
  </si>
  <si>
    <t>Dragon Shroud Technique</t>
  </si>
  <si>
    <t xml:space="preserve">The Dragon-Blood spins air into an enfolding shroud against all senses. Her form is blurred and indistinct, her noises muffled, and every other trace of her presence masked from detection — scent, body heat, and more. All rolls to oppose her Stealth take a penalty of (her Essence/2, rounded up), and she waives the cost of muting Air Charms with Whispering Dragon Soul. The Charm ends if the Dragon-Blood attacks.  </t>
  </si>
  <si>
    <t>Mela’s Hungry Jaws</t>
  </si>
  <si>
    <t>Stealth 5, Essence 5</t>
  </si>
  <si>
    <t xml:space="preserve">The Dragon-Blood steals the very air from her victim’s lungs, suffocating him without ever laying a hand on him or being seen. This Charm can only be used while in concealment, against an enemy within medium range who’s unaware of the Dragon-Blood. She steals his breath, causing him to begin to asphyxiate (Exalted, p. 232). Trivial opponents never receive a chance to hold their breath, even outside of combat. The Terrestrial cannot move while using this Charm to siphon her foe’s breath, but neither can her victim move without rolling a disengage against her, regardless of the distance between them. A victim can only break free of Mela’s Hungry Jaws by successfully finding the Dragon-Blood with a (Perception + Awareness) roll or withdrawing to extreme range. His allies can attempt to free him by attacking the Dragon-Blood once they’ve found her. Even if the attack roll misses, as long as it rolled no 1s, this Charm ends, while a hit automatically ends it.   </t>
  </si>
  <si>
    <t>Ration-Enhancing Method</t>
  </si>
  <si>
    <t xml:space="preserve">The wilderness welcomes the Dragon-Blood’s presence, recognizing her as a Prince of the Earth. She may add automatic successes to a Survival roll for two motes each. If she enhances a roll to forage for food, it yields enough edible plants or game to feed a single additional character besides her for one day per threshold success. </t>
  </si>
  <si>
    <t>Quarry Revelation Technique</t>
  </si>
  <si>
    <t xml:space="preserve">The Dragon-Blood can track wild beasts back to their dens or the Anathema to their lairs. She rerolls 6s on a tracking roll (Exalted, p. 230) until they cease to appear, and is capable of rolling to contest even magical concealment that is otherwise perfect, such as a Solar’s Traceless Passage.  </t>
  </si>
  <si>
    <t>Trail-Concealing Measure</t>
  </si>
  <si>
    <t>Balanced, Mute, Wood</t>
  </si>
  <si>
    <t>Skillfully concealing all signs of her passage, the Dragon-Blood may tread over twigs without snapping them and walk through grass without bending a blade. She doubles 9s on a Survival roll to conceal her tracks or on a Stealth roll to establish concealment in a forest, grassland, or similar wilderness. The Dragon-Blood may learn elemental variants of this Charm that function in different terrain for three experience points each. Air: This variant can be used in snowfall, or amid snow-covered or icy terrain. Earth: This variant can be used underground, or in mountainous or other rocky terrain. Fire: This variant can be used in widespread fire or smoke, or amid deserts or active volcanic terrain. Water: This variant can be used in rainfall, near bodies of water, or amid marshy or swampy terrain.</t>
  </si>
  <si>
    <t>Wild-Wandering Forester’s Charm</t>
  </si>
  <si>
    <t>The Dragon-Blood knows the wilderness as well as she knows her own domain, aware of the secrets and wonders hidden within it. She rolls ([Intelligence or Wits] + Survival) to introduce a fact (Exalted, p. 237) about a wilderness region that she’s familiar with. She might recount her knowledge of an animal species na- tive to the region, the location of a rare medicinal herb, or effective preparations against a hazard she might encounter.</t>
  </si>
  <si>
    <t>Beast-Taming Aspect</t>
  </si>
  <si>
    <t>The Dragon-Blood’s mien gives pause to even the most ferocious predators, proving to them that she deserves their respect. She doubles 9s on a roll to train an animal (Exalted, p. 554) or to influence it using Performance or Presence. Even if she uses this Charm to scare off a dangerous predator, her noble bearing causes the beast to regard her with respect. Over the course of weeks, she can claim such an animal as her familiar. This takes a number of weeks equal to (its Resolve), and the Dragon-Blood must successfully interact with it using this Charm at least once each week. Once this is done, that animal becomes her familiar at no experience cost.</t>
  </si>
  <si>
    <t>Mother-of-Beasts Mastery</t>
  </si>
  <si>
    <t>The Dragon-Blood’s natural affinity for animals makes her a peerless trainer, able to rear and nurture even the most savage beasts. She may complete one interval of the extended roll to train an animal (Exalted, p. 554) in a week of training, rather than a month, and ignores the usual specialty requirements. A Survival 5, Essence 3 repurchase of this Charm lets the Dragon-Blood train her familiar to awaken magical abilities (Exalted, p. 555) at a cost of two experience points each. This cost is refunded if her familiar dies.</t>
  </si>
  <si>
    <t>Animal Empathy Technique</t>
  </si>
  <si>
    <t>The Dragon-Blood needs no words to communicate with animals, mimicking their bestial body language or vocalizations to engage them. She adds (Essence) non-Charm bonus dice on an influence roll made against an animal using any Ability. In addition, her target doesn’t gain the Resolve bonus for lacking a common langage (Exalted, p. 221).</t>
  </si>
  <si>
    <t>Invoking Nature’s Forgiveness</t>
  </si>
  <si>
    <t xml:space="preserve">The Dragon-Blood’s skill in weathering difficult climes lets her protect her allies from even the most hostile environments, leading them through searing desert or frozen tundra. She may protect herself, her Sworn Kin, and (Essence) additional characters. The Exalt must spend five minutes in one-on-one training and preparations with each beneficiary. Each protected character gains a temporary Resistance specialty in withstanding his current environment, and ignores (her Essence) in environmental penalties from harsh climes. Up to five Dragon-Blooded who know this Charm can use it cooperatively. Each additional Exalt adds +1 to the effective Essence of the user to determine how many additional characters can be protected and the amount of penalty reduction. </t>
  </si>
  <si>
    <t>Stalking Wolf Pursuit</t>
  </si>
  <si>
    <t xml:space="preserve">Honing her senses with Essence, the Dragon-Blood can hunt her foes no matter how they try to hide. She ignores any penalties on a tracking roll from visual obstructions, the age of the tracks, and similar environmental factors. A successful roll also lets her determine how much time has elapsed since the target left based on the remaining strength of his scent. </t>
  </si>
  <si>
    <t>Vanishing Tracks Technique</t>
  </si>
  <si>
    <t xml:space="preserve">The Dragon-Blood is a master of moving without trace, and can obscure the passage of others with her mastery. She rerolls 6s on a roll to cover her tracks. She may conceal the spoor of her Sworn Kin and (Essence) additional characters, allowing them to use half of her rolled successes (rounded up) in place of their own result if it’s higher. </t>
  </si>
  <si>
    <t>Cunning Beast-Mind Inspiration</t>
  </si>
  <si>
    <t xml:space="preserve">The Dragon-Blood’s familiar has wisdom beyond the ken of ordinary beasts, its mind honed by Air Essence. The Exalt may use this Charm on her familiar’s turn, rolling (Charisma + Survival). She adds half the total successes rolled, rounded up, to one action her familiar takes that turn. In addition, if her familiar takes a defend other action to protect her, it may do so reflexively. If it attempts a distract gambit to benefit her, it doubles 7s on the attack roll. </t>
  </si>
  <si>
    <t>Earth-Moving Kata</t>
  </si>
  <si>
    <t xml:space="preserve">Moving with practiced discipline through whirling steps and dragon-claw mudras, the Dragon-Blood unleashes a seismic pulse of Earth Essence to strike aside an obstacle. Any natural earthen scenery that bars her path can be removed, such as fallen rocks that block a road, a boulder rolled in front of a cave mouth, or a pool of quicksand. The Storyteller describes the exact effects of this pulse on the scenery — it might cause piled-up stones to fall away, harden quicksand into solid terrain, shatter boulders, or cause stone to meld back into the earth. However, she cannot use this Charm to affect masonry walls or other man-made obstructions. Alternatively, the Dragon-Blood can create a bridge or stairway out of earth or stone to span a canyon, chasm, or similar gap. This cannot extend more than (Essence/2, round up) range bands from her. </t>
  </si>
  <si>
    <t>Wildfire-Taming Technique</t>
  </si>
  <si>
    <t>The Dragon-Blood may admonish even a wildfire, brandishing elemental Essence to impose her will on the flame. This Charm can be used to divert a prairie wildfire, forest fire, or similar free-burning flame from the path of the Dragon-Blood and her travel companions. She must come within at least short range of the wild- fire’s edge and roll (Charisma + Survival). The difficulty of the roll depends on the fire’s size — a small grass fire or a just-kindled forest fire might be difficulty 1, a larger forest fire difficulty 3, and an out-of-control blaze that spans miles difficulty 5+. The Storyteller may apply penalties or bonuses based on environmental factors such as recent rainfall or high winds that help the fire spread. A successful roll diverts the wildfire from the Dragon-Blood’s path. Though it continues to burn, it avoids the Exalt and her companions, and won’t pose any direct obstruction to them for the remainder of the story. If she has any threshold successes on the roll, she may redirect the wildfire to track down a character, using her total threshold successes in place of the (Perception + Survival) roll for tracking. Though it lacks sapience, the tamed wildfire is able to sense its quarry magically, and is thus even capable of tracking down a Solar using Traceless Passage. The Storyteller decides the fire’s speed based on environs and weather, up to a maximum of 150 miles per hour in ideal conditions. However, if there’s no path of forested land, grass, peat, or other fuel that the fire can follow to pursue its target, its efforts end, making it possible to escape by fleeing from the wilderness.</t>
  </si>
  <si>
    <t>Stalking Apex Predator Technique</t>
  </si>
  <si>
    <t>The Dragon-Blood moves through the wilderness as its master, running with packs of wild beasts and deftly weaving through jungles. She ignores penalties for crossing difficult terrain made up of dense forests, thick foliage, briar patches, or other plant-based obstructions. While in such terrain, she also ignores the penalty for entering concealment in combat (Exalted, p. 203) and can attempt rushes while in concealment. Additionally, she adds (Essence) non-Charm bonus dice rolls to conceal her tracks. Once per scene, the Dragon-Blood may expend her Wood Aura when she makes an unexpected decisive attack from plant-based concealment to add (Essence) bonus dice on the attack roll and double 10s on the damage roll.</t>
  </si>
  <si>
    <t>Roaring Dragon Font</t>
  </si>
  <si>
    <t>Meditating in communion with the Essence of underground waters, the Dragon-Blood can find hidden springs in the most desolate climes, beckoning them forth with a mighty stomp that sends a font of water gushing up from underground. She rolls (Wits + Survival) against a difficulty based on her environs — finding a spring in a region that receives regular rainfall or has abundant natural aquifers might be difficulty 1-2, while doing so in an arid desert is difficulty 5+. A successful roll creates a spring. Normally, this spring becomes a permanent feature of the environs, but in regions so harsh that a spring couldn’t conceivably exist, it flows for only a limited time, providing enough water to sustain the Dragon-Blood, plus one additional character for each threshold success, for a day. She can only draw water up from the ground; she couldn’t use this Charm to pierce a marble floor or the hull of a boat. In the scene that this Charm is used, the waters that flow from the spring are suffused with purifying Essence. Any character who drinks of the water and either has a positive Tie towards the Dragon-Blood or accepts one out of gratitude may add a non-Charm bonus success on all Athletics, Resistance, and Survival rolls he makes for the rest of the day. Roaring Dragon Font can only be used once per story, unless reset by succeeding on a difficulty 4+ Survival roll.</t>
  </si>
  <si>
    <t>Tireless Caravan Prana</t>
  </si>
  <si>
    <t>—(+7m)</t>
  </si>
  <si>
    <t>The Dragon-Blood guides her companions through the deepest forests and harshest climes. She may commit an additional seven motes when she uses Invoking Nature’s Forgiveness to increase the rate at which she and the other affected characters can travel through wilderness. If they’re traveling through normal wilderness, they can cover (Essence + 10) miles with a single day’s march. Extremely harsh terrain or weather halves the distance they can cover, such as when hiking through a blizzard or climbing a mountain’s face. If multiple Dragon-Blooded stack the benefits of Invoking Nature’s Forgiveness, the Essence bonus also applies to this Charm to determine the distance that can be covered. Only one of them needs to know and use Tireless Caravan Prana to yield this benefit.</t>
  </si>
  <si>
    <t>Dragon’s Nest Shelter</t>
  </si>
  <si>
    <t xml:space="preserve">Calling upon nature’s mercy, the Dragon-Blood fortifies a shelter with the power of the elements. Vines twine around tent poles to secure them in place; the ground beneath a hut compresses itself to form a sturdy foundation; falling snow forms a crystalline shell atop an igloo. This Charm wards an enclosed shelter, such as a cave or hut, that’s large enough to comfortably house herself, her Hearth, and up to (Essence) other characters. This takes around an hour to complete. This Charm has the aspect of whichever element the Exalt called upon to fortify her shelter. Up to five Dragon-Blooded who know this Charm can cooperate to erect this shelter. Each additional Exalt adds 1 to the effective Essence of the user to determine the shelter’s maximum size, and allows the shelter to protect against an additional element. Characters within the shelter are protected from environmental hazards and other wilderness perils related to the chosen element. For example, if the Exalt fortifies a cave with Air Essence, even hurricane winds can’t pass through the cavern mouth, while a shelter fortified with Earth Essence withstands rockslides and protects those within. This protection doesn’t extend to elemental magic or attacks used by characters. At Essence 5, if the Dragon-Blooded enhances a shelter while in the bordermarches or middlemarches of the Wyld, it protects its inhabits from any physical or mental effects of the Wyld. It offers no protection once she reaches the deep Wyld. </t>
  </si>
  <si>
    <t>Uncanny Fugitive’s Intuition</t>
  </si>
  <si>
    <t xml:space="preserve">A master hunter knows when she becomes hunted. When a character fails an opposed roll to track the Dragon-Blood, she intuits that someone is pursuing her, and discerns a general sense of distance and direction to his current location. </t>
  </si>
  <si>
    <t>Burning Fang Strike</t>
  </si>
  <si>
    <t>3m, 3i, expend Fire Aura</t>
  </si>
  <si>
    <t>3i Fire Aura</t>
  </si>
  <si>
    <t>Survival 5,Essence 3</t>
  </si>
  <si>
    <t>Aura, Decisive-only, Fire</t>
  </si>
  <si>
    <t xml:space="preserve">A flame blazes in the eyes of the Dragon-Blood’s familiar as it leaps into battle. When her familiar makes a decisive attack, it adds the Exalt’s Initiative to the attack’s total damage. A successful attack resets both Exalt and familiar to base Initiative; they both lose Initiative on a missed attack. If the familiar’s attack incapacitates a nontrivial opponent or deals enough damage to a battle group to reduce its Size, both it and the Exalt add +2 to base Initiative on resetting. </t>
  </si>
  <si>
    <t>Eternal Elemental Harmony</t>
  </si>
  <si>
    <t xml:space="preserve">The Dragon-Blood is one with the five elements, capable of dancing with lightning and walking through wildfires. This Charm can be used upon failing a roll against an environmental hazard. The Exalt rolls (Stamina + Survival). Every success reduces the hazard’s damage by one die. If the hazard inflicts no damage on the Exalt, she gains a point of temporary Willpower. This Charm’s elemental aspect is that which most closely matches the nature of the hazard it’s used to protect against. If the Dragon-Blood is in the Elemental Aura that matches this Charm’s aspect, the duration of its protection lasts for as long as she remains in Aura, subtracting dice of damage based on her initial roll. She can only gain Willpower once, even if she withstands multiple hazards without taking damage. </t>
  </si>
  <si>
    <t>Labyrinth of Mist Technique</t>
  </si>
  <si>
    <t>Air/Water, Mute</t>
  </si>
  <si>
    <t>Uncanny Fugitive’s Intuition,Tireless Caravan Prana</t>
  </si>
  <si>
    <t>Those who chase after the Dragon-Blood may as well hunt phantoms. She rolls to conceal her tracks with double 8s. Additionally, a character that fails the roll becomes lost in the wilderness he’s tracking her through, chasing the Exalt’s false trails until he loses all sense of location and bearing. Escaping the wilderness requires a difficulty 5 (Wits + Survival) roll to locate a path leading out. On a failed roll, that character must wait until the next day before he can retry it. This doesn’t prevent him from using magic to ascertain his location or to find a way out without needing to make a Survival roll.</t>
  </si>
  <si>
    <t>Seeking Throw Technique</t>
  </si>
  <si>
    <t>Air, Balanced, Excellency, Uniform</t>
  </si>
  <si>
    <t xml:space="preserve">The Dragon-Blood’s hostile intent stirs up a current of wind that guides her weapon to its victim. A thrown knife might change trajectory in midair to strike an enemy hidden behind a tree, wall, or similar cover. She may add bonus dice on a Thrown roll for one mote each, and ignores the Defense bonus of enemies in light cover. In Air Aura, if the Dragon-Blood aims before attacking, she may ignore one point of Defense bonus from heavy cover. </t>
  </si>
  <si>
    <t>Armor-Rupturing Fang</t>
  </si>
  <si>
    <t xml:space="preserve">The Dragon-Blood strikes at stress points in a foe’s armor. On a successful decisive attack, her weapon becomes embedded in her enemy’s armor, lowering its soak by one point and raising its mobility penalty by one. Unarmored enemies are unaffected unless the Storyteller deems the enemy’s body super-durable, like an automaton’s metal body or a tyrant lizard’s thick scales. Removing the embedded weapon is a Strength 3 feat of strength at difficulty (higher of Essence or Strength) that can be attempted by the target or any of his allies within close range, negating the penalty on success. In Earth Aura, the Exalt can embed multiple weapons into an enemy’s armor with successive uses of this Charm. Each weapon’s penalty stacks, maximum (Essence + 1), and requires a separate action to remove. </t>
  </si>
  <si>
    <t>Blinding Spark Throw</t>
  </si>
  <si>
    <t xml:space="preserve"> The Dragon-Blood grinds a nail against her weapon or palm, sending a cascade of sparks into the eyes of an unfortunate foe. This is a difficulty 3 gambit against an enemy out to medium range. Success blinds him for three rounds. He may pay two Initiative to roll (Stamina + Resistance) against difficulty 3 as a miscellaneous action that can’t be flurried, regaining his eyesight on success. The Dragon-Blood may expend her Fire Aura when she crashes an enemy using any combat Ability to use this Charm against him reflexively. </t>
  </si>
  <si>
    <t>Venomous Thorn Attack</t>
  </si>
  <si>
    <t xml:space="preserve">Venom drips from the Dragon-Blood’s blades. She reflexively poisons her weapon as she makes a decisive attack, even if it lacks the Poisonable tag. This Charm’s Initiative cost is waived for weapons that have that tag. </t>
  </si>
  <si>
    <t>Arcing Levinbolt Precision</t>
  </si>
  <si>
    <t>Thrown 3, Essence 2</t>
  </si>
  <si>
    <t xml:space="preserve">A flash of lightning precedes the Dragon-Blood’s weapon, tracing the path to her foe. An enemy wearing metal armor, including armor made from the five magical materials, applies its mobility penalty to his soak and Hardness against an attack. </t>
  </si>
  <si>
    <t>Earth-Shattering Strike</t>
  </si>
  <si>
    <t xml:space="preserve">The Dragon-Blood’s weapon descends on her foe with the force of a hurled boulder. She makes a decisive attack that shatters the ground beneath her target’s feet on a hit, creating difficult terrain beneath him. </t>
  </si>
  <si>
    <t>Invisibly Hidden Chakram Method</t>
  </si>
  <si>
    <t>2m (1m)</t>
  </si>
  <si>
    <t>Air, Balanced, Stackable</t>
  </si>
  <si>
    <t>The Dragon-Blood’s weapons vanish in a whirl of wind. She banishes a Thrown weapon Elsewhere until she re-calls it to her hand by ending this Charm. She may stack this Charm to banish up to (Essence + 1) weapons at a time, paying only one mote for weapons beyond the first. In Air Aura, the Dragon-Blood may banish any number of weapons with a single use of this Charm, committing two motes for the first and one mote for each additional weapon.</t>
  </si>
  <si>
    <t>Mela’s Twin Fangs</t>
  </si>
  <si>
    <t>The Dragon-Blood palms a weapon from Elsewhere as she attacks with another weapon, throwing one in the shadow of the other. To use this Charm, she must have at least one weapon banished with its prerequisite and another readied. She makes two withering attacks against a single enemy — one with the readied weapon, and another with the banished weapon, which she recalls to her hand. She only gains Initiative from the attack that deals the highest damage.</t>
  </si>
  <si>
    <t>Persistent Hornet Attack</t>
  </si>
  <si>
    <t>5m, 1wp, expend Air Aura</t>
  </si>
  <si>
    <t>Thrown 5,Essence 3</t>
  </si>
  <si>
    <t>The Dragon-Blood’s weapon takes to the air with a life of its own, pursuing her foes like a murderous metal wasp. She makes a withering attack, but doesn’t gain any Initiative from it (including Initiative Breaks). Instead, if she hits, that Initiative is transferred to her weapon, which enters battle as a living weapon carried on the wind, orbiting the target at close range. The weapon cannot act until the round after this Charm is used. The only actions it can take are to reflexively move, aim, or attack an enemy at close range. The weapon uses the Dragon-Blood’s dice pools, but she cannot use Charms or other magic to enhance its actions. The weapon has its own separate Initiative, which benefits from its withering attacks and determines the damage of its decisive attacks. Upon successfully landing a decisive attack, this Charm ends. If it goes a round without aiming or landing an attack, it loses three Initiative. The weapon has Defense and soak (higher of Essence or Wits). It can be targeted with withering attacks or knocked out of the air with a successful disarm gambit, ending this Charm.</t>
  </si>
  <si>
    <t>Elusive Zephyr Strike</t>
  </si>
  <si>
    <t>The Dragon-Blood’s weapon is guided by unseen winds, changing course in mid-flight to misdirect a foe. She doubles 9s on the attack roll of a distract gambit. In Air Aura, the Dragon-Blood adds her attack roll threshold successes as dice to her Initiative roll.</t>
  </si>
  <si>
    <t>Smoke Burst Eruption</t>
  </si>
  <si>
    <t>Decisive-only, Fire, Mute</t>
  </si>
  <si>
    <t>Until end of next turn</t>
  </si>
  <si>
    <t>A shockwave of Essence bursts from the Dragon-Blood’s weapon, casting up smoke and strewing the battlefield with debris. A successful decisive attack creates a smoke cloud out to short range from the target, providing sufficient concealment to roll Stealth. If the Dragon-Blood or any of her allies makes an unexpected attack against the same enemy from within the smoke, they add a bonus die on both the attack and damage roll. The smoke dissipates once this Charm ends. With a Thrown 5, Essence 5 repurchase, the Dragon- Blood may pay one Willpower upon landing an attack while in Fire Aura to reflexively roll (Dexterity + Stealth) to establish concealment within the smoke.</t>
  </si>
  <si>
    <t>Devastating Avalanche Barrage</t>
  </si>
  <si>
    <t>5m, 4i, 1wp, expend Earth Aura (+1a)</t>
  </si>
  <si>
    <t>4i, Earth Aura, 1a</t>
  </si>
  <si>
    <t>Aura, Perilous, Signature (Earth), Withering-only</t>
  </si>
  <si>
    <t>Stones, debris, and clods of hard-packed earth rise up into the air around the Dragon-Blood and orbit her weapon as she focuses her Essence, building to an unstoppable landslide of force. She makes a withering attack against a single enemy, but also uses her attack roll as an unblockable withering attack against that foe and all characters within short range of him (including allies) as rock fragments and debris trail her weapon. If there’s no usable stone present, the Dragon-Blood may expend a level of anima to manifest it instead. After rolling damage normally for the first attack, she rolls (Strength) dice of unsoakable damage against each enemy hit by the second attack roll, although it cannot deal more damage than the first. She gains no Initiative from the second attack, but characters damaged by it are knocked prone. A character crashed by it is buried beneath rubble, and cannot rise from prone until he or another character has cleared it away with a Strength 3 feat of strength at difficulty (higher of Dragon-Blood’s Essence or Strength). This Charm can only be used once per scene, unless reset by successfully landing a decisive attack from Initiative 15+ while in Earth Aura.</t>
  </si>
  <si>
    <t>Exploding Weapon Technique</t>
  </si>
  <si>
    <t>The Terrestrial’s anima pours into her palms as burning flames, wreathing her weapon in an aura of explosive Essence. To use this Charm, the Dragon-Blood must have Initiative 12+. She makes a decisive attack that detonates on impact, adding (Essence) dice of damage and rolling an additional die of damage for every 9 and 10 on the damage roll. Artifact weapons suffer no damage from being used with this Charm, but most mundane weapons are destroyed. An Essence 5+ repurchase unlocks two additional effects that can be used in conjunction with other Charms. Exploding Armor Strike: When the Dragon-Blooded lands a decisive attack enhanced by this Charm against an enemy whose armor has been weakened by Armor-Piercing Fang (p. 275), she can detonate the embedded weapons for five motes each, adding three bonus dice of damage for each additional explosion. Rain of Falling Stars: When the Dragon-Blooded uses Thousand Razor Wind, she may reflexively activate Exploding Weapon Technique as a Balanced Charm without needing to be in Fire Aura. Instead of this Charm’s usual effect, the first attack that hits detonates, adding three dice of decisive damage. She may detonate any subsequent attacks that hit for five motes each, with the same effect.</t>
  </si>
  <si>
    <t>Fatal Riptide Strike</t>
  </si>
  <si>
    <t>Mute, Signature (Water), Uniform</t>
  </si>
  <si>
    <t>The Dragon-Blood’s anima limns her hands and weaponry with aqueous Essence, allowing them to move through water as though it were air. She ignores penalties for throwing a weapon from or through water or similar liquids. Surprise attacks she makes while underwater deal (Essence) additional dice of damage. Once per scene, when the Dragon-Blood makes an unexpected attack against an enemy with lower Initiative while underwater, she may pay one Willpower and expend her Water Aura to convert it to an ambush (Exalted, p. 203).</t>
  </si>
  <si>
    <t>Hundred Thorns Blossom</t>
  </si>
  <si>
    <t>Aura, Decisive-only, Signature (Wood)</t>
  </si>
  <si>
    <t xml:space="preserve">The Dragon-Blood draws a foe off guard with lithe, suggestive motions, taking advantage of his wavering attention to unleash a deadly barrage of needles or other concealed weapons from her hair, fingertips, or the back of her throat. On her turn, she may force an enemy with lower Initiative within short range to roll (Perception + Awareness) against her Guile. If he fails, she reflexively makes an unexpected decisive attack against him with (Manipulation + successes by which the enemy failed) dice of lethal damage, ignoring Hardness. This doesn’t include her Initiative or reset her to base. This Charm can only be used once per scene, unless reset by successfully establishing concealment against all enemies with a Stealth roll. </t>
  </si>
  <si>
    <t>Stone Needle Strike</t>
  </si>
  <si>
    <t>Thrown 4, Essence 3</t>
  </si>
  <si>
    <t xml:space="preserve"> The Dragon-Blood’s wrath leaves her foes pinned to the earth. An enemy damaged by her decisive attack loses his movement action on his next turn, and is impaled by her weapon, requiring him or an ally to succeed on a Strength 3 feat of strength at difficulty (higher of the Dragon-Blood’s Essence or Strength) before he can take any movement actions. </t>
  </si>
  <si>
    <t>Winter Fang Attack</t>
  </si>
  <si>
    <t xml:space="preserve">The Terrestrial’s weapon is chilled by her deadly intent, numbing flesh as it strikes. This Charm can supplement a decisive attack or a gambit. If the attack deals damage or the gambit succeeds, the enemy loses Initiative equal to the 10s on the damage roll or the Initiative roll, maximum (Essence). The Dragon-Blood doesn’t gain this Initiative. </t>
  </si>
  <si>
    <t>Thousand Razor Wind</t>
  </si>
  <si>
    <t>1m, 1wp, expend Air Aura</t>
  </si>
  <si>
    <t>Air, Aura, Decisive-only</t>
  </si>
  <si>
    <t xml:space="preserve">The Dragon-Blood unleashes her gathered fury in a storm of deadly steel. She instantly recalls every weapon she’s banished with Invisibly Hidden Chakram Method and sends them flying towards a single foe. She makes a decisive attack with her readied weapon (if any) and with each recalled weapon, making a separate attack roll for each weapon. She divides her Initiative evenly among all attacks, rounded down, to determine their damage, ignoring Hardness. She doesn’t reset to base Initiative until she’s completed all attacks. </t>
  </si>
  <si>
    <t>Whirlwind Shield Technique</t>
  </si>
  <si>
    <t>7m, 1wp, expend Air Aura</t>
  </si>
  <si>
    <t>Thrown 5,Essence 4</t>
  </si>
  <si>
    <t xml:space="preserve"> Whirling currents of wind swirl around the Exalt, catching her weapons as she tosses them into the air to create a vortex of deadly steel and whatever rocks, branches, or other detritus are caught up in the wind. She rolls the whirlwind into battle with (Wits + Thrown). It has a Parry rating equal to half the total successes, rounded up, on its Join Battle roll (maximum 5), and its only action is to protect the Exalt with defend other (Exalted, p. 196), moving to accompany her wherever she goes. It gains one Initiative whenever it successfully defends against an attack.  The whirlwind shield has soak (Essence + Dexterity + Stamina). Withering attacks against the whirlwind shield reduce its Initiative normally, while decisive attacks strip two points of Initiative for each level of damage, although this isn’t awarded to the attacker. If the whirlwind is crashed, this Charm ends. This Charm can only be used once per scene. </t>
  </si>
  <si>
    <t>Vengeful Gust Counterstrike</t>
  </si>
  <si>
    <t>3m, 1wp, expend Air Aura</t>
  </si>
  <si>
    <t>Air, Aura, Clash, Decisive-only</t>
  </si>
  <si>
    <t xml:space="preserve">The swirling winds surrounding the Dragon-Blood spin with deadly force, deflecting blades and arrows while gouging deep cuts along her foes. While Whirlwind Shield Technique is active, the Dragon-Blood may reflexively clash an attack from out to short range with a decisive attack, with damage equal to the whirlwind’s Initiative. This doesn’t count as her combat action or reset her to base Initiative. Success resets the whirlwind to three Initiative; on a failure, the clashed attack strikes the whirlwind instead of the Exalt. </t>
  </si>
  <si>
    <t>Wind Armor Technique</t>
  </si>
  <si>
    <t xml:space="preserve">The Exalt has refined her control of the Whirlwind Shield Technique to create invisible armor out of swirling air. While that Charm is active, she gains Hardness equal to the whirlwind’s Initiative. If the whirlwind’s Parry blocks an attack from close range, the attacker suffers one die of lethal damage, ignoring Hardness. This Charm is incompatible with armor.   </t>
  </si>
  <si>
    <t>Tactics Mean Everything</t>
  </si>
  <si>
    <t xml:space="preserve">Wise strategy is the foundation upon which victories are built. The Dragon-Blood may add bonus dice to a  War roll for one mote each, and rerolls 6s until they cease to appear. </t>
  </si>
  <si>
    <t>Excellence of the Dutiful General</t>
  </si>
  <si>
    <t xml:space="preserve">The Dragon-Blood strengthens her judgment and strategic insight with the steadiness and calm of the earth, finding the path that leads to victory. She converts up to (Essence) situational bonus dice on a Strategic Maneuver roll (Exalted, p. 212) to non-Charm successes. </t>
  </si>
  <si>
    <t>Tireless Footfalls Cadence</t>
  </si>
  <si>
    <t>Excellence of the Dutiful</t>
  </si>
  <si>
    <t xml:space="preserve">General Earth Essence sustains the Dragon-Blood’s soldiers as they march in steady, rhythmic unison. She ignores penalties from troop fatigue or movement through strenuous environments on a Strategic Maneuver roll. If she defeats the opposing general on the roll and implements her stratagem, allied battle groups ignore fatigue-based penalties for the duration of the fight. </t>
  </si>
  <si>
    <t>Roaring Dragon Officer</t>
  </si>
  <si>
    <t>Balanced, Earth, Perilous</t>
  </si>
  <si>
    <t xml:space="preserve">The Dragon-Blood’s voice echoes across the battlefield as though it were a canyon. She may place a command action in a flurry, although not with an attack. In Earth Aura, the penalty on both flurried actions is reduced by one point, and the Dragon-Blood’s Defense isn’t penalized. </t>
  </si>
  <si>
    <t>Blazing Courageous Swordsman Inspiration</t>
  </si>
  <si>
    <t>The Dragon-Blood leads from the front, a blazing icon that ignites her soldiers’ hearts. She rolls an additional non-Charm die for each 10 that appears on a Charisma- or Appearance-based command action to give orders. In Fire Aura, bonus dice granted by the Dragon-Blood’s command also add to the battle group’s Willpower rolls to resist being routed this round (Exalted, p. 209).</t>
  </si>
  <si>
    <t>Storm-Calling Strategos</t>
  </si>
  <si>
    <t>10m, 1wp (5i)</t>
  </si>
  <si>
    <t>Until stratagem is completed</t>
  </si>
  <si>
    <t>The Dragon-Blood commands the skies themselves, calling down bolts of lightning to smite her enemies and darkening the horizon with storm clouds that precede her armies. This Charm creates a unique magical strat- agem with threshold 3 to manipulate weather, forcing the enemy to contend with storms or similarly perilous atmospheric conditions. Once the Dragon-Blood Joins Battle against the opposing army, the harsh weather culminates in a thunderstorm, gale-force wind, heavy snowfall, or other extreme weather. This imposes a -3 environmental penalty on all physical actions that enemy battle groups take in combat. Non–battle group enemies may suffer a -1 environmental penalty on appropriate actions. The weather doesn’t impede the Dragon-Blood or her allies. At the beginning of each round, if the Dragon-Blood has 12+ Initiative, she may pay five Initiative to reflex- ively create an instantaneous environmental hazard targeting a single battle group — a bolt of lightning, an avalanche, or similar dangers. This hazard has difficulty (higher of Essence or Intelligence) and Damage (Willpower)L. If this deals enough Magnitude damage to reduce the battle group to Size 0, the Dragon-Blood gains one point of temporary Willpower. This Charm can only be used once per story, unless reset by achieving a cumulative total bonus of +4 on a Strategic Maneuver roll from any combination of non-magical sources.</t>
  </si>
  <si>
    <t>Army-To-Mob Assault</t>
  </si>
  <si>
    <t>Perilous, Water, Withering-only</t>
  </si>
  <si>
    <t>Blazing Courageous Swordsman</t>
  </si>
  <si>
    <t xml:space="preserve">Inspiration The Dragon-Blood overwhelms enemy forces with tactics designed to spread confusion and chaos. When an allied battle group attacks an enemy battle group under the Dragon-Blood’s orders, she converts (Manipulation) bonus dice granted to the battle group’s attack by her command to automatic successes. If this empties the enemy battle group’s Magnitude, add +1 to the difficulty of its roll to resist rout. </t>
  </si>
  <si>
    <t>Choking Weeds Tactic</t>
  </si>
  <si>
    <t xml:space="preserve">The Dragon-Blood strangles an enemy army with guerrilla raids on supply lines and base camps, forcing them to fight on empty stomachs while her soldiers enjoy the windfall of stolen supplies. When she rolls a Strategic Maneuver, the threshold of the opposing general’s stratagem is increased by 1. If the Dragon-Blood successfully enacts her stratagem, enemy battle groups suffer a -3 penalty on their Join Battle rolls in the affected fight. </t>
  </si>
  <si>
    <t>Changing Winds Cunning</t>
  </si>
  <si>
    <t>When the wind of battle reverses direction, the Terrestrial adapts her strategy at a moment’s notice. She rerolls (Essence) non-1 failed dice on a Strategic Maneuver roll. A War 5, Essence 5 repurchase allows the Dragon-Blood to spend one Willpower after rolling her maneuver, but before rerolling failures, to change her chosen stratagem.</t>
  </si>
  <si>
    <t>Ramparts of Obedient Earth</t>
  </si>
  <si>
    <t>The battlefield is clay to be sculpted in accordance with the tactical genius of the Terrestrial general. To use this Charm, the Dragon-Blood must be leading her soldiers. She may roll to Join Battle with (Intelligence + War), and receives a number of points equal to her Join Battle successes that she may spend to reshape the battlefield: Sinkhole (1-5 points): The Dragon-Blood tears open a sinkhole between the ranks of an enemy army or sculpts stone into a constricting obstruction. The ground out to close range from an enemy battle group becomes difficult terrain, and the battle group acts last on the first turn regardless of its place in Initiative order. The point cost is the Size of the battle group targeted. Barricade (4 point): The Dragon-Blood wrenches up great masses of earth and compresses them into barriers or walls, instantly enacting a Fortifications stratagem (Exalted, p. 212). Sapping (7 points): If an enemy general has successfully employed a Fortifications stratagem, the Dragon-Blood may negate its benefits by tunneling through earth and stone, or otherwise creating ways to bypass the fortifications. The Dragon-Blood’s forces don’t treat the terrain as difficult, and may reflexively advance one range band towards the enemy forces. The Storyteller may also adjudicate additional advantages depending on the context of the battlefield. Reshape Battlefield (10 points): If the Dragon-Blood has successfully enacted a Strategic Placement stratagem (Exalted, p. 212), she may resculpt the battlefield to her specifications, preparing it before the battle and ensuring her enemy will fight her there. She might prepare rows of trenches and fortified towers of earth for her own forces, while forcing her enemy to traverse pits filled with stone spikes, narrow stone tunnels, and similar obstacles. The Storyteller adjudicates the specific effects of these creations. She cannot directly harm foes with the moving stone, although she can create all types of traps and dangers.</t>
  </si>
  <si>
    <t>Deadly Wildfire Legion</t>
  </si>
  <si>
    <t>A raging nimbus of flames surrounds the Dragon-Blood’s forces, manifesting her martial prowess as she urges them onward. Deadly flames dance along the edges of their swords and the points of their spears as they charge. She adds (Essence) non-Charm dice on a command action to give orders. In addition to adding to the battle group’s attack roll, this also adds one die to its damage roll for every two successes. The battle group may immediately take its turn for the round to complete the orders on her tick if it hasn’t already acted this round, regardless of its place in Initiative order. This Charm can only be used once per scene, unless reset when an allied battle group attacks under the Dragon-Blood’s orders and deals enough damage to incapacitate a significant foe, or successfully routs an enemy battle group by depleting its Magnitude.</t>
  </si>
  <si>
    <t>Hidden Thorn Treachery</t>
  </si>
  <si>
    <t>The Dragon-Blood scatters her spies like dandelion seeds on the wind, letting them grow deep roots of trust amid the ranks of her enemy before she comes to reap the harvest. This Charm creates a unique magical stratagem with threshold 3 to infiltrate an enemy’s ranks with a traitor in combat. To use it, the Dragon-Blood must already have at least a +1 bonus to her Strategic Maneuver roll from spies or traitors in the enemy’s ranks. Success lets her reflexively reveal the presence of her loyal double agent within a battle group at any point during the combat the stratagem applies to. The Storyteller may rule some betrayals impossible, or require a stunt in which the Dragon- lood describes how the infiltration occurred. Battle groups with Might 2+ or perfect morale are immune to infiltration via this stratagem. Once she’s declared the betrayal, the battle group suffers automatic rout, as its most notable or highest-ranking member is revealed to be loyal to the Dragon-Blood. If this character is narratively significant on his own and his defection would defy suspension of disbelief, the Storyteller may declare that another member is the traitor instead. If an opposing commander is able to successfully rally the battle group, he preserves a single dot of that battle group’s Size for every two successes on the roll. The rest are subtracted from the group and rolled into battle as a splinter faction loyal to the traitor. If the battle group isn’t rallied, then the entire force goes over with the traitor, reforming on its next turn.</t>
  </si>
  <si>
    <t>Fog-of-War Misdirection</t>
  </si>
  <si>
    <t>Mute, Signature (Water)</t>
  </si>
  <si>
    <t>The Dragon-Blooded general lures her enemies into battle within the depths of an eerie fogbank, trapping them within a prison of water. This Charm creates a unique magical stratagem with threshold 3 that shrouds the bat- tlefield with a heavy mist, forcing enemies to fight against the confusion and disarray amid their own ranks before they can even contend with her forces. When the Dragon-Blood rolls Join Battle after success- fully enacting this stratagem, she designates a point on the battlefield to be the center of the fog. The cloud ex- tends out to long range from this point. The fog imposes a -2 penalty on all affected vision-based rolls and on any attacks made from medium range or beyond. Enemy battle groups caught in the fog take a -1 penalty on rolls to resist rout. A character that wishes to target them with a command action must pay one Initiative to do so, and takes a -2 penalty on the roll. If a battle group suffers dissolution after being routed in the mist, the Dragon-Blood gains Initiative equal to (its Size/2, rounded up). The Dragon-Blood cannot gain more than (Essence) Initiative in a single round this way. Normal winds and weather conditions won’t disperse the mist, but magically created wind or weather-manipulating magic, including the intervention of elementals, can do so. This Charm can only be used once per story, unless the Dragon-Blooded resets it by roleplaying a scene in which she gains a concrete advantage over an enemy that adds dice to a Strategic Maneuver roll (Exalted, p. 212) through deception, subterfuge, or treachery.</t>
  </si>
  <si>
    <t>Enfolded in the Dragon’s Wings</t>
  </si>
  <si>
    <t>War 4, Essence 3</t>
  </si>
  <si>
    <t>Earth, Perilous, Uniform</t>
  </si>
  <si>
    <t>The Dragon-Blood’s soldiers brace themselves to hold the line, fortified with the strength of mountains by her command. When an allied battle group within short range of the Dragon-Blood is attacked, she may reflexively roll a special command action with ([Charisma, Appearance, or Intelligence] + War). Every two successes on her roll add +1 to the battle group’s Defense and soak against the attack. This Charm can only be used once per scene unless reset by successfully rallying or rallying for numbers. At Essence 5+, the Dragon-Blooded can extend this Charm’s range to medium for an additional two motes.</t>
  </si>
  <si>
    <t>Phantom Fire-Warrior Horde</t>
  </si>
  <si>
    <t>The Dragon-Blood draws on the subtler strengths of flame, overwhelming enemy forces with the appearance of superior force. Her anima banner disperses among the ranks of her soldiers, creating illusionary warriors of smoke to fill in any holes in their ranks. When she successfully rallies for numbers, she adds (Essence/2, rounded up) to the Magnitude restored. The Dragon-Blood also treats the results of her roll as a threaten action against all battle groups that see the fire-warriors come into existence. Battle groups whose Resolve is beaten will retreat from her army, moving away from it each turn until an enemy commander makes a successful command roll to give them other orders.</t>
  </si>
  <si>
    <t>Indomitable Flame of Valor</t>
  </si>
  <si>
    <t>1m (+1wp)</t>
  </si>
  <si>
    <t>Aura, Fire</t>
  </si>
  <si>
    <t>The Dragon-Blood ignites incredible courage in the hearts of her soldiers with the burning Essence of her exhortations, showing her army what it is to have a dragon’s valor. She doubles 9s on a roll to rally or rally for numbers. If the battle group has elite Drill, she can pay a one-Willpower surcharge to grant it perfect morale (Exalted, p. 210) for one round on a successful roll. At Essence 5, the Dragon-Blooded may pay 4 Initiative to extend the duration of the perfect morale to one scene.</t>
  </si>
  <si>
    <t>Blessed Dragon Champion</t>
  </si>
  <si>
    <t>When the Dragon-Blood steps forward to lead her forces into battle, she never stands alone. To use this Charm, she must be leading her soldiers under a successfully enacted stratagem. She doubles 9s on all War rolls, and gains +2 Defense against battle groups. She adds non-Charm dice equal to (the Size of the largest battle group under her command) on all attacks she makes against enemy battle groups.</t>
  </si>
  <si>
    <t>Air Dragon’s Sight</t>
  </si>
  <si>
    <t xml:space="preserve">Reading her foe’s movements through the slight disturbances they create in the air, the Immaculate could dodge his attacks blindfolded. She ignores (Perception/2, rounded up) total points of onslaught penalties or environmental penalties to her Evasion. Additionally, surprise attacks (Exalted, p. 203) inflict no penalty to her Evasion, though she can’t dodge ambushes. In Air Aura, the Immaculate ignores (Perception) points of penalties instead. </t>
  </si>
  <si>
    <t>Cloud-Treading Method</t>
  </si>
  <si>
    <t xml:space="preserve">Following in Mela’s footsteps, the Immaculate walks paths closed to her earthbound brethren. She ignores (higher of Essence or 3) total points of penalties from moving through difficult terrain, moving in concealment, or any other environmental penalties on a movement action. She can traverse surfaces that couldn’t normally bear her weight, such as tree branches or rice paper, although she must end her movement on stable footing. In Air Aura, the Immaculate may walk over liquid or any vapor other than thin air, such as the smoke from a campfire. She must still end her movement on solid ground. </t>
  </si>
  <si>
    <t>Wind Dragon Speed</t>
  </si>
  <si>
    <t xml:space="preserve">The Immaculate moves with wind-rivaling grace, striking and instantly regaining her balance and composure. She may flurry a disengage with an attack, ignoring the usual flurry penalties. If she successfully disengages and ends her movement at short range or further from all enemies, not counting crashed foes or trivial characters, she doesn’t lose Initiative for disengaging.  In Air Aura, the Immaculate may flurry a disengage with an aim action. This allows her to move and aim on the same turn, but only benefits Air Dragon attacks. </t>
  </si>
  <si>
    <t>Breath-Seizing Technique</t>
  </si>
  <si>
    <t>Air, Decisive-only</t>
  </si>
  <si>
    <t xml:space="preserve">The Immaculate forces the air from her enemy’s lungs, denying him Mela’s precious gift. To use this Charm, the Immaculate must have Initiative 12+. She makes a decisive attack against an enemy. Before rolling decisive damage, she rolls (her weapon’s Overwhelming) dice of unsoakable withering damage. She doesn’t gain Initiative from this damage roll; if she crashes her enemy, the Initiative Break is added before she rolls decisive damage and resets to base. Beings that don’t need to breathe, such as zombies and automatons, are unaffected. If an enemy that takes withering damage from this attack is holding his breath (Exalted, p. 232), the total number of rounds he may do so for is reduced by one. Essence is the breath of spirits, rendering them especially vulnerable to this technique. They lose motes equal to the withering damage they suffer. </t>
  </si>
  <si>
    <t>Air Dragon Form</t>
  </si>
  <si>
    <t>Air, Form, Mute</t>
  </si>
  <si>
    <t>Breath-Seizing Technique,Wind Dragon Speed</t>
  </si>
  <si>
    <t xml:space="preserve">The Immaculate’s hands cut through the air as she executes a rapid kata and draws a deep cleansing breath, respiring the Essence of the Air Dragon. Her withering chakram attacks are treated as made from close range to determine their Accuracy bonus, regardless of the actual distance. She gains +1 Evasion, and adds an automatic success on disengage rolls and Stealth rolls.  Special activation rules: When the Immaculate deals enough withering damage to lower a foe’s Initiative from a rating higher than her own to a lower rating, she may reflexively enter this Form. </t>
  </si>
  <si>
    <t>Shroud of Unseen Winds</t>
  </si>
  <si>
    <t>Air, Mute, Perilous</t>
  </si>
  <si>
    <t xml:space="preserve">Silent and light on her feet, the Immaculate moves unseen. She adds (Essence) dice on a Stealth roll, or (Essence) successes at Initiative 12+. With an appropriate stunt, such as throwing a flash bomb or handful of blinding powder, she may roll Stealth even if there’s no place to hide. In Air Aura, the Immaculate adds successes instead of dice as long as she isn’t crashed, and needs no stunt to enter concealment, vanishing into thin air.  </t>
  </si>
  <si>
    <t>Avenging Wind Strike</t>
  </si>
  <si>
    <t xml:space="preserve">The Immaculate’s strike is Mela’s exhalation, driving her foes back with the force of fivefold winds. She doubles 10s on a decisive damage roll. If she deals damage, she may knock her enemy prone and hurl him one range band away from her. With 3+ levels of damage, she may hurl him two range bands instead. He cannot be flung further than long range from the Immaculate. In Air Aura, any damage is enough to knock an enemy back two range bands. With 5+ levels, the Immaculate may knock an enemy back three range bands. </t>
  </si>
  <si>
    <t>Lightning Strike Style</t>
  </si>
  <si>
    <t>Avenging Winds Strike</t>
  </si>
  <si>
    <t xml:space="preserve">Blue-white flickers of electricity arc across the Immaculate’s weapon or limbs, lancing out in a brilliant stroke of lightning as she strikes. She extends the range of her decisive attack by one range band (maximum long) and adds (Essence + Strength) attack roll extra successes as dice of damage. Her attack ignores Hardness from metal armor, including those made from the five magical materials. In Air Aura, the Immaculate’s attack also ignores cover (Exalted, p. 199) from metallic objects or structures, passing through them in a flash of lightning. Even enemies in full cover from such structures can be attacked if the Immaculate can see them, but receive +3 Defense. </t>
  </si>
  <si>
    <t>Thunderclap Kata</t>
  </si>
  <si>
    <t>7m, 5i</t>
  </si>
  <si>
    <t xml:space="preserve">Slamming her hands together, the Immaculate creates a deafening thunderclap. All other characters in medium range, including allies, must roll (Stamina + Resistance) against it as an environmental hazard with difficulty (Essence + 1), Damage (Strength/2, rounded up)B. The shockwave strikes dematerialized characters as well as materialized ones, and has (Strength)B Damage against spirits. This technique can be heard for miles around, but doesn’t affect characters beyond medium range. Special activation rules: If the Immaculate enters Air Dragon Form with Initiative 20+, she may reflexively use Thunderclap Kata. </t>
  </si>
  <si>
    <t>Tornado Offense Technique</t>
  </si>
  <si>
    <t xml:space="preserve">The Immaculate is a deadly whirlwind, scything down foes with a spinning strike. The Immaculate chooses a range band within her weapon’s range and rolls a single decisive attack against all enemies at that range from her — she might deliver a spinning kick to all enemies in close range, or send a chakram flying to strike all enemies at medium range. If she wishes to attack at medium range or further, she must first spend a round aiming, as usual.  The player rolls (Initiative/3, rounded up) dice of damage against each hit enemy, plus (Perception) dice against each enemy against whom the attack was unexpected. Trivial opponents suffer the Immaculate’s (full Initiative) damage. In Air Aura, if the attack hits every enemy in the range band, the Immaculate adds the number of nontrivial enemies hit to her base Initiative upon resetting, maximum +(Essence). </t>
  </si>
  <si>
    <t>Wrathful Winds Kiai</t>
  </si>
  <si>
    <t xml:space="preserve">Echoing the awful roar with which Mela rules Creation’s storms, the Immaculate gives a ferocious shout that strikes like a gale-force blast. She rolls (Stamina + Martial Arts) as a special unblockable withering attack against all characters in a ninety-degree arc out to medium range, including allies. The attack doesn’t use a weapon; it has no Accuracy bonus, and has raw damage (Strength + Initiative + threshold successes) against each hit enemy, minimum (Strength). Damaged enemies are knocked back one range band and fall prone; enemies crashed by the attack can’t take a move action on their next turn. The Immaculate doesn’t gain any Initiative from this withering damage. Each 10 on a damage roll against an enemy rolls a die of decisive bashing damage against him, ignoring Hardness. Spirits instead suffer dice of decisive damage equal to the total withering damage dealt to them, and can be struck even if dematerialized. This Charm can only be used once per scene, unless reset by incapacitating a nontrivial foe. </t>
  </si>
  <si>
    <t>Hurricane Combat Method</t>
  </si>
  <si>
    <t>—(+6m, 1wp)</t>
  </si>
  <si>
    <t>Martial Arts 5, Essence 5</t>
  </si>
  <si>
    <t>Shroud of Unseen Winds,Tornado Offense Technique, Wrathful Winds Kiai</t>
  </si>
  <si>
    <t xml:space="preserve">Honing her speed and reflexes beyond their utmost, the Immaculate unleashes the hurricane. Upon entering Air Dragon Form, she may pay six motes and one Willpower to enhance it. Its Evasion bonus increases to +2, and she doubles 9s on Stealth and movement rolls. Once per round, she may pay five Initiative to reflexively make a withering or decisive attack that doesn’t count as her attack for the round, and can be used to clash attacks against her. </t>
  </si>
  <si>
    <t>Stone Dragon’s Skin</t>
  </si>
  <si>
    <t>Dual, Earth, Perilous</t>
  </si>
  <si>
    <t>Unbowed by pain, the Immaculate withstands blow after blow. She ignores (Stamina/2, rounded up) points of wound penalties to her Parry. Against withering attacks, she adds (higher of Essence or 3) natural soak; against decisive attacks, she adds +1 to her Hardness from armor or other magic. This Charm costs one mote less in medium armor, and two motes less in light armor. While unarmored, it costs two motes less and the Initiative cost is waived.</t>
  </si>
  <si>
    <t>Force of the Mountain</t>
  </si>
  <si>
    <t>The Immaculate draws strength from her firm stance. She adds (lower of Essence or Strength) dice of raw withering damage, or doubles 10s on a decisive damage roll. Additionally, an unarmed attack gains the Smashing tag (Exalted, p. 586). In Earth Aura, she adds (higher of Essence or Strength) raw withering damage.</t>
  </si>
  <si>
    <t>Stillness-of-Stone Atemi</t>
  </si>
  <si>
    <t>2m (+1i per point of penalty)</t>
  </si>
  <si>
    <t>Earth, Withering-only</t>
  </si>
  <si>
    <t>The staggering force of the Immaculate’s blow teaches her enemies what it is to bear the world’s weight. Her withering attack gains +1 Overwhelming. For each 10 on the damage roll, the Immaculate may pay one Initiative to raise her foe’s mobility penalty (Exalted, p. 591) by one until the end of his next turn, maximum (Essence). An enemy crashed by the attack suffers this penalty until he recovers from crash, if that’s longer. In Earth Aura, the Immaculate may also pay Initiative for 9s on her damage roll to inflict penalties.</t>
  </si>
  <si>
    <t>Unmoving Mountain Stance</t>
  </si>
  <si>
    <t xml:space="preserve">Motionless as a statue, the Immaculate stubbornly refuses to yield ground to her enemies. After being hit by an attack, but before damage is rolled, she may use this Charm. The Initiative her attacker would gain from withering damage is reduced by (her Stamina/2, rounded up), although this doesn’t negate the Initiative he gains for hitting her or the Initiative Break for crashing her. Smash attacks (Exalted, p. 586) or other attacks that forcibly move the Immaculate fail to do so unless they deal at least (Stamina + Resistance) withering damage or (Stamina) decisive damage. In Earth Aura, the Immaculate denies her attacker (Stamina) Initiative, and adds (Essence) to the minimum damage that must be dealt to knock her back. </t>
  </si>
  <si>
    <t>Earth Dragon Form</t>
  </si>
  <si>
    <t>9m</t>
  </si>
  <si>
    <t>Earth, Form</t>
  </si>
  <si>
    <t>Stillness-of-Stone Atemi,Unmoving Mountain Stance</t>
  </si>
  <si>
    <t xml:space="preserve">The Immaculate moves through slow and deliberate katas as though the air were stone carved by her movements, crafting a perfect stance. She adds (Strength/2, rounded up) bonus dice on attack rolls of smash attacks or attacks against prone enemies. She adds (Strength) natural soak. Special activation rules: When an enemy whose Initiative is lower than the Immaculate’s hits her with an attack, she may reflexively enter this Form, gaining its soak bonus against withering attacks. </t>
  </si>
  <si>
    <t>Ghost-Grounding Blow</t>
  </si>
  <si>
    <t>Earth, Perilous, Withering-only</t>
  </si>
  <si>
    <t xml:space="preserve">Corrupt gods and truculent spirits must bow their faces into the earth until they have learned humility. After crashing a spirit with a withering attack, the Immaculate may use this Charm. The spirit instantly materializes at no cost if dematerialized, and cannot dematerialize or use the Hurry Home Charm until (Immaculate’s Strength) rounds have passed after it recovers from crash. </t>
  </si>
  <si>
    <t>Earthshaker Attack</t>
  </si>
  <si>
    <t xml:space="preserve">The ground trembles beneath the Immaculate’s blow as she drives her tetsubo or stomping foot into the ground. To use this Charm, the Immaculate must have Initiative 15+. She makes a single decisive attack roll against all other characters in short range, including allies. This attack is unblockable, undodgeable, and can’t be clashed. Instead, each character in range must make a (Dexterity + Athletics) opposed roll against the Immaculate’s attack to maintain his balance. A character who fails is knocked prone and suffers (Strength) dice of bashing damage, ignoring Hardness. This doesn’t include the Immaculate’s Initiative or reset her to base. Battle groups with Might 0 fail the roll automatically. Enemies that take 3+ levels of damage are knocked back one range band with immense force, suffering damage as per a short-range fall (Exalted, p. 232). In Earth Aura, after paying this Charm’s cost, the Immaculate may divide her total Initiative evenly among each hit enemy, rounded up, adding it on top of this Charm’s base damage of (Strength). Doing so resets  her to base Initiative as long as at least one enemy is hit. This Charm can only be used once per scene, unless reset by crashing a nontrivial foe while he’s prone. </t>
  </si>
  <si>
    <t>Shattering Fist Strike</t>
  </si>
  <si>
    <t xml:space="preserve">The Immaculate’s raw power is all the mightier for her precision, striking a weapon’s weakest point to shatter it. Her disarm gambit destroys a mundane weapon on a success. Alternatively, she may supplement a feat of demolition (Exalted, p. 229), doubling 9s and completing in a miscellaneous action what would normally take longer, such as punching through a brick wall. The Immaculate may expend her Earth Aura to target an artifact weapon with a supplemented disarm gambit, adding its rating to the gambit’s difficulty. Success fractures the weapon, breaking its wielder’s attunement and rendering the artifact unusable until repaired (Exalted, p. 242). Such repair projects only require a single successful roll, rather than an extended action. </t>
  </si>
  <si>
    <t>Weapon-Breaking Defense Technique</t>
  </si>
  <si>
    <t>Clash, Decisive-only, Earth</t>
  </si>
  <si>
    <t xml:space="preserve">The fool who proclaims he’ll slay the mountain can only blame himself when he returns home with a broken sword. The Immaculate reflexively clashes an attack from close range with a disarm gambit that benefits from Shattering Fist Strike. This doesn’t count as her combat action for the round. Winning the clash adds her attack roll threshold successes to the gambit’s Initiative roll. This Charm can’t clash unarmed attacks or other attacks that have the Natural tag. In Earth Aura, the Immaculate may clash to fracture artifact weapons without expending her Aura. This Charm may only be used once per scene, unless reset by dealing 7+ levels of damage to a nontrivial enemy with a decisive attack. </t>
  </si>
  <si>
    <t>Avalanche Method</t>
  </si>
  <si>
    <t>Weapon-Breaking Defense</t>
  </si>
  <si>
    <t xml:space="preserve">Technique Striking blow after hammering blow, the Immaculate forces even the haughtiest heretics to kneel. To use this Charm, the Immaculate must have Initiative 12+ and her target must have a mobility penalty of at least -1. She makes decisive attacks against a single enemy until she’s made a total equal to his mobility penalty, or until she misses. A successful attack doesn’t reset her to base Initiative — instead, she loses Initiative equal to the successes on her damage roll, to a minimum of her base Initiative. Once she’s completed all attacks, she resets as usual. If the Immaculate successfully lands a smash attack against an enemy, he isn’t knocked back until she’s completed all attacks made with this Charm. Landing multiple smash attacks lets her fling him back multiple range bands, to a maximum of long range. He crashes to earth with incredible force, suffering damage as per a short-range fall if he’s knocked to medium range, or per a medium-range fall if knocked to long range (Exalted, p. 232). An enemy trapped with Hungry Earth Strike isn’t dislodged from his earthen prison, but still suffers falling damage as he’s ground against his prison’s stone walls with bone-breaking force. In Earth Aura, missing doesn’t prevent the Immaculate from launching further attacks. </t>
  </si>
  <si>
    <t>Hungry Earth Strike</t>
  </si>
  <si>
    <t>10m, 6i, 1wp</t>
  </si>
  <si>
    <t>6i</t>
  </si>
  <si>
    <t>Earthshaker Attack, GhostGrounding Blow</t>
  </si>
  <si>
    <t xml:space="preserve">The jaws of Pasiap yawn wide in jagged fissures to consume those the Immaculate condemns. She makes a withering attack that must either be a smash attack or directed against a prone enemy, doubling 8s on the damage roll. If she crashes an enemy who’s standing on soil, stone, or a similar earthen substance (or is knocked onto such terrain by a smash attack), the ground beneath his feet swallows him to the waist. While swallowed in earth, that enemy cannot take movement actions and suffers the penalties for being prone (Exalted, p. 202). On each of his turns, he suffers one die of bashing damage from grinding stone, ignoring Hardness. Spirits suffer the effects of Ghost-Grounding Blow while trapped.  If an enemy is incapacitated while buried, he dies, his body entombed in the depths of the earth. A buried enemy may attempt to break free from the earth as an extended (Strength + Athletics) action, with difficulty (Immaculate’s Strength) and a goal number of (Immaculate’s Essence + Strength). That character’s allies may also attempt to pry him free with their own (Strength + Athletics) rolls, adding their threshold successes towards his total. This roll is a miscellaneous action that can’t be flurried. In Earth Aura, the Immaculate may bury an enemy without crashing him if her attack reduces his Initiative from being higher than hers to lower. This Charm may only be used once per scene, unless reset by incapacitating a nontrivial foe with a decisive attack from 20+ Initiative. </t>
  </si>
  <si>
    <t>Perfection of Earth Body</t>
  </si>
  <si>
    <t>—(+6m, 6i, 1wp)</t>
  </si>
  <si>
    <t>Avalanche Method, Hungry</t>
  </si>
  <si>
    <t xml:space="preserve">Earth Strike The Immaculate concludes the katas of Earth Dragon Form by dropping to her hands and knees, humbling herself before Pasiap. As she rises, her body twists and shifts as Earth Essence suffuses it, her skin becoming rough and craggy as her body hardens into living stone. Upon entering Earth Dragon Form, she may pay six motes, six Initiative, and one Willpower to enhance it. When she attacks a prone enemy or makes a smash attack, she adds (Stamina) raw withering damage or decisive damage. She’s immune to all wound penalties, as well as crippling penalties inflicted by effects such as Joint-Wounding Attack or Crippling Pressure-Point Strike. If the Immaculate is unarmored, the soak bonus from Earth Dragon Form rises to (Willpower + Strength), and she gains Hardness (Strength + Stamina).  </t>
  </si>
  <si>
    <t>Flash-Fire Technique</t>
  </si>
  <si>
    <t xml:space="preserve">Her sense for violence honed by training and tempered by self-discipline, the Immaculate draws her blades without needing to think. She rolls Join Battle twice, taking the higher of the two results. Any Charms she uses must be paid separately for each roll. If she wins Join Battle and makes a decisive attack on her first turn, she adds (Dexterity) attack roll extra successes as dice of damage. </t>
  </si>
  <si>
    <t>Searing Edge Attack</t>
  </si>
  <si>
    <t>Fire, Withering-only</t>
  </si>
  <si>
    <t xml:space="preserve">The Immaculate’s killing intent radiates from her strike as overwhelmingly painful heat. As long as her withering damage roll receives at least one success, her target loses (Essence) additional Initiative, which she doesn’t gain. </t>
  </si>
  <si>
    <t>Flame-Flicker Stance</t>
  </si>
  <si>
    <t xml:space="preserve">Moving like the shifting flame of a candle, the Immaculate fends off blows in a dance of whirling blades. 1s on an attack roll against her grant +1 Parry each. If she successfully blocks an attack made by an enemy with lower Initiative, it doesn’t inflict an onslaught penalty. In Fire Aura, this Charm can be used after the attack roll.  </t>
  </si>
  <si>
    <t>Perfect Blazing Blow</t>
  </si>
  <si>
    <t xml:space="preserve">Striking with overwhelming intensity, the Immaculate burns through her foe’s defense. She doubles (Essence) 9s on a decisive attack roll against an enemy with lower Initiative. She doubles 8s against crashed foes, though still up to a total of (Essence) doubled successes. In Fire Aura, each success doubled by this Charm also adds one die of damage. </t>
  </si>
  <si>
    <t>Fire Dragon Form</t>
  </si>
  <si>
    <t>Fire, Form</t>
  </si>
  <si>
    <t>Flame-Flicker Stance, Perfect</t>
  </si>
  <si>
    <t xml:space="preserve">Blazing Blow Flames seem to glow in the Immaculate’s eyes as she dances through a rapid kata, assuming a graceful, deadly battle stance. Against enemies with a lower Initiative, her attacks inflict onslaught penalties before the roll is made, penalizing the enemy’s Defense against them. When she parries a decisive attack, the Initiative her attacker loses (Exalted, p. 191) is doubled. Special activation rules: When the Immaculate wins Join Battle, she may reflexively enter this Form. </t>
  </si>
  <si>
    <t>God-Immolating Strike</t>
  </si>
  <si>
    <t xml:space="preserve">Wayward divinities and unrighteous spirits are tinder for the flames of righteousness. The Immaculate’s decisive attacks deal aggravated damage to spirits, and she treats her Initiative as (Essence) higher for the purposes of this style’s Charms or similar effects that gain benefits against lower-Initiative foes. If she deals damage, she ignites the spirit’s Essence, rolling (Essence) dice of aggravated damage on its next turn, ignoring Hardness. Dematerialized spirits are more easily consumed, suffering (Essence + 2) dice instead.  </t>
  </si>
  <si>
    <t>Essence-Igniting Nerve Strike</t>
  </si>
  <si>
    <t xml:space="preserve">Her blades rippling with invisible flame, the Immaculate agitates her foe’s Essence with a precision strike, burning him from within. She makes a withering attack against an enemy with a lower Initiative. The Initiative she gains from the damage roll is halved, but the enemy loses one mote for every 9 on the damage roll, and two for every 10. The Immaculate chooses whether personal or peripheral motes are lost first. If this crashes that enemy, his lost motes ignite as an inward flame, rolling one die of lethal damage for every two motes lost (rounded up), maximum (Essence), ignoring Hardness. The Immaculate may expend her Fire Aura to gain the full amount of Initiative from the damage roll. </t>
  </si>
  <si>
    <t>Overwhelming Fire Majesty Stance</t>
  </si>
  <si>
    <t>6m, 3i</t>
  </si>
  <si>
    <t xml:space="preserve">The power and majesty of a raging conflagration cows even the bravest hearts. Flames wreathe the martial artist, imposing a penalty of (lower of Essence or Charisma) on attacks against her. Enemies that hit her from close range suffer one die of lethal damage, ignoring Hardness. A foe may pay one Willpower to become immune to this Charm’s penalty for the scene, but not its damage. In Fire Aura, this Charm’s Initiative cost is waived and it loses the Perilous keyword. </t>
  </si>
  <si>
    <t>Fiery Blade Attack</t>
  </si>
  <si>
    <t xml:space="preserve">The Immaculate delivers a rapid flurry of finishing blows, setting the air ablaze with her speed. She makes a decisive attack. As long as it deals any damage, it ignites a bonfire (Damage 4L/round, Difficulty 5) engulfing her victim, which burns without fuel for as long as  he remains within it. Escaping the blaze requires him to disengage even if no combatants are in close range of him, in which case he rolls at difficulty 2. </t>
  </si>
  <si>
    <t>Breath of the Fire Dragon</t>
  </si>
  <si>
    <t>Overwhelming Fire Majesty</t>
  </si>
  <si>
    <t xml:space="preserve">Stance The Immaculate ignites the air within her lungs, expelling it as a mighty gout of flame. She rolls an unblockable decisive attack with (Stamina + Martial Arts) against all characters, including allies, in a ninety-degree arc out to close range, plus an additional range band for every 10 Initiative she has, to a maximum of medium range with 20+ Initiative. This attack strikes both dematerialized and materialized characters with (Initiative/3, rounded up) lethal damage, ignoring Hardness. Trivial opponents and battle groups suffer (Initiative) damage instead. If at least one enemy is hit by the attack, the Immaculate resets to base Initiative. Enemies that take 3+ levels of damage catch fire, suffering (Essence) dice of lethal damage each turn, ignoring Hardness, until extinguished. Dematerialized spirits suffer aggravated damage and are made visible to all by the flame as long as it burns, and cannot extinguish it unless they first materialize. Flammable scenery caught in the blast catches fire, burning as a bonfire (Damage 4L/round, Difficulty 5) for the rest of the scene. This Charm can only be used once per scene, unless reset by gaining 15+ Initiative on a single tick. </t>
  </si>
  <si>
    <t>Smoldering Wound Attack</t>
  </si>
  <si>
    <t>Essence-Igniting Nerve Strike,Fiery Blade Attack</t>
  </si>
  <si>
    <t xml:space="preserve">This Charm may only be used after landing a decisive attack, but before rolling damage. For every 10 on the damage roll, the Immaculate rolls one die of unsoakable withering damage, which adds to her base Initiative upon resetting. She can’t gain more than (Essence) Initiative this way. Against a crashed enemy, she rolls decisive damage instead, but still gains Initiative equal to the damage dealt. In Fire Aura, this Charm may be used after damage has been rolled.  </t>
  </si>
  <si>
    <t>Consuming Might of the Fire Dragon</t>
  </si>
  <si>
    <t>Breath of the Fire Dragon,Smoldering Wound Attack</t>
  </si>
  <si>
    <t>A swirling flame erupts from the Immaculate’s crown chakra, engulfing her in a deadly blaze. Upon entering Fire Dragon Form, she may pay five motes and one Willpower to enhance it. She treats her Initiative as (Wits) points higher to determine when she acts each round, and for the purposes of Charms of this style or similar effects that offer benefits against lower-Initiative foes. Withering attacks gain (Strength/2, rounded up) Overwhelming, while decisive attacks add one die of damage. An enemy that hits her from close range suffers one die of lethal damage, ignoring Hardness. The Immaculate’s blazing aura grows stronger as she defeats her foes. Each nontrivial enemy she incapacitates or battle group she successfully routs adds one to the Initiative bonus, Overwhelming bonus, decisive damage bonus, and damage dealt to enemies that hit her.</t>
  </si>
  <si>
    <t>Flowing Water Defense</t>
  </si>
  <si>
    <t>The Immaculate flows between offense and defense, lunging forward to strike before returning to a defensive posture. She can flurry a full defense with an attack, ignoring the Defense penalty for flurrying. In Water Aura, if the Immaculate’s attack succeeds, the Initiative cost of her full defense is refunded.</t>
  </si>
  <si>
    <t>Rippling Water Strike</t>
  </si>
  <si>
    <t xml:space="preserve">The Immaculate’s strike breaks her foe’s guard like a pebble dropped into still water, spreading outward to throw enemies off-balance. Her withering attack gains +2 Overwhelming, and she may use Dexterity in place of Strength to determine its raw damage. If she crashes a nontrivial foe with the attack, all other enemies within close range suffer a -1 onslaught penalty. In Water Aura, the Immaculate adds her Dexterity to raw damage in addition to her Strength. </t>
  </si>
  <si>
    <t>Drowning-in-Blood Technique</t>
  </si>
  <si>
    <t xml:space="preserve">Striking her foe’s chest with a rapid barrage, the Immaculate redirects the flow of his blood so that it pours into his lungs. Her decisive attack doubles 10s on its damage roll. If she deals 3+ levels of damage, her foe begins choking on his own blood, raising his wound penalty by one until the scene ends or he crashes the Immaculate. Essence is the life’s blood of spirits, and this attack turns its flow against them. Multiple uses stack the wound penalty increase against spirits, maximum (Essence). In Water Aura, the Immaculate adds (her foe’s wound penalty/2, rounded up) bonus dice of damage. </t>
  </si>
  <si>
    <t>Shrugging Water-Dragon Escape</t>
  </si>
  <si>
    <t>The Immaculate’s fluid posture and footwork defies all restraint. She doubles 9s on a (Strength + Martial Arts) roll to resist a grapple, a disengage roll, a roll opposing an enemy’s rush, or any roll to escape from restraints such as manacles. In Water Aura, success on the roll grants one Initiative.</t>
  </si>
  <si>
    <t>Water Dragon Form</t>
  </si>
  <si>
    <t>Form, Water</t>
  </si>
  <si>
    <t>Drowning-in-Blood Technique,Shrugging Water Dragon Escape</t>
  </si>
  <si>
    <t xml:space="preserve">The Immaculate drops into a fighting stance in which offense and defense are a single fluid motion. She adds bonus dice on attack rolls equal to her target’s wound penalty, wearing down foes in an endless tide. Her Stamina is doubled when calculating her natural soak. Special activation rules: When the Immaculate deals enough decisive damage to a nontrivial enemy to raise his wound penalty, she may reflexively enter this Form. </t>
  </si>
  <si>
    <t>Theft-of-Essence Method</t>
  </si>
  <si>
    <t xml:space="preserve">Landing a telling blow, the martial artist redirects the flow of a foe’s Essence. Upon crashing an enemy, the stylist steals (Essence + his wound penalty) of his motes, adding them to her own pool. She may choose whether to drain personal or peripheral motes, adding them to the same pool she steals from. </t>
  </si>
  <si>
    <t>Bottomless Depths Defense</t>
  </si>
  <si>
    <t>5m, 1ahl (+1wp, expend Water Aura)</t>
  </si>
  <si>
    <t>Water Aura, 1ahl</t>
  </si>
  <si>
    <t>Decisive-only, Perilous, Water</t>
  </si>
  <si>
    <t>The martial artist’s body ripples and deforms around a blow, dispersing its force into the bottomless abyss of her vitality. She rolls (Essence + Stamina), unmodified by other effects, with each success cancelling a level of decisive damage. Even if she rolls no successes, she still cancels one level of damage. This Charm must be declared before the attack is rolled. The Immaculate may pay one Willpower and expend her Water Aura to negate all damage from the attack. This Charm can only be used once per day, unless reset by being hit by three decisive attacks from nontrivial foes without taking a single level of damage.</t>
  </si>
  <si>
    <t>Essence-Dousing Wave Attack</t>
  </si>
  <si>
    <t xml:space="preserve">Striking with the dark, smothering Essence of a crashing wave, the martial artist quenches the flame of her foe’s battle prowess. If her decisive attack against a crashed enemy deals at least (his Essence) damage, she chooses one of his ongoing Charms to deactivate, which must belong to a combat Ability or be a combat-based physical Attribute Charm. The Storyteller should inform her player what applicable Charms her victim has active before she chooses. The martial artist may expend her Water Aura to use this Charm against an enemy who isn’t crashed. </t>
  </si>
  <si>
    <t>Flow Reversal Strike</t>
  </si>
  <si>
    <t xml:space="preserve">The Immaculate channels a surge of Essence through her strike, causing every moving fluid in her foe’s body to reverse its course. She makes a decisive attack. On a hit, her victim rolls (Stamina + Resistance) against a difficulty equal to her attack roll threshold successes. If he fails, each success he failed by adds one die of decisive damage, and after taking the decisive damage he suffers withering damage equal to his current wound penalty, which is added to the Immaculate’s base Initiative. This attack twists and disrupts the Essence of spirits, causing their wound penalty to subtract successes rather than dice from their (Stamina + Resistance) roll. This Charm can only be used once per scene, unless reset by crashing an enemy whose Initiative was higher than the Immaculate’s. </t>
  </si>
  <si>
    <t>Crashing Wave Style</t>
  </si>
  <si>
    <t>The Immaculate strikes blow after furious blow, like waves pounding the shore. She makes withering attacks against a single enemy until she misses, crashes him, or has made a total of (1 + his wound penalty) attacks. Against battle groups, she attacks until she misses or depletes the group’s Magnitude. In Water Aura, crashing an enemy deals dice of lethal damage to him equal to his current onslaught penalty (including the point inflicted by this attack), ignoring Hardness. This Charm can only be used once per scene, unless reset by landing a decisive attack against a crashed enemy and then building up to Initiative 12+.</t>
  </si>
  <si>
    <t>Ghost-Restraining Whirlpool</t>
  </si>
  <si>
    <t xml:space="preserve">Moving through a winding kata, the Immaculate stirs the seas of Essence that surround her, creating a maelstrom that inexorably draws in spirits. Spirits within medium range can’t move away from her without disengaging, nor can they use the Hurry Home Charm. The Immaculate gains all Initiative lost by spirits disengaging away from her. Additionally, at the end of each affected spirit’s turn, if he didn’t either move towards the Immaculate or end in close range to her, she steals two Initiative from him. Dematerialized spirits are even more susceptible to the whirlpool, treating its entire range as difficult terrain (Exalted, p. 199). If she steals Initiative from them, they also suffer one die of bashing damage, ignoring Hardness. In Water Aura, this Charm’s range extends to long. Special activation rules: The Immaculate may use this Charm reflexively when she enters Water Dragon Form. </t>
  </si>
  <si>
    <t>Tsunami-Force Shout</t>
  </si>
  <si>
    <t>10m, 10i, 1wp</t>
  </si>
  <si>
    <t>Bottomless Depths Defense,Crashing Wave Style, Ghost-Restraining Whirlpool</t>
  </si>
  <si>
    <t>Breathing deep, the Immaculate fills her lungs with liquid Essence. With a mighty, bellowing kiai, she expels a rumbling torrent of spiritual pressure. To use this Charm, she must have Initiative 20+. She rolls an unblockable decisive attack with (Stamina + Martial Arts) against all enemies in a ninety-degree arc out to medium range. If she’s using Ghost- estraining Whirlpool, its currents bear the force of her attack to strike all spirits within its range, materialized or dematerialized. This attack deals bashing damage to each struck enemy equal to ([Attack roll threshold successes x his wound penalty] + 1), ignoring Hardness. Battle groups are treated as having a -4 wound pen- alty to determine damage. This doesn’t include the Immaculate’s Initiative or reset her to base. Each enemy damaged by the attack is flung one range band away from the Immaculate and falls prone. Spirits cannot be forced outside the range of a Ghost-Restraining Whirlpool, and instead suffer damage as per a short-range fall (Exalted, p. 232) if driven to the whirl- pool’s edge. An enemy that takes 3+ levels of damage is knocked back two range bands and suffers damage as per a short-range fall (or medium range, for spirits forced against a Ghost-Restraining Whirlpool’s edge). Tsunami-Force Shout can only be used once per scene, unless reset by landing a decisive attack that resets the Immaculate’s Initiative and building back to Initiative 20+.</t>
  </si>
  <si>
    <t>Wood Dragon Vitality</t>
  </si>
  <si>
    <t>At one with the font of all life in Creation, the Immaculate suffuses her body with unyielding vitality. She adds (Martial Arts) natural soak against a withering attack, or subtracts one die from the damage of a decisive attack. In Wood Aura, the Immaculate adds (Essence + Martial Arts) soak, or subtracts (Essence/2, rounded up) dice of decisive damage.</t>
  </si>
  <si>
    <t>Eyes of the Wood Dragon</t>
  </si>
  <si>
    <t>Withering-only, Wood</t>
  </si>
  <si>
    <t>Perceiving the path of living Essence through chakras and meridians, the Immaculate lands a precise strike to disrupt her foe’s vital energies. She adds (Perception) raw withering damage and can make piercing attacks (Exalted, p. 586) with Wood Dragon attacks. In Wood Aura, the Immaculate doesn’t suffer a Defense penalty for making a piercing attack.</t>
  </si>
  <si>
    <t>Mind-Over-Body Meditation</t>
  </si>
  <si>
    <t>Perilous, Wood</t>
  </si>
  <si>
    <t xml:space="preserve">The Immaculate is keenly aware of the rhythm and circulation of her body’s vital forces, sensing bruises and cuts as disturbances in its course. Closing her eyes in a moment of intense focus, she rights the flow of her living Essence and seals her wounds. She rolls (higher of Essence or 3) dice, unmodified by other effects, and heals a level of non-aggravated damage for each success, minimum one. This Charm can only be used once per scene, and only while in combat.  </t>
  </si>
  <si>
    <t>Soul-Marking Style</t>
  </si>
  <si>
    <t xml:space="preserve">Striking through her enemy’s flesh to reach at his spirit, the Immaculate drives a thorn of deadly Essence into his soul. As long as her decisive attack deals damage, further Wood Dragon attacks are guided by her awareness of the soul mark, granting the benefits of aiming (Exalted, p. 196) against that foe for the scene. Spirits suffer a -1 crippling penalty on all actions for the scene. </t>
  </si>
  <si>
    <t>Wood Dragon Form</t>
  </si>
  <si>
    <t>Form, Wood</t>
  </si>
  <si>
    <t>Mind-Over-Body Meditation,Soul-Marking Style</t>
  </si>
  <si>
    <t xml:space="preserve"> The Immaculate strikes her own pressure points and chakras with a series of quick, precise blows, bringing her Essence into perfect alignment. She gains (lower of Essence or Stamina) temporary -1 health levels the first time she enters this form in the scene. She keeps these health levels even if she leaves this form. At the end of the scene, these temporary health levels fade, and all damage contained in them returns to her normal health track. Additionally, when the Immaculate lands a decisive attack from 12+ Initiative that incapacitates a nontrivial enemy, she resets Mind-Over-Body Meditation. Special activation rules: When the Immaculate heals enough damage from Mind-Over-Body Meditation or similar effects to reduce her wound penalty, she may reflexively enter this Form. </t>
  </si>
  <si>
    <t>Spirit-Wracking Method</t>
  </si>
  <si>
    <t xml:space="preserve">The Immaculate chastises unruly spirits with strikes that carry the seeds of her vital Essence, to blossom within the spirit’s anima. Her withering attack against a spirit doubles 8s on the damage roll, but doesn’t grant her any Initiative. She rolls a die of lethal decisive damage for every 10 on the withering damage roll, ignoring Hardness.  A spirit crashed by her attack suffers agonizing pain, doubling its wound penalties and the crippling penalty from Soul-Marking Style until it recovers from crash. </t>
  </si>
  <si>
    <t>Death-Pattern-Sensing Attitude</t>
  </si>
  <si>
    <t>5m, 2i (+1wp)</t>
  </si>
  <si>
    <t xml:space="preserve">Her senses fully attuned to the web of living Essence that surrounds her, the Immaculate foretells the approach of impending death. She gains the benefits of a full defense (Exalted, p. 196) to block attacks from enemies marked with her Soul-Marking Style, and ignores the Defense penalty from their surprise attacks. If the Immaculate is ambushed by a marked foe, she may pay one Willpower to block the attack. Her Parry is limited to (her Essence/2, rounded up), and cannot be raised higher or benefit from other Charms. </t>
  </si>
  <si>
    <t>Spirit-Rending Technique</t>
  </si>
  <si>
    <t xml:space="preserve">Having placed her mark on a truculent god, the Immaculate rends its Essence apart from within. She adds (Willpower) dice to a decisive damage roll against a spirit marked by her Soul-Marking Style, and deals aggravated damage. If this incapacitates a spirit, the Immaculate gains (its Essence) motes. </t>
  </si>
  <si>
    <t>Unbreakable Fascination Kata</t>
  </si>
  <si>
    <t xml:space="preserve">Moving in a sinuous, vine-like kata, the Immaculate entrances her foes. She makes an inspire roll with (Appearance + Performance) against one or more enemies that can see her to fill them with fascination. Each enemy whose Resolve is beaten cannot attack on his next turn, and cannot move away from the Immaculate without disengaging that turn. Once an enemy has resisted this influence with Willpower, he’s immune to losing his attack for the rest of the scene, but must still disengage to move  away from the stylist. An enemy who carries the Immaculate’s soul mark must pay Willpower to resist twice before gaining this immunity. </t>
  </si>
  <si>
    <t>Enthralling Blow Attack</t>
  </si>
  <si>
    <t>10m, 5i</t>
  </si>
  <si>
    <t xml:space="preserve">The Immaculate transitions through the undulating motions of her Unbreakable Fascination Kata into a sweeping blow that sends foes reeling. Upon using this Charm’s prerequisite, the Immaculate reflexively rolls a single withering attack against each enemy in close range whose Resolve she beat, even if they resisted with Willpower. She rolls damage separately against each hit enemy, but only gains Initiative from the highest damage roll. Damaged enemies cannot take any move actions on their next turn. An enemy crashed by Enthralling Blow Attack suffers the full effects of the Immaculate’s Unbreakable  Fascination Kata until he recovers from crash, even if he’s already paid Willpower to resist. In Wood Aura, in addition to gaining Initiative from the highest damage roll, the Immaculate gains up to (Essence/2, rounded up) Initiative from each additional damage roll. </t>
  </si>
  <si>
    <t>Wood Dragon Succor</t>
  </si>
  <si>
    <t>Death-Pattern-Sensing</t>
  </si>
  <si>
    <t xml:space="preserve">Meditation, Spirit-Rending Technique The Wood Dragon lives so that all may live. To use this Charm, the Immaculate must have Initiative 12+. She lays hands on another character, activating pressure points with gentle touches as verdant Essence flows from her hands to suffuse his body and heal his wounds. She rolls (Initiative), healing her ally one level of non-aggravated damage for each success, to  a maximum of (his Stamina + Resistance) levels. She suffers an unpreventable level of bashing damage for every two health levels she heals this way, rounded down. Using this Charm resets the Immaculate to base Initiative. If she expends her Wood Aura, she only loses Initiative equal to the total levels of damage healed, to a minimum of her base Initiative. A character can only benefit from this Charm once per day. </t>
  </si>
  <si>
    <t>Soul Mastery</t>
  </si>
  <si>
    <t>5m, 1wp, 1ahl</t>
  </si>
  <si>
    <t>Enthralling Blow Attack, Wood</t>
  </si>
  <si>
    <t xml:space="preserve">Dragon Succor Standing at the center of life and death, the Immaculate unleashes the legendary secret technique of Wood Dragon style. A swirling black-green aura wreathes her weapon as she strikes at her opponent’s very soul. This Charm can only be used against an enemy suffering from the Immaculate’s Soul-Marking Style. She rolls a gambit against him, with a difficulty of (his Essence + Willpower - wound penalty), minimum 6. Success destroys him utterly. Spirits are permanently destroyed, the undead crumble into dust, and the living die as their souls are struck into Lethe, ensuring that they’ll reincarnate rather than lingering as ghosts. Constructs and similar beings neither living or dead are unaffected. Soul Mastery can only be used once per scene.   </t>
  </si>
  <si>
    <t>Where-Is-Doom Inquisition</t>
  </si>
  <si>
    <t xml:space="preserve">Those who hide in the darkness reveal their own wickedness. The martial artist adds (Occult) bonus dice on an Awareness roll to Join Battle or detect a hidden threat in combat. If any creatures of darkness oppose her roll, (her Essence) total 1s on their rolls add nonCharm dice to her roll. She cannot pinpoint which of her enemies are creatures of darkness with this Charm, but can sense she’s in the presence of unhale forces. Mastery: If the martial artist wins Join Battle against a creature of darkness and uses her first turn to attack one, she may reflexively move one range band towards it before attacking in addition to her normal movement action, and adds (Occult) dice of post-soak withering damage or one success on a decisive damage roll. </t>
  </si>
  <si>
    <t>Rotten Leaf Arrested</t>
  </si>
  <si>
    <t xml:space="preserve">Let no unclean thing set foot over Creation’s threshold. The stylist’s withering attack gains +1 Overwhelming and knocks her enemy prone if it deals damage. An enemy crashed by this attack cannot take a movement action on his next turn. Against creatures of darkness, the Overwhelming bonus rises to (Occult/2, rounded up), minimum +1, and she adds one automatic success to her withering damage roll. A creature of darkness crashed by the attack cannot move or attack on its next turn. </t>
  </si>
  <si>
    <t>Cleansing Flame Strike</t>
  </si>
  <si>
    <t>Rotten Leaf Arrested, WhereIs-Doom Inquisition</t>
  </si>
  <si>
    <t xml:space="preserve">Answer the abomination with flame. Aureate fire streaks along the stylist’s decisive attack, adding one die of damage and ignoring two points of Hardness. Against creatures of darkness, she deals aggravated damage and doubles 10s on the damage roll. </t>
  </si>
  <si>
    <t>Golden Janissary Form</t>
  </si>
  <si>
    <t xml:space="preserve">Stand proud in defense of Creation, and you will never fall. The martial artist adds (Strength/2, rounded up) to her natural soak and as bonus dice on rushes, and gains one Initiative on a successful rush. She gains +1 Parry and +(Occult) natural soak against creatures of darkness, and +1 base Initiative when she resets after landing a decisive attack against one. Special activation rules: Whenever the stylist lands a decisive attack against a creature of darkness, she may reflexively enter this Form, granting her its Initiative bonus. </t>
  </si>
  <si>
    <t>Devil-Slaying Spear Dance</t>
  </si>
  <si>
    <t xml:space="preserve">Be as a spreading blaze, always advancing towards the fuel of your enemies. Upon incapacitating a nontrivial foe, the stylist may reflexively rush another enemy, doubling 9s. This doesn’t count as her movement action for the round. When rushing a creature of darkness, every 1 on his opposed roll grants the stylist one Initiative. Mastery: On a successful rush, the stylist may instantly move into close range with her target in place of the normal effects of a rush and reflexively make a decisive attack against him, which doesn’t count as her attack for the round. If she incapacitates that foe, she may trigger this Charm again to make another rush.  </t>
  </si>
  <si>
    <t>Paralyzing Combustion Imbuement</t>
  </si>
  <si>
    <t xml:space="preserve">The deepest darkness yields before the smallest flame. The stylist makes a decisive attack. Damaging her foe causes bursts of fiery, golden light to erupt from within his body with the sound of ringing bells. This penalizes his Stealth as a glowing anima banner (p. 154) and increases his wound penalty by -1. If this raises his wound penalty above his Stamina, he cannot disengage from close range with the martial artist for as long as he remains illumined. Creatures of darkness are burned by this light, suffering (Essence) dice of aggravated damage each turn, ignoring Hardness. This light shines until the scene ends, or until the victim crashes or incapacitates the stylist. Mastery: An enemy whose wound penalty is raised above his Stamina must disengage to move away from the martial artist regardless of the distance between them. Terrestrial: An illumined enemy may free himself of the effect by landing a decisive attack against the stylist. </t>
  </si>
  <si>
    <t>Light-on-Dark Shield</t>
  </si>
  <si>
    <t>Clash, Perilous, Terrestrial, Witheringonly</t>
  </si>
  <si>
    <t xml:space="preserve">No shadow intrudes upon the light. Spinning her weapon to build momentum, the stylist clashes an attack with her own withering attack. Her attack cannot deal more damage than (her Overwhelming), which she doesn’t gain. Against creatures of darkness, a successful clash also rolls one die of aggravated damage, ignoring Hardness.  Terrestrial: This counts as the stylist’s attack for the round, and can’t be used if she’s already attacked this round.  Those damaged begin to shine, suffering the effect of Paralyzing Combustion Imbuement.  </t>
  </si>
  <si>
    <t>Lone Spark Lights the Conflagration</t>
  </si>
  <si>
    <t>Light-on-Dark Shield,Paralyzing Combustion Imbuement</t>
  </si>
  <si>
    <t xml:space="preserve">Mastery: After incapacitating a nontrivial creature of darkness and resetting to base Initiative, the stylist may use Devil-Slaying Spear Dance to roll a rush against all enemies caught in this Charm’s bonfires. She moves in a blur of blinding motion, coming into close range of each rushed enemy and making a decisive attack against him before moving on to the next. Her Initiative doesn’t reset to base until she’s completed all attacks.  Purify the world with flame; let each slain devil be a spark. The stylist makes a decisive attack against an enemy suffering from her Paralyzing Combustion Imbuement. Her weapon shines with brilliant light, leaving a white-hot afterimage seared on the eyes of those who witness it. She adds (Essence) attack roll extra successes as dice of damage, or (Essence + Occult) successes against a creature of darkness. If she damages a nontrivial creature of darkness with this attack, the light emanating from within it flares out to strike each other creature of darkness within medium range, wreathing them in ghostly bonfires. Each one suffers one die of aggravated damage, plus an additional die for every 10 on the first damage roll, ignoring Hardness.  Terrestrial: This Charm can only be used once per scene, unless reset by crashing an enemy suffering from the stylist’s Paralyzing Combustion Imbuement.   </t>
  </si>
  <si>
    <t>Iron-Arm Block</t>
  </si>
  <si>
    <t>Mantis</t>
  </si>
  <si>
    <t xml:space="preserve">Using her defense to divert her attacker’s weapon or limbs, the Mantis stylist creates an opening in his guard. She gains +1 Parry, and inflicts a -1 onslaught penalty on her attacker if she successfully blocks. If she’s grappling, successfully blocking an attack also prevents it from reducing her rounds of control. Mastery: The stylist doesn’t suffer an onslaught penalty from an attack she successfully blocks. </t>
  </si>
  <si>
    <t>Crushing Claw Technique</t>
  </si>
  <si>
    <t xml:space="preserve">The mantis catches its prey with deadly speed. The martial artist adds one automatic success on the attack roll of a grapple gambit or a decisive attack. If she lands a grapple, she rolls ([Strength or Dexterity] + Martial Arts) with (higher of Essence or 3) bonus dice to establish control over it. If she lands a decisive attack, (Essence) 10s on her attack roll add dice of damage. </t>
  </si>
  <si>
    <t>Mantis Form</t>
  </si>
  <si>
    <t>Crushing Claw Technique,Iron-Arm Block</t>
  </si>
  <si>
    <t xml:space="preserve"> The stylist adopts the signature stance of the mantis, shifting her weight onto her rear leg as she extends her front leg forward, her hands outstretched to block and strike. She gains +1 Parry. If she attempts to block an attack but is hit by it, she adds (Parry) natural soak against withering damage or gains Hardness (Parry/2, rounded up) against decisive damage. Against enemies with lower Initiative or that she’s grappling, she doubles 10s on decisive damage rolls. Special activation rules: When the stylist wins control of a clinch against a nontrivial enemy, she may reflexively enter Mantis Form. </t>
  </si>
  <si>
    <t>Leaping Mantis Technique</t>
  </si>
  <si>
    <t>The martial artist’s rapid footwork brings her within striking range before her foe can react. She rushes an enemy with (Strength) bonus dice. If the rushed foe provokes her reflexive movement, she may move two range bands toward him instead of one. If this brings her into close range, she may reflexively make a decisive attack or grapple gambit against him, adding half the threshold successes, rounded up, on her rush roll as bonus dice on the attack roll. If the rushed enemy does not provoke her reflexive motion, then on her next turn, she may make an unblock- able decisive attack or grappling gambit against him (assuming he’s within her attack’s range), adding all extra successes from the rush as bonus dice on the attack roll. Mastery: If the martial artist succeeds on the rush and lands an attack against her enemy, she gains one Willpower.</t>
  </si>
  <si>
    <t>Joint-Locking Technique</t>
  </si>
  <si>
    <t xml:space="preserve">Catching her foe’s limb, the stylist forces it into a painful lock. While grappling an opponent, she restrains him (Exalted, p. 201) and rolls (Strength) dice of unsoakable withering damage. If she’s grappling a crashed foe, restraining him doesn’t cost any rounds of control. Mastery: The martial artist may exchange the Initiative she receives from Joint-Locking Technique to gain more rounds of control over the grapple, gaining one round for every two Initiative she forgoes. </t>
  </si>
  <si>
    <t>Grasping Claw Method</t>
  </si>
  <si>
    <t xml:space="preserve">With a deft twist of her foe’s wrist, the stylist strips him of his weapon and establishes a hold in a single motion. Upon winning control of a grapple, she may disarm her enemy, flinging his weapon to short range. Mastery: The martial artist adds her attack roll threshold successes as bonus dice to her control roll. </t>
  </si>
  <si>
    <t>Grasping Mantis Defense</t>
  </si>
  <si>
    <t>Deflecting an attack with one hand, the martial artist uses the turning force of her attacker’s blow to grab him with the other. She clashes an attack from close range with a grapple gambit. Winning the clash adds (higher of Strength or 3) non-Charm dice on the clinch’s control roll. Terrestrial: This counts as the stylist’s attack for the round, and can’t be used if she’s already attacked in this round.</t>
  </si>
  <si>
    <t>Unfolding Retribution Strike</t>
  </si>
  <si>
    <t>Grasping Mantis Defense,Joint-Breaking Attack, Leaping Mantis Technique</t>
  </si>
  <si>
    <t>The signature finishing move of Mantis style is a deadly barrage of hundreds of blows in a matter of seconds. To use this Charm, the stylist must have Initiative 15+ while controlling a grapple. She releases the clinch, then rolls a single unblockable, undodgeable decisive attack to represent the flurry of blows. Each round of control she gave up by releasing the grapple adds + 3 dice of decisive damage and increases its onslaught penalty by -1. This Charm can only be used once per scene, unless reset by crashing a grappled foe whose Initiative was higher than the stylist’s. Mastery: If the stylist incapacitates her victim, she adds (rounds of control expended / 2, rounded up) to her base Initiative upon resetting. Terrestrial: The martial artist cannot benefit from more than (Essence) rounds of released control.</t>
  </si>
  <si>
    <t>Joint-Breaking Attack</t>
  </si>
  <si>
    <t>Once the mantis catches its prey, there is no escape. While grappling a foe, the stylist savages him with a difficulty 6 gambit that requires no attack roll. Success inflicts a single level of lethal damage, ignoring Hardness, and breaks one of the character’s limbs as a crippling injury — the martial artist bends the bone of an arm or leg until it snaps. A broken arm is useless and imposes a -3 penalty on all actions that require two hands to perform, while a broken leg causes a character to treat all ground as difficult terrain. Additionally, the pain of this injury raises that foe’s wound penalty by -2 for the rest of the scene. If not treated with applicable healing magic, the broken bone heals in (7 – victim’s Stamina) months, assuming he receives adequate medical treatment. If the martial artist crashes a grappled enemy with Joint-Locking Technique, she may reflexively activate this Charm to attack with the crippling gambit. Terrestrial: This Charm can only be used once per scene, unless reset by expending three rounds of control over a grapple for this purpose.</t>
  </si>
  <si>
    <t>Owl Clutches at the Night</t>
  </si>
  <si>
    <t>Birdsong Over Blades</t>
  </si>
  <si>
    <t>When the silent-winged owl dives into the field and rises with empty talons, it vanishes back into the night. After missing with an attack, the stylist conceals her attempt, requiring her victim and other onlookers to roll (Perception + Awareness) against (her Essence + Manipulation) to realize she attacked. If the failed attack was made from concealment, her stealth isn’t broken as long as no enemies or bystanders succeed on their Awareness roll. Mastery: As long as no character succeeds on the Awareness roll, the stylist gains one Willpower.</t>
  </si>
  <si>
    <t>Concealing her hostile intentions behind common, everyday movements, the stylist can strike without striking. After successfully landing a decisive attack, she forgoes making a damage roll and resetting to base Initiative. Even though the attack doesn’t deal any damage, it still conveys poisons applied to her weapon (Exalted, p. 232) and the deleterious effects of Charms, as long as they don’t directly enhance the damage roll. Noticing the attack requires a (Perception + Awareness roll) from all onlookers, including the victim, against a difficulty of (her Essence + Manipulation). If she attacked from concealment, it doesn’t break stealth, and she substitutes her total Stealth successes for the difficulty of the Awareness roll if they’re higher. Mastery: An enemy struck by the attack takes a penalty of (the stylist’s Manipulation) on rolls to resist poison or other harmful effects conveyed through it.</t>
  </si>
  <si>
    <t>Alehouse Memory Stance</t>
  </si>
  <si>
    <t>Mute, Perilous</t>
  </si>
  <si>
    <t xml:space="preserve">Appearing relaxed and comfortable, the stylist’s demeanor gives every indication that she wants nothing more than to sit back and gossip. She adds her base Guile in bonus dice to a Stealth roll. As long as no character present has witnessed her make an attack this scene, she ignores the penalty for attempting Stealth in combat. </t>
  </si>
  <si>
    <t>White Veil Form</t>
  </si>
  <si>
    <t>Alehouse Memory Stance, Owl</t>
  </si>
  <si>
    <t xml:space="preserve">Clutches at the Night The White Veil stylist puts herself completely at ease, her palpable nonchalance drawing onlookers’ attention from whatever she’s doing with her hands to focus on her pleasant smile and witty repartee. She gains +1 Evasion and +1 Guile, and takes no penalty for flurrying if she includes at least one Socialize-based action. She may substitute Manipulation for Dexterity when calculating her Evasion or when rolling to enter concealment, disengage, or withdraw. Any enemy that rolls Join Battle in response to her actions rolls must roll with (Perception + [lower of Awareness or Socialize]). Special activation rules: When the stylist successfully lands a surprise attack against a nontrivial enemy, she may reflexively enter this Form. </t>
  </si>
  <si>
    <t>Blithe Unruffled Plumage</t>
  </si>
  <si>
    <t>Dual, Mastery, Mute, Perilous</t>
  </si>
  <si>
    <t xml:space="preserve">The martial artist responds to attacks with speech and posture more suited to a friendly altercation or test bouts than a life-or-death struggle. She adds (Guile + 1) to her natural soak against a withering attack and reduces its Overwhelming value by one, or gains (Guile) Hardness against a decisive attack. This includes bonuses to her Guile from White Veil Form or other effects. If an attack fails to damage her (including if it misses), she may conceal it from onlookers’ notice as per Owl Clutches at the Night. Mastery: When the stylist successfully conceals an attack against her from all onlookers, she may steal (Manipulation) Initiative from her attacker.  </t>
  </si>
  <si>
    <t>Blinded by Laughter</t>
  </si>
  <si>
    <t>Mastery, Mute</t>
  </si>
  <si>
    <t xml:space="preserve">A toast to old friends, a tempting appetizer, a welltimed joke — these provide all the opportunity the stylist needs. She may attempt an ambush (Exalted, p. 203) even in plain view of her target, seeming as though she’s simply carousing or engaging in conversation up until she plunges a needle into his throat. Instead of rolling Stealth, she rolls (Manipulation + Socialize), doubling 9s, against her target’s Resolve. If she succeeds, she uses the result of her roll in place of her Join Battle roll. As usual, if this is a higher Initiative than her victim rolls, her attack is an ambush; otherwise, it’s merely an unexpected attack. This Charm can only be used once per scene, unless reset by successfully landing a decisive attack against the same target without being noticed by him or any other onlooker. It cannot be used to make an ambush attack against the same character more than once per scene, even if reset. Mastery: If the stylist successfully launches an ambush, she doubles the threshold successes of a withering attack roll or adds up to (Guile) threshold successes on a decisive attack roll as dice of damage. This includes bonuses to her Guile from White Veil Form or other effects. </t>
  </si>
  <si>
    <t>Tickling the Dragon’s Throat</t>
  </si>
  <si>
    <t xml:space="preserve">Jabbing a needle into a pressure point or twisting her garrote to cut off a foe’s breath, the martial artist sends even the hardiest of carousers in search of fresh air. Every two threshold successes on her decisive attack roll impose a -1 penalty on her victim’s actions and Defense, maximum (Essence), until the onslaught penalty inflicted by the attack has worn off. Mastery: If the attack inflicts the maximum penalty, remaining extra successes prevent the onslaught penalty inflicted by it from wearing off for an additional turn per two successes.  </t>
  </si>
  <si>
    <t>The Dragon Dies in Bed</t>
  </si>
  <si>
    <t>5m, 4i, 1wp</t>
  </si>
  <si>
    <t>Blinded by Laughter, Tickling</t>
  </si>
  <si>
    <t>For some, a quiet, unassuming death is a kindness. For others, it’s a shame. Either way, the White Veil stylist allows them to experience it. She makes a decisive attack that exposes her victim to a supernatural disease if it hits. The cost of Birdsong Over Blades is waived when used with this attack. This disease, called the Subtle Mercy by White Veil masters, has virulence (Manipulation + 1), morbidity 5, and an interval of one day. This disease can kill characters with Exalted healing. In addition to the usual effects of disease (Exalted, p. 234), it has the following magical effects based on its intensity: Minor: The victim feels weary and lethargic, suffering a -1 fatigue penalty on all rolls unless he receives twelve hours of sleep each day. Rolls to diagnose the disease are made at +4 difficulty. Major: The victim’s fatigue penalty stacks by one each day he goes without twelve hours of sleep, maximum -5. In addition, he can no longer heal damage naturally (Exalted, p. 173) if he remains fully active during convalescence. Rolls to diagnose the disease are made at +3 difficulty. Defining: The victim now requires twenty hours of sleep to avoid suffering a fatigue penalty, as well to recover Willpower from a night’s sleep. Rolls to diagnose the disease are made at +2 difficulty.</t>
  </si>
  <si>
    <t>The Dragon Dies Screaming</t>
  </si>
  <si>
    <t>6m, 6i, 1wp</t>
  </si>
  <si>
    <t>Decisive-only, Mastery, Mute</t>
  </si>
  <si>
    <t>The martial artist’s subtle touch is laced with deadly venom, Essence suffusing her strike with toxic potency. She makes a decisive attack that exposes her victim to this poison if it hits. The poison has Damage 4i/round (Aggravated in crash), duration (Essence + Manipulation) rounds, and a -(Manipulation) penalty. The cost of Birdsong Over Blades is waived when used with this attack. Rolls to diagnose this poison are made at +3 difficulty. The stylist may choose to delay the poison’s onset by anywhere from an hour to (Essence) weeks; the difficulty to diagnose it while delayed is increased by +5 instead. This Charm can only be used once per scene, unless reset by successfully incapacitating a nontrivial enemy without any other character realizing the martial artist is responsible. Mastery: No matter how many successes the target rolls to resist, the poison’s duration cannot be reduced below one round.</t>
  </si>
  <si>
    <t>The Dragon Succumbs</t>
  </si>
  <si>
    <t>10m, 7i, 1wp</t>
  </si>
  <si>
    <t>7i</t>
  </si>
  <si>
    <t>Decisive-only, Mastery, Mute, Terrestrial</t>
  </si>
  <si>
    <t>It’s rude to keep death waiting, and the White Veil master’s manners are beyond reproach. She makes a decisive attack against an enemy that suffers from poison or disease (or both). The cost of Birdsong Over Blades is waived when used with this attack. If the attack hits, the victim makes a single (Stamina + Resistance) roll against the morbidity of each disease he suffers from. If he fails to beat a disease’s morbidity, it rises by one step. If a disease is already at the Defining level, it doesn’t immediately progress to death, but instead inflicts a level of unpreventable aggravated damage. Additionally, on a hit, the victim immediately suffers the damage of a single interval of one poison in his system, plus an additional interval for each attack roll threshold success, maximum (Essence + 1). If he suffers from multiple venoms, the martial artist chooses which one applies its damage. This damage doesn’t reduce the duration of the poisons themselves, but the stylist cannot apply a poison’s damage more times than it has intervals remaining. Mastery: If the martial artist’s victim fails his roll against the morbidity of a disease at the Defining level, he’ll die of it — even if he has Exalted healing — after (his Stamina) turns, unless a character who has diagnosed the disease succeeds on an (Intelligence + Medicine) roll against (its morbidity + 5) as a miscella- neous action that can’t be flurried. Terrestrial: The martial artist must be able to make an ambush against her target to use this Charm.</t>
  </si>
  <si>
    <t>Beckoning That Which Stirs the Sky</t>
  </si>
  <si>
    <t>(1 + threshold successes) hours</t>
  </si>
  <si>
    <t xml:space="preserve">As the sorcerer recites ancient prayers to deities long forgotten beneath the open sky, huge chitinous limbs emerge from above, weaving the wind and clouds to her will. Shaping the weather is an (Intelligence + Occult) roll that takes a few minutes to complete, with a difficulty based both on how drastic the change the sorcerer wishes to make is and how typical the desired weather is for her current climate and season. Creating a light rain in a temperate climate might only be difficulty 1, while strengthening a heavy rain to a thunderstorm or halting it completely might be difficulty 2-3. Summoning a thunderstorm from blue skies or diminishing a hurricane to a severe storm would be difficulty 5+. Likewise, any attempt to create rain might incur increased difficulty if attempted in a desert, as would calling a blizzard outside of the winter season. This spell can never create extreme natural disasters such as hurricanes, though it can diminish them to lesser weather. If the sorcerer succeeds, That Which Stirs the Sky weaves the desired weather in an area out to (Essence + threshold successes) miles from the point cast the spell. It lasts for (1 + threshold successes) hours before reverting to normal. Subsequent castings by any sorcerer cannot alter the weather within the spell’s range until its duration elapses. Characters within the weather can identify its unnatural origin with a (Perception + [Occult or Survival]) roll of difficulty 1-5, with subtler alterations being more difficult to detect. A sorcerer with this as her control spell may create sorcerous weather that follows her as she moves; this costs half her threshold successes, rounded up. Distortion (Goal Number: 10): Distorting this spell reverses the alteration to the weather. It doesn’t merely revert back to its previous conditions, but is changed in the other direction — if the original sorcerer had calmed a thunderstorm, distortion would result in an even greater storm; if she’d summoned rain, distortion could result in intensely arid heat. </t>
  </si>
  <si>
    <t>Floral Ferry</t>
  </si>
  <si>
    <t>Until journey is completed</t>
  </si>
  <si>
    <t xml:space="preserve">Tossing a leaf, petal, or fruit into a body of water, the sorcerer beckons it with mudras of the turning seasons to grow into a small, seaworthy craft. This is a ship with the following traits (Exalted, p. 244): Speed: Magically impelled +2; current +1; oars +1; empty cargo hold +1  Maneuverability: +3; Hull: -1/-2/-4/Incapacitated Cargo: One ton. The ship can comfortably carry a half-dozen passengers. Upon casting this spell, the sorcerer names the destination she intends to sail to. If she has even approximate knowledge of its location, the Flory Ferry will sail itself as close as possible to that destination, using the sorcerer’s (Essence + Occult) for sailing rolls. However, it lacks the sapience to engage in pursuit or naval combat. Other characters can attempt to sail it, although the Speed bonus from its magically impelled travel becomes a -1 penalty if they attempt to travel anywhere but the named destination. Once it’s reached its destination and its crew has disembarked, the ferry shrinks back into the foliage from which it was summoned. Sorcerers with an Essence pool may use the following powers while this spell is active: Barque of Durant Heartwood (10m, 1wp; Simple; One day): The ship’s hull hardens to thick bark, gaining (Essence/2, rounded up) -0 Hull levels. Once they fade away, damage marked in them rolls over into regular Hull levels. Hay-Fever Seabloom (5m; Supplemental; Instant; Pilot): Thick, sticky pollen trails in the Floral Ferry’s wake. Success on an interval of a naval pursuit while fleeing a ship imposes a penalty of (sorcerer’s Intelligence) on the pursuing captains’ next interval. Whirling Maple-Seed Swiftness (10m, 1wp; Simple; One day; Pilot): As long as the sorcerer helms the Floral Ferry, its total Speed is doubled. A sorcerer with this as her control spell may awaken Evocations from the Floral Ferry. Distortion (Goal Number: 5): Distorting the Floral Ferry allows the opposing sorcerer to name a new destination that it will sail itself towards. </t>
  </si>
  <si>
    <t>Impervious Sphere of Water</t>
  </si>
  <si>
    <t xml:space="preserve">Water streams from the sorcerer’s outstretched palms, twisting and coiling like flowing serpents into a dome that encompasses her and her allies. The dome extends out to short range from the sorcerer, although those within find that they can breathe the water as easily as air. While the dome is translucent, its surface provides full cover (Exalted, p. 199) to those within it against attacks from without,  and vice versa. Moving into or out of the dome requires a (Strength + Athletics) roll at a difficulty of (sorcerer’s Intelligence). If the sorcerer takes a move action or non-reflexive action, this spell immediately ends. Once the spell ends, the sphere collapses, and can be collected to drink. A sorcerer with this as her control spell can take move actions without ending this spell. The sphere moves with her, although it doesn’t drag those within its area along with it, flowing around them without friction. Distortion (Goal Number: 12): Distorting this spell strips the water of its breathability, causing those within the dome to begin drowning (Exalted, p. 232). It ceases to provide cover to those within (but not without) the dome, and characters may enter (but not exit) the dome without a roll. The dome remains intact even if the sorcerer takes an action that would end the spell. </t>
  </si>
  <si>
    <t>Keel Cleaves the Clouds</t>
  </si>
  <si>
    <t xml:space="preserve">As fog or clouds touch the seas, the sorcerer speaks honeyed lies to a ship, convincing it that it may sail forward upon them. The enchanted ship may sail over mist, fog,  or other vapors as though they were water, and can ascend vertically through such vapors until it’s skimming over their surface. In sufficiently misty environs, it’s even possible for the ship to rise high enough to sail on the clouds themselves. However, while vapor-borne, the ship cannot benefit from Speed bonuses from oars or currents. If this spell ends, or there’s no vapor left for the ship to sail on, it descends, landing safe and undamaged, albeit potentially landlocked. A sorcerer with this as her control spell is constantly wreathed by pale mists, though she may disperse them with a thought unless distracted by involved activity, deep contemplation, or tumultuous emotion. She may walk on mist or fog as though it were solid ground, albeit as difficult terrain (Exalted, p. 199). Distortion (Goal Number: 8): Distorting this spell causes mist to envelop the ship in a thick cloud, making it all but impossible for its crew to see outward. Sail rolls to pilot it suffer a -3 penalty, and those aboard have no warning if it’s about to run out of mist that can support it. </t>
  </si>
  <si>
    <t>Sculpted Seafoam Eidolon</t>
  </si>
  <si>
    <t xml:space="preserve">The sorcerer shapes foam and aqueous reflections into a simulacrum of reality. From nothing, she may create a lifelike, convincing water-replica of a person, an animal up to the size of a horse, or an object up to the size of a wagon. She rolls (Manipulation + Occult) to determine the quality of the illusion. The illusion performs lifelike motions, is capable of simple speech, and has scent, body heat, and other sensory qualia, though it’s not capable of taking actions that require rolls. While the sorcerer is present, she may direct the illusion’s behavior; if she goes further than long range from it, it reverts to a default pattern of behavior that is realistic but uncomplicated. A character within short range can roll (Perception + Awareness) opposing the sorcerer’s initial roll to realize its illusory nature. Touching the eidolon’s water-sculpted surface grants three bonus dice on this roll. A character who speaks with the eidolon may realize it’s illusory by reading its intentions, opposing the sorcerer’s initial roll. A sorcerer with this as her control spell may create up to (Manipulation) separate illusions each time she casts it. Distortion (Goal number: 10): Distorting this spell allows the opposing sorcerer to wrest control of the illusion away from the sorcerer who cast it. </t>
  </si>
  <si>
    <t>Spoke the Wooden Face</t>
  </si>
  <si>
    <t xml:space="preserve">Closing her eyes and entering a trance, the sorcerer projects her awareness into a tree that bears her visage. To use this spell, the sorcerer must have first carved a life-sized likeness of her face into the bark of a living tree, a basic Craft (Woodworking) project with difficulty 1. Casting this spell lets her perceive and speak through the face, regardless of distance. She may make Perception-based rolls from its vantage or make influence rolls as she speaks through it, but cannot enhance her actions with Charms. While using this spell, she can’t sense anything through her own body nor take actions with it, unless she chooses to end it prematurely. Taking damage automatically ends this spell. While the sorcerer isn’t speaking, her projected presence can’t be detected without the use of magic. A character who knows or suspects that a tree has been marked for use with this spell may destroy the carved visage to render it unusable. This usually doesn’t require a roll, unless the tree has been reinforced with other magic.  A sorcerer with this as her control spell may simultaneously project herself into up to (Perception) separate wooden faces, seeing and speaking through all of them simultaneously. Distortion (Goal Number: 5): To distort this spell, a sorcerer must be within short range of the tree, not the sorcerer. Distortion renders the wooden face blind, deaf, and mute (Exalted, pp. 168-169), plunging the casting sorcerer into sensory isolation that causes her to lose one Willpower. </t>
  </si>
  <si>
    <t>Stalwart Earth Guardian</t>
  </si>
  <si>
    <t>Twelve hours</t>
  </si>
  <si>
    <t xml:space="preserve">Drawing a geometric figure in the soil or tracing it out on stone with chalk over the course of a few minutes, the sorcerer wards herself and her allies from harm. This figure spreads out to close range from its center. Characters within the ward gain +1 Defense and +1 Resolve against any attacks or other effects used on them from without. Characters outside the ward but within medium range of its center come under attack as the earth turns against them, an environmental hazard with difficulty (higher of Essence or Intelligence) and Damage 1B/round. Characters who fail a roll against the hazard treat moving through it as difficult terrain (Exalted, p. 199) for that round. In addition, the churning earth makes stealthy approaches all but impossible, increasing the mobility penalty of characters caught within it by -2 and making enough noise to awaken anyone sleeping inside the ward. A sorcerer with this as her control spell has a certain earthiness to her, smelling of plowed soil and loamy clay. She can use her fingernails to etch lines in stone, an exceptional tool (Exalted, p. 580) for Craft rolls to work stone or Linguistics rolls to inscribe writing on it. Distortion (Goal Number: 15): Distorting this spell inverts the ward, nullifying its effects outside while causing those within to suffer the environmental hazard and mobility penalty. </t>
  </si>
  <si>
    <t>Thunder Wolf Howl</t>
  </si>
  <si>
    <t xml:space="preserve">White winds swirl around the sorcerer as she draws forth the ancient echo of a slain behemoth’s deathhowl. The sorcerer designates a point within medium range as the center of a deafening thunderclap that  extends out to short range from that point. Characters caught within it, including allies, roll (Stamina + Resistance) at a difficulty of (the sorcerer’s higher of Essence or Intelligence). Battle groups suffer a penalty of (their Size). Characters who fail suffer base decisive damage of (Essence)B, ignoring Hardness, and the sorcerer divides her Initiative evenly among them, rounding up, to determine the total damage rolled against them. As long as one character fails his roll, the sorcerer resets to base Initiative. A character that takes damage is deafened (Exalted, p. 198) until he receives medical treatment, and suffers a crippling penalty on all actions equal to the number of 10s on the damage roll. This penalty falls by one at the end of each of that character’s turns. Objects and structures made of wood, glass, and similarly flimsy or fragile material suffer damage at the Storyteller’s discretion. A sorcerer with this as her control spell increases the difficulty and base damage of this spell by one each. When overcome with strong emotion, her voice booms and echoes like the peal of distant thunder. </t>
  </si>
  <si>
    <t>Unslakable Thirst of the Devil-Maw</t>
  </si>
  <si>
    <t xml:space="preserve">The flesh of one of the sorcerer’s hands splits to reveal a monstrous gaping mouth with fangs of tourmaline and a squirming viridian tongue. The maw leeches away at water, condensing vapor from thin air and desiccating plants or living flesh. She rolls (Intelligence + Occult) as an unblockable decisive attack against all characters, including allies, in a ninety-degree arc out to medium range. Against battle groups, it’s unblockable and undodgeable. Each character hit suffers ([sorcerer’s Intelligence + extra successes] - [lower of target’s Stamina or Resistance])A dice of decisive damage, minimum one die. This doesn’t include the sorcerer’s Initiative or reset her to base Initiative. Enemies with no body moisture whatsoever, such as fire elementals or bonesiders, are immune. Conversely, enemies primarily made of liquid, such as water elementals, don’t subtract anything from the damage. Trivial plant life within range is completely desiccated, dying instantly. Moisture siphoned by this spell is gathered into a sphere of solid water that floats above the sorcerer’s hand for up to a few minutes after casting this spell. The sorcerer may direct it into a container for storage, or it can be drawn on with Charms such as Elemental Sheath (p. 225). Even if there are no victims of her spell, she may gather water with it in all but the most arid environments.  A sorcerer with this as her control spell has a devil-maw permanently opened on one of her palms. Unarmed attacks with that hand deal aggravated damage and gain the Piercing tag (Exalted, p. 586) against enemies that have any body moisture, draining it through their armor. Against water elementals and similar enemies, her unarmed attacks deal an additional die of withering or decisive damage. </t>
  </si>
  <si>
    <t>Virtuous Guardian of Flame</t>
  </si>
  <si>
    <t>The sorcerer draws a flaming sword from her own heart, shaping a fiery sentinel to keep vigil over her. As she completes the spell, the burning blade collapses into a will-o’-the-wisp no larger than a torchlight — the sorcerer may conceal the Virtuous Guardian of Flame by commanding it to rest within an existing lit lantern or torch she carries. Should she be attacked, the wisp flares back into sword shape to fend off her enemy, protecting her as per the defend other action (Exalted, p. 196) with a Parry of ([higher of Essence or Intelligence] + 1). The virtuous guardian can even notice threats of which the sorcerer is unaware, rolling (Essence + Perception + Occult) to detect hidden enemies. Wooden projectiles or weapons successfully blocked by the guardian are burnt to ashes. If it parries an unarmed attack or other natural attack, the attacker suffers one die of lethal damage, ignoring Hardness. Even when its parries fail, its flames blunt the force of attacks against the sorcerer, adding (Essence) natural soak against all but unblockable attacks. The guardian has soak (Essence + 5), Hardness (Essence), and (Essence + Intelligence) -0 health levels. When the sorcerer Joins Battle, it gains Initiative equal to hers. It cannot take any actions of its own; instead, this Initiative is used solely as a buffer against withering attacks. If the guardian is crashed, it dissipates for a scene, unable to protect the sorcerer, but reforms after that. If its health track is filled with damage, it’s utterly destroyed, and the sorcerer cannot resummon it until its full duration has elapsed. A sorcerer with this as her control spell may awaken Evocations from it, enhancing the guardian’s defensive power or wielding it offensively. Distortion (Goal Number: 15): Distorting the virtuous guardian lets the distorting sorcerer temporarily usurp it from its caster, stealing its protection away from her for one scene.</t>
  </si>
  <si>
    <t>040101</t>
  </si>
  <si>
    <t>040102</t>
  </si>
  <si>
    <t>040103</t>
  </si>
  <si>
    <t>040104</t>
  </si>
  <si>
    <t>040105</t>
  </si>
  <si>
    <t>040106</t>
  </si>
  <si>
    <t>040107</t>
  </si>
  <si>
    <t>040108</t>
  </si>
  <si>
    <t>040109</t>
  </si>
  <si>
    <t>040110</t>
  </si>
  <si>
    <t>040111</t>
  </si>
  <si>
    <t>040112</t>
  </si>
  <si>
    <t>040113</t>
  </si>
  <si>
    <t>040114</t>
  </si>
  <si>
    <t>040115</t>
  </si>
  <si>
    <t>040116</t>
  </si>
  <si>
    <t>040117</t>
  </si>
  <si>
    <t>040118</t>
  </si>
  <si>
    <t>040119</t>
  </si>
  <si>
    <t>040120</t>
  </si>
  <si>
    <t>040121</t>
  </si>
  <si>
    <t>040201</t>
  </si>
  <si>
    <t>040202</t>
  </si>
  <si>
    <t>040203</t>
  </si>
  <si>
    <t>040204</t>
  </si>
  <si>
    <t>040205</t>
  </si>
  <si>
    <t>040206</t>
  </si>
  <si>
    <t>040207</t>
  </si>
  <si>
    <t>040208</t>
  </si>
  <si>
    <t>040209</t>
  </si>
  <si>
    <t>040210</t>
  </si>
  <si>
    <t>040211</t>
  </si>
  <si>
    <t>040212</t>
  </si>
  <si>
    <t>040213</t>
  </si>
  <si>
    <t>040214</t>
  </si>
  <si>
    <t>040215</t>
  </si>
  <si>
    <t>040216</t>
  </si>
  <si>
    <t>040217</t>
  </si>
  <si>
    <t>040301</t>
  </si>
  <si>
    <t>040302</t>
  </si>
  <si>
    <t>040303</t>
  </si>
  <si>
    <t>040304</t>
  </si>
  <si>
    <t>040305</t>
  </si>
  <si>
    <t>040306</t>
  </si>
  <si>
    <t>040307</t>
  </si>
  <si>
    <t>040308</t>
  </si>
  <si>
    <t>040309</t>
  </si>
  <si>
    <t>040310</t>
  </si>
  <si>
    <t>040311</t>
  </si>
  <si>
    <t>040312</t>
  </si>
  <si>
    <t>040313</t>
  </si>
  <si>
    <t>040314</t>
  </si>
  <si>
    <t>040315</t>
  </si>
  <si>
    <t>040316</t>
  </si>
  <si>
    <t>040317</t>
  </si>
  <si>
    <t>040401</t>
  </si>
  <si>
    <t>040402</t>
  </si>
  <si>
    <t>040403</t>
  </si>
  <si>
    <t>040404</t>
  </si>
  <si>
    <t>040405</t>
  </si>
  <si>
    <t>040406</t>
  </si>
  <si>
    <t>040407</t>
  </si>
  <si>
    <t>040408</t>
  </si>
  <si>
    <t>040409</t>
  </si>
  <si>
    <t>040410</t>
  </si>
  <si>
    <t>040411</t>
  </si>
  <si>
    <t>040412</t>
  </si>
  <si>
    <t>040413</t>
  </si>
  <si>
    <t>040414</t>
  </si>
  <si>
    <t>040415</t>
  </si>
  <si>
    <t>040416</t>
  </si>
  <si>
    <t>040417</t>
  </si>
  <si>
    <t>040418</t>
  </si>
  <si>
    <t>040419</t>
  </si>
  <si>
    <t>040420</t>
  </si>
  <si>
    <t>040421</t>
  </si>
  <si>
    <t>040422</t>
  </si>
  <si>
    <t>040423</t>
  </si>
  <si>
    <t>040424</t>
  </si>
  <si>
    <t>040501</t>
  </si>
  <si>
    <t>040502</t>
  </si>
  <si>
    <t>040503</t>
  </si>
  <si>
    <t>040504</t>
  </si>
  <si>
    <t>040505</t>
  </si>
  <si>
    <t>040506</t>
  </si>
  <si>
    <t>040507</t>
  </si>
  <si>
    <t>040508</t>
  </si>
  <si>
    <t>040509</t>
  </si>
  <si>
    <t>040510</t>
  </si>
  <si>
    <t>040511</t>
  </si>
  <si>
    <t>040512</t>
  </si>
  <si>
    <t>040513</t>
  </si>
  <si>
    <t>040514</t>
  </si>
  <si>
    <t>040515</t>
  </si>
  <si>
    <t>040516</t>
  </si>
  <si>
    <t>040517</t>
  </si>
  <si>
    <t>040518</t>
  </si>
  <si>
    <t>040519</t>
  </si>
  <si>
    <t>040520</t>
  </si>
  <si>
    <t>040521</t>
  </si>
  <si>
    <t>040522</t>
  </si>
  <si>
    <t>040523</t>
  </si>
  <si>
    <t>040524</t>
  </si>
  <si>
    <t>040601</t>
  </si>
  <si>
    <t>040602</t>
  </si>
  <si>
    <t>040603</t>
  </si>
  <si>
    <t>040604</t>
  </si>
  <si>
    <t>040605</t>
  </si>
  <si>
    <t>040606</t>
  </si>
  <si>
    <t>040607</t>
  </si>
  <si>
    <t>040608</t>
  </si>
  <si>
    <t>040609</t>
  </si>
  <si>
    <t>040610</t>
  </si>
  <si>
    <t>040611</t>
  </si>
  <si>
    <t>040612</t>
  </si>
  <si>
    <t>040613</t>
  </si>
  <si>
    <t>040614</t>
  </si>
  <si>
    <t>040615</t>
  </si>
  <si>
    <t>040616</t>
  </si>
  <si>
    <t>040617</t>
  </si>
  <si>
    <t>040701</t>
  </si>
  <si>
    <t>040702</t>
  </si>
  <si>
    <t>040703</t>
  </si>
  <si>
    <t>040704</t>
  </si>
  <si>
    <t>040705</t>
  </si>
  <si>
    <t>040706</t>
  </si>
  <si>
    <t>040707</t>
  </si>
  <si>
    <t>040708</t>
  </si>
  <si>
    <t>040709</t>
  </si>
  <si>
    <t>040710</t>
  </si>
  <si>
    <t>040711</t>
  </si>
  <si>
    <t>040712</t>
  </si>
  <si>
    <t>040713</t>
  </si>
  <si>
    <t>040714</t>
  </si>
  <si>
    <t>040715</t>
  </si>
  <si>
    <t>040716</t>
  </si>
  <si>
    <t>040801</t>
  </si>
  <si>
    <t>040802</t>
  </si>
  <si>
    <t>040803</t>
  </si>
  <si>
    <t>040804</t>
  </si>
  <si>
    <t>040805</t>
  </si>
  <si>
    <t>040806</t>
  </si>
  <si>
    <t>040807</t>
  </si>
  <si>
    <t>040808</t>
  </si>
  <si>
    <t>040809</t>
  </si>
  <si>
    <t>040810</t>
  </si>
  <si>
    <t>040811</t>
  </si>
  <si>
    <t>040812</t>
  </si>
  <si>
    <t>040813</t>
  </si>
  <si>
    <t>040814</t>
  </si>
  <si>
    <t>040815</t>
  </si>
  <si>
    <t>040816</t>
  </si>
  <si>
    <t>040817</t>
  </si>
  <si>
    <t>040818</t>
  </si>
  <si>
    <t>040901</t>
  </si>
  <si>
    <t>040902</t>
  </si>
  <si>
    <t>040903</t>
  </si>
  <si>
    <t>040904</t>
  </si>
  <si>
    <t>040905</t>
  </si>
  <si>
    <t>040906</t>
  </si>
  <si>
    <t>040907</t>
  </si>
  <si>
    <t>040908</t>
  </si>
  <si>
    <t>040909</t>
  </si>
  <si>
    <t>040910</t>
  </si>
  <si>
    <t>040911</t>
  </si>
  <si>
    <t>040912</t>
  </si>
  <si>
    <t>040913</t>
  </si>
  <si>
    <t>040914</t>
  </si>
  <si>
    <t>040915</t>
  </si>
  <si>
    <t>040916</t>
  </si>
  <si>
    <t>040917</t>
  </si>
  <si>
    <t>040918</t>
  </si>
  <si>
    <t>040919</t>
  </si>
  <si>
    <t>040920</t>
  </si>
  <si>
    <t>041001</t>
  </si>
  <si>
    <t>041002</t>
  </si>
  <si>
    <t>041003</t>
  </si>
  <si>
    <t>041004</t>
  </si>
  <si>
    <t>041005</t>
  </si>
  <si>
    <t>041006</t>
  </si>
  <si>
    <t>041007</t>
  </si>
  <si>
    <t>041008</t>
  </si>
  <si>
    <t>041009</t>
  </si>
  <si>
    <t>041010</t>
  </si>
  <si>
    <t>041011</t>
  </si>
  <si>
    <t>041012</t>
  </si>
  <si>
    <t>041013</t>
  </si>
  <si>
    <t>041014</t>
  </si>
  <si>
    <t>041015</t>
  </si>
  <si>
    <t>041016</t>
  </si>
  <si>
    <t>041017</t>
  </si>
  <si>
    <t>041018</t>
  </si>
  <si>
    <t>041019</t>
  </si>
  <si>
    <t>041020</t>
  </si>
  <si>
    <t>041021</t>
  </si>
  <si>
    <t>041022</t>
  </si>
  <si>
    <t>041023</t>
  </si>
  <si>
    <t>041024</t>
  </si>
  <si>
    <t>041025</t>
  </si>
  <si>
    <t>041026</t>
  </si>
  <si>
    <t>041027</t>
  </si>
  <si>
    <t>041028</t>
  </si>
  <si>
    <t>041101</t>
  </si>
  <si>
    <t>041102</t>
  </si>
  <si>
    <t>041103</t>
  </si>
  <si>
    <t>041104</t>
  </si>
  <si>
    <t>041105</t>
  </si>
  <si>
    <t>041106</t>
  </si>
  <si>
    <t>041107</t>
  </si>
  <si>
    <t>041108</t>
  </si>
  <si>
    <t>041109</t>
  </si>
  <si>
    <t>041110</t>
  </si>
  <si>
    <t>041111</t>
  </si>
  <si>
    <t>041112</t>
  </si>
  <si>
    <t>041113</t>
  </si>
  <si>
    <t>041114</t>
  </si>
  <si>
    <t>041115</t>
  </si>
  <si>
    <t>041116</t>
  </si>
  <si>
    <t>041117</t>
  </si>
  <si>
    <t>041118</t>
  </si>
  <si>
    <t>041119</t>
  </si>
  <si>
    <t>041120</t>
  </si>
  <si>
    <t>041121</t>
  </si>
  <si>
    <t>041122</t>
  </si>
  <si>
    <t>041123</t>
  </si>
  <si>
    <t>041124</t>
  </si>
  <si>
    <t>041201</t>
  </si>
  <si>
    <t>041202</t>
  </si>
  <si>
    <t>041203</t>
  </si>
  <si>
    <t>041204</t>
  </si>
  <si>
    <t>041205</t>
  </si>
  <si>
    <t>041206</t>
  </si>
  <si>
    <t>041207</t>
  </si>
  <si>
    <t>041208</t>
  </si>
  <si>
    <t>041209</t>
  </si>
  <si>
    <t>041210</t>
  </si>
  <si>
    <t>041211</t>
  </si>
  <si>
    <t>041212</t>
  </si>
  <si>
    <t>041213</t>
  </si>
  <si>
    <t>041214</t>
  </si>
  <si>
    <t>041215</t>
  </si>
  <si>
    <t>041216</t>
  </si>
  <si>
    <t>041217</t>
  </si>
  <si>
    <t>041218</t>
  </si>
  <si>
    <t>041219</t>
  </si>
  <si>
    <t>041220</t>
  </si>
  <si>
    <t>041221</t>
  </si>
  <si>
    <t>041222</t>
  </si>
  <si>
    <t>041223</t>
  </si>
  <si>
    <t>041401</t>
  </si>
  <si>
    <t>041402</t>
  </si>
  <si>
    <t>041403</t>
  </si>
  <si>
    <t>041404</t>
  </si>
  <si>
    <t>041405</t>
  </si>
  <si>
    <t>041406</t>
  </si>
  <si>
    <t>041407</t>
  </si>
  <si>
    <t>041408</t>
  </si>
  <si>
    <t>041409</t>
  </si>
  <si>
    <t>041410</t>
  </si>
  <si>
    <t>041411</t>
  </si>
  <si>
    <t>041412</t>
  </si>
  <si>
    <t>041413</t>
  </si>
  <si>
    <t>041414</t>
  </si>
  <si>
    <t>041415</t>
  </si>
  <si>
    <t>041416</t>
  </si>
  <si>
    <t>041417</t>
  </si>
  <si>
    <t>041418</t>
  </si>
  <si>
    <t>041419</t>
  </si>
  <si>
    <t>041501</t>
  </si>
  <si>
    <t>041502</t>
  </si>
  <si>
    <t>041503</t>
  </si>
  <si>
    <t>041504</t>
  </si>
  <si>
    <t>041505</t>
  </si>
  <si>
    <t>041506</t>
  </si>
  <si>
    <t>041507</t>
  </si>
  <si>
    <t>041508</t>
  </si>
  <si>
    <t>041509</t>
  </si>
  <si>
    <t>041510</t>
  </si>
  <si>
    <t>041511</t>
  </si>
  <si>
    <t>041512</t>
  </si>
  <si>
    <t>041513</t>
  </si>
  <si>
    <t>041514</t>
  </si>
  <si>
    <t>041515</t>
  </si>
  <si>
    <t>041516</t>
  </si>
  <si>
    <t>041517</t>
  </si>
  <si>
    <t>041518</t>
  </si>
  <si>
    <t>041519</t>
  </si>
  <si>
    <t>041520</t>
  </si>
  <si>
    <t>041521</t>
  </si>
  <si>
    <t>041522</t>
  </si>
  <si>
    <t>041523</t>
  </si>
  <si>
    <t>041524</t>
  </si>
  <si>
    <t>041525</t>
  </si>
  <si>
    <t>041601</t>
  </si>
  <si>
    <t>041602</t>
  </si>
  <si>
    <t>041603</t>
  </si>
  <si>
    <t>041604</t>
  </si>
  <si>
    <t>041605</t>
  </si>
  <si>
    <t>041606</t>
  </si>
  <si>
    <t>041607</t>
  </si>
  <si>
    <t>041608</t>
  </si>
  <si>
    <t>041609</t>
  </si>
  <si>
    <t>041610</t>
  </si>
  <si>
    <t>041611</t>
  </si>
  <si>
    <t>041612</t>
  </si>
  <si>
    <t>041613</t>
  </si>
  <si>
    <t>041614</t>
  </si>
  <si>
    <t>041615</t>
  </si>
  <si>
    <t>041616</t>
  </si>
  <si>
    <t>041617</t>
  </si>
  <si>
    <t>041618</t>
  </si>
  <si>
    <t>041619</t>
  </si>
  <si>
    <t>041620</t>
  </si>
  <si>
    <t>041621</t>
  </si>
  <si>
    <t>041622</t>
  </si>
  <si>
    <t>041623</t>
  </si>
  <si>
    <t>041701</t>
  </si>
  <si>
    <t>041702</t>
  </si>
  <si>
    <t>041703</t>
  </si>
  <si>
    <t>041704</t>
  </si>
  <si>
    <t>041705</t>
  </si>
  <si>
    <t>041706</t>
  </si>
  <si>
    <t>041707</t>
  </si>
  <si>
    <t>041708</t>
  </si>
  <si>
    <t>041709</t>
  </si>
  <si>
    <t>041710</t>
  </si>
  <si>
    <t>041711</t>
  </si>
  <si>
    <t>041712</t>
  </si>
  <si>
    <t>041713</t>
  </si>
  <si>
    <t>041714</t>
  </si>
  <si>
    <t>041715</t>
  </si>
  <si>
    <t>041716</t>
  </si>
  <si>
    <t>041717</t>
  </si>
  <si>
    <t>041718</t>
  </si>
  <si>
    <t>041719</t>
  </si>
  <si>
    <t>041720</t>
  </si>
  <si>
    <t>041721</t>
  </si>
  <si>
    <t>041722</t>
  </si>
  <si>
    <t>041723</t>
  </si>
  <si>
    <t>041724</t>
  </si>
  <si>
    <t>041725</t>
  </si>
  <si>
    <t>041726</t>
  </si>
  <si>
    <t>041727</t>
  </si>
  <si>
    <t>041728</t>
  </si>
  <si>
    <t>041729</t>
  </si>
  <si>
    <t>041730</t>
  </si>
  <si>
    <t>041801</t>
  </si>
  <si>
    <t>041802</t>
  </si>
  <si>
    <t>041803</t>
  </si>
  <si>
    <t>041804</t>
  </si>
  <si>
    <t>041805</t>
  </si>
  <si>
    <t>041806</t>
  </si>
  <si>
    <t>041807</t>
  </si>
  <si>
    <t>041808</t>
  </si>
  <si>
    <t>041809</t>
  </si>
  <si>
    <t>041810</t>
  </si>
  <si>
    <t>041811</t>
  </si>
  <si>
    <t>041812</t>
  </si>
  <si>
    <t>041813</t>
  </si>
  <si>
    <t>041814</t>
  </si>
  <si>
    <t>041815</t>
  </si>
  <si>
    <t>041816</t>
  </si>
  <si>
    <t>041817</t>
  </si>
  <si>
    <t>041818</t>
  </si>
  <si>
    <t>041819</t>
  </si>
  <si>
    <t>041820</t>
  </si>
  <si>
    <t>041821</t>
  </si>
  <si>
    <t>041822</t>
  </si>
  <si>
    <t>041823</t>
  </si>
  <si>
    <t>041901</t>
  </si>
  <si>
    <t>041902</t>
  </si>
  <si>
    <t>041903</t>
  </si>
  <si>
    <t>041904</t>
  </si>
  <si>
    <t>041905</t>
  </si>
  <si>
    <t>041906</t>
  </si>
  <si>
    <t>041907</t>
  </si>
  <si>
    <t>041908</t>
  </si>
  <si>
    <t>041909</t>
  </si>
  <si>
    <t>041910</t>
  </si>
  <si>
    <t>041911</t>
  </si>
  <si>
    <t>041912</t>
  </si>
  <si>
    <t>041913</t>
  </si>
  <si>
    <t>041914</t>
  </si>
  <si>
    <t>041915</t>
  </si>
  <si>
    <t>041916</t>
  </si>
  <si>
    <t>041917</t>
  </si>
  <si>
    <t>041918</t>
  </si>
  <si>
    <t>041919</t>
  </si>
  <si>
    <t>041920</t>
  </si>
  <si>
    <t>041921</t>
  </si>
  <si>
    <t>041922</t>
  </si>
  <si>
    <t>041923</t>
  </si>
  <si>
    <t>041924</t>
  </si>
  <si>
    <t>042001</t>
  </si>
  <si>
    <t>042002</t>
  </si>
  <si>
    <t>042003</t>
  </si>
  <si>
    <t>042004</t>
  </si>
  <si>
    <t>042005</t>
  </si>
  <si>
    <t>042006</t>
  </si>
  <si>
    <t>042007</t>
  </si>
  <si>
    <t>042008</t>
  </si>
  <si>
    <t>042009</t>
  </si>
  <si>
    <t>042010</t>
  </si>
  <si>
    <t>042011</t>
  </si>
  <si>
    <t>042012</t>
  </si>
  <si>
    <t>042013</t>
  </si>
  <si>
    <t>042014</t>
  </si>
  <si>
    <t>042015</t>
  </si>
  <si>
    <t>042016</t>
  </si>
  <si>
    <t>042017</t>
  </si>
  <si>
    <t>042018</t>
  </si>
  <si>
    <t>042019</t>
  </si>
  <si>
    <t>042020</t>
  </si>
  <si>
    <t>042021</t>
  </si>
  <si>
    <t>042022</t>
  </si>
  <si>
    <t>042023</t>
  </si>
  <si>
    <t>042024</t>
  </si>
  <si>
    <t>042101</t>
  </si>
  <si>
    <t>042102</t>
  </si>
  <si>
    <t>042103</t>
  </si>
  <si>
    <t>042104</t>
  </si>
  <si>
    <t>042105</t>
  </si>
  <si>
    <t>042106</t>
  </si>
  <si>
    <t>042107</t>
  </si>
  <si>
    <t>042108</t>
  </si>
  <si>
    <t>042109</t>
  </si>
  <si>
    <t>042110</t>
  </si>
  <si>
    <t>042111</t>
  </si>
  <si>
    <t>042112</t>
  </si>
  <si>
    <t>042113</t>
  </si>
  <si>
    <t>042114</t>
  </si>
  <si>
    <t>042115</t>
  </si>
  <si>
    <t>042116</t>
  </si>
  <si>
    <t>042117</t>
  </si>
  <si>
    <t>042118</t>
  </si>
  <si>
    <t>042119</t>
  </si>
  <si>
    <t>042201</t>
  </si>
  <si>
    <t>042202</t>
  </si>
  <si>
    <t>042203</t>
  </si>
  <si>
    <t>042204</t>
  </si>
  <si>
    <t>042205</t>
  </si>
  <si>
    <t>042206</t>
  </si>
  <si>
    <t>042207</t>
  </si>
  <si>
    <t>042208</t>
  </si>
  <si>
    <t>042209</t>
  </si>
  <si>
    <t>042210</t>
  </si>
  <si>
    <t>042211</t>
  </si>
  <si>
    <t>042212</t>
  </si>
  <si>
    <t>042213</t>
  </si>
  <si>
    <t>042214</t>
  </si>
  <si>
    <t>042215</t>
  </si>
  <si>
    <t>042216</t>
  </si>
  <si>
    <t>042217</t>
  </si>
  <si>
    <t>042218</t>
  </si>
  <si>
    <t>042219</t>
  </si>
  <si>
    <t>042220</t>
  </si>
  <si>
    <t>042221</t>
  </si>
  <si>
    <t>042222</t>
  </si>
  <si>
    <t>042223</t>
  </si>
  <si>
    <t>042224</t>
  </si>
  <si>
    <t>042301</t>
  </si>
  <si>
    <t>042302</t>
  </si>
  <si>
    <t>042303</t>
  </si>
  <si>
    <t>042304</t>
  </si>
  <si>
    <t>042305</t>
  </si>
  <si>
    <t>042306</t>
  </si>
  <si>
    <t>042307</t>
  </si>
  <si>
    <t>042308</t>
  </si>
  <si>
    <t>042309</t>
  </si>
  <si>
    <t>042310</t>
  </si>
  <si>
    <t>042311</t>
  </si>
  <si>
    <t>042312</t>
  </si>
  <si>
    <t>042313</t>
  </si>
  <si>
    <t>042314</t>
  </si>
  <si>
    <t>042315</t>
  </si>
  <si>
    <t>042401</t>
  </si>
  <si>
    <t>042402</t>
  </si>
  <si>
    <t>042403</t>
  </si>
  <si>
    <t>042404</t>
  </si>
  <si>
    <t>042405</t>
  </si>
  <si>
    <t>042406</t>
  </si>
  <si>
    <t>042407</t>
  </si>
  <si>
    <t>042408</t>
  </si>
  <si>
    <t>042409</t>
  </si>
  <si>
    <t>042410</t>
  </si>
  <si>
    <t>042411</t>
  </si>
  <si>
    <t>042412</t>
  </si>
  <si>
    <t>042413</t>
  </si>
  <si>
    <t>042414</t>
  </si>
  <si>
    <t>042415</t>
  </si>
  <si>
    <t>042416</t>
  </si>
  <si>
    <t>042417</t>
  </si>
  <si>
    <t>042418</t>
  </si>
  <si>
    <t>042419</t>
  </si>
  <si>
    <t>042420</t>
  </si>
  <si>
    <t>042421</t>
  </si>
  <si>
    <t>042501</t>
  </si>
  <si>
    <t>042502</t>
  </si>
  <si>
    <t>042503</t>
  </si>
  <si>
    <t>042504</t>
  </si>
  <si>
    <t>042505</t>
  </si>
  <si>
    <t>042506</t>
  </si>
  <si>
    <t>042507</t>
  </si>
  <si>
    <t>042508</t>
  </si>
  <si>
    <t>042509</t>
  </si>
  <si>
    <t>042510</t>
  </si>
  <si>
    <t>042511</t>
  </si>
  <si>
    <t>042512</t>
  </si>
  <si>
    <t>042513</t>
  </si>
  <si>
    <t>042514</t>
  </si>
  <si>
    <t>042515</t>
  </si>
  <si>
    <t>042516</t>
  </si>
  <si>
    <t>042517</t>
  </si>
  <si>
    <t>042518</t>
  </si>
  <si>
    <t>042519</t>
  </si>
  <si>
    <t>042520</t>
  </si>
  <si>
    <t>042521</t>
  </si>
  <si>
    <t>043601</t>
  </si>
  <si>
    <t>043602</t>
  </si>
  <si>
    <t>043603</t>
  </si>
  <si>
    <t>043604</t>
  </si>
  <si>
    <t>043605</t>
  </si>
  <si>
    <t>043606</t>
  </si>
  <si>
    <t>043607</t>
  </si>
  <si>
    <t>043608</t>
  </si>
  <si>
    <t>043609</t>
  </si>
  <si>
    <t>043610</t>
  </si>
  <si>
    <t>043611</t>
  </si>
  <si>
    <t>043612</t>
  </si>
  <si>
    <t>043613</t>
  </si>
  <si>
    <t>043614</t>
  </si>
  <si>
    <t>043615</t>
  </si>
  <si>
    <t>043616</t>
  </si>
  <si>
    <t>043617</t>
  </si>
  <si>
    <t>041301</t>
  </si>
  <si>
    <t>041302</t>
  </si>
  <si>
    <t>041303</t>
  </si>
  <si>
    <t>041304</t>
  </si>
  <si>
    <t>041305</t>
  </si>
  <si>
    <t>041306</t>
  </si>
  <si>
    <t>041307</t>
  </si>
  <si>
    <t>041308</t>
  </si>
  <si>
    <t>041309</t>
  </si>
  <si>
    <t>041310</t>
  </si>
  <si>
    <t>041311</t>
  </si>
  <si>
    <t>041312</t>
  </si>
  <si>
    <t>041313</t>
  </si>
  <si>
    <t>041314</t>
  </si>
  <si>
    <t>041315</t>
  </si>
  <si>
    <t>041316</t>
  </si>
  <si>
    <t>041317</t>
  </si>
  <si>
    <t>041318</t>
  </si>
  <si>
    <t>041319</t>
  </si>
  <si>
    <t>041320</t>
  </si>
  <si>
    <t>041321</t>
  </si>
  <si>
    <t>041322</t>
  </si>
  <si>
    <t>041323</t>
  </si>
  <si>
    <t>041324</t>
  </si>
  <si>
    <t>041325</t>
  </si>
  <si>
    <t>041326</t>
  </si>
  <si>
    <t>041327</t>
  </si>
  <si>
    <t>041328</t>
  </si>
  <si>
    <t>041329</t>
  </si>
  <si>
    <t>041330</t>
  </si>
  <si>
    <t>041331</t>
  </si>
  <si>
    <t>041332</t>
  </si>
  <si>
    <t>041333</t>
  </si>
  <si>
    <t>041334</t>
  </si>
  <si>
    <t>041335</t>
  </si>
  <si>
    <t>041336</t>
  </si>
  <si>
    <t>041337</t>
  </si>
  <si>
    <t>041338</t>
  </si>
  <si>
    <t>041339</t>
  </si>
  <si>
    <t>041340</t>
  </si>
  <si>
    <t>041341</t>
  </si>
  <si>
    <t>041342</t>
  </si>
  <si>
    <t>041343</t>
  </si>
  <si>
    <t>041344</t>
  </si>
  <si>
    <t>041345</t>
  </si>
  <si>
    <t>041346</t>
  </si>
  <si>
    <t>041347</t>
  </si>
  <si>
    <t>041348</t>
  </si>
  <si>
    <t>041349</t>
  </si>
  <si>
    <t>041350</t>
  </si>
  <si>
    <t>041351</t>
  </si>
  <si>
    <t>041352</t>
  </si>
  <si>
    <t>041353</t>
  </si>
  <si>
    <t>041354</t>
  </si>
  <si>
    <t>041355</t>
  </si>
  <si>
    <t>041356</t>
  </si>
  <si>
    <t>041357</t>
  </si>
  <si>
    <t>041358</t>
  </si>
  <si>
    <t>041359</t>
  </si>
  <si>
    <t>041360</t>
  </si>
  <si>
    <t>041361</t>
  </si>
  <si>
    <t>041362</t>
  </si>
  <si>
    <t>041363</t>
  </si>
  <si>
    <t>041364</t>
  </si>
  <si>
    <t>041365</t>
  </si>
  <si>
    <t>041366</t>
  </si>
  <si>
    <t>041367</t>
  </si>
  <si>
    <t>041368</t>
  </si>
  <si>
    <t>041369</t>
  </si>
  <si>
    <t>041370</t>
  </si>
  <si>
    <t>041371</t>
  </si>
  <si>
    <t>041372</t>
  </si>
  <si>
    <t>041373</t>
  </si>
  <si>
    <t>041374</t>
  </si>
  <si>
    <t>041375</t>
  </si>
  <si>
    <t>041376</t>
  </si>
  <si>
    <t>041377</t>
  </si>
  <si>
    <t>041378</t>
  </si>
  <si>
    <t>041379</t>
  </si>
  <si>
    <t>041380</t>
  </si>
  <si>
    <t>041381</t>
  </si>
  <si>
    <t>041382</t>
  </si>
  <si>
    <t>041383</t>
  </si>
  <si>
    <t>041384</t>
  </si>
  <si>
    <t>041385</t>
  </si>
  <si>
    <t>041386</t>
  </si>
  <si>
    <t>041387</t>
  </si>
  <si>
    <t>Exalt ?</t>
  </si>
  <si>
    <t>C for Values calculus mainly</t>
  </si>
  <si>
    <t>E for other Charm prereq</t>
  </si>
  <si>
    <t>Sub-Ab</t>
  </si>
  <si>
    <t>Other</t>
  </si>
  <si>
    <t>plages 1</t>
  </si>
  <si>
    <t>plages 2</t>
  </si>
  <si>
    <r>
      <rPr>
        <b/>
        <u/>
        <sz val="11"/>
        <color rgb="FF000000"/>
        <rFont val="Liberation Sans"/>
        <family val="2"/>
      </rPr>
      <t>Step 4 : Merits</t>
    </r>
    <r>
      <rPr>
        <b/>
        <sz val="11"/>
        <color rgb="FF000000"/>
        <rFont val="Liberation Sans"/>
        <family val="2"/>
      </rPr>
      <t xml:space="preserve"> : </t>
    </r>
  </si>
  <si>
    <r>
      <rPr>
        <u/>
        <sz val="11"/>
        <color rgb="FF000000"/>
        <rFont val="Liberation Sans"/>
        <family val="2"/>
      </rPr>
      <t>Specialties</t>
    </r>
    <r>
      <rPr>
        <sz val="11"/>
        <color rgb="FF000000"/>
        <rFont val="Liberation Sans"/>
        <family val="2"/>
      </rPr>
      <t xml:space="preserve"> : choose your specialties</t>
    </r>
  </si>
  <si>
    <r>
      <rPr>
        <b/>
        <u/>
        <sz val="11"/>
        <color rgb="FF000000"/>
        <rFont val="Liberation Sans"/>
        <family val="2"/>
      </rPr>
      <t xml:space="preserve">Step 5 : </t>
    </r>
    <r>
      <rPr>
        <u/>
        <sz val="11"/>
        <color rgb="FF000000"/>
        <rFont val="Liberation Sans"/>
        <family val="2"/>
      </rPr>
      <t>(not for mortals)</t>
    </r>
  </si>
  <si>
    <r>
      <rPr>
        <b/>
        <u/>
        <sz val="11"/>
        <color rgb="FF000000"/>
        <rFont val="Liberation Sans"/>
        <family val="2"/>
      </rPr>
      <t xml:space="preserve">Step 6 : </t>
    </r>
    <r>
      <rPr>
        <u/>
        <sz val="11"/>
        <color rgb="FF000000"/>
        <rFont val="Liberation Sans"/>
        <family val="2"/>
      </rPr>
      <t>Choose at least 4 intimacies</t>
    </r>
  </si>
  <si>
    <t>&gt;5 ! Nope !</t>
  </si>
  <si>
    <r>
      <rPr>
        <b/>
        <sz val="11"/>
        <color rgb="FF000000"/>
        <rFont val="Liberation Sans"/>
        <family val="2"/>
      </rPr>
      <t>Warning !</t>
    </r>
    <r>
      <rPr>
        <sz val="11"/>
        <color rgb="FF000000"/>
        <rFont val="Liberation Sans"/>
        <family val="2"/>
      </rPr>
      <t xml:space="preserve"> Martial Arts is linked to Brawl</t>
    </r>
  </si>
  <si>
    <r>
      <t>Abilities :</t>
    </r>
    <r>
      <rPr>
        <sz val="11"/>
        <color rgb="FF000000"/>
        <rFont val="Liberation Sans"/>
        <family val="2"/>
      </rPr>
      <t xml:space="preserve"> Affect up to 3 dots to abilities. Each Favored ability must have a minimum of 1 dot affected</t>
    </r>
  </si>
  <si>
    <t>Write in me</t>
  </si>
  <si>
    <t>Drop-down lists</t>
  </si>
  <si>
    <t>Don't touche me</t>
  </si>
  <si>
    <t>Bonus Points Cost Reminder :</t>
  </si>
  <si>
    <t>Weapons &amp; Armors : fill them when you like (now, in _BP or _XP)
Weapons : by default used attribute is DEX; if you are using a special attack please change Attribute in the orange cell (also for Lunars parying with Stamina or attacking with Strenght)
Attunement cost : discounted if you enter a same named artifact on multiple lines. (ex one line for thrown axe and on for melee axe)</t>
  </si>
  <si>
    <t>Air Dragon</t>
  </si>
  <si>
    <t>Black Claw</t>
  </si>
  <si>
    <t>DP Courtesan</t>
  </si>
  <si>
    <t>Earth Dragon</t>
  </si>
  <si>
    <t>Ebon Shadow</t>
  </si>
  <si>
    <t>Fire Dragon</t>
  </si>
  <si>
    <t>Golden Janissary</t>
  </si>
  <si>
    <t>Righteous Devil</t>
  </si>
  <si>
    <t>Single Point</t>
  </si>
  <si>
    <t>Steel Devil</t>
  </si>
  <si>
    <t>SV Nightingale</t>
  </si>
  <si>
    <t>Water Dragon</t>
  </si>
  <si>
    <t>White Veil</t>
  </si>
  <si>
    <t>White Reaper</t>
  </si>
  <si>
    <t>Wood Dragon</t>
  </si>
  <si>
    <t>Terrest Circle</t>
  </si>
  <si>
    <t>Celestial Circle</t>
  </si>
  <si>
    <t>Solar Circle</t>
  </si>
  <si>
    <t>Tweak needed !</t>
  </si>
  <si>
    <t>○</t>
  </si>
  <si>
    <t>●</t>
  </si>
  <si>
    <t>●●</t>
  </si>
  <si>
    <t>●●●</t>
  </si>
  <si>
    <t>●●●●</t>
  </si>
  <si>
    <t>●●●●●●</t>
  </si>
  <si>
    <t>●●●●●●●</t>
  </si>
  <si>
    <t>●●●●●●●●</t>
  </si>
  <si>
    <t>●●●●●●●●●</t>
  </si>
  <si>
    <t>●●●●●●●●●●</t>
  </si>
  <si>
    <t>3.92 Custom Charms Edition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</si>
</sst>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0&quot; &quot;[$€-40C];[Red]&quot;-&quot;#,##0.00&quot; &quot;[$€-40C]"/>
    <numFmt numFmtId="165" formatCode="\C0"/>
    <numFmt numFmtId="166" formatCode=";;;"/>
    <numFmt numFmtId="167" formatCode="d/m/yy;@"/>
  </numFmts>
  <fonts count="48">
    <font>
      <sz val="11"/>
      <color rgb="FF000000"/>
      <name val="Liberation Sans"/>
    </font>
    <font>
      <sz val="11"/>
      <color theme="1"/>
      <name val="Calibri"/>
      <family val="2"/>
      <scheme val="minor"/>
    </font>
    <font>
      <b/>
      <i/>
      <sz val="16"/>
      <color rgb="FF000000"/>
      <name val="Liberation Sans"/>
      <family val="2"/>
    </font>
    <font>
      <b/>
      <i/>
      <u/>
      <sz val="11"/>
      <color rgb="FF000000"/>
      <name val="Liberation Sans"/>
      <family val="2"/>
    </font>
    <font>
      <sz val="11"/>
      <color rgb="FF000000"/>
      <name val="Liberation Sans1"/>
    </font>
    <font>
      <b/>
      <sz val="11"/>
      <color rgb="FF000000"/>
      <name val="Liberation Sans"/>
      <family val="2"/>
    </font>
    <font>
      <u/>
      <sz val="11"/>
      <color rgb="FF000000"/>
      <name val="Liberation Sans"/>
      <family val="2"/>
    </font>
    <font>
      <sz val="14"/>
      <color rgb="FF000000"/>
      <name val="Liberation Sans1"/>
    </font>
    <font>
      <sz val="10"/>
      <color rgb="FF000000"/>
      <name val="Liberation Sans1"/>
    </font>
    <font>
      <sz val="14"/>
      <color rgb="FF000000"/>
      <name val="Liberation Sans"/>
      <family val="2"/>
    </font>
    <font>
      <i/>
      <sz val="11"/>
      <color rgb="FF000000"/>
      <name val="Liberation Sans"/>
      <family val="2"/>
    </font>
    <font>
      <sz val="11"/>
      <color rgb="FF000000"/>
      <name val="Liberation Sans"/>
      <family val="2"/>
    </font>
    <font>
      <sz val="11"/>
      <name val="Liberation Sans"/>
      <family val="2"/>
    </font>
    <font>
      <b/>
      <sz val="11"/>
      <name val="Liberation Sans"/>
      <family val="2"/>
    </font>
    <font>
      <sz val="9"/>
      <color indexed="81"/>
      <name val="Tahoma"/>
      <family val="2"/>
    </font>
    <font>
      <b/>
      <sz val="9"/>
      <color indexed="81"/>
      <name val="Tahoma"/>
      <family val="2"/>
    </font>
    <font>
      <sz val="10"/>
      <color rgb="FF000000"/>
      <name val="Liberation Sans"/>
      <family val="2"/>
    </font>
    <font>
      <b/>
      <u/>
      <sz val="11"/>
      <color rgb="FF000000"/>
      <name val="Liberation Sans"/>
      <family val="2"/>
    </font>
    <font>
      <u/>
      <sz val="11"/>
      <color theme="10"/>
      <name val="Liberation Sans"/>
      <family val="2"/>
    </font>
    <font>
      <u/>
      <sz val="11"/>
      <color theme="4"/>
      <name val="Liberation Sans"/>
      <family val="2"/>
    </font>
    <font>
      <b/>
      <sz val="11"/>
      <color rgb="FFFF0000"/>
      <name val="Liberation Sans"/>
      <family val="2"/>
    </font>
    <font>
      <u/>
      <sz val="10"/>
      <color rgb="FF000000"/>
      <name val="Liberation Sans"/>
      <family val="2"/>
    </font>
    <font>
      <sz val="11"/>
      <color rgb="FF000000"/>
      <name val="Calibri"/>
      <family val="2"/>
    </font>
    <font>
      <sz val="11"/>
      <color theme="0"/>
      <name val="Liberation Sans"/>
      <family val="2"/>
    </font>
    <font>
      <sz val="8"/>
      <color rgb="FF000000"/>
      <name val="Segoe UI"/>
      <family val="2"/>
    </font>
    <font>
      <sz val="11"/>
      <color rgb="FF000000"/>
      <name val="Liberation Sans"/>
      <family val="2"/>
    </font>
    <font>
      <b/>
      <sz val="11"/>
      <color rgb="FF000000"/>
      <name val="Liberation Sans"/>
      <family val="2"/>
    </font>
    <font>
      <b/>
      <u/>
      <sz val="11"/>
      <color rgb="FF000000"/>
      <name val="Liberation Sans"/>
      <family val="2"/>
    </font>
    <font>
      <sz val="11"/>
      <color rgb="FF000000"/>
      <name val="Liberation Sans1"/>
    </font>
    <font>
      <u/>
      <sz val="11"/>
      <color rgb="FF000000"/>
      <name val="Liberation Sans"/>
      <family val="2"/>
    </font>
    <font>
      <sz val="11"/>
      <color theme="0"/>
      <name val="Liberation Sans"/>
      <family val="2"/>
    </font>
    <font>
      <sz val="14"/>
      <color rgb="FF000000"/>
      <name val="Liberation Sans1"/>
    </font>
    <font>
      <sz val="10"/>
      <color rgb="FF000000"/>
      <name val="Liberation Sans1"/>
    </font>
    <font>
      <sz val="14"/>
      <color rgb="FF000000"/>
      <name val="Liberation Sans"/>
      <family val="2"/>
    </font>
    <font>
      <sz val="10"/>
      <color rgb="FF000000"/>
      <name val="Liberation Sans"/>
      <family val="2"/>
    </font>
    <font>
      <sz val="11"/>
      <name val="Liberation Sans"/>
      <family val="2"/>
    </font>
    <font>
      <b/>
      <sz val="11"/>
      <name val="Liberation Sans"/>
      <family val="2"/>
    </font>
    <font>
      <u/>
      <sz val="11"/>
      <color theme="10"/>
      <name val="Liberation Sans"/>
      <family val="2"/>
    </font>
    <font>
      <b/>
      <u/>
      <sz val="11"/>
      <color rgb="FFFF0000"/>
      <name val="Liberation Sans"/>
      <family val="2"/>
    </font>
    <font>
      <sz val="11"/>
      <color rgb="FF000000"/>
      <name val="Liberation Sans"/>
      <family val="2"/>
    </font>
    <font>
      <b/>
      <sz val="11"/>
      <color rgb="FF000000"/>
      <name val="Liberation Sans"/>
      <family val="2"/>
    </font>
    <font>
      <sz val="11"/>
      <color rgb="FFFF0000"/>
      <name val="Liberation Sans"/>
      <family val="2"/>
    </font>
    <font>
      <sz val="11"/>
      <name val="Liberation Sans"/>
      <family val="2"/>
    </font>
    <font>
      <sz val="11"/>
      <color rgb="FF000000"/>
      <name val="Liberation Sans"/>
      <family val="2"/>
    </font>
    <font>
      <u/>
      <sz val="11"/>
      <color theme="10"/>
      <name val="Liberation Sans"/>
      <family val="2"/>
    </font>
    <font>
      <sz val="11"/>
      <color theme="1"/>
      <name val="Liberation Sans"/>
      <family val="2"/>
    </font>
    <font>
      <u/>
      <sz val="11"/>
      <name val="Liberation Sans"/>
      <family val="2"/>
    </font>
    <font>
      <sz val="11"/>
      <name val="Liberation Sans1"/>
    </font>
  </fonts>
  <fills count="24">
    <fill>
      <patternFill patternType="none"/>
    </fill>
    <fill>
      <patternFill patternType="gray125"/>
    </fill>
    <fill>
      <patternFill patternType="solid">
        <fgColor theme="8" tint="0.79998168889431442"/>
        <bgColor indexed="64"/>
      </patternFill>
    </fill>
    <fill>
      <patternFill patternType="solid">
        <fgColor theme="7" tint="0.79998168889431442"/>
        <bgColor indexed="64"/>
      </patternFill>
    </fill>
    <fill>
      <patternFill patternType="solid">
        <fgColor theme="0"/>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theme="0" tint="-0.14999847407452621"/>
        <bgColor indexed="64"/>
      </patternFill>
    </fill>
    <fill>
      <patternFill patternType="solid">
        <fgColor theme="0" tint="-0.249977111117893"/>
        <bgColor indexed="64"/>
      </patternFill>
    </fill>
    <fill>
      <patternFill patternType="solid">
        <fgColor theme="7" tint="0.59999389629810485"/>
        <bgColor indexed="64"/>
      </patternFill>
    </fill>
    <fill>
      <patternFill patternType="solid">
        <fgColor theme="9" tint="0.79998168889431442"/>
        <bgColor indexed="64"/>
      </patternFill>
    </fill>
    <fill>
      <patternFill patternType="solid">
        <fgColor theme="9" tint="0.59999389629810485"/>
        <bgColor indexed="64"/>
      </patternFill>
    </fill>
    <fill>
      <patternFill patternType="solid">
        <fgColor theme="8" tint="0.59999389629810485"/>
        <bgColor indexed="64"/>
      </patternFill>
    </fill>
    <fill>
      <patternFill patternType="solid">
        <fgColor theme="7" tint="0.39997558519241921"/>
        <bgColor indexed="64"/>
      </patternFill>
    </fill>
    <fill>
      <patternFill patternType="solid">
        <fgColor theme="8" tint="0.39997558519241921"/>
        <bgColor indexed="64"/>
      </patternFill>
    </fill>
    <fill>
      <patternFill patternType="solid">
        <fgColor theme="9" tint="0.39997558519241921"/>
        <bgColor indexed="64"/>
      </patternFill>
    </fill>
    <fill>
      <patternFill patternType="solid">
        <fgColor theme="9" tint="-0.249977111117893"/>
        <bgColor indexed="64"/>
      </patternFill>
    </fill>
    <fill>
      <patternFill patternType="solid">
        <fgColor theme="4" tint="0.79998168889431442"/>
        <bgColor indexed="64"/>
      </patternFill>
    </fill>
    <fill>
      <patternFill patternType="solid">
        <fgColor theme="5" tint="0.59999389629810485"/>
        <bgColor indexed="64"/>
      </patternFill>
    </fill>
    <fill>
      <patternFill patternType="solid">
        <fgColor theme="7" tint="0.79998168889431442"/>
        <bgColor indexed="65"/>
      </patternFill>
    </fill>
    <fill>
      <patternFill patternType="solid">
        <fgColor theme="8" tint="0.79998168889431442"/>
        <bgColor indexed="65"/>
      </patternFill>
    </fill>
    <fill>
      <patternFill patternType="solid">
        <fgColor theme="9"/>
        <bgColor indexed="64"/>
      </patternFill>
    </fill>
    <fill>
      <patternFill patternType="solid">
        <fgColor theme="2"/>
        <bgColor indexed="64"/>
      </patternFill>
    </fill>
    <fill>
      <patternFill patternType="solid">
        <fgColor rgb="FFFF0000"/>
        <bgColor indexed="64"/>
      </patternFill>
    </fill>
  </fills>
  <borders count="42">
    <border>
      <left/>
      <right/>
      <top/>
      <bottom/>
      <diagonal/>
    </border>
    <border>
      <left style="thin">
        <color indexed="64"/>
      </left>
      <right style="thin">
        <color indexed="64"/>
      </right>
      <top style="thin">
        <color indexed="64"/>
      </top>
      <bottom style="thin">
        <color indexed="64"/>
      </bottom>
      <diagonal/>
    </border>
    <border>
      <left/>
      <right/>
      <top style="thin">
        <color indexed="64"/>
      </top>
      <bottom style="thin">
        <color indexed="64"/>
      </bottom>
      <diagonal/>
    </border>
    <border>
      <left/>
      <right style="thin">
        <color indexed="64"/>
      </right>
      <top/>
      <bottom/>
      <diagonal/>
    </border>
    <border>
      <left/>
      <right/>
      <top/>
      <bottom style="thin">
        <color auto="1"/>
      </bottom>
      <diagonal/>
    </border>
    <border>
      <left/>
      <right/>
      <top style="thin">
        <color indexed="64"/>
      </top>
      <bottom/>
      <diagonal/>
    </border>
    <border>
      <left/>
      <right style="thin">
        <color indexed="64"/>
      </right>
      <top/>
      <bottom style="thin">
        <color indexed="64"/>
      </bottom>
      <diagonal/>
    </border>
    <border>
      <left/>
      <right style="thin">
        <color indexed="64"/>
      </right>
      <top style="thin">
        <color indexed="64"/>
      </top>
      <bottom style="thin">
        <color indexed="64"/>
      </bottom>
      <diagonal/>
    </border>
    <border>
      <left/>
      <right/>
      <top/>
      <bottom style="medium">
        <color indexed="64"/>
      </bottom>
      <diagonal/>
    </border>
    <border>
      <left style="thin">
        <color indexed="64"/>
      </left>
      <right/>
      <top/>
      <bottom/>
      <diagonal/>
    </border>
    <border>
      <left style="thin">
        <color indexed="64"/>
      </left>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style="double">
        <color indexed="64"/>
      </left>
      <right/>
      <top style="double">
        <color indexed="64"/>
      </top>
      <bottom/>
      <diagonal/>
    </border>
    <border>
      <left/>
      <right/>
      <top style="double">
        <color indexed="64"/>
      </top>
      <bottom/>
      <diagonal/>
    </border>
    <border>
      <left/>
      <right style="double">
        <color indexed="64"/>
      </right>
      <top style="double">
        <color indexed="64"/>
      </top>
      <bottom/>
      <diagonal/>
    </border>
    <border>
      <left style="double">
        <color indexed="64"/>
      </left>
      <right/>
      <top/>
      <bottom style="double">
        <color indexed="64"/>
      </bottom>
      <diagonal/>
    </border>
    <border>
      <left/>
      <right/>
      <top/>
      <bottom style="double">
        <color indexed="64"/>
      </bottom>
      <diagonal/>
    </border>
    <border>
      <left/>
      <right style="double">
        <color indexed="64"/>
      </right>
      <top/>
      <bottom style="double">
        <color indexed="64"/>
      </bottom>
      <diagonal/>
    </border>
    <border>
      <left/>
      <right style="thin">
        <color indexed="64"/>
      </right>
      <top/>
      <bottom style="medium">
        <color indexed="64"/>
      </bottom>
      <diagonal/>
    </border>
    <border>
      <left style="thin">
        <color indexed="64"/>
      </left>
      <right/>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style="thin">
        <color indexed="64"/>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diagonal/>
    </border>
    <border>
      <left/>
      <right style="medium">
        <color indexed="64"/>
      </right>
      <top style="thin">
        <color indexed="64"/>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s>
  <cellStyleXfs count="8">
    <xf numFmtId="0" fontId="0" fillId="0" borderId="0"/>
    <xf numFmtId="0" fontId="2" fillId="0" borderId="0" applyNumberFormat="0" applyBorder="0" applyProtection="0">
      <alignment horizontal="center"/>
    </xf>
    <xf numFmtId="0" fontId="2" fillId="0" borderId="0" applyNumberFormat="0" applyBorder="0" applyProtection="0">
      <alignment horizontal="center" textRotation="90"/>
    </xf>
    <xf numFmtId="0" fontId="3" fillId="0" borderId="0" applyNumberFormat="0" applyBorder="0" applyProtection="0"/>
    <xf numFmtId="164" fontId="3" fillId="0" borderId="0" applyBorder="0" applyProtection="0"/>
    <xf numFmtId="0" fontId="18" fillId="0" borderId="0" applyNumberFormat="0" applyFill="0" applyBorder="0" applyAlignment="0" applyProtection="0"/>
    <xf numFmtId="0" fontId="1" fillId="19" borderId="0" applyNumberFormat="0" applyBorder="0" applyAlignment="0" applyProtection="0"/>
    <xf numFmtId="0" fontId="1" fillId="20" borderId="0" applyNumberFormat="0" applyBorder="0" applyAlignment="0" applyProtection="0"/>
  </cellStyleXfs>
  <cellXfs count="549">
    <xf numFmtId="0" fontId="0" fillId="0" borderId="0" xfId="0"/>
    <xf numFmtId="0" fontId="0" fillId="0" borderId="0" xfId="0" applyAlignment="1">
      <alignment horizontal="center"/>
    </xf>
    <xf numFmtId="0" fontId="4" fillId="0" borderId="0" xfId="0" applyFont="1"/>
    <xf numFmtId="0" fontId="0" fillId="0" borderId="0" xfId="0" applyAlignment="1">
      <alignment horizontal="left"/>
    </xf>
    <xf numFmtId="0" fontId="0" fillId="0" borderId="0" xfId="0" applyAlignment="1">
      <alignment horizontal="left" vertical="center"/>
    </xf>
    <xf numFmtId="0" fontId="0" fillId="4" borderId="0" xfId="0" applyFill="1" applyAlignment="1">
      <alignment horizontal="left" vertical="center"/>
    </xf>
    <xf numFmtId="0" fontId="4" fillId="4" borderId="0" xfId="0" applyFont="1" applyFill="1" applyAlignment="1">
      <alignment horizontal="left" vertical="center"/>
    </xf>
    <xf numFmtId="0" fontId="0" fillId="4" borderId="3" xfId="0" applyFill="1" applyBorder="1" applyAlignment="1">
      <alignment horizontal="left" vertical="center"/>
    </xf>
    <xf numFmtId="0" fontId="4" fillId="4" borderId="3" xfId="0" applyFont="1" applyFill="1" applyBorder="1" applyAlignment="1">
      <alignment horizontal="left" vertical="center"/>
    </xf>
    <xf numFmtId="0" fontId="0" fillId="0" borderId="0" xfId="0" applyAlignment="1">
      <alignment wrapText="1"/>
    </xf>
    <xf numFmtId="0" fontId="0" fillId="0" borderId="3" xfId="0" applyBorder="1" applyAlignment="1">
      <alignment horizontal="left" vertical="center"/>
    </xf>
    <xf numFmtId="0" fontId="0" fillId="0" borderId="6" xfId="0" applyBorder="1"/>
    <xf numFmtId="0" fontId="0" fillId="6" borderId="0" xfId="0" applyFill="1"/>
    <xf numFmtId="0" fontId="0" fillId="6" borderId="0" xfId="0" applyFill="1" applyAlignment="1">
      <alignment horizontal="center"/>
    </xf>
    <xf numFmtId="0" fontId="0" fillId="7" borderId="0" xfId="0" applyFill="1"/>
    <xf numFmtId="0" fontId="0" fillId="7" borderId="0" xfId="0" applyFill="1" applyAlignment="1">
      <alignment horizontal="center"/>
    </xf>
    <xf numFmtId="0" fontId="0" fillId="8" borderId="0" xfId="0" applyFill="1"/>
    <xf numFmtId="0" fontId="0" fillId="8" borderId="0" xfId="0" applyFill="1" applyAlignment="1">
      <alignment horizontal="center"/>
    </xf>
    <xf numFmtId="0" fontId="11" fillId="0" borderId="0" xfId="0" applyFont="1"/>
    <xf numFmtId="0" fontId="11" fillId="0" borderId="0" xfId="0" quotePrefix="1" applyFont="1"/>
    <xf numFmtId="0" fontId="0" fillId="4" borderId="4" xfId="0" applyFill="1" applyBorder="1" applyAlignment="1">
      <alignment horizontal="center"/>
    </xf>
    <xf numFmtId="0" fontId="0" fillId="4" borderId="0" xfId="0" applyFill="1" applyAlignment="1">
      <alignment horizontal="center"/>
    </xf>
    <xf numFmtId="0" fontId="11" fillId="4" borderId="4" xfId="0" applyFont="1" applyFill="1" applyBorder="1" applyAlignment="1">
      <alignment horizontal="center"/>
    </xf>
    <xf numFmtId="0" fontId="0" fillId="4" borderId="5" xfId="0" applyFill="1" applyBorder="1" applyAlignment="1">
      <alignment horizontal="left" vertical="center"/>
    </xf>
    <xf numFmtId="0" fontId="13" fillId="4" borderId="0" xfId="0" applyFont="1" applyFill="1" applyAlignment="1">
      <alignment horizontal="left" vertical="center"/>
    </xf>
    <xf numFmtId="0" fontId="5" fillId="4" borderId="4" xfId="0" applyFont="1" applyFill="1" applyBorder="1" applyAlignment="1">
      <alignment horizontal="center"/>
    </xf>
    <xf numFmtId="0" fontId="11" fillId="6" borderId="0" xfId="0" quotePrefix="1" applyFont="1" applyFill="1" applyAlignment="1">
      <alignment horizontal="left" vertical="center"/>
    </xf>
    <xf numFmtId="0" fontId="0" fillId="6" borderId="0" xfId="0" applyFill="1" applyAlignment="1">
      <alignment horizontal="left" vertical="center"/>
    </xf>
    <xf numFmtId="0" fontId="11" fillId="6" borderId="0" xfId="0" applyFont="1" applyFill="1"/>
    <xf numFmtId="0" fontId="11" fillId="7" borderId="0" xfId="0" applyFont="1" applyFill="1"/>
    <xf numFmtId="0" fontId="11" fillId="8" borderId="0" xfId="0" applyFont="1" applyFill="1"/>
    <xf numFmtId="0" fontId="0" fillId="0" borderId="4" xfId="0" applyBorder="1"/>
    <xf numFmtId="0" fontId="11" fillId="0" borderId="0" xfId="0" applyFont="1" applyAlignment="1">
      <alignment horizontal="right"/>
    </xf>
    <xf numFmtId="0" fontId="0" fillId="4" borderId="5" xfId="0" applyFill="1" applyBorder="1" applyAlignment="1">
      <alignment horizontal="center" vertical="center"/>
    </xf>
    <xf numFmtId="0" fontId="5" fillId="4" borderId="0" xfId="0" applyFont="1" applyFill="1" applyAlignment="1">
      <alignment horizontal="center" vertical="center"/>
    </xf>
    <xf numFmtId="0" fontId="12" fillId="4" borderId="0" xfId="0" applyFont="1" applyFill="1" applyAlignment="1">
      <alignment horizontal="left" vertical="center"/>
    </xf>
    <xf numFmtId="0" fontId="12" fillId="4" borderId="0" xfId="0" applyFont="1" applyFill="1" applyAlignment="1">
      <alignment horizontal="center" vertical="center"/>
    </xf>
    <xf numFmtId="0" fontId="0" fillId="4" borderId="0" xfId="0" applyFill="1" applyAlignment="1">
      <alignment horizontal="center" vertical="center"/>
    </xf>
    <xf numFmtId="0" fontId="5" fillId="4" borderId="5" xfId="0" applyFont="1" applyFill="1" applyBorder="1" applyAlignment="1">
      <alignment horizontal="center" vertical="center"/>
    </xf>
    <xf numFmtId="0" fontId="0" fillId="0" borderId="0" xfId="0" quotePrefix="1"/>
    <xf numFmtId="0" fontId="11" fillId="4" borderId="3" xfId="0" quotePrefix="1" applyFont="1" applyFill="1" applyBorder="1" applyAlignment="1">
      <alignment horizontal="right" vertical="center"/>
    </xf>
    <xf numFmtId="0" fontId="11" fillId="4" borderId="0" xfId="0" applyFont="1" applyFill="1" applyAlignment="1">
      <alignment horizontal="left" vertical="center"/>
    </xf>
    <xf numFmtId="0" fontId="0" fillId="4" borderId="0" xfId="0" applyFill="1" applyAlignment="1">
      <alignment horizontal="right" vertical="center"/>
    </xf>
    <xf numFmtId="0" fontId="12" fillId="4" borderId="3" xfId="0" applyFont="1" applyFill="1" applyBorder="1" applyAlignment="1">
      <alignment horizontal="left" vertical="center"/>
    </xf>
    <xf numFmtId="3" fontId="11" fillId="0" borderId="4" xfId="0" applyNumberFormat="1" applyFont="1" applyBorder="1" applyAlignment="1">
      <alignment horizontal="center" vertical="center"/>
    </xf>
    <xf numFmtId="0" fontId="11" fillId="0" borderId="4" xfId="0" applyFont="1" applyBorder="1" applyAlignment="1">
      <alignment horizontal="center" vertical="center"/>
    </xf>
    <xf numFmtId="0" fontId="0" fillId="6" borderId="0" xfId="0" quotePrefix="1" applyFill="1" applyAlignment="1">
      <alignment horizontal="center"/>
    </xf>
    <xf numFmtId="0" fontId="0" fillId="5" borderId="0" xfId="0" quotePrefix="1" applyFill="1" applyAlignment="1">
      <alignment horizontal="center"/>
    </xf>
    <xf numFmtId="0" fontId="0" fillId="5" borderId="0" xfId="0" applyFill="1" applyAlignment="1">
      <alignment horizontal="center"/>
    </xf>
    <xf numFmtId="0" fontId="11" fillId="8" borderId="0" xfId="0" quotePrefix="1" applyFont="1" applyFill="1"/>
    <xf numFmtId="0" fontId="11" fillId="4" borderId="0" xfId="0" quotePrefix="1" applyFont="1" applyFill="1" applyAlignment="1">
      <alignment horizontal="right" vertical="center"/>
    </xf>
    <xf numFmtId="0" fontId="11" fillId="4" borderId="14" xfId="0" applyFont="1" applyFill="1" applyBorder="1" applyAlignment="1">
      <alignment horizontal="left" vertical="center"/>
    </xf>
    <xf numFmtId="0" fontId="0" fillId="4" borderId="15" xfId="0" applyFill="1" applyBorder="1" applyAlignment="1">
      <alignment horizontal="left" vertical="center"/>
    </xf>
    <xf numFmtId="0" fontId="0" fillId="4" borderId="16" xfId="0" applyFill="1" applyBorder="1" applyAlignment="1">
      <alignment horizontal="left" vertical="center"/>
    </xf>
    <xf numFmtId="0" fontId="0" fillId="4" borderId="17" xfId="0" applyFill="1" applyBorder="1" applyAlignment="1">
      <alignment horizontal="left" vertical="center"/>
    </xf>
    <xf numFmtId="0" fontId="0" fillId="4" borderId="18" xfId="0" applyFill="1" applyBorder="1" applyAlignment="1">
      <alignment horizontal="left" vertical="center"/>
    </xf>
    <xf numFmtId="0" fontId="0" fillId="4" borderId="19" xfId="0" applyFill="1" applyBorder="1" applyAlignment="1">
      <alignment horizontal="left" vertical="center"/>
    </xf>
    <xf numFmtId="0" fontId="0" fillId="4" borderId="8" xfId="0" applyFill="1" applyBorder="1" applyAlignment="1">
      <alignment horizontal="left" vertical="center"/>
    </xf>
    <xf numFmtId="0" fontId="0" fillId="4" borderId="20" xfId="0" applyFill="1" applyBorder="1" applyAlignment="1">
      <alignment horizontal="left" vertical="center"/>
    </xf>
    <xf numFmtId="0" fontId="5" fillId="4" borderId="14" xfId="0" applyFont="1" applyFill="1" applyBorder="1" applyAlignment="1">
      <alignment horizontal="left" vertical="center"/>
    </xf>
    <xf numFmtId="0" fontId="11" fillId="3" borderId="4" xfId="0" applyFont="1" applyFill="1" applyBorder="1" applyAlignment="1" applyProtection="1">
      <alignment horizontal="center" vertical="center"/>
      <protection locked="0"/>
    </xf>
    <xf numFmtId="3" fontId="11" fillId="3" borderId="4" xfId="0" applyNumberFormat="1" applyFont="1" applyFill="1" applyBorder="1" applyAlignment="1" applyProtection="1">
      <alignment horizontal="center" vertical="center"/>
      <protection locked="0"/>
    </xf>
    <xf numFmtId="166" fontId="11" fillId="2" borderId="0" xfId="0" applyNumberFormat="1" applyFont="1" applyFill="1" applyAlignment="1" applyProtection="1">
      <alignment horizontal="left" vertical="center"/>
      <protection locked="0"/>
    </xf>
    <xf numFmtId="166" fontId="0" fillId="2" borderId="0" xfId="0" applyNumberFormat="1" applyFill="1" applyAlignment="1" applyProtection="1">
      <alignment horizontal="left" vertical="center"/>
      <protection locked="0"/>
    </xf>
    <xf numFmtId="0" fontId="4" fillId="4" borderId="0" xfId="0" applyFont="1" applyFill="1" applyAlignment="1">
      <alignment horizontal="center" vertical="center"/>
    </xf>
    <xf numFmtId="0" fontId="11" fillId="4" borderId="3" xfId="0" applyFont="1" applyFill="1" applyBorder="1" applyAlignment="1">
      <alignment horizontal="left" vertical="center"/>
    </xf>
    <xf numFmtId="0" fontId="11" fillId="4" borderId="0" xfId="0" applyFont="1" applyFill="1" applyAlignment="1">
      <alignment horizontal="right" vertical="center"/>
    </xf>
    <xf numFmtId="0" fontId="4" fillId="4" borderId="3" xfId="0" applyFont="1" applyFill="1" applyBorder="1" applyAlignment="1">
      <alignment horizontal="center" vertical="center"/>
    </xf>
    <xf numFmtId="0" fontId="0" fillId="4" borderId="3" xfId="0" applyFill="1" applyBorder="1" applyAlignment="1">
      <alignment horizontal="center" vertical="center"/>
    </xf>
    <xf numFmtId="0" fontId="0" fillId="4" borderId="14" xfId="0" applyFill="1" applyBorder="1" applyAlignment="1">
      <alignment horizontal="left" vertical="center"/>
    </xf>
    <xf numFmtId="166" fontId="0" fillId="2" borderId="0" xfId="0" applyNumberFormat="1" applyFill="1" applyAlignment="1" applyProtection="1">
      <alignment horizontal="center" vertical="center"/>
      <protection locked="0"/>
    </xf>
    <xf numFmtId="0" fontId="11" fillId="4" borderId="8" xfId="0" applyFont="1" applyFill="1" applyBorder="1" applyAlignment="1">
      <alignment horizontal="left" vertical="center"/>
    </xf>
    <xf numFmtId="0" fontId="0" fillId="6" borderId="0" xfId="0" quotePrefix="1" applyFill="1"/>
    <xf numFmtId="166" fontId="0" fillId="2" borderId="0" xfId="0" applyNumberFormat="1" applyFill="1" applyAlignment="1">
      <alignment horizontal="left" vertical="center"/>
    </xf>
    <xf numFmtId="0" fontId="11" fillId="0" borderId="0" xfId="0" applyFont="1" applyAlignment="1">
      <alignment horizontal="center"/>
    </xf>
    <xf numFmtId="0" fontId="11" fillId="6" borderId="5" xfId="0" applyFont="1" applyFill="1" applyBorder="1"/>
    <xf numFmtId="0" fontId="11" fillId="6" borderId="12" xfId="0" applyFont="1" applyFill="1" applyBorder="1"/>
    <xf numFmtId="0" fontId="11" fillId="0" borderId="9" xfId="0" quotePrefix="1" applyFont="1" applyBorder="1" applyAlignment="1">
      <alignment horizontal="right"/>
    </xf>
    <xf numFmtId="0" fontId="0" fillId="0" borderId="3" xfId="0" applyBorder="1"/>
    <xf numFmtId="0" fontId="11" fillId="0" borderId="13" xfId="0" quotePrefix="1" applyFont="1" applyBorder="1" applyAlignment="1">
      <alignment horizontal="right"/>
    </xf>
    <xf numFmtId="0" fontId="11" fillId="6" borderId="11" xfId="0" applyFont="1" applyFill="1" applyBorder="1"/>
    <xf numFmtId="0" fontId="11" fillId="0" borderId="0" xfId="0" quotePrefix="1" applyFont="1" applyAlignment="1">
      <alignment horizontal="center"/>
    </xf>
    <xf numFmtId="0" fontId="11" fillId="0" borderId="0" xfId="0" applyFont="1" applyAlignment="1">
      <alignment horizontal="left"/>
    </xf>
    <xf numFmtId="0" fontId="11" fillId="0" borderId="0" xfId="0" applyFont="1" applyAlignment="1">
      <alignment horizontal="center" wrapText="1"/>
    </xf>
    <xf numFmtId="0" fontId="23" fillId="4" borderId="0" xfId="0" applyFont="1" applyFill="1" applyAlignment="1">
      <alignment horizontal="left" vertical="center"/>
    </xf>
    <xf numFmtId="0" fontId="17" fillId="4" borderId="0" xfId="0" applyFont="1" applyFill="1" applyAlignment="1">
      <alignment horizontal="left" vertical="center"/>
    </xf>
    <xf numFmtId="0" fontId="5" fillId="4" borderId="0" xfId="0" applyFont="1" applyFill="1" applyAlignment="1">
      <alignment horizontal="left" vertical="center"/>
    </xf>
    <xf numFmtId="0" fontId="19" fillId="4" borderId="14" xfId="0" applyFont="1" applyFill="1" applyBorder="1" applyAlignment="1" applyProtection="1">
      <alignment vertical="center" wrapText="1"/>
      <protection locked="0"/>
    </xf>
    <xf numFmtId="0" fontId="19" fillId="4" borderId="15" xfId="0" applyFont="1" applyFill="1" applyBorder="1" applyAlignment="1" applyProtection="1">
      <alignment vertical="center" wrapText="1"/>
      <protection locked="0"/>
    </xf>
    <xf numFmtId="0" fontId="19" fillId="4" borderId="16" xfId="0" applyFont="1" applyFill="1" applyBorder="1" applyAlignment="1" applyProtection="1">
      <alignment vertical="center" wrapText="1"/>
      <protection locked="0"/>
    </xf>
    <xf numFmtId="0" fontId="19" fillId="4" borderId="19" xfId="0" applyFont="1" applyFill="1" applyBorder="1" applyAlignment="1" applyProtection="1">
      <alignment vertical="center" wrapText="1"/>
      <protection locked="0"/>
    </xf>
    <xf numFmtId="0" fontId="19" fillId="4" borderId="8" xfId="0" applyFont="1" applyFill="1" applyBorder="1" applyAlignment="1" applyProtection="1">
      <alignment vertical="center" wrapText="1"/>
      <protection locked="0"/>
    </xf>
    <xf numFmtId="0" fontId="19" fillId="4" borderId="20" xfId="0" applyFont="1" applyFill="1" applyBorder="1" applyAlignment="1" applyProtection="1">
      <alignment vertical="center" wrapText="1"/>
      <protection locked="0"/>
    </xf>
    <xf numFmtId="0" fontId="25" fillId="4" borderId="0" xfId="0" applyFont="1" applyFill="1" applyAlignment="1">
      <alignment horizontal="left" vertical="center"/>
    </xf>
    <xf numFmtId="0" fontId="25" fillId="0" borderId="0" xfId="0" applyFont="1" applyAlignment="1">
      <alignment horizontal="left" vertical="center"/>
    </xf>
    <xf numFmtId="0" fontId="26" fillId="4" borderId="9" xfId="0" applyFont="1" applyFill="1" applyBorder="1" applyAlignment="1">
      <alignment horizontal="left" vertical="center"/>
    </xf>
    <xf numFmtId="0" fontId="25" fillId="4" borderId="3" xfId="0" applyFont="1" applyFill="1" applyBorder="1" applyAlignment="1">
      <alignment horizontal="left" vertical="center"/>
    </xf>
    <xf numFmtId="0" fontId="27" fillId="4" borderId="0" xfId="0" applyFont="1" applyFill="1" applyAlignment="1">
      <alignment horizontal="left" vertical="center"/>
    </xf>
    <xf numFmtId="0" fontId="28" fillId="4" borderId="0" xfId="0" applyFont="1" applyFill="1" applyAlignment="1">
      <alignment horizontal="left" vertical="center"/>
    </xf>
    <xf numFmtId="0" fontId="25" fillId="4" borderId="0" xfId="0" applyFont="1" applyFill="1" applyAlignment="1">
      <alignment horizontal="right" vertical="center"/>
    </xf>
    <xf numFmtId="0" fontId="26" fillId="4" borderId="0" xfId="0" applyFont="1" applyFill="1" applyAlignment="1">
      <alignment horizontal="center" vertical="center"/>
    </xf>
    <xf numFmtId="0" fontId="28" fillId="4" borderId="3" xfId="0" applyFont="1" applyFill="1" applyBorder="1" applyAlignment="1">
      <alignment horizontal="left" vertical="center"/>
    </xf>
    <xf numFmtId="0" fontId="25" fillId="4" borderId="0" xfId="0" applyFont="1" applyFill="1" applyAlignment="1">
      <alignment horizontal="center" vertical="center"/>
    </xf>
    <xf numFmtId="0" fontId="25" fillId="4" borderId="0" xfId="0" quotePrefix="1" applyFont="1" applyFill="1" applyAlignment="1">
      <alignment horizontal="center" vertical="center"/>
    </xf>
    <xf numFmtId="0" fontId="30" fillId="4" borderId="0" xfId="0" applyFont="1" applyFill="1" applyAlignment="1">
      <alignment horizontal="left" vertical="center"/>
    </xf>
    <xf numFmtId="0" fontId="25" fillId="0" borderId="0" xfId="0" applyFont="1" applyAlignment="1">
      <alignment horizontal="center" vertical="center"/>
    </xf>
    <xf numFmtId="0" fontId="25" fillId="5" borderId="0" xfId="0" applyFont="1" applyFill="1" applyAlignment="1">
      <alignment horizontal="center" vertical="center"/>
    </xf>
    <xf numFmtId="0" fontId="25" fillId="5" borderId="0" xfId="0" applyFont="1" applyFill="1" applyAlignment="1">
      <alignment horizontal="left" vertical="center"/>
    </xf>
    <xf numFmtId="0" fontId="26" fillId="4" borderId="5" xfId="0" applyFont="1" applyFill="1" applyBorder="1" applyAlignment="1">
      <alignment horizontal="center" vertical="center"/>
    </xf>
    <xf numFmtId="0" fontId="29" fillId="4" borderId="0" xfId="0" quotePrefix="1" applyFont="1" applyFill="1" applyAlignment="1">
      <alignment horizontal="left" vertical="center"/>
    </xf>
    <xf numFmtId="0" fontId="35" fillId="4" borderId="0" xfId="0" applyFont="1" applyFill="1" applyAlignment="1">
      <alignment horizontal="center" vertical="center"/>
    </xf>
    <xf numFmtId="0" fontId="35" fillId="4" borderId="0" xfId="0" applyFont="1" applyFill="1" applyAlignment="1">
      <alignment horizontal="left" vertical="center"/>
    </xf>
    <xf numFmtId="0" fontId="36" fillId="4" borderId="0" xfId="0" applyFont="1" applyFill="1" applyAlignment="1">
      <alignment horizontal="left" vertical="center"/>
    </xf>
    <xf numFmtId="0" fontId="35" fillId="4" borderId="3" xfId="0" applyFont="1" applyFill="1" applyBorder="1" applyAlignment="1">
      <alignment horizontal="left" vertical="center"/>
    </xf>
    <xf numFmtId="0" fontId="25" fillId="4" borderId="4" xfId="0" applyFont="1" applyFill="1" applyBorder="1" applyAlignment="1">
      <alignment horizontal="center"/>
    </xf>
    <xf numFmtId="0" fontId="26" fillId="4" borderId="4" xfId="0" applyFont="1" applyFill="1" applyBorder="1" applyAlignment="1">
      <alignment horizontal="center"/>
    </xf>
    <xf numFmtId="0" fontId="25" fillId="4" borderId="0" xfId="0" applyFont="1" applyFill="1" applyAlignment="1">
      <alignment horizontal="center"/>
    </xf>
    <xf numFmtId="0" fontId="25" fillId="2" borderId="0" xfId="0" quotePrefix="1" applyFont="1" applyFill="1" applyAlignment="1">
      <alignment horizontal="left" vertical="center"/>
    </xf>
    <xf numFmtId="0" fontId="25" fillId="2" borderId="0" xfId="0" applyFont="1" applyFill="1" applyAlignment="1">
      <alignment horizontal="left" vertical="center"/>
    </xf>
    <xf numFmtId="0" fontId="25" fillId="6" borderId="0" xfId="0" applyFont="1" applyFill="1" applyAlignment="1">
      <alignment horizontal="left" vertical="center"/>
    </xf>
    <xf numFmtId="0" fontId="28" fillId="4" borderId="0" xfId="0" applyFont="1" applyFill="1" applyAlignment="1">
      <alignment horizontal="center" vertical="center"/>
    </xf>
    <xf numFmtId="0" fontId="25" fillId="4" borderId="9" xfId="0" applyFont="1" applyFill="1" applyBorder="1" applyAlignment="1">
      <alignment horizontal="left" vertical="center"/>
    </xf>
    <xf numFmtId="0" fontId="25" fillId="4" borderId="3" xfId="0" applyFont="1" applyFill="1" applyBorder="1" applyAlignment="1">
      <alignment horizontal="center" vertical="center"/>
    </xf>
    <xf numFmtId="0" fontId="25" fillId="0" borderId="3" xfId="0" applyFont="1" applyBorder="1" applyAlignment="1">
      <alignment horizontal="left" vertical="center"/>
    </xf>
    <xf numFmtId="0" fontId="25" fillId="4" borderId="5" xfId="0" applyFont="1" applyFill="1" applyBorder="1" applyAlignment="1">
      <alignment horizontal="center" vertical="center"/>
    </xf>
    <xf numFmtId="0" fontId="25" fillId="4" borderId="5" xfId="0" applyFont="1" applyFill="1" applyBorder="1" applyAlignment="1">
      <alignment horizontal="left" vertical="center"/>
    </xf>
    <xf numFmtId="3" fontId="0" fillId="0" borderId="0" xfId="0" applyNumberFormat="1"/>
    <xf numFmtId="166" fontId="0" fillId="17" borderId="19" xfId="0" applyNumberFormat="1" applyFill="1" applyBorder="1" applyAlignment="1" applyProtection="1">
      <alignment horizontal="left" vertical="center"/>
      <protection locked="0"/>
    </xf>
    <xf numFmtId="0" fontId="38" fillId="0" borderId="0" xfId="0" applyFont="1"/>
    <xf numFmtId="0" fontId="39" fillId="0" borderId="0" xfId="0" applyFont="1"/>
    <xf numFmtId="0" fontId="39" fillId="0" borderId="0" xfId="0" applyFont="1" applyAlignment="1">
      <alignment horizontal="center"/>
    </xf>
    <xf numFmtId="0" fontId="39" fillId="0" borderId="0" xfId="0" applyFont="1" applyAlignment="1">
      <alignment horizontal="center" vertical="top"/>
    </xf>
    <xf numFmtId="0" fontId="39" fillId="0" borderId="0" xfId="0" applyFont="1" applyAlignment="1">
      <alignment horizontal="center" vertical="top" wrapText="1"/>
    </xf>
    <xf numFmtId="0" fontId="39" fillId="2" borderId="0" xfId="0" applyFont="1" applyFill="1" applyAlignment="1">
      <alignment horizontal="center" vertical="top" wrapText="1"/>
    </xf>
    <xf numFmtId="0" fontId="39" fillId="3" borderId="0" xfId="0" applyFont="1" applyFill="1" applyAlignment="1">
      <alignment horizontal="center" vertical="top" wrapText="1"/>
    </xf>
    <xf numFmtId="0" fontId="39" fillId="6" borderId="0" xfId="0" applyFont="1" applyFill="1" applyAlignment="1">
      <alignment horizontal="center" vertical="top" wrapText="1"/>
    </xf>
    <xf numFmtId="0" fontId="39" fillId="5" borderId="0" xfId="0" applyFont="1" applyFill="1" applyAlignment="1" applyProtection="1">
      <alignment horizontal="center" vertical="top" wrapText="1"/>
      <protection locked="0"/>
    </xf>
    <xf numFmtId="0" fontId="39" fillId="10" borderId="0" xfId="0" applyFont="1" applyFill="1" applyAlignment="1">
      <alignment horizontal="center" vertical="top" wrapText="1"/>
    </xf>
    <xf numFmtId="0" fontId="39" fillId="13" borderId="0" xfId="0" applyFont="1" applyFill="1" applyAlignment="1">
      <alignment textRotation="90"/>
    </xf>
    <xf numFmtId="0" fontId="39" fillId="16" borderId="0" xfId="0" applyFont="1" applyFill="1" applyAlignment="1">
      <alignment textRotation="90"/>
    </xf>
    <xf numFmtId="0" fontId="40" fillId="0" borderId="0" xfId="0" applyFont="1"/>
    <xf numFmtId="0" fontId="40" fillId="0" borderId="0" xfId="0" applyFont="1" applyAlignment="1">
      <alignment horizontal="center"/>
    </xf>
    <xf numFmtId="0" fontId="39" fillId="2" borderId="0" xfId="0" applyFont="1" applyFill="1" applyAlignment="1">
      <alignment horizontal="center"/>
    </xf>
    <xf numFmtId="0" fontId="39" fillId="3" borderId="0" xfId="0" applyFont="1" applyFill="1" applyAlignment="1">
      <alignment horizontal="center"/>
    </xf>
    <xf numFmtId="0" fontId="39" fillId="6" borderId="0" xfId="0" applyFont="1" applyFill="1" applyAlignment="1">
      <alignment horizontal="center"/>
    </xf>
    <xf numFmtId="0" fontId="39" fillId="5" borderId="0" xfId="0" applyFont="1" applyFill="1" applyAlignment="1" applyProtection="1">
      <alignment horizontal="center"/>
      <protection locked="0"/>
    </xf>
    <xf numFmtId="0" fontId="39" fillId="10" borderId="0" xfId="0" applyFont="1" applyFill="1" applyAlignment="1">
      <alignment horizontal="center"/>
    </xf>
    <xf numFmtId="0" fontId="39" fillId="3" borderId="0" xfId="0" applyFont="1" applyFill="1"/>
    <xf numFmtId="0" fontId="39" fillId="10" borderId="0" xfId="0" applyFont="1" applyFill="1" applyAlignment="1">
      <alignment wrapText="1"/>
    </xf>
    <xf numFmtId="0" fontId="39" fillId="10" borderId="0" xfId="0" applyFont="1" applyFill="1"/>
    <xf numFmtId="0" fontId="39" fillId="11" borderId="0" xfId="0" applyFont="1" applyFill="1"/>
    <xf numFmtId="0" fontId="39" fillId="13" borderId="0" xfId="0" applyFont="1" applyFill="1"/>
    <xf numFmtId="0" fontId="39" fillId="0" borderId="0" xfId="0" applyFont="1" applyAlignment="1" applyProtection="1">
      <alignment horizontal="center"/>
      <protection locked="0"/>
    </xf>
    <xf numFmtId="3" fontId="39" fillId="6" borderId="0" xfId="0" applyNumberFormat="1" applyFont="1" applyFill="1" applyAlignment="1">
      <alignment horizontal="center"/>
    </xf>
    <xf numFmtId="3" fontId="39" fillId="10" borderId="0" xfId="0" applyNumberFormat="1" applyFont="1" applyFill="1" applyAlignment="1">
      <alignment horizontal="center"/>
    </xf>
    <xf numFmtId="0" fontId="39" fillId="6" borderId="0" xfId="0" applyFont="1" applyFill="1"/>
    <xf numFmtId="0" fontId="39" fillId="12" borderId="0" xfId="0" applyFont="1" applyFill="1" applyAlignment="1">
      <alignment horizontal="center"/>
    </xf>
    <xf numFmtId="0" fontId="39" fillId="12" borderId="0" xfId="0" applyFont="1" applyFill="1"/>
    <xf numFmtId="0" fontId="39" fillId="9" borderId="0" xfId="0" applyFont="1" applyFill="1" applyAlignment="1">
      <alignment horizontal="center"/>
    </xf>
    <xf numFmtId="0" fontId="39" fillId="7" borderId="0" xfId="0" applyFont="1" applyFill="1" applyAlignment="1">
      <alignment horizontal="center"/>
    </xf>
    <xf numFmtId="3" fontId="39" fillId="7" borderId="0" xfId="0" applyNumberFormat="1" applyFont="1" applyFill="1" applyAlignment="1">
      <alignment horizontal="center"/>
    </xf>
    <xf numFmtId="0" fontId="39" fillId="2" borderId="0" xfId="0" applyFont="1" applyFill="1"/>
    <xf numFmtId="0" fontId="39" fillId="7" borderId="0" xfId="0" applyFont="1" applyFill="1"/>
    <xf numFmtId="0" fontId="39" fillId="14" borderId="0" xfId="0" applyFont="1" applyFill="1" applyAlignment="1">
      <alignment horizontal="center"/>
    </xf>
    <xf numFmtId="0" fontId="39" fillId="15" borderId="0" xfId="0" applyFont="1" applyFill="1"/>
    <xf numFmtId="0" fontId="39" fillId="13" borderId="0" xfId="0" applyFont="1" applyFill="1" applyAlignment="1">
      <alignment horizontal="center"/>
    </xf>
    <xf numFmtId="0" fontId="39" fillId="0" borderId="0" xfId="0" applyFont="1" applyAlignment="1">
      <alignment horizontal="center" vertical="center"/>
    </xf>
    <xf numFmtId="0" fontId="40" fillId="0" borderId="0" xfId="0" applyFont="1" applyProtection="1">
      <protection locked="0"/>
    </xf>
    <xf numFmtId="0" fontId="40" fillId="0" borderId="0" xfId="0" applyFont="1" applyAlignment="1" applyProtection="1">
      <alignment horizontal="center"/>
      <protection locked="0"/>
    </xf>
    <xf numFmtId="0" fontId="39" fillId="0" borderId="0" xfId="0" applyFont="1" applyAlignment="1">
      <alignment wrapText="1"/>
    </xf>
    <xf numFmtId="0" fontId="39" fillId="2" borderId="0" xfId="0" quotePrefix="1" applyFont="1" applyFill="1" applyAlignment="1">
      <alignment horizontal="center"/>
    </xf>
    <xf numFmtId="0" fontId="39" fillId="0" borderId="0" xfId="0" applyFont="1" applyProtection="1">
      <protection locked="0"/>
    </xf>
    <xf numFmtId="0" fontId="39" fillId="6" borderId="0" xfId="0" applyFont="1" applyFill="1" applyAlignment="1" applyProtection="1">
      <alignment horizontal="center"/>
      <protection locked="0"/>
    </xf>
    <xf numFmtId="0" fontId="41" fillId="0" borderId="0" xfId="0" applyFont="1" applyAlignment="1">
      <alignment horizontal="center"/>
    </xf>
    <xf numFmtId="0" fontId="41" fillId="0" borderId="0" xfId="0" applyFont="1" applyAlignment="1" applyProtection="1">
      <alignment horizontal="center"/>
      <protection locked="0"/>
    </xf>
    <xf numFmtId="165" fontId="39" fillId="0" borderId="11" xfId="0" applyNumberFormat="1" applyFont="1" applyBorder="1"/>
    <xf numFmtId="0" fontId="39" fillId="0" borderId="5" xfId="0" applyFont="1" applyBorder="1"/>
    <xf numFmtId="0" fontId="39" fillId="0" borderId="5" xfId="0" applyFont="1" applyBorder="1" applyAlignment="1">
      <alignment horizontal="center"/>
    </xf>
    <xf numFmtId="0" fontId="39" fillId="2" borderId="12" xfId="0" applyFont="1" applyFill="1" applyBorder="1" applyAlignment="1">
      <alignment horizontal="center"/>
    </xf>
    <xf numFmtId="165" fontId="39" fillId="0" borderId="9" xfId="0" applyNumberFormat="1" applyFont="1" applyBorder="1"/>
    <xf numFmtId="0" fontId="39" fillId="2" borderId="3" xfId="0" applyFont="1" applyFill="1" applyBorder="1" applyAlignment="1">
      <alignment horizontal="center"/>
    </xf>
    <xf numFmtId="0" fontId="39" fillId="0" borderId="4" xfId="0" applyFont="1" applyBorder="1"/>
    <xf numFmtId="0" fontId="39" fillId="0" borderId="4" xfId="0" applyFont="1" applyBorder="1" applyAlignment="1">
      <alignment horizontal="center"/>
    </xf>
    <xf numFmtId="0" fontId="39" fillId="2" borderId="6" xfId="0" applyFont="1" applyFill="1" applyBorder="1" applyAlignment="1">
      <alignment horizontal="center"/>
    </xf>
    <xf numFmtId="0" fontId="39" fillId="0" borderId="11" xfId="0" applyFont="1" applyBorder="1" applyAlignment="1">
      <alignment horizontal="center"/>
    </xf>
    <xf numFmtId="0" fontId="39" fillId="3" borderId="5" xfId="0" applyFont="1" applyFill="1" applyBorder="1" applyAlignment="1">
      <alignment horizontal="center"/>
    </xf>
    <xf numFmtId="0" fontId="39" fillId="0" borderId="5" xfId="0" applyFont="1" applyBorder="1" applyAlignment="1" applyProtection="1">
      <alignment horizontal="center"/>
      <protection locked="0"/>
    </xf>
    <xf numFmtId="0" fontId="39" fillId="10" borderId="5" xfId="0" applyFont="1" applyFill="1" applyBorder="1"/>
    <xf numFmtId="0" fontId="39" fillId="0" borderId="13" xfId="0" applyFont="1" applyBorder="1" applyAlignment="1">
      <alignment horizontal="center"/>
    </xf>
    <xf numFmtId="0" fontId="39" fillId="0" borderId="4" xfId="0" applyFont="1" applyBorder="1" applyAlignment="1" applyProtection="1">
      <alignment horizontal="center"/>
      <protection locked="0"/>
    </xf>
    <xf numFmtId="0" fontId="39" fillId="10" borderId="4" xfId="0" applyFont="1" applyFill="1" applyBorder="1"/>
    <xf numFmtId="0" fontId="39" fillId="5" borderId="0" xfId="0" applyFont="1" applyFill="1" applyProtection="1">
      <protection locked="0"/>
    </xf>
    <xf numFmtId="0" fontId="39" fillId="2" borderId="5" xfId="0" applyFont="1" applyFill="1" applyBorder="1"/>
    <xf numFmtId="0" fontId="39" fillId="2" borderId="5" xfId="0" applyFont="1" applyFill="1" applyBorder="1" applyAlignment="1">
      <alignment horizontal="center"/>
    </xf>
    <xf numFmtId="0" fontId="39" fillId="6" borderId="5" xfId="0" applyFont="1" applyFill="1" applyBorder="1" applyAlignment="1">
      <alignment horizontal="center"/>
    </xf>
    <xf numFmtId="0" fontId="39" fillId="5" borderId="5" xfId="0" applyFont="1" applyFill="1" applyBorder="1" applyAlignment="1" applyProtection="1">
      <alignment horizontal="center"/>
      <protection locked="0"/>
    </xf>
    <xf numFmtId="0" fontId="39" fillId="10" borderId="5" xfId="0" applyFont="1" applyFill="1" applyBorder="1" applyAlignment="1">
      <alignment horizontal="center"/>
    </xf>
    <xf numFmtId="0" fontId="42" fillId="6" borderId="0" xfId="0" applyFont="1" applyFill="1" applyAlignment="1">
      <alignment horizontal="center"/>
    </xf>
    <xf numFmtId="0" fontId="43" fillId="4" borderId="0" xfId="0" applyFont="1" applyFill="1"/>
    <xf numFmtId="0" fontId="43" fillId="4" borderId="0" xfId="0" applyFont="1" applyFill="1" applyAlignment="1">
      <alignment horizontal="right"/>
    </xf>
    <xf numFmtId="0" fontId="43" fillId="0" borderId="0" xfId="0" applyFont="1"/>
    <xf numFmtId="0" fontId="43" fillId="4" borderId="0" xfId="0" applyFont="1" applyFill="1" applyAlignment="1">
      <alignment horizontal="left"/>
    </xf>
    <xf numFmtId="0" fontId="43" fillId="17" borderId="1" xfId="0" applyFont="1" applyFill="1" applyBorder="1" applyProtection="1">
      <protection locked="0"/>
    </xf>
    <xf numFmtId="0" fontId="43" fillId="3" borderId="1" xfId="0" applyFont="1" applyFill="1" applyBorder="1" applyProtection="1">
      <protection locked="0"/>
    </xf>
    <xf numFmtId="0" fontId="43" fillId="4" borderId="1" xfId="0" applyFont="1" applyFill="1" applyBorder="1" applyProtection="1">
      <protection locked="0"/>
    </xf>
    <xf numFmtId="0" fontId="43" fillId="2" borderId="1" xfId="0" applyFont="1" applyFill="1" applyBorder="1" applyProtection="1">
      <protection locked="0"/>
    </xf>
    <xf numFmtId="0" fontId="43" fillId="0" borderId="2" xfId="0" applyFont="1" applyBorder="1"/>
    <xf numFmtId="0" fontId="43" fillId="0" borderId="7" xfId="0" applyFont="1" applyBorder="1"/>
    <xf numFmtId="0" fontId="44" fillId="4" borderId="0" xfId="5" applyFont="1" applyFill="1"/>
    <xf numFmtId="0" fontId="44" fillId="0" borderId="0" xfId="5" applyFont="1" applyProtection="1">
      <protection locked="0"/>
    </xf>
    <xf numFmtId="0" fontId="43" fillId="4" borderId="0" xfId="0" applyFont="1" applyFill="1" applyProtection="1">
      <protection locked="0"/>
    </xf>
    <xf numFmtId="0" fontId="11" fillId="4" borderId="29" xfId="0" applyFont="1" applyFill="1" applyBorder="1" applyAlignment="1">
      <alignment horizontal="left" vertical="center"/>
    </xf>
    <xf numFmtId="0" fontId="0" fillId="4" borderId="30" xfId="0" applyFill="1" applyBorder="1" applyAlignment="1">
      <alignment horizontal="left" vertical="center"/>
    </xf>
    <xf numFmtId="0" fontId="0" fillId="4" borderId="31" xfId="0" applyFill="1" applyBorder="1" applyAlignment="1">
      <alignment horizontal="left" vertical="center"/>
    </xf>
    <xf numFmtId="0" fontId="11" fillId="4" borderId="32" xfId="0" applyFont="1" applyFill="1" applyBorder="1" applyAlignment="1">
      <alignment horizontal="left" vertical="center"/>
    </xf>
    <xf numFmtId="0" fontId="11" fillId="4" borderId="30" xfId="0" applyFont="1" applyFill="1" applyBorder="1" applyAlignment="1">
      <alignment horizontal="left" vertical="center"/>
    </xf>
    <xf numFmtId="0" fontId="0" fillId="4" borderId="33" xfId="0" applyFill="1" applyBorder="1" applyAlignment="1">
      <alignment horizontal="left" vertical="center"/>
    </xf>
    <xf numFmtId="1" fontId="39" fillId="16" borderId="0" xfId="0" applyNumberFormat="1" applyFont="1" applyFill="1"/>
    <xf numFmtId="0" fontId="25" fillId="3" borderId="4" xfId="0" applyFont="1" applyFill="1" applyBorder="1" applyAlignment="1" applyProtection="1">
      <alignment horizontal="center" vertical="center"/>
      <protection locked="0"/>
    </xf>
    <xf numFmtId="0" fontId="11" fillId="4" borderId="0" xfId="0" quotePrefix="1" applyFont="1" applyFill="1" applyAlignment="1">
      <alignment horizontal="left" vertical="center"/>
    </xf>
    <xf numFmtId="0" fontId="11" fillId="2" borderId="0" xfId="0" applyFont="1" applyFill="1" applyAlignment="1">
      <alignment horizontal="center"/>
    </xf>
    <xf numFmtId="0" fontId="11" fillId="6" borderId="0" xfId="0" applyFont="1" applyFill="1" applyAlignment="1">
      <alignment horizontal="center"/>
    </xf>
    <xf numFmtId="0" fontId="1" fillId="19" borderId="0" xfId="6"/>
    <xf numFmtId="0" fontId="1" fillId="19" borderId="0" xfId="6" applyAlignment="1">
      <alignment horizontal="center"/>
    </xf>
    <xf numFmtId="3" fontId="39" fillId="0" borderId="0" xfId="0" applyNumberFormat="1" applyFont="1" applyAlignment="1">
      <alignment horizontal="center"/>
    </xf>
    <xf numFmtId="0" fontId="11" fillId="0" borderId="0" xfId="0" applyFont="1" applyAlignment="1">
      <alignment wrapText="1"/>
    </xf>
    <xf numFmtId="0" fontId="11" fillId="4" borderId="0" xfId="0" applyFont="1" applyFill="1" applyAlignment="1">
      <alignment horizontal="center" vertical="center"/>
    </xf>
    <xf numFmtId="0" fontId="11" fillId="4" borderId="0" xfId="0" applyFont="1" applyFill="1" applyAlignment="1" applyProtection="1">
      <alignment horizontal="left" vertical="center"/>
      <protection locked="0"/>
    </xf>
    <xf numFmtId="0" fontId="0" fillId="21" borderId="0" xfId="0" applyFill="1"/>
    <xf numFmtId="0" fontId="41" fillId="0" borderId="0" xfId="0" applyFont="1"/>
    <xf numFmtId="0" fontId="0" fillId="5" borderId="0" xfId="0" applyFill="1"/>
    <xf numFmtId="0" fontId="0" fillId="18" borderId="0" xfId="0" applyFill="1"/>
    <xf numFmtId="0" fontId="11" fillId="5" borderId="0" xfId="0" quotePrefix="1" applyFont="1" applyFill="1"/>
    <xf numFmtId="0" fontId="11" fillId="18" borderId="0" xfId="0" quotePrefix="1" applyFont="1" applyFill="1"/>
    <xf numFmtId="0" fontId="11" fillId="5" borderId="0" xfId="0" applyFont="1" applyFill="1"/>
    <xf numFmtId="0" fontId="11" fillId="3" borderId="0" xfId="0" applyFont="1" applyFill="1"/>
    <xf numFmtId="0" fontId="11" fillId="9" borderId="0" xfId="0" applyFont="1" applyFill="1"/>
    <xf numFmtId="0" fontId="11" fillId="11" borderId="0" xfId="0" applyFont="1" applyFill="1"/>
    <xf numFmtId="0" fontId="11" fillId="15" borderId="0" xfId="0" applyFont="1" applyFill="1"/>
    <xf numFmtId="0" fontId="11" fillId="0" borderId="4" xfId="0" applyFont="1" applyBorder="1" applyAlignment="1">
      <alignment horizontal="center"/>
    </xf>
    <xf numFmtId="0" fontId="11" fillId="0" borderId="4" xfId="0" applyFont="1" applyBorder="1" applyAlignment="1">
      <alignment horizontal="right"/>
    </xf>
    <xf numFmtId="0" fontId="11" fillId="22" borderId="0" xfId="0" applyFont="1" applyFill="1"/>
    <xf numFmtId="0" fontId="0" fillId="22" borderId="0" xfId="0" applyFill="1"/>
    <xf numFmtId="0" fontId="11" fillId="18" borderId="0" xfId="0" applyFont="1" applyFill="1"/>
    <xf numFmtId="0" fontId="6" fillId="4" borderId="0" xfId="0" applyFont="1" applyFill="1" applyAlignment="1">
      <alignment horizontal="left" vertical="center"/>
    </xf>
    <xf numFmtId="0" fontId="6" fillId="4" borderId="13" xfId="0" applyFont="1" applyFill="1" applyBorder="1" applyAlignment="1">
      <alignment horizontal="left" vertical="center"/>
    </xf>
    <xf numFmtId="0" fontId="25" fillId="4" borderId="0" xfId="0" applyFont="1" applyFill="1" applyAlignment="1">
      <alignment vertical="center"/>
    </xf>
    <xf numFmtId="0" fontId="11" fillId="4" borderId="0" xfId="0" applyFont="1" applyFill="1" applyAlignment="1">
      <alignment vertical="center"/>
    </xf>
    <xf numFmtId="0" fontId="11" fillId="4" borderId="0" xfId="0" applyFont="1" applyFill="1" applyBorder="1" applyAlignment="1">
      <alignment vertical="center" wrapText="1"/>
    </xf>
    <xf numFmtId="0" fontId="25" fillId="17" borderId="39" xfId="0" applyFont="1" applyFill="1" applyBorder="1" applyAlignment="1">
      <alignment horizontal="left" vertical="center"/>
    </xf>
    <xf numFmtId="0" fontId="25" fillId="3" borderId="40" xfId="0" applyFont="1" applyFill="1" applyBorder="1" applyAlignment="1">
      <alignment horizontal="left" vertical="center"/>
    </xf>
    <xf numFmtId="0" fontId="25" fillId="4" borderId="41" xfId="0" applyFont="1" applyFill="1" applyBorder="1" applyAlignment="1">
      <alignment horizontal="left" vertical="center"/>
    </xf>
    <xf numFmtId="0" fontId="25" fillId="4" borderId="15" xfId="0" applyFont="1" applyFill="1" applyBorder="1" applyAlignment="1">
      <alignment horizontal="left" vertical="center"/>
    </xf>
    <xf numFmtId="0" fontId="25" fillId="4" borderId="16" xfId="0" applyFont="1" applyFill="1" applyBorder="1" applyAlignment="1">
      <alignment horizontal="left" vertical="center"/>
    </xf>
    <xf numFmtId="0" fontId="11" fillId="4" borderId="17" xfId="0" applyFont="1" applyFill="1" applyBorder="1" applyAlignment="1">
      <alignment horizontal="left" vertical="center"/>
    </xf>
    <xf numFmtId="0" fontId="25" fillId="4" borderId="0" xfId="0" applyFont="1" applyFill="1" applyBorder="1" applyAlignment="1">
      <alignment horizontal="left" vertical="center"/>
    </xf>
    <xf numFmtId="0" fontId="25" fillId="4" borderId="18" xfId="0" applyFont="1" applyFill="1" applyBorder="1" applyAlignment="1">
      <alignment horizontal="left" vertical="center"/>
    </xf>
    <xf numFmtId="0" fontId="11" fillId="4" borderId="19" xfId="0" applyFont="1" applyFill="1" applyBorder="1" applyAlignment="1">
      <alignment horizontal="left" vertical="center"/>
    </xf>
    <xf numFmtId="0" fontId="25" fillId="4" borderId="8" xfId="0" applyFont="1" applyFill="1" applyBorder="1" applyAlignment="1">
      <alignment horizontal="left" vertical="center"/>
    </xf>
    <xf numFmtId="0" fontId="25" fillId="4" borderId="20" xfId="0" applyFont="1" applyFill="1" applyBorder="1" applyAlignment="1">
      <alignment horizontal="left" vertical="center"/>
    </xf>
    <xf numFmtId="0" fontId="12" fillId="0" borderId="0" xfId="0" applyFont="1"/>
    <xf numFmtId="0" fontId="47" fillId="0" borderId="0" xfId="0" applyFont="1"/>
    <xf numFmtId="0" fontId="12" fillId="0" borderId="0" xfId="0" quotePrefix="1" applyFont="1"/>
    <xf numFmtId="0" fontId="39" fillId="0" borderId="0" xfId="0" applyFont="1" applyAlignment="1">
      <alignment horizontal="center"/>
    </xf>
    <xf numFmtId="0" fontId="0" fillId="18" borderId="0" xfId="0" applyFont="1" applyFill="1"/>
    <xf numFmtId="0" fontId="43" fillId="4" borderId="14" xfId="0" applyFont="1" applyFill="1" applyBorder="1" applyAlignment="1" applyProtection="1">
      <alignment horizontal="center" vertical="center" wrapText="1"/>
      <protection locked="0"/>
    </xf>
    <xf numFmtId="0" fontId="43" fillId="4" borderId="15" xfId="0" applyFont="1" applyFill="1" applyBorder="1" applyAlignment="1" applyProtection="1">
      <alignment horizontal="center" vertical="center" wrapText="1"/>
      <protection locked="0"/>
    </xf>
    <xf numFmtId="0" fontId="43" fillId="4" borderId="16" xfId="0" applyFont="1" applyFill="1" applyBorder="1" applyAlignment="1" applyProtection="1">
      <alignment horizontal="center" vertical="center" wrapText="1"/>
      <protection locked="0"/>
    </xf>
    <xf numFmtId="0" fontId="43" fillId="4" borderId="17" xfId="0" applyFont="1" applyFill="1" applyBorder="1" applyAlignment="1" applyProtection="1">
      <alignment horizontal="center" vertical="center" wrapText="1"/>
      <protection locked="0"/>
    </xf>
    <xf numFmtId="0" fontId="43" fillId="4" borderId="0" xfId="0" applyFont="1" applyFill="1" applyAlignment="1" applyProtection="1">
      <alignment horizontal="center" vertical="center" wrapText="1"/>
      <protection locked="0"/>
    </xf>
    <xf numFmtId="0" fontId="43" fillId="4" borderId="18" xfId="0" applyFont="1" applyFill="1" applyBorder="1" applyAlignment="1" applyProtection="1">
      <alignment horizontal="center" vertical="center" wrapText="1"/>
      <protection locked="0"/>
    </xf>
    <xf numFmtId="0" fontId="43" fillId="4" borderId="19" xfId="0" applyFont="1" applyFill="1" applyBorder="1" applyAlignment="1" applyProtection="1">
      <alignment horizontal="center" vertical="center" wrapText="1"/>
      <protection locked="0"/>
    </xf>
    <xf numFmtId="0" fontId="43" fillId="4" borderId="8" xfId="0" applyFont="1" applyFill="1" applyBorder="1" applyAlignment="1" applyProtection="1">
      <alignment horizontal="center" vertical="center" wrapText="1"/>
      <protection locked="0"/>
    </xf>
    <xf numFmtId="0" fontId="43" fillId="4" borderId="20" xfId="0" applyFont="1" applyFill="1" applyBorder="1" applyAlignment="1" applyProtection="1">
      <alignment horizontal="center" vertical="center" wrapText="1"/>
      <protection locked="0"/>
    </xf>
    <xf numFmtId="0" fontId="43" fillId="4" borderId="21" xfId="0" applyFont="1" applyFill="1" applyBorder="1" applyAlignment="1">
      <alignment horizontal="center" wrapText="1"/>
    </xf>
    <xf numFmtId="0" fontId="43" fillId="4" borderId="22" xfId="0" applyFont="1" applyFill="1" applyBorder="1" applyAlignment="1">
      <alignment horizontal="center" wrapText="1"/>
    </xf>
    <xf numFmtId="0" fontId="43" fillId="4" borderId="23" xfId="0" applyFont="1" applyFill="1" applyBorder="1" applyAlignment="1">
      <alignment horizontal="center" wrapText="1"/>
    </xf>
    <xf numFmtId="0" fontId="43" fillId="4" borderId="24" xfId="0" applyFont="1" applyFill="1" applyBorder="1" applyAlignment="1">
      <alignment horizontal="center" wrapText="1"/>
    </xf>
    <xf numFmtId="0" fontId="43" fillId="4" borderId="25" xfId="0" applyFont="1" applyFill="1" applyBorder="1" applyAlignment="1">
      <alignment horizontal="center" wrapText="1"/>
    </xf>
    <xf numFmtId="0" fontId="43" fillId="4" borderId="26" xfId="0" applyFont="1" applyFill="1" applyBorder="1" applyAlignment="1">
      <alignment horizontal="center" wrapText="1"/>
    </xf>
    <xf numFmtId="0" fontId="44" fillId="4" borderId="17" xfId="5" applyFont="1" applyFill="1" applyBorder="1" applyAlignment="1" applyProtection="1">
      <alignment horizontal="center" wrapText="1"/>
      <protection locked="0"/>
    </xf>
    <xf numFmtId="0" fontId="44" fillId="4" borderId="0" xfId="5" applyFont="1" applyFill="1" applyAlignment="1" applyProtection="1">
      <alignment horizontal="center" wrapText="1"/>
      <protection locked="0"/>
    </xf>
    <xf numFmtId="0" fontId="44" fillId="0" borderId="0" xfId="5" quotePrefix="1" applyFont="1" applyAlignment="1" applyProtection="1">
      <alignment horizontal="center"/>
      <protection locked="0"/>
    </xf>
    <xf numFmtId="0" fontId="27" fillId="4" borderId="9" xfId="0" applyFont="1" applyFill="1" applyBorder="1" applyAlignment="1">
      <alignment horizontal="center" vertical="center"/>
    </xf>
    <xf numFmtId="0" fontId="27" fillId="4" borderId="0" xfId="0" applyFont="1" applyFill="1" applyAlignment="1">
      <alignment horizontal="center" vertical="center"/>
    </xf>
    <xf numFmtId="0" fontId="29" fillId="4" borderId="9" xfId="0" applyFont="1" applyFill="1" applyBorder="1" applyAlignment="1">
      <alignment horizontal="left" vertical="center"/>
    </xf>
    <xf numFmtId="0" fontId="29" fillId="4" borderId="0" xfId="0" applyFont="1" applyFill="1" applyAlignment="1">
      <alignment horizontal="left" vertical="center"/>
    </xf>
    <xf numFmtId="0" fontId="26" fillId="4" borderId="0" xfId="0" applyFont="1" applyFill="1" applyAlignment="1">
      <alignment horizontal="center" vertical="center"/>
    </xf>
    <xf numFmtId="0" fontId="25" fillId="3" borderId="4" xfId="0" applyFont="1" applyFill="1" applyBorder="1" applyAlignment="1" applyProtection="1">
      <alignment horizontal="center" vertical="center"/>
      <protection locked="0"/>
    </xf>
    <xf numFmtId="0" fontId="25" fillId="3" borderId="2" xfId="0" applyFont="1" applyFill="1" applyBorder="1" applyAlignment="1" applyProtection="1">
      <alignment horizontal="center" vertical="center"/>
      <protection locked="0"/>
    </xf>
    <xf numFmtId="0" fontId="25" fillId="4" borderId="0" xfId="0" applyFont="1" applyFill="1" applyAlignment="1">
      <alignment horizontal="center" vertical="center"/>
    </xf>
    <xf numFmtId="0" fontId="28" fillId="4" borderId="0" xfId="0" applyFont="1" applyFill="1" applyAlignment="1">
      <alignment horizontal="center" vertical="center"/>
    </xf>
    <xf numFmtId="0" fontId="25" fillId="4" borderId="0" xfId="0" applyFont="1" applyFill="1" applyAlignment="1">
      <alignment horizontal="center" vertical="center" textRotation="90"/>
    </xf>
    <xf numFmtId="0" fontId="25" fillId="2" borderId="2" xfId="0" applyFont="1" applyFill="1" applyBorder="1" applyAlignment="1" applyProtection="1">
      <alignment horizontal="center" vertical="center"/>
      <protection locked="0"/>
    </xf>
    <xf numFmtId="0" fontId="37" fillId="4" borderId="9" xfId="5" applyFont="1" applyFill="1" applyBorder="1" applyAlignment="1" applyProtection="1">
      <alignment horizontal="center" vertical="center" wrapText="1"/>
      <protection locked="0"/>
    </xf>
    <xf numFmtId="0" fontId="37" fillId="4" borderId="0" xfId="5" applyFont="1" applyFill="1" applyAlignment="1" applyProtection="1">
      <alignment horizontal="center" vertical="center" wrapText="1"/>
      <protection locked="0"/>
    </xf>
    <xf numFmtId="0" fontId="25" fillId="5" borderId="0" xfId="0" applyFont="1" applyFill="1" applyAlignment="1">
      <alignment horizontal="center" vertical="center"/>
    </xf>
    <xf numFmtId="0" fontId="25" fillId="0" borderId="9" xfId="0" applyFont="1" applyBorder="1" applyAlignment="1">
      <alignment horizontal="center" vertical="center"/>
    </xf>
    <xf numFmtId="0" fontId="25" fillId="0" borderId="0" xfId="0" applyFont="1" applyAlignment="1">
      <alignment horizontal="center" vertical="center"/>
    </xf>
    <xf numFmtId="0" fontId="16" fillId="4" borderId="9" xfId="0" applyFont="1" applyFill="1" applyBorder="1" applyAlignment="1">
      <alignment horizontal="left" vertical="center" wrapText="1"/>
    </xf>
    <xf numFmtId="0" fontId="34" fillId="4" borderId="0" xfId="0" applyFont="1" applyFill="1" applyAlignment="1">
      <alignment horizontal="left" vertical="center"/>
    </xf>
    <xf numFmtId="0" fontId="34" fillId="4" borderId="9" xfId="0" applyFont="1" applyFill="1" applyBorder="1" applyAlignment="1">
      <alignment horizontal="left" vertical="center"/>
    </xf>
    <xf numFmtId="0" fontId="25" fillId="4" borderId="5" xfId="0" applyFont="1" applyFill="1" applyBorder="1" applyAlignment="1">
      <alignment horizontal="center" vertical="center"/>
    </xf>
    <xf numFmtId="0" fontId="25" fillId="4" borderId="0" xfId="0" applyFont="1" applyFill="1" applyAlignment="1">
      <alignment horizontal="center" vertical="center" wrapText="1"/>
    </xf>
    <xf numFmtId="0" fontId="25" fillId="4" borderId="3" xfId="0" applyFont="1" applyFill="1" applyBorder="1" applyAlignment="1">
      <alignment horizontal="center" vertical="center" wrapText="1"/>
    </xf>
    <xf numFmtId="0" fontId="25" fillId="4" borderId="4" xfId="0" applyFont="1" applyFill="1" applyBorder="1" applyAlignment="1">
      <alignment horizontal="center" vertical="center" wrapText="1"/>
    </xf>
    <xf numFmtId="0" fontId="25" fillId="4" borderId="6" xfId="0" applyFont="1" applyFill="1" applyBorder="1" applyAlignment="1">
      <alignment horizontal="center" vertical="center" wrapText="1"/>
    </xf>
    <xf numFmtId="0" fontId="25" fillId="4" borderId="12" xfId="0" applyFont="1" applyFill="1" applyBorder="1" applyAlignment="1">
      <alignment horizontal="center" vertical="center"/>
    </xf>
    <xf numFmtId="0" fontId="37" fillId="4" borderId="0" xfId="5" applyFont="1" applyFill="1" applyAlignment="1">
      <alignment horizontal="center" vertical="center" wrapText="1"/>
    </xf>
    <xf numFmtId="0" fontId="25" fillId="4" borderId="11" xfId="0" applyFont="1" applyFill="1" applyBorder="1" applyAlignment="1">
      <alignment horizontal="center" vertical="center"/>
    </xf>
    <xf numFmtId="0" fontId="25" fillId="4" borderId="9" xfId="0" applyFont="1" applyFill="1" applyBorder="1" applyAlignment="1">
      <alignment horizontal="center" vertical="center"/>
    </xf>
    <xf numFmtId="0" fontId="25" fillId="4" borderId="13" xfId="0" applyFont="1" applyFill="1" applyBorder="1" applyAlignment="1">
      <alignment horizontal="center" vertical="center"/>
    </xf>
    <xf numFmtId="0" fontId="25" fillId="17" borderId="0" xfId="0" applyFont="1" applyFill="1" applyAlignment="1" applyProtection="1">
      <alignment horizontal="center" vertical="center" wrapText="1"/>
      <protection locked="0"/>
    </xf>
    <xf numFmtId="0" fontId="25" fillId="17" borderId="3" xfId="0" applyFont="1" applyFill="1" applyBorder="1" applyAlignment="1" applyProtection="1">
      <alignment horizontal="center" vertical="center" wrapText="1"/>
      <protection locked="0"/>
    </xf>
    <xf numFmtId="0" fontId="25" fillId="17" borderId="4" xfId="0" applyFont="1" applyFill="1" applyBorder="1" applyAlignment="1" applyProtection="1">
      <alignment horizontal="center" vertical="center" wrapText="1"/>
      <protection locked="0"/>
    </xf>
    <xf numFmtId="0" fontId="25" fillId="17" borderId="6" xfId="0" applyFont="1" applyFill="1" applyBorder="1" applyAlignment="1" applyProtection="1">
      <alignment horizontal="center" vertical="center" wrapText="1"/>
      <protection locked="0"/>
    </xf>
    <xf numFmtId="0" fontId="28" fillId="4" borderId="0" xfId="0" applyFont="1" applyFill="1" applyAlignment="1">
      <alignment horizontal="center" vertical="center" textRotation="90"/>
    </xf>
    <xf numFmtId="0" fontId="25" fillId="2" borderId="2" xfId="0" applyFont="1" applyFill="1" applyBorder="1" applyAlignment="1" applyProtection="1">
      <alignment horizontal="left" vertical="center"/>
      <protection locked="0"/>
    </xf>
    <xf numFmtId="0" fontId="25" fillId="2" borderId="4" xfId="0" applyFont="1" applyFill="1" applyBorder="1" applyAlignment="1" applyProtection="1">
      <alignment horizontal="left" vertical="center"/>
      <protection locked="0"/>
    </xf>
    <xf numFmtId="0" fontId="25" fillId="2" borderId="4" xfId="0" applyFont="1" applyFill="1" applyBorder="1" applyAlignment="1" applyProtection="1">
      <alignment horizontal="center" vertical="center"/>
      <protection locked="0"/>
    </xf>
    <xf numFmtId="0" fontId="25" fillId="3" borderId="5" xfId="0" applyFont="1" applyFill="1" applyBorder="1" applyAlignment="1" applyProtection="1">
      <alignment horizontal="center" vertical="center"/>
      <protection locked="0"/>
    </xf>
    <xf numFmtId="0" fontId="11" fillId="3" borderId="5" xfId="0" applyFont="1" applyFill="1" applyBorder="1" applyAlignment="1" applyProtection="1">
      <alignment horizontal="center" vertical="center"/>
      <protection locked="0"/>
    </xf>
    <xf numFmtId="0" fontId="25" fillId="18" borderId="4" xfId="0" applyFont="1" applyFill="1" applyBorder="1" applyAlignment="1" applyProtection="1">
      <alignment horizontal="center" vertical="center"/>
      <protection locked="0"/>
    </xf>
    <xf numFmtId="0" fontId="26" fillId="0" borderId="0" xfId="0" applyFont="1" applyAlignment="1">
      <alignment horizontal="center" vertical="center"/>
    </xf>
    <xf numFmtId="0" fontId="34" fillId="4" borderId="0" xfId="0" applyFont="1" applyFill="1" applyAlignment="1">
      <alignment horizontal="center" vertical="center" textRotation="90"/>
    </xf>
    <xf numFmtId="0" fontId="34" fillId="6" borderId="0" xfId="0" applyFont="1" applyFill="1" applyAlignment="1">
      <alignment horizontal="center" vertical="center" textRotation="90"/>
    </xf>
    <xf numFmtId="0" fontId="35" fillId="4" borderId="0" xfId="0" applyFont="1" applyFill="1" applyAlignment="1">
      <alignment horizontal="center" vertical="center" textRotation="90"/>
    </xf>
    <xf numFmtId="0" fontId="25" fillId="4" borderId="0" xfId="0" applyFont="1" applyFill="1" applyAlignment="1">
      <alignment horizontal="left" vertical="center"/>
    </xf>
    <xf numFmtId="0" fontId="25" fillId="2" borderId="4" xfId="0" applyFont="1" applyFill="1" applyBorder="1" applyAlignment="1">
      <alignment horizontal="center" vertical="center"/>
    </xf>
    <xf numFmtId="0" fontId="35" fillId="4" borderId="0" xfId="0" applyFont="1" applyFill="1" applyAlignment="1">
      <alignment horizontal="center" vertical="center"/>
    </xf>
    <xf numFmtId="0" fontId="25" fillId="0" borderId="4" xfId="0" applyFont="1" applyBorder="1" applyAlignment="1">
      <alignment horizontal="left" vertical="center"/>
    </xf>
    <xf numFmtId="0" fontId="32" fillId="4" borderId="0" xfId="0" applyFont="1" applyFill="1" applyAlignment="1">
      <alignment horizontal="center" vertical="center"/>
    </xf>
    <xf numFmtId="0" fontId="28" fillId="4" borderId="3" xfId="0" applyFont="1" applyFill="1" applyBorder="1" applyAlignment="1">
      <alignment horizontal="center" vertical="center"/>
    </xf>
    <xf numFmtId="0" fontId="26" fillId="4" borderId="0" xfId="0" applyFont="1" applyFill="1" applyAlignment="1">
      <alignment horizontal="center" vertical="center" wrapText="1"/>
    </xf>
    <xf numFmtId="0" fontId="25" fillId="3" borderId="2" xfId="0" applyFont="1" applyFill="1" applyBorder="1" applyAlignment="1" applyProtection="1">
      <alignment horizontal="left" vertical="center"/>
      <protection locked="0"/>
    </xf>
    <xf numFmtId="0" fontId="25" fillId="3" borderId="10" xfId="0" applyFont="1" applyFill="1" applyBorder="1" applyAlignment="1" applyProtection="1">
      <alignment horizontal="center" vertical="center"/>
      <protection locked="0"/>
    </xf>
    <xf numFmtId="0" fontId="25" fillId="3" borderId="7" xfId="0" applyFont="1" applyFill="1" applyBorder="1" applyAlignment="1" applyProtection="1">
      <alignment horizontal="center" vertical="center"/>
      <protection locked="0"/>
    </xf>
    <xf numFmtId="0" fontId="25" fillId="3" borderId="4" xfId="0" applyFont="1" applyFill="1" applyBorder="1" applyAlignment="1" applyProtection="1">
      <alignment horizontal="left" vertical="center"/>
      <protection locked="0"/>
    </xf>
    <xf numFmtId="0" fontId="25" fillId="4" borderId="1" xfId="0" applyFont="1" applyFill="1" applyBorder="1" applyAlignment="1">
      <alignment horizontal="center" vertical="center"/>
    </xf>
    <xf numFmtId="0" fontId="25" fillId="3" borderId="2" xfId="0" applyFont="1" applyFill="1" applyBorder="1" applyAlignment="1">
      <alignment horizontal="left" vertical="center"/>
    </xf>
    <xf numFmtId="0" fontId="25" fillId="4" borderId="2" xfId="0" applyFont="1" applyFill="1" applyBorder="1" applyAlignment="1">
      <alignment horizontal="left" vertical="center"/>
    </xf>
    <xf numFmtId="0" fontId="33" fillId="4" borderId="0" xfId="0" applyFont="1" applyFill="1" applyAlignment="1">
      <alignment horizontal="center" vertical="center"/>
    </xf>
    <xf numFmtId="0" fontId="25" fillId="4" borderId="4" xfId="0" applyFont="1" applyFill="1" applyBorder="1" applyAlignment="1">
      <alignment horizontal="center" vertical="center"/>
    </xf>
    <xf numFmtId="0" fontId="25" fillId="2" borderId="10" xfId="0" applyFont="1" applyFill="1" applyBorder="1" applyAlignment="1" applyProtection="1">
      <alignment horizontal="center" vertical="center"/>
      <protection locked="0"/>
    </xf>
    <xf numFmtId="0" fontId="25" fillId="2" borderId="7" xfId="0" applyFont="1" applyFill="1" applyBorder="1" applyAlignment="1" applyProtection="1">
      <alignment horizontal="center" vertical="center"/>
      <protection locked="0"/>
    </xf>
    <xf numFmtId="0" fontId="25" fillId="2" borderId="1" xfId="0" applyFont="1" applyFill="1" applyBorder="1" applyAlignment="1" applyProtection="1">
      <alignment horizontal="center" vertical="center"/>
      <protection locked="0"/>
    </xf>
    <xf numFmtId="0" fontId="11" fillId="2" borderId="1" xfId="0" applyFont="1" applyFill="1" applyBorder="1" applyAlignment="1" applyProtection="1">
      <alignment horizontal="center" vertical="center"/>
      <protection locked="0"/>
    </xf>
    <xf numFmtId="0" fontId="25" fillId="0" borderId="1" xfId="0" applyFont="1" applyBorder="1" applyAlignment="1">
      <alignment horizontal="center" vertical="center"/>
    </xf>
    <xf numFmtId="0" fontId="28" fillId="5" borderId="0" xfId="0" applyFont="1" applyFill="1" applyAlignment="1">
      <alignment horizontal="center" vertical="center"/>
    </xf>
    <xf numFmtId="0" fontId="25" fillId="4" borderId="3" xfId="0" applyFont="1" applyFill="1" applyBorder="1" applyAlignment="1">
      <alignment horizontal="center" vertical="center"/>
    </xf>
    <xf numFmtId="0" fontId="25" fillId="2" borderId="2" xfId="0" applyFont="1" applyFill="1" applyBorder="1" applyAlignment="1">
      <alignment horizontal="left" vertical="center"/>
    </xf>
    <xf numFmtId="0" fontId="31" fillId="4" borderId="0" xfId="0" applyFont="1" applyFill="1" applyAlignment="1">
      <alignment horizontal="center" vertical="center"/>
    </xf>
    <xf numFmtId="0" fontId="26" fillId="4" borderId="5" xfId="0" applyFont="1" applyFill="1" applyBorder="1" applyAlignment="1">
      <alignment horizontal="center" vertical="center"/>
    </xf>
    <xf numFmtId="0" fontId="11" fillId="4" borderId="0" xfId="0" applyFont="1" applyFill="1" applyAlignment="1">
      <alignment horizontal="left" vertical="center"/>
    </xf>
    <xf numFmtId="0" fontId="25" fillId="2" borderId="0" xfId="0" applyFont="1" applyFill="1" applyAlignment="1" applyProtection="1">
      <alignment horizontal="center" vertical="center"/>
      <protection locked="0"/>
    </xf>
    <xf numFmtId="0" fontId="25" fillId="5" borderId="0" xfId="0" applyFont="1" applyFill="1" applyAlignment="1">
      <alignment horizontal="left" vertical="center"/>
    </xf>
    <xf numFmtId="0" fontId="11" fillId="4" borderId="0" xfId="0" applyFont="1" applyFill="1" applyBorder="1" applyAlignment="1">
      <alignment horizontal="center" vertical="center" wrapText="1"/>
    </xf>
    <xf numFmtId="0" fontId="11" fillId="4" borderId="9" xfId="0" applyFont="1" applyFill="1" applyBorder="1" applyAlignment="1">
      <alignment horizontal="left" vertical="center"/>
    </xf>
    <xf numFmtId="0" fontId="25" fillId="2" borderId="0" xfId="0" applyFont="1" applyFill="1" applyAlignment="1" applyProtection="1">
      <alignment horizontal="left" vertical="top" wrapText="1"/>
      <protection locked="0"/>
    </xf>
    <xf numFmtId="0" fontId="25" fillId="2" borderId="3" xfId="0" applyFont="1" applyFill="1" applyBorder="1" applyAlignment="1" applyProtection="1">
      <alignment horizontal="left" vertical="top" wrapText="1"/>
      <protection locked="0"/>
    </xf>
    <xf numFmtId="0" fontId="25" fillId="5" borderId="5" xfId="0" applyFont="1" applyFill="1" applyBorder="1" applyAlignment="1" applyProtection="1">
      <alignment horizontal="center" vertical="center"/>
      <protection locked="0"/>
    </xf>
    <xf numFmtId="0" fontId="25" fillId="4" borderId="6" xfId="0" applyFont="1" applyFill="1" applyBorder="1" applyAlignment="1">
      <alignment horizontal="center" vertical="center"/>
    </xf>
    <xf numFmtId="0" fontId="25" fillId="0" borderId="0" xfId="0" applyFont="1" applyAlignment="1">
      <alignment horizontal="center" vertical="center" wrapText="1"/>
    </xf>
    <xf numFmtId="0" fontId="25" fillId="0" borderId="3" xfId="0" applyFont="1" applyBorder="1" applyAlignment="1">
      <alignment horizontal="center" vertical="center" wrapText="1"/>
    </xf>
    <xf numFmtId="0" fontId="25" fillId="0" borderId="4" xfId="0" applyFont="1" applyBorder="1" applyAlignment="1">
      <alignment horizontal="center" vertical="center" wrapText="1"/>
    </xf>
    <xf numFmtId="0" fontId="25" fillId="0" borderId="6" xfId="0" applyFont="1" applyBorder="1" applyAlignment="1">
      <alignment horizontal="center" vertical="center" wrapText="1"/>
    </xf>
    <xf numFmtId="0" fontId="11" fillId="4" borderId="36" xfId="0" applyFont="1" applyFill="1" applyBorder="1" applyAlignment="1">
      <alignment horizontal="center" vertical="center"/>
    </xf>
    <xf numFmtId="0" fontId="25" fillId="4" borderId="37" xfId="0" applyFont="1" applyFill="1" applyBorder="1" applyAlignment="1">
      <alignment horizontal="center" vertical="center"/>
    </xf>
    <xf numFmtId="0" fontId="25" fillId="4" borderId="38" xfId="0" applyFont="1" applyFill="1" applyBorder="1" applyAlignment="1">
      <alignment horizontal="center" vertical="center"/>
    </xf>
    <xf numFmtId="0" fontId="11" fillId="4" borderId="0" xfId="0" applyFont="1" applyFill="1" applyAlignment="1">
      <alignment horizontal="center" vertical="center" wrapText="1"/>
    </xf>
    <xf numFmtId="0" fontId="0" fillId="4" borderId="15" xfId="0" applyFill="1" applyBorder="1" applyAlignment="1">
      <alignment horizontal="center" vertical="center"/>
    </xf>
    <xf numFmtId="0" fontId="0" fillId="4" borderId="16" xfId="0" applyFill="1" applyBorder="1" applyAlignment="1">
      <alignment horizontal="center" vertical="center"/>
    </xf>
    <xf numFmtId="0" fontId="0" fillId="17" borderId="0" xfId="0" applyFill="1" applyAlignment="1" applyProtection="1">
      <alignment horizontal="center" vertical="center" wrapText="1"/>
      <protection locked="0"/>
    </xf>
    <xf numFmtId="0" fontId="0" fillId="17" borderId="3" xfId="0" applyFill="1" applyBorder="1" applyAlignment="1" applyProtection="1">
      <alignment horizontal="center" vertical="center" wrapText="1"/>
      <protection locked="0"/>
    </xf>
    <xf numFmtId="0" fontId="0" fillId="17" borderId="4" xfId="0" applyFill="1" applyBorder="1" applyAlignment="1" applyProtection="1">
      <alignment horizontal="center" vertical="center" wrapText="1"/>
      <protection locked="0"/>
    </xf>
    <xf numFmtId="0" fontId="0" fillId="17" borderId="6" xfId="0" applyFill="1" applyBorder="1" applyAlignment="1" applyProtection="1">
      <alignment horizontal="center" vertical="center" wrapText="1"/>
      <protection locked="0"/>
    </xf>
    <xf numFmtId="0" fontId="0" fillId="4" borderId="11" xfId="0" applyFill="1" applyBorder="1" applyAlignment="1">
      <alignment horizontal="center" vertical="center"/>
    </xf>
    <xf numFmtId="0" fontId="0" fillId="4" borderId="9" xfId="0" applyFill="1" applyBorder="1" applyAlignment="1">
      <alignment horizontal="center" vertical="center"/>
    </xf>
    <xf numFmtId="0" fontId="0" fillId="3" borderId="5" xfId="0" applyFill="1" applyBorder="1" applyAlignment="1" applyProtection="1">
      <alignment horizontal="center" vertical="center"/>
      <protection locked="0"/>
    </xf>
    <xf numFmtId="0" fontId="0" fillId="4" borderId="13" xfId="0" applyFill="1" applyBorder="1" applyAlignment="1">
      <alignment horizontal="center" vertical="center"/>
    </xf>
    <xf numFmtId="0" fontId="16" fillId="4" borderId="0" xfId="0" applyFont="1" applyFill="1" applyAlignment="1">
      <alignment horizontal="left" vertical="center"/>
    </xf>
    <xf numFmtId="0" fontId="16" fillId="4" borderId="9" xfId="0" applyFont="1" applyFill="1" applyBorder="1" applyAlignment="1">
      <alignment horizontal="left" vertical="center"/>
    </xf>
    <xf numFmtId="0" fontId="0" fillId="4" borderId="0" xfId="0" applyFill="1" applyAlignment="1">
      <alignment horizontal="center" vertical="center"/>
    </xf>
    <xf numFmtId="0" fontId="5" fillId="0" borderId="0" xfId="0" applyFont="1" applyAlignment="1">
      <alignment horizontal="center" vertical="center"/>
    </xf>
    <xf numFmtId="0" fontId="0" fillId="4" borderId="4" xfId="0" applyFill="1" applyBorder="1" applyAlignment="1">
      <alignment horizontal="center" vertical="center"/>
    </xf>
    <xf numFmtId="0" fontId="5" fillId="4" borderId="0" xfId="0" applyFont="1" applyFill="1" applyAlignment="1">
      <alignment horizontal="center" vertical="center"/>
    </xf>
    <xf numFmtId="0" fontId="0" fillId="4" borderId="0" xfId="0" applyFill="1" applyAlignment="1">
      <alignment horizontal="left" vertical="top" wrapText="1"/>
    </xf>
    <xf numFmtId="0" fontId="0" fillId="4" borderId="3" xfId="0" applyFill="1" applyBorder="1" applyAlignment="1">
      <alignment horizontal="left" vertical="top" wrapText="1"/>
    </xf>
    <xf numFmtId="0" fontId="0" fillId="4" borderId="6" xfId="0" applyFill="1" applyBorder="1" applyAlignment="1">
      <alignment horizontal="center" vertical="center"/>
    </xf>
    <xf numFmtId="0" fontId="0" fillId="3" borderId="4" xfId="0" applyFill="1" applyBorder="1" applyAlignment="1" applyProtection="1">
      <alignment horizontal="center" vertical="center"/>
      <protection locked="0"/>
    </xf>
    <xf numFmtId="0" fontId="11" fillId="4" borderId="0" xfId="0" applyFont="1" applyFill="1" applyAlignment="1">
      <alignment horizontal="center" vertical="center" textRotation="90"/>
    </xf>
    <xf numFmtId="0" fontId="0" fillId="4" borderId="0" xfId="0" applyFill="1" applyAlignment="1">
      <alignment horizontal="center" vertical="center" textRotation="90"/>
    </xf>
    <xf numFmtId="0" fontId="4" fillId="4" borderId="0" xfId="0" applyFont="1" applyFill="1" applyAlignment="1">
      <alignment horizontal="center" vertical="center" textRotation="90"/>
    </xf>
    <xf numFmtId="0" fontId="11" fillId="4" borderId="4" xfId="0" applyFont="1" applyFill="1" applyBorder="1" applyAlignment="1">
      <alignment horizontal="left" vertical="center"/>
    </xf>
    <xf numFmtId="0" fontId="0" fillId="4" borderId="4" xfId="0" applyFill="1" applyBorder="1" applyAlignment="1">
      <alignment horizontal="left" vertical="center"/>
    </xf>
    <xf numFmtId="0" fontId="11" fillId="3" borderId="4" xfId="0" applyFont="1" applyFill="1" applyBorder="1" applyAlignment="1" applyProtection="1">
      <alignment horizontal="center" vertical="center"/>
      <protection locked="0"/>
    </xf>
    <xf numFmtId="0" fontId="16" fillId="4" borderId="0" xfId="0" applyFont="1" applyFill="1" applyAlignment="1">
      <alignment horizontal="center" vertical="center" textRotation="90"/>
    </xf>
    <xf numFmtId="0" fontId="12" fillId="4" borderId="0" xfId="0" applyFont="1" applyFill="1" applyAlignment="1">
      <alignment horizontal="center" vertical="center" textRotation="90"/>
    </xf>
    <xf numFmtId="0" fontId="11" fillId="4" borderId="0" xfId="0" applyFont="1" applyFill="1" applyAlignment="1">
      <alignment horizontal="center" vertical="center"/>
    </xf>
    <xf numFmtId="0" fontId="16" fillId="6" borderId="0" xfId="0" applyFont="1" applyFill="1" applyAlignment="1">
      <alignment horizontal="center" vertical="center" textRotation="90"/>
    </xf>
    <xf numFmtId="0" fontId="0" fillId="4" borderId="4" xfId="0" applyFill="1" applyBorder="1" applyAlignment="1" applyProtection="1">
      <alignment horizontal="left" vertical="center"/>
      <protection locked="0"/>
    </xf>
    <xf numFmtId="0" fontId="4" fillId="4" borderId="0" xfId="0" applyFont="1" applyFill="1" applyAlignment="1">
      <alignment horizontal="center" vertical="center"/>
    </xf>
    <xf numFmtId="0" fontId="0" fillId="3" borderId="2" xfId="0" applyFill="1" applyBorder="1" applyAlignment="1" applyProtection="1">
      <alignment horizontal="center" vertical="center"/>
      <protection locked="0"/>
    </xf>
    <xf numFmtId="0" fontId="11" fillId="4" borderId="2" xfId="0" applyFont="1" applyFill="1" applyBorder="1" applyAlignment="1">
      <alignment horizontal="center" vertical="center"/>
    </xf>
    <xf numFmtId="0" fontId="0" fillId="18" borderId="4" xfId="0" applyFill="1" applyBorder="1" applyAlignment="1" applyProtection="1">
      <alignment horizontal="center" vertical="center"/>
      <protection locked="0"/>
    </xf>
    <xf numFmtId="0" fontId="0" fillId="4" borderId="0" xfId="0" applyFill="1" applyAlignment="1">
      <alignment horizontal="left" vertical="center"/>
    </xf>
    <xf numFmtId="0" fontId="12" fillId="4" borderId="0" xfId="0" applyFont="1" applyFill="1" applyAlignment="1">
      <alignment horizontal="center" vertical="center"/>
    </xf>
    <xf numFmtId="0" fontId="11" fillId="4" borderId="4" xfId="0" applyFont="1" applyFill="1" applyBorder="1" applyAlignment="1">
      <alignment horizontal="center" vertical="center"/>
    </xf>
    <xf numFmtId="0" fontId="4" fillId="4" borderId="3" xfId="0" applyFont="1" applyFill="1" applyBorder="1" applyAlignment="1">
      <alignment horizontal="center" vertical="center"/>
    </xf>
    <xf numFmtId="0" fontId="0" fillId="3" borderId="4" xfId="0" applyFill="1" applyBorder="1" applyAlignment="1" applyProtection="1">
      <alignment horizontal="left" vertical="center"/>
      <protection locked="0"/>
    </xf>
    <xf numFmtId="0" fontId="8" fillId="4" borderId="0" xfId="0" applyFont="1" applyFill="1" applyAlignment="1">
      <alignment horizontal="center" vertical="center"/>
    </xf>
    <xf numFmtId="0" fontId="9" fillId="4" borderId="0" xfId="0" applyFont="1" applyFill="1" applyAlignment="1">
      <alignment horizontal="center" vertical="center"/>
    </xf>
    <xf numFmtId="0" fontId="7" fillId="4" borderId="0" xfId="0" applyFont="1" applyFill="1" applyAlignment="1">
      <alignment horizontal="center" vertical="center"/>
    </xf>
    <xf numFmtId="0" fontId="5" fillId="4" borderId="5" xfId="0" applyFont="1" applyFill="1" applyBorder="1" applyAlignment="1">
      <alignment horizontal="center" vertical="center"/>
    </xf>
    <xf numFmtId="0" fontId="0" fillId="0" borderId="4" xfId="0" applyBorder="1" applyAlignment="1">
      <alignment horizontal="left" vertical="center"/>
    </xf>
    <xf numFmtId="0" fontId="5" fillId="4" borderId="0" xfId="0" applyFont="1" applyFill="1" applyAlignment="1">
      <alignment horizontal="center" vertical="center" wrapText="1"/>
    </xf>
    <xf numFmtId="0" fontId="0" fillId="0" borderId="10" xfId="0" applyBorder="1" applyAlignment="1">
      <alignment horizontal="center" vertical="center"/>
    </xf>
    <xf numFmtId="0" fontId="0" fillId="0" borderId="2" xfId="0" applyBorder="1" applyAlignment="1">
      <alignment horizontal="center" vertical="center"/>
    </xf>
    <xf numFmtId="0" fontId="0" fillId="0" borderId="7" xfId="0" applyBorder="1" applyAlignment="1">
      <alignment horizontal="center" vertical="center"/>
    </xf>
    <xf numFmtId="0" fontId="0" fillId="0" borderId="0" xfId="0" applyAlignment="1">
      <alignment horizontal="center" vertical="center"/>
    </xf>
    <xf numFmtId="0" fontId="0" fillId="4" borderId="3" xfId="0" applyFill="1" applyBorder="1" applyAlignment="1">
      <alignment horizontal="center" vertical="center"/>
    </xf>
    <xf numFmtId="0" fontId="0" fillId="4" borderId="8" xfId="0" applyFill="1" applyBorder="1" applyAlignment="1">
      <alignment horizontal="center" vertical="center"/>
    </xf>
    <xf numFmtId="0" fontId="0" fillId="4" borderId="17" xfId="0" applyFill="1" applyBorder="1" applyAlignment="1">
      <alignment horizontal="center" vertical="center" wrapText="1"/>
    </xf>
    <xf numFmtId="0" fontId="0" fillId="4" borderId="0" xfId="0" applyFill="1" applyAlignment="1">
      <alignment horizontal="center" vertical="center" wrapText="1"/>
    </xf>
    <xf numFmtId="0" fontId="0" fillId="4" borderId="18"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8" xfId="0" applyFill="1" applyBorder="1" applyAlignment="1">
      <alignment horizontal="center" vertical="center" wrapText="1"/>
    </xf>
    <xf numFmtId="0" fontId="0" fillId="4" borderId="20" xfId="0" applyFill="1" applyBorder="1" applyAlignment="1">
      <alignment horizontal="center" vertical="center" wrapText="1"/>
    </xf>
    <xf numFmtId="0" fontId="46" fillId="23" borderId="14" xfId="5" applyFont="1" applyFill="1" applyBorder="1" applyAlignment="1" applyProtection="1">
      <alignment horizontal="center" vertical="center" wrapText="1"/>
      <protection locked="0"/>
    </xf>
    <xf numFmtId="0" fontId="46" fillId="23" borderId="15" xfId="5" applyFont="1" applyFill="1" applyBorder="1" applyAlignment="1" applyProtection="1">
      <alignment horizontal="center" vertical="center" wrapText="1"/>
      <protection locked="0"/>
    </xf>
    <xf numFmtId="0" fontId="46" fillId="23" borderId="16" xfId="5" applyFont="1" applyFill="1" applyBorder="1" applyAlignment="1" applyProtection="1">
      <alignment horizontal="center" vertical="center" wrapText="1"/>
      <protection locked="0"/>
    </xf>
    <xf numFmtId="0" fontId="46" fillId="23" borderId="19" xfId="5" applyFont="1" applyFill="1" applyBorder="1" applyAlignment="1" applyProtection="1">
      <alignment horizontal="center" vertical="center" wrapText="1"/>
      <protection locked="0"/>
    </xf>
    <xf numFmtId="0" fontId="46" fillId="23" borderId="8" xfId="5" applyFont="1" applyFill="1" applyBorder="1" applyAlignment="1" applyProtection="1">
      <alignment horizontal="center" vertical="center" wrapText="1"/>
      <protection locked="0"/>
    </xf>
    <xf numFmtId="0" fontId="46" fillId="23" borderId="20" xfId="5" applyFont="1" applyFill="1" applyBorder="1" applyAlignment="1" applyProtection="1">
      <alignment horizontal="center" vertical="center" wrapText="1"/>
      <protection locked="0"/>
    </xf>
    <xf numFmtId="0" fontId="46" fillId="23" borderId="14" xfId="5" applyFont="1" applyFill="1" applyBorder="1" applyAlignment="1" applyProtection="1">
      <alignment vertical="center" wrapText="1"/>
      <protection locked="0"/>
    </xf>
    <xf numFmtId="0" fontId="46" fillId="23" borderId="15" xfId="5" applyFont="1" applyFill="1" applyBorder="1" applyAlignment="1" applyProtection="1">
      <alignment vertical="center" wrapText="1"/>
      <protection locked="0"/>
    </xf>
    <xf numFmtId="0" fontId="46" fillId="23" borderId="16" xfId="5" applyFont="1" applyFill="1" applyBorder="1" applyAlignment="1" applyProtection="1">
      <alignment vertical="center" wrapText="1"/>
      <protection locked="0"/>
    </xf>
    <xf numFmtId="0" fontId="46" fillId="23" borderId="19" xfId="5" applyFont="1" applyFill="1" applyBorder="1" applyAlignment="1" applyProtection="1">
      <alignment vertical="center" wrapText="1"/>
      <protection locked="0"/>
    </xf>
    <xf numFmtId="0" fontId="46" fillId="23" borderId="8" xfId="5" applyFont="1" applyFill="1" applyBorder="1" applyAlignment="1" applyProtection="1">
      <alignment vertical="center" wrapText="1"/>
      <protection locked="0"/>
    </xf>
    <xf numFmtId="0" fontId="46" fillId="23" borderId="20" xfId="5" applyFont="1" applyFill="1" applyBorder="1" applyAlignment="1" applyProtection="1">
      <alignment vertical="center" wrapText="1"/>
      <protection locked="0"/>
    </xf>
    <xf numFmtId="0" fontId="19" fillId="4" borderId="14" xfId="0" applyFont="1" applyFill="1" applyBorder="1" applyAlignment="1" applyProtection="1">
      <alignment vertical="center" wrapText="1"/>
      <protection locked="0"/>
    </xf>
    <xf numFmtId="0" fontId="19" fillId="4" borderId="15" xfId="0" applyFont="1" applyFill="1" applyBorder="1" applyAlignment="1" applyProtection="1">
      <alignment vertical="center" wrapText="1"/>
      <protection locked="0"/>
    </xf>
    <xf numFmtId="0" fontId="19" fillId="4" borderId="16" xfId="0" applyFont="1" applyFill="1" applyBorder="1" applyAlignment="1" applyProtection="1">
      <alignment vertical="center" wrapText="1"/>
      <protection locked="0"/>
    </xf>
    <xf numFmtId="0" fontId="19" fillId="4" borderId="19" xfId="0" applyFont="1" applyFill="1" applyBorder="1" applyAlignment="1" applyProtection="1">
      <alignment vertical="center" wrapText="1"/>
      <protection locked="0"/>
    </xf>
    <xf numFmtId="0" fontId="19" fillId="4" borderId="8" xfId="0" applyFont="1" applyFill="1" applyBorder="1" applyAlignment="1" applyProtection="1">
      <alignment vertical="center" wrapText="1"/>
      <protection locked="0"/>
    </xf>
    <xf numFmtId="0" fontId="19" fillId="4" borderId="20" xfId="0" applyFont="1" applyFill="1" applyBorder="1" applyAlignment="1" applyProtection="1">
      <alignment vertical="center" wrapText="1"/>
      <protection locked="0"/>
    </xf>
    <xf numFmtId="0" fontId="11" fillId="4" borderId="11" xfId="0" applyFont="1" applyFill="1" applyBorder="1" applyAlignment="1">
      <alignment horizontal="left" vertical="top" wrapText="1"/>
    </xf>
    <xf numFmtId="0" fontId="11" fillId="4" borderId="5" xfId="0" applyFont="1" applyFill="1" applyBorder="1" applyAlignment="1">
      <alignment horizontal="left" vertical="top" wrapText="1"/>
    </xf>
    <xf numFmtId="0" fontId="11" fillId="4" borderId="12" xfId="0" applyFont="1" applyFill="1" applyBorder="1" applyAlignment="1">
      <alignment horizontal="left" vertical="top" wrapText="1"/>
    </xf>
    <xf numFmtId="0" fontId="11" fillId="4" borderId="9" xfId="0" applyFont="1" applyFill="1" applyBorder="1" applyAlignment="1">
      <alignment horizontal="left" vertical="top" wrapText="1"/>
    </xf>
    <xf numFmtId="0" fontId="11" fillId="4" borderId="0" xfId="0" applyFont="1" applyFill="1" applyBorder="1" applyAlignment="1">
      <alignment horizontal="left" vertical="top" wrapText="1"/>
    </xf>
    <xf numFmtId="0" fontId="11" fillId="4" borderId="3" xfId="0" applyFont="1" applyFill="1" applyBorder="1" applyAlignment="1">
      <alignment horizontal="left" vertical="top" wrapText="1"/>
    </xf>
    <xf numFmtId="0" fontId="11" fillId="4" borderId="13" xfId="0" applyFont="1" applyFill="1" applyBorder="1" applyAlignment="1">
      <alignment horizontal="left" vertical="top" wrapText="1"/>
    </xf>
    <xf numFmtId="0" fontId="11" fillId="4" borderId="4" xfId="0" applyFont="1" applyFill="1" applyBorder="1" applyAlignment="1">
      <alignment horizontal="left" vertical="top" wrapText="1"/>
    </xf>
    <xf numFmtId="0" fontId="11" fillId="4" borderId="6" xfId="0" applyFont="1" applyFill="1" applyBorder="1" applyAlignment="1">
      <alignment horizontal="left" vertical="top" wrapText="1"/>
    </xf>
    <xf numFmtId="0" fontId="0" fillId="0" borderId="1" xfId="0" applyBorder="1" applyAlignment="1">
      <alignment horizontal="center" vertical="center"/>
    </xf>
    <xf numFmtId="0" fontId="0" fillId="4" borderId="1" xfId="0" applyFill="1" applyBorder="1" applyAlignment="1">
      <alignment horizontal="center" vertical="center"/>
    </xf>
    <xf numFmtId="0" fontId="11" fillId="4" borderId="0" xfId="0" applyFont="1" applyFill="1" applyAlignment="1">
      <alignment horizontal="left" vertical="top" wrapText="1"/>
    </xf>
    <xf numFmtId="0" fontId="11" fillId="4" borderId="14" xfId="0" applyFont="1" applyFill="1" applyBorder="1" applyAlignment="1">
      <alignment horizontal="left" vertical="center" wrapText="1"/>
    </xf>
    <xf numFmtId="0" fontId="11" fillId="4" borderId="15" xfId="0" applyFont="1" applyFill="1" applyBorder="1" applyAlignment="1">
      <alignment horizontal="left" vertical="center" wrapText="1"/>
    </xf>
    <xf numFmtId="0" fontId="11" fillId="4" borderId="16" xfId="0" applyFont="1" applyFill="1" applyBorder="1" applyAlignment="1">
      <alignment horizontal="left" vertical="center" wrapText="1"/>
    </xf>
    <xf numFmtId="0" fontId="11" fillId="4" borderId="17" xfId="0" applyFont="1" applyFill="1" applyBorder="1" applyAlignment="1">
      <alignment horizontal="left" vertical="center" wrapText="1"/>
    </xf>
    <xf numFmtId="0" fontId="11" fillId="4" borderId="0" xfId="0" applyFont="1" applyFill="1" applyAlignment="1">
      <alignment horizontal="left" vertical="center" wrapText="1"/>
    </xf>
    <xf numFmtId="0" fontId="11" fillId="4" borderId="18" xfId="0" applyFont="1" applyFill="1" applyBorder="1" applyAlignment="1">
      <alignment horizontal="left" vertical="center" wrapText="1"/>
    </xf>
    <xf numFmtId="0" fontId="16" fillId="4" borderId="11" xfId="0" applyFont="1" applyFill="1" applyBorder="1" applyAlignment="1">
      <alignment horizontal="left" vertical="center" wrapText="1"/>
    </xf>
    <xf numFmtId="0" fontId="16" fillId="4" borderId="5" xfId="0" applyFont="1" applyFill="1" applyBorder="1" applyAlignment="1">
      <alignment horizontal="left" vertical="center"/>
    </xf>
    <xf numFmtId="0" fontId="16" fillId="4" borderId="12" xfId="0" applyFont="1" applyFill="1" applyBorder="1" applyAlignment="1">
      <alignment horizontal="left" vertical="center"/>
    </xf>
    <xf numFmtId="0" fontId="16" fillId="4" borderId="3" xfId="0" applyFont="1" applyFill="1" applyBorder="1" applyAlignment="1">
      <alignment horizontal="left" vertical="center"/>
    </xf>
    <xf numFmtId="0" fontId="16" fillId="4" borderId="13" xfId="0" applyFont="1" applyFill="1" applyBorder="1" applyAlignment="1">
      <alignment horizontal="left" vertical="center"/>
    </xf>
    <xf numFmtId="0" fontId="16" fillId="4" borderId="4" xfId="0" applyFont="1" applyFill="1" applyBorder="1" applyAlignment="1">
      <alignment horizontal="left" vertical="center"/>
    </xf>
    <xf numFmtId="0" fontId="16" fillId="4" borderId="6" xfId="0" applyFont="1" applyFill="1" applyBorder="1" applyAlignment="1">
      <alignment horizontal="left" vertical="center"/>
    </xf>
    <xf numFmtId="0" fontId="11" fillId="5" borderId="0" xfId="0" applyFont="1" applyFill="1" applyAlignment="1">
      <alignment horizontal="center" vertical="center"/>
    </xf>
    <xf numFmtId="0" fontId="0" fillId="5" borderId="0" xfId="0" applyFill="1" applyAlignment="1">
      <alignment horizontal="center" vertical="center"/>
    </xf>
    <xf numFmtId="0" fontId="11" fillId="5" borderId="0" xfId="0" applyFont="1" applyFill="1" applyAlignment="1">
      <alignment horizontal="center" vertical="center" wrapText="1"/>
    </xf>
    <xf numFmtId="0" fontId="0" fillId="5" borderId="0" xfId="0" applyFill="1" applyAlignment="1">
      <alignment horizontal="center" vertical="center" wrapText="1"/>
    </xf>
    <xf numFmtId="0" fontId="11" fillId="4" borderId="14" xfId="0" applyFont="1" applyFill="1" applyBorder="1" applyAlignment="1">
      <alignment horizontal="center" vertical="center" wrapText="1"/>
    </xf>
    <xf numFmtId="0" fontId="11" fillId="4" borderId="15" xfId="0" applyFont="1" applyFill="1" applyBorder="1" applyAlignment="1">
      <alignment horizontal="center" vertical="center" wrapText="1"/>
    </xf>
    <xf numFmtId="0" fontId="11" fillId="4" borderId="16" xfId="0" applyFont="1" applyFill="1" applyBorder="1" applyAlignment="1">
      <alignment horizontal="center" vertical="center" wrapText="1"/>
    </xf>
    <xf numFmtId="0" fontId="11" fillId="4" borderId="17" xfId="0" applyFont="1" applyFill="1" applyBorder="1" applyAlignment="1">
      <alignment horizontal="center" vertical="center" wrapText="1"/>
    </xf>
    <xf numFmtId="0" fontId="11" fillId="4" borderId="18" xfId="0" applyFont="1" applyFill="1" applyBorder="1" applyAlignment="1">
      <alignment horizontal="center" vertical="center" wrapText="1"/>
    </xf>
    <xf numFmtId="0" fontId="11" fillId="4" borderId="19" xfId="0" applyFont="1" applyFill="1" applyBorder="1" applyAlignment="1">
      <alignment horizontal="center" vertical="center" wrapText="1"/>
    </xf>
    <xf numFmtId="0" fontId="11" fillId="4" borderId="8" xfId="0" applyFont="1" applyFill="1" applyBorder="1" applyAlignment="1">
      <alignment horizontal="center" vertical="center" wrapText="1"/>
    </xf>
    <xf numFmtId="0" fontId="11" fillId="4" borderId="20" xfId="0" applyFont="1" applyFill="1" applyBorder="1" applyAlignment="1">
      <alignment horizontal="center" vertical="center" wrapText="1"/>
    </xf>
    <xf numFmtId="0" fontId="0" fillId="4" borderId="10" xfId="0" applyFill="1" applyBorder="1" applyAlignment="1">
      <alignment horizontal="center" vertical="center"/>
    </xf>
    <xf numFmtId="0" fontId="0" fillId="2" borderId="4" xfId="0" applyFill="1" applyBorder="1" applyAlignment="1" applyProtection="1">
      <alignment horizontal="center" vertical="center"/>
      <protection locked="0"/>
    </xf>
    <xf numFmtId="0" fontId="0" fillId="2" borderId="0" xfId="0" applyFill="1" applyAlignment="1" applyProtection="1">
      <alignment horizontal="left" vertical="top" wrapText="1"/>
      <protection locked="0"/>
    </xf>
    <xf numFmtId="0" fontId="11" fillId="2" borderId="4" xfId="0" applyFont="1" applyFill="1" applyBorder="1" applyAlignment="1" applyProtection="1">
      <alignment horizontal="left" vertical="center"/>
      <protection locked="0"/>
    </xf>
    <xf numFmtId="0" fontId="0" fillId="2" borderId="4" xfId="0" applyFill="1" applyBorder="1" applyAlignment="1" applyProtection="1">
      <alignment horizontal="left" vertical="center"/>
      <protection locked="0"/>
    </xf>
    <xf numFmtId="0" fontId="11" fillId="2" borderId="4" xfId="0" applyFont="1" applyFill="1" applyBorder="1" applyAlignment="1" applyProtection="1">
      <alignment horizontal="center" vertical="center"/>
      <protection locked="0"/>
    </xf>
    <xf numFmtId="0" fontId="45" fillId="20" borderId="0" xfId="7" applyFont="1" applyAlignment="1" applyProtection="1">
      <alignment horizontal="center" vertical="center"/>
      <protection locked="0"/>
    </xf>
    <xf numFmtId="0" fontId="0" fillId="2" borderId="4" xfId="0" applyFill="1" applyBorder="1" applyAlignment="1" applyProtection="1">
      <alignment horizontal="center" vertical="center" wrapText="1"/>
      <protection locked="0"/>
    </xf>
    <xf numFmtId="0" fontId="0" fillId="0" borderId="10" xfId="0" applyBorder="1" applyAlignment="1">
      <alignment horizontal="center" vertical="center" wrapText="1"/>
    </xf>
    <xf numFmtId="0" fontId="0" fillId="0" borderId="2" xfId="0" applyBorder="1" applyAlignment="1">
      <alignment horizontal="center" vertical="center" wrapText="1"/>
    </xf>
    <xf numFmtId="0" fontId="0" fillId="0" borderId="7" xfId="0" applyBorder="1" applyAlignment="1">
      <alignment horizontal="center" vertical="center" wrapText="1"/>
    </xf>
    <xf numFmtId="0" fontId="0" fillId="0" borderId="1" xfId="0" applyBorder="1" applyAlignment="1">
      <alignment horizontal="center" vertical="center" wrapText="1"/>
    </xf>
    <xf numFmtId="0" fontId="0" fillId="2" borderId="0" xfId="0" applyFill="1" applyAlignment="1" applyProtection="1">
      <alignment horizontal="center" vertical="center"/>
      <protection locked="0"/>
    </xf>
    <xf numFmtId="0" fontId="5" fillId="0" borderId="0" xfId="0" applyFont="1" applyAlignment="1">
      <alignment horizontal="center"/>
    </xf>
    <xf numFmtId="0" fontId="0" fillId="5" borderId="19" xfId="0" applyFill="1" applyBorder="1" applyAlignment="1">
      <alignment horizontal="center" vertical="center"/>
    </xf>
    <xf numFmtId="0" fontId="0" fillId="5" borderId="8" xfId="0" applyFill="1" applyBorder="1" applyAlignment="1">
      <alignment horizontal="center" vertical="center"/>
    </xf>
    <xf numFmtId="0" fontId="0" fillId="5" borderId="17" xfId="0" applyFill="1" applyBorder="1" applyAlignment="1">
      <alignment horizontal="center" vertical="center"/>
    </xf>
    <xf numFmtId="0" fontId="11" fillId="4" borderId="17" xfId="0" quotePrefix="1" applyFont="1" applyFill="1" applyBorder="1" applyAlignment="1">
      <alignment horizontal="center" vertical="center" wrapText="1"/>
    </xf>
    <xf numFmtId="0" fontId="0" fillId="4" borderId="0" xfId="0" quotePrefix="1" applyFill="1" applyAlignment="1">
      <alignment horizontal="center" vertical="center" wrapText="1"/>
    </xf>
    <xf numFmtId="0" fontId="0" fillId="4" borderId="18" xfId="0" quotePrefix="1" applyFill="1" applyBorder="1" applyAlignment="1">
      <alignment horizontal="center" vertical="center" wrapText="1"/>
    </xf>
    <xf numFmtId="0" fontId="0" fillId="4" borderId="19" xfId="0" quotePrefix="1" applyFill="1" applyBorder="1" applyAlignment="1">
      <alignment horizontal="center" vertical="center" wrapText="1"/>
    </xf>
    <xf numFmtId="0" fontId="0" fillId="4" borderId="8" xfId="0" quotePrefix="1" applyFill="1" applyBorder="1" applyAlignment="1">
      <alignment horizontal="center" vertical="center" wrapText="1"/>
    </xf>
    <xf numFmtId="0" fontId="0" fillId="4" borderId="20" xfId="0" quotePrefix="1" applyFill="1" applyBorder="1" applyAlignment="1">
      <alignment horizontal="center" vertical="center" wrapText="1"/>
    </xf>
    <xf numFmtId="167" fontId="16" fillId="2" borderId="19" xfId="0" applyNumberFormat="1" applyFont="1" applyFill="1" applyBorder="1" applyAlignment="1" applyProtection="1">
      <alignment horizontal="center" vertical="center"/>
      <protection locked="0"/>
    </xf>
    <xf numFmtId="167" fontId="16" fillId="2" borderId="8" xfId="0" applyNumberFormat="1" applyFont="1" applyFill="1" applyBorder="1" applyAlignment="1" applyProtection="1">
      <alignment horizontal="center" vertical="center"/>
      <protection locked="0"/>
    </xf>
    <xf numFmtId="167" fontId="16" fillId="2" borderId="27" xfId="0" applyNumberFormat="1" applyFont="1" applyFill="1" applyBorder="1" applyAlignment="1" applyProtection="1">
      <alignment horizontal="center" vertical="center"/>
      <protection locked="0"/>
    </xf>
    <xf numFmtId="1" fontId="0" fillId="2" borderId="28" xfId="0" applyNumberFormat="1" applyFill="1" applyBorder="1" applyAlignment="1" applyProtection="1">
      <alignment horizontal="center" vertical="center"/>
      <protection locked="0"/>
    </xf>
    <xf numFmtId="1" fontId="0" fillId="2" borderId="8" xfId="0" applyNumberFormat="1" applyFill="1" applyBorder="1" applyAlignment="1" applyProtection="1">
      <alignment horizontal="center" vertical="center"/>
      <protection locked="0"/>
    </xf>
    <xf numFmtId="1" fontId="0" fillId="2" borderId="27" xfId="0" applyNumberFormat="1" applyFill="1" applyBorder="1" applyAlignment="1" applyProtection="1">
      <alignment horizontal="center" vertical="center"/>
      <protection locked="0"/>
    </xf>
    <xf numFmtId="11" fontId="0" fillId="2" borderId="28" xfId="0" applyNumberFormat="1" applyFill="1" applyBorder="1" applyAlignment="1" applyProtection="1">
      <alignment horizontal="center" vertical="center"/>
      <protection locked="0"/>
    </xf>
    <xf numFmtId="11" fontId="0" fillId="2" borderId="8" xfId="0" applyNumberFormat="1" applyFill="1" applyBorder="1" applyAlignment="1" applyProtection="1">
      <alignment horizontal="center" vertical="center"/>
      <protection locked="0"/>
    </xf>
    <xf numFmtId="11" fontId="0" fillId="2" borderId="20" xfId="0" applyNumberFormat="1" applyFill="1" applyBorder="1" applyAlignment="1" applyProtection="1">
      <alignment horizontal="center" vertical="center"/>
      <protection locked="0"/>
    </xf>
    <xf numFmtId="167" fontId="16" fillId="2" borderId="17" xfId="0" applyNumberFormat="1" applyFont="1" applyFill="1" applyBorder="1" applyAlignment="1" applyProtection="1">
      <alignment horizontal="center" vertical="center"/>
      <protection locked="0"/>
    </xf>
    <xf numFmtId="167" fontId="16" fillId="2" borderId="0" xfId="0" applyNumberFormat="1" applyFont="1" applyFill="1" applyAlignment="1" applyProtection="1">
      <alignment horizontal="center" vertical="center"/>
      <protection locked="0"/>
    </xf>
    <xf numFmtId="167" fontId="16" fillId="2" borderId="3" xfId="0" applyNumberFormat="1" applyFont="1" applyFill="1" applyBorder="1" applyAlignment="1" applyProtection="1">
      <alignment horizontal="center" vertical="center"/>
      <protection locked="0"/>
    </xf>
    <xf numFmtId="1" fontId="0" fillId="2" borderId="9" xfId="0" applyNumberFormat="1" applyFill="1" applyBorder="1" applyAlignment="1" applyProtection="1">
      <alignment horizontal="center" vertical="center"/>
      <protection locked="0"/>
    </xf>
    <xf numFmtId="1" fontId="0" fillId="2" borderId="0" xfId="0" applyNumberFormat="1" applyFill="1" applyAlignment="1" applyProtection="1">
      <alignment horizontal="center" vertical="center"/>
      <protection locked="0"/>
    </xf>
    <xf numFmtId="1" fontId="0" fillId="2" borderId="3" xfId="0" applyNumberFormat="1" applyFill="1" applyBorder="1" applyAlignment="1" applyProtection="1">
      <alignment horizontal="center" vertical="center"/>
      <protection locked="0"/>
    </xf>
    <xf numFmtId="11" fontId="0" fillId="2" borderId="9" xfId="0" applyNumberFormat="1" applyFill="1" applyBorder="1" applyAlignment="1" applyProtection="1">
      <alignment horizontal="center" vertical="center"/>
      <protection locked="0"/>
    </xf>
    <xf numFmtId="11" fontId="0" fillId="2" borderId="0" xfId="0" applyNumberFormat="1" applyFill="1" applyAlignment="1" applyProtection="1">
      <alignment horizontal="center" vertical="center"/>
      <protection locked="0"/>
    </xf>
    <xf numFmtId="11" fontId="0" fillId="2" borderId="18" xfId="0" applyNumberFormat="1" applyFill="1" applyBorder="1" applyAlignment="1" applyProtection="1">
      <alignment horizontal="center" vertical="center"/>
      <protection locked="0"/>
    </xf>
    <xf numFmtId="0" fontId="11" fillId="4" borderId="36" xfId="0" applyFont="1" applyFill="1" applyBorder="1" applyAlignment="1">
      <alignment horizontal="left" vertical="center"/>
    </xf>
    <xf numFmtId="0" fontId="0" fillId="4" borderId="37" xfId="0" applyFill="1" applyBorder="1" applyAlignment="1">
      <alignment horizontal="left" vertical="center"/>
    </xf>
    <xf numFmtId="0" fontId="0" fillId="4" borderId="38" xfId="0" applyFill="1" applyBorder="1" applyAlignment="1">
      <alignment horizontal="left" vertical="center"/>
    </xf>
    <xf numFmtId="0" fontId="11" fillId="4" borderId="19" xfId="0" applyFont="1" applyFill="1" applyBorder="1" applyAlignment="1">
      <alignment horizontal="left" vertical="center" wrapText="1"/>
    </xf>
    <xf numFmtId="0" fontId="11" fillId="4" borderId="8" xfId="0" applyFont="1" applyFill="1" applyBorder="1" applyAlignment="1">
      <alignment horizontal="left" vertical="center" wrapText="1"/>
    </xf>
    <xf numFmtId="0" fontId="11" fillId="4" borderId="20" xfId="0" applyFont="1" applyFill="1" applyBorder="1" applyAlignment="1">
      <alignment horizontal="left" vertical="center" wrapText="1"/>
    </xf>
    <xf numFmtId="167" fontId="16" fillId="2" borderId="34" xfId="0" applyNumberFormat="1" applyFont="1" applyFill="1" applyBorder="1" applyAlignment="1" applyProtection="1">
      <alignment horizontal="center" vertical="center"/>
      <protection locked="0"/>
    </xf>
    <xf numFmtId="167" fontId="16" fillId="2" borderId="5" xfId="0" applyNumberFormat="1" applyFont="1" applyFill="1" applyBorder="1" applyAlignment="1" applyProtection="1">
      <alignment horizontal="center" vertical="center"/>
      <protection locked="0"/>
    </xf>
    <xf numFmtId="167" fontId="16" fillId="2" borderId="12" xfId="0" applyNumberFormat="1" applyFont="1" applyFill="1" applyBorder="1" applyAlignment="1" applyProtection="1">
      <alignment horizontal="center" vertical="center"/>
      <protection locked="0"/>
    </xf>
    <xf numFmtId="1" fontId="0" fillId="2" borderId="11" xfId="0" applyNumberFormat="1" applyFill="1" applyBorder="1" applyAlignment="1" applyProtection="1">
      <alignment horizontal="center" vertical="center"/>
      <protection locked="0"/>
    </xf>
    <xf numFmtId="1" fontId="0" fillId="2" borderId="5" xfId="0" applyNumberFormat="1" applyFill="1" applyBorder="1" applyAlignment="1" applyProtection="1">
      <alignment horizontal="center" vertical="center"/>
      <protection locked="0"/>
    </xf>
    <xf numFmtId="1" fontId="0" fillId="2" borderId="12" xfId="0" applyNumberFormat="1" applyFill="1" applyBorder="1" applyAlignment="1" applyProtection="1">
      <alignment horizontal="center" vertical="center"/>
      <protection locked="0"/>
    </xf>
    <xf numFmtId="11" fontId="11" fillId="2" borderId="11" xfId="0" applyNumberFormat="1" applyFont="1" applyFill="1" applyBorder="1" applyAlignment="1" applyProtection="1">
      <alignment horizontal="center" vertical="center"/>
      <protection locked="0"/>
    </xf>
    <xf numFmtId="11" fontId="0" fillId="2" borderId="5" xfId="0" applyNumberFormat="1" applyFill="1" applyBorder="1" applyAlignment="1" applyProtection="1">
      <alignment horizontal="center" vertical="center"/>
      <protection locked="0"/>
    </xf>
    <xf numFmtId="11" fontId="0" fillId="2" borderId="35" xfId="0" applyNumberFormat="1" applyFill="1" applyBorder="1" applyAlignment="1" applyProtection="1">
      <alignment horizontal="center" vertical="center"/>
      <protection locked="0"/>
    </xf>
    <xf numFmtId="11" fontId="11" fillId="2" borderId="9" xfId="0" applyNumberFormat="1" applyFont="1" applyFill="1" applyBorder="1" applyAlignment="1" applyProtection="1">
      <alignment horizontal="center" vertical="center"/>
      <protection locked="0"/>
    </xf>
    <xf numFmtId="0" fontId="39" fillId="0" borderId="0" xfId="0" applyFont="1" applyAlignment="1">
      <alignment horizontal="center"/>
    </xf>
    <xf numFmtId="0" fontId="39" fillId="10" borderId="0" xfId="0" applyFont="1" applyFill="1" applyAlignment="1">
      <alignment horizontal="center" vertical="top" wrapText="1"/>
    </xf>
    <xf numFmtId="0" fontId="39" fillId="17" borderId="0" xfId="0" applyFont="1" applyFill="1" applyAlignment="1">
      <alignment horizontal="center"/>
    </xf>
    <xf numFmtId="0" fontId="39" fillId="3" borderId="0" xfId="0" applyFont="1" applyFill="1" applyAlignment="1">
      <alignment horizontal="center"/>
    </xf>
    <xf numFmtId="0" fontId="39" fillId="10" borderId="0" xfId="0" applyFont="1" applyFill="1" applyAlignment="1">
      <alignment horizontal="center"/>
    </xf>
    <xf numFmtId="0" fontId="39" fillId="6" borderId="0" xfId="0" applyFont="1" applyFill="1" applyAlignment="1">
      <alignment horizontal="center"/>
    </xf>
    <xf numFmtId="0" fontId="39" fillId="5" borderId="0" xfId="0" applyFont="1" applyFill="1" applyAlignment="1" applyProtection="1">
      <alignment horizontal="center"/>
      <protection locked="0"/>
    </xf>
    <xf numFmtId="0" fontId="11" fillId="0" borderId="0" xfId="0" applyFont="1" applyAlignment="1">
      <alignment horizontal="center"/>
    </xf>
    <xf numFmtId="0" fontId="0" fillId="0" borderId="0" xfId="0" applyAlignment="1">
      <alignment horizontal="center"/>
    </xf>
  </cellXfs>
  <cellStyles count="8">
    <cellStyle name="20 % - Accent4" xfId="6" builtinId="42"/>
    <cellStyle name="20 % - Accent5" xfId="7" builtinId="46"/>
    <cellStyle name="Heading" xfId="1" xr:uid="{00000000-0005-0000-0000-000000000000}"/>
    <cellStyle name="Heading1" xfId="2" xr:uid="{00000000-0005-0000-0000-000001000000}"/>
    <cellStyle name="Lien hypertexte" xfId="5" builtinId="8"/>
    <cellStyle name="Normal" xfId="0" builtinId="0" customBuiltin="1"/>
    <cellStyle name="Result" xfId="3" xr:uid="{00000000-0005-0000-0000-000004000000}"/>
    <cellStyle name="Result2" xfId="4" xr:uid="{00000000-0005-0000-0000-000005000000}"/>
  </cellStyles>
  <dxfs count="59">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FF0000"/>
        </patternFill>
      </fill>
    </dxf>
    <dxf>
      <fill>
        <patternFill>
          <bgColor theme="0"/>
        </patternFill>
      </fill>
    </dxf>
    <dxf>
      <fill>
        <patternFill>
          <bgColor rgb="FFFF0000"/>
        </patternFill>
      </fill>
    </dxf>
    <dxf>
      <fill>
        <patternFill>
          <bgColor rgb="FF92D050"/>
        </patternFill>
      </fill>
    </dxf>
    <dxf>
      <fill>
        <patternFill>
          <bgColor theme="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7" tint="0.79998168889431442"/>
        </patternFill>
      </fill>
    </dxf>
    <dxf>
      <fill>
        <patternFill>
          <bgColor rgb="FFFF0000"/>
        </patternFill>
      </fill>
    </dxf>
    <dxf>
      <fill>
        <patternFill>
          <bgColor rgb="FFFF0000"/>
        </patternFill>
      </fill>
    </dxf>
    <dxf>
      <fill>
        <patternFill>
          <bgColor rgb="FFFF0000"/>
        </patternFill>
      </fill>
    </dxf>
    <dxf>
      <fill>
        <patternFill>
          <bgColor rgb="FFFF0000"/>
        </patternFill>
      </fill>
    </dxf>
    <dxf>
      <font>
        <color auto="1"/>
      </font>
      <fill>
        <patternFill>
          <bgColor rgb="FFFF0000"/>
        </patternFill>
      </fill>
    </dxf>
    <dxf>
      <fill>
        <patternFill>
          <bgColor rgb="FFFF0000"/>
        </patternFill>
      </fill>
    </dxf>
    <dxf>
      <fill>
        <patternFill>
          <bgColor rgb="FF92D050"/>
        </patternFill>
      </fill>
    </dxf>
    <dxf>
      <fill>
        <patternFill>
          <bgColor rgb="FF92D05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ctrlProps/ctrlProp1.xml><?xml version="1.0" encoding="utf-8"?>
<formControlPr xmlns="http://schemas.microsoft.com/office/spreadsheetml/2009/9/main" objectType="CheckBox" checked="Checked" lockText="1" noThreeD="1"/>
</file>

<file path=xl/ctrlProps/ctrlProp2.xml><?xml version="1.0" encoding="utf-8"?>
<formControlPr xmlns="http://schemas.microsoft.com/office/spreadsheetml/2009/9/main" objectType="Spin" dx="22" fmlaLink="Values!$D$11" max="4" page="10" val="0"/>
</file>

<file path=xl/ctrlProps/ctrlProp3.xml><?xml version="1.0" encoding="utf-8"?>
<formControlPr xmlns="http://schemas.microsoft.com/office/spreadsheetml/2009/9/main" objectType="Spin" dx="22" fmlaLink="Values!$D$12" max="4" page="10" val="0"/>
</file>

<file path=xl/ctrlProps/ctrlProp4.xml><?xml version="1.0" encoding="utf-8"?>
<formControlPr xmlns="http://schemas.microsoft.com/office/spreadsheetml/2009/9/main" objectType="Spin" dx="22" fmlaLink="Values!$D$13" max="4" page="10" val="0"/>
</file>

<file path=xl/ctrlProps/ctrlProp5.xml><?xml version="1.0" encoding="utf-8"?>
<formControlPr xmlns="http://schemas.microsoft.com/office/spreadsheetml/2009/9/main" objectType="Spin" dx="22" fmlaLink="Values!$D$15" max="4" page="10" val="0"/>
</file>

<file path=xl/ctrlProps/ctrlProp6.xml><?xml version="1.0" encoding="utf-8"?>
<formControlPr xmlns="http://schemas.microsoft.com/office/spreadsheetml/2009/9/main" objectType="Spin" dx="22" fmlaLink="Values!$D$16" max="4" page="10" val="0"/>
</file>

<file path=xl/ctrlProps/ctrlProp7.xml><?xml version="1.0" encoding="utf-8"?>
<formControlPr xmlns="http://schemas.microsoft.com/office/spreadsheetml/2009/9/main" objectType="Spin" dx="22" fmlaLink="Values!$D$17" max="4" page="10" val="0"/>
</file>

<file path=xl/ctrlProps/ctrlProp8.xml><?xml version="1.0" encoding="utf-8"?>
<formControlPr xmlns="http://schemas.microsoft.com/office/spreadsheetml/2009/9/main" objectType="Spin" dx="22" fmlaLink="Values!$D$19" max="4" page="10" val="0"/>
</file>

<file path=xl/ctrlProps/ctrlProp9.xml><?xml version="1.0" encoding="utf-8"?>
<formControlPr xmlns="http://schemas.microsoft.com/office/spreadsheetml/2009/9/main" objectType="Spin" dx="22" fmlaLink="Values!$D$20" max="4" page="10" val="0"/>
</file>

<file path=xl/ctrlProps/ctrlProp10.xml><?xml version="1.0" encoding="utf-8"?>
<formControlPr xmlns="http://schemas.microsoft.com/office/spreadsheetml/2009/9/main" objectType="Spin" dx="22" fmlaLink="Values!$D$21" max="4" page="10" val="0"/>
</file>

<file path=xl/ctrlProps/ctrlProp11.xml><?xml version="1.0" encoding="utf-8"?>
<formControlPr xmlns="http://schemas.microsoft.com/office/spreadsheetml/2009/9/main" objectType="Spin" dx="22" fmlaLink="Values!$D$25" max="3" page="10" val="0"/>
</file>

<file path=xl/ctrlProps/ctrlProp12.xml><?xml version="1.0" encoding="utf-8"?>
<formControlPr xmlns="http://schemas.microsoft.com/office/spreadsheetml/2009/9/main" objectType="Spin" dx="22" fmlaLink="Values!$D$26" max="3" page="10" val="0"/>
</file>

<file path=xl/ctrlProps/ctrlProp13.xml><?xml version="1.0" encoding="utf-8"?>
<formControlPr xmlns="http://schemas.microsoft.com/office/spreadsheetml/2009/9/main" objectType="Spin" dx="22" fmlaLink="Values!$D$27" max="3" page="10" val="0"/>
</file>

<file path=xl/ctrlProps/ctrlProp14.xml><?xml version="1.0" encoding="utf-8"?>
<formControlPr xmlns="http://schemas.microsoft.com/office/spreadsheetml/2009/9/main" objectType="Spin" dx="22" fmlaLink="Values!$D$28" max="3" page="10" val="0"/>
</file>

<file path=xl/ctrlProps/ctrlProp15.xml><?xml version="1.0" encoding="utf-8"?>
<formControlPr xmlns="http://schemas.microsoft.com/office/spreadsheetml/2009/9/main" objectType="Spin" dx="22" fmlaLink="Values!$D$29" max="3" page="10" val="0"/>
</file>

<file path=xl/ctrlProps/ctrlProp16.xml><?xml version="1.0" encoding="utf-8"?>
<formControlPr xmlns="http://schemas.microsoft.com/office/spreadsheetml/2009/9/main" objectType="Spin" dx="22" fmlaLink="Values!$D$30" max="3" page="10" val="0"/>
</file>

<file path=xl/ctrlProps/ctrlProp17.xml><?xml version="1.0" encoding="utf-8"?>
<formControlPr xmlns="http://schemas.microsoft.com/office/spreadsheetml/2009/9/main" objectType="Spin" dx="22" fmlaLink="Values!$D$31" max="3" page="10" val="0"/>
</file>

<file path=xl/ctrlProps/ctrlProp18.xml><?xml version="1.0" encoding="utf-8"?>
<formControlPr xmlns="http://schemas.microsoft.com/office/spreadsheetml/2009/9/main" objectType="Spin" dx="22" fmlaLink="Values!$D$32" max="3" page="10" val="0"/>
</file>

<file path=xl/ctrlProps/ctrlProp19.xml><?xml version="1.0" encoding="utf-8"?>
<formControlPr xmlns="http://schemas.microsoft.com/office/spreadsheetml/2009/9/main" objectType="Spin" dx="22" fmlaLink="Values!$D$33" max="3" page="10" val="0"/>
</file>

<file path=xl/ctrlProps/ctrlProp20.xml><?xml version="1.0" encoding="utf-8"?>
<formControlPr xmlns="http://schemas.microsoft.com/office/spreadsheetml/2009/9/main" objectType="Spin" dx="22" fmlaLink="Values!$D$34" max="3" page="10" val="0"/>
</file>

<file path=xl/ctrlProps/ctrlProp21.xml><?xml version="1.0" encoding="utf-8"?>
<formControlPr xmlns="http://schemas.microsoft.com/office/spreadsheetml/2009/9/main" objectType="Spin" dx="22" fmlaLink="Values!$D$35" max="3" page="10" val="0"/>
</file>

<file path=xl/ctrlProps/ctrlProp22.xml><?xml version="1.0" encoding="utf-8"?>
<formControlPr xmlns="http://schemas.microsoft.com/office/spreadsheetml/2009/9/main" objectType="Spin" dx="22" fmlaLink="Values!$D$36" max="3" page="10" val="0"/>
</file>

<file path=xl/ctrlProps/ctrlProp23.xml><?xml version="1.0" encoding="utf-8"?>
<formControlPr xmlns="http://schemas.microsoft.com/office/spreadsheetml/2009/9/main" objectType="Spin" dx="22" fmlaLink="Values!$D$37" max="3" page="10" val="0"/>
</file>

<file path=xl/ctrlProps/ctrlProp24.xml><?xml version="1.0" encoding="utf-8"?>
<formControlPr xmlns="http://schemas.microsoft.com/office/spreadsheetml/2009/9/main" objectType="Spin" dx="22" fmlaLink="Values!$D$38" max="3" page="10" val="0"/>
</file>

<file path=xl/ctrlProps/ctrlProp25.xml><?xml version="1.0" encoding="utf-8"?>
<formControlPr xmlns="http://schemas.microsoft.com/office/spreadsheetml/2009/9/main" objectType="Spin" dx="22" fmlaLink="Values!$D$39" max="3" page="10" val="0"/>
</file>

<file path=xl/ctrlProps/ctrlProp26.xml><?xml version="1.0" encoding="utf-8"?>
<formControlPr xmlns="http://schemas.microsoft.com/office/spreadsheetml/2009/9/main" objectType="Spin" dx="22" fmlaLink="Values!$D$40" max="3" page="10" val="0"/>
</file>

<file path=xl/ctrlProps/ctrlProp27.xml><?xml version="1.0" encoding="utf-8"?>
<formControlPr xmlns="http://schemas.microsoft.com/office/spreadsheetml/2009/9/main" objectType="Spin" dx="22" fmlaLink="Values!$D$41" max="3" page="10" val="0"/>
</file>

<file path=xl/ctrlProps/ctrlProp28.xml><?xml version="1.0" encoding="utf-8"?>
<formControlPr xmlns="http://schemas.microsoft.com/office/spreadsheetml/2009/9/main" objectType="Spin" dx="22" fmlaLink="Values!$D$42" max="3" page="10" val="0"/>
</file>

<file path=xl/ctrlProps/ctrlProp29.xml><?xml version="1.0" encoding="utf-8"?>
<formControlPr xmlns="http://schemas.microsoft.com/office/spreadsheetml/2009/9/main" objectType="Spin" dx="22" fmlaLink="Values!$D$43" max="3" page="10" val="0"/>
</file>

<file path=xl/ctrlProps/ctrlProp30.xml><?xml version="1.0" encoding="utf-8"?>
<formControlPr xmlns="http://schemas.microsoft.com/office/spreadsheetml/2009/9/main" objectType="Spin" dx="22" fmlaLink="Values!$D$44" max="3" page="10" val="0"/>
</file>

<file path=xl/ctrlProps/ctrlProp31.xml><?xml version="1.0" encoding="utf-8"?>
<formControlPr xmlns="http://schemas.microsoft.com/office/spreadsheetml/2009/9/main" objectType="Spin" dx="22" fmlaLink="Values!$D$45" max="3" page="10" val="0"/>
</file>

<file path=xl/ctrlProps/ctrlProp32.xml><?xml version="1.0" encoding="utf-8"?>
<formControlPr xmlns="http://schemas.microsoft.com/office/spreadsheetml/2009/9/main" objectType="Spin" dx="22" fmlaLink="Values!$D$46" max="3" page="10" val="0"/>
</file>

<file path=xl/ctrlProps/ctrlProp33.xml><?xml version="1.0" encoding="utf-8"?>
<formControlPr xmlns="http://schemas.microsoft.com/office/spreadsheetml/2009/9/main" objectType="Spin" dx="22" fmlaLink="Values!$D$47" max="3" page="10" val="0"/>
</file>

<file path=xl/ctrlProps/ctrlProp34.xml><?xml version="1.0" encoding="utf-8"?>
<formControlPr xmlns="http://schemas.microsoft.com/office/spreadsheetml/2009/9/main" objectType="Spin" dx="22" fmlaLink="Values!$D$48" max="3" page="10" val="0"/>
</file>

<file path=xl/ctrlProps/ctrlProp35.xml><?xml version="1.0" encoding="utf-8"?>
<formControlPr xmlns="http://schemas.microsoft.com/office/spreadsheetml/2009/9/main" objectType="Spin" dx="22" fmlaLink="Values!$D$49" max="3" page="10" val="0"/>
</file>

<file path=xl/ctrlProps/ctrlProp36.xml><?xml version="1.0" encoding="utf-8"?>
<formControlPr xmlns="http://schemas.microsoft.com/office/spreadsheetml/2009/9/main" objectType="Spin" dx="22" fmlaLink="Values!$D$50" max="3" page="10" val="0"/>
</file>

<file path=xl/ctrlProps/ctrlProp37.xml><?xml version="1.0" encoding="utf-8"?>
<formControlPr xmlns="http://schemas.microsoft.com/office/spreadsheetml/2009/9/main" objectType="Spin" dx="22" fmlaLink="Values!$D$53" max="3" page="10" val="0"/>
</file>

<file path=xl/ctrlProps/ctrlProp38.xml><?xml version="1.0" encoding="utf-8"?>
<formControlPr xmlns="http://schemas.microsoft.com/office/spreadsheetml/2009/9/main" objectType="Spin" dx="22" fmlaLink="Values!$D$54" max="3" page="10" val="0"/>
</file>

<file path=xl/ctrlProps/ctrlProp39.xml><?xml version="1.0" encoding="utf-8"?>
<formControlPr xmlns="http://schemas.microsoft.com/office/spreadsheetml/2009/9/main" objectType="Spin" dx="22" fmlaLink="Values!$D$55" max="3" page="10" val="0"/>
</file>

<file path=xl/ctrlProps/ctrlProp40.xml><?xml version="1.0" encoding="utf-8"?>
<formControlPr xmlns="http://schemas.microsoft.com/office/spreadsheetml/2009/9/main" objectType="Spin" dx="22" fmlaLink="Values!$D$56" max="3" page="10" val="0"/>
</file>

<file path=xl/ctrlProps/ctrlProp41.xml><?xml version="1.0" encoding="utf-8"?>
<formControlPr xmlns="http://schemas.microsoft.com/office/spreadsheetml/2009/9/main" objectType="Spin" dx="22" fmlaLink="Values!$D$57" max="3" page="10" val="0"/>
</file>

<file path=xl/ctrlProps/ctrlProp42.xml><?xml version="1.0" encoding="utf-8"?>
<formControlPr xmlns="http://schemas.microsoft.com/office/spreadsheetml/2009/9/main" objectType="Spin" dx="22" fmlaLink="Values!$D$58" max="3" page="10" val="0"/>
</file>

<file path=xl/ctrlProps/ctrlProp43.xml><?xml version="1.0" encoding="utf-8"?>
<formControlPr xmlns="http://schemas.microsoft.com/office/spreadsheetml/2009/9/main" objectType="CheckBox" fmlaLink="Values!$F$132" lockText="1" noThreeD="1"/>
</file>

<file path=xl/ctrlProps/ctrlProp44.xml><?xml version="1.0" encoding="utf-8"?>
<formControlPr xmlns="http://schemas.microsoft.com/office/spreadsheetml/2009/9/main" objectType="Spin" dx="22" fmlaLink="Values!$D$73" max="5" page="10" val="0"/>
</file>

<file path=xl/ctrlProps/ctrlProp45.xml><?xml version="1.0" encoding="utf-8"?>
<formControlPr xmlns="http://schemas.microsoft.com/office/spreadsheetml/2009/9/main" objectType="Spin" dx="22" fmlaLink="Values!$D$74" max="5" page="10" val="0"/>
</file>

<file path=xl/ctrlProps/ctrlProp46.xml><?xml version="1.0" encoding="utf-8"?>
<formControlPr xmlns="http://schemas.microsoft.com/office/spreadsheetml/2009/9/main" objectType="Spin" dx="22" fmlaLink="Values!$D$75" max="5" page="10" val="0"/>
</file>

<file path=xl/ctrlProps/ctrlProp47.xml><?xml version="1.0" encoding="utf-8"?>
<formControlPr xmlns="http://schemas.microsoft.com/office/spreadsheetml/2009/9/main" objectType="Spin" dx="22" fmlaLink="Values!$D$76" max="5" page="10" val="0"/>
</file>

<file path=xl/ctrlProps/ctrlProp48.xml><?xml version="1.0" encoding="utf-8"?>
<formControlPr xmlns="http://schemas.microsoft.com/office/spreadsheetml/2009/9/main" objectType="Spin" dx="22" fmlaLink="Values!$D$77" max="5" page="10" val="0"/>
</file>

<file path=xl/ctrlProps/ctrlProp49.xml><?xml version="1.0" encoding="utf-8"?>
<formControlPr xmlns="http://schemas.microsoft.com/office/spreadsheetml/2009/9/main" objectType="Spin" dx="22" fmlaLink="Values!$D$78" max="5" page="10" val="0"/>
</file>

<file path=xl/ctrlProps/ctrlProp50.xml><?xml version="1.0" encoding="utf-8"?>
<formControlPr xmlns="http://schemas.microsoft.com/office/spreadsheetml/2009/9/main" objectType="Spin" dx="22" fmlaLink="Values!$D$79" max="5" page="10" val="0"/>
</file>

<file path=xl/ctrlProps/ctrlProp51.xml><?xml version="1.0" encoding="utf-8"?>
<formControlPr xmlns="http://schemas.microsoft.com/office/spreadsheetml/2009/9/main" objectType="Spin" dx="22" fmlaLink="Values!$D$80" max="5" page="10" val="0"/>
</file>

<file path=xl/ctrlProps/ctrlProp52.xml><?xml version="1.0" encoding="utf-8"?>
<formControlPr xmlns="http://schemas.microsoft.com/office/spreadsheetml/2009/9/main" objectType="Spin" dx="22" fmlaLink="Values!$D$81" max="5" page="10" val="0"/>
</file>

<file path=xl/ctrlProps/ctrlProp53.xml><?xml version="1.0" encoding="utf-8"?>
<formControlPr xmlns="http://schemas.microsoft.com/office/spreadsheetml/2009/9/main" objectType="Spin" dx="22" fmlaLink="Values!$D82" max="5" page="10" val="0"/>
</file>

<file path=xl/ctrlProps/ctrlProp54.xml><?xml version="1.0" encoding="utf-8"?>
<formControlPr xmlns="http://schemas.microsoft.com/office/spreadsheetml/2009/9/main" objectType="Spin" dx="22" fmlaLink="Values!$D83" max="5" page="10" val="0"/>
</file>

<file path=xl/ctrlProps/ctrlProp55.xml><?xml version="1.0" encoding="utf-8"?>
<formControlPr xmlns="http://schemas.microsoft.com/office/spreadsheetml/2009/9/main" objectType="Spin" dx="22" fmlaLink="Values!$D84" max="5" page="10" val="0"/>
</file>

<file path=xl/ctrlProps/ctrlProp56.xml><?xml version="1.0" encoding="utf-8"?>
<formControlPr xmlns="http://schemas.microsoft.com/office/spreadsheetml/2009/9/main" objectType="Spin" dx="22" fmlaLink="Values!$D85" max="5" page="10" val="0"/>
</file>

<file path=xl/ctrlProps/ctrlProp57.xml><?xml version="1.0" encoding="utf-8"?>
<formControlPr xmlns="http://schemas.microsoft.com/office/spreadsheetml/2009/9/main" objectType="Spin" dx="22" fmlaLink="Values!$D86" max="5" page="10" val="0"/>
</file>

<file path=xl/ctrlProps/ctrlProp58.xml><?xml version="1.0" encoding="utf-8"?>
<formControlPr xmlns="http://schemas.microsoft.com/office/spreadsheetml/2009/9/main" objectType="Spin" dx="22" fmlaLink="Values!$D87" max="5" page="10" val="0"/>
</file>

<file path=xl/ctrlProps/ctrlProp59.xml><?xml version="1.0" encoding="utf-8"?>
<formControlPr xmlns="http://schemas.microsoft.com/office/spreadsheetml/2009/9/main" objectType="Spin" dx="22" fmlaLink="Values!$D88" max="5" page="10" val="0"/>
</file>

<file path=xl/ctrlProps/ctrlProp60.xml><?xml version="1.0" encoding="utf-8"?>
<formControlPr xmlns="http://schemas.microsoft.com/office/spreadsheetml/2009/9/main" objectType="Spin" dx="22" fmlaLink="Values!$D89" max="5" page="10" val="0"/>
</file>

<file path=xl/ctrlProps/ctrlProp61.xml><?xml version="1.0" encoding="utf-8"?>
<formControlPr xmlns="http://schemas.microsoft.com/office/spreadsheetml/2009/9/main" objectType="Spin" dx="22" fmlaLink="Values!$D90" max="5" page="10" val="0"/>
</file>

<file path=xl/ctrlProps/ctrlProp62.xml><?xml version="1.0" encoding="utf-8"?>
<formControlPr xmlns="http://schemas.microsoft.com/office/spreadsheetml/2009/9/main" objectType="Spin" dx="22" fmlaLink="Values!$D91" max="5" page="10" val="0"/>
</file>

<file path=xl/ctrlProps/ctrlProp63.xml><?xml version="1.0" encoding="utf-8"?>
<formControlPr xmlns="http://schemas.microsoft.com/office/spreadsheetml/2009/9/main" objectType="Spin" dx="22" fmlaLink="Values!$D92" max="5" page="10" val="0"/>
</file>

<file path=xl/ctrlProps/ctrlProp64.xml><?xml version="1.0" encoding="utf-8"?>
<formControlPr xmlns="http://schemas.microsoft.com/office/spreadsheetml/2009/9/main" objectType="Spin" dx="22" fmlaLink="Values!$D93" max="5" page="10" val="0"/>
</file>

<file path=xl/ctrlProps/ctrlProp65.xml><?xml version="1.0" encoding="utf-8"?>
<formControlPr xmlns="http://schemas.microsoft.com/office/spreadsheetml/2009/9/main" objectType="Spin" dx="22" fmlaLink="Values!$D94" max="5" page="10" val="0"/>
</file>

<file path=xl/ctrlProps/ctrlProp66.xml><?xml version="1.0" encoding="utf-8"?>
<formControlPr xmlns="http://schemas.microsoft.com/office/spreadsheetml/2009/9/main" objectType="CheckBox" fmlaLink="Values!$F$122" lockText="1" noThreeD="1"/>
</file>

<file path=xl/ctrlProps/ctrlProp67.xml><?xml version="1.0" encoding="utf-8"?>
<formControlPr xmlns="http://schemas.microsoft.com/office/spreadsheetml/2009/9/main" objectType="CheckBox" fmlaLink="Values!$F$124" lockText="1" noThreeD="1"/>
</file>

<file path=xl/ctrlProps/ctrlProp68.xml><?xml version="1.0" encoding="utf-8"?>
<formControlPr xmlns="http://schemas.microsoft.com/office/spreadsheetml/2009/9/main" objectType="CheckBox" fmlaLink="Values!$F$126" lockText="1" noThreeD="1"/>
</file>

<file path=xl/ctrlProps/ctrlProp69.xml><?xml version="1.0" encoding="utf-8"?>
<formControlPr xmlns="http://schemas.microsoft.com/office/spreadsheetml/2009/9/main" objectType="CheckBox" fmlaLink="Values!$F$128" lockText="1" noThreeD="1"/>
</file>

<file path=xl/ctrlProps/ctrlProp70.xml><?xml version="1.0" encoding="utf-8"?>
<formControlPr xmlns="http://schemas.microsoft.com/office/spreadsheetml/2009/9/main" objectType="CheckBox" fmlaLink="Values!$F$130" lockText="1" noThreeD="1"/>
</file>

<file path=xl/ctrlProps/ctrlProp71.xml><?xml version="1.0" encoding="utf-8"?>
<formControlPr xmlns="http://schemas.microsoft.com/office/spreadsheetml/2009/9/main" objectType="CheckBox" fmlaLink="Values!$F$134" lockText="1" noThreeD="1"/>
</file>

<file path=xl/ctrlProps/ctrlProp72.xml><?xml version="1.0" encoding="utf-8"?>
<formControlPr xmlns="http://schemas.microsoft.com/office/spreadsheetml/2009/9/main" objectType="CheckBox" fmlaLink="Values!$F$136" lockText="1" noThreeD="1"/>
</file>

<file path=xl/ctrlProps/ctrlProp73.xml><?xml version="1.0" encoding="utf-8"?>
<formControlPr xmlns="http://schemas.microsoft.com/office/spreadsheetml/2009/9/main" objectType="CheckBox" fmlaLink="Values!$D$106" lockText="1" noThreeD="1"/>
</file>

<file path=xl/ctrlProps/ctrlProp74.xml><?xml version="1.0" encoding="utf-8"?>
<formControlPr xmlns="http://schemas.microsoft.com/office/spreadsheetml/2009/9/main" objectType="CheckBox" fmlaLink="Values!$D$105" lockText="1" noThreeD="1"/>
</file>

<file path=xl/ctrlProps/ctrlProp75.xml><?xml version="1.0" encoding="utf-8"?>
<formControlPr xmlns="http://schemas.microsoft.com/office/spreadsheetml/2009/9/main" objectType="CheckBox" fmlaLink="Values!$D$104" lockText="1" noThreeD="1"/>
</file>

<file path=xl/ctrlProps/ctrlProp76.xml><?xml version="1.0" encoding="utf-8"?>
<formControlPr xmlns="http://schemas.microsoft.com/office/spreadsheetml/2009/9/main" objectType="CheckBox" fmlaLink="Values!$D$108" lockText="1" noThreeD="1"/>
</file>

<file path=xl/ctrlProps/ctrlProp77.xml><?xml version="1.0" encoding="utf-8"?>
<formControlPr xmlns="http://schemas.microsoft.com/office/spreadsheetml/2009/9/main" objectType="CheckBox" fmlaLink="Values!$D$109" lockText="1" noThreeD="1"/>
</file>

<file path=xl/ctrlProps/ctrlProp78.xml><?xml version="1.0" encoding="utf-8"?>
<formControlPr xmlns="http://schemas.microsoft.com/office/spreadsheetml/2009/9/main" objectType="CheckBox" fmlaLink="Values!$D$107" lockText="1" noThreeD="1"/>
</file>

<file path=xl/ctrlProps/ctrlProp79.xml><?xml version="1.0" encoding="utf-8"?>
<formControlPr xmlns="http://schemas.microsoft.com/office/spreadsheetml/2009/9/main" objectType="CheckBox" fmlaLink="Values!$F$113" lockText="1" noThreeD="1"/>
</file>

<file path=xl/ctrlProps/ctrlProp80.xml><?xml version="1.0" encoding="utf-8"?>
<formControlPr xmlns="http://schemas.microsoft.com/office/spreadsheetml/2009/9/main" objectType="CheckBox" fmlaLink="Values!$F$115" lockText="1" noThreeD="1"/>
</file>

<file path=xl/ctrlProps/ctrlProp81.xml><?xml version="1.0" encoding="utf-8"?>
<formControlPr xmlns="http://schemas.microsoft.com/office/spreadsheetml/2009/9/main" objectType="CheckBox" fmlaLink="Values!$F$117" lockText="1" noThreeD="1"/>
</file>

<file path=xl/ctrlProps/ctrlProp82.xml><?xml version="1.0" encoding="utf-8"?>
<formControlPr xmlns="http://schemas.microsoft.com/office/spreadsheetml/2009/9/main" objectType="Spin" dx="22" fmlaLink="Values!$G$11" max="4" page="10" val="0"/>
</file>

<file path=xl/ctrlProps/ctrlProp83.xml><?xml version="1.0" encoding="utf-8"?>
<formControlPr xmlns="http://schemas.microsoft.com/office/spreadsheetml/2009/9/main" objectType="Spin" dx="22" fmlaLink="Values!$G$12" max="4" page="10" val="0"/>
</file>

<file path=xl/ctrlProps/ctrlProp84.xml><?xml version="1.0" encoding="utf-8"?>
<formControlPr xmlns="http://schemas.microsoft.com/office/spreadsheetml/2009/9/main" objectType="Spin" dx="22" fmlaLink="Values!$G$13" max="4" page="10" val="0"/>
</file>

<file path=xl/ctrlProps/ctrlProp85.xml><?xml version="1.0" encoding="utf-8"?>
<formControlPr xmlns="http://schemas.microsoft.com/office/spreadsheetml/2009/9/main" objectType="Spin" dx="22" fmlaLink="Values!$G$15" max="4" page="10" val="0"/>
</file>

<file path=xl/ctrlProps/ctrlProp86.xml><?xml version="1.0" encoding="utf-8"?>
<formControlPr xmlns="http://schemas.microsoft.com/office/spreadsheetml/2009/9/main" objectType="Spin" dx="22" fmlaLink="Values!$G$16" max="4" page="10" val="0"/>
</file>

<file path=xl/ctrlProps/ctrlProp87.xml><?xml version="1.0" encoding="utf-8"?>
<formControlPr xmlns="http://schemas.microsoft.com/office/spreadsheetml/2009/9/main" objectType="Spin" dx="22" fmlaLink="Values!$G$17" max="4" page="10" val="0"/>
</file>

<file path=xl/ctrlProps/ctrlProp88.xml><?xml version="1.0" encoding="utf-8"?>
<formControlPr xmlns="http://schemas.microsoft.com/office/spreadsheetml/2009/9/main" objectType="Spin" dx="22" fmlaLink="Values!$G$19" max="4" page="10" val="0"/>
</file>

<file path=xl/ctrlProps/ctrlProp89.xml><?xml version="1.0" encoding="utf-8"?>
<formControlPr xmlns="http://schemas.microsoft.com/office/spreadsheetml/2009/9/main" objectType="Spin" dx="22" fmlaLink="Values!$G$20" max="4" page="10" val="0"/>
</file>

<file path=xl/ctrlProps/ctrlProp90.xml><?xml version="1.0" encoding="utf-8"?>
<formControlPr xmlns="http://schemas.microsoft.com/office/spreadsheetml/2009/9/main" objectType="Spin" dx="22" fmlaLink="Values!$G$21" max="4" page="10" val="0"/>
</file>

<file path=xl/ctrlProps/ctrlProp91.xml><?xml version="1.0" encoding="utf-8"?>
<formControlPr xmlns="http://schemas.microsoft.com/office/spreadsheetml/2009/9/main" objectType="Spin" dx="22" fmlaLink="Values!$G$25" max="5" page="10" val="0"/>
</file>

<file path=xl/ctrlProps/ctrlProp92.xml><?xml version="1.0" encoding="utf-8"?>
<formControlPr xmlns="http://schemas.microsoft.com/office/spreadsheetml/2009/9/main" objectType="Spin" dx="22" fmlaLink="Values!$G$26" max="5" page="10" val="0"/>
</file>

<file path=xl/ctrlProps/ctrlProp93.xml><?xml version="1.0" encoding="utf-8"?>
<formControlPr xmlns="http://schemas.microsoft.com/office/spreadsheetml/2009/9/main" objectType="Spin" dx="22" fmlaLink="Values!$G$27" max="5" page="10" val="0"/>
</file>

<file path=xl/ctrlProps/ctrlProp94.xml><?xml version="1.0" encoding="utf-8"?>
<formControlPr xmlns="http://schemas.microsoft.com/office/spreadsheetml/2009/9/main" objectType="Spin" dx="22" fmlaLink="Values!$G$28" max="5" page="10" val="0"/>
</file>

<file path=xl/ctrlProps/ctrlProp95.xml><?xml version="1.0" encoding="utf-8"?>
<formControlPr xmlns="http://schemas.microsoft.com/office/spreadsheetml/2009/9/main" objectType="Spin" dx="22" fmlaLink="Values!$G$29" max="5" page="10" val="0"/>
</file>

<file path=xl/ctrlProps/ctrlProp96.xml><?xml version="1.0" encoding="utf-8"?>
<formControlPr xmlns="http://schemas.microsoft.com/office/spreadsheetml/2009/9/main" objectType="Spin" dx="22" fmlaLink="Values!$G$30" max="5" page="10" val="0"/>
</file>

<file path=xl/ctrlProps/ctrlProp97.xml><?xml version="1.0" encoding="utf-8"?>
<formControlPr xmlns="http://schemas.microsoft.com/office/spreadsheetml/2009/9/main" objectType="Spin" dx="22" fmlaLink="Values!$G$31" max="5" page="10" val="0"/>
</file>

<file path=xl/ctrlProps/ctrlProp98.xml><?xml version="1.0" encoding="utf-8"?>
<formControlPr xmlns="http://schemas.microsoft.com/office/spreadsheetml/2009/9/main" objectType="Spin" dx="22" fmlaLink="Values!$G$32" max="5" page="10" val="0"/>
</file>

<file path=xl/ctrlProps/ctrlProp99.xml><?xml version="1.0" encoding="utf-8"?>
<formControlPr xmlns="http://schemas.microsoft.com/office/spreadsheetml/2009/9/main" objectType="Spin" dx="22" fmlaLink="Values!$G$33" max="5" page="10" val="0"/>
</file>

<file path=xl/ctrlProps/ctrlProp100.xml><?xml version="1.0" encoding="utf-8"?>
<formControlPr xmlns="http://schemas.microsoft.com/office/spreadsheetml/2009/9/main" objectType="Spin" dx="22" fmlaLink="Values!$G$34" max="5" page="10" val="0"/>
</file>

<file path=xl/ctrlProps/ctrlProp101.xml><?xml version="1.0" encoding="utf-8"?>
<formControlPr xmlns="http://schemas.microsoft.com/office/spreadsheetml/2009/9/main" objectType="Spin" dx="22" fmlaLink="Values!$G$35" max="5" page="10" val="0"/>
</file>

<file path=xl/ctrlProps/ctrlProp102.xml><?xml version="1.0" encoding="utf-8"?>
<formControlPr xmlns="http://schemas.microsoft.com/office/spreadsheetml/2009/9/main" objectType="Spin" dx="22" fmlaLink="Values!$G$36" max="5" page="10" val="0"/>
</file>

<file path=xl/ctrlProps/ctrlProp103.xml><?xml version="1.0" encoding="utf-8"?>
<formControlPr xmlns="http://schemas.microsoft.com/office/spreadsheetml/2009/9/main" objectType="Spin" dx="22" fmlaLink="Values!$G$37" max="5" page="10" val="0"/>
</file>

<file path=xl/ctrlProps/ctrlProp104.xml><?xml version="1.0" encoding="utf-8"?>
<formControlPr xmlns="http://schemas.microsoft.com/office/spreadsheetml/2009/9/main" objectType="Spin" dx="22" fmlaLink="Values!$G$38" max="5" page="10" val="0"/>
</file>

<file path=xl/ctrlProps/ctrlProp105.xml><?xml version="1.0" encoding="utf-8"?>
<formControlPr xmlns="http://schemas.microsoft.com/office/spreadsheetml/2009/9/main" objectType="Spin" dx="22" fmlaLink="Values!$G$39" max="5" page="10" val="0"/>
</file>

<file path=xl/ctrlProps/ctrlProp106.xml><?xml version="1.0" encoding="utf-8"?>
<formControlPr xmlns="http://schemas.microsoft.com/office/spreadsheetml/2009/9/main" objectType="Spin" dx="22" fmlaLink="Values!$G$40" max="5" page="10" val="0"/>
</file>

<file path=xl/ctrlProps/ctrlProp107.xml><?xml version="1.0" encoding="utf-8"?>
<formControlPr xmlns="http://schemas.microsoft.com/office/spreadsheetml/2009/9/main" objectType="Spin" dx="22" fmlaLink="Values!$G$41" max="5" page="10" val="0"/>
</file>

<file path=xl/ctrlProps/ctrlProp108.xml><?xml version="1.0" encoding="utf-8"?>
<formControlPr xmlns="http://schemas.microsoft.com/office/spreadsheetml/2009/9/main" objectType="Spin" dx="22" fmlaLink="Values!$G$42" max="5" page="10" val="0"/>
</file>

<file path=xl/ctrlProps/ctrlProp109.xml><?xml version="1.0" encoding="utf-8"?>
<formControlPr xmlns="http://schemas.microsoft.com/office/spreadsheetml/2009/9/main" objectType="Spin" dx="22" fmlaLink="Values!$G$43" max="5" page="10" val="0"/>
</file>

<file path=xl/ctrlProps/ctrlProp110.xml><?xml version="1.0" encoding="utf-8"?>
<formControlPr xmlns="http://schemas.microsoft.com/office/spreadsheetml/2009/9/main" objectType="Spin" dx="22" fmlaLink="Values!$G$44" max="5" page="10" val="0"/>
</file>

<file path=xl/ctrlProps/ctrlProp111.xml><?xml version="1.0" encoding="utf-8"?>
<formControlPr xmlns="http://schemas.microsoft.com/office/spreadsheetml/2009/9/main" objectType="Spin" dx="22" fmlaLink="Values!$G$45" max="5" page="10" val="0"/>
</file>

<file path=xl/ctrlProps/ctrlProp112.xml><?xml version="1.0" encoding="utf-8"?>
<formControlPr xmlns="http://schemas.microsoft.com/office/spreadsheetml/2009/9/main" objectType="Spin" dx="22" fmlaLink="Values!$G$46" max="5" page="10" val="0"/>
</file>

<file path=xl/ctrlProps/ctrlProp113.xml><?xml version="1.0" encoding="utf-8"?>
<formControlPr xmlns="http://schemas.microsoft.com/office/spreadsheetml/2009/9/main" objectType="Spin" dx="22" fmlaLink="Values!$G$47" max="5" page="10" val="0"/>
</file>

<file path=xl/ctrlProps/ctrlProp114.xml><?xml version="1.0" encoding="utf-8"?>
<formControlPr xmlns="http://schemas.microsoft.com/office/spreadsheetml/2009/9/main" objectType="Spin" dx="22" fmlaLink="Values!$G$48" max="5" page="10" val="0"/>
</file>

<file path=xl/ctrlProps/ctrlProp115.xml><?xml version="1.0" encoding="utf-8"?>
<formControlPr xmlns="http://schemas.microsoft.com/office/spreadsheetml/2009/9/main" objectType="Spin" dx="22" fmlaLink="Values!$G$49" max="5" page="10" val="0"/>
</file>

<file path=xl/ctrlProps/ctrlProp116.xml><?xml version="1.0" encoding="utf-8"?>
<formControlPr xmlns="http://schemas.microsoft.com/office/spreadsheetml/2009/9/main" objectType="Spin" dx="22" fmlaLink="Values!$G$50" max="5" page="10" val="0"/>
</file>

<file path=xl/ctrlProps/ctrlProp117.xml><?xml version="1.0" encoding="utf-8"?>
<formControlPr xmlns="http://schemas.microsoft.com/office/spreadsheetml/2009/9/main" objectType="Spin" dx="22" fmlaLink="Values!$G$53" max="5" page="10" val="0"/>
</file>

<file path=xl/ctrlProps/ctrlProp118.xml><?xml version="1.0" encoding="utf-8"?>
<formControlPr xmlns="http://schemas.microsoft.com/office/spreadsheetml/2009/9/main" objectType="Spin" dx="22" fmlaLink="Values!$G$54" max="5" page="10" val="0"/>
</file>

<file path=xl/ctrlProps/ctrlProp119.xml><?xml version="1.0" encoding="utf-8"?>
<formControlPr xmlns="http://schemas.microsoft.com/office/spreadsheetml/2009/9/main" objectType="Spin" dx="22" fmlaLink="Values!$G$55" max="5" page="10" val="0"/>
</file>

<file path=xl/ctrlProps/ctrlProp120.xml><?xml version="1.0" encoding="utf-8"?>
<formControlPr xmlns="http://schemas.microsoft.com/office/spreadsheetml/2009/9/main" objectType="Spin" dx="22" fmlaLink="Values!$G$56" max="5" page="10" val="0"/>
</file>

<file path=xl/ctrlProps/ctrlProp121.xml><?xml version="1.0" encoding="utf-8"?>
<formControlPr xmlns="http://schemas.microsoft.com/office/spreadsheetml/2009/9/main" objectType="Spin" dx="22" fmlaLink="Values!$G$57" max="5" page="10" val="0"/>
</file>

<file path=xl/ctrlProps/ctrlProp122.xml><?xml version="1.0" encoding="utf-8"?>
<formControlPr xmlns="http://schemas.microsoft.com/office/spreadsheetml/2009/9/main" objectType="Spin" dx="22" fmlaLink="Values!$G$58" max="5" page="10" val="0"/>
</file>

<file path=xl/ctrlProps/ctrlProp123.xml><?xml version="1.0" encoding="utf-8"?>
<formControlPr xmlns="http://schemas.microsoft.com/office/spreadsheetml/2009/9/main" objectType="Spin" dx="22" fmlaLink="Values!$G$73" max="5" page="10" val="0"/>
</file>

<file path=xl/ctrlProps/ctrlProp124.xml><?xml version="1.0" encoding="utf-8"?>
<formControlPr xmlns="http://schemas.microsoft.com/office/spreadsheetml/2009/9/main" objectType="Spin" dx="22" fmlaLink="Values!$G$74" max="5" page="10" val="0"/>
</file>

<file path=xl/ctrlProps/ctrlProp125.xml><?xml version="1.0" encoding="utf-8"?>
<formControlPr xmlns="http://schemas.microsoft.com/office/spreadsheetml/2009/9/main" objectType="Spin" dx="22" fmlaLink="Values!$G$75" max="5" page="10" val="0"/>
</file>

<file path=xl/ctrlProps/ctrlProp126.xml><?xml version="1.0" encoding="utf-8"?>
<formControlPr xmlns="http://schemas.microsoft.com/office/spreadsheetml/2009/9/main" objectType="Spin" dx="22" fmlaLink="Values!$G$76" max="5" page="10" val="0"/>
</file>

<file path=xl/ctrlProps/ctrlProp127.xml><?xml version="1.0" encoding="utf-8"?>
<formControlPr xmlns="http://schemas.microsoft.com/office/spreadsheetml/2009/9/main" objectType="Spin" dx="22" fmlaLink="Values!$G$77" max="5" page="10" val="0"/>
</file>

<file path=xl/ctrlProps/ctrlProp128.xml><?xml version="1.0" encoding="utf-8"?>
<formControlPr xmlns="http://schemas.microsoft.com/office/spreadsheetml/2009/9/main" objectType="Spin" dx="22" fmlaLink="Values!$G$78" max="5" page="10" val="0"/>
</file>

<file path=xl/ctrlProps/ctrlProp129.xml><?xml version="1.0" encoding="utf-8"?>
<formControlPr xmlns="http://schemas.microsoft.com/office/spreadsheetml/2009/9/main" objectType="Spin" dx="22" fmlaLink="Values!$G$79" max="5" page="10" val="0"/>
</file>

<file path=xl/ctrlProps/ctrlProp130.xml><?xml version="1.0" encoding="utf-8"?>
<formControlPr xmlns="http://schemas.microsoft.com/office/spreadsheetml/2009/9/main" objectType="Spin" dx="22" fmlaLink="Values!$G$80" max="5" page="10" val="0"/>
</file>

<file path=xl/ctrlProps/ctrlProp131.xml><?xml version="1.0" encoding="utf-8"?>
<formControlPr xmlns="http://schemas.microsoft.com/office/spreadsheetml/2009/9/main" objectType="Spin" dx="22" fmlaLink="Values!$G$81" max="5" page="10" val="0"/>
</file>

<file path=xl/ctrlProps/ctrlProp132.xml><?xml version="1.0" encoding="utf-8"?>
<formControlPr xmlns="http://schemas.microsoft.com/office/spreadsheetml/2009/9/main" objectType="Spin" dx="22" fmlaLink="Values!$G82" max="5" page="10" val="0"/>
</file>

<file path=xl/ctrlProps/ctrlProp133.xml><?xml version="1.0" encoding="utf-8"?>
<formControlPr xmlns="http://schemas.microsoft.com/office/spreadsheetml/2009/9/main" objectType="Spin" dx="22" fmlaLink="Values!$G83" max="5" page="10" val="0"/>
</file>

<file path=xl/ctrlProps/ctrlProp134.xml><?xml version="1.0" encoding="utf-8"?>
<formControlPr xmlns="http://schemas.microsoft.com/office/spreadsheetml/2009/9/main" objectType="Spin" dx="22" fmlaLink="Values!$G84" max="5" page="10" val="0"/>
</file>

<file path=xl/ctrlProps/ctrlProp135.xml><?xml version="1.0" encoding="utf-8"?>
<formControlPr xmlns="http://schemas.microsoft.com/office/spreadsheetml/2009/9/main" objectType="Spin" dx="22" fmlaLink="Values!$G85" max="5" page="10" val="0"/>
</file>

<file path=xl/ctrlProps/ctrlProp136.xml><?xml version="1.0" encoding="utf-8"?>
<formControlPr xmlns="http://schemas.microsoft.com/office/spreadsheetml/2009/9/main" objectType="Spin" dx="22" fmlaLink="Values!$G86" max="5" page="10" val="0"/>
</file>

<file path=xl/ctrlProps/ctrlProp137.xml><?xml version="1.0" encoding="utf-8"?>
<formControlPr xmlns="http://schemas.microsoft.com/office/spreadsheetml/2009/9/main" objectType="Spin" dx="22" fmlaLink="Values!$G87" max="5" page="10" val="0"/>
</file>

<file path=xl/ctrlProps/ctrlProp138.xml><?xml version="1.0" encoding="utf-8"?>
<formControlPr xmlns="http://schemas.microsoft.com/office/spreadsheetml/2009/9/main" objectType="Spin" dx="22" fmlaLink="Values!$G88" max="5" page="10" val="0"/>
</file>

<file path=xl/ctrlProps/ctrlProp139.xml><?xml version="1.0" encoding="utf-8"?>
<formControlPr xmlns="http://schemas.microsoft.com/office/spreadsheetml/2009/9/main" objectType="Spin" dx="22" fmlaLink="Values!$G89" max="5" page="10" val="0"/>
</file>

<file path=xl/ctrlProps/ctrlProp140.xml><?xml version="1.0" encoding="utf-8"?>
<formControlPr xmlns="http://schemas.microsoft.com/office/spreadsheetml/2009/9/main" objectType="Spin" dx="22" fmlaLink="Values!$G90" max="5" page="10" val="0"/>
</file>

<file path=xl/ctrlProps/ctrlProp141.xml><?xml version="1.0" encoding="utf-8"?>
<formControlPr xmlns="http://schemas.microsoft.com/office/spreadsheetml/2009/9/main" objectType="Spin" dx="22" fmlaLink="Values!$G91" max="5" page="10" val="0"/>
</file>

<file path=xl/ctrlProps/ctrlProp142.xml><?xml version="1.0" encoding="utf-8"?>
<formControlPr xmlns="http://schemas.microsoft.com/office/spreadsheetml/2009/9/main" objectType="Spin" dx="22" fmlaLink="Values!$G92" max="5" page="10" val="0"/>
</file>

<file path=xl/ctrlProps/ctrlProp143.xml><?xml version="1.0" encoding="utf-8"?>
<formControlPr xmlns="http://schemas.microsoft.com/office/spreadsheetml/2009/9/main" objectType="Spin" dx="22" fmlaLink="Values!$G93" max="5" page="10" val="0"/>
</file>

<file path=xl/ctrlProps/ctrlProp144.xml><?xml version="1.0" encoding="utf-8"?>
<formControlPr xmlns="http://schemas.microsoft.com/office/spreadsheetml/2009/9/main" objectType="Spin" dx="22" fmlaLink="Values!$G94" max="5" page="10" val="0"/>
</file>

<file path=xl/ctrlProps/ctrlProp145.xml><?xml version="1.0" encoding="utf-8"?>
<formControlPr xmlns="http://schemas.microsoft.com/office/spreadsheetml/2009/9/main" objectType="CheckBox" fmlaLink="Values!$F$122" lockText="1" noThreeD="1"/>
</file>

<file path=xl/ctrlProps/ctrlProp146.xml><?xml version="1.0" encoding="utf-8"?>
<formControlPr xmlns="http://schemas.microsoft.com/office/spreadsheetml/2009/9/main" objectType="CheckBox" fmlaLink="Values!$F$124" lockText="1" noThreeD="1"/>
</file>

<file path=xl/ctrlProps/ctrlProp147.xml><?xml version="1.0" encoding="utf-8"?>
<formControlPr xmlns="http://schemas.microsoft.com/office/spreadsheetml/2009/9/main" objectType="CheckBox" fmlaLink="Values!$D$106" lockText="1" noThreeD="1"/>
</file>

<file path=xl/ctrlProps/ctrlProp148.xml><?xml version="1.0" encoding="utf-8"?>
<formControlPr xmlns="http://schemas.microsoft.com/office/spreadsheetml/2009/9/main" objectType="CheckBox" fmlaLink="Values!$D$105" lockText="1" noThreeD="1"/>
</file>

<file path=xl/ctrlProps/ctrlProp149.xml><?xml version="1.0" encoding="utf-8"?>
<formControlPr xmlns="http://schemas.microsoft.com/office/spreadsheetml/2009/9/main" objectType="CheckBox" fmlaLink="Values!$D$104" lockText="1" noThreeD="1"/>
</file>

<file path=xl/ctrlProps/ctrlProp150.xml><?xml version="1.0" encoding="utf-8"?>
<formControlPr xmlns="http://schemas.microsoft.com/office/spreadsheetml/2009/9/main" objectType="CheckBox" fmlaLink="Values!$D$108" lockText="1" noThreeD="1"/>
</file>

<file path=xl/ctrlProps/ctrlProp151.xml><?xml version="1.0" encoding="utf-8"?>
<formControlPr xmlns="http://schemas.microsoft.com/office/spreadsheetml/2009/9/main" objectType="CheckBox" fmlaLink="Values!$D$109" lockText="1" noThreeD="1"/>
</file>

<file path=xl/ctrlProps/ctrlProp152.xml><?xml version="1.0" encoding="utf-8"?>
<formControlPr xmlns="http://schemas.microsoft.com/office/spreadsheetml/2009/9/main" objectType="CheckBox" fmlaLink="Values!$D$107" lockText="1" noThreeD="1"/>
</file>

<file path=xl/ctrlProps/ctrlProp153.xml><?xml version="1.0" encoding="utf-8"?>
<formControlPr xmlns="http://schemas.microsoft.com/office/spreadsheetml/2009/9/main" objectType="CheckBox" fmlaLink="Values!$F$113" lockText="1" noThreeD="1"/>
</file>

<file path=xl/ctrlProps/ctrlProp154.xml><?xml version="1.0" encoding="utf-8"?>
<formControlPr xmlns="http://schemas.microsoft.com/office/spreadsheetml/2009/9/main" objectType="CheckBox" fmlaLink="Values!$F$115" lockText="1" noThreeD="1"/>
</file>

<file path=xl/ctrlProps/ctrlProp155.xml><?xml version="1.0" encoding="utf-8"?>
<formControlPr xmlns="http://schemas.microsoft.com/office/spreadsheetml/2009/9/main" objectType="CheckBox" fmlaLink="Values!$F$117" lockText="1" noThreeD="1"/>
</file>

<file path=xl/ctrlProps/ctrlProp156.xml><?xml version="1.0" encoding="utf-8"?>
<formControlPr xmlns="http://schemas.microsoft.com/office/spreadsheetml/2009/9/main" objectType="CheckBox" fmlaLink="Values!$F$126" lockText="1" noThreeD="1"/>
</file>

<file path=xl/ctrlProps/ctrlProp157.xml><?xml version="1.0" encoding="utf-8"?>
<formControlPr xmlns="http://schemas.microsoft.com/office/spreadsheetml/2009/9/main" objectType="CheckBox" fmlaLink="Values!$F$126" lockText="1" noThreeD="1"/>
</file>

<file path=xl/ctrlProps/ctrlProp158.xml><?xml version="1.0" encoding="utf-8"?>
<formControlPr xmlns="http://schemas.microsoft.com/office/spreadsheetml/2009/9/main" objectType="CheckBox" fmlaLink="Values!$F$128" lockText="1" noThreeD="1"/>
</file>

<file path=xl/ctrlProps/ctrlProp159.xml><?xml version="1.0" encoding="utf-8"?>
<formControlPr xmlns="http://schemas.microsoft.com/office/spreadsheetml/2009/9/main" objectType="CheckBox" fmlaLink="Values!$F$130" lockText="1" noThreeD="1"/>
</file>

<file path=xl/ctrlProps/ctrlProp160.xml><?xml version="1.0" encoding="utf-8"?>
<formControlPr xmlns="http://schemas.microsoft.com/office/spreadsheetml/2009/9/main" objectType="CheckBox" fmlaLink="Values!$F$132" lockText="1" noThreeD="1"/>
</file>

<file path=xl/ctrlProps/ctrlProp161.xml><?xml version="1.0" encoding="utf-8"?>
<formControlPr xmlns="http://schemas.microsoft.com/office/spreadsheetml/2009/9/main" objectType="CheckBox" fmlaLink="Values!$F$134" lockText="1" noThreeD="1"/>
</file>

<file path=xl/ctrlProps/ctrlProp162.xml><?xml version="1.0" encoding="utf-8"?>
<formControlPr xmlns="http://schemas.microsoft.com/office/spreadsheetml/2009/9/main" objectType="CheckBox" fmlaLink="Values!$F$115" lockText="1" noThreeD="1"/>
</file>

<file path=xl/ctrlProps/ctrlProp163.xml><?xml version="1.0" encoding="utf-8"?>
<formControlPr xmlns="http://schemas.microsoft.com/office/spreadsheetml/2009/9/main" objectType="CheckBox" fmlaLink="Values!$F$117" lockText="1" noThreeD="1"/>
</file>

<file path=xl/ctrlProps/ctrlProp164.xml><?xml version="1.0" encoding="utf-8"?>
<formControlPr xmlns="http://schemas.microsoft.com/office/spreadsheetml/2009/9/main" objectType="Spin" dx="22" fmlaLink="Values!$G$97" max="7" page="10" val="0"/>
</file>

<file path=xl/ctrlProps/ctrlProp165.xml><?xml version="1.0" encoding="utf-8"?>
<formControlPr xmlns="http://schemas.microsoft.com/office/spreadsheetml/2009/9/main" objectType="CheckBox" fmlaLink="Values!$F$115" lockText="1" noThreeD="1"/>
</file>

<file path=xl/ctrlProps/ctrlProp166.xml><?xml version="1.0" encoding="utf-8"?>
<formControlPr xmlns="http://schemas.microsoft.com/office/spreadsheetml/2009/9/main" objectType="Spin" dx="22" fmlaLink="Values!$P$11" max="4" page="10" val="0"/>
</file>

<file path=xl/ctrlProps/ctrlProp167.xml><?xml version="1.0" encoding="utf-8"?>
<formControlPr xmlns="http://schemas.microsoft.com/office/spreadsheetml/2009/9/main" objectType="Spin" dx="22" fmlaLink="Values!$P$12" max="4" page="10" val="0"/>
</file>

<file path=xl/ctrlProps/ctrlProp168.xml><?xml version="1.0" encoding="utf-8"?>
<formControlPr xmlns="http://schemas.microsoft.com/office/spreadsheetml/2009/9/main" objectType="Spin" dx="22" fmlaLink="Values!$P$13" max="4" page="10" val="0"/>
</file>

<file path=xl/ctrlProps/ctrlProp169.xml><?xml version="1.0" encoding="utf-8"?>
<formControlPr xmlns="http://schemas.microsoft.com/office/spreadsheetml/2009/9/main" objectType="Spin" dx="22" fmlaLink="Values!$P$15" max="4" page="10" val="0"/>
</file>

<file path=xl/ctrlProps/ctrlProp170.xml><?xml version="1.0" encoding="utf-8"?>
<formControlPr xmlns="http://schemas.microsoft.com/office/spreadsheetml/2009/9/main" objectType="Spin" dx="22" fmlaLink="Values!$P$16" max="4" page="10" val="0"/>
</file>

<file path=xl/ctrlProps/ctrlProp171.xml><?xml version="1.0" encoding="utf-8"?>
<formControlPr xmlns="http://schemas.microsoft.com/office/spreadsheetml/2009/9/main" objectType="Spin" dx="22" fmlaLink="Values!$P$17" max="4" page="10" val="0"/>
</file>

<file path=xl/ctrlProps/ctrlProp172.xml><?xml version="1.0" encoding="utf-8"?>
<formControlPr xmlns="http://schemas.microsoft.com/office/spreadsheetml/2009/9/main" objectType="Spin" dx="22" fmlaLink="Values!$P$19" max="4" page="10" val="0"/>
</file>

<file path=xl/ctrlProps/ctrlProp173.xml><?xml version="1.0" encoding="utf-8"?>
<formControlPr xmlns="http://schemas.microsoft.com/office/spreadsheetml/2009/9/main" objectType="Spin" dx="22" fmlaLink="Values!$P$20" max="4" page="10" val="0"/>
</file>

<file path=xl/ctrlProps/ctrlProp174.xml><?xml version="1.0" encoding="utf-8"?>
<formControlPr xmlns="http://schemas.microsoft.com/office/spreadsheetml/2009/9/main" objectType="Spin" dx="22" fmlaLink="Values!$P$21" max="4" page="10" val="0"/>
</file>

<file path=xl/ctrlProps/ctrlProp175.xml><?xml version="1.0" encoding="utf-8"?>
<formControlPr xmlns="http://schemas.microsoft.com/office/spreadsheetml/2009/9/main" objectType="Spin" dx="22" fmlaLink="Values!$P$25" max="5" page="10" val="0"/>
</file>

<file path=xl/ctrlProps/ctrlProp176.xml><?xml version="1.0" encoding="utf-8"?>
<formControlPr xmlns="http://schemas.microsoft.com/office/spreadsheetml/2009/9/main" objectType="Spin" dx="22" fmlaLink="Values!$P$26" max="5" page="10" val="0"/>
</file>

<file path=xl/ctrlProps/ctrlProp177.xml><?xml version="1.0" encoding="utf-8"?>
<formControlPr xmlns="http://schemas.microsoft.com/office/spreadsheetml/2009/9/main" objectType="Spin" dx="22" fmlaLink="Values!$P$27" max="5" page="10" val="0"/>
</file>

<file path=xl/ctrlProps/ctrlProp178.xml><?xml version="1.0" encoding="utf-8"?>
<formControlPr xmlns="http://schemas.microsoft.com/office/spreadsheetml/2009/9/main" objectType="Spin" dx="22" fmlaLink="Values!$P$28" max="5" page="10" val="0"/>
</file>

<file path=xl/ctrlProps/ctrlProp179.xml><?xml version="1.0" encoding="utf-8"?>
<formControlPr xmlns="http://schemas.microsoft.com/office/spreadsheetml/2009/9/main" objectType="Spin" dx="22" fmlaLink="Values!$P$29" max="5" page="10" val="0"/>
</file>

<file path=xl/ctrlProps/ctrlProp180.xml><?xml version="1.0" encoding="utf-8"?>
<formControlPr xmlns="http://schemas.microsoft.com/office/spreadsheetml/2009/9/main" objectType="Spin" dx="22" fmlaLink="Values!$P$30" max="5" page="10" val="0"/>
</file>

<file path=xl/ctrlProps/ctrlProp181.xml><?xml version="1.0" encoding="utf-8"?>
<formControlPr xmlns="http://schemas.microsoft.com/office/spreadsheetml/2009/9/main" objectType="Spin" dx="22" fmlaLink="Values!$P$31" max="5" page="10" val="0"/>
</file>

<file path=xl/ctrlProps/ctrlProp182.xml><?xml version="1.0" encoding="utf-8"?>
<formControlPr xmlns="http://schemas.microsoft.com/office/spreadsheetml/2009/9/main" objectType="Spin" dx="22" fmlaLink="Values!$P$32" max="5" page="10" val="0"/>
</file>

<file path=xl/ctrlProps/ctrlProp183.xml><?xml version="1.0" encoding="utf-8"?>
<formControlPr xmlns="http://schemas.microsoft.com/office/spreadsheetml/2009/9/main" objectType="Spin" dx="22" fmlaLink="Values!$P$33" max="5" page="10" val="0"/>
</file>

<file path=xl/ctrlProps/ctrlProp184.xml><?xml version="1.0" encoding="utf-8"?>
<formControlPr xmlns="http://schemas.microsoft.com/office/spreadsheetml/2009/9/main" objectType="Spin" dx="22" fmlaLink="Values!$P$34" max="5" page="10" val="0"/>
</file>

<file path=xl/ctrlProps/ctrlProp185.xml><?xml version="1.0" encoding="utf-8"?>
<formControlPr xmlns="http://schemas.microsoft.com/office/spreadsheetml/2009/9/main" objectType="Spin" dx="22" fmlaLink="Values!$P$35" max="5" page="10" val="0"/>
</file>

<file path=xl/ctrlProps/ctrlProp186.xml><?xml version="1.0" encoding="utf-8"?>
<formControlPr xmlns="http://schemas.microsoft.com/office/spreadsheetml/2009/9/main" objectType="Spin" dx="22" fmlaLink="Values!$P$36" max="5" page="10" val="0"/>
</file>

<file path=xl/ctrlProps/ctrlProp187.xml><?xml version="1.0" encoding="utf-8"?>
<formControlPr xmlns="http://schemas.microsoft.com/office/spreadsheetml/2009/9/main" objectType="Spin" dx="22" fmlaLink="Values!$P$37" max="5" page="10" val="0"/>
</file>

<file path=xl/ctrlProps/ctrlProp188.xml><?xml version="1.0" encoding="utf-8"?>
<formControlPr xmlns="http://schemas.microsoft.com/office/spreadsheetml/2009/9/main" objectType="Spin" dx="22" fmlaLink="Values!$P$38" max="5" page="10" val="0"/>
</file>

<file path=xl/ctrlProps/ctrlProp189.xml><?xml version="1.0" encoding="utf-8"?>
<formControlPr xmlns="http://schemas.microsoft.com/office/spreadsheetml/2009/9/main" objectType="Spin" dx="22" fmlaLink="Values!$P$39" max="5" page="10" val="0"/>
</file>

<file path=xl/ctrlProps/ctrlProp190.xml><?xml version="1.0" encoding="utf-8"?>
<formControlPr xmlns="http://schemas.microsoft.com/office/spreadsheetml/2009/9/main" objectType="Spin" dx="22" fmlaLink="Values!$P$40" max="5" page="10" val="0"/>
</file>

<file path=xl/ctrlProps/ctrlProp191.xml><?xml version="1.0" encoding="utf-8"?>
<formControlPr xmlns="http://schemas.microsoft.com/office/spreadsheetml/2009/9/main" objectType="Spin" dx="22" fmlaLink="Values!$P$41" max="5" page="10" val="0"/>
</file>

<file path=xl/ctrlProps/ctrlProp192.xml><?xml version="1.0" encoding="utf-8"?>
<formControlPr xmlns="http://schemas.microsoft.com/office/spreadsheetml/2009/9/main" objectType="Spin" dx="22" fmlaLink="Values!$P$42" max="5" page="10" val="0"/>
</file>

<file path=xl/ctrlProps/ctrlProp193.xml><?xml version="1.0" encoding="utf-8"?>
<formControlPr xmlns="http://schemas.microsoft.com/office/spreadsheetml/2009/9/main" objectType="Spin" dx="22" fmlaLink="Values!$P$43" max="5" page="10" val="0"/>
</file>

<file path=xl/ctrlProps/ctrlProp194.xml><?xml version="1.0" encoding="utf-8"?>
<formControlPr xmlns="http://schemas.microsoft.com/office/spreadsheetml/2009/9/main" objectType="Spin" dx="22" fmlaLink="Values!$P$44" max="5" page="10" val="0"/>
</file>

<file path=xl/ctrlProps/ctrlProp195.xml><?xml version="1.0" encoding="utf-8"?>
<formControlPr xmlns="http://schemas.microsoft.com/office/spreadsheetml/2009/9/main" objectType="Spin" dx="22" fmlaLink="Values!$P$45" max="5" page="10" val="0"/>
</file>

<file path=xl/ctrlProps/ctrlProp196.xml><?xml version="1.0" encoding="utf-8"?>
<formControlPr xmlns="http://schemas.microsoft.com/office/spreadsheetml/2009/9/main" objectType="Spin" dx="22" fmlaLink="Values!$P$46" max="5" page="10" val="0"/>
</file>

<file path=xl/ctrlProps/ctrlProp197.xml><?xml version="1.0" encoding="utf-8"?>
<formControlPr xmlns="http://schemas.microsoft.com/office/spreadsheetml/2009/9/main" objectType="Spin" dx="22" fmlaLink="Values!$P$47" max="5" page="10" val="0"/>
</file>

<file path=xl/ctrlProps/ctrlProp198.xml><?xml version="1.0" encoding="utf-8"?>
<formControlPr xmlns="http://schemas.microsoft.com/office/spreadsheetml/2009/9/main" objectType="Spin" dx="22" fmlaLink="Values!$P$48" max="5" page="10" val="0"/>
</file>

<file path=xl/ctrlProps/ctrlProp199.xml><?xml version="1.0" encoding="utf-8"?>
<formControlPr xmlns="http://schemas.microsoft.com/office/spreadsheetml/2009/9/main" objectType="Spin" dx="22" fmlaLink="Values!$P$49" max="5" page="10" val="0"/>
</file>

<file path=xl/ctrlProps/ctrlProp200.xml><?xml version="1.0" encoding="utf-8"?>
<formControlPr xmlns="http://schemas.microsoft.com/office/spreadsheetml/2009/9/main" objectType="Spin" dx="22" fmlaLink="Values!$P$50" max="5" page="10" val="0"/>
</file>

<file path=xl/ctrlProps/ctrlProp201.xml><?xml version="1.0" encoding="utf-8"?>
<formControlPr xmlns="http://schemas.microsoft.com/office/spreadsheetml/2009/9/main" objectType="Spin" dx="22" fmlaLink="Values!$P$53" max="5" page="10" val="0"/>
</file>

<file path=xl/ctrlProps/ctrlProp202.xml><?xml version="1.0" encoding="utf-8"?>
<formControlPr xmlns="http://schemas.microsoft.com/office/spreadsheetml/2009/9/main" objectType="Spin" dx="22" fmlaLink="Values!$P$54" max="5" page="10" val="0"/>
</file>

<file path=xl/ctrlProps/ctrlProp203.xml><?xml version="1.0" encoding="utf-8"?>
<formControlPr xmlns="http://schemas.microsoft.com/office/spreadsheetml/2009/9/main" objectType="Spin" dx="22" fmlaLink="Values!$P$55" max="5" page="10" val="0"/>
</file>

<file path=xl/ctrlProps/ctrlProp204.xml><?xml version="1.0" encoding="utf-8"?>
<formControlPr xmlns="http://schemas.microsoft.com/office/spreadsheetml/2009/9/main" objectType="Spin" dx="22" fmlaLink="Values!$P$56" max="5" page="10" val="0"/>
</file>

<file path=xl/ctrlProps/ctrlProp205.xml><?xml version="1.0" encoding="utf-8"?>
<formControlPr xmlns="http://schemas.microsoft.com/office/spreadsheetml/2009/9/main" objectType="Spin" dx="22" fmlaLink="Values!$P$57" max="5" page="10" val="0"/>
</file>

<file path=xl/ctrlProps/ctrlProp206.xml><?xml version="1.0" encoding="utf-8"?>
<formControlPr xmlns="http://schemas.microsoft.com/office/spreadsheetml/2009/9/main" objectType="Spin" dx="22" fmlaLink="Values!$P$58" max="5" page="10" val="0"/>
</file>

<file path=xl/ctrlProps/ctrlProp207.xml><?xml version="1.0" encoding="utf-8"?>
<formControlPr xmlns="http://schemas.microsoft.com/office/spreadsheetml/2009/9/main" objectType="CheckBox" fmlaLink="Values!$R$124" lockText="1" noThreeD="1"/>
</file>

<file path=xl/ctrlProps/ctrlProp208.xml><?xml version="1.0" encoding="utf-8"?>
<formControlPr xmlns="http://schemas.microsoft.com/office/spreadsheetml/2009/9/main" objectType="CheckBox" fmlaLink="Values!$R$126" lockText="1" noThreeD="1"/>
</file>

<file path=xl/ctrlProps/ctrlProp209.xml><?xml version="1.0" encoding="utf-8"?>
<formControlPr xmlns="http://schemas.microsoft.com/office/spreadsheetml/2009/9/main" objectType="CheckBox" fmlaLink="Values!$R$128" lockText="1" noThreeD="1"/>
</file>

<file path=xl/ctrlProps/ctrlProp210.xml><?xml version="1.0" encoding="utf-8"?>
<formControlPr xmlns="http://schemas.microsoft.com/office/spreadsheetml/2009/9/main" objectType="CheckBox" fmlaLink="Values!$R$130" lockText="1" noThreeD="1"/>
</file>

<file path=xl/ctrlProps/ctrlProp211.xml><?xml version="1.0" encoding="utf-8"?>
<formControlPr xmlns="http://schemas.microsoft.com/office/spreadsheetml/2009/9/main" objectType="CheckBox" fmlaLink="Values!$R$134" lockText="1" noThreeD="1"/>
</file>

<file path=xl/ctrlProps/ctrlProp212.xml><?xml version="1.0" encoding="utf-8"?>
<formControlPr xmlns="http://schemas.microsoft.com/office/spreadsheetml/2009/9/main" objectType="CheckBox" fmlaLink="Values!$R$132" lockText="1" noThreeD="1"/>
</file>

<file path=xl/ctrlProps/ctrlProp213.xml><?xml version="1.0" encoding="utf-8"?>
<formControlPr xmlns="http://schemas.microsoft.com/office/spreadsheetml/2009/9/main" objectType="CheckBox" fmlaLink="Values!$R$136" lockText="1" noThreeD="1"/>
</file>

<file path=xl/ctrlProps/ctrlProp214.xml><?xml version="1.0" encoding="utf-8"?>
<formControlPr xmlns="http://schemas.microsoft.com/office/spreadsheetml/2009/9/main" objectType="Spin" dx="22" fmlaLink="Values!$P$73" max="5" page="10" val="0"/>
</file>

<file path=xl/ctrlProps/ctrlProp215.xml><?xml version="1.0" encoding="utf-8"?>
<formControlPr xmlns="http://schemas.microsoft.com/office/spreadsheetml/2009/9/main" objectType="Spin" dx="22" fmlaLink="Values!$P$74" max="5" page="10" val="0"/>
</file>

<file path=xl/ctrlProps/ctrlProp216.xml><?xml version="1.0" encoding="utf-8"?>
<formControlPr xmlns="http://schemas.microsoft.com/office/spreadsheetml/2009/9/main" objectType="Spin" dx="22" fmlaLink="Values!$P$75" max="5" page="10" val="0"/>
</file>

<file path=xl/ctrlProps/ctrlProp217.xml><?xml version="1.0" encoding="utf-8"?>
<formControlPr xmlns="http://schemas.microsoft.com/office/spreadsheetml/2009/9/main" objectType="Spin" dx="22" fmlaLink="Values!$P$76" max="5" page="10" val="0"/>
</file>

<file path=xl/ctrlProps/ctrlProp218.xml><?xml version="1.0" encoding="utf-8"?>
<formControlPr xmlns="http://schemas.microsoft.com/office/spreadsheetml/2009/9/main" objectType="Spin" dx="22" fmlaLink="Values!$P$77" max="5" page="10" val="0"/>
</file>

<file path=xl/ctrlProps/ctrlProp219.xml><?xml version="1.0" encoding="utf-8"?>
<formControlPr xmlns="http://schemas.microsoft.com/office/spreadsheetml/2009/9/main" objectType="Spin" dx="22" fmlaLink="Values!$P$78" max="5" page="10" val="0"/>
</file>

<file path=xl/ctrlProps/ctrlProp220.xml><?xml version="1.0" encoding="utf-8"?>
<formControlPr xmlns="http://schemas.microsoft.com/office/spreadsheetml/2009/9/main" objectType="Spin" dx="22" fmlaLink="Values!$P$79" max="5" page="10" val="0"/>
</file>

<file path=xl/ctrlProps/ctrlProp221.xml><?xml version="1.0" encoding="utf-8"?>
<formControlPr xmlns="http://schemas.microsoft.com/office/spreadsheetml/2009/9/main" objectType="Spin" dx="22" fmlaLink="Values!$P$80" max="5" page="10" val="0"/>
</file>

<file path=xl/ctrlProps/ctrlProp222.xml><?xml version="1.0" encoding="utf-8"?>
<formControlPr xmlns="http://schemas.microsoft.com/office/spreadsheetml/2009/9/main" objectType="Spin" dx="22" fmlaLink="Values!$P$81" max="5" page="10" val="0"/>
</file>

<file path=xl/ctrlProps/ctrlProp223.xml><?xml version="1.0" encoding="utf-8"?>
<formControlPr xmlns="http://schemas.microsoft.com/office/spreadsheetml/2009/9/main" objectType="Spin" dx="22" fmlaLink="Values!$P82" max="5" page="10" val="0"/>
</file>

<file path=xl/ctrlProps/ctrlProp224.xml><?xml version="1.0" encoding="utf-8"?>
<formControlPr xmlns="http://schemas.microsoft.com/office/spreadsheetml/2009/9/main" objectType="Spin" dx="22" fmlaLink="Values!$P83" max="5" page="10" val="0"/>
</file>

<file path=xl/ctrlProps/ctrlProp225.xml><?xml version="1.0" encoding="utf-8"?>
<formControlPr xmlns="http://schemas.microsoft.com/office/spreadsheetml/2009/9/main" objectType="Spin" dx="22" fmlaLink="Values!$P84" max="5" page="10" val="0"/>
</file>

<file path=xl/ctrlProps/ctrlProp226.xml><?xml version="1.0" encoding="utf-8"?>
<formControlPr xmlns="http://schemas.microsoft.com/office/spreadsheetml/2009/9/main" objectType="Spin" dx="22" fmlaLink="Values!$P$85" max="5" page="10" val="0"/>
</file>

<file path=xl/ctrlProps/ctrlProp227.xml><?xml version="1.0" encoding="utf-8"?>
<formControlPr xmlns="http://schemas.microsoft.com/office/spreadsheetml/2009/9/main" objectType="Spin" dx="22" fmlaLink="Values!$P$86" max="5" page="10" val="0"/>
</file>

<file path=xl/ctrlProps/ctrlProp228.xml><?xml version="1.0" encoding="utf-8"?>
<formControlPr xmlns="http://schemas.microsoft.com/office/spreadsheetml/2009/9/main" objectType="Spin" dx="22" fmlaLink="Values!$P$87" max="5" page="10" val="0"/>
</file>

<file path=xl/ctrlProps/ctrlProp229.xml><?xml version="1.0" encoding="utf-8"?>
<formControlPr xmlns="http://schemas.microsoft.com/office/spreadsheetml/2009/9/main" objectType="Spin" dx="22" fmlaLink="Values!$P$88" max="5" page="10" val="0"/>
</file>

<file path=xl/ctrlProps/ctrlProp230.xml><?xml version="1.0" encoding="utf-8"?>
<formControlPr xmlns="http://schemas.microsoft.com/office/spreadsheetml/2009/9/main" objectType="Spin" dx="22" fmlaLink="Values!$P$89" max="5" page="10" val="0"/>
</file>

<file path=xl/ctrlProps/ctrlProp231.xml><?xml version="1.0" encoding="utf-8"?>
<formControlPr xmlns="http://schemas.microsoft.com/office/spreadsheetml/2009/9/main" objectType="Spin" dx="22" fmlaLink="Values!$P$90" max="5" page="10" val="0"/>
</file>

<file path=xl/ctrlProps/ctrlProp232.xml><?xml version="1.0" encoding="utf-8"?>
<formControlPr xmlns="http://schemas.microsoft.com/office/spreadsheetml/2009/9/main" objectType="Spin" dx="22" fmlaLink="Values!$P$91" max="5" page="10" val="0"/>
</file>

<file path=xl/ctrlProps/ctrlProp233.xml><?xml version="1.0" encoding="utf-8"?>
<formControlPr xmlns="http://schemas.microsoft.com/office/spreadsheetml/2009/9/main" objectType="Spin" dx="22" fmlaLink="Values!$P$92" max="5" page="10" val="0"/>
</file>

<file path=xl/ctrlProps/ctrlProp234.xml><?xml version="1.0" encoding="utf-8"?>
<formControlPr xmlns="http://schemas.microsoft.com/office/spreadsheetml/2009/9/main" objectType="Spin" dx="22" fmlaLink="Values!$P93" max="5" page="10" val="0"/>
</file>

<file path=xl/ctrlProps/ctrlProp235.xml><?xml version="1.0" encoding="utf-8"?>
<formControlPr xmlns="http://schemas.microsoft.com/office/spreadsheetml/2009/9/main" objectType="Spin" dx="22" fmlaLink="Values!$P94" max="5" page="10" val="0"/>
</file>

<file path=xl/ctrlProps/ctrlProp236.xml><?xml version="1.0" encoding="utf-8"?>
<formControlPr xmlns="http://schemas.microsoft.com/office/spreadsheetml/2009/9/main" objectType="CheckBox" fmlaLink="Values!$R$122" lockText="1" noThreeD="1"/>
</file>

<file path=xl/ctrlProps/ctrlProp237.xml><?xml version="1.0" encoding="utf-8"?>
<formControlPr xmlns="http://schemas.microsoft.com/office/spreadsheetml/2009/9/main" objectType="CheckBox" fmlaLink="Values!$P$106" lockText="1" noThreeD="1"/>
</file>

<file path=xl/ctrlProps/ctrlProp238.xml><?xml version="1.0" encoding="utf-8"?>
<formControlPr xmlns="http://schemas.microsoft.com/office/spreadsheetml/2009/9/main" objectType="CheckBox" fmlaLink="Values!$P$105" lockText="1" noThreeD="1"/>
</file>

<file path=xl/ctrlProps/ctrlProp239.xml><?xml version="1.0" encoding="utf-8"?>
<formControlPr xmlns="http://schemas.microsoft.com/office/spreadsheetml/2009/9/main" objectType="CheckBox" fmlaLink="Values!$P$104" lockText="1" noThreeD="1"/>
</file>

<file path=xl/ctrlProps/ctrlProp240.xml><?xml version="1.0" encoding="utf-8"?>
<formControlPr xmlns="http://schemas.microsoft.com/office/spreadsheetml/2009/9/main" objectType="CheckBox" fmlaLink="Values!$P$108" lockText="1" noThreeD="1"/>
</file>

<file path=xl/ctrlProps/ctrlProp241.xml><?xml version="1.0" encoding="utf-8"?>
<formControlPr xmlns="http://schemas.microsoft.com/office/spreadsheetml/2009/9/main" objectType="CheckBox" fmlaLink="Values!$P$109" lockText="1" noThreeD="1"/>
</file>

<file path=xl/ctrlProps/ctrlProp242.xml><?xml version="1.0" encoding="utf-8"?>
<formControlPr xmlns="http://schemas.microsoft.com/office/spreadsheetml/2009/9/main" objectType="CheckBox" fmlaLink="Values!$P$107" lockText="1" noThreeD="1"/>
</file>

<file path=xl/ctrlProps/ctrlProp243.xml><?xml version="1.0" encoding="utf-8"?>
<formControlPr xmlns="http://schemas.microsoft.com/office/spreadsheetml/2009/9/main" objectType="CheckBox" fmlaLink="Values!$R$113" lockText="1" noThreeD="1"/>
</file>

<file path=xl/ctrlProps/ctrlProp244.xml><?xml version="1.0" encoding="utf-8"?>
<formControlPr xmlns="http://schemas.microsoft.com/office/spreadsheetml/2009/9/main" objectType="CheckBox" fmlaLink="Values!$R$115" lockText="1" noThreeD="1"/>
</file>

<file path=xl/ctrlProps/ctrlProp245.xml><?xml version="1.0" encoding="utf-8"?>
<formControlPr xmlns="http://schemas.microsoft.com/office/spreadsheetml/2009/9/main" objectType="CheckBox" fmlaLink="Values!$R$117" lockText="1" noThreeD="1"/>
</file>

<file path=xl/ctrlProps/ctrlProp246.xml><?xml version="1.0" encoding="utf-8"?>
<formControlPr xmlns="http://schemas.microsoft.com/office/spreadsheetml/2009/9/main" objectType="Spin" dx="22" fmlaLink="Values!$P$97" max="7" page="10" val="0"/>
</file>

<file path=xl/ctrlProps/ctrlProp247.xml><?xml version="1.0" encoding="utf-8"?>
<formControlPr xmlns="http://schemas.microsoft.com/office/spreadsheetml/2009/9/main" objectType="Label" fmlaTxbx="Creation_BP!B12" lockText="1"/>
</file>

<file path=xl/ctrlProps/ctrlProp248.xml><?xml version="1.0" encoding="utf-8"?>
<formControlPr xmlns="http://schemas.microsoft.com/office/spreadsheetml/2009/9/main" objectType="Label" fmlaTxbx="Creation_BP!B12" lockText="1"/>
</file>

<file path=xl/ctrlProps/ctrlProp249.xml><?xml version="1.0" encoding="utf-8"?>
<formControlPr xmlns="http://schemas.microsoft.com/office/spreadsheetml/2009/9/main" objectType="Label" fmlaTxbx="Creation_BP!B12" lockText="1"/>
</file>

<file path=xl/drawings/_rels/drawing1.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http://creativecommons.org/licenses/by-nc-sa/4.0/" TargetMode="External"/></Relationships>
</file>

<file path=xl/drawings/_rels/drawing2.xml.rels><?xml version="1.0" encoding="UTF-8" standalone="yes"?>
<Relationships xmlns="http://schemas.openxmlformats.org/package/2006/relationships"><Relationship Id="rId2" Type="http://schemas.openxmlformats.org/officeDocument/2006/relationships/image" Target="../media/image3.emf"/><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2" Type="http://schemas.openxmlformats.org/officeDocument/2006/relationships/image" Target="../media/image3.emf"/><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2" Type="http://schemas.openxmlformats.org/officeDocument/2006/relationships/image" Target="../media/image3.emf"/><Relationship Id="rId1" Type="http://schemas.openxmlformats.org/officeDocument/2006/relationships/image" Target="../media/image2.png"/></Relationships>
</file>

<file path=xl/drawings/_rels/vmlDrawing2.vml.rels><?xml version="1.0" encoding="UTF-8" standalone="yes"?>
<Relationships xmlns="http://schemas.openxmlformats.org/package/2006/relationships"><Relationship Id="rId1" Type="http://schemas.openxmlformats.org/officeDocument/2006/relationships/image" Target="../media/image4.emf"/></Relationships>
</file>

<file path=xl/drawings/_rels/vmlDrawing3.vml.rels><?xml version="1.0" encoding="UTF-8" standalone="yes"?>
<Relationships xmlns="http://schemas.openxmlformats.org/package/2006/relationships"><Relationship Id="rId1" Type="http://schemas.openxmlformats.org/officeDocument/2006/relationships/image" Target="../media/image4.emf"/></Relationships>
</file>

<file path=xl/drawings/_rels/vmlDrawing4.vml.rels><?xml version="1.0" encoding="UTF-8" standalone="yes"?>
<Relationships xmlns="http://schemas.openxmlformats.org/package/2006/relationships"><Relationship Id="rId1" Type="http://schemas.openxmlformats.org/officeDocument/2006/relationships/image" Target="../media/image4.emf"/></Relationships>
</file>

<file path=xl/drawings/drawing1.xml><?xml version="1.0" encoding="utf-8"?>
<xdr:wsDr xmlns:xdr="http://schemas.openxmlformats.org/drawingml/2006/spreadsheetDrawing" xmlns:a="http://schemas.openxmlformats.org/drawingml/2006/main">
  <xdr:twoCellAnchor editAs="oneCell">
    <xdr:from>
      <xdr:col>5</xdr:col>
      <xdr:colOff>1047750</xdr:colOff>
      <xdr:row>25</xdr:row>
      <xdr:rowOff>19050</xdr:rowOff>
    </xdr:from>
    <xdr:to>
      <xdr:col>6</xdr:col>
      <xdr:colOff>561975</xdr:colOff>
      <xdr:row>26</xdr:row>
      <xdr:rowOff>133350</xdr:rowOff>
    </xdr:to>
    <xdr:pic>
      <xdr:nvPicPr>
        <xdr:cNvPr id="3" name="Image 2" descr="https://i.creativecommons.org/l/by-nc-sa/4.0/88x31.png">
          <a:hlinkClick xmlns:r="http://schemas.openxmlformats.org/officeDocument/2006/relationships" r:id="rId1"/>
          <a:extLst>
            <a:ext uri="{FF2B5EF4-FFF2-40B4-BE49-F238E27FC236}">
              <a16:creationId xmlns:a16="http://schemas.microsoft.com/office/drawing/2014/main" id="{00000000-0008-0000-00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43450" y="4419600"/>
          <a:ext cx="838200" cy="2952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mc:AlternateContent xmlns:mc="http://schemas.openxmlformats.org/markup-compatibility/2006">
    <mc:Choice xmlns:a14="http://schemas.microsoft.com/office/drawing/2010/main" Requires="a14">
      <xdr:twoCellAnchor editAs="oneCell">
        <xdr:from>
          <xdr:col>0</xdr:col>
          <xdr:colOff>152400</xdr:colOff>
          <xdr:row>17</xdr:row>
          <xdr:rowOff>28575</xdr:rowOff>
        </xdr:from>
        <xdr:to>
          <xdr:col>6</xdr:col>
          <xdr:colOff>38100</xdr:colOff>
          <xdr:row>18</xdr:row>
          <xdr:rowOff>38100</xdr:rowOff>
        </xdr:to>
        <xdr:sp macro="" textlink="">
          <xdr:nvSpPr>
            <xdr:cNvPr id="289793" name="Case à cocher 1" hidden="1">
              <a:extLst>
                <a:ext uri="{63B3BB69-23CF-44E3-9099-C40C66FF867C}">
                  <a14:compatExt spid="_x0000_s289793"/>
                </a:ext>
                <a:ext uri="{FF2B5EF4-FFF2-40B4-BE49-F238E27FC236}">
                  <a16:creationId xmlns:a16="http://schemas.microsoft.com/office/drawing/2014/main" id="{00000000-0008-0000-0000-0000016C04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fr-FR" sz="800" b="0" i="0" u="none" strike="noStrike" baseline="0">
                  <a:solidFill>
                    <a:srgbClr val="000000"/>
                  </a:solidFill>
                  <a:latin typeface="Segoe UI"/>
                  <a:cs typeface="Segoe UI"/>
                </a:rPr>
                <a:t>Tick me to add a specialty to a Dice Pool</a:t>
              </a:r>
            </a:p>
          </xdr:txBody>
        </xdr:sp>
        <xdr:clientData/>
      </xdr:twoCellAnchor>
    </mc:Choice>
    <mc:Fallback/>
  </mc:AlternateContent>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4</xdr:col>
          <xdr:colOff>9525</xdr:colOff>
          <xdr:row>6</xdr:row>
          <xdr:rowOff>19050</xdr:rowOff>
        </xdr:from>
        <xdr:to>
          <xdr:col>4</xdr:col>
          <xdr:colOff>190500</xdr:colOff>
          <xdr:row>7</xdr:row>
          <xdr:rowOff>0</xdr:rowOff>
        </xdr:to>
        <xdr:sp macro="" textlink="">
          <xdr:nvSpPr>
            <xdr:cNvPr id="1025" name="Spinner 1" hidden="1">
              <a:extLst>
                <a:ext uri="{63B3BB69-23CF-44E3-9099-C40C66FF867C}">
                  <a14:compatExt spid="_x0000_s1025"/>
                </a:ext>
                <a:ext uri="{FF2B5EF4-FFF2-40B4-BE49-F238E27FC236}">
                  <a16:creationId xmlns:a16="http://schemas.microsoft.com/office/drawing/2014/main" id="{00000000-0008-0000-0100-00000104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9525</xdr:colOff>
          <xdr:row>7</xdr:row>
          <xdr:rowOff>19050</xdr:rowOff>
        </xdr:from>
        <xdr:to>
          <xdr:col>4</xdr:col>
          <xdr:colOff>190500</xdr:colOff>
          <xdr:row>8</xdr:row>
          <xdr:rowOff>0</xdr:rowOff>
        </xdr:to>
        <xdr:sp macro="" textlink="">
          <xdr:nvSpPr>
            <xdr:cNvPr id="1026" name="Spinner 2" hidden="1">
              <a:extLst>
                <a:ext uri="{63B3BB69-23CF-44E3-9099-C40C66FF867C}">
                  <a14:compatExt spid="_x0000_s1026"/>
                </a:ext>
                <a:ext uri="{FF2B5EF4-FFF2-40B4-BE49-F238E27FC236}">
                  <a16:creationId xmlns:a16="http://schemas.microsoft.com/office/drawing/2014/main" id="{00000000-0008-0000-0100-00000204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9525</xdr:colOff>
          <xdr:row>8</xdr:row>
          <xdr:rowOff>19050</xdr:rowOff>
        </xdr:from>
        <xdr:to>
          <xdr:col>4</xdr:col>
          <xdr:colOff>190500</xdr:colOff>
          <xdr:row>9</xdr:row>
          <xdr:rowOff>0</xdr:rowOff>
        </xdr:to>
        <xdr:sp macro="" textlink="">
          <xdr:nvSpPr>
            <xdr:cNvPr id="1027" name="Spinner 3" hidden="1">
              <a:extLst>
                <a:ext uri="{63B3BB69-23CF-44E3-9099-C40C66FF867C}">
                  <a14:compatExt spid="_x0000_s1027"/>
                </a:ext>
                <a:ext uri="{FF2B5EF4-FFF2-40B4-BE49-F238E27FC236}">
                  <a16:creationId xmlns:a16="http://schemas.microsoft.com/office/drawing/2014/main" id="{00000000-0008-0000-0100-00000304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xdr:absoluteAnchor>
    <xdr:pos x="66675" y="0"/>
    <xdr:ext cx="2681166" cy="1095375"/>
    <xdr:pic>
      <xdr:nvPicPr>
        <xdr:cNvPr id="5" name="Image 4">
          <a:extLst>
            <a:ext uri="{FF2B5EF4-FFF2-40B4-BE49-F238E27FC236}">
              <a16:creationId xmlns:a16="http://schemas.microsoft.com/office/drawing/2014/main" id="{00000000-0008-0000-0100-000005000000}"/>
            </a:ext>
          </a:extLst>
        </xdr:cNvPr>
        <xdr:cNvPicPr>
          <a:picLocks noChangeAspect="1"/>
        </xdr:cNvPicPr>
      </xdr:nvPicPr>
      <xdr:blipFill>
        <a:blip xmlns:r="http://schemas.openxmlformats.org/officeDocument/2006/relationships" r:embed="rId1"/>
        <a:stretch>
          <a:fillRect/>
        </a:stretch>
      </xdr:blipFill>
      <xdr:spPr>
        <a:xfrm>
          <a:off x="66675" y="0"/>
          <a:ext cx="2681166" cy="1095375"/>
        </a:xfrm>
        <a:prstGeom prst="rect">
          <a:avLst/>
        </a:prstGeom>
        <a:noFill/>
        <a:ln>
          <a:noFill/>
        </a:ln>
      </xdr:spPr>
    </xdr:pic>
    <xdr:clientData/>
  </xdr:absoluteAnchor>
  <mc:AlternateContent xmlns:mc="http://schemas.openxmlformats.org/markup-compatibility/2006">
    <mc:Choice xmlns:a14="http://schemas.microsoft.com/office/drawing/2010/main" Requires="a14">
      <xdr:twoCellAnchor>
        <xdr:from>
          <xdr:col>20</xdr:col>
          <xdr:colOff>9525</xdr:colOff>
          <xdr:row>6</xdr:row>
          <xdr:rowOff>19050</xdr:rowOff>
        </xdr:from>
        <xdr:to>
          <xdr:col>20</xdr:col>
          <xdr:colOff>190500</xdr:colOff>
          <xdr:row>7</xdr:row>
          <xdr:rowOff>0</xdr:rowOff>
        </xdr:to>
        <xdr:sp macro="" textlink="">
          <xdr:nvSpPr>
            <xdr:cNvPr id="1028" name="Spinner 4" hidden="1">
              <a:extLst>
                <a:ext uri="{63B3BB69-23CF-44E3-9099-C40C66FF867C}">
                  <a14:compatExt spid="_x0000_s1028"/>
                </a:ext>
                <a:ext uri="{FF2B5EF4-FFF2-40B4-BE49-F238E27FC236}">
                  <a16:creationId xmlns:a16="http://schemas.microsoft.com/office/drawing/2014/main" id="{00000000-0008-0000-0100-00000404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20</xdr:col>
          <xdr:colOff>9525</xdr:colOff>
          <xdr:row>7</xdr:row>
          <xdr:rowOff>19050</xdr:rowOff>
        </xdr:from>
        <xdr:to>
          <xdr:col>20</xdr:col>
          <xdr:colOff>190500</xdr:colOff>
          <xdr:row>8</xdr:row>
          <xdr:rowOff>0</xdr:rowOff>
        </xdr:to>
        <xdr:sp macro="" textlink="">
          <xdr:nvSpPr>
            <xdr:cNvPr id="1029" name="Spinner 5" hidden="1">
              <a:extLst>
                <a:ext uri="{63B3BB69-23CF-44E3-9099-C40C66FF867C}">
                  <a14:compatExt spid="_x0000_s1029"/>
                </a:ext>
                <a:ext uri="{FF2B5EF4-FFF2-40B4-BE49-F238E27FC236}">
                  <a16:creationId xmlns:a16="http://schemas.microsoft.com/office/drawing/2014/main" id="{00000000-0008-0000-0100-00000504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20</xdr:col>
          <xdr:colOff>9525</xdr:colOff>
          <xdr:row>8</xdr:row>
          <xdr:rowOff>19050</xdr:rowOff>
        </xdr:from>
        <xdr:to>
          <xdr:col>20</xdr:col>
          <xdr:colOff>190500</xdr:colOff>
          <xdr:row>9</xdr:row>
          <xdr:rowOff>0</xdr:rowOff>
        </xdr:to>
        <xdr:sp macro="" textlink="">
          <xdr:nvSpPr>
            <xdr:cNvPr id="1030" name="Spinner 6" hidden="1">
              <a:extLst>
                <a:ext uri="{63B3BB69-23CF-44E3-9099-C40C66FF867C}">
                  <a14:compatExt spid="_x0000_s1030"/>
                </a:ext>
                <a:ext uri="{FF2B5EF4-FFF2-40B4-BE49-F238E27FC236}">
                  <a16:creationId xmlns:a16="http://schemas.microsoft.com/office/drawing/2014/main" id="{00000000-0008-0000-0100-00000604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36</xdr:col>
          <xdr:colOff>9525</xdr:colOff>
          <xdr:row>6</xdr:row>
          <xdr:rowOff>19050</xdr:rowOff>
        </xdr:from>
        <xdr:to>
          <xdr:col>36</xdr:col>
          <xdr:colOff>190500</xdr:colOff>
          <xdr:row>7</xdr:row>
          <xdr:rowOff>0</xdr:rowOff>
        </xdr:to>
        <xdr:sp macro="" textlink="">
          <xdr:nvSpPr>
            <xdr:cNvPr id="1031" name="Spinner 7" hidden="1">
              <a:extLst>
                <a:ext uri="{63B3BB69-23CF-44E3-9099-C40C66FF867C}">
                  <a14:compatExt spid="_x0000_s1031"/>
                </a:ext>
                <a:ext uri="{FF2B5EF4-FFF2-40B4-BE49-F238E27FC236}">
                  <a16:creationId xmlns:a16="http://schemas.microsoft.com/office/drawing/2014/main" id="{00000000-0008-0000-0100-00000704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36</xdr:col>
          <xdr:colOff>9525</xdr:colOff>
          <xdr:row>7</xdr:row>
          <xdr:rowOff>19050</xdr:rowOff>
        </xdr:from>
        <xdr:to>
          <xdr:col>36</xdr:col>
          <xdr:colOff>190500</xdr:colOff>
          <xdr:row>8</xdr:row>
          <xdr:rowOff>0</xdr:rowOff>
        </xdr:to>
        <xdr:sp macro="" textlink="">
          <xdr:nvSpPr>
            <xdr:cNvPr id="1032" name="Spinner 8" hidden="1">
              <a:extLst>
                <a:ext uri="{63B3BB69-23CF-44E3-9099-C40C66FF867C}">
                  <a14:compatExt spid="_x0000_s1032"/>
                </a:ext>
                <a:ext uri="{FF2B5EF4-FFF2-40B4-BE49-F238E27FC236}">
                  <a16:creationId xmlns:a16="http://schemas.microsoft.com/office/drawing/2014/main" id="{00000000-0008-0000-0100-00000804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36</xdr:col>
          <xdr:colOff>9525</xdr:colOff>
          <xdr:row>8</xdr:row>
          <xdr:rowOff>19050</xdr:rowOff>
        </xdr:from>
        <xdr:to>
          <xdr:col>36</xdr:col>
          <xdr:colOff>190500</xdr:colOff>
          <xdr:row>9</xdr:row>
          <xdr:rowOff>0</xdr:rowOff>
        </xdr:to>
        <xdr:sp macro="" textlink="">
          <xdr:nvSpPr>
            <xdr:cNvPr id="1033" name="Spinner 9" hidden="1">
              <a:extLst>
                <a:ext uri="{63B3BB69-23CF-44E3-9099-C40C66FF867C}">
                  <a14:compatExt spid="_x0000_s1033"/>
                </a:ext>
                <a:ext uri="{FF2B5EF4-FFF2-40B4-BE49-F238E27FC236}">
                  <a16:creationId xmlns:a16="http://schemas.microsoft.com/office/drawing/2014/main" id="{00000000-0008-0000-0100-00000904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xdr:col>
          <xdr:colOff>9525</xdr:colOff>
          <xdr:row>12</xdr:row>
          <xdr:rowOff>19050</xdr:rowOff>
        </xdr:from>
        <xdr:to>
          <xdr:col>1</xdr:col>
          <xdr:colOff>190500</xdr:colOff>
          <xdr:row>13</xdr:row>
          <xdr:rowOff>0</xdr:rowOff>
        </xdr:to>
        <xdr:sp macro="" textlink="">
          <xdr:nvSpPr>
            <xdr:cNvPr id="1037" name="Spinner 13" hidden="1">
              <a:extLst>
                <a:ext uri="{63B3BB69-23CF-44E3-9099-C40C66FF867C}">
                  <a14:compatExt spid="_x0000_s1037"/>
                </a:ext>
                <a:ext uri="{FF2B5EF4-FFF2-40B4-BE49-F238E27FC236}">
                  <a16:creationId xmlns:a16="http://schemas.microsoft.com/office/drawing/2014/main" id="{00000000-0008-0000-0100-00000D04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xdr:col>
          <xdr:colOff>9525</xdr:colOff>
          <xdr:row>13</xdr:row>
          <xdr:rowOff>19050</xdr:rowOff>
        </xdr:from>
        <xdr:to>
          <xdr:col>1</xdr:col>
          <xdr:colOff>190500</xdr:colOff>
          <xdr:row>14</xdr:row>
          <xdr:rowOff>0</xdr:rowOff>
        </xdr:to>
        <xdr:sp macro="" textlink="">
          <xdr:nvSpPr>
            <xdr:cNvPr id="1069" name="Spinner 45" hidden="1">
              <a:extLst>
                <a:ext uri="{63B3BB69-23CF-44E3-9099-C40C66FF867C}">
                  <a14:compatExt spid="_x0000_s1069"/>
                </a:ext>
                <a:ext uri="{FF2B5EF4-FFF2-40B4-BE49-F238E27FC236}">
                  <a16:creationId xmlns:a16="http://schemas.microsoft.com/office/drawing/2014/main" id="{00000000-0008-0000-0100-00002D04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xdr:col>
          <xdr:colOff>9525</xdr:colOff>
          <xdr:row>14</xdr:row>
          <xdr:rowOff>19050</xdr:rowOff>
        </xdr:from>
        <xdr:to>
          <xdr:col>1</xdr:col>
          <xdr:colOff>190500</xdr:colOff>
          <xdr:row>15</xdr:row>
          <xdr:rowOff>0</xdr:rowOff>
        </xdr:to>
        <xdr:sp macro="" textlink="">
          <xdr:nvSpPr>
            <xdr:cNvPr id="1070" name="Spinner 46" hidden="1">
              <a:extLst>
                <a:ext uri="{63B3BB69-23CF-44E3-9099-C40C66FF867C}">
                  <a14:compatExt spid="_x0000_s1070"/>
                </a:ext>
                <a:ext uri="{FF2B5EF4-FFF2-40B4-BE49-F238E27FC236}">
                  <a16:creationId xmlns:a16="http://schemas.microsoft.com/office/drawing/2014/main" id="{00000000-0008-0000-0100-00002E04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xdr:col>
          <xdr:colOff>9525</xdr:colOff>
          <xdr:row>15</xdr:row>
          <xdr:rowOff>19050</xdr:rowOff>
        </xdr:from>
        <xdr:to>
          <xdr:col>1</xdr:col>
          <xdr:colOff>190500</xdr:colOff>
          <xdr:row>16</xdr:row>
          <xdr:rowOff>0</xdr:rowOff>
        </xdr:to>
        <xdr:sp macro="" textlink="">
          <xdr:nvSpPr>
            <xdr:cNvPr id="1071" name="Spinner 47" hidden="1">
              <a:extLst>
                <a:ext uri="{63B3BB69-23CF-44E3-9099-C40C66FF867C}">
                  <a14:compatExt spid="_x0000_s1071"/>
                </a:ext>
                <a:ext uri="{FF2B5EF4-FFF2-40B4-BE49-F238E27FC236}">
                  <a16:creationId xmlns:a16="http://schemas.microsoft.com/office/drawing/2014/main" id="{00000000-0008-0000-0100-00002F04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xdr:col>
          <xdr:colOff>9525</xdr:colOff>
          <xdr:row>16</xdr:row>
          <xdr:rowOff>19050</xdr:rowOff>
        </xdr:from>
        <xdr:to>
          <xdr:col>1</xdr:col>
          <xdr:colOff>190500</xdr:colOff>
          <xdr:row>17</xdr:row>
          <xdr:rowOff>0</xdr:rowOff>
        </xdr:to>
        <xdr:sp macro="" textlink="">
          <xdr:nvSpPr>
            <xdr:cNvPr id="1072" name="Spinner 48" hidden="1">
              <a:extLst>
                <a:ext uri="{63B3BB69-23CF-44E3-9099-C40C66FF867C}">
                  <a14:compatExt spid="_x0000_s1072"/>
                </a:ext>
                <a:ext uri="{FF2B5EF4-FFF2-40B4-BE49-F238E27FC236}">
                  <a16:creationId xmlns:a16="http://schemas.microsoft.com/office/drawing/2014/main" id="{00000000-0008-0000-0100-00003004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xdr:col>
          <xdr:colOff>9525</xdr:colOff>
          <xdr:row>17</xdr:row>
          <xdr:rowOff>19050</xdr:rowOff>
        </xdr:from>
        <xdr:to>
          <xdr:col>1</xdr:col>
          <xdr:colOff>190500</xdr:colOff>
          <xdr:row>18</xdr:row>
          <xdr:rowOff>0</xdr:rowOff>
        </xdr:to>
        <xdr:sp macro="" textlink="">
          <xdr:nvSpPr>
            <xdr:cNvPr id="1073" name="Spinner 49" hidden="1">
              <a:extLst>
                <a:ext uri="{63B3BB69-23CF-44E3-9099-C40C66FF867C}">
                  <a14:compatExt spid="_x0000_s1073"/>
                </a:ext>
                <a:ext uri="{FF2B5EF4-FFF2-40B4-BE49-F238E27FC236}">
                  <a16:creationId xmlns:a16="http://schemas.microsoft.com/office/drawing/2014/main" id="{00000000-0008-0000-0100-00003104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xdr:col>
          <xdr:colOff>9525</xdr:colOff>
          <xdr:row>18</xdr:row>
          <xdr:rowOff>19050</xdr:rowOff>
        </xdr:from>
        <xdr:to>
          <xdr:col>1</xdr:col>
          <xdr:colOff>190500</xdr:colOff>
          <xdr:row>19</xdr:row>
          <xdr:rowOff>0</xdr:rowOff>
        </xdr:to>
        <xdr:sp macro="" textlink="">
          <xdr:nvSpPr>
            <xdr:cNvPr id="1074" name="Spinner 50" hidden="1">
              <a:extLst>
                <a:ext uri="{63B3BB69-23CF-44E3-9099-C40C66FF867C}">
                  <a14:compatExt spid="_x0000_s1074"/>
                </a:ext>
                <a:ext uri="{FF2B5EF4-FFF2-40B4-BE49-F238E27FC236}">
                  <a16:creationId xmlns:a16="http://schemas.microsoft.com/office/drawing/2014/main" id="{00000000-0008-0000-0100-00003204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xdr:col>
          <xdr:colOff>9525</xdr:colOff>
          <xdr:row>19</xdr:row>
          <xdr:rowOff>19050</xdr:rowOff>
        </xdr:from>
        <xdr:to>
          <xdr:col>1</xdr:col>
          <xdr:colOff>190500</xdr:colOff>
          <xdr:row>20</xdr:row>
          <xdr:rowOff>0</xdr:rowOff>
        </xdr:to>
        <xdr:sp macro="" textlink="">
          <xdr:nvSpPr>
            <xdr:cNvPr id="1075" name="Spinner 51" hidden="1">
              <a:extLst>
                <a:ext uri="{63B3BB69-23CF-44E3-9099-C40C66FF867C}">
                  <a14:compatExt spid="_x0000_s1075"/>
                </a:ext>
                <a:ext uri="{FF2B5EF4-FFF2-40B4-BE49-F238E27FC236}">
                  <a16:creationId xmlns:a16="http://schemas.microsoft.com/office/drawing/2014/main" id="{00000000-0008-0000-0100-00003304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xdr:col>
          <xdr:colOff>9525</xdr:colOff>
          <xdr:row>20</xdr:row>
          <xdr:rowOff>19050</xdr:rowOff>
        </xdr:from>
        <xdr:to>
          <xdr:col>1</xdr:col>
          <xdr:colOff>190500</xdr:colOff>
          <xdr:row>21</xdr:row>
          <xdr:rowOff>0</xdr:rowOff>
        </xdr:to>
        <xdr:sp macro="" textlink="">
          <xdr:nvSpPr>
            <xdr:cNvPr id="1076" name="Spinner 52" hidden="1">
              <a:extLst>
                <a:ext uri="{63B3BB69-23CF-44E3-9099-C40C66FF867C}">
                  <a14:compatExt spid="_x0000_s1076"/>
                </a:ext>
                <a:ext uri="{FF2B5EF4-FFF2-40B4-BE49-F238E27FC236}">
                  <a16:creationId xmlns:a16="http://schemas.microsoft.com/office/drawing/2014/main" id="{00000000-0008-0000-0100-00003404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xdr:col>
          <xdr:colOff>9525</xdr:colOff>
          <xdr:row>21</xdr:row>
          <xdr:rowOff>19050</xdr:rowOff>
        </xdr:from>
        <xdr:to>
          <xdr:col>1</xdr:col>
          <xdr:colOff>190500</xdr:colOff>
          <xdr:row>22</xdr:row>
          <xdr:rowOff>0</xdr:rowOff>
        </xdr:to>
        <xdr:sp macro="" textlink="">
          <xdr:nvSpPr>
            <xdr:cNvPr id="1077" name="Spinner 53" hidden="1">
              <a:extLst>
                <a:ext uri="{63B3BB69-23CF-44E3-9099-C40C66FF867C}">
                  <a14:compatExt spid="_x0000_s1077"/>
                </a:ext>
                <a:ext uri="{FF2B5EF4-FFF2-40B4-BE49-F238E27FC236}">
                  <a16:creationId xmlns:a16="http://schemas.microsoft.com/office/drawing/2014/main" id="{00000000-0008-0000-0100-00003504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xdr:col>
          <xdr:colOff>9525</xdr:colOff>
          <xdr:row>22</xdr:row>
          <xdr:rowOff>19050</xdr:rowOff>
        </xdr:from>
        <xdr:to>
          <xdr:col>1</xdr:col>
          <xdr:colOff>190500</xdr:colOff>
          <xdr:row>23</xdr:row>
          <xdr:rowOff>0</xdr:rowOff>
        </xdr:to>
        <xdr:sp macro="" textlink="">
          <xdr:nvSpPr>
            <xdr:cNvPr id="1078" name="Spinner 54" hidden="1">
              <a:extLst>
                <a:ext uri="{63B3BB69-23CF-44E3-9099-C40C66FF867C}">
                  <a14:compatExt spid="_x0000_s1078"/>
                </a:ext>
                <a:ext uri="{FF2B5EF4-FFF2-40B4-BE49-F238E27FC236}">
                  <a16:creationId xmlns:a16="http://schemas.microsoft.com/office/drawing/2014/main" id="{00000000-0008-0000-0100-00003604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xdr:col>
          <xdr:colOff>9525</xdr:colOff>
          <xdr:row>23</xdr:row>
          <xdr:rowOff>19050</xdr:rowOff>
        </xdr:from>
        <xdr:to>
          <xdr:col>1</xdr:col>
          <xdr:colOff>190500</xdr:colOff>
          <xdr:row>24</xdr:row>
          <xdr:rowOff>0</xdr:rowOff>
        </xdr:to>
        <xdr:sp macro="" textlink="">
          <xdr:nvSpPr>
            <xdr:cNvPr id="1079" name="Spinner 55" hidden="1">
              <a:extLst>
                <a:ext uri="{63B3BB69-23CF-44E3-9099-C40C66FF867C}">
                  <a14:compatExt spid="_x0000_s1079"/>
                </a:ext>
                <a:ext uri="{FF2B5EF4-FFF2-40B4-BE49-F238E27FC236}">
                  <a16:creationId xmlns:a16="http://schemas.microsoft.com/office/drawing/2014/main" id="{00000000-0008-0000-0100-00003704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xdr:col>
          <xdr:colOff>9525</xdr:colOff>
          <xdr:row>24</xdr:row>
          <xdr:rowOff>19050</xdr:rowOff>
        </xdr:from>
        <xdr:to>
          <xdr:col>1</xdr:col>
          <xdr:colOff>190500</xdr:colOff>
          <xdr:row>25</xdr:row>
          <xdr:rowOff>0</xdr:rowOff>
        </xdr:to>
        <xdr:sp macro="" textlink="">
          <xdr:nvSpPr>
            <xdr:cNvPr id="1080" name="Spinner 56" hidden="1">
              <a:extLst>
                <a:ext uri="{63B3BB69-23CF-44E3-9099-C40C66FF867C}">
                  <a14:compatExt spid="_x0000_s1080"/>
                </a:ext>
                <a:ext uri="{FF2B5EF4-FFF2-40B4-BE49-F238E27FC236}">
                  <a16:creationId xmlns:a16="http://schemas.microsoft.com/office/drawing/2014/main" id="{00000000-0008-0000-0100-00003804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xdr:col>
          <xdr:colOff>9525</xdr:colOff>
          <xdr:row>25</xdr:row>
          <xdr:rowOff>19050</xdr:rowOff>
        </xdr:from>
        <xdr:to>
          <xdr:col>1</xdr:col>
          <xdr:colOff>190500</xdr:colOff>
          <xdr:row>26</xdr:row>
          <xdr:rowOff>0</xdr:rowOff>
        </xdr:to>
        <xdr:sp macro="" textlink="">
          <xdr:nvSpPr>
            <xdr:cNvPr id="1081" name="Spinner 57" hidden="1">
              <a:extLst>
                <a:ext uri="{63B3BB69-23CF-44E3-9099-C40C66FF867C}">
                  <a14:compatExt spid="_x0000_s1081"/>
                </a:ext>
                <a:ext uri="{FF2B5EF4-FFF2-40B4-BE49-F238E27FC236}">
                  <a16:creationId xmlns:a16="http://schemas.microsoft.com/office/drawing/2014/main" id="{00000000-0008-0000-0100-00003904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xdr:col>
          <xdr:colOff>9525</xdr:colOff>
          <xdr:row>26</xdr:row>
          <xdr:rowOff>19050</xdr:rowOff>
        </xdr:from>
        <xdr:to>
          <xdr:col>1</xdr:col>
          <xdr:colOff>190500</xdr:colOff>
          <xdr:row>27</xdr:row>
          <xdr:rowOff>0</xdr:rowOff>
        </xdr:to>
        <xdr:sp macro="" textlink="">
          <xdr:nvSpPr>
            <xdr:cNvPr id="1082" name="Spinner 58" hidden="1">
              <a:extLst>
                <a:ext uri="{63B3BB69-23CF-44E3-9099-C40C66FF867C}">
                  <a14:compatExt spid="_x0000_s1082"/>
                </a:ext>
                <a:ext uri="{FF2B5EF4-FFF2-40B4-BE49-F238E27FC236}">
                  <a16:creationId xmlns:a16="http://schemas.microsoft.com/office/drawing/2014/main" id="{00000000-0008-0000-0100-00003A04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xdr:col>
          <xdr:colOff>9525</xdr:colOff>
          <xdr:row>27</xdr:row>
          <xdr:rowOff>19050</xdr:rowOff>
        </xdr:from>
        <xdr:to>
          <xdr:col>1</xdr:col>
          <xdr:colOff>190500</xdr:colOff>
          <xdr:row>28</xdr:row>
          <xdr:rowOff>0</xdr:rowOff>
        </xdr:to>
        <xdr:sp macro="" textlink="">
          <xdr:nvSpPr>
            <xdr:cNvPr id="1083" name="Spinner 59" hidden="1">
              <a:extLst>
                <a:ext uri="{63B3BB69-23CF-44E3-9099-C40C66FF867C}">
                  <a14:compatExt spid="_x0000_s1083"/>
                </a:ext>
                <a:ext uri="{FF2B5EF4-FFF2-40B4-BE49-F238E27FC236}">
                  <a16:creationId xmlns:a16="http://schemas.microsoft.com/office/drawing/2014/main" id="{00000000-0008-0000-0100-00003B04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xdr:col>
          <xdr:colOff>9525</xdr:colOff>
          <xdr:row>28</xdr:row>
          <xdr:rowOff>19050</xdr:rowOff>
        </xdr:from>
        <xdr:to>
          <xdr:col>1</xdr:col>
          <xdr:colOff>190500</xdr:colOff>
          <xdr:row>29</xdr:row>
          <xdr:rowOff>0</xdr:rowOff>
        </xdr:to>
        <xdr:sp macro="" textlink="">
          <xdr:nvSpPr>
            <xdr:cNvPr id="1084" name="Spinner 60" hidden="1">
              <a:extLst>
                <a:ext uri="{63B3BB69-23CF-44E3-9099-C40C66FF867C}">
                  <a14:compatExt spid="_x0000_s1084"/>
                </a:ext>
                <a:ext uri="{FF2B5EF4-FFF2-40B4-BE49-F238E27FC236}">
                  <a16:creationId xmlns:a16="http://schemas.microsoft.com/office/drawing/2014/main" id="{00000000-0008-0000-0100-00003C04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xdr:col>
          <xdr:colOff>9525</xdr:colOff>
          <xdr:row>29</xdr:row>
          <xdr:rowOff>19050</xdr:rowOff>
        </xdr:from>
        <xdr:to>
          <xdr:col>1</xdr:col>
          <xdr:colOff>190500</xdr:colOff>
          <xdr:row>30</xdr:row>
          <xdr:rowOff>0</xdr:rowOff>
        </xdr:to>
        <xdr:sp macro="" textlink="">
          <xdr:nvSpPr>
            <xdr:cNvPr id="1085" name="Spinner 61" hidden="1">
              <a:extLst>
                <a:ext uri="{63B3BB69-23CF-44E3-9099-C40C66FF867C}">
                  <a14:compatExt spid="_x0000_s1085"/>
                </a:ext>
                <a:ext uri="{FF2B5EF4-FFF2-40B4-BE49-F238E27FC236}">
                  <a16:creationId xmlns:a16="http://schemas.microsoft.com/office/drawing/2014/main" id="{00000000-0008-0000-0100-00003D04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xdr:col>
          <xdr:colOff>9525</xdr:colOff>
          <xdr:row>30</xdr:row>
          <xdr:rowOff>19050</xdr:rowOff>
        </xdr:from>
        <xdr:to>
          <xdr:col>1</xdr:col>
          <xdr:colOff>190500</xdr:colOff>
          <xdr:row>31</xdr:row>
          <xdr:rowOff>0</xdr:rowOff>
        </xdr:to>
        <xdr:sp macro="" textlink="">
          <xdr:nvSpPr>
            <xdr:cNvPr id="1086" name="Spinner 62" hidden="1">
              <a:extLst>
                <a:ext uri="{63B3BB69-23CF-44E3-9099-C40C66FF867C}">
                  <a14:compatExt spid="_x0000_s1086"/>
                </a:ext>
                <a:ext uri="{FF2B5EF4-FFF2-40B4-BE49-F238E27FC236}">
                  <a16:creationId xmlns:a16="http://schemas.microsoft.com/office/drawing/2014/main" id="{00000000-0008-0000-0100-00003E04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xdr:col>
          <xdr:colOff>9525</xdr:colOff>
          <xdr:row>31</xdr:row>
          <xdr:rowOff>19050</xdr:rowOff>
        </xdr:from>
        <xdr:to>
          <xdr:col>1</xdr:col>
          <xdr:colOff>190500</xdr:colOff>
          <xdr:row>32</xdr:row>
          <xdr:rowOff>0</xdr:rowOff>
        </xdr:to>
        <xdr:sp macro="" textlink="">
          <xdr:nvSpPr>
            <xdr:cNvPr id="1087" name="Spinner 63" hidden="1">
              <a:extLst>
                <a:ext uri="{63B3BB69-23CF-44E3-9099-C40C66FF867C}">
                  <a14:compatExt spid="_x0000_s1087"/>
                </a:ext>
                <a:ext uri="{FF2B5EF4-FFF2-40B4-BE49-F238E27FC236}">
                  <a16:creationId xmlns:a16="http://schemas.microsoft.com/office/drawing/2014/main" id="{00000000-0008-0000-0100-00003F04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xdr:col>
          <xdr:colOff>9525</xdr:colOff>
          <xdr:row>32</xdr:row>
          <xdr:rowOff>19050</xdr:rowOff>
        </xdr:from>
        <xdr:to>
          <xdr:col>1</xdr:col>
          <xdr:colOff>190500</xdr:colOff>
          <xdr:row>33</xdr:row>
          <xdr:rowOff>0</xdr:rowOff>
        </xdr:to>
        <xdr:sp macro="" textlink="">
          <xdr:nvSpPr>
            <xdr:cNvPr id="1088" name="Spinner 64" hidden="1">
              <a:extLst>
                <a:ext uri="{63B3BB69-23CF-44E3-9099-C40C66FF867C}">
                  <a14:compatExt spid="_x0000_s1088"/>
                </a:ext>
                <a:ext uri="{FF2B5EF4-FFF2-40B4-BE49-F238E27FC236}">
                  <a16:creationId xmlns:a16="http://schemas.microsoft.com/office/drawing/2014/main" id="{00000000-0008-0000-0100-00004004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xdr:col>
          <xdr:colOff>9525</xdr:colOff>
          <xdr:row>33</xdr:row>
          <xdr:rowOff>19050</xdr:rowOff>
        </xdr:from>
        <xdr:to>
          <xdr:col>1</xdr:col>
          <xdr:colOff>190500</xdr:colOff>
          <xdr:row>34</xdr:row>
          <xdr:rowOff>0</xdr:rowOff>
        </xdr:to>
        <xdr:sp macro="" textlink="">
          <xdr:nvSpPr>
            <xdr:cNvPr id="1089" name="Spinner 65" hidden="1">
              <a:extLst>
                <a:ext uri="{63B3BB69-23CF-44E3-9099-C40C66FF867C}">
                  <a14:compatExt spid="_x0000_s1089"/>
                </a:ext>
                <a:ext uri="{FF2B5EF4-FFF2-40B4-BE49-F238E27FC236}">
                  <a16:creationId xmlns:a16="http://schemas.microsoft.com/office/drawing/2014/main" id="{00000000-0008-0000-0100-00004104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xdr:col>
          <xdr:colOff>9525</xdr:colOff>
          <xdr:row>34</xdr:row>
          <xdr:rowOff>19050</xdr:rowOff>
        </xdr:from>
        <xdr:to>
          <xdr:col>1</xdr:col>
          <xdr:colOff>190500</xdr:colOff>
          <xdr:row>35</xdr:row>
          <xdr:rowOff>0</xdr:rowOff>
        </xdr:to>
        <xdr:sp macro="" textlink="">
          <xdr:nvSpPr>
            <xdr:cNvPr id="1090" name="Spinner 66" hidden="1">
              <a:extLst>
                <a:ext uri="{63B3BB69-23CF-44E3-9099-C40C66FF867C}">
                  <a14:compatExt spid="_x0000_s1090"/>
                </a:ext>
                <a:ext uri="{FF2B5EF4-FFF2-40B4-BE49-F238E27FC236}">
                  <a16:creationId xmlns:a16="http://schemas.microsoft.com/office/drawing/2014/main" id="{00000000-0008-0000-0100-00004204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xdr:col>
          <xdr:colOff>9525</xdr:colOff>
          <xdr:row>35</xdr:row>
          <xdr:rowOff>19050</xdr:rowOff>
        </xdr:from>
        <xdr:to>
          <xdr:col>1</xdr:col>
          <xdr:colOff>190500</xdr:colOff>
          <xdr:row>36</xdr:row>
          <xdr:rowOff>0</xdr:rowOff>
        </xdr:to>
        <xdr:sp macro="" textlink="">
          <xdr:nvSpPr>
            <xdr:cNvPr id="1091" name="Spinner 67" hidden="1">
              <a:extLst>
                <a:ext uri="{63B3BB69-23CF-44E3-9099-C40C66FF867C}">
                  <a14:compatExt spid="_x0000_s1091"/>
                </a:ext>
                <a:ext uri="{FF2B5EF4-FFF2-40B4-BE49-F238E27FC236}">
                  <a16:creationId xmlns:a16="http://schemas.microsoft.com/office/drawing/2014/main" id="{00000000-0008-0000-0100-00004304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xdr:col>
          <xdr:colOff>9525</xdr:colOff>
          <xdr:row>36</xdr:row>
          <xdr:rowOff>19050</xdr:rowOff>
        </xdr:from>
        <xdr:to>
          <xdr:col>1</xdr:col>
          <xdr:colOff>190500</xdr:colOff>
          <xdr:row>37</xdr:row>
          <xdr:rowOff>0</xdr:rowOff>
        </xdr:to>
        <xdr:sp macro="" textlink="">
          <xdr:nvSpPr>
            <xdr:cNvPr id="1092" name="Spinner 68" hidden="1">
              <a:extLst>
                <a:ext uri="{63B3BB69-23CF-44E3-9099-C40C66FF867C}">
                  <a14:compatExt spid="_x0000_s1092"/>
                </a:ext>
                <a:ext uri="{FF2B5EF4-FFF2-40B4-BE49-F238E27FC236}">
                  <a16:creationId xmlns:a16="http://schemas.microsoft.com/office/drawing/2014/main" id="{00000000-0008-0000-0100-00004404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xdr:col>
          <xdr:colOff>9525</xdr:colOff>
          <xdr:row>37</xdr:row>
          <xdr:rowOff>19050</xdr:rowOff>
        </xdr:from>
        <xdr:to>
          <xdr:col>1</xdr:col>
          <xdr:colOff>190500</xdr:colOff>
          <xdr:row>38</xdr:row>
          <xdr:rowOff>0</xdr:rowOff>
        </xdr:to>
        <xdr:sp macro="" textlink="">
          <xdr:nvSpPr>
            <xdr:cNvPr id="1093" name="Spinner 69" hidden="1">
              <a:extLst>
                <a:ext uri="{63B3BB69-23CF-44E3-9099-C40C66FF867C}">
                  <a14:compatExt spid="_x0000_s1093"/>
                </a:ext>
                <a:ext uri="{FF2B5EF4-FFF2-40B4-BE49-F238E27FC236}">
                  <a16:creationId xmlns:a16="http://schemas.microsoft.com/office/drawing/2014/main" id="{00000000-0008-0000-0100-00004504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0</xdr:col>
          <xdr:colOff>9525</xdr:colOff>
          <xdr:row>42</xdr:row>
          <xdr:rowOff>19050</xdr:rowOff>
        </xdr:from>
        <xdr:to>
          <xdr:col>0</xdr:col>
          <xdr:colOff>190500</xdr:colOff>
          <xdr:row>43</xdr:row>
          <xdr:rowOff>0</xdr:rowOff>
        </xdr:to>
        <xdr:sp macro="" textlink="">
          <xdr:nvSpPr>
            <xdr:cNvPr id="1094" name="Spinner 70" hidden="1">
              <a:extLst>
                <a:ext uri="{63B3BB69-23CF-44E3-9099-C40C66FF867C}">
                  <a14:compatExt spid="_x0000_s1094"/>
                </a:ext>
                <a:ext uri="{FF2B5EF4-FFF2-40B4-BE49-F238E27FC236}">
                  <a16:creationId xmlns:a16="http://schemas.microsoft.com/office/drawing/2014/main" id="{00000000-0008-0000-0100-00004604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0</xdr:col>
          <xdr:colOff>9525</xdr:colOff>
          <xdr:row>43</xdr:row>
          <xdr:rowOff>19050</xdr:rowOff>
        </xdr:from>
        <xdr:to>
          <xdr:col>0</xdr:col>
          <xdr:colOff>190500</xdr:colOff>
          <xdr:row>44</xdr:row>
          <xdr:rowOff>0</xdr:rowOff>
        </xdr:to>
        <xdr:sp macro="" textlink="">
          <xdr:nvSpPr>
            <xdr:cNvPr id="1095" name="Spinner 71" hidden="1">
              <a:extLst>
                <a:ext uri="{63B3BB69-23CF-44E3-9099-C40C66FF867C}">
                  <a14:compatExt spid="_x0000_s1095"/>
                </a:ext>
                <a:ext uri="{FF2B5EF4-FFF2-40B4-BE49-F238E27FC236}">
                  <a16:creationId xmlns:a16="http://schemas.microsoft.com/office/drawing/2014/main" id="{00000000-0008-0000-0100-00004704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0</xdr:col>
          <xdr:colOff>9525</xdr:colOff>
          <xdr:row>44</xdr:row>
          <xdr:rowOff>19050</xdr:rowOff>
        </xdr:from>
        <xdr:to>
          <xdr:col>0</xdr:col>
          <xdr:colOff>190500</xdr:colOff>
          <xdr:row>45</xdr:row>
          <xdr:rowOff>0</xdr:rowOff>
        </xdr:to>
        <xdr:sp macro="" textlink="">
          <xdr:nvSpPr>
            <xdr:cNvPr id="1096" name="Spinner 72" hidden="1">
              <a:extLst>
                <a:ext uri="{63B3BB69-23CF-44E3-9099-C40C66FF867C}">
                  <a14:compatExt spid="_x0000_s1096"/>
                </a:ext>
                <a:ext uri="{FF2B5EF4-FFF2-40B4-BE49-F238E27FC236}">
                  <a16:creationId xmlns:a16="http://schemas.microsoft.com/office/drawing/2014/main" id="{00000000-0008-0000-0100-00004804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0</xdr:col>
          <xdr:colOff>9525</xdr:colOff>
          <xdr:row>45</xdr:row>
          <xdr:rowOff>19050</xdr:rowOff>
        </xdr:from>
        <xdr:to>
          <xdr:col>0</xdr:col>
          <xdr:colOff>190500</xdr:colOff>
          <xdr:row>46</xdr:row>
          <xdr:rowOff>0</xdr:rowOff>
        </xdr:to>
        <xdr:sp macro="" textlink="">
          <xdr:nvSpPr>
            <xdr:cNvPr id="1097" name="Spinner 73" hidden="1">
              <a:extLst>
                <a:ext uri="{63B3BB69-23CF-44E3-9099-C40C66FF867C}">
                  <a14:compatExt spid="_x0000_s1097"/>
                </a:ext>
                <a:ext uri="{FF2B5EF4-FFF2-40B4-BE49-F238E27FC236}">
                  <a16:creationId xmlns:a16="http://schemas.microsoft.com/office/drawing/2014/main" id="{00000000-0008-0000-0100-00004904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0</xdr:col>
          <xdr:colOff>9525</xdr:colOff>
          <xdr:row>46</xdr:row>
          <xdr:rowOff>19050</xdr:rowOff>
        </xdr:from>
        <xdr:to>
          <xdr:col>0</xdr:col>
          <xdr:colOff>190500</xdr:colOff>
          <xdr:row>47</xdr:row>
          <xdr:rowOff>0</xdr:rowOff>
        </xdr:to>
        <xdr:sp macro="" textlink="">
          <xdr:nvSpPr>
            <xdr:cNvPr id="1098" name="Spinner 74" hidden="1">
              <a:extLst>
                <a:ext uri="{63B3BB69-23CF-44E3-9099-C40C66FF867C}">
                  <a14:compatExt spid="_x0000_s1098"/>
                </a:ext>
                <a:ext uri="{FF2B5EF4-FFF2-40B4-BE49-F238E27FC236}">
                  <a16:creationId xmlns:a16="http://schemas.microsoft.com/office/drawing/2014/main" id="{00000000-0008-0000-0100-00004A04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0</xdr:col>
          <xdr:colOff>9525</xdr:colOff>
          <xdr:row>47</xdr:row>
          <xdr:rowOff>19050</xdr:rowOff>
        </xdr:from>
        <xdr:to>
          <xdr:col>0</xdr:col>
          <xdr:colOff>190500</xdr:colOff>
          <xdr:row>48</xdr:row>
          <xdr:rowOff>0</xdr:rowOff>
        </xdr:to>
        <xdr:sp macro="" textlink="">
          <xdr:nvSpPr>
            <xdr:cNvPr id="1099" name="Spinner 75" hidden="1">
              <a:extLst>
                <a:ext uri="{63B3BB69-23CF-44E3-9099-C40C66FF867C}">
                  <a14:compatExt spid="_x0000_s1099"/>
                </a:ext>
                <a:ext uri="{FF2B5EF4-FFF2-40B4-BE49-F238E27FC236}">
                  <a16:creationId xmlns:a16="http://schemas.microsoft.com/office/drawing/2014/main" id="{00000000-0008-0000-0100-00004B04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57150</xdr:colOff>
          <xdr:row>4</xdr:row>
          <xdr:rowOff>200025</xdr:rowOff>
        </xdr:from>
        <xdr:to>
          <xdr:col>20</xdr:col>
          <xdr:colOff>60893</xdr:colOff>
          <xdr:row>5</xdr:row>
          <xdr:rowOff>44450</xdr:rowOff>
        </xdr:to>
        <xdr:pic>
          <xdr:nvPicPr>
            <xdr:cNvPr id="78" name="Image 77">
              <a:extLst>
                <a:ext uri="{FF2B5EF4-FFF2-40B4-BE49-F238E27FC236}">
                  <a16:creationId xmlns:a16="http://schemas.microsoft.com/office/drawing/2014/main" id="{00000000-0008-0000-0100-00004E000000}"/>
                </a:ext>
              </a:extLst>
            </xdr:cNvPr>
            <xdr:cNvPicPr>
              <a:picLocks noChangeArrowheads="1"/>
              <a:extLst>
                <a:ext uri="{84589F7E-364E-4C9E-8A38-B11213B215E9}">
                  <a14:cameraTool cellRange="#REF!" spid="_x0000_s482741"/>
                </a:ext>
              </a:extLst>
            </xdr:cNvPicPr>
          </xdr:nvPicPr>
          <xdr:blipFill rotWithShape="1">
            <a:blip xmlns:r="http://schemas.openxmlformats.org/officeDocument/2006/relationships" r:embed="rId2"/>
            <a:srcRect l="4410" t="-11539" b="-1"/>
            <a:stretch>
              <a:fillRect/>
            </a:stretch>
          </xdr:blipFill>
          <xdr:spPr bwMode="auto">
            <a:xfrm>
              <a:off x="57150" y="1209675"/>
              <a:ext cx="4066000" cy="9842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38100</xdr:colOff>
          <xdr:row>4</xdr:row>
          <xdr:rowOff>209550</xdr:rowOff>
        </xdr:from>
        <xdr:to>
          <xdr:col>50</xdr:col>
          <xdr:colOff>126108</xdr:colOff>
          <xdr:row>5</xdr:row>
          <xdr:rowOff>53975</xdr:rowOff>
        </xdr:to>
        <xdr:pic>
          <xdr:nvPicPr>
            <xdr:cNvPr id="80" name="Image 79">
              <a:extLst>
                <a:ext uri="{FF2B5EF4-FFF2-40B4-BE49-F238E27FC236}">
                  <a16:creationId xmlns:a16="http://schemas.microsoft.com/office/drawing/2014/main" id="{00000000-0008-0000-0100-000050000000}"/>
                </a:ext>
              </a:extLst>
            </xdr:cNvPr>
            <xdr:cNvPicPr>
              <a:picLocks noChangeArrowheads="1"/>
              <a:extLst>
                <a:ext uri="{84589F7E-364E-4C9E-8A38-B11213B215E9}">
                  <a14:cameraTool cellRange="#REF!" spid="_x0000_s482742"/>
                </a:ext>
              </a:extLst>
            </xdr:cNvPicPr>
          </xdr:nvPicPr>
          <xdr:blipFill rotWithShape="1">
            <a:blip xmlns:r="http://schemas.openxmlformats.org/officeDocument/2006/relationships" r:embed="rId2"/>
            <a:srcRect l="4410" t="-11539" b="-1"/>
            <a:stretch>
              <a:fillRect/>
            </a:stretch>
          </xdr:blipFill>
          <xdr:spPr bwMode="auto">
            <a:xfrm>
              <a:off x="5566335" y="1218079"/>
              <a:ext cx="4785763" cy="9842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142875</xdr:colOff>
          <xdr:row>46</xdr:row>
          <xdr:rowOff>9525</xdr:rowOff>
        </xdr:from>
        <xdr:to>
          <xdr:col>12</xdr:col>
          <xdr:colOff>180975</xdr:colOff>
          <xdr:row>46</xdr:row>
          <xdr:rowOff>247650</xdr:rowOff>
        </xdr:to>
        <xdr:sp macro="" textlink="">
          <xdr:nvSpPr>
            <xdr:cNvPr id="1114" name="Check Box 90" hidden="1">
              <a:extLst>
                <a:ext uri="{63B3BB69-23CF-44E3-9099-C40C66FF867C}">
                  <a14:compatExt spid="_x0000_s1114"/>
                </a:ext>
                <a:ext uri="{FF2B5EF4-FFF2-40B4-BE49-F238E27FC236}">
                  <a16:creationId xmlns:a16="http://schemas.microsoft.com/office/drawing/2014/main" id="{00000000-0008-0000-0100-00005A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57150</xdr:colOff>
          <xdr:row>9</xdr:row>
          <xdr:rowOff>200025</xdr:rowOff>
        </xdr:from>
        <xdr:to>
          <xdr:col>39</xdr:col>
          <xdr:colOff>113433</xdr:colOff>
          <xdr:row>10</xdr:row>
          <xdr:rowOff>44450</xdr:rowOff>
        </xdr:to>
        <xdr:pic>
          <xdr:nvPicPr>
            <xdr:cNvPr id="55" name="Image 54">
              <a:extLst>
                <a:ext uri="{FF2B5EF4-FFF2-40B4-BE49-F238E27FC236}">
                  <a16:creationId xmlns:a16="http://schemas.microsoft.com/office/drawing/2014/main" id="{00000000-0008-0000-0100-000037000000}"/>
                </a:ext>
              </a:extLst>
            </xdr:cNvPr>
            <xdr:cNvPicPr>
              <a:picLocks noChangeArrowheads="1"/>
              <a:extLst>
                <a:ext uri="{84589F7E-364E-4C9E-8A38-B11213B215E9}">
                  <a14:cameraTool cellRange="#REF!" spid="_x0000_s482743"/>
                </a:ext>
              </a:extLst>
            </xdr:cNvPicPr>
          </xdr:nvPicPr>
          <xdr:blipFill rotWithShape="1">
            <a:blip xmlns:r="http://schemas.openxmlformats.org/officeDocument/2006/relationships" r:embed="rId2"/>
            <a:srcRect l="4410" t="-11539" b="-1"/>
            <a:stretch>
              <a:fillRect/>
            </a:stretch>
          </xdr:blipFill>
          <xdr:spPr bwMode="auto">
            <a:xfrm>
              <a:off x="5585385" y="2471084"/>
              <a:ext cx="2617450" cy="9842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133350</xdr:colOff>
          <xdr:row>9</xdr:row>
          <xdr:rowOff>200025</xdr:rowOff>
        </xdr:from>
        <xdr:to>
          <xdr:col>20</xdr:col>
          <xdr:colOff>159800</xdr:colOff>
          <xdr:row>10</xdr:row>
          <xdr:rowOff>44450</xdr:rowOff>
        </xdr:to>
        <xdr:pic>
          <xdr:nvPicPr>
            <xdr:cNvPr id="56" name="Image 55">
              <a:extLst>
                <a:ext uri="{FF2B5EF4-FFF2-40B4-BE49-F238E27FC236}">
                  <a16:creationId xmlns:a16="http://schemas.microsoft.com/office/drawing/2014/main" id="{00000000-0008-0000-0100-000038000000}"/>
                </a:ext>
              </a:extLst>
            </xdr:cNvPr>
            <xdr:cNvPicPr>
              <a:picLocks noChangeArrowheads="1"/>
              <a:extLst>
                <a:ext uri="{84589F7E-364E-4C9E-8A38-B11213B215E9}">
                  <a14:cameraTool cellRange="#REF!" spid="_x0000_s482744"/>
                </a:ext>
              </a:extLst>
            </xdr:cNvPicPr>
          </xdr:nvPicPr>
          <xdr:blipFill rotWithShape="1">
            <a:blip xmlns:r="http://schemas.openxmlformats.org/officeDocument/2006/relationships" r:embed="rId2"/>
            <a:srcRect l="4410" t="-11539" b="-1"/>
            <a:stretch>
              <a:fillRect/>
            </a:stretch>
          </xdr:blipFill>
          <xdr:spPr bwMode="auto">
            <a:xfrm>
              <a:off x="1933575" y="2428875"/>
              <a:ext cx="2268000" cy="9207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43</xdr:col>
          <xdr:colOff>47625</xdr:colOff>
          <xdr:row>9</xdr:row>
          <xdr:rowOff>200025</xdr:rowOff>
        </xdr:from>
        <xdr:to>
          <xdr:col>50</xdr:col>
          <xdr:colOff>159450</xdr:colOff>
          <xdr:row>10</xdr:row>
          <xdr:rowOff>44450</xdr:rowOff>
        </xdr:to>
        <xdr:pic>
          <xdr:nvPicPr>
            <xdr:cNvPr id="57" name="Image 56">
              <a:extLst>
                <a:ext uri="{FF2B5EF4-FFF2-40B4-BE49-F238E27FC236}">
                  <a16:creationId xmlns:a16="http://schemas.microsoft.com/office/drawing/2014/main" id="{00000000-0008-0000-0100-000039000000}"/>
                </a:ext>
              </a:extLst>
            </xdr:cNvPr>
            <xdr:cNvPicPr>
              <a:picLocks noChangeArrowheads="1"/>
              <a:extLst>
                <a:ext uri="{84589F7E-364E-4C9E-8A38-B11213B215E9}">
                  <a14:cameraTool cellRange="#REF!" spid="_x0000_s482745"/>
                </a:ext>
              </a:extLst>
            </xdr:cNvPicPr>
          </xdr:nvPicPr>
          <xdr:blipFill rotWithShape="1">
            <a:blip xmlns:r="http://schemas.openxmlformats.org/officeDocument/2006/relationships" r:embed="rId2"/>
            <a:srcRect l="4410" t="-11539" b="-1"/>
            <a:stretch>
              <a:fillRect/>
            </a:stretch>
          </xdr:blipFill>
          <xdr:spPr bwMode="auto">
            <a:xfrm>
              <a:off x="8648700" y="2428875"/>
              <a:ext cx="1512000" cy="9207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38100</xdr:colOff>
          <xdr:row>9</xdr:row>
          <xdr:rowOff>200025</xdr:rowOff>
        </xdr:from>
        <xdr:to>
          <xdr:col>5</xdr:col>
          <xdr:colOff>43269</xdr:colOff>
          <xdr:row>10</xdr:row>
          <xdr:rowOff>44450</xdr:rowOff>
        </xdr:to>
        <xdr:pic>
          <xdr:nvPicPr>
            <xdr:cNvPr id="58" name="Image 57">
              <a:extLst>
                <a:ext uri="{FF2B5EF4-FFF2-40B4-BE49-F238E27FC236}">
                  <a16:creationId xmlns:a16="http://schemas.microsoft.com/office/drawing/2014/main" id="{00000000-0008-0000-0100-00003A000000}"/>
                </a:ext>
              </a:extLst>
            </xdr:cNvPr>
            <xdr:cNvPicPr>
              <a:picLocks noChangeArrowheads="1"/>
              <a:extLst>
                <a:ext uri="{84589F7E-364E-4C9E-8A38-B11213B215E9}">
                  <a14:cameraTool cellRange="#REF!" spid="_x0000_s482746"/>
                </a:ext>
              </a:extLst>
            </xdr:cNvPicPr>
          </xdr:nvPicPr>
          <xdr:blipFill rotWithShape="1">
            <a:blip xmlns:r="http://schemas.openxmlformats.org/officeDocument/2006/relationships" r:embed="rId2"/>
            <a:srcRect l="4410" t="-11539" b="-1"/>
            <a:stretch>
              <a:fillRect/>
            </a:stretch>
          </xdr:blipFill>
          <xdr:spPr bwMode="auto">
            <a:xfrm>
              <a:off x="38100" y="2428875"/>
              <a:ext cx="1080000" cy="9207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oneCellAnchor>
        <xdr:from>
          <xdr:col>0</xdr:col>
          <xdr:colOff>57150</xdr:colOff>
          <xdr:row>59</xdr:row>
          <xdr:rowOff>200025</xdr:rowOff>
        </xdr:from>
        <xdr:ext cx="4608000" cy="92075"/>
        <xdr:pic>
          <xdr:nvPicPr>
            <xdr:cNvPr id="60" name="Image 59">
              <a:extLst>
                <a:ext uri="{FF2B5EF4-FFF2-40B4-BE49-F238E27FC236}">
                  <a16:creationId xmlns:a16="http://schemas.microsoft.com/office/drawing/2014/main" id="{00000000-0008-0000-0100-00003C000000}"/>
                </a:ext>
              </a:extLst>
            </xdr:cNvPr>
            <xdr:cNvPicPr>
              <a:picLocks noChangeArrowheads="1"/>
              <a:extLst>
                <a:ext uri="{84589F7E-364E-4C9E-8A38-B11213B215E9}">
                  <a14:cameraTool cellRange="#REF!" spid="_x0000_s482747"/>
                </a:ext>
              </a:extLst>
            </xdr:cNvPicPr>
          </xdr:nvPicPr>
          <xdr:blipFill rotWithShape="1">
            <a:blip xmlns:r="http://schemas.openxmlformats.org/officeDocument/2006/relationships" r:embed="rId2"/>
            <a:srcRect l="4410" t="-11539" b="-1"/>
            <a:stretch>
              <a:fillRect/>
            </a:stretch>
          </xdr:blipFill>
          <xdr:spPr bwMode="auto">
            <a:xfrm>
              <a:off x="57150" y="16049625"/>
              <a:ext cx="4608000" cy="92075"/>
            </a:xfrm>
            <a:prstGeom prst="rect">
              <a:avLst/>
            </a:prstGeom>
            <a:noFill/>
            <a:extLst>
              <a:ext uri="{909E8E84-426E-40DD-AFC4-6F175D3DCCD1}">
                <a14:hiddenFill>
                  <a:solidFill>
                    <a:srgbClr val="FFFFFF"/>
                  </a:solidFill>
                </a14:hiddenFill>
              </a:ext>
            </a:extLst>
          </xdr:spPr>
        </xdr:pic>
        <xdr:clientData/>
      </xdr:oneCellAnchor>
    </mc:Choice>
    <mc:Fallback/>
  </mc:AlternateContent>
  <mc:AlternateContent xmlns:mc="http://schemas.openxmlformats.org/markup-compatibility/2006">
    <mc:Choice xmlns:a14="http://schemas.microsoft.com/office/drawing/2010/main" Requires="a14">
      <xdr:oneCellAnchor>
        <xdr:from>
          <xdr:col>27</xdr:col>
          <xdr:colOff>142875</xdr:colOff>
          <xdr:row>59</xdr:row>
          <xdr:rowOff>190500</xdr:rowOff>
        </xdr:from>
        <xdr:ext cx="4644000" cy="92075"/>
        <xdr:pic>
          <xdr:nvPicPr>
            <xdr:cNvPr id="61" name="Image 60">
              <a:extLst>
                <a:ext uri="{FF2B5EF4-FFF2-40B4-BE49-F238E27FC236}">
                  <a16:creationId xmlns:a16="http://schemas.microsoft.com/office/drawing/2014/main" id="{00000000-0008-0000-0100-00003D000000}"/>
                </a:ext>
              </a:extLst>
            </xdr:cNvPr>
            <xdr:cNvPicPr>
              <a:picLocks noChangeArrowheads="1"/>
              <a:extLst>
                <a:ext uri="{84589F7E-364E-4C9E-8A38-B11213B215E9}">
                  <a14:cameraTool cellRange="#REF!" spid="_x0000_s482748"/>
                </a:ext>
              </a:extLst>
            </xdr:cNvPicPr>
          </xdr:nvPicPr>
          <xdr:blipFill rotWithShape="1">
            <a:blip xmlns:r="http://schemas.openxmlformats.org/officeDocument/2006/relationships" r:embed="rId2"/>
            <a:srcRect l="4410" t="-11539" b="-1"/>
            <a:stretch>
              <a:fillRect/>
            </a:stretch>
          </xdr:blipFill>
          <xdr:spPr bwMode="auto">
            <a:xfrm>
              <a:off x="5543550" y="16040100"/>
              <a:ext cx="4644000" cy="92075"/>
            </a:xfrm>
            <a:prstGeom prst="rect">
              <a:avLst/>
            </a:prstGeom>
            <a:noFill/>
            <a:extLst>
              <a:ext uri="{909E8E84-426E-40DD-AFC4-6F175D3DCCD1}">
                <a14:hiddenFill>
                  <a:solidFill>
                    <a:srgbClr val="FFFFFF"/>
                  </a:solidFill>
                </a14:hiddenFill>
              </a:ext>
            </a:extLst>
          </xdr:spPr>
        </xdr:pic>
        <xdr:clientData/>
      </xdr:oneCellAnchor>
    </mc:Choice>
    <mc:Fallback/>
  </mc:AlternateContent>
  <mc:AlternateContent xmlns:mc="http://schemas.openxmlformats.org/markup-compatibility/2006">
    <mc:Choice xmlns:a14="http://schemas.microsoft.com/office/drawing/2010/main" Requires="a14">
      <xdr:twoCellAnchor editAs="oneCell">
        <xdr:from>
          <xdr:col>21</xdr:col>
          <xdr:colOff>0</xdr:colOff>
          <xdr:row>22</xdr:row>
          <xdr:rowOff>200025</xdr:rowOff>
        </xdr:from>
        <xdr:to>
          <xdr:col>25</xdr:col>
          <xdr:colOff>99901</xdr:colOff>
          <xdr:row>23</xdr:row>
          <xdr:rowOff>44450</xdr:rowOff>
        </xdr:to>
        <xdr:pic>
          <xdr:nvPicPr>
            <xdr:cNvPr id="63" name="Image 62">
              <a:extLst>
                <a:ext uri="{FF2B5EF4-FFF2-40B4-BE49-F238E27FC236}">
                  <a16:creationId xmlns:a16="http://schemas.microsoft.com/office/drawing/2014/main" id="{00000000-0008-0000-0100-00003F000000}"/>
                </a:ext>
              </a:extLst>
            </xdr:cNvPr>
            <xdr:cNvPicPr>
              <a:picLocks noChangeArrowheads="1"/>
              <a:extLst>
                <a:ext uri="{84589F7E-364E-4C9E-8A38-B11213B215E9}">
                  <a14:cameraTool cellRange="#REF!" spid="_x0000_s482749"/>
                </a:ext>
              </a:extLst>
            </xdr:cNvPicPr>
          </xdr:nvPicPr>
          <xdr:blipFill rotWithShape="1">
            <a:blip xmlns:r="http://schemas.openxmlformats.org/officeDocument/2006/relationships" r:embed="rId2"/>
            <a:srcRect l="4410" t="-11539" b="-1"/>
            <a:stretch>
              <a:fillRect/>
            </a:stretch>
          </xdr:blipFill>
          <xdr:spPr bwMode="auto">
            <a:xfrm>
              <a:off x="4200525" y="5648325"/>
              <a:ext cx="900000" cy="9207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22</xdr:row>
          <xdr:rowOff>180975</xdr:rowOff>
        </xdr:from>
        <xdr:to>
          <xdr:col>15</xdr:col>
          <xdr:colOff>186500</xdr:colOff>
          <xdr:row>23</xdr:row>
          <xdr:rowOff>25400</xdr:rowOff>
        </xdr:to>
        <xdr:pic>
          <xdr:nvPicPr>
            <xdr:cNvPr id="64" name="Image 63">
              <a:extLst>
                <a:ext uri="{FF2B5EF4-FFF2-40B4-BE49-F238E27FC236}">
                  <a16:creationId xmlns:a16="http://schemas.microsoft.com/office/drawing/2014/main" id="{00000000-0008-0000-0100-000040000000}"/>
                </a:ext>
              </a:extLst>
            </xdr:cNvPr>
            <xdr:cNvPicPr>
              <a:picLocks noChangeArrowheads="1"/>
              <a:extLst>
                <a:ext uri="{84589F7E-364E-4C9E-8A38-B11213B215E9}">
                  <a14:cameraTool cellRange="#REF!" spid="_x0000_s482750"/>
                </a:ext>
              </a:extLst>
            </xdr:cNvPicPr>
          </xdr:nvPicPr>
          <xdr:blipFill rotWithShape="1">
            <a:blip xmlns:r="http://schemas.openxmlformats.org/officeDocument/2006/relationships" r:embed="rId2"/>
            <a:srcRect l="4410" t="-11539" b="-1"/>
            <a:stretch>
              <a:fillRect/>
            </a:stretch>
          </xdr:blipFill>
          <xdr:spPr bwMode="auto">
            <a:xfrm>
              <a:off x="2695575" y="5629275"/>
              <a:ext cx="504000" cy="9207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104775</xdr:colOff>
          <xdr:row>22</xdr:row>
          <xdr:rowOff>200025</xdr:rowOff>
        </xdr:from>
        <xdr:to>
          <xdr:col>32</xdr:col>
          <xdr:colOff>136725</xdr:colOff>
          <xdr:row>23</xdr:row>
          <xdr:rowOff>44450</xdr:rowOff>
        </xdr:to>
        <xdr:pic>
          <xdr:nvPicPr>
            <xdr:cNvPr id="65" name="Image 64">
              <a:extLst>
                <a:ext uri="{FF2B5EF4-FFF2-40B4-BE49-F238E27FC236}">
                  <a16:creationId xmlns:a16="http://schemas.microsoft.com/office/drawing/2014/main" id="{00000000-0008-0000-0100-000041000000}"/>
                </a:ext>
              </a:extLst>
            </xdr:cNvPr>
            <xdr:cNvPicPr>
              <a:picLocks noChangeArrowheads="1"/>
              <a:extLst>
                <a:ext uri="{84589F7E-364E-4C9E-8A38-B11213B215E9}">
                  <a14:cameraTool cellRange="#REF!" spid="_x0000_s482751"/>
                </a:ext>
              </a:extLst>
            </xdr:cNvPicPr>
          </xdr:nvPicPr>
          <xdr:blipFill rotWithShape="1">
            <a:blip xmlns:r="http://schemas.openxmlformats.org/officeDocument/2006/relationships" r:embed="rId2"/>
            <a:srcRect l="4410" t="-11539" b="-1"/>
            <a:stretch>
              <a:fillRect/>
            </a:stretch>
          </xdr:blipFill>
          <xdr:spPr bwMode="auto">
            <a:xfrm>
              <a:off x="6105525" y="5648325"/>
              <a:ext cx="432000" cy="9207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114300</xdr:colOff>
          <xdr:row>27</xdr:row>
          <xdr:rowOff>190500</xdr:rowOff>
        </xdr:from>
        <xdr:to>
          <xdr:col>25</xdr:col>
          <xdr:colOff>122176</xdr:colOff>
          <xdr:row>28</xdr:row>
          <xdr:rowOff>34925</xdr:rowOff>
        </xdr:to>
        <xdr:pic>
          <xdr:nvPicPr>
            <xdr:cNvPr id="66" name="Image 65">
              <a:extLst>
                <a:ext uri="{FF2B5EF4-FFF2-40B4-BE49-F238E27FC236}">
                  <a16:creationId xmlns:a16="http://schemas.microsoft.com/office/drawing/2014/main" id="{00000000-0008-0000-0100-000042000000}"/>
                </a:ext>
              </a:extLst>
            </xdr:cNvPr>
            <xdr:cNvPicPr>
              <a:picLocks noChangeArrowheads="1"/>
              <a:extLst>
                <a:ext uri="{84589F7E-364E-4C9E-8A38-B11213B215E9}">
                  <a14:cameraTool cellRange="#REF!" spid="_x0000_s482752"/>
                </a:ext>
              </a:extLst>
            </xdr:cNvPicPr>
          </xdr:nvPicPr>
          <xdr:blipFill rotWithShape="1">
            <a:blip xmlns:r="http://schemas.openxmlformats.org/officeDocument/2006/relationships" r:embed="rId2"/>
            <a:srcRect l="4410" t="-11539" b="-1"/>
            <a:stretch>
              <a:fillRect/>
            </a:stretch>
          </xdr:blipFill>
          <xdr:spPr bwMode="auto">
            <a:xfrm>
              <a:off x="4114800" y="6877050"/>
              <a:ext cx="1008000" cy="9207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95250</xdr:colOff>
          <xdr:row>27</xdr:row>
          <xdr:rowOff>190500</xdr:rowOff>
        </xdr:from>
        <xdr:to>
          <xdr:col>32</xdr:col>
          <xdr:colOff>143174</xdr:colOff>
          <xdr:row>28</xdr:row>
          <xdr:rowOff>34925</xdr:rowOff>
        </xdr:to>
        <xdr:pic>
          <xdr:nvPicPr>
            <xdr:cNvPr id="67" name="Image 66">
              <a:extLst>
                <a:ext uri="{FF2B5EF4-FFF2-40B4-BE49-F238E27FC236}">
                  <a16:creationId xmlns:a16="http://schemas.microsoft.com/office/drawing/2014/main" id="{00000000-0008-0000-0100-000043000000}"/>
                </a:ext>
              </a:extLst>
            </xdr:cNvPr>
            <xdr:cNvPicPr>
              <a:picLocks noChangeArrowheads="1"/>
              <a:extLst>
                <a:ext uri="{84589F7E-364E-4C9E-8A38-B11213B215E9}">
                  <a14:cameraTool cellRange="#REF!" spid="_x0000_s482753"/>
                </a:ext>
              </a:extLst>
            </xdr:cNvPicPr>
          </xdr:nvPicPr>
          <xdr:blipFill rotWithShape="1">
            <a:blip xmlns:r="http://schemas.openxmlformats.org/officeDocument/2006/relationships" r:embed="rId2"/>
            <a:srcRect l="4410" t="-11539" b="-1"/>
            <a:stretch>
              <a:fillRect/>
            </a:stretch>
          </xdr:blipFill>
          <xdr:spPr bwMode="auto">
            <a:xfrm>
              <a:off x="5895975" y="6877050"/>
              <a:ext cx="648000" cy="9207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27</xdr:row>
          <xdr:rowOff>190500</xdr:rowOff>
        </xdr:from>
        <xdr:to>
          <xdr:col>15</xdr:col>
          <xdr:colOff>114500</xdr:colOff>
          <xdr:row>28</xdr:row>
          <xdr:rowOff>34925</xdr:rowOff>
        </xdr:to>
        <xdr:pic>
          <xdr:nvPicPr>
            <xdr:cNvPr id="68" name="Image 67">
              <a:extLst>
                <a:ext uri="{FF2B5EF4-FFF2-40B4-BE49-F238E27FC236}">
                  <a16:creationId xmlns:a16="http://schemas.microsoft.com/office/drawing/2014/main" id="{00000000-0008-0000-0100-000044000000}"/>
                </a:ext>
              </a:extLst>
            </xdr:cNvPr>
            <xdr:cNvPicPr>
              <a:picLocks noChangeArrowheads="1"/>
              <a:extLst>
                <a:ext uri="{84589F7E-364E-4C9E-8A38-B11213B215E9}">
                  <a14:cameraTool cellRange="#REF!" spid="_x0000_s482754"/>
                </a:ext>
              </a:extLst>
            </xdr:cNvPicPr>
          </xdr:nvPicPr>
          <xdr:blipFill rotWithShape="1">
            <a:blip xmlns:r="http://schemas.openxmlformats.org/officeDocument/2006/relationships" r:embed="rId2"/>
            <a:srcRect l="4410" t="-11539" b="-1"/>
            <a:stretch>
              <a:fillRect/>
            </a:stretch>
          </xdr:blipFill>
          <xdr:spPr bwMode="auto">
            <a:xfrm>
              <a:off x="2695575" y="6877050"/>
              <a:ext cx="432000" cy="9207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30</xdr:row>
          <xdr:rowOff>190500</xdr:rowOff>
        </xdr:from>
        <xdr:to>
          <xdr:col>15</xdr:col>
          <xdr:colOff>42500</xdr:colOff>
          <xdr:row>31</xdr:row>
          <xdr:rowOff>34925</xdr:rowOff>
        </xdr:to>
        <xdr:pic>
          <xdr:nvPicPr>
            <xdr:cNvPr id="69" name="Image 68">
              <a:extLst>
                <a:ext uri="{FF2B5EF4-FFF2-40B4-BE49-F238E27FC236}">
                  <a16:creationId xmlns:a16="http://schemas.microsoft.com/office/drawing/2014/main" id="{00000000-0008-0000-0100-000045000000}"/>
                </a:ext>
              </a:extLst>
            </xdr:cNvPr>
            <xdr:cNvPicPr>
              <a:picLocks noChangeArrowheads="1"/>
              <a:extLst>
                <a:ext uri="{84589F7E-364E-4C9E-8A38-B11213B215E9}">
                  <a14:cameraTool cellRange="#REF!" spid="_x0000_s482755"/>
                </a:ext>
              </a:extLst>
            </xdr:cNvPicPr>
          </xdr:nvPicPr>
          <xdr:blipFill rotWithShape="1">
            <a:blip xmlns:r="http://schemas.openxmlformats.org/officeDocument/2006/relationships" r:embed="rId2"/>
            <a:srcRect l="4410" t="-11539" b="-1"/>
            <a:stretch>
              <a:fillRect/>
            </a:stretch>
          </xdr:blipFill>
          <xdr:spPr bwMode="auto">
            <a:xfrm>
              <a:off x="2695575" y="7620000"/>
              <a:ext cx="360000" cy="9207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34</xdr:row>
          <xdr:rowOff>190500</xdr:rowOff>
        </xdr:from>
        <xdr:to>
          <xdr:col>15</xdr:col>
          <xdr:colOff>78500</xdr:colOff>
          <xdr:row>35</xdr:row>
          <xdr:rowOff>34925</xdr:rowOff>
        </xdr:to>
        <xdr:pic>
          <xdr:nvPicPr>
            <xdr:cNvPr id="70" name="Image 69">
              <a:extLst>
                <a:ext uri="{FF2B5EF4-FFF2-40B4-BE49-F238E27FC236}">
                  <a16:creationId xmlns:a16="http://schemas.microsoft.com/office/drawing/2014/main" id="{00000000-0008-0000-0100-000046000000}"/>
                </a:ext>
              </a:extLst>
            </xdr:cNvPr>
            <xdr:cNvPicPr>
              <a:picLocks noChangeArrowheads="1"/>
              <a:extLst>
                <a:ext uri="{84589F7E-364E-4C9E-8A38-B11213B215E9}">
                  <a14:cameraTool cellRange="#REF!" spid="_x0000_s482756"/>
                </a:ext>
              </a:extLst>
            </xdr:cNvPicPr>
          </xdr:nvPicPr>
          <xdr:blipFill rotWithShape="1">
            <a:blip xmlns:r="http://schemas.openxmlformats.org/officeDocument/2006/relationships" r:embed="rId2"/>
            <a:srcRect l="4410" t="-11539" b="-1"/>
            <a:stretch>
              <a:fillRect/>
            </a:stretch>
          </xdr:blipFill>
          <xdr:spPr bwMode="auto">
            <a:xfrm>
              <a:off x="2695575" y="8610600"/>
              <a:ext cx="396000" cy="9207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161925</xdr:colOff>
          <xdr:row>34</xdr:row>
          <xdr:rowOff>190500</xdr:rowOff>
        </xdr:from>
        <xdr:to>
          <xdr:col>25</xdr:col>
          <xdr:colOff>169801</xdr:colOff>
          <xdr:row>35</xdr:row>
          <xdr:rowOff>34925</xdr:rowOff>
        </xdr:to>
        <xdr:pic>
          <xdr:nvPicPr>
            <xdr:cNvPr id="71" name="Image 70">
              <a:extLst>
                <a:ext uri="{FF2B5EF4-FFF2-40B4-BE49-F238E27FC236}">
                  <a16:creationId xmlns:a16="http://schemas.microsoft.com/office/drawing/2014/main" id="{00000000-0008-0000-0100-000047000000}"/>
                </a:ext>
              </a:extLst>
            </xdr:cNvPr>
            <xdr:cNvPicPr>
              <a:picLocks noChangeArrowheads="1"/>
              <a:extLst>
                <a:ext uri="{84589F7E-364E-4C9E-8A38-B11213B215E9}">
                  <a14:cameraTool cellRange="#REF!" spid="_x0000_s482757"/>
                </a:ext>
              </a:extLst>
            </xdr:cNvPicPr>
          </xdr:nvPicPr>
          <xdr:blipFill rotWithShape="1">
            <a:blip xmlns:r="http://schemas.openxmlformats.org/officeDocument/2006/relationships" r:embed="rId2"/>
            <a:srcRect l="4410" t="-11539" b="-1"/>
            <a:stretch>
              <a:fillRect/>
            </a:stretch>
          </xdr:blipFill>
          <xdr:spPr bwMode="auto">
            <a:xfrm>
              <a:off x="4162425" y="8610600"/>
              <a:ext cx="1008000" cy="9207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28575</xdr:colOff>
          <xdr:row>34</xdr:row>
          <xdr:rowOff>190500</xdr:rowOff>
        </xdr:from>
        <xdr:to>
          <xdr:col>41</xdr:col>
          <xdr:colOff>10459</xdr:colOff>
          <xdr:row>35</xdr:row>
          <xdr:rowOff>34925</xdr:rowOff>
        </xdr:to>
        <xdr:pic>
          <xdr:nvPicPr>
            <xdr:cNvPr id="72" name="Image 71">
              <a:extLst>
                <a:ext uri="{FF2B5EF4-FFF2-40B4-BE49-F238E27FC236}">
                  <a16:creationId xmlns:a16="http://schemas.microsoft.com/office/drawing/2014/main" id="{00000000-0008-0000-0100-000048000000}"/>
                </a:ext>
              </a:extLst>
            </xdr:cNvPr>
            <xdr:cNvPicPr>
              <a:picLocks noChangeArrowheads="1"/>
              <a:extLst>
                <a:ext uri="{84589F7E-364E-4C9E-8A38-B11213B215E9}">
                  <a14:cameraTool cellRange="#REF!" spid="_x0000_s482758"/>
                </a:ext>
              </a:extLst>
            </xdr:cNvPicPr>
          </xdr:nvPicPr>
          <xdr:blipFill rotWithShape="1">
            <a:blip xmlns:r="http://schemas.openxmlformats.org/officeDocument/2006/relationships" r:embed="rId2"/>
            <a:srcRect l="4410" t="-11539" b="-1"/>
            <a:stretch>
              <a:fillRect/>
            </a:stretch>
          </xdr:blipFill>
          <xdr:spPr bwMode="auto">
            <a:xfrm>
              <a:off x="6229350" y="8610600"/>
              <a:ext cx="2016000" cy="9207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48</xdr:col>
          <xdr:colOff>180975</xdr:colOff>
          <xdr:row>34</xdr:row>
          <xdr:rowOff>190500</xdr:rowOff>
        </xdr:from>
        <xdr:to>
          <xdr:col>50</xdr:col>
          <xdr:colOff>176925</xdr:colOff>
          <xdr:row>35</xdr:row>
          <xdr:rowOff>34925</xdr:rowOff>
        </xdr:to>
        <xdr:pic>
          <xdr:nvPicPr>
            <xdr:cNvPr id="73" name="Image 72">
              <a:extLst>
                <a:ext uri="{FF2B5EF4-FFF2-40B4-BE49-F238E27FC236}">
                  <a16:creationId xmlns:a16="http://schemas.microsoft.com/office/drawing/2014/main" id="{00000000-0008-0000-0100-000049000000}"/>
                </a:ext>
              </a:extLst>
            </xdr:cNvPr>
            <xdr:cNvPicPr>
              <a:picLocks noChangeArrowheads="1"/>
              <a:extLst>
                <a:ext uri="{84589F7E-364E-4C9E-8A38-B11213B215E9}">
                  <a14:cameraTool cellRange="#REF!" spid="_x0000_s482759"/>
                </a:ext>
              </a:extLst>
            </xdr:cNvPicPr>
          </xdr:nvPicPr>
          <xdr:blipFill rotWithShape="1">
            <a:blip xmlns:r="http://schemas.openxmlformats.org/officeDocument/2006/relationships" r:embed="rId2"/>
            <a:srcRect l="4410" t="-11539" b="-1"/>
            <a:stretch>
              <a:fillRect/>
            </a:stretch>
          </xdr:blipFill>
          <xdr:spPr bwMode="auto">
            <a:xfrm>
              <a:off x="9782175" y="8610600"/>
              <a:ext cx="396000" cy="9207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38100</xdr:colOff>
          <xdr:row>38</xdr:row>
          <xdr:rowOff>200025</xdr:rowOff>
        </xdr:from>
        <xdr:to>
          <xdr:col>29</xdr:col>
          <xdr:colOff>26026</xdr:colOff>
          <xdr:row>39</xdr:row>
          <xdr:rowOff>44450</xdr:rowOff>
        </xdr:to>
        <xdr:pic>
          <xdr:nvPicPr>
            <xdr:cNvPr id="74" name="Image 73">
              <a:extLst>
                <a:ext uri="{FF2B5EF4-FFF2-40B4-BE49-F238E27FC236}">
                  <a16:creationId xmlns:a16="http://schemas.microsoft.com/office/drawing/2014/main" id="{00000000-0008-0000-0100-00004A000000}"/>
                </a:ext>
              </a:extLst>
            </xdr:cNvPr>
            <xdr:cNvPicPr>
              <a:picLocks noChangeArrowheads="1"/>
              <a:extLst>
                <a:ext uri="{84589F7E-364E-4C9E-8A38-B11213B215E9}">
                  <a14:cameraTool cellRange="#REF!" spid="_x0000_s482760"/>
                </a:ext>
              </a:extLst>
            </xdr:cNvPicPr>
          </xdr:nvPicPr>
          <xdr:blipFill rotWithShape="1">
            <a:blip xmlns:r="http://schemas.openxmlformats.org/officeDocument/2006/relationships" r:embed="rId2"/>
            <a:srcRect l="4410" t="-11539" b="-1"/>
            <a:stretch>
              <a:fillRect/>
            </a:stretch>
          </xdr:blipFill>
          <xdr:spPr bwMode="auto">
            <a:xfrm>
              <a:off x="2281767" y="9837914"/>
              <a:ext cx="3586259" cy="9842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33</xdr:col>
          <xdr:colOff>104775</xdr:colOff>
          <xdr:row>38</xdr:row>
          <xdr:rowOff>200025</xdr:rowOff>
        </xdr:from>
        <xdr:to>
          <xdr:col>50</xdr:col>
          <xdr:colOff>126483</xdr:colOff>
          <xdr:row>39</xdr:row>
          <xdr:rowOff>44450</xdr:rowOff>
        </xdr:to>
        <xdr:pic>
          <xdr:nvPicPr>
            <xdr:cNvPr id="75" name="Image 74">
              <a:extLst>
                <a:ext uri="{FF2B5EF4-FFF2-40B4-BE49-F238E27FC236}">
                  <a16:creationId xmlns:a16="http://schemas.microsoft.com/office/drawing/2014/main" id="{00000000-0008-0000-0100-00004B000000}"/>
                </a:ext>
              </a:extLst>
            </xdr:cNvPr>
            <xdr:cNvPicPr>
              <a:picLocks noChangeArrowheads="1"/>
              <a:extLst>
                <a:ext uri="{84589F7E-364E-4C9E-8A38-B11213B215E9}">
                  <a14:cameraTool cellRange="#REF!" spid="_x0000_s482761"/>
                </a:ext>
              </a:extLst>
            </xdr:cNvPicPr>
          </xdr:nvPicPr>
          <xdr:blipFill rotWithShape="1">
            <a:blip xmlns:r="http://schemas.openxmlformats.org/officeDocument/2006/relationships" r:embed="rId2"/>
            <a:srcRect l="4410" t="-11539" b="-1"/>
            <a:stretch>
              <a:fillRect/>
            </a:stretch>
          </xdr:blipFill>
          <xdr:spPr bwMode="auto">
            <a:xfrm>
              <a:off x="6736997" y="9837914"/>
              <a:ext cx="3415430" cy="9842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47625</xdr:colOff>
          <xdr:row>38</xdr:row>
          <xdr:rowOff>200025</xdr:rowOff>
        </xdr:from>
        <xdr:to>
          <xdr:col>2</xdr:col>
          <xdr:colOff>76870</xdr:colOff>
          <xdr:row>39</xdr:row>
          <xdr:rowOff>44450</xdr:rowOff>
        </xdr:to>
        <xdr:pic>
          <xdr:nvPicPr>
            <xdr:cNvPr id="76" name="Image 75">
              <a:extLst>
                <a:ext uri="{FF2B5EF4-FFF2-40B4-BE49-F238E27FC236}">
                  <a16:creationId xmlns:a16="http://schemas.microsoft.com/office/drawing/2014/main" id="{00000000-0008-0000-0100-00004C000000}"/>
                </a:ext>
              </a:extLst>
            </xdr:cNvPr>
            <xdr:cNvPicPr>
              <a:picLocks noChangeArrowheads="1"/>
              <a:extLst>
                <a:ext uri="{84589F7E-364E-4C9E-8A38-B11213B215E9}">
                  <a14:cameraTool cellRange="#REF!" spid="_x0000_s482762"/>
                </a:ext>
              </a:extLst>
            </xdr:cNvPicPr>
          </xdr:nvPicPr>
          <xdr:blipFill rotWithShape="1">
            <a:blip xmlns:r="http://schemas.openxmlformats.org/officeDocument/2006/relationships" r:embed="rId2"/>
            <a:srcRect l="4410" t="-11539" b="-1"/>
            <a:stretch>
              <a:fillRect/>
            </a:stretch>
          </xdr:blipFill>
          <xdr:spPr bwMode="auto">
            <a:xfrm>
              <a:off x="47625" y="9837914"/>
              <a:ext cx="494912" cy="9842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0</xdr:colOff>
          <xdr:row>30</xdr:row>
          <xdr:rowOff>190500</xdr:rowOff>
        </xdr:from>
        <xdr:to>
          <xdr:col>22</xdr:col>
          <xdr:colOff>123976</xdr:colOff>
          <xdr:row>31</xdr:row>
          <xdr:rowOff>34925</xdr:rowOff>
        </xdr:to>
        <xdr:pic>
          <xdr:nvPicPr>
            <xdr:cNvPr id="77" name="Image 76">
              <a:extLst>
                <a:ext uri="{FF2B5EF4-FFF2-40B4-BE49-F238E27FC236}">
                  <a16:creationId xmlns:a16="http://schemas.microsoft.com/office/drawing/2014/main" id="{00000000-0008-0000-0100-00004D000000}"/>
                </a:ext>
              </a:extLst>
            </xdr:cNvPr>
            <xdr:cNvPicPr>
              <a:picLocks noChangeArrowheads="1"/>
              <a:extLst>
                <a:ext uri="{84589F7E-364E-4C9E-8A38-B11213B215E9}">
                  <a14:cameraTool cellRange="#REF!" spid="_x0000_s482763"/>
                </a:ext>
              </a:extLst>
            </xdr:cNvPicPr>
          </xdr:nvPicPr>
          <xdr:blipFill rotWithShape="1">
            <a:blip xmlns:r="http://schemas.openxmlformats.org/officeDocument/2006/relationships" r:embed="rId2"/>
            <a:srcRect l="4410" t="-11539" b="-1"/>
            <a:stretch>
              <a:fillRect/>
            </a:stretch>
          </xdr:blipFill>
          <xdr:spPr bwMode="auto">
            <a:xfrm>
              <a:off x="4200525" y="7620000"/>
              <a:ext cx="324000" cy="9207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xdr:from>
          <xdr:col>47</xdr:col>
          <xdr:colOff>9525</xdr:colOff>
          <xdr:row>12</xdr:row>
          <xdr:rowOff>0</xdr:rowOff>
        </xdr:from>
        <xdr:to>
          <xdr:col>47</xdr:col>
          <xdr:colOff>190500</xdr:colOff>
          <xdr:row>12</xdr:row>
          <xdr:rowOff>228600</xdr:rowOff>
        </xdr:to>
        <xdr:sp macro="" textlink="">
          <xdr:nvSpPr>
            <xdr:cNvPr id="1249" name="Spinner 225" hidden="1">
              <a:extLst>
                <a:ext uri="{63B3BB69-23CF-44E3-9099-C40C66FF867C}">
                  <a14:compatExt spid="_x0000_s1249"/>
                </a:ext>
                <a:ext uri="{FF2B5EF4-FFF2-40B4-BE49-F238E27FC236}">
                  <a16:creationId xmlns:a16="http://schemas.microsoft.com/office/drawing/2014/main" id="{00000000-0008-0000-0100-0000E104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47</xdr:col>
          <xdr:colOff>9525</xdr:colOff>
          <xdr:row>13</xdr:row>
          <xdr:rowOff>0</xdr:rowOff>
        </xdr:from>
        <xdr:to>
          <xdr:col>47</xdr:col>
          <xdr:colOff>190500</xdr:colOff>
          <xdr:row>13</xdr:row>
          <xdr:rowOff>228600</xdr:rowOff>
        </xdr:to>
        <xdr:sp macro="" textlink="">
          <xdr:nvSpPr>
            <xdr:cNvPr id="1250" name="Spinner 226" hidden="1">
              <a:extLst>
                <a:ext uri="{63B3BB69-23CF-44E3-9099-C40C66FF867C}">
                  <a14:compatExt spid="_x0000_s1250"/>
                </a:ext>
                <a:ext uri="{FF2B5EF4-FFF2-40B4-BE49-F238E27FC236}">
                  <a16:creationId xmlns:a16="http://schemas.microsoft.com/office/drawing/2014/main" id="{00000000-0008-0000-0100-0000E204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47</xdr:col>
          <xdr:colOff>9525</xdr:colOff>
          <xdr:row>14</xdr:row>
          <xdr:rowOff>0</xdr:rowOff>
        </xdr:from>
        <xdr:to>
          <xdr:col>47</xdr:col>
          <xdr:colOff>190500</xdr:colOff>
          <xdr:row>14</xdr:row>
          <xdr:rowOff>228600</xdr:rowOff>
        </xdr:to>
        <xdr:sp macro="" textlink="">
          <xdr:nvSpPr>
            <xdr:cNvPr id="1251" name="Spinner 227" hidden="1">
              <a:extLst>
                <a:ext uri="{63B3BB69-23CF-44E3-9099-C40C66FF867C}">
                  <a14:compatExt spid="_x0000_s1251"/>
                </a:ext>
                <a:ext uri="{FF2B5EF4-FFF2-40B4-BE49-F238E27FC236}">
                  <a16:creationId xmlns:a16="http://schemas.microsoft.com/office/drawing/2014/main" id="{00000000-0008-0000-0100-0000E304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47</xdr:col>
          <xdr:colOff>9525</xdr:colOff>
          <xdr:row>15</xdr:row>
          <xdr:rowOff>0</xdr:rowOff>
        </xdr:from>
        <xdr:to>
          <xdr:col>47</xdr:col>
          <xdr:colOff>190500</xdr:colOff>
          <xdr:row>15</xdr:row>
          <xdr:rowOff>228600</xdr:rowOff>
        </xdr:to>
        <xdr:sp macro="" textlink="">
          <xdr:nvSpPr>
            <xdr:cNvPr id="1252" name="Spinner 228" hidden="1">
              <a:extLst>
                <a:ext uri="{63B3BB69-23CF-44E3-9099-C40C66FF867C}">
                  <a14:compatExt spid="_x0000_s1252"/>
                </a:ext>
                <a:ext uri="{FF2B5EF4-FFF2-40B4-BE49-F238E27FC236}">
                  <a16:creationId xmlns:a16="http://schemas.microsoft.com/office/drawing/2014/main" id="{00000000-0008-0000-0100-0000E404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47</xdr:col>
          <xdr:colOff>9525</xdr:colOff>
          <xdr:row>16</xdr:row>
          <xdr:rowOff>0</xdr:rowOff>
        </xdr:from>
        <xdr:to>
          <xdr:col>47</xdr:col>
          <xdr:colOff>190500</xdr:colOff>
          <xdr:row>16</xdr:row>
          <xdr:rowOff>228600</xdr:rowOff>
        </xdr:to>
        <xdr:sp macro="" textlink="">
          <xdr:nvSpPr>
            <xdr:cNvPr id="1253" name="Spinner 229" hidden="1">
              <a:extLst>
                <a:ext uri="{63B3BB69-23CF-44E3-9099-C40C66FF867C}">
                  <a14:compatExt spid="_x0000_s1253"/>
                </a:ext>
                <a:ext uri="{FF2B5EF4-FFF2-40B4-BE49-F238E27FC236}">
                  <a16:creationId xmlns:a16="http://schemas.microsoft.com/office/drawing/2014/main" id="{00000000-0008-0000-0100-0000E504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47</xdr:col>
          <xdr:colOff>9525</xdr:colOff>
          <xdr:row>17</xdr:row>
          <xdr:rowOff>0</xdr:rowOff>
        </xdr:from>
        <xdr:to>
          <xdr:col>47</xdr:col>
          <xdr:colOff>190500</xdr:colOff>
          <xdr:row>17</xdr:row>
          <xdr:rowOff>228600</xdr:rowOff>
        </xdr:to>
        <xdr:sp macro="" textlink="">
          <xdr:nvSpPr>
            <xdr:cNvPr id="1254" name="Spinner 230" hidden="1">
              <a:extLst>
                <a:ext uri="{63B3BB69-23CF-44E3-9099-C40C66FF867C}">
                  <a14:compatExt spid="_x0000_s1254"/>
                </a:ext>
                <a:ext uri="{FF2B5EF4-FFF2-40B4-BE49-F238E27FC236}">
                  <a16:creationId xmlns:a16="http://schemas.microsoft.com/office/drawing/2014/main" id="{00000000-0008-0000-0100-0000E604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47</xdr:col>
          <xdr:colOff>9525</xdr:colOff>
          <xdr:row>18</xdr:row>
          <xdr:rowOff>0</xdr:rowOff>
        </xdr:from>
        <xdr:to>
          <xdr:col>47</xdr:col>
          <xdr:colOff>190500</xdr:colOff>
          <xdr:row>18</xdr:row>
          <xdr:rowOff>228600</xdr:rowOff>
        </xdr:to>
        <xdr:sp macro="" textlink="">
          <xdr:nvSpPr>
            <xdr:cNvPr id="1255" name="Spinner 231" hidden="1">
              <a:extLst>
                <a:ext uri="{63B3BB69-23CF-44E3-9099-C40C66FF867C}">
                  <a14:compatExt spid="_x0000_s1255"/>
                </a:ext>
                <a:ext uri="{FF2B5EF4-FFF2-40B4-BE49-F238E27FC236}">
                  <a16:creationId xmlns:a16="http://schemas.microsoft.com/office/drawing/2014/main" id="{00000000-0008-0000-0100-0000E704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47</xdr:col>
          <xdr:colOff>9525</xdr:colOff>
          <xdr:row>19</xdr:row>
          <xdr:rowOff>0</xdr:rowOff>
        </xdr:from>
        <xdr:to>
          <xdr:col>47</xdr:col>
          <xdr:colOff>190500</xdr:colOff>
          <xdr:row>19</xdr:row>
          <xdr:rowOff>228600</xdr:rowOff>
        </xdr:to>
        <xdr:sp macro="" textlink="">
          <xdr:nvSpPr>
            <xdr:cNvPr id="1256" name="Spinner 232" hidden="1">
              <a:extLst>
                <a:ext uri="{63B3BB69-23CF-44E3-9099-C40C66FF867C}">
                  <a14:compatExt spid="_x0000_s1256"/>
                </a:ext>
                <a:ext uri="{FF2B5EF4-FFF2-40B4-BE49-F238E27FC236}">
                  <a16:creationId xmlns:a16="http://schemas.microsoft.com/office/drawing/2014/main" id="{00000000-0008-0000-0100-0000E804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47</xdr:col>
          <xdr:colOff>9525</xdr:colOff>
          <xdr:row>20</xdr:row>
          <xdr:rowOff>0</xdr:rowOff>
        </xdr:from>
        <xdr:to>
          <xdr:col>47</xdr:col>
          <xdr:colOff>190500</xdr:colOff>
          <xdr:row>20</xdr:row>
          <xdr:rowOff>228600</xdr:rowOff>
        </xdr:to>
        <xdr:sp macro="" textlink="">
          <xdr:nvSpPr>
            <xdr:cNvPr id="1257" name="Spinner 233" hidden="1">
              <a:extLst>
                <a:ext uri="{63B3BB69-23CF-44E3-9099-C40C66FF867C}">
                  <a14:compatExt spid="_x0000_s1257"/>
                </a:ext>
                <a:ext uri="{FF2B5EF4-FFF2-40B4-BE49-F238E27FC236}">
                  <a16:creationId xmlns:a16="http://schemas.microsoft.com/office/drawing/2014/main" id="{00000000-0008-0000-0100-0000E904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47</xdr:col>
          <xdr:colOff>9525</xdr:colOff>
          <xdr:row>21</xdr:row>
          <xdr:rowOff>0</xdr:rowOff>
        </xdr:from>
        <xdr:to>
          <xdr:col>47</xdr:col>
          <xdr:colOff>190500</xdr:colOff>
          <xdr:row>21</xdr:row>
          <xdr:rowOff>228600</xdr:rowOff>
        </xdr:to>
        <xdr:sp macro="" textlink="">
          <xdr:nvSpPr>
            <xdr:cNvPr id="1258" name="Spinner 234" hidden="1">
              <a:extLst>
                <a:ext uri="{63B3BB69-23CF-44E3-9099-C40C66FF867C}">
                  <a14:compatExt spid="_x0000_s1258"/>
                </a:ext>
                <a:ext uri="{FF2B5EF4-FFF2-40B4-BE49-F238E27FC236}">
                  <a16:creationId xmlns:a16="http://schemas.microsoft.com/office/drawing/2014/main" id="{00000000-0008-0000-0100-0000EA04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47</xdr:col>
          <xdr:colOff>9525</xdr:colOff>
          <xdr:row>22</xdr:row>
          <xdr:rowOff>0</xdr:rowOff>
        </xdr:from>
        <xdr:to>
          <xdr:col>47</xdr:col>
          <xdr:colOff>190500</xdr:colOff>
          <xdr:row>22</xdr:row>
          <xdr:rowOff>228600</xdr:rowOff>
        </xdr:to>
        <xdr:sp macro="" textlink="">
          <xdr:nvSpPr>
            <xdr:cNvPr id="1259" name="Spinner 235" hidden="1">
              <a:extLst>
                <a:ext uri="{63B3BB69-23CF-44E3-9099-C40C66FF867C}">
                  <a14:compatExt spid="_x0000_s1259"/>
                </a:ext>
                <a:ext uri="{FF2B5EF4-FFF2-40B4-BE49-F238E27FC236}">
                  <a16:creationId xmlns:a16="http://schemas.microsoft.com/office/drawing/2014/main" id="{00000000-0008-0000-0100-0000EB04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47</xdr:col>
          <xdr:colOff>9525</xdr:colOff>
          <xdr:row>23</xdr:row>
          <xdr:rowOff>0</xdr:rowOff>
        </xdr:from>
        <xdr:to>
          <xdr:col>47</xdr:col>
          <xdr:colOff>190500</xdr:colOff>
          <xdr:row>23</xdr:row>
          <xdr:rowOff>228600</xdr:rowOff>
        </xdr:to>
        <xdr:sp macro="" textlink="">
          <xdr:nvSpPr>
            <xdr:cNvPr id="1260" name="Spinner 236" hidden="1">
              <a:extLst>
                <a:ext uri="{63B3BB69-23CF-44E3-9099-C40C66FF867C}">
                  <a14:compatExt spid="_x0000_s1260"/>
                </a:ext>
                <a:ext uri="{FF2B5EF4-FFF2-40B4-BE49-F238E27FC236}">
                  <a16:creationId xmlns:a16="http://schemas.microsoft.com/office/drawing/2014/main" id="{00000000-0008-0000-0100-0000EC04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47</xdr:col>
          <xdr:colOff>9525</xdr:colOff>
          <xdr:row>24</xdr:row>
          <xdr:rowOff>0</xdr:rowOff>
        </xdr:from>
        <xdr:to>
          <xdr:col>47</xdr:col>
          <xdr:colOff>190500</xdr:colOff>
          <xdr:row>24</xdr:row>
          <xdr:rowOff>228600</xdr:rowOff>
        </xdr:to>
        <xdr:sp macro="" textlink="">
          <xdr:nvSpPr>
            <xdr:cNvPr id="1261" name="Spinner 237" hidden="1">
              <a:extLst>
                <a:ext uri="{63B3BB69-23CF-44E3-9099-C40C66FF867C}">
                  <a14:compatExt spid="_x0000_s1261"/>
                </a:ext>
                <a:ext uri="{FF2B5EF4-FFF2-40B4-BE49-F238E27FC236}">
                  <a16:creationId xmlns:a16="http://schemas.microsoft.com/office/drawing/2014/main" id="{00000000-0008-0000-0100-0000ED04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47</xdr:col>
          <xdr:colOff>9525</xdr:colOff>
          <xdr:row>25</xdr:row>
          <xdr:rowOff>0</xdr:rowOff>
        </xdr:from>
        <xdr:to>
          <xdr:col>47</xdr:col>
          <xdr:colOff>190500</xdr:colOff>
          <xdr:row>25</xdr:row>
          <xdr:rowOff>228600</xdr:rowOff>
        </xdr:to>
        <xdr:sp macro="" textlink="">
          <xdr:nvSpPr>
            <xdr:cNvPr id="1262" name="Spinner 238" hidden="1">
              <a:extLst>
                <a:ext uri="{63B3BB69-23CF-44E3-9099-C40C66FF867C}">
                  <a14:compatExt spid="_x0000_s1262"/>
                </a:ext>
                <a:ext uri="{FF2B5EF4-FFF2-40B4-BE49-F238E27FC236}">
                  <a16:creationId xmlns:a16="http://schemas.microsoft.com/office/drawing/2014/main" id="{00000000-0008-0000-0100-0000EE04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47</xdr:col>
          <xdr:colOff>9525</xdr:colOff>
          <xdr:row>26</xdr:row>
          <xdr:rowOff>0</xdr:rowOff>
        </xdr:from>
        <xdr:to>
          <xdr:col>47</xdr:col>
          <xdr:colOff>190500</xdr:colOff>
          <xdr:row>26</xdr:row>
          <xdr:rowOff>228600</xdr:rowOff>
        </xdr:to>
        <xdr:sp macro="" textlink="">
          <xdr:nvSpPr>
            <xdr:cNvPr id="1263" name="Spinner 239" hidden="1">
              <a:extLst>
                <a:ext uri="{63B3BB69-23CF-44E3-9099-C40C66FF867C}">
                  <a14:compatExt spid="_x0000_s1263"/>
                </a:ext>
                <a:ext uri="{FF2B5EF4-FFF2-40B4-BE49-F238E27FC236}">
                  <a16:creationId xmlns:a16="http://schemas.microsoft.com/office/drawing/2014/main" id="{00000000-0008-0000-0100-0000EF04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47</xdr:col>
          <xdr:colOff>9525</xdr:colOff>
          <xdr:row>27</xdr:row>
          <xdr:rowOff>0</xdr:rowOff>
        </xdr:from>
        <xdr:to>
          <xdr:col>47</xdr:col>
          <xdr:colOff>190500</xdr:colOff>
          <xdr:row>27</xdr:row>
          <xdr:rowOff>228600</xdr:rowOff>
        </xdr:to>
        <xdr:sp macro="" textlink="">
          <xdr:nvSpPr>
            <xdr:cNvPr id="1264" name="Spinner 240" hidden="1">
              <a:extLst>
                <a:ext uri="{63B3BB69-23CF-44E3-9099-C40C66FF867C}">
                  <a14:compatExt spid="_x0000_s1264"/>
                </a:ext>
                <a:ext uri="{FF2B5EF4-FFF2-40B4-BE49-F238E27FC236}">
                  <a16:creationId xmlns:a16="http://schemas.microsoft.com/office/drawing/2014/main" id="{00000000-0008-0000-0100-0000F004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47</xdr:col>
          <xdr:colOff>9525</xdr:colOff>
          <xdr:row>28</xdr:row>
          <xdr:rowOff>0</xdr:rowOff>
        </xdr:from>
        <xdr:to>
          <xdr:col>47</xdr:col>
          <xdr:colOff>190500</xdr:colOff>
          <xdr:row>28</xdr:row>
          <xdr:rowOff>228600</xdr:rowOff>
        </xdr:to>
        <xdr:sp macro="" textlink="">
          <xdr:nvSpPr>
            <xdr:cNvPr id="1265" name="Spinner 241" hidden="1">
              <a:extLst>
                <a:ext uri="{63B3BB69-23CF-44E3-9099-C40C66FF867C}">
                  <a14:compatExt spid="_x0000_s1265"/>
                </a:ext>
                <a:ext uri="{FF2B5EF4-FFF2-40B4-BE49-F238E27FC236}">
                  <a16:creationId xmlns:a16="http://schemas.microsoft.com/office/drawing/2014/main" id="{00000000-0008-0000-0100-0000F104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47</xdr:col>
          <xdr:colOff>9525</xdr:colOff>
          <xdr:row>29</xdr:row>
          <xdr:rowOff>0</xdr:rowOff>
        </xdr:from>
        <xdr:to>
          <xdr:col>47</xdr:col>
          <xdr:colOff>190500</xdr:colOff>
          <xdr:row>29</xdr:row>
          <xdr:rowOff>228600</xdr:rowOff>
        </xdr:to>
        <xdr:sp macro="" textlink="">
          <xdr:nvSpPr>
            <xdr:cNvPr id="1266" name="Spinner 242" hidden="1">
              <a:extLst>
                <a:ext uri="{63B3BB69-23CF-44E3-9099-C40C66FF867C}">
                  <a14:compatExt spid="_x0000_s1266"/>
                </a:ext>
                <a:ext uri="{FF2B5EF4-FFF2-40B4-BE49-F238E27FC236}">
                  <a16:creationId xmlns:a16="http://schemas.microsoft.com/office/drawing/2014/main" id="{00000000-0008-0000-0100-0000F204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47</xdr:col>
          <xdr:colOff>9525</xdr:colOff>
          <xdr:row>30</xdr:row>
          <xdr:rowOff>0</xdr:rowOff>
        </xdr:from>
        <xdr:to>
          <xdr:col>47</xdr:col>
          <xdr:colOff>190500</xdr:colOff>
          <xdr:row>30</xdr:row>
          <xdr:rowOff>228600</xdr:rowOff>
        </xdr:to>
        <xdr:sp macro="" textlink="">
          <xdr:nvSpPr>
            <xdr:cNvPr id="1267" name="Spinner 243" hidden="1">
              <a:extLst>
                <a:ext uri="{63B3BB69-23CF-44E3-9099-C40C66FF867C}">
                  <a14:compatExt spid="_x0000_s1267"/>
                </a:ext>
                <a:ext uri="{FF2B5EF4-FFF2-40B4-BE49-F238E27FC236}">
                  <a16:creationId xmlns:a16="http://schemas.microsoft.com/office/drawing/2014/main" id="{00000000-0008-0000-0100-0000F304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47</xdr:col>
          <xdr:colOff>9525</xdr:colOff>
          <xdr:row>31</xdr:row>
          <xdr:rowOff>0</xdr:rowOff>
        </xdr:from>
        <xdr:to>
          <xdr:col>47</xdr:col>
          <xdr:colOff>190500</xdr:colOff>
          <xdr:row>31</xdr:row>
          <xdr:rowOff>228600</xdr:rowOff>
        </xdr:to>
        <xdr:sp macro="" textlink="">
          <xdr:nvSpPr>
            <xdr:cNvPr id="1268" name="Spinner 244" hidden="1">
              <a:extLst>
                <a:ext uri="{63B3BB69-23CF-44E3-9099-C40C66FF867C}">
                  <a14:compatExt spid="_x0000_s1268"/>
                </a:ext>
                <a:ext uri="{FF2B5EF4-FFF2-40B4-BE49-F238E27FC236}">
                  <a16:creationId xmlns:a16="http://schemas.microsoft.com/office/drawing/2014/main" id="{00000000-0008-0000-0100-0000F404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47</xdr:col>
          <xdr:colOff>9525</xdr:colOff>
          <xdr:row>32</xdr:row>
          <xdr:rowOff>0</xdr:rowOff>
        </xdr:from>
        <xdr:to>
          <xdr:col>47</xdr:col>
          <xdr:colOff>190500</xdr:colOff>
          <xdr:row>32</xdr:row>
          <xdr:rowOff>228600</xdr:rowOff>
        </xdr:to>
        <xdr:sp macro="" textlink="">
          <xdr:nvSpPr>
            <xdr:cNvPr id="1269" name="Spinner 245" hidden="1">
              <a:extLst>
                <a:ext uri="{63B3BB69-23CF-44E3-9099-C40C66FF867C}">
                  <a14:compatExt spid="_x0000_s1269"/>
                </a:ext>
                <a:ext uri="{FF2B5EF4-FFF2-40B4-BE49-F238E27FC236}">
                  <a16:creationId xmlns:a16="http://schemas.microsoft.com/office/drawing/2014/main" id="{00000000-0008-0000-0100-0000F504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47</xdr:col>
          <xdr:colOff>9525</xdr:colOff>
          <xdr:row>33</xdr:row>
          <xdr:rowOff>0</xdr:rowOff>
        </xdr:from>
        <xdr:to>
          <xdr:col>47</xdr:col>
          <xdr:colOff>190500</xdr:colOff>
          <xdr:row>33</xdr:row>
          <xdr:rowOff>228600</xdr:rowOff>
        </xdr:to>
        <xdr:sp macro="" textlink="">
          <xdr:nvSpPr>
            <xdr:cNvPr id="1270" name="Spinner 246" hidden="1">
              <a:extLst>
                <a:ext uri="{63B3BB69-23CF-44E3-9099-C40C66FF867C}">
                  <a14:compatExt spid="_x0000_s1270"/>
                </a:ext>
                <a:ext uri="{FF2B5EF4-FFF2-40B4-BE49-F238E27FC236}">
                  <a16:creationId xmlns:a16="http://schemas.microsoft.com/office/drawing/2014/main" id="{00000000-0008-0000-0100-0000F604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142875</xdr:colOff>
          <xdr:row>41</xdr:row>
          <xdr:rowOff>9525</xdr:rowOff>
        </xdr:from>
        <xdr:to>
          <xdr:col>12</xdr:col>
          <xdr:colOff>180975</xdr:colOff>
          <xdr:row>42</xdr:row>
          <xdr:rowOff>0</xdr:rowOff>
        </xdr:to>
        <xdr:sp macro="" textlink="">
          <xdr:nvSpPr>
            <xdr:cNvPr id="1631" name="Check Box 607" hidden="1">
              <a:extLst>
                <a:ext uri="{63B3BB69-23CF-44E3-9099-C40C66FF867C}">
                  <a14:compatExt spid="_x0000_s1631"/>
                </a:ext>
                <a:ext uri="{FF2B5EF4-FFF2-40B4-BE49-F238E27FC236}">
                  <a16:creationId xmlns:a16="http://schemas.microsoft.com/office/drawing/2014/main" id="{00000000-0008-0000-0100-00005F06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142875</xdr:colOff>
          <xdr:row>42</xdr:row>
          <xdr:rowOff>0</xdr:rowOff>
        </xdr:from>
        <xdr:to>
          <xdr:col>12</xdr:col>
          <xdr:colOff>180975</xdr:colOff>
          <xdr:row>42</xdr:row>
          <xdr:rowOff>238125</xdr:rowOff>
        </xdr:to>
        <xdr:sp macro="" textlink="">
          <xdr:nvSpPr>
            <xdr:cNvPr id="1632" name="Check Box 608" hidden="1">
              <a:extLst>
                <a:ext uri="{63B3BB69-23CF-44E3-9099-C40C66FF867C}">
                  <a14:compatExt spid="_x0000_s1632"/>
                </a:ext>
                <a:ext uri="{FF2B5EF4-FFF2-40B4-BE49-F238E27FC236}">
                  <a16:creationId xmlns:a16="http://schemas.microsoft.com/office/drawing/2014/main" id="{00000000-0008-0000-0100-00006006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142875</xdr:colOff>
          <xdr:row>43</xdr:row>
          <xdr:rowOff>9525</xdr:rowOff>
        </xdr:from>
        <xdr:to>
          <xdr:col>12</xdr:col>
          <xdr:colOff>180975</xdr:colOff>
          <xdr:row>44</xdr:row>
          <xdr:rowOff>0</xdr:rowOff>
        </xdr:to>
        <xdr:sp macro="" textlink="">
          <xdr:nvSpPr>
            <xdr:cNvPr id="1633" name="Check Box 609" hidden="1">
              <a:extLst>
                <a:ext uri="{63B3BB69-23CF-44E3-9099-C40C66FF867C}">
                  <a14:compatExt spid="_x0000_s1633"/>
                </a:ext>
                <a:ext uri="{FF2B5EF4-FFF2-40B4-BE49-F238E27FC236}">
                  <a16:creationId xmlns:a16="http://schemas.microsoft.com/office/drawing/2014/main" id="{00000000-0008-0000-0100-00006106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142875</xdr:colOff>
          <xdr:row>44</xdr:row>
          <xdr:rowOff>9525</xdr:rowOff>
        </xdr:from>
        <xdr:to>
          <xdr:col>12</xdr:col>
          <xdr:colOff>180975</xdr:colOff>
          <xdr:row>45</xdr:row>
          <xdr:rowOff>0</xdr:rowOff>
        </xdr:to>
        <xdr:sp macro="" textlink="">
          <xdr:nvSpPr>
            <xdr:cNvPr id="1634" name="Check Box 610" hidden="1">
              <a:extLst>
                <a:ext uri="{63B3BB69-23CF-44E3-9099-C40C66FF867C}">
                  <a14:compatExt spid="_x0000_s1634"/>
                </a:ext>
                <a:ext uri="{FF2B5EF4-FFF2-40B4-BE49-F238E27FC236}">
                  <a16:creationId xmlns:a16="http://schemas.microsoft.com/office/drawing/2014/main" id="{00000000-0008-0000-0100-00006206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142875</xdr:colOff>
          <xdr:row>45</xdr:row>
          <xdr:rowOff>9525</xdr:rowOff>
        </xdr:from>
        <xdr:to>
          <xdr:col>12</xdr:col>
          <xdr:colOff>180975</xdr:colOff>
          <xdr:row>46</xdr:row>
          <xdr:rowOff>0</xdr:rowOff>
        </xdr:to>
        <xdr:sp macro="" textlink="">
          <xdr:nvSpPr>
            <xdr:cNvPr id="1635" name="Check Box 611" hidden="1">
              <a:extLst>
                <a:ext uri="{63B3BB69-23CF-44E3-9099-C40C66FF867C}">
                  <a14:compatExt spid="_x0000_s1635"/>
                </a:ext>
                <a:ext uri="{FF2B5EF4-FFF2-40B4-BE49-F238E27FC236}">
                  <a16:creationId xmlns:a16="http://schemas.microsoft.com/office/drawing/2014/main" id="{00000000-0008-0000-0100-00006306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142875</xdr:colOff>
          <xdr:row>47</xdr:row>
          <xdr:rowOff>9525</xdr:rowOff>
        </xdr:from>
        <xdr:to>
          <xdr:col>12</xdr:col>
          <xdr:colOff>171450</xdr:colOff>
          <xdr:row>48</xdr:row>
          <xdr:rowOff>0</xdr:rowOff>
        </xdr:to>
        <xdr:sp macro="" textlink="">
          <xdr:nvSpPr>
            <xdr:cNvPr id="1636" name="Check Box 612" hidden="1">
              <a:extLst>
                <a:ext uri="{63B3BB69-23CF-44E3-9099-C40C66FF867C}">
                  <a14:compatExt spid="_x0000_s1636"/>
                </a:ext>
                <a:ext uri="{FF2B5EF4-FFF2-40B4-BE49-F238E27FC236}">
                  <a16:creationId xmlns:a16="http://schemas.microsoft.com/office/drawing/2014/main" id="{00000000-0008-0000-0100-00006406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142875</xdr:colOff>
          <xdr:row>48</xdr:row>
          <xdr:rowOff>9525</xdr:rowOff>
        </xdr:from>
        <xdr:to>
          <xdr:col>12</xdr:col>
          <xdr:colOff>180975</xdr:colOff>
          <xdr:row>49</xdr:row>
          <xdr:rowOff>0</xdr:rowOff>
        </xdr:to>
        <xdr:sp macro="" textlink="">
          <xdr:nvSpPr>
            <xdr:cNvPr id="1638" name="Check Box 614" hidden="1">
              <a:extLst>
                <a:ext uri="{63B3BB69-23CF-44E3-9099-C40C66FF867C}">
                  <a14:compatExt spid="_x0000_s1638"/>
                </a:ext>
                <a:ext uri="{FF2B5EF4-FFF2-40B4-BE49-F238E27FC236}">
                  <a16:creationId xmlns:a16="http://schemas.microsoft.com/office/drawing/2014/main" id="{00000000-0008-0000-0100-00006606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oneCellAnchor>
        <xdr:from>
          <xdr:col>0</xdr:col>
          <xdr:colOff>57150</xdr:colOff>
          <xdr:row>114</xdr:row>
          <xdr:rowOff>200025</xdr:rowOff>
        </xdr:from>
        <xdr:ext cx="4129500" cy="92075"/>
        <xdr:pic>
          <xdr:nvPicPr>
            <xdr:cNvPr id="159" name="Image 158">
              <a:extLst>
                <a:ext uri="{FF2B5EF4-FFF2-40B4-BE49-F238E27FC236}">
                  <a16:creationId xmlns:a16="http://schemas.microsoft.com/office/drawing/2014/main" id="{00000000-0008-0000-0100-00009F000000}"/>
                </a:ext>
              </a:extLst>
            </xdr:cNvPr>
            <xdr:cNvPicPr>
              <a:picLocks noChangeArrowheads="1"/>
              <a:extLst>
                <a:ext uri="{84589F7E-364E-4C9E-8A38-B11213B215E9}">
                  <a14:cameraTool cellRange="#REF!" spid="_x0000_s482764"/>
                </a:ext>
              </a:extLst>
            </xdr:cNvPicPr>
          </xdr:nvPicPr>
          <xdr:blipFill rotWithShape="1">
            <a:blip xmlns:r="http://schemas.openxmlformats.org/officeDocument/2006/relationships" r:embed="rId2"/>
            <a:srcRect l="4410" t="-11539" b="-1"/>
            <a:stretch>
              <a:fillRect/>
            </a:stretch>
          </xdr:blipFill>
          <xdr:spPr bwMode="auto">
            <a:xfrm>
              <a:off x="57150" y="16049625"/>
              <a:ext cx="4129500" cy="92075"/>
            </a:xfrm>
            <a:prstGeom prst="rect">
              <a:avLst/>
            </a:prstGeom>
            <a:noFill/>
            <a:extLst>
              <a:ext uri="{909E8E84-426E-40DD-AFC4-6F175D3DCCD1}">
                <a14:hiddenFill>
                  <a:solidFill>
                    <a:srgbClr val="FFFFFF"/>
                  </a:solidFill>
                </a14:hiddenFill>
              </a:ext>
            </a:extLst>
          </xdr:spPr>
        </xdr:pic>
        <xdr:clientData/>
      </xdr:oneCellAnchor>
    </mc:Choice>
    <mc:Fallback/>
  </mc:AlternateContent>
  <mc:AlternateContent xmlns:mc="http://schemas.openxmlformats.org/markup-compatibility/2006">
    <mc:Choice xmlns:a14="http://schemas.microsoft.com/office/drawing/2010/main" Requires="a14">
      <xdr:oneCellAnchor>
        <xdr:from>
          <xdr:col>26</xdr:col>
          <xdr:colOff>38100</xdr:colOff>
          <xdr:row>114</xdr:row>
          <xdr:rowOff>209550</xdr:rowOff>
        </xdr:from>
        <xdr:ext cx="4932000" cy="92075"/>
        <xdr:pic>
          <xdr:nvPicPr>
            <xdr:cNvPr id="160" name="Image 159">
              <a:extLst>
                <a:ext uri="{FF2B5EF4-FFF2-40B4-BE49-F238E27FC236}">
                  <a16:creationId xmlns:a16="http://schemas.microsoft.com/office/drawing/2014/main" id="{00000000-0008-0000-0100-0000A0000000}"/>
                </a:ext>
              </a:extLst>
            </xdr:cNvPr>
            <xdr:cNvPicPr>
              <a:picLocks noChangeArrowheads="1"/>
              <a:extLst>
                <a:ext uri="{84589F7E-364E-4C9E-8A38-B11213B215E9}">
                  <a14:cameraTool cellRange="#REF!" spid="_x0000_s482765"/>
                </a:ext>
              </a:extLst>
            </xdr:cNvPicPr>
          </xdr:nvPicPr>
          <xdr:blipFill rotWithShape="1">
            <a:blip xmlns:r="http://schemas.openxmlformats.org/officeDocument/2006/relationships" r:embed="rId2"/>
            <a:srcRect l="4410" t="-11539" b="-1"/>
            <a:stretch>
              <a:fillRect/>
            </a:stretch>
          </xdr:blipFill>
          <xdr:spPr bwMode="auto">
            <a:xfrm>
              <a:off x="5238750" y="16059150"/>
              <a:ext cx="4932000" cy="92075"/>
            </a:xfrm>
            <a:prstGeom prst="rect">
              <a:avLst/>
            </a:prstGeom>
            <a:noFill/>
            <a:extLst>
              <a:ext uri="{909E8E84-426E-40DD-AFC4-6F175D3DCCD1}">
                <a14:hiddenFill>
                  <a:solidFill>
                    <a:srgbClr val="FFFFFF"/>
                  </a:solidFill>
                </a14:hiddenFill>
              </a:ext>
            </a:extLst>
          </xdr:spPr>
        </xdr:pic>
        <xdr:clientData/>
      </xdr:oneCellAnchor>
    </mc:Choice>
    <mc:Fallback/>
  </mc:AlternateContent>
  <mc:AlternateContent xmlns:mc="http://schemas.openxmlformats.org/markup-compatibility/2006">
    <mc:Choice xmlns:a14="http://schemas.microsoft.com/office/drawing/2010/main" Requires="a14">
      <xdr:oneCellAnchor>
        <xdr:from>
          <xdr:col>0</xdr:col>
          <xdr:colOff>57150</xdr:colOff>
          <xdr:row>88</xdr:row>
          <xdr:rowOff>200025</xdr:rowOff>
        </xdr:from>
        <xdr:ext cx="4572000" cy="92075"/>
        <xdr:pic>
          <xdr:nvPicPr>
            <xdr:cNvPr id="162" name="Image 161">
              <a:extLst>
                <a:ext uri="{FF2B5EF4-FFF2-40B4-BE49-F238E27FC236}">
                  <a16:creationId xmlns:a16="http://schemas.microsoft.com/office/drawing/2014/main" id="{00000000-0008-0000-0100-0000A2000000}"/>
                </a:ext>
              </a:extLst>
            </xdr:cNvPr>
            <xdr:cNvPicPr>
              <a:picLocks noChangeArrowheads="1"/>
              <a:extLst>
                <a:ext uri="{84589F7E-364E-4C9E-8A38-B11213B215E9}">
                  <a14:cameraTool cellRange="#REF!" spid="_x0000_s482766"/>
                </a:ext>
              </a:extLst>
            </xdr:cNvPicPr>
          </xdr:nvPicPr>
          <xdr:blipFill rotWithShape="1">
            <a:blip xmlns:r="http://schemas.openxmlformats.org/officeDocument/2006/relationships" r:embed="rId2"/>
            <a:srcRect l="4410" t="-11539" b="-1"/>
            <a:stretch>
              <a:fillRect/>
            </a:stretch>
          </xdr:blipFill>
          <xdr:spPr bwMode="auto">
            <a:xfrm>
              <a:off x="57150" y="23231475"/>
              <a:ext cx="4572000" cy="92075"/>
            </a:xfrm>
            <a:prstGeom prst="rect">
              <a:avLst/>
            </a:prstGeom>
            <a:noFill/>
            <a:extLst>
              <a:ext uri="{909E8E84-426E-40DD-AFC4-6F175D3DCCD1}">
                <a14:hiddenFill>
                  <a:solidFill>
                    <a:srgbClr val="FFFFFF"/>
                  </a:solidFill>
                </a14:hiddenFill>
              </a:ext>
            </a:extLst>
          </xdr:spPr>
        </xdr:pic>
        <xdr:clientData/>
      </xdr:oneCellAnchor>
    </mc:Choice>
    <mc:Fallback/>
  </mc:AlternateContent>
  <mc:AlternateContent xmlns:mc="http://schemas.openxmlformats.org/markup-compatibility/2006">
    <mc:Choice xmlns:a14="http://schemas.microsoft.com/office/drawing/2010/main" Requires="a14">
      <xdr:oneCellAnchor>
        <xdr:from>
          <xdr:col>27</xdr:col>
          <xdr:colOff>171450</xdr:colOff>
          <xdr:row>88</xdr:row>
          <xdr:rowOff>200025</xdr:rowOff>
        </xdr:from>
        <xdr:ext cx="4608000" cy="92075"/>
        <xdr:pic>
          <xdr:nvPicPr>
            <xdr:cNvPr id="163" name="Image 162">
              <a:extLst>
                <a:ext uri="{FF2B5EF4-FFF2-40B4-BE49-F238E27FC236}">
                  <a16:creationId xmlns:a16="http://schemas.microsoft.com/office/drawing/2014/main" id="{00000000-0008-0000-0100-0000A3000000}"/>
                </a:ext>
              </a:extLst>
            </xdr:cNvPr>
            <xdr:cNvPicPr>
              <a:picLocks noChangeArrowheads="1"/>
              <a:extLst>
                <a:ext uri="{84589F7E-364E-4C9E-8A38-B11213B215E9}">
                  <a14:cameraTool cellRange="#REF!" spid="_x0000_s482767"/>
                </a:ext>
              </a:extLst>
            </xdr:cNvPicPr>
          </xdr:nvPicPr>
          <xdr:blipFill rotWithShape="1">
            <a:blip xmlns:r="http://schemas.openxmlformats.org/officeDocument/2006/relationships" r:embed="rId2"/>
            <a:srcRect l="4410" t="-11539" b="-1"/>
            <a:stretch>
              <a:fillRect/>
            </a:stretch>
          </xdr:blipFill>
          <xdr:spPr bwMode="auto">
            <a:xfrm>
              <a:off x="5572125" y="23231475"/>
              <a:ext cx="4608000" cy="92075"/>
            </a:xfrm>
            <a:prstGeom prst="rect">
              <a:avLst/>
            </a:prstGeom>
            <a:noFill/>
            <a:extLst>
              <a:ext uri="{909E8E84-426E-40DD-AFC4-6F175D3DCCD1}">
                <a14:hiddenFill>
                  <a:solidFill>
                    <a:srgbClr val="FFFFFF"/>
                  </a:solidFill>
                </a14:hiddenFill>
              </a:ext>
            </a:extLst>
          </xdr:spPr>
        </xdr:pic>
        <xdr:clientData/>
      </xdr:oneCellAnchor>
    </mc:Choice>
    <mc:Fallback/>
  </mc:AlternateContent>
  <mc:AlternateContent xmlns:mc="http://schemas.openxmlformats.org/markup-compatibility/2006">
    <mc:Choice xmlns:a14="http://schemas.microsoft.com/office/drawing/2010/main" Requires="a14">
      <xdr:oneCellAnchor>
        <xdr:from>
          <xdr:col>0</xdr:col>
          <xdr:colOff>57150</xdr:colOff>
          <xdr:row>105</xdr:row>
          <xdr:rowOff>200025</xdr:rowOff>
        </xdr:from>
        <xdr:ext cx="4464000" cy="92075"/>
        <xdr:pic>
          <xdr:nvPicPr>
            <xdr:cNvPr id="164" name="Image 163">
              <a:extLst>
                <a:ext uri="{FF2B5EF4-FFF2-40B4-BE49-F238E27FC236}">
                  <a16:creationId xmlns:a16="http://schemas.microsoft.com/office/drawing/2014/main" id="{00000000-0008-0000-0100-0000A4000000}"/>
                </a:ext>
              </a:extLst>
            </xdr:cNvPr>
            <xdr:cNvPicPr>
              <a:picLocks noChangeArrowheads="1"/>
              <a:extLst>
                <a:ext uri="{84589F7E-364E-4C9E-8A38-B11213B215E9}">
                  <a14:cameraTool cellRange="#REF!" spid="_x0000_s482768"/>
                </a:ext>
              </a:extLst>
            </xdr:cNvPicPr>
          </xdr:nvPicPr>
          <xdr:blipFill rotWithShape="1">
            <a:blip xmlns:r="http://schemas.openxmlformats.org/officeDocument/2006/relationships" r:embed="rId2"/>
            <a:srcRect l="4410" t="-11539" b="-1"/>
            <a:stretch>
              <a:fillRect/>
            </a:stretch>
          </xdr:blipFill>
          <xdr:spPr bwMode="auto">
            <a:xfrm>
              <a:off x="57150" y="27441525"/>
              <a:ext cx="4464000" cy="92075"/>
            </a:xfrm>
            <a:prstGeom prst="rect">
              <a:avLst/>
            </a:prstGeom>
            <a:noFill/>
            <a:extLst>
              <a:ext uri="{909E8E84-426E-40DD-AFC4-6F175D3DCCD1}">
                <a14:hiddenFill>
                  <a:solidFill>
                    <a:srgbClr val="FFFFFF"/>
                  </a:solidFill>
                </a14:hiddenFill>
              </a:ext>
            </a:extLst>
          </xdr:spPr>
        </xdr:pic>
        <xdr:clientData/>
      </xdr:oneCellAnchor>
    </mc:Choice>
    <mc:Fallback/>
  </mc:AlternateContent>
  <mc:AlternateContent xmlns:mc="http://schemas.openxmlformats.org/markup-compatibility/2006">
    <mc:Choice xmlns:a14="http://schemas.microsoft.com/office/drawing/2010/main" Requires="a14">
      <xdr:oneCellAnchor>
        <xdr:from>
          <xdr:col>28</xdr:col>
          <xdr:colOff>57150</xdr:colOff>
          <xdr:row>105</xdr:row>
          <xdr:rowOff>209550</xdr:rowOff>
        </xdr:from>
        <xdr:ext cx="4536000" cy="92075"/>
        <xdr:pic>
          <xdr:nvPicPr>
            <xdr:cNvPr id="165" name="Image 164">
              <a:extLst>
                <a:ext uri="{FF2B5EF4-FFF2-40B4-BE49-F238E27FC236}">
                  <a16:creationId xmlns:a16="http://schemas.microsoft.com/office/drawing/2014/main" id="{00000000-0008-0000-0100-0000A5000000}"/>
                </a:ext>
              </a:extLst>
            </xdr:cNvPr>
            <xdr:cNvPicPr>
              <a:picLocks noChangeArrowheads="1"/>
              <a:extLst>
                <a:ext uri="{84589F7E-364E-4C9E-8A38-B11213B215E9}">
                  <a14:cameraTool cellRange="#REF!" spid="_x0000_s482769"/>
                </a:ext>
              </a:extLst>
            </xdr:cNvPicPr>
          </xdr:nvPicPr>
          <xdr:blipFill rotWithShape="1">
            <a:blip xmlns:r="http://schemas.openxmlformats.org/officeDocument/2006/relationships" r:embed="rId2"/>
            <a:srcRect l="4410" t="-11539" b="-1"/>
            <a:stretch>
              <a:fillRect/>
            </a:stretch>
          </xdr:blipFill>
          <xdr:spPr bwMode="auto">
            <a:xfrm>
              <a:off x="5657850" y="27451050"/>
              <a:ext cx="4536000" cy="92075"/>
            </a:xfrm>
            <a:prstGeom prst="rect">
              <a:avLst/>
            </a:prstGeom>
            <a:noFill/>
            <a:extLst>
              <a:ext uri="{909E8E84-426E-40DD-AFC4-6F175D3DCCD1}">
                <a14:hiddenFill>
                  <a:solidFill>
                    <a:srgbClr val="FFFFFF"/>
                  </a:solidFill>
                </a14:hiddenFill>
              </a:ext>
            </a:extLst>
          </xdr:spPr>
        </xdr:pic>
        <xdr:clientData/>
      </xdr:one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50</xdr:row>
          <xdr:rowOff>92075</xdr:rowOff>
        </xdr:from>
        <xdr:to>
          <xdr:col>19</xdr:col>
          <xdr:colOff>22593</xdr:colOff>
          <xdr:row>50</xdr:row>
          <xdr:rowOff>190500</xdr:rowOff>
        </xdr:to>
        <xdr:pic>
          <xdr:nvPicPr>
            <xdr:cNvPr id="166" name="Image 165">
              <a:extLst>
                <a:ext uri="{FF2B5EF4-FFF2-40B4-BE49-F238E27FC236}">
                  <a16:creationId xmlns:a16="http://schemas.microsoft.com/office/drawing/2014/main" id="{00000000-0008-0000-0100-0000A6000000}"/>
                </a:ext>
              </a:extLst>
            </xdr:cNvPr>
            <xdr:cNvPicPr>
              <a:picLocks noChangeArrowheads="1"/>
              <a:extLst>
                <a:ext uri="{84589F7E-364E-4C9E-8A38-B11213B215E9}">
                  <a14:cameraTool cellRange="#REF!" spid="_x0000_s482770"/>
                </a:ext>
              </a:extLst>
            </xdr:cNvPicPr>
          </xdr:nvPicPr>
          <xdr:blipFill rotWithShape="1">
            <a:blip xmlns:r="http://schemas.openxmlformats.org/officeDocument/2006/relationships" r:embed="rId2"/>
            <a:srcRect l="4410" t="-11539" b="-1"/>
            <a:stretch>
              <a:fillRect/>
            </a:stretch>
          </xdr:blipFill>
          <xdr:spPr bwMode="auto">
            <a:xfrm>
              <a:off x="0" y="12779375"/>
              <a:ext cx="3888000" cy="9842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38100</xdr:colOff>
          <xdr:row>50</xdr:row>
          <xdr:rowOff>79375</xdr:rowOff>
        </xdr:from>
        <xdr:to>
          <xdr:col>50</xdr:col>
          <xdr:colOff>152083</xdr:colOff>
          <xdr:row>50</xdr:row>
          <xdr:rowOff>177800</xdr:rowOff>
        </xdr:to>
        <xdr:pic>
          <xdr:nvPicPr>
            <xdr:cNvPr id="167" name="Image 166">
              <a:extLst>
                <a:ext uri="{FF2B5EF4-FFF2-40B4-BE49-F238E27FC236}">
                  <a16:creationId xmlns:a16="http://schemas.microsoft.com/office/drawing/2014/main" id="{00000000-0008-0000-0100-0000A7000000}"/>
                </a:ext>
              </a:extLst>
            </xdr:cNvPr>
            <xdr:cNvPicPr>
              <a:picLocks noChangeArrowheads="1"/>
              <a:extLst>
                <a:ext uri="{84589F7E-364E-4C9E-8A38-B11213B215E9}">
                  <a14:cameraTool cellRange="#REF!" spid="_x0000_s482771"/>
                </a:ext>
              </a:extLst>
            </xdr:cNvPicPr>
          </xdr:nvPicPr>
          <xdr:blipFill rotWithShape="1">
            <a:blip xmlns:r="http://schemas.openxmlformats.org/officeDocument/2006/relationships" r:embed="rId2"/>
            <a:srcRect l="4410" t="-11539" b="-1"/>
            <a:stretch>
              <a:fillRect/>
            </a:stretch>
          </xdr:blipFill>
          <xdr:spPr bwMode="auto">
            <a:xfrm>
              <a:off x="6140450" y="12766675"/>
              <a:ext cx="3888000" cy="9842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44</xdr:col>
          <xdr:colOff>28575</xdr:colOff>
          <xdr:row>52</xdr:row>
          <xdr:rowOff>9525</xdr:rowOff>
        </xdr:from>
        <xdr:to>
          <xdr:col>45</xdr:col>
          <xdr:colOff>66675</xdr:colOff>
          <xdr:row>53</xdr:row>
          <xdr:rowOff>0</xdr:rowOff>
        </xdr:to>
        <xdr:sp macro="" textlink="">
          <xdr:nvSpPr>
            <xdr:cNvPr id="16732" name="Check Box 1372" hidden="1">
              <a:extLst>
                <a:ext uri="{63B3BB69-23CF-44E3-9099-C40C66FF867C}">
                  <a14:compatExt spid="_x0000_s16732"/>
                </a:ext>
                <a:ext uri="{FF2B5EF4-FFF2-40B4-BE49-F238E27FC236}">
                  <a16:creationId xmlns:a16="http://schemas.microsoft.com/office/drawing/2014/main" id="{00000000-0008-0000-0100-00005C41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44</xdr:col>
          <xdr:colOff>28575</xdr:colOff>
          <xdr:row>53</xdr:row>
          <xdr:rowOff>9525</xdr:rowOff>
        </xdr:from>
        <xdr:to>
          <xdr:col>45</xdr:col>
          <xdr:colOff>66675</xdr:colOff>
          <xdr:row>54</xdr:row>
          <xdr:rowOff>0</xdr:rowOff>
        </xdr:to>
        <xdr:sp macro="" textlink="">
          <xdr:nvSpPr>
            <xdr:cNvPr id="16733" name="Check Box 1373" hidden="1">
              <a:extLst>
                <a:ext uri="{63B3BB69-23CF-44E3-9099-C40C66FF867C}">
                  <a14:compatExt spid="_x0000_s16733"/>
                </a:ext>
                <a:ext uri="{FF2B5EF4-FFF2-40B4-BE49-F238E27FC236}">
                  <a16:creationId xmlns:a16="http://schemas.microsoft.com/office/drawing/2014/main" id="{00000000-0008-0000-0100-00005D41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44</xdr:col>
          <xdr:colOff>28575</xdr:colOff>
          <xdr:row>54</xdr:row>
          <xdr:rowOff>9525</xdr:rowOff>
        </xdr:from>
        <xdr:to>
          <xdr:col>45</xdr:col>
          <xdr:colOff>66675</xdr:colOff>
          <xdr:row>55</xdr:row>
          <xdr:rowOff>0</xdr:rowOff>
        </xdr:to>
        <xdr:sp macro="" textlink="">
          <xdr:nvSpPr>
            <xdr:cNvPr id="16734" name="Check Box 1374" hidden="1">
              <a:extLst>
                <a:ext uri="{63B3BB69-23CF-44E3-9099-C40C66FF867C}">
                  <a14:compatExt spid="_x0000_s16734"/>
                </a:ext>
                <a:ext uri="{FF2B5EF4-FFF2-40B4-BE49-F238E27FC236}">
                  <a16:creationId xmlns:a16="http://schemas.microsoft.com/office/drawing/2014/main" id="{00000000-0008-0000-0100-00005E41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33</xdr:col>
          <xdr:colOff>28575</xdr:colOff>
          <xdr:row>52</xdr:row>
          <xdr:rowOff>9525</xdr:rowOff>
        </xdr:from>
        <xdr:to>
          <xdr:col>34</xdr:col>
          <xdr:colOff>47625</xdr:colOff>
          <xdr:row>53</xdr:row>
          <xdr:rowOff>0</xdr:rowOff>
        </xdr:to>
        <xdr:sp macro="" textlink="">
          <xdr:nvSpPr>
            <xdr:cNvPr id="16737" name="Check Box 1377" hidden="1">
              <a:extLst>
                <a:ext uri="{63B3BB69-23CF-44E3-9099-C40C66FF867C}">
                  <a14:compatExt spid="_x0000_s16737"/>
                </a:ext>
                <a:ext uri="{FF2B5EF4-FFF2-40B4-BE49-F238E27FC236}">
                  <a16:creationId xmlns:a16="http://schemas.microsoft.com/office/drawing/2014/main" id="{00000000-0008-0000-0100-00006141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33</xdr:col>
          <xdr:colOff>28575</xdr:colOff>
          <xdr:row>53</xdr:row>
          <xdr:rowOff>9525</xdr:rowOff>
        </xdr:from>
        <xdr:to>
          <xdr:col>34</xdr:col>
          <xdr:colOff>47625</xdr:colOff>
          <xdr:row>54</xdr:row>
          <xdr:rowOff>0</xdr:rowOff>
        </xdr:to>
        <xdr:sp macro="" textlink="">
          <xdr:nvSpPr>
            <xdr:cNvPr id="16738" name="Check Box 1378" hidden="1">
              <a:extLst>
                <a:ext uri="{63B3BB69-23CF-44E3-9099-C40C66FF867C}">
                  <a14:compatExt spid="_x0000_s16738"/>
                </a:ext>
                <a:ext uri="{FF2B5EF4-FFF2-40B4-BE49-F238E27FC236}">
                  <a16:creationId xmlns:a16="http://schemas.microsoft.com/office/drawing/2014/main" id="{00000000-0008-0000-0100-00006241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33</xdr:col>
          <xdr:colOff>28575</xdr:colOff>
          <xdr:row>54</xdr:row>
          <xdr:rowOff>9525</xdr:rowOff>
        </xdr:from>
        <xdr:to>
          <xdr:col>34</xdr:col>
          <xdr:colOff>57150</xdr:colOff>
          <xdr:row>55</xdr:row>
          <xdr:rowOff>0</xdr:rowOff>
        </xdr:to>
        <xdr:sp macro="" textlink="">
          <xdr:nvSpPr>
            <xdr:cNvPr id="16739" name="Check Box 1379" hidden="1">
              <a:extLst>
                <a:ext uri="{63B3BB69-23CF-44E3-9099-C40C66FF867C}">
                  <a14:compatExt spid="_x0000_s16739"/>
                </a:ext>
                <a:ext uri="{FF2B5EF4-FFF2-40B4-BE49-F238E27FC236}">
                  <a16:creationId xmlns:a16="http://schemas.microsoft.com/office/drawing/2014/main" id="{00000000-0008-0000-0100-00006341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28575</xdr:colOff>
          <xdr:row>53</xdr:row>
          <xdr:rowOff>9525</xdr:rowOff>
        </xdr:from>
        <xdr:to>
          <xdr:col>21</xdr:col>
          <xdr:colOff>66675</xdr:colOff>
          <xdr:row>54</xdr:row>
          <xdr:rowOff>0</xdr:rowOff>
        </xdr:to>
        <xdr:sp macro="" textlink="">
          <xdr:nvSpPr>
            <xdr:cNvPr id="16840" name="Check Box 1480" hidden="1">
              <a:extLst>
                <a:ext uri="{63B3BB69-23CF-44E3-9099-C40C66FF867C}">
                  <a14:compatExt spid="_x0000_s16840"/>
                </a:ext>
                <a:ext uri="{FF2B5EF4-FFF2-40B4-BE49-F238E27FC236}">
                  <a16:creationId xmlns:a16="http://schemas.microsoft.com/office/drawing/2014/main" id="{00000000-0008-0000-0100-0000C841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28575</xdr:colOff>
          <xdr:row>54</xdr:row>
          <xdr:rowOff>9525</xdr:rowOff>
        </xdr:from>
        <xdr:to>
          <xdr:col>21</xdr:col>
          <xdr:colOff>66675</xdr:colOff>
          <xdr:row>55</xdr:row>
          <xdr:rowOff>0</xdr:rowOff>
        </xdr:to>
        <xdr:sp macro="" textlink="">
          <xdr:nvSpPr>
            <xdr:cNvPr id="16841" name="Check Box 1481" hidden="1">
              <a:extLst>
                <a:ext uri="{63B3BB69-23CF-44E3-9099-C40C66FF867C}">
                  <a14:compatExt spid="_x0000_s16841"/>
                </a:ext>
                <a:ext uri="{FF2B5EF4-FFF2-40B4-BE49-F238E27FC236}">
                  <a16:creationId xmlns:a16="http://schemas.microsoft.com/office/drawing/2014/main" id="{00000000-0008-0000-0100-0000C941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28575</xdr:colOff>
          <xdr:row>55</xdr:row>
          <xdr:rowOff>9525</xdr:rowOff>
        </xdr:from>
        <xdr:to>
          <xdr:col>21</xdr:col>
          <xdr:colOff>66675</xdr:colOff>
          <xdr:row>56</xdr:row>
          <xdr:rowOff>0</xdr:rowOff>
        </xdr:to>
        <xdr:sp macro="" textlink="">
          <xdr:nvSpPr>
            <xdr:cNvPr id="31798" name="Check Box 2102" hidden="1">
              <a:extLst>
                <a:ext uri="{63B3BB69-23CF-44E3-9099-C40C66FF867C}">
                  <a14:compatExt spid="_x0000_s31798"/>
                </a:ext>
                <a:ext uri="{FF2B5EF4-FFF2-40B4-BE49-F238E27FC236}">
                  <a16:creationId xmlns:a16="http://schemas.microsoft.com/office/drawing/2014/main" id="{00000000-0008-0000-0100-0000367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4</xdr:col>
          <xdr:colOff>9525</xdr:colOff>
          <xdr:row>6</xdr:row>
          <xdr:rowOff>19050</xdr:rowOff>
        </xdr:from>
        <xdr:to>
          <xdr:col>4</xdr:col>
          <xdr:colOff>190500</xdr:colOff>
          <xdr:row>7</xdr:row>
          <xdr:rowOff>0</xdr:rowOff>
        </xdr:to>
        <xdr:sp macro="" textlink="">
          <xdr:nvSpPr>
            <xdr:cNvPr id="47105" name="Spinner 1" hidden="1">
              <a:extLst>
                <a:ext uri="{63B3BB69-23CF-44E3-9099-C40C66FF867C}">
                  <a14:compatExt spid="_x0000_s47105"/>
                </a:ext>
                <a:ext uri="{FF2B5EF4-FFF2-40B4-BE49-F238E27FC236}">
                  <a16:creationId xmlns:a16="http://schemas.microsoft.com/office/drawing/2014/main" id="{00000000-0008-0000-0200-000001B8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9525</xdr:colOff>
          <xdr:row>7</xdr:row>
          <xdr:rowOff>19050</xdr:rowOff>
        </xdr:from>
        <xdr:to>
          <xdr:col>4</xdr:col>
          <xdr:colOff>190500</xdr:colOff>
          <xdr:row>8</xdr:row>
          <xdr:rowOff>0</xdr:rowOff>
        </xdr:to>
        <xdr:sp macro="" textlink="">
          <xdr:nvSpPr>
            <xdr:cNvPr id="47106" name="Spinner 2" hidden="1">
              <a:extLst>
                <a:ext uri="{63B3BB69-23CF-44E3-9099-C40C66FF867C}">
                  <a14:compatExt spid="_x0000_s47106"/>
                </a:ext>
                <a:ext uri="{FF2B5EF4-FFF2-40B4-BE49-F238E27FC236}">
                  <a16:creationId xmlns:a16="http://schemas.microsoft.com/office/drawing/2014/main" id="{00000000-0008-0000-0200-000002B8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4</xdr:col>
          <xdr:colOff>9525</xdr:colOff>
          <xdr:row>8</xdr:row>
          <xdr:rowOff>19050</xdr:rowOff>
        </xdr:from>
        <xdr:to>
          <xdr:col>4</xdr:col>
          <xdr:colOff>190500</xdr:colOff>
          <xdr:row>9</xdr:row>
          <xdr:rowOff>0</xdr:rowOff>
        </xdr:to>
        <xdr:sp macro="" textlink="">
          <xdr:nvSpPr>
            <xdr:cNvPr id="47107" name="Spinner 3" hidden="1">
              <a:extLst>
                <a:ext uri="{63B3BB69-23CF-44E3-9099-C40C66FF867C}">
                  <a14:compatExt spid="_x0000_s47107"/>
                </a:ext>
                <a:ext uri="{FF2B5EF4-FFF2-40B4-BE49-F238E27FC236}">
                  <a16:creationId xmlns:a16="http://schemas.microsoft.com/office/drawing/2014/main" id="{00000000-0008-0000-0200-000003B8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xdr:absoluteAnchor>
    <xdr:pos x="66675" y="0"/>
    <xdr:ext cx="2681166" cy="1095375"/>
    <xdr:pic>
      <xdr:nvPicPr>
        <xdr:cNvPr id="5" name="Image 4">
          <a:extLst>
            <a:ext uri="{FF2B5EF4-FFF2-40B4-BE49-F238E27FC236}">
              <a16:creationId xmlns:a16="http://schemas.microsoft.com/office/drawing/2014/main" id="{00000000-0008-0000-0200-000005000000}"/>
            </a:ext>
          </a:extLst>
        </xdr:cNvPr>
        <xdr:cNvPicPr>
          <a:picLocks noChangeAspect="1"/>
        </xdr:cNvPicPr>
      </xdr:nvPicPr>
      <xdr:blipFill>
        <a:blip xmlns:r="http://schemas.openxmlformats.org/officeDocument/2006/relationships" r:embed="rId1"/>
        <a:stretch>
          <a:fillRect/>
        </a:stretch>
      </xdr:blipFill>
      <xdr:spPr>
        <a:xfrm>
          <a:off x="66675" y="0"/>
          <a:ext cx="2681166" cy="1095375"/>
        </a:xfrm>
        <a:prstGeom prst="rect">
          <a:avLst/>
        </a:prstGeom>
        <a:noFill/>
        <a:ln>
          <a:noFill/>
        </a:ln>
      </xdr:spPr>
    </xdr:pic>
    <xdr:clientData/>
  </xdr:absoluteAnchor>
  <mc:AlternateContent xmlns:mc="http://schemas.openxmlformats.org/markup-compatibility/2006">
    <mc:Choice xmlns:a14="http://schemas.microsoft.com/office/drawing/2010/main" Requires="a14">
      <xdr:twoCellAnchor>
        <xdr:from>
          <xdr:col>20</xdr:col>
          <xdr:colOff>9525</xdr:colOff>
          <xdr:row>6</xdr:row>
          <xdr:rowOff>19050</xdr:rowOff>
        </xdr:from>
        <xdr:to>
          <xdr:col>20</xdr:col>
          <xdr:colOff>190500</xdr:colOff>
          <xdr:row>7</xdr:row>
          <xdr:rowOff>0</xdr:rowOff>
        </xdr:to>
        <xdr:sp macro="" textlink="">
          <xdr:nvSpPr>
            <xdr:cNvPr id="47108" name="Spinner 4" hidden="1">
              <a:extLst>
                <a:ext uri="{63B3BB69-23CF-44E3-9099-C40C66FF867C}">
                  <a14:compatExt spid="_x0000_s47108"/>
                </a:ext>
                <a:ext uri="{FF2B5EF4-FFF2-40B4-BE49-F238E27FC236}">
                  <a16:creationId xmlns:a16="http://schemas.microsoft.com/office/drawing/2014/main" id="{00000000-0008-0000-0200-000004B8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20</xdr:col>
          <xdr:colOff>9525</xdr:colOff>
          <xdr:row>7</xdr:row>
          <xdr:rowOff>19050</xdr:rowOff>
        </xdr:from>
        <xdr:to>
          <xdr:col>20</xdr:col>
          <xdr:colOff>190500</xdr:colOff>
          <xdr:row>8</xdr:row>
          <xdr:rowOff>0</xdr:rowOff>
        </xdr:to>
        <xdr:sp macro="" textlink="">
          <xdr:nvSpPr>
            <xdr:cNvPr id="47109" name="Spinner 5" hidden="1">
              <a:extLst>
                <a:ext uri="{63B3BB69-23CF-44E3-9099-C40C66FF867C}">
                  <a14:compatExt spid="_x0000_s47109"/>
                </a:ext>
                <a:ext uri="{FF2B5EF4-FFF2-40B4-BE49-F238E27FC236}">
                  <a16:creationId xmlns:a16="http://schemas.microsoft.com/office/drawing/2014/main" id="{00000000-0008-0000-0200-000005B8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20</xdr:col>
          <xdr:colOff>9525</xdr:colOff>
          <xdr:row>8</xdr:row>
          <xdr:rowOff>19050</xdr:rowOff>
        </xdr:from>
        <xdr:to>
          <xdr:col>20</xdr:col>
          <xdr:colOff>190500</xdr:colOff>
          <xdr:row>9</xdr:row>
          <xdr:rowOff>0</xdr:rowOff>
        </xdr:to>
        <xdr:sp macro="" textlink="">
          <xdr:nvSpPr>
            <xdr:cNvPr id="47110" name="Spinner 6" hidden="1">
              <a:extLst>
                <a:ext uri="{63B3BB69-23CF-44E3-9099-C40C66FF867C}">
                  <a14:compatExt spid="_x0000_s47110"/>
                </a:ext>
                <a:ext uri="{FF2B5EF4-FFF2-40B4-BE49-F238E27FC236}">
                  <a16:creationId xmlns:a16="http://schemas.microsoft.com/office/drawing/2014/main" id="{00000000-0008-0000-0200-000006B8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36</xdr:col>
          <xdr:colOff>9525</xdr:colOff>
          <xdr:row>6</xdr:row>
          <xdr:rowOff>19050</xdr:rowOff>
        </xdr:from>
        <xdr:to>
          <xdr:col>36</xdr:col>
          <xdr:colOff>190500</xdr:colOff>
          <xdr:row>7</xdr:row>
          <xdr:rowOff>0</xdr:rowOff>
        </xdr:to>
        <xdr:sp macro="" textlink="">
          <xdr:nvSpPr>
            <xdr:cNvPr id="47111" name="Spinner 7" hidden="1">
              <a:extLst>
                <a:ext uri="{63B3BB69-23CF-44E3-9099-C40C66FF867C}">
                  <a14:compatExt spid="_x0000_s47111"/>
                </a:ext>
                <a:ext uri="{FF2B5EF4-FFF2-40B4-BE49-F238E27FC236}">
                  <a16:creationId xmlns:a16="http://schemas.microsoft.com/office/drawing/2014/main" id="{00000000-0008-0000-0200-000007B8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36</xdr:col>
          <xdr:colOff>9525</xdr:colOff>
          <xdr:row>7</xdr:row>
          <xdr:rowOff>19050</xdr:rowOff>
        </xdr:from>
        <xdr:to>
          <xdr:col>36</xdr:col>
          <xdr:colOff>190500</xdr:colOff>
          <xdr:row>8</xdr:row>
          <xdr:rowOff>0</xdr:rowOff>
        </xdr:to>
        <xdr:sp macro="" textlink="">
          <xdr:nvSpPr>
            <xdr:cNvPr id="47112" name="Spinner 8" hidden="1">
              <a:extLst>
                <a:ext uri="{63B3BB69-23CF-44E3-9099-C40C66FF867C}">
                  <a14:compatExt spid="_x0000_s47112"/>
                </a:ext>
                <a:ext uri="{FF2B5EF4-FFF2-40B4-BE49-F238E27FC236}">
                  <a16:creationId xmlns:a16="http://schemas.microsoft.com/office/drawing/2014/main" id="{00000000-0008-0000-0200-000008B8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36</xdr:col>
          <xdr:colOff>9525</xdr:colOff>
          <xdr:row>8</xdr:row>
          <xdr:rowOff>19050</xdr:rowOff>
        </xdr:from>
        <xdr:to>
          <xdr:col>36</xdr:col>
          <xdr:colOff>190500</xdr:colOff>
          <xdr:row>9</xdr:row>
          <xdr:rowOff>0</xdr:rowOff>
        </xdr:to>
        <xdr:sp macro="" textlink="">
          <xdr:nvSpPr>
            <xdr:cNvPr id="47113" name="Spinner 9" hidden="1">
              <a:extLst>
                <a:ext uri="{63B3BB69-23CF-44E3-9099-C40C66FF867C}">
                  <a14:compatExt spid="_x0000_s47113"/>
                </a:ext>
                <a:ext uri="{FF2B5EF4-FFF2-40B4-BE49-F238E27FC236}">
                  <a16:creationId xmlns:a16="http://schemas.microsoft.com/office/drawing/2014/main" id="{00000000-0008-0000-0200-000009B8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xdr:col>
          <xdr:colOff>9525</xdr:colOff>
          <xdr:row>12</xdr:row>
          <xdr:rowOff>19050</xdr:rowOff>
        </xdr:from>
        <xdr:to>
          <xdr:col>1</xdr:col>
          <xdr:colOff>190500</xdr:colOff>
          <xdr:row>13</xdr:row>
          <xdr:rowOff>0</xdr:rowOff>
        </xdr:to>
        <xdr:sp macro="" textlink="">
          <xdr:nvSpPr>
            <xdr:cNvPr id="47115" name="Spinner 11" hidden="1">
              <a:extLst>
                <a:ext uri="{63B3BB69-23CF-44E3-9099-C40C66FF867C}">
                  <a14:compatExt spid="_x0000_s47115"/>
                </a:ext>
                <a:ext uri="{FF2B5EF4-FFF2-40B4-BE49-F238E27FC236}">
                  <a16:creationId xmlns:a16="http://schemas.microsoft.com/office/drawing/2014/main" id="{00000000-0008-0000-0200-00000BB8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xdr:col>
          <xdr:colOff>9525</xdr:colOff>
          <xdr:row>13</xdr:row>
          <xdr:rowOff>19050</xdr:rowOff>
        </xdr:from>
        <xdr:to>
          <xdr:col>1</xdr:col>
          <xdr:colOff>190500</xdr:colOff>
          <xdr:row>14</xdr:row>
          <xdr:rowOff>0</xdr:rowOff>
        </xdr:to>
        <xdr:sp macro="" textlink="">
          <xdr:nvSpPr>
            <xdr:cNvPr id="47116" name="Spinner 12" hidden="1">
              <a:extLst>
                <a:ext uri="{63B3BB69-23CF-44E3-9099-C40C66FF867C}">
                  <a14:compatExt spid="_x0000_s47116"/>
                </a:ext>
                <a:ext uri="{FF2B5EF4-FFF2-40B4-BE49-F238E27FC236}">
                  <a16:creationId xmlns:a16="http://schemas.microsoft.com/office/drawing/2014/main" id="{00000000-0008-0000-0200-00000CB8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xdr:col>
          <xdr:colOff>9525</xdr:colOff>
          <xdr:row>14</xdr:row>
          <xdr:rowOff>19050</xdr:rowOff>
        </xdr:from>
        <xdr:to>
          <xdr:col>1</xdr:col>
          <xdr:colOff>190500</xdr:colOff>
          <xdr:row>15</xdr:row>
          <xdr:rowOff>0</xdr:rowOff>
        </xdr:to>
        <xdr:sp macro="" textlink="">
          <xdr:nvSpPr>
            <xdr:cNvPr id="47117" name="Spinner 13" hidden="1">
              <a:extLst>
                <a:ext uri="{63B3BB69-23CF-44E3-9099-C40C66FF867C}">
                  <a14:compatExt spid="_x0000_s47117"/>
                </a:ext>
                <a:ext uri="{FF2B5EF4-FFF2-40B4-BE49-F238E27FC236}">
                  <a16:creationId xmlns:a16="http://schemas.microsoft.com/office/drawing/2014/main" id="{00000000-0008-0000-0200-00000DB8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xdr:col>
          <xdr:colOff>9525</xdr:colOff>
          <xdr:row>15</xdr:row>
          <xdr:rowOff>19050</xdr:rowOff>
        </xdr:from>
        <xdr:to>
          <xdr:col>1</xdr:col>
          <xdr:colOff>190500</xdr:colOff>
          <xdr:row>16</xdr:row>
          <xdr:rowOff>0</xdr:rowOff>
        </xdr:to>
        <xdr:sp macro="" textlink="">
          <xdr:nvSpPr>
            <xdr:cNvPr id="47118" name="Spinner 14" hidden="1">
              <a:extLst>
                <a:ext uri="{63B3BB69-23CF-44E3-9099-C40C66FF867C}">
                  <a14:compatExt spid="_x0000_s47118"/>
                </a:ext>
                <a:ext uri="{FF2B5EF4-FFF2-40B4-BE49-F238E27FC236}">
                  <a16:creationId xmlns:a16="http://schemas.microsoft.com/office/drawing/2014/main" id="{00000000-0008-0000-0200-00000EB8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xdr:col>
          <xdr:colOff>9525</xdr:colOff>
          <xdr:row>16</xdr:row>
          <xdr:rowOff>19050</xdr:rowOff>
        </xdr:from>
        <xdr:to>
          <xdr:col>1</xdr:col>
          <xdr:colOff>190500</xdr:colOff>
          <xdr:row>17</xdr:row>
          <xdr:rowOff>0</xdr:rowOff>
        </xdr:to>
        <xdr:sp macro="" textlink="">
          <xdr:nvSpPr>
            <xdr:cNvPr id="47119" name="Spinner 15" hidden="1">
              <a:extLst>
                <a:ext uri="{63B3BB69-23CF-44E3-9099-C40C66FF867C}">
                  <a14:compatExt spid="_x0000_s47119"/>
                </a:ext>
                <a:ext uri="{FF2B5EF4-FFF2-40B4-BE49-F238E27FC236}">
                  <a16:creationId xmlns:a16="http://schemas.microsoft.com/office/drawing/2014/main" id="{00000000-0008-0000-0200-00000FB8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xdr:col>
          <xdr:colOff>9525</xdr:colOff>
          <xdr:row>17</xdr:row>
          <xdr:rowOff>19050</xdr:rowOff>
        </xdr:from>
        <xdr:to>
          <xdr:col>1</xdr:col>
          <xdr:colOff>190500</xdr:colOff>
          <xdr:row>18</xdr:row>
          <xdr:rowOff>0</xdr:rowOff>
        </xdr:to>
        <xdr:sp macro="" textlink="">
          <xdr:nvSpPr>
            <xdr:cNvPr id="47120" name="Spinner 16" hidden="1">
              <a:extLst>
                <a:ext uri="{63B3BB69-23CF-44E3-9099-C40C66FF867C}">
                  <a14:compatExt spid="_x0000_s47120"/>
                </a:ext>
                <a:ext uri="{FF2B5EF4-FFF2-40B4-BE49-F238E27FC236}">
                  <a16:creationId xmlns:a16="http://schemas.microsoft.com/office/drawing/2014/main" id="{00000000-0008-0000-0200-000010B8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xdr:col>
          <xdr:colOff>9525</xdr:colOff>
          <xdr:row>18</xdr:row>
          <xdr:rowOff>19050</xdr:rowOff>
        </xdr:from>
        <xdr:to>
          <xdr:col>1</xdr:col>
          <xdr:colOff>190500</xdr:colOff>
          <xdr:row>19</xdr:row>
          <xdr:rowOff>0</xdr:rowOff>
        </xdr:to>
        <xdr:sp macro="" textlink="">
          <xdr:nvSpPr>
            <xdr:cNvPr id="47121" name="Spinner 17" hidden="1">
              <a:extLst>
                <a:ext uri="{63B3BB69-23CF-44E3-9099-C40C66FF867C}">
                  <a14:compatExt spid="_x0000_s47121"/>
                </a:ext>
                <a:ext uri="{FF2B5EF4-FFF2-40B4-BE49-F238E27FC236}">
                  <a16:creationId xmlns:a16="http://schemas.microsoft.com/office/drawing/2014/main" id="{00000000-0008-0000-0200-000011B8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xdr:col>
          <xdr:colOff>9525</xdr:colOff>
          <xdr:row>19</xdr:row>
          <xdr:rowOff>19050</xdr:rowOff>
        </xdr:from>
        <xdr:to>
          <xdr:col>1</xdr:col>
          <xdr:colOff>190500</xdr:colOff>
          <xdr:row>20</xdr:row>
          <xdr:rowOff>0</xdr:rowOff>
        </xdr:to>
        <xdr:sp macro="" textlink="">
          <xdr:nvSpPr>
            <xdr:cNvPr id="47122" name="Spinner 18" hidden="1">
              <a:extLst>
                <a:ext uri="{63B3BB69-23CF-44E3-9099-C40C66FF867C}">
                  <a14:compatExt spid="_x0000_s47122"/>
                </a:ext>
                <a:ext uri="{FF2B5EF4-FFF2-40B4-BE49-F238E27FC236}">
                  <a16:creationId xmlns:a16="http://schemas.microsoft.com/office/drawing/2014/main" id="{00000000-0008-0000-0200-000012B8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xdr:col>
          <xdr:colOff>9525</xdr:colOff>
          <xdr:row>20</xdr:row>
          <xdr:rowOff>19050</xdr:rowOff>
        </xdr:from>
        <xdr:to>
          <xdr:col>1</xdr:col>
          <xdr:colOff>190500</xdr:colOff>
          <xdr:row>21</xdr:row>
          <xdr:rowOff>0</xdr:rowOff>
        </xdr:to>
        <xdr:sp macro="" textlink="">
          <xdr:nvSpPr>
            <xdr:cNvPr id="47123" name="Spinner 19" hidden="1">
              <a:extLst>
                <a:ext uri="{63B3BB69-23CF-44E3-9099-C40C66FF867C}">
                  <a14:compatExt spid="_x0000_s47123"/>
                </a:ext>
                <a:ext uri="{FF2B5EF4-FFF2-40B4-BE49-F238E27FC236}">
                  <a16:creationId xmlns:a16="http://schemas.microsoft.com/office/drawing/2014/main" id="{00000000-0008-0000-0200-000013B8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xdr:col>
          <xdr:colOff>9525</xdr:colOff>
          <xdr:row>21</xdr:row>
          <xdr:rowOff>19050</xdr:rowOff>
        </xdr:from>
        <xdr:to>
          <xdr:col>1</xdr:col>
          <xdr:colOff>190500</xdr:colOff>
          <xdr:row>22</xdr:row>
          <xdr:rowOff>0</xdr:rowOff>
        </xdr:to>
        <xdr:sp macro="" textlink="">
          <xdr:nvSpPr>
            <xdr:cNvPr id="47124" name="Spinner 20" hidden="1">
              <a:extLst>
                <a:ext uri="{63B3BB69-23CF-44E3-9099-C40C66FF867C}">
                  <a14:compatExt spid="_x0000_s47124"/>
                </a:ext>
                <a:ext uri="{FF2B5EF4-FFF2-40B4-BE49-F238E27FC236}">
                  <a16:creationId xmlns:a16="http://schemas.microsoft.com/office/drawing/2014/main" id="{00000000-0008-0000-0200-000014B8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xdr:col>
          <xdr:colOff>9525</xdr:colOff>
          <xdr:row>22</xdr:row>
          <xdr:rowOff>19050</xdr:rowOff>
        </xdr:from>
        <xdr:to>
          <xdr:col>1</xdr:col>
          <xdr:colOff>190500</xdr:colOff>
          <xdr:row>23</xdr:row>
          <xdr:rowOff>0</xdr:rowOff>
        </xdr:to>
        <xdr:sp macro="" textlink="">
          <xdr:nvSpPr>
            <xdr:cNvPr id="47125" name="Spinner 21" hidden="1">
              <a:extLst>
                <a:ext uri="{63B3BB69-23CF-44E3-9099-C40C66FF867C}">
                  <a14:compatExt spid="_x0000_s47125"/>
                </a:ext>
                <a:ext uri="{FF2B5EF4-FFF2-40B4-BE49-F238E27FC236}">
                  <a16:creationId xmlns:a16="http://schemas.microsoft.com/office/drawing/2014/main" id="{00000000-0008-0000-0200-000015B8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xdr:col>
          <xdr:colOff>9525</xdr:colOff>
          <xdr:row>23</xdr:row>
          <xdr:rowOff>19050</xdr:rowOff>
        </xdr:from>
        <xdr:to>
          <xdr:col>1</xdr:col>
          <xdr:colOff>190500</xdr:colOff>
          <xdr:row>24</xdr:row>
          <xdr:rowOff>0</xdr:rowOff>
        </xdr:to>
        <xdr:sp macro="" textlink="">
          <xdr:nvSpPr>
            <xdr:cNvPr id="47126" name="Spinner 22" hidden="1">
              <a:extLst>
                <a:ext uri="{63B3BB69-23CF-44E3-9099-C40C66FF867C}">
                  <a14:compatExt spid="_x0000_s47126"/>
                </a:ext>
                <a:ext uri="{FF2B5EF4-FFF2-40B4-BE49-F238E27FC236}">
                  <a16:creationId xmlns:a16="http://schemas.microsoft.com/office/drawing/2014/main" id="{00000000-0008-0000-0200-000016B8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xdr:col>
          <xdr:colOff>9525</xdr:colOff>
          <xdr:row>24</xdr:row>
          <xdr:rowOff>19050</xdr:rowOff>
        </xdr:from>
        <xdr:to>
          <xdr:col>1</xdr:col>
          <xdr:colOff>190500</xdr:colOff>
          <xdr:row>25</xdr:row>
          <xdr:rowOff>0</xdr:rowOff>
        </xdr:to>
        <xdr:sp macro="" textlink="">
          <xdr:nvSpPr>
            <xdr:cNvPr id="47127" name="Spinner 23" hidden="1">
              <a:extLst>
                <a:ext uri="{63B3BB69-23CF-44E3-9099-C40C66FF867C}">
                  <a14:compatExt spid="_x0000_s47127"/>
                </a:ext>
                <a:ext uri="{FF2B5EF4-FFF2-40B4-BE49-F238E27FC236}">
                  <a16:creationId xmlns:a16="http://schemas.microsoft.com/office/drawing/2014/main" id="{00000000-0008-0000-0200-000017B8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xdr:col>
          <xdr:colOff>9525</xdr:colOff>
          <xdr:row>25</xdr:row>
          <xdr:rowOff>19050</xdr:rowOff>
        </xdr:from>
        <xdr:to>
          <xdr:col>1</xdr:col>
          <xdr:colOff>190500</xdr:colOff>
          <xdr:row>26</xdr:row>
          <xdr:rowOff>0</xdr:rowOff>
        </xdr:to>
        <xdr:sp macro="" textlink="">
          <xdr:nvSpPr>
            <xdr:cNvPr id="47128" name="Spinner 24" hidden="1">
              <a:extLst>
                <a:ext uri="{63B3BB69-23CF-44E3-9099-C40C66FF867C}">
                  <a14:compatExt spid="_x0000_s47128"/>
                </a:ext>
                <a:ext uri="{FF2B5EF4-FFF2-40B4-BE49-F238E27FC236}">
                  <a16:creationId xmlns:a16="http://schemas.microsoft.com/office/drawing/2014/main" id="{00000000-0008-0000-0200-000018B8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xdr:col>
          <xdr:colOff>9525</xdr:colOff>
          <xdr:row>26</xdr:row>
          <xdr:rowOff>19050</xdr:rowOff>
        </xdr:from>
        <xdr:to>
          <xdr:col>1</xdr:col>
          <xdr:colOff>190500</xdr:colOff>
          <xdr:row>27</xdr:row>
          <xdr:rowOff>0</xdr:rowOff>
        </xdr:to>
        <xdr:sp macro="" textlink="">
          <xdr:nvSpPr>
            <xdr:cNvPr id="47129" name="Spinner 25" hidden="1">
              <a:extLst>
                <a:ext uri="{63B3BB69-23CF-44E3-9099-C40C66FF867C}">
                  <a14:compatExt spid="_x0000_s47129"/>
                </a:ext>
                <a:ext uri="{FF2B5EF4-FFF2-40B4-BE49-F238E27FC236}">
                  <a16:creationId xmlns:a16="http://schemas.microsoft.com/office/drawing/2014/main" id="{00000000-0008-0000-0200-000019B8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xdr:col>
          <xdr:colOff>9525</xdr:colOff>
          <xdr:row>27</xdr:row>
          <xdr:rowOff>19050</xdr:rowOff>
        </xdr:from>
        <xdr:to>
          <xdr:col>1</xdr:col>
          <xdr:colOff>190500</xdr:colOff>
          <xdr:row>28</xdr:row>
          <xdr:rowOff>0</xdr:rowOff>
        </xdr:to>
        <xdr:sp macro="" textlink="">
          <xdr:nvSpPr>
            <xdr:cNvPr id="47130" name="Spinner 26" hidden="1">
              <a:extLst>
                <a:ext uri="{63B3BB69-23CF-44E3-9099-C40C66FF867C}">
                  <a14:compatExt spid="_x0000_s47130"/>
                </a:ext>
                <a:ext uri="{FF2B5EF4-FFF2-40B4-BE49-F238E27FC236}">
                  <a16:creationId xmlns:a16="http://schemas.microsoft.com/office/drawing/2014/main" id="{00000000-0008-0000-0200-00001AB8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xdr:col>
          <xdr:colOff>9525</xdr:colOff>
          <xdr:row>28</xdr:row>
          <xdr:rowOff>19050</xdr:rowOff>
        </xdr:from>
        <xdr:to>
          <xdr:col>1</xdr:col>
          <xdr:colOff>190500</xdr:colOff>
          <xdr:row>29</xdr:row>
          <xdr:rowOff>0</xdr:rowOff>
        </xdr:to>
        <xdr:sp macro="" textlink="">
          <xdr:nvSpPr>
            <xdr:cNvPr id="47131" name="Spinner 27" hidden="1">
              <a:extLst>
                <a:ext uri="{63B3BB69-23CF-44E3-9099-C40C66FF867C}">
                  <a14:compatExt spid="_x0000_s47131"/>
                </a:ext>
                <a:ext uri="{FF2B5EF4-FFF2-40B4-BE49-F238E27FC236}">
                  <a16:creationId xmlns:a16="http://schemas.microsoft.com/office/drawing/2014/main" id="{00000000-0008-0000-0200-00001BB8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xdr:col>
          <xdr:colOff>9525</xdr:colOff>
          <xdr:row>29</xdr:row>
          <xdr:rowOff>19050</xdr:rowOff>
        </xdr:from>
        <xdr:to>
          <xdr:col>1</xdr:col>
          <xdr:colOff>190500</xdr:colOff>
          <xdr:row>30</xdr:row>
          <xdr:rowOff>0</xdr:rowOff>
        </xdr:to>
        <xdr:sp macro="" textlink="">
          <xdr:nvSpPr>
            <xdr:cNvPr id="47132" name="Spinner 28" hidden="1">
              <a:extLst>
                <a:ext uri="{63B3BB69-23CF-44E3-9099-C40C66FF867C}">
                  <a14:compatExt spid="_x0000_s47132"/>
                </a:ext>
                <a:ext uri="{FF2B5EF4-FFF2-40B4-BE49-F238E27FC236}">
                  <a16:creationId xmlns:a16="http://schemas.microsoft.com/office/drawing/2014/main" id="{00000000-0008-0000-0200-00001CB8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xdr:col>
          <xdr:colOff>9525</xdr:colOff>
          <xdr:row>30</xdr:row>
          <xdr:rowOff>19050</xdr:rowOff>
        </xdr:from>
        <xdr:to>
          <xdr:col>1</xdr:col>
          <xdr:colOff>190500</xdr:colOff>
          <xdr:row>31</xdr:row>
          <xdr:rowOff>0</xdr:rowOff>
        </xdr:to>
        <xdr:sp macro="" textlink="">
          <xdr:nvSpPr>
            <xdr:cNvPr id="47133" name="Spinner 29" hidden="1">
              <a:extLst>
                <a:ext uri="{63B3BB69-23CF-44E3-9099-C40C66FF867C}">
                  <a14:compatExt spid="_x0000_s47133"/>
                </a:ext>
                <a:ext uri="{FF2B5EF4-FFF2-40B4-BE49-F238E27FC236}">
                  <a16:creationId xmlns:a16="http://schemas.microsoft.com/office/drawing/2014/main" id="{00000000-0008-0000-0200-00001DB8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xdr:col>
          <xdr:colOff>9525</xdr:colOff>
          <xdr:row>31</xdr:row>
          <xdr:rowOff>19050</xdr:rowOff>
        </xdr:from>
        <xdr:to>
          <xdr:col>1</xdr:col>
          <xdr:colOff>190500</xdr:colOff>
          <xdr:row>32</xdr:row>
          <xdr:rowOff>0</xdr:rowOff>
        </xdr:to>
        <xdr:sp macro="" textlink="">
          <xdr:nvSpPr>
            <xdr:cNvPr id="47134" name="Spinner 30" hidden="1">
              <a:extLst>
                <a:ext uri="{63B3BB69-23CF-44E3-9099-C40C66FF867C}">
                  <a14:compatExt spid="_x0000_s47134"/>
                </a:ext>
                <a:ext uri="{FF2B5EF4-FFF2-40B4-BE49-F238E27FC236}">
                  <a16:creationId xmlns:a16="http://schemas.microsoft.com/office/drawing/2014/main" id="{00000000-0008-0000-0200-00001EB8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xdr:col>
          <xdr:colOff>9525</xdr:colOff>
          <xdr:row>32</xdr:row>
          <xdr:rowOff>19050</xdr:rowOff>
        </xdr:from>
        <xdr:to>
          <xdr:col>1</xdr:col>
          <xdr:colOff>190500</xdr:colOff>
          <xdr:row>33</xdr:row>
          <xdr:rowOff>0</xdr:rowOff>
        </xdr:to>
        <xdr:sp macro="" textlink="">
          <xdr:nvSpPr>
            <xdr:cNvPr id="47135" name="Spinner 31" hidden="1">
              <a:extLst>
                <a:ext uri="{63B3BB69-23CF-44E3-9099-C40C66FF867C}">
                  <a14:compatExt spid="_x0000_s47135"/>
                </a:ext>
                <a:ext uri="{FF2B5EF4-FFF2-40B4-BE49-F238E27FC236}">
                  <a16:creationId xmlns:a16="http://schemas.microsoft.com/office/drawing/2014/main" id="{00000000-0008-0000-0200-00001FB8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xdr:col>
          <xdr:colOff>9525</xdr:colOff>
          <xdr:row>33</xdr:row>
          <xdr:rowOff>19050</xdr:rowOff>
        </xdr:from>
        <xdr:to>
          <xdr:col>1</xdr:col>
          <xdr:colOff>190500</xdr:colOff>
          <xdr:row>34</xdr:row>
          <xdr:rowOff>0</xdr:rowOff>
        </xdr:to>
        <xdr:sp macro="" textlink="">
          <xdr:nvSpPr>
            <xdr:cNvPr id="47136" name="Spinner 32" hidden="1">
              <a:extLst>
                <a:ext uri="{63B3BB69-23CF-44E3-9099-C40C66FF867C}">
                  <a14:compatExt spid="_x0000_s47136"/>
                </a:ext>
                <a:ext uri="{FF2B5EF4-FFF2-40B4-BE49-F238E27FC236}">
                  <a16:creationId xmlns:a16="http://schemas.microsoft.com/office/drawing/2014/main" id="{00000000-0008-0000-0200-000020B8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xdr:col>
          <xdr:colOff>9525</xdr:colOff>
          <xdr:row>34</xdr:row>
          <xdr:rowOff>19050</xdr:rowOff>
        </xdr:from>
        <xdr:to>
          <xdr:col>1</xdr:col>
          <xdr:colOff>190500</xdr:colOff>
          <xdr:row>35</xdr:row>
          <xdr:rowOff>0</xdr:rowOff>
        </xdr:to>
        <xdr:sp macro="" textlink="">
          <xdr:nvSpPr>
            <xdr:cNvPr id="47137" name="Spinner 33" hidden="1">
              <a:extLst>
                <a:ext uri="{63B3BB69-23CF-44E3-9099-C40C66FF867C}">
                  <a14:compatExt spid="_x0000_s47137"/>
                </a:ext>
                <a:ext uri="{FF2B5EF4-FFF2-40B4-BE49-F238E27FC236}">
                  <a16:creationId xmlns:a16="http://schemas.microsoft.com/office/drawing/2014/main" id="{00000000-0008-0000-0200-000021B8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xdr:col>
          <xdr:colOff>9525</xdr:colOff>
          <xdr:row>35</xdr:row>
          <xdr:rowOff>19050</xdr:rowOff>
        </xdr:from>
        <xdr:to>
          <xdr:col>1</xdr:col>
          <xdr:colOff>190500</xdr:colOff>
          <xdr:row>36</xdr:row>
          <xdr:rowOff>0</xdr:rowOff>
        </xdr:to>
        <xdr:sp macro="" textlink="">
          <xdr:nvSpPr>
            <xdr:cNvPr id="47138" name="Spinner 34" hidden="1">
              <a:extLst>
                <a:ext uri="{63B3BB69-23CF-44E3-9099-C40C66FF867C}">
                  <a14:compatExt spid="_x0000_s47138"/>
                </a:ext>
                <a:ext uri="{FF2B5EF4-FFF2-40B4-BE49-F238E27FC236}">
                  <a16:creationId xmlns:a16="http://schemas.microsoft.com/office/drawing/2014/main" id="{00000000-0008-0000-0200-000022B8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xdr:col>
          <xdr:colOff>9525</xdr:colOff>
          <xdr:row>36</xdr:row>
          <xdr:rowOff>19050</xdr:rowOff>
        </xdr:from>
        <xdr:to>
          <xdr:col>1</xdr:col>
          <xdr:colOff>190500</xdr:colOff>
          <xdr:row>37</xdr:row>
          <xdr:rowOff>0</xdr:rowOff>
        </xdr:to>
        <xdr:sp macro="" textlink="">
          <xdr:nvSpPr>
            <xdr:cNvPr id="47139" name="Spinner 35" hidden="1">
              <a:extLst>
                <a:ext uri="{63B3BB69-23CF-44E3-9099-C40C66FF867C}">
                  <a14:compatExt spid="_x0000_s47139"/>
                </a:ext>
                <a:ext uri="{FF2B5EF4-FFF2-40B4-BE49-F238E27FC236}">
                  <a16:creationId xmlns:a16="http://schemas.microsoft.com/office/drawing/2014/main" id="{00000000-0008-0000-0200-000023B8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xdr:col>
          <xdr:colOff>9525</xdr:colOff>
          <xdr:row>37</xdr:row>
          <xdr:rowOff>19050</xdr:rowOff>
        </xdr:from>
        <xdr:to>
          <xdr:col>1</xdr:col>
          <xdr:colOff>190500</xdr:colOff>
          <xdr:row>38</xdr:row>
          <xdr:rowOff>0</xdr:rowOff>
        </xdr:to>
        <xdr:sp macro="" textlink="">
          <xdr:nvSpPr>
            <xdr:cNvPr id="47140" name="Spinner 36" hidden="1">
              <a:extLst>
                <a:ext uri="{63B3BB69-23CF-44E3-9099-C40C66FF867C}">
                  <a14:compatExt spid="_x0000_s47140"/>
                </a:ext>
                <a:ext uri="{FF2B5EF4-FFF2-40B4-BE49-F238E27FC236}">
                  <a16:creationId xmlns:a16="http://schemas.microsoft.com/office/drawing/2014/main" id="{00000000-0008-0000-0200-000024B8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xdr:col>
          <xdr:colOff>9525</xdr:colOff>
          <xdr:row>41</xdr:row>
          <xdr:rowOff>19050</xdr:rowOff>
        </xdr:from>
        <xdr:to>
          <xdr:col>1</xdr:col>
          <xdr:colOff>190500</xdr:colOff>
          <xdr:row>42</xdr:row>
          <xdr:rowOff>0</xdr:rowOff>
        </xdr:to>
        <xdr:sp macro="" textlink="">
          <xdr:nvSpPr>
            <xdr:cNvPr id="47141" name="Spinner 37" hidden="1">
              <a:extLst>
                <a:ext uri="{63B3BB69-23CF-44E3-9099-C40C66FF867C}">
                  <a14:compatExt spid="_x0000_s47141"/>
                </a:ext>
                <a:ext uri="{FF2B5EF4-FFF2-40B4-BE49-F238E27FC236}">
                  <a16:creationId xmlns:a16="http://schemas.microsoft.com/office/drawing/2014/main" id="{00000000-0008-0000-0200-000025B8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xdr:col>
          <xdr:colOff>9525</xdr:colOff>
          <xdr:row>42</xdr:row>
          <xdr:rowOff>19050</xdr:rowOff>
        </xdr:from>
        <xdr:to>
          <xdr:col>1</xdr:col>
          <xdr:colOff>190500</xdr:colOff>
          <xdr:row>43</xdr:row>
          <xdr:rowOff>0</xdr:rowOff>
        </xdr:to>
        <xdr:sp macro="" textlink="">
          <xdr:nvSpPr>
            <xdr:cNvPr id="47142" name="Spinner 38" hidden="1">
              <a:extLst>
                <a:ext uri="{63B3BB69-23CF-44E3-9099-C40C66FF867C}">
                  <a14:compatExt spid="_x0000_s47142"/>
                </a:ext>
                <a:ext uri="{FF2B5EF4-FFF2-40B4-BE49-F238E27FC236}">
                  <a16:creationId xmlns:a16="http://schemas.microsoft.com/office/drawing/2014/main" id="{00000000-0008-0000-0200-000026B8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xdr:col>
          <xdr:colOff>9525</xdr:colOff>
          <xdr:row>43</xdr:row>
          <xdr:rowOff>19050</xdr:rowOff>
        </xdr:from>
        <xdr:to>
          <xdr:col>1</xdr:col>
          <xdr:colOff>190500</xdr:colOff>
          <xdr:row>44</xdr:row>
          <xdr:rowOff>0</xdr:rowOff>
        </xdr:to>
        <xdr:sp macro="" textlink="">
          <xdr:nvSpPr>
            <xdr:cNvPr id="47143" name="Spinner 39" hidden="1">
              <a:extLst>
                <a:ext uri="{63B3BB69-23CF-44E3-9099-C40C66FF867C}">
                  <a14:compatExt spid="_x0000_s47143"/>
                </a:ext>
                <a:ext uri="{FF2B5EF4-FFF2-40B4-BE49-F238E27FC236}">
                  <a16:creationId xmlns:a16="http://schemas.microsoft.com/office/drawing/2014/main" id="{00000000-0008-0000-0200-000027B8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xdr:col>
          <xdr:colOff>9525</xdr:colOff>
          <xdr:row>44</xdr:row>
          <xdr:rowOff>19050</xdr:rowOff>
        </xdr:from>
        <xdr:to>
          <xdr:col>1</xdr:col>
          <xdr:colOff>190500</xdr:colOff>
          <xdr:row>45</xdr:row>
          <xdr:rowOff>0</xdr:rowOff>
        </xdr:to>
        <xdr:sp macro="" textlink="">
          <xdr:nvSpPr>
            <xdr:cNvPr id="47144" name="Spinner 40" hidden="1">
              <a:extLst>
                <a:ext uri="{63B3BB69-23CF-44E3-9099-C40C66FF867C}">
                  <a14:compatExt spid="_x0000_s47144"/>
                </a:ext>
                <a:ext uri="{FF2B5EF4-FFF2-40B4-BE49-F238E27FC236}">
                  <a16:creationId xmlns:a16="http://schemas.microsoft.com/office/drawing/2014/main" id="{00000000-0008-0000-0200-000028B8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xdr:col>
          <xdr:colOff>9525</xdr:colOff>
          <xdr:row>45</xdr:row>
          <xdr:rowOff>19050</xdr:rowOff>
        </xdr:from>
        <xdr:to>
          <xdr:col>1</xdr:col>
          <xdr:colOff>190500</xdr:colOff>
          <xdr:row>46</xdr:row>
          <xdr:rowOff>0</xdr:rowOff>
        </xdr:to>
        <xdr:sp macro="" textlink="">
          <xdr:nvSpPr>
            <xdr:cNvPr id="47145" name="Spinner 41" hidden="1">
              <a:extLst>
                <a:ext uri="{63B3BB69-23CF-44E3-9099-C40C66FF867C}">
                  <a14:compatExt spid="_x0000_s47145"/>
                </a:ext>
                <a:ext uri="{FF2B5EF4-FFF2-40B4-BE49-F238E27FC236}">
                  <a16:creationId xmlns:a16="http://schemas.microsoft.com/office/drawing/2014/main" id="{00000000-0008-0000-0200-000029B8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xdr:col>
          <xdr:colOff>9525</xdr:colOff>
          <xdr:row>46</xdr:row>
          <xdr:rowOff>19050</xdr:rowOff>
        </xdr:from>
        <xdr:to>
          <xdr:col>1</xdr:col>
          <xdr:colOff>190500</xdr:colOff>
          <xdr:row>47</xdr:row>
          <xdr:rowOff>0</xdr:rowOff>
        </xdr:to>
        <xdr:sp macro="" textlink="">
          <xdr:nvSpPr>
            <xdr:cNvPr id="47146" name="Spinner 42" hidden="1">
              <a:extLst>
                <a:ext uri="{63B3BB69-23CF-44E3-9099-C40C66FF867C}">
                  <a14:compatExt spid="_x0000_s47146"/>
                </a:ext>
                <a:ext uri="{FF2B5EF4-FFF2-40B4-BE49-F238E27FC236}">
                  <a16:creationId xmlns:a16="http://schemas.microsoft.com/office/drawing/2014/main" id="{00000000-0008-0000-0200-00002AB8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57150</xdr:colOff>
          <xdr:row>4</xdr:row>
          <xdr:rowOff>200025</xdr:rowOff>
        </xdr:from>
        <xdr:to>
          <xdr:col>20</xdr:col>
          <xdr:colOff>52800</xdr:colOff>
          <xdr:row>5</xdr:row>
          <xdr:rowOff>44450</xdr:rowOff>
        </xdr:to>
        <xdr:pic>
          <xdr:nvPicPr>
            <xdr:cNvPr id="45" name="Image 44">
              <a:extLst>
                <a:ext uri="{FF2B5EF4-FFF2-40B4-BE49-F238E27FC236}">
                  <a16:creationId xmlns:a16="http://schemas.microsoft.com/office/drawing/2014/main" id="{00000000-0008-0000-0200-00002D000000}"/>
                </a:ext>
              </a:extLst>
            </xdr:cNvPr>
            <xdr:cNvPicPr>
              <a:picLocks noChangeArrowheads="1"/>
              <a:extLst>
                <a:ext uri="{84589F7E-364E-4C9E-8A38-B11213B215E9}">
                  <a14:cameraTool cellRange="#REF!" spid="_x0000_s466521"/>
                </a:ext>
              </a:extLst>
            </xdr:cNvPicPr>
          </xdr:nvPicPr>
          <xdr:blipFill rotWithShape="1">
            <a:blip xmlns:r="http://schemas.openxmlformats.org/officeDocument/2006/relationships" r:embed="rId2"/>
            <a:srcRect l="4410" t="-11539" b="-1"/>
            <a:stretch>
              <a:fillRect/>
            </a:stretch>
          </xdr:blipFill>
          <xdr:spPr bwMode="auto">
            <a:xfrm>
              <a:off x="57150" y="1209675"/>
              <a:ext cx="4066000" cy="9842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38100</xdr:colOff>
          <xdr:row>4</xdr:row>
          <xdr:rowOff>209550</xdr:rowOff>
        </xdr:from>
        <xdr:to>
          <xdr:col>50</xdr:col>
          <xdr:colOff>147275</xdr:colOff>
          <xdr:row>5</xdr:row>
          <xdr:rowOff>53975</xdr:rowOff>
        </xdr:to>
        <xdr:pic>
          <xdr:nvPicPr>
            <xdr:cNvPr id="46" name="Image 45">
              <a:extLst>
                <a:ext uri="{FF2B5EF4-FFF2-40B4-BE49-F238E27FC236}">
                  <a16:creationId xmlns:a16="http://schemas.microsoft.com/office/drawing/2014/main" id="{00000000-0008-0000-0200-00002E000000}"/>
                </a:ext>
              </a:extLst>
            </xdr:cNvPr>
            <xdr:cNvPicPr>
              <a:picLocks noChangeArrowheads="1"/>
              <a:extLst>
                <a:ext uri="{84589F7E-364E-4C9E-8A38-B11213B215E9}">
                  <a14:cameraTool cellRange="#REF!" spid="_x0000_s466522"/>
                </a:ext>
              </a:extLst>
            </xdr:cNvPicPr>
          </xdr:nvPicPr>
          <xdr:blipFill rotWithShape="1">
            <a:blip xmlns:r="http://schemas.openxmlformats.org/officeDocument/2006/relationships" r:embed="rId2"/>
            <a:srcRect l="4410" t="-11539" b="-1"/>
            <a:stretch>
              <a:fillRect/>
            </a:stretch>
          </xdr:blipFill>
          <xdr:spPr bwMode="auto">
            <a:xfrm>
              <a:off x="5194300" y="1219200"/>
              <a:ext cx="4846275" cy="9842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57150</xdr:colOff>
          <xdr:row>9</xdr:row>
          <xdr:rowOff>200025</xdr:rowOff>
        </xdr:from>
        <xdr:to>
          <xdr:col>39</xdr:col>
          <xdr:colOff>134600</xdr:colOff>
          <xdr:row>10</xdr:row>
          <xdr:rowOff>44450</xdr:rowOff>
        </xdr:to>
        <xdr:pic>
          <xdr:nvPicPr>
            <xdr:cNvPr id="55" name="Image 54">
              <a:extLst>
                <a:ext uri="{FF2B5EF4-FFF2-40B4-BE49-F238E27FC236}">
                  <a16:creationId xmlns:a16="http://schemas.microsoft.com/office/drawing/2014/main" id="{00000000-0008-0000-0200-000037000000}"/>
                </a:ext>
              </a:extLst>
            </xdr:cNvPr>
            <xdr:cNvPicPr>
              <a:picLocks noChangeArrowheads="1"/>
              <a:extLst>
                <a:ext uri="{84589F7E-364E-4C9E-8A38-B11213B215E9}">
                  <a14:cameraTool cellRange="#REF!" spid="_x0000_s466523"/>
                </a:ext>
              </a:extLst>
            </xdr:cNvPicPr>
          </xdr:nvPicPr>
          <xdr:blipFill rotWithShape="1">
            <a:blip xmlns:r="http://schemas.openxmlformats.org/officeDocument/2006/relationships" r:embed="rId2"/>
            <a:srcRect l="4410" t="-11539" b="-1"/>
            <a:stretch>
              <a:fillRect/>
            </a:stretch>
          </xdr:blipFill>
          <xdr:spPr bwMode="auto">
            <a:xfrm>
              <a:off x="5213350" y="2473325"/>
              <a:ext cx="2649200" cy="9842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133350</xdr:colOff>
          <xdr:row>9</xdr:row>
          <xdr:rowOff>200025</xdr:rowOff>
        </xdr:from>
        <xdr:to>
          <xdr:col>20</xdr:col>
          <xdr:colOff>159800</xdr:colOff>
          <xdr:row>10</xdr:row>
          <xdr:rowOff>44450</xdr:rowOff>
        </xdr:to>
        <xdr:pic>
          <xdr:nvPicPr>
            <xdr:cNvPr id="56" name="Image 55">
              <a:extLst>
                <a:ext uri="{FF2B5EF4-FFF2-40B4-BE49-F238E27FC236}">
                  <a16:creationId xmlns:a16="http://schemas.microsoft.com/office/drawing/2014/main" id="{00000000-0008-0000-0200-000038000000}"/>
                </a:ext>
              </a:extLst>
            </xdr:cNvPr>
            <xdr:cNvPicPr>
              <a:picLocks noChangeArrowheads="1"/>
              <a:extLst>
                <a:ext uri="{84589F7E-364E-4C9E-8A38-B11213B215E9}">
                  <a14:cameraTool cellRange="#REF!" spid="_x0000_s466524"/>
                </a:ext>
              </a:extLst>
            </xdr:cNvPicPr>
          </xdr:nvPicPr>
          <xdr:blipFill rotWithShape="1">
            <a:blip xmlns:r="http://schemas.openxmlformats.org/officeDocument/2006/relationships" r:embed="rId2"/>
            <a:srcRect l="4410" t="-11539" b="-1"/>
            <a:stretch>
              <a:fillRect/>
            </a:stretch>
          </xdr:blipFill>
          <xdr:spPr bwMode="auto">
            <a:xfrm>
              <a:off x="1905000" y="2473325"/>
              <a:ext cx="2229900" cy="9842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43</xdr:col>
          <xdr:colOff>47625</xdr:colOff>
          <xdr:row>9</xdr:row>
          <xdr:rowOff>200025</xdr:rowOff>
        </xdr:from>
        <xdr:to>
          <xdr:col>50</xdr:col>
          <xdr:colOff>159450</xdr:colOff>
          <xdr:row>10</xdr:row>
          <xdr:rowOff>44450</xdr:rowOff>
        </xdr:to>
        <xdr:pic>
          <xdr:nvPicPr>
            <xdr:cNvPr id="57" name="Image 56">
              <a:extLst>
                <a:ext uri="{FF2B5EF4-FFF2-40B4-BE49-F238E27FC236}">
                  <a16:creationId xmlns:a16="http://schemas.microsoft.com/office/drawing/2014/main" id="{00000000-0008-0000-0200-000039000000}"/>
                </a:ext>
              </a:extLst>
            </xdr:cNvPr>
            <xdr:cNvPicPr>
              <a:picLocks noChangeArrowheads="1"/>
              <a:extLst>
                <a:ext uri="{84589F7E-364E-4C9E-8A38-B11213B215E9}">
                  <a14:cameraTool cellRange="#REF!" spid="_x0000_s466525"/>
                </a:ext>
              </a:extLst>
            </xdr:cNvPicPr>
          </xdr:nvPicPr>
          <xdr:blipFill rotWithShape="1">
            <a:blip xmlns:r="http://schemas.openxmlformats.org/officeDocument/2006/relationships" r:embed="rId2"/>
            <a:srcRect l="4410" t="-11539" b="-1"/>
            <a:stretch>
              <a:fillRect/>
            </a:stretch>
          </xdr:blipFill>
          <xdr:spPr bwMode="auto">
            <a:xfrm>
              <a:off x="8562975" y="2473325"/>
              <a:ext cx="1489775" cy="9842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38100</xdr:colOff>
          <xdr:row>9</xdr:row>
          <xdr:rowOff>200025</xdr:rowOff>
        </xdr:from>
        <xdr:to>
          <xdr:col>5</xdr:col>
          <xdr:colOff>22725</xdr:colOff>
          <xdr:row>10</xdr:row>
          <xdr:rowOff>44450</xdr:rowOff>
        </xdr:to>
        <xdr:pic>
          <xdr:nvPicPr>
            <xdr:cNvPr id="58" name="Image 57">
              <a:extLst>
                <a:ext uri="{FF2B5EF4-FFF2-40B4-BE49-F238E27FC236}">
                  <a16:creationId xmlns:a16="http://schemas.microsoft.com/office/drawing/2014/main" id="{00000000-0008-0000-0200-00003A000000}"/>
                </a:ext>
              </a:extLst>
            </xdr:cNvPr>
            <xdr:cNvPicPr>
              <a:picLocks noChangeArrowheads="1"/>
              <a:extLst>
                <a:ext uri="{84589F7E-364E-4C9E-8A38-B11213B215E9}">
                  <a14:cameraTool cellRange="#REF!" spid="_x0000_s466526"/>
                </a:ext>
              </a:extLst>
            </xdr:cNvPicPr>
          </xdr:nvPicPr>
          <xdr:blipFill rotWithShape="1">
            <a:blip xmlns:r="http://schemas.openxmlformats.org/officeDocument/2006/relationships" r:embed="rId2"/>
            <a:srcRect l="4410" t="-11539" b="-1"/>
            <a:stretch>
              <a:fillRect/>
            </a:stretch>
          </xdr:blipFill>
          <xdr:spPr bwMode="auto">
            <a:xfrm>
              <a:off x="38100" y="2473325"/>
              <a:ext cx="1064125" cy="9842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oneCellAnchor>
        <xdr:from>
          <xdr:col>0</xdr:col>
          <xdr:colOff>57150</xdr:colOff>
          <xdr:row>59</xdr:row>
          <xdr:rowOff>200025</xdr:rowOff>
        </xdr:from>
        <xdr:ext cx="4608000" cy="92075"/>
        <xdr:pic>
          <xdr:nvPicPr>
            <xdr:cNvPr id="59" name="Image 58">
              <a:extLst>
                <a:ext uri="{FF2B5EF4-FFF2-40B4-BE49-F238E27FC236}">
                  <a16:creationId xmlns:a16="http://schemas.microsoft.com/office/drawing/2014/main" id="{00000000-0008-0000-0200-00003B000000}"/>
                </a:ext>
              </a:extLst>
            </xdr:cNvPr>
            <xdr:cNvPicPr>
              <a:picLocks noChangeArrowheads="1"/>
              <a:extLst>
                <a:ext uri="{84589F7E-364E-4C9E-8A38-B11213B215E9}">
                  <a14:cameraTool cellRange="#REF!" spid="_x0000_s466527"/>
                </a:ext>
              </a:extLst>
            </xdr:cNvPicPr>
          </xdr:nvPicPr>
          <xdr:blipFill rotWithShape="1">
            <a:blip xmlns:r="http://schemas.openxmlformats.org/officeDocument/2006/relationships" r:embed="rId2"/>
            <a:srcRect l="4410" t="-11539" b="-1"/>
            <a:stretch>
              <a:fillRect/>
            </a:stretch>
          </xdr:blipFill>
          <xdr:spPr bwMode="auto">
            <a:xfrm>
              <a:off x="57150" y="16443325"/>
              <a:ext cx="4608000" cy="92075"/>
            </a:xfrm>
            <a:prstGeom prst="rect">
              <a:avLst/>
            </a:prstGeom>
            <a:noFill/>
            <a:extLst>
              <a:ext uri="{909E8E84-426E-40DD-AFC4-6F175D3DCCD1}">
                <a14:hiddenFill>
                  <a:solidFill>
                    <a:srgbClr val="FFFFFF"/>
                  </a:solidFill>
                </a14:hiddenFill>
              </a:ext>
            </a:extLst>
          </xdr:spPr>
        </xdr:pic>
        <xdr:clientData/>
      </xdr:oneCellAnchor>
    </mc:Choice>
    <mc:Fallback/>
  </mc:AlternateContent>
  <mc:AlternateContent xmlns:mc="http://schemas.openxmlformats.org/markup-compatibility/2006">
    <mc:Choice xmlns:a14="http://schemas.microsoft.com/office/drawing/2010/main" Requires="a14">
      <xdr:oneCellAnchor>
        <xdr:from>
          <xdr:col>27</xdr:col>
          <xdr:colOff>142875</xdr:colOff>
          <xdr:row>59</xdr:row>
          <xdr:rowOff>190500</xdr:rowOff>
        </xdr:from>
        <xdr:ext cx="4644000" cy="92075"/>
        <xdr:pic>
          <xdr:nvPicPr>
            <xdr:cNvPr id="60" name="Image 59">
              <a:extLst>
                <a:ext uri="{FF2B5EF4-FFF2-40B4-BE49-F238E27FC236}">
                  <a16:creationId xmlns:a16="http://schemas.microsoft.com/office/drawing/2014/main" id="{00000000-0008-0000-0200-00003C000000}"/>
                </a:ext>
              </a:extLst>
            </xdr:cNvPr>
            <xdr:cNvPicPr>
              <a:picLocks noChangeArrowheads="1"/>
              <a:extLst>
                <a:ext uri="{84589F7E-364E-4C9E-8A38-B11213B215E9}">
                  <a14:cameraTool cellRange="#REF!" spid="_x0000_s466528"/>
                </a:ext>
              </a:extLst>
            </xdr:cNvPicPr>
          </xdr:nvPicPr>
          <xdr:blipFill rotWithShape="1">
            <a:blip xmlns:r="http://schemas.openxmlformats.org/officeDocument/2006/relationships" r:embed="rId2"/>
            <a:srcRect l="4410" t="-11539" b="-1"/>
            <a:stretch>
              <a:fillRect/>
            </a:stretch>
          </xdr:blipFill>
          <xdr:spPr bwMode="auto">
            <a:xfrm>
              <a:off x="5495925" y="16433800"/>
              <a:ext cx="4644000" cy="92075"/>
            </a:xfrm>
            <a:prstGeom prst="rect">
              <a:avLst/>
            </a:prstGeom>
            <a:noFill/>
            <a:extLst>
              <a:ext uri="{909E8E84-426E-40DD-AFC4-6F175D3DCCD1}">
                <a14:hiddenFill>
                  <a:solidFill>
                    <a:srgbClr val="FFFFFF"/>
                  </a:solidFill>
                </a14:hiddenFill>
              </a:ext>
            </a:extLst>
          </xdr:spPr>
        </xdr:pic>
        <xdr:clientData/>
      </xdr:oneCellAnchor>
    </mc:Choice>
    <mc:Fallback/>
  </mc:AlternateContent>
  <mc:AlternateContent xmlns:mc="http://schemas.openxmlformats.org/markup-compatibility/2006">
    <mc:Choice xmlns:a14="http://schemas.microsoft.com/office/drawing/2010/main" Requires="a14">
      <xdr:twoCellAnchor editAs="oneCell">
        <xdr:from>
          <xdr:col>21</xdr:col>
          <xdr:colOff>0</xdr:colOff>
          <xdr:row>22</xdr:row>
          <xdr:rowOff>200025</xdr:rowOff>
        </xdr:from>
        <xdr:to>
          <xdr:col>25</xdr:col>
          <xdr:colOff>99900</xdr:colOff>
          <xdr:row>23</xdr:row>
          <xdr:rowOff>44450</xdr:rowOff>
        </xdr:to>
        <xdr:pic>
          <xdr:nvPicPr>
            <xdr:cNvPr id="62" name="Image 61">
              <a:extLst>
                <a:ext uri="{FF2B5EF4-FFF2-40B4-BE49-F238E27FC236}">
                  <a16:creationId xmlns:a16="http://schemas.microsoft.com/office/drawing/2014/main" id="{00000000-0008-0000-0200-00003E000000}"/>
                </a:ext>
              </a:extLst>
            </xdr:cNvPr>
            <xdr:cNvPicPr>
              <a:picLocks noChangeArrowheads="1"/>
              <a:extLst>
                <a:ext uri="{84589F7E-364E-4C9E-8A38-B11213B215E9}">
                  <a14:cameraTool cellRange="#REF!" spid="_x0000_s466529"/>
                </a:ext>
              </a:extLst>
            </xdr:cNvPicPr>
          </xdr:nvPicPr>
          <xdr:blipFill rotWithShape="1">
            <a:blip xmlns:r="http://schemas.openxmlformats.org/officeDocument/2006/relationships" r:embed="rId2"/>
            <a:srcRect l="4410" t="-11539" b="-1"/>
            <a:stretch>
              <a:fillRect/>
            </a:stretch>
          </xdr:blipFill>
          <xdr:spPr bwMode="auto">
            <a:xfrm>
              <a:off x="4171950" y="5775325"/>
              <a:ext cx="887300" cy="9842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22</xdr:row>
          <xdr:rowOff>180975</xdr:rowOff>
        </xdr:from>
        <xdr:to>
          <xdr:col>15</xdr:col>
          <xdr:colOff>186500</xdr:colOff>
          <xdr:row>23</xdr:row>
          <xdr:rowOff>25400</xdr:rowOff>
        </xdr:to>
        <xdr:pic>
          <xdr:nvPicPr>
            <xdr:cNvPr id="63" name="Image 62">
              <a:extLst>
                <a:ext uri="{FF2B5EF4-FFF2-40B4-BE49-F238E27FC236}">
                  <a16:creationId xmlns:a16="http://schemas.microsoft.com/office/drawing/2014/main" id="{00000000-0008-0000-0200-00003F000000}"/>
                </a:ext>
              </a:extLst>
            </xdr:cNvPr>
            <xdr:cNvPicPr>
              <a:picLocks noChangeArrowheads="1"/>
              <a:extLst>
                <a:ext uri="{84589F7E-364E-4C9E-8A38-B11213B215E9}">
                  <a14:cameraTool cellRange="#REF!" spid="_x0000_s466530"/>
                </a:ext>
              </a:extLst>
            </xdr:cNvPicPr>
          </xdr:nvPicPr>
          <xdr:blipFill rotWithShape="1">
            <a:blip xmlns:r="http://schemas.openxmlformats.org/officeDocument/2006/relationships" r:embed="rId2"/>
            <a:srcRect l="4410" t="-11539" b="-1"/>
            <a:stretch>
              <a:fillRect/>
            </a:stretch>
          </xdr:blipFill>
          <xdr:spPr bwMode="auto">
            <a:xfrm>
              <a:off x="2667000" y="5756275"/>
              <a:ext cx="497650" cy="9842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104775</xdr:colOff>
          <xdr:row>22</xdr:row>
          <xdr:rowOff>200025</xdr:rowOff>
        </xdr:from>
        <xdr:to>
          <xdr:col>32</xdr:col>
          <xdr:colOff>136725</xdr:colOff>
          <xdr:row>23</xdr:row>
          <xdr:rowOff>44450</xdr:rowOff>
        </xdr:to>
        <xdr:pic>
          <xdr:nvPicPr>
            <xdr:cNvPr id="64" name="Image 63">
              <a:extLst>
                <a:ext uri="{FF2B5EF4-FFF2-40B4-BE49-F238E27FC236}">
                  <a16:creationId xmlns:a16="http://schemas.microsoft.com/office/drawing/2014/main" id="{00000000-0008-0000-0200-000040000000}"/>
                </a:ext>
              </a:extLst>
            </xdr:cNvPr>
            <xdr:cNvPicPr>
              <a:picLocks noChangeArrowheads="1"/>
              <a:extLst>
                <a:ext uri="{84589F7E-364E-4C9E-8A38-B11213B215E9}">
                  <a14:cameraTool cellRange="#REF!" spid="_x0000_s466531"/>
                </a:ext>
              </a:extLst>
            </xdr:cNvPicPr>
          </xdr:nvPicPr>
          <xdr:blipFill rotWithShape="1">
            <a:blip xmlns:r="http://schemas.openxmlformats.org/officeDocument/2006/relationships" r:embed="rId2"/>
            <a:srcRect l="4410" t="-11539" b="-1"/>
            <a:stretch>
              <a:fillRect/>
            </a:stretch>
          </xdr:blipFill>
          <xdr:spPr bwMode="auto">
            <a:xfrm>
              <a:off x="6048375" y="5775325"/>
              <a:ext cx="425650" cy="9842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114300</xdr:colOff>
          <xdr:row>27</xdr:row>
          <xdr:rowOff>190500</xdr:rowOff>
        </xdr:from>
        <xdr:to>
          <xdr:col>25</xdr:col>
          <xdr:colOff>122175</xdr:colOff>
          <xdr:row>28</xdr:row>
          <xdr:rowOff>34925</xdr:rowOff>
        </xdr:to>
        <xdr:pic>
          <xdr:nvPicPr>
            <xdr:cNvPr id="65" name="Image 64">
              <a:extLst>
                <a:ext uri="{FF2B5EF4-FFF2-40B4-BE49-F238E27FC236}">
                  <a16:creationId xmlns:a16="http://schemas.microsoft.com/office/drawing/2014/main" id="{00000000-0008-0000-0200-000041000000}"/>
                </a:ext>
              </a:extLst>
            </xdr:cNvPr>
            <xdr:cNvPicPr>
              <a:picLocks noChangeArrowheads="1"/>
              <a:extLst>
                <a:ext uri="{84589F7E-364E-4C9E-8A38-B11213B215E9}">
                  <a14:cameraTool cellRange="#REF!" spid="_x0000_s466532"/>
                </a:ext>
              </a:extLst>
            </xdr:cNvPicPr>
          </xdr:nvPicPr>
          <xdr:blipFill rotWithShape="1">
            <a:blip xmlns:r="http://schemas.openxmlformats.org/officeDocument/2006/relationships" r:embed="rId2"/>
            <a:srcRect l="4410" t="-11539" b="-1"/>
            <a:stretch>
              <a:fillRect/>
            </a:stretch>
          </xdr:blipFill>
          <xdr:spPr bwMode="auto">
            <a:xfrm>
              <a:off x="4089400" y="7035800"/>
              <a:ext cx="992125" cy="9842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95250</xdr:colOff>
          <xdr:row>27</xdr:row>
          <xdr:rowOff>190500</xdr:rowOff>
        </xdr:from>
        <xdr:to>
          <xdr:col>32</xdr:col>
          <xdr:colOff>143175</xdr:colOff>
          <xdr:row>28</xdr:row>
          <xdr:rowOff>34925</xdr:rowOff>
        </xdr:to>
        <xdr:pic>
          <xdr:nvPicPr>
            <xdr:cNvPr id="66" name="Image 65">
              <a:extLst>
                <a:ext uri="{FF2B5EF4-FFF2-40B4-BE49-F238E27FC236}">
                  <a16:creationId xmlns:a16="http://schemas.microsoft.com/office/drawing/2014/main" id="{00000000-0008-0000-0200-000042000000}"/>
                </a:ext>
              </a:extLst>
            </xdr:cNvPr>
            <xdr:cNvPicPr>
              <a:picLocks noChangeArrowheads="1"/>
              <a:extLst>
                <a:ext uri="{84589F7E-364E-4C9E-8A38-B11213B215E9}">
                  <a14:cameraTool cellRange="#REF!" spid="_x0000_s466533"/>
                </a:ext>
              </a:extLst>
            </xdr:cNvPicPr>
          </xdr:nvPicPr>
          <xdr:blipFill rotWithShape="1">
            <a:blip xmlns:r="http://schemas.openxmlformats.org/officeDocument/2006/relationships" r:embed="rId2"/>
            <a:srcRect l="4410" t="-11539" b="-1"/>
            <a:stretch>
              <a:fillRect/>
            </a:stretch>
          </xdr:blipFill>
          <xdr:spPr bwMode="auto">
            <a:xfrm>
              <a:off x="5842000" y="7035800"/>
              <a:ext cx="638475" cy="9842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27</xdr:row>
          <xdr:rowOff>190500</xdr:rowOff>
        </xdr:from>
        <xdr:to>
          <xdr:col>15</xdr:col>
          <xdr:colOff>114500</xdr:colOff>
          <xdr:row>28</xdr:row>
          <xdr:rowOff>34925</xdr:rowOff>
        </xdr:to>
        <xdr:pic>
          <xdr:nvPicPr>
            <xdr:cNvPr id="67" name="Image 66">
              <a:extLst>
                <a:ext uri="{FF2B5EF4-FFF2-40B4-BE49-F238E27FC236}">
                  <a16:creationId xmlns:a16="http://schemas.microsoft.com/office/drawing/2014/main" id="{00000000-0008-0000-0200-000043000000}"/>
                </a:ext>
              </a:extLst>
            </xdr:cNvPr>
            <xdr:cNvPicPr>
              <a:picLocks noChangeArrowheads="1"/>
              <a:extLst>
                <a:ext uri="{84589F7E-364E-4C9E-8A38-B11213B215E9}">
                  <a14:cameraTool cellRange="#REF!" spid="_x0000_s466534"/>
                </a:ext>
              </a:extLst>
            </xdr:cNvPicPr>
          </xdr:nvPicPr>
          <xdr:blipFill rotWithShape="1">
            <a:blip xmlns:r="http://schemas.openxmlformats.org/officeDocument/2006/relationships" r:embed="rId2"/>
            <a:srcRect l="4410" t="-11539" b="-1"/>
            <a:stretch>
              <a:fillRect/>
            </a:stretch>
          </xdr:blipFill>
          <xdr:spPr bwMode="auto">
            <a:xfrm>
              <a:off x="2667000" y="7035800"/>
              <a:ext cx="425650" cy="9842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30</xdr:row>
          <xdr:rowOff>190500</xdr:rowOff>
        </xdr:from>
        <xdr:to>
          <xdr:col>15</xdr:col>
          <xdr:colOff>42500</xdr:colOff>
          <xdr:row>31</xdr:row>
          <xdr:rowOff>34925</xdr:rowOff>
        </xdr:to>
        <xdr:pic>
          <xdr:nvPicPr>
            <xdr:cNvPr id="68" name="Image 67">
              <a:extLst>
                <a:ext uri="{FF2B5EF4-FFF2-40B4-BE49-F238E27FC236}">
                  <a16:creationId xmlns:a16="http://schemas.microsoft.com/office/drawing/2014/main" id="{00000000-0008-0000-0200-000044000000}"/>
                </a:ext>
              </a:extLst>
            </xdr:cNvPr>
            <xdr:cNvPicPr>
              <a:picLocks noChangeArrowheads="1"/>
              <a:extLst>
                <a:ext uri="{84589F7E-364E-4C9E-8A38-B11213B215E9}">
                  <a14:cameraTool cellRange="#REF!" spid="_x0000_s466535"/>
                </a:ext>
              </a:extLst>
            </xdr:cNvPicPr>
          </xdr:nvPicPr>
          <xdr:blipFill rotWithShape="1">
            <a:blip xmlns:r="http://schemas.openxmlformats.org/officeDocument/2006/relationships" r:embed="rId2"/>
            <a:srcRect l="4410" t="-11539" b="-1"/>
            <a:stretch>
              <a:fillRect/>
            </a:stretch>
          </xdr:blipFill>
          <xdr:spPr bwMode="auto">
            <a:xfrm>
              <a:off x="2667000" y="7797800"/>
              <a:ext cx="353650" cy="9842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34</xdr:row>
          <xdr:rowOff>190500</xdr:rowOff>
        </xdr:from>
        <xdr:to>
          <xdr:col>15</xdr:col>
          <xdr:colOff>78500</xdr:colOff>
          <xdr:row>35</xdr:row>
          <xdr:rowOff>34925</xdr:rowOff>
        </xdr:to>
        <xdr:pic>
          <xdr:nvPicPr>
            <xdr:cNvPr id="69" name="Image 68">
              <a:extLst>
                <a:ext uri="{FF2B5EF4-FFF2-40B4-BE49-F238E27FC236}">
                  <a16:creationId xmlns:a16="http://schemas.microsoft.com/office/drawing/2014/main" id="{00000000-0008-0000-0200-000045000000}"/>
                </a:ext>
              </a:extLst>
            </xdr:cNvPr>
            <xdr:cNvPicPr>
              <a:picLocks noChangeArrowheads="1"/>
              <a:extLst>
                <a:ext uri="{84589F7E-364E-4C9E-8A38-B11213B215E9}">
                  <a14:cameraTool cellRange="#REF!" spid="_x0000_s466536"/>
                </a:ext>
              </a:extLst>
            </xdr:cNvPicPr>
          </xdr:nvPicPr>
          <xdr:blipFill rotWithShape="1">
            <a:blip xmlns:r="http://schemas.openxmlformats.org/officeDocument/2006/relationships" r:embed="rId2"/>
            <a:srcRect l="4410" t="-11539" b="-1"/>
            <a:stretch>
              <a:fillRect/>
            </a:stretch>
          </xdr:blipFill>
          <xdr:spPr bwMode="auto">
            <a:xfrm>
              <a:off x="2667000" y="8813800"/>
              <a:ext cx="389650" cy="9842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161925</xdr:colOff>
          <xdr:row>34</xdr:row>
          <xdr:rowOff>190500</xdr:rowOff>
        </xdr:from>
        <xdr:to>
          <xdr:col>25</xdr:col>
          <xdr:colOff>169800</xdr:colOff>
          <xdr:row>35</xdr:row>
          <xdr:rowOff>34925</xdr:rowOff>
        </xdr:to>
        <xdr:pic>
          <xdr:nvPicPr>
            <xdr:cNvPr id="70" name="Image 69">
              <a:extLst>
                <a:ext uri="{FF2B5EF4-FFF2-40B4-BE49-F238E27FC236}">
                  <a16:creationId xmlns:a16="http://schemas.microsoft.com/office/drawing/2014/main" id="{00000000-0008-0000-0200-000046000000}"/>
                </a:ext>
              </a:extLst>
            </xdr:cNvPr>
            <xdr:cNvPicPr>
              <a:picLocks noChangeArrowheads="1"/>
              <a:extLst>
                <a:ext uri="{84589F7E-364E-4C9E-8A38-B11213B215E9}">
                  <a14:cameraTool cellRange="#REF!" spid="_x0000_s466537"/>
                </a:ext>
              </a:extLst>
            </xdr:cNvPicPr>
          </xdr:nvPicPr>
          <xdr:blipFill rotWithShape="1">
            <a:blip xmlns:r="http://schemas.openxmlformats.org/officeDocument/2006/relationships" r:embed="rId2"/>
            <a:srcRect l="4410" t="-11539" b="-1"/>
            <a:stretch>
              <a:fillRect/>
            </a:stretch>
          </xdr:blipFill>
          <xdr:spPr bwMode="auto">
            <a:xfrm>
              <a:off x="4137025" y="8813800"/>
              <a:ext cx="992125" cy="9842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28575</xdr:colOff>
          <xdr:row>34</xdr:row>
          <xdr:rowOff>190500</xdr:rowOff>
        </xdr:from>
        <xdr:to>
          <xdr:col>41</xdr:col>
          <xdr:colOff>31625</xdr:colOff>
          <xdr:row>35</xdr:row>
          <xdr:rowOff>34925</xdr:rowOff>
        </xdr:to>
        <xdr:pic>
          <xdr:nvPicPr>
            <xdr:cNvPr id="71" name="Image 70">
              <a:extLst>
                <a:ext uri="{FF2B5EF4-FFF2-40B4-BE49-F238E27FC236}">
                  <a16:creationId xmlns:a16="http://schemas.microsoft.com/office/drawing/2014/main" id="{00000000-0008-0000-0200-000047000000}"/>
                </a:ext>
              </a:extLst>
            </xdr:cNvPr>
            <xdr:cNvPicPr>
              <a:picLocks noChangeArrowheads="1"/>
              <a:extLst>
                <a:ext uri="{84589F7E-364E-4C9E-8A38-B11213B215E9}">
                  <a14:cameraTool cellRange="#REF!" spid="_x0000_s466538"/>
                </a:ext>
              </a:extLst>
            </xdr:cNvPicPr>
          </xdr:nvPicPr>
          <xdr:blipFill rotWithShape="1">
            <a:blip xmlns:r="http://schemas.openxmlformats.org/officeDocument/2006/relationships" r:embed="rId2"/>
            <a:srcRect l="4410" t="-11539" b="-1"/>
            <a:stretch>
              <a:fillRect/>
            </a:stretch>
          </xdr:blipFill>
          <xdr:spPr bwMode="auto">
            <a:xfrm>
              <a:off x="6169025" y="8813800"/>
              <a:ext cx="1984250" cy="9842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48</xdr:col>
          <xdr:colOff>180975</xdr:colOff>
          <xdr:row>34</xdr:row>
          <xdr:rowOff>190500</xdr:rowOff>
        </xdr:from>
        <xdr:to>
          <xdr:col>50</xdr:col>
          <xdr:colOff>176925</xdr:colOff>
          <xdr:row>35</xdr:row>
          <xdr:rowOff>34925</xdr:rowOff>
        </xdr:to>
        <xdr:pic>
          <xdr:nvPicPr>
            <xdr:cNvPr id="72" name="Image 71">
              <a:extLst>
                <a:ext uri="{FF2B5EF4-FFF2-40B4-BE49-F238E27FC236}">
                  <a16:creationId xmlns:a16="http://schemas.microsoft.com/office/drawing/2014/main" id="{00000000-0008-0000-0200-000048000000}"/>
                </a:ext>
              </a:extLst>
            </xdr:cNvPr>
            <xdr:cNvPicPr>
              <a:picLocks noChangeArrowheads="1"/>
              <a:extLst>
                <a:ext uri="{84589F7E-364E-4C9E-8A38-B11213B215E9}">
                  <a14:cameraTool cellRange="#REF!" spid="_x0000_s466539"/>
                </a:ext>
              </a:extLst>
            </xdr:cNvPicPr>
          </xdr:nvPicPr>
          <xdr:blipFill rotWithShape="1">
            <a:blip xmlns:r="http://schemas.openxmlformats.org/officeDocument/2006/relationships" r:embed="rId2"/>
            <a:srcRect l="4410" t="-11539" b="-1"/>
            <a:stretch>
              <a:fillRect/>
            </a:stretch>
          </xdr:blipFill>
          <xdr:spPr bwMode="auto">
            <a:xfrm>
              <a:off x="9680575" y="8813800"/>
              <a:ext cx="389650" cy="9842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38100</xdr:colOff>
          <xdr:row>38</xdr:row>
          <xdr:rowOff>200025</xdr:rowOff>
        </xdr:from>
        <xdr:to>
          <xdr:col>29</xdr:col>
          <xdr:colOff>26025</xdr:colOff>
          <xdr:row>39</xdr:row>
          <xdr:rowOff>44450</xdr:rowOff>
        </xdr:to>
        <xdr:pic>
          <xdr:nvPicPr>
            <xdr:cNvPr id="73" name="Image 72">
              <a:extLst>
                <a:ext uri="{FF2B5EF4-FFF2-40B4-BE49-F238E27FC236}">
                  <a16:creationId xmlns:a16="http://schemas.microsoft.com/office/drawing/2014/main" id="{00000000-0008-0000-0200-000049000000}"/>
                </a:ext>
              </a:extLst>
            </xdr:cNvPr>
            <xdr:cNvPicPr>
              <a:picLocks noChangeArrowheads="1"/>
              <a:extLst>
                <a:ext uri="{84589F7E-364E-4C9E-8A38-B11213B215E9}">
                  <a14:cameraTool cellRange="#REF!" spid="_x0000_s466540"/>
                </a:ext>
              </a:extLst>
            </xdr:cNvPicPr>
          </xdr:nvPicPr>
          <xdr:blipFill rotWithShape="1">
            <a:blip xmlns:r="http://schemas.openxmlformats.org/officeDocument/2006/relationships" r:embed="rId2"/>
            <a:srcRect l="4410" t="-11539" b="-1"/>
            <a:stretch>
              <a:fillRect/>
            </a:stretch>
          </xdr:blipFill>
          <xdr:spPr bwMode="auto">
            <a:xfrm>
              <a:off x="2203450" y="9839325"/>
              <a:ext cx="3569325" cy="9842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33</xdr:col>
          <xdr:colOff>104775</xdr:colOff>
          <xdr:row>38</xdr:row>
          <xdr:rowOff>200025</xdr:rowOff>
        </xdr:from>
        <xdr:to>
          <xdr:col>50</xdr:col>
          <xdr:colOff>147650</xdr:colOff>
          <xdr:row>39</xdr:row>
          <xdr:rowOff>44450</xdr:rowOff>
        </xdr:to>
        <xdr:pic>
          <xdr:nvPicPr>
            <xdr:cNvPr id="74" name="Image 73">
              <a:extLst>
                <a:ext uri="{FF2B5EF4-FFF2-40B4-BE49-F238E27FC236}">
                  <a16:creationId xmlns:a16="http://schemas.microsoft.com/office/drawing/2014/main" id="{00000000-0008-0000-0200-00004A000000}"/>
                </a:ext>
              </a:extLst>
            </xdr:cNvPr>
            <xdr:cNvPicPr>
              <a:picLocks noChangeArrowheads="1"/>
              <a:extLst>
                <a:ext uri="{84589F7E-364E-4C9E-8A38-B11213B215E9}">
                  <a14:cameraTool cellRange="#REF!" spid="_x0000_s466541"/>
                </a:ext>
              </a:extLst>
            </xdr:cNvPicPr>
          </xdr:nvPicPr>
          <xdr:blipFill rotWithShape="1">
            <a:blip xmlns:r="http://schemas.openxmlformats.org/officeDocument/2006/relationships" r:embed="rId2"/>
            <a:srcRect l="4410" t="-11539" b="-1"/>
            <a:stretch>
              <a:fillRect/>
            </a:stretch>
          </xdr:blipFill>
          <xdr:spPr bwMode="auto">
            <a:xfrm>
              <a:off x="6638925" y="9839325"/>
              <a:ext cx="3402025" cy="9842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47625</xdr:colOff>
          <xdr:row>38</xdr:row>
          <xdr:rowOff>200025</xdr:rowOff>
        </xdr:from>
        <xdr:to>
          <xdr:col>2</xdr:col>
          <xdr:colOff>56325</xdr:colOff>
          <xdr:row>39</xdr:row>
          <xdr:rowOff>44450</xdr:rowOff>
        </xdr:to>
        <xdr:pic>
          <xdr:nvPicPr>
            <xdr:cNvPr id="75" name="Image 74">
              <a:extLst>
                <a:ext uri="{FF2B5EF4-FFF2-40B4-BE49-F238E27FC236}">
                  <a16:creationId xmlns:a16="http://schemas.microsoft.com/office/drawing/2014/main" id="{00000000-0008-0000-0200-00004B000000}"/>
                </a:ext>
              </a:extLst>
            </xdr:cNvPr>
            <xdr:cNvPicPr>
              <a:picLocks noChangeArrowheads="1"/>
              <a:extLst>
                <a:ext uri="{84589F7E-364E-4C9E-8A38-B11213B215E9}">
                  <a14:cameraTool cellRange="#REF!" spid="_x0000_s466542"/>
                </a:ext>
              </a:extLst>
            </xdr:cNvPicPr>
          </xdr:nvPicPr>
          <xdr:blipFill rotWithShape="1">
            <a:blip xmlns:r="http://schemas.openxmlformats.org/officeDocument/2006/relationships" r:embed="rId2"/>
            <a:srcRect l="4410" t="-11539" b="-1"/>
            <a:stretch>
              <a:fillRect/>
            </a:stretch>
          </xdr:blipFill>
          <xdr:spPr bwMode="auto">
            <a:xfrm>
              <a:off x="47625" y="9839325"/>
              <a:ext cx="497650" cy="9842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0</xdr:colOff>
          <xdr:row>30</xdr:row>
          <xdr:rowOff>190500</xdr:rowOff>
        </xdr:from>
        <xdr:to>
          <xdr:col>22</xdr:col>
          <xdr:colOff>123975</xdr:colOff>
          <xdr:row>31</xdr:row>
          <xdr:rowOff>34925</xdr:rowOff>
        </xdr:to>
        <xdr:pic>
          <xdr:nvPicPr>
            <xdr:cNvPr id="76" name="Image 75">
              <a:extLst>
                <a:ext uri="{FF2B5EF4-FFF2-40B4-BE49-F238E27FC236}">
                  <a16:creationId xmlns:a16="http://schemas.microsoft.com/office/drawing/2014/main" id="{00000000-0008-0000-0200-00004C000000}"/>
                </a:ext>
              </a:extLst>
            </xdr:cNvPr>
            <xdr:cNvPicPr>
              <a:picLocks noChangeArrowheads="1"/>
              <a:extLst>
                <a:ext uri="{84589F7E-364E-4C9E-8A38-B11213B215E9}">
                  <a14:cameraTool cellRange="#REF!" spid="_x0000_s466543"/>
                </a:ext>
              </a:extLst>
            </xdr:cNvPicPr>
          </xdr:nvPicPr>
          <xdr:blipFill rotWithShape="1">
            <a:blip xmlns:r="http://schemas.openxmlformats.org/officeDocument/2006/relationships" r:embed="rId2"/>
            <a:srcRect l="4410" t="-11539" b="-1"/>
            <a:stretch>
              <a:fillRect/>
            </a:stretch>
          </xdr:blipFill>
          <xdr:spPr bwMode="auto">
            <a:xfrm>
              <a:off x="4171950" y="7797800"/>
              <a:ext cx="320825" cy="9842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xdr:from>
          <xdr:col>47</xdr:col>
          <xdr:colOff>9525</xdr:colOff>
          <xdr:row>12</xdr:row>
          <xdr:rowOff>0</xdr:rowOff>
        </xdr:from>
        <xdr:to>
          <xdr:col>47</xdr:col>
          <xdr:colOff>190500</xdr:colOff>
          <xdr:row>12</xdr:row>
          <xdr:rowOff>228600</xdr:rowOff>
        </xdr:to>
        <xdr:sp macro="" textlink="">
          <xdr:nvSpPr>
            <xdr:cNvPr id="47155" name="Spinner 51" hidden="1">
              <a:extLst>
                <a:ext uri="{63B3BB69-23CF-44E3-9099-C40C66FF867C}">
                  <a14:compatExt spid="_x0000_s47155"/>
                </a:ext>
                <a:ext uri="{FF2B5EF4-FFF2-40B4-BE49-F238E27FC236}">
                  <a16:creationId xmlns:a16="http://schemas.microsoft.com/office/drawing/2014/main" id="{00000000-0008-0000-0200-000033B8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47</xdr:col>
          <xdr:colOff>9525</xdr:colOff>
          <xdr:row>13</xdr:row>
          <xdr:rowOff>0</xdr:rowOff>
        </xdr:from>
        <xdr:to>
          <xdr:col>47</xdr:col>
          <xdr:colOff>190500</xdr:colOff>
          <xdr:row>13</xdr:row>
          <xdr:rowOff>228600</xdr:rowOff>
        </xdr:to>
        <xdr:sp macro="" textlink="">
          <xdr:nvSpPr>
            <xdr:cNvPr id="47156" name="Spinner 52" hidden="1">
              <a:extLst>
                <a:ext uri="{63B3BB69-23CF-44E3-9099-C40C66FF867C}">
                  <a14:compatExt spid="_x0000_s47156"/>
                </a:ext>
                <a:ext uri="{FF2B5EF4-FFF2-40B4-BE49-F238E27FC236}">
                  <a16:creationId xmlns:a16="http://schemas.microsoft.com/office/drawing/2014/main" id="{00000000-0008-0000-0200-000034B8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47</xdr:col>
          <xdr:colOff>9525</xdr:colOff>
          <xdr:row>14</xdr:row>
          <xdr:rowOff>0</xdr:rowOff>
        </xdr:from>
        <xdr:to>
          <xdr:col>47</xdr:col>
          <xdr:colOff>190500</xdr:colOff>
          <xdr:row>14</xdr:row>
          <xdr:rowOff>228600</xdr:rowOff>
        </xdr:to>
        <xdr:sp macro="" textlink="">
          <xdr:nvSpPr>
            <xdr:cNvPr id="47157" name="Spinner 53" hidden="1">
              <a:extLst>
                <a:ext uri="{63B3BB69-23CF-44E3-9099-C40C66FF867C}">
                  <a14:compatExt spid="_x0000_s47157"/>
                </a:ext>
                <a:ext uri="{FF2B5EF4-FFF2-40B4-BE49-F238E27FC236}">
                  <a16:creationId xmlns:a16="http://schemas.microsoft.com/office/drawing/2014/main" id="{00000000-0008-0000-0200-000035B8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47</xdr:col>
          <xdr:colOff>9525</xdr:colOff>
          <xdr:row>15</xdr:row>
          <xdr:rowOff>0</xdr:rowOff>
        </xdr:from>
        <xdr:to>
          <xdr:col>47</xdr:col>
          <xdr:colOff>190500</xdr:colOff>
          <xdr:row>15</xdr:row>
          <xdr:rowOff>228600</xdr:rowOff>
        </xdr:to>
        <xdr:sp macro="" textlink="">
          <xdr:nvSpPr>
            <xdr:cNvPr id="47158" name="Spinner 54" hidden="1">
              <a:extLst>
                <a:ext uri="{63B3BB69-23CF-44E3-9099-C40C66FF867C}">
                  <a14:compatExt spid="_x0000_s47158"/>
                </a:ext>
                <a:ext uri="{FF2B5EF4-FFF2-40B4-BE49-F238E27FC236}">
                  <a16:creationId xmlns:a16="http://schemas.microsoft.com/office/drawing/2014/main" id="{00000000-0008-0000-0200-000036B8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47</xdr:col>
          <xdr:colOff>9525</xdr:colOff>
          <xdr:row>16</xdr:row>
          <xdr:rowOff>0</xdr:rowOff>
        </xdr:from>
        <xdr:to>
          <xdr:col>47</xdr:col>
          <xdr:colOff>190500</xdr:colOff>
          <xdr:row>16</xdr:row>
          <xdr:rowOff>228600</xdr:rowOff>
        </xdr:to>
        <xdr:sp macro="" textlink="">
          <xdr:nvSpPr>
            <xdr:cNvPr id="47159" name="Spinner 55" hidden="1">
              <a:extLst>
                <a:ext uri="{63B3BB69-23CF-44E3-9099-C40C66FF867C}">
                  <a14:compatExt spid="_x0000_s47159"/>
                </a:ext>
                <a:ext uri="{FF2B5EF4-FFF2-40B4-BE49-F238E27FC236}">
                  <a16:creationId xmlns:a16="http://schemas.microsoft.com/office/drawing/2014/main" id="{00000000-0008-0000-0200-000037B8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47</xdr:col>
          <xdr:colOff>9525</xdr:colOff>
          <xdr:row>17</xdr:row>
          <xdr:rowOff>0</xdr:rowOff>
        </xdr:from>
        <xdr:to>
          <xdr:col>47</xdr:col>
          <xdr:colOff>190500</xdr:colOff>
          <xdr:row>17</xdr:row>
          <xdr:rowOff>228600</xdr:rowOff>
        </xdr:to>
        <xdr:sp macro="" textlink="">
          <xdr:nvSpPr>
            <xdr:cNvPr id="47160" name="Spinner 56" hidden="1">
              <a:extLst>
                <a:ext uri="{63B3BB69-23CF-44E3-9099-C40C66FF867C}">
                  <a14:compatExt spid="_x0000_s47160"/>
                </a:ext>
                <a:ext uri="{FF2B5EF4-FFF2-40B4-BE49-F238E27FC236}">
                  <a16:creationId xmlns:a16="http://schemas.microsoft.com/office/drawing/2014/main" id="{00000000-0008-0000-0200-000038B8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47</xdr:col>
          <xdr:colOff>9525</xdr:colOff>
          <xdr:row>18</xdr:row>
          <xdr:rowOff>0</xdr:rowOff>
        </xdr:from>
        <xdr:to>
          <xdr:col>47</xdr:col>
          <xdr:colOff>190500</xdr:colOff>
          <xdr:row>18</xdr:row>
          <xdr:rowOff>228600</xdr:rowOff>
        </xdr:to>
        <xdr:sp macro="" textlink="">
          <xdr:nvSpPr>
            <xdr:cNvPr id="47161" name="Spinner 57" hidden="1">
              <a:extLst>
                <a:ext uri="{63B3BB69-23CF-44E3-9099-C40C66FF867C}">
                  <a14:compatExt spid="_x0000_s47161"/>
                </a:ext>
                <a:ext uri="{FF2B5EF4-FFF2-40B4-BE49-F238E27FC236}">
                  <a16:creationId xmlns:a16="http://schemas.microsoft.com/office/drawing/2014/main" id="{00000000-0008-0000-0200-000039B8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47</xdr:col>
          <xdr:colOff>9525</xdr:colOff>
          <xdr:row>19</xdr:row>
          <xdr:rowOff>0</xdr:rowOff>
        </xdr:from>
        <xdr:to>
          <xdr:col>47</xdr:col>
          <xdr:colOff>190500</xdr:colOff>
          <xdr:row>19</xdr:row>
          <xdr:rowOff>228600</xdr:rowOff>
        </xdr:to>
        <xdr:sp macro="" textlink="">
          <xdr:nvSpPr>
            <xdr:cNvPr id="47162" name="Spinner 58" hidden="1">
              <a:extLst>
                <a:ext uri="{63B3BB69-23CF-44E3-9099-C40C66FF867C}">
                  <a14:compatExt spid="_x0000_s47162"/>
                </a:ext>
                <a:ext uri="{FF2B5EF4-FFF2-40B4-BE49-F238E27FC236}">
                  <a16:creationId xmlns:a16="http://schemas.microsoft.com/office/drawing/2014/main" id="{00000000-0008-0000-0200-00003AB8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47</xdr:col>
          <xdr:colOff>9525</xdr:colOff>
          <xdr:row>20</xdr:row>
          <xdr:rowOff>0</xdr:rowOff>
        </xdr:from>
        <xdr:to>
          <xdr:col>47</xdr:col>
          <xdr:colOff>190500</xdr:colOff>
          <xdr:row>20</xdr:row>
          <xdr:rowOff>228600</xdr:rowOff>
        </xdr:to>
        <xdr:sp macro="" textlink="">
          <xdr:nvSpPr>
            <xdr:cNvPr id="47163" name="Spinner 59" hidden="1">
              <a:extLst>
                <a:ext uri="{63B3BB69-23CF-44E3-9099-C40C66FF867C}">
                  <a14:compatExt spid="_x0000_s47163"/>
                </a:ext>
                <a:ext uri="{FF2B5EF4-FFF2-40B4-BE49-F238E27FC236}">
                  <a16:creationId xmlns:a16="http://schemas.microsoft.com/office/drawing/2014/main" id="{00000000-0008-0000-0200-00003BB8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47</xdr:col>
          <xdr:colOff>9525</xdr:colOff>
          <xdr:row>21</xdr:row>
          <xdr:rowOff>0</xdr:rowOff>
        </xdr:from>
        <xdr:to>
          <xdr:col>47</xdr:col>
          <xdr:colOff>190500</xdr:colOff>
          <xdr:row>21</xdr:row>
          <xdr:rowOff>228600</xdr:rowOff>
        </xdr:to>
        <xdr:sp macro="" textlink="">
          <xdr:nvSpPr>
            <xdr:cNvPr id="47164" name="Spinner 60" hidden="1">
              <a:extLst>
                <a:ext uri="{63B3BB69-23CF-44E3-9099-C40C66FF867C}">
                  <a14:compatExt spid="_x0000_s47164"/>
                </a:ext>
                <a:ext uri="{FF2B5EF4-FFF2-40B4-BE49-F238E27FC236}">
                  <a16:creationId xmlns:a16="http://schemas.microsoft.com/office/drawing/2014/main" id="{00000000-0008-0000-0200-00003CB8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47</xdr:col>
          <xdr:colOff>9525</xdr:colOff>
          <xdr:row>22</xdr:row>
          <xdr:rowOff>0</xdr:rowOff>
        </xdr:from>
        <xdr:to>
          <xdr:col>47</xdr:col>
          <xdr:colOff>190500</xdr:colOff>
          <xdr:row>22</xdr:row>
          <xdr:rowOff>228600</xdr:rowOff>
        </xdr:to>
        <xdr:sp macro="" textlink="">
          <xdr:nvSpPr>
            <xdr:cNvPr id="47165" name="Spinner 61" hidden="1">
              <a:extLst>
                <a:ext uri="{63B3BB69-23CF-44E3-9099-C40C66FF867C}">
                  <a14:compatExt spid="_x0000_s47165"/>
                </a:ext>
                <a:ext uri="{FF2B5EF4-FFF2-40B4-BE49-F238E27FC236}">
                  <a16:creationId xmlns:a16="http://schemas.microsoft.com/office/drawing/2014/main" id="{00000000-0008-0000-0200-00003DB8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47</xdr:col>
          <xdr:colOff>9525</xdr:colOff>
          <xdr:row>23</xdr:row>
          <xdr:rowOff>0</xdr:rowOff>
        </xdr:from>
        <xdr:to>
          <xdr:col>47</xdr:col>
          <xdr:colOff>190500</xdr:colOff>
          <xdr:row>23</xdr:row>
          <xdr:rowOff>228600</xdr:rowOff>
        </xdr:to>
        <xdr:sp macro="" textlink="">
          <xdr:nvSpPr>
            <xdr:cNvPr id="47166" name="Spinner 62" hidden="1">
              <a:extLst>
                <a:ext uri="{63B3BB69-23CF-44E3-9099-C40C66FF867C}">
                  <a14:compatExt spid="_x0000_s47166"/>
                </a:ext>
                <a:ext uri="{FF2B5EF4-FFF2-40B4-BE49-F238E27FC236}">
                  <a16:creationId xmlns:a16="http://schemas.microsoft.com/office/drawing/2014/main" id="{00000000-0008-0000-0200-00003EB8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47</xdr:col>
          <xdr:colOff>9525</xdr:colOff>
          <xdr:row>24</xdr:row>
          <xdr:rowOff>0</xdr:rowOff>
        </xdr:from>
        <xdr:to>
          <xdr:col>47</xdr:col>
          <xdr:colOff>190500</xdr:colOff>
          <xdr:row>24</xdr:row>
          <xdr:rowOff>228600</xdr:rowOff>
        </xdr:to>
        <xdr:sp macro="" textlink="">
          <xdr:nvSpPr>
            <xdr:cNvPr id="47167" name="Spinner 63" hidden="1">
              <a:extLst>
                <a:ext uri="{63B3BB69-23CF-44E3-9099-C40C66FF867C}">
                  <a14:compatExt spid="_x0000_s47167"/>
                </a:ext>
                <a:ext uri="{FF2B5EF4-FFF2-40B4-BE49-F238E27FC236}">
                  <a16:creationId xmlns:a16="http://schemas.microsoft.com/office/drawing/2014/main" id="{00000000-0008-0000-0200-00003FB8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47</xdr:col>
          <xdr:colOff>9525</xdr:colOff>
          <xdr:row>25</xdr:row>
          <xdr:rowOff>0</xdr:rowOff>
        </xdr:from>
        <xdr:to>
          <xdr:col>47</xdr:col>
          <xdr:colOff>190500</xdr:colOff>
          <xdr:row>25</xdr:row>
          <xdr:rowOff>228600</xdr:rowOff>
        </xdr:to>
        <xdr:sp macro="" textlink="">
          <xdr:nvSpPr>
            <xdr:cNvPr id="47168" name="Spinner 64" hidden="1">
              <a:extLst>
                <a:ext uri="{63B3BB69-23CF-44E3-9099-C40C66FF867C}">
                  <a14:compatExt spid="_x0000_s47168"/>
                </a:ext>
                <a:ext uri="{FF2B5EF4-FFF2-40B4-BE49-F238E27FC236}">
                  <a16:creationId xmlns:a16="http://schemas.microsoft.com/office/drawing/2014/main" id="{00000000-0008-0000-0200-000040B8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47</xdr:col>
          <xdr:colOff>9525</xdr:colOff>
          <xdr:row>26</xdr:row>
          <xdr:rowOff>0</xdr:rowOff>
        </xdr:from>
        <xdr:to>
          <xdr:col>47</xdr:col>
          <xdr:colOff>190500</xdr:colOff>
          <xdr:row>26</xdr:row>
          <xdr:rowOff>228600</xdr:rowOff>
        </xdr:to>
        <xdr:sp macro="" textlink="">
          <xdr:nvSpPr>
            <xdr:cNvPr id="47169" name="Spinner 65" hidden="1">
              <a:extLst>
                <a:ext uri="{63B3BB69-23CF-44E3-9099-C40C66FF867C}">
                  <a14:compatExt spid="_x0000_s47169"/>
                </a:ext>
                <a:ext uri="{FF2B5EF4-FFF2-40B4-BE49-F238E27FC236}">
                  <a16:creationId xmlns:a16="http://schemas.microsoft.com/office/drawing/2014/main" id="{00000000-0008-0000-0200-000041B8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47</xdr:col>
          <xdr:colOff>9525</xdr:colOff>
          <xdr:row>27</xdr:row>
          <xdr:rowOff>0</xdr:rowOff>
        </xdr:from>
        <xdr:to>
          <xdr:col>47</xdr:col>
          <xdr:colOff>190500</xdr:colOff>
          <xdr:row>27</xdr:row>
          <xdr:rowOff>228600</xdr:rowOff>
        </xdr:to>
        <xdr:sp macro="" textlink="">
          <xdr:nvSpPr>
            <xdr:cNvPr id="47170" name="Spinner 66" hidden="1">
              <a:extLst>
                <a:ext uri="{63B3BB69-23CF-44E3-9099-C40C66FF867C}">
                  <a14:compatExt spid="_x0000_s47170"/>
                </a:ext>
                <a:ext uri="{FF2B5EF4-FFF2-40B4-BE49-F238E27FC236}">
                  <a16:creationId xmlns:a16="http://schemas.microsoft.com/office/drawing/2014/main" id="{00000000-0008-0000-0200-000042B8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47</xdr:col>
          <xdr:colOff>9525</xdr:colOff>
          <xdr:row>28</xdr:row>
          <xdr:rowOff>0</xdr:rowOff>
        </xdr:from>
        <xdr:to>
          <xdr:col>47</xdr:col>
          <xdr:colOff>190500</xdr:colOff>
          <xdr:row>28</xdr:row>
          <xdr:rowOff>228600</xdr:rowOff>
        </xdr:to>
        <xdr:sp macro="" textlink="">
          <xdr:nvSpPr>
            <xdr:cNvPr id="47171" name="Spinner 67" hidden="1">
              <a:extLst>
                <a:ext uri="{63B3BB69-23CF-44E3-9099-C40C66FF867C}">
                  <a14:compatExt spid="_x0000_s47171"/>
                </a:ext>
                <a:ext uri="{FF2B5EF4-FFF2-40B4-BE49-F238E27FC236}">
                  <a16:creationId xmlns:a16="http://schemas.microsoft.com/office/drawing/2014/main" id="{00000000-0008-0000-0200-000043B8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47</xdr:col>
          <xdr:colOff>9525</xdr:colOff>
          <xdr:row>29</xdr:row>
          <xdr:rowOff>0</xdr:rowOff>
        </xdr:from>
        <xdr:to>
          <xdr:col>47</xdr:col>
          <xdr:colOff>190500</xdr:colOff>
          <xdr:row>29</xdr:row>
          <xdr:rowOff>228600</xdr:rowOff>
        </xdr:to>
        <xdr:sp macro="" textlink="">
          <xdr:nvSpPr>
            <xdr:cNvPr id="47172" name="Spinner 68" hidden="1">
              <a:extLst>
                <a:ext uri="{63B3BB69-23CF-44E3-9099-C40C66FF867C}">
                  <a14:compatExt spid="_x0000_s47172"/>
                </a:ext>
                <a:ext uri="{FF2B5EF4-FFF2-40B4-BE49-F238E27FC236}">
                  <a16:creationId xmlns:a16="http://schemas.microsoft.com/office/drawing/2014/main" id="{00000000-0008-0000-0200-000044B8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47</xdr:col>
          <xdr:colOff>9525</xdr:colOff>
          <xdr:row>30</xdr:row>
          <xdr:rowOff>0</xdr:rowOff>
        </xdr:from>
        <xdr:to>
          <xdr:col>47</xdr:col>
          <xdr:colOff>190500</xdr:colOff>
          <xdr:row>30</xdr:row>
          <xdr:rowOff>228600</xdr:rowOff>
        </xdr:to>
        <xdr:sp macro="" textlink="">
          <xdr:nvSpPr>
            <xdr:cNvPr id="47173" name="Spinner 69" hidden="1">
              <a:extLst>
                <a:ext uri="{63B3BB69-23CF-44E3-9099-C40C66FF867C}">
                  <a14:compatExt spid="_x0000_s47173"/>
                </a:ext>
                <a:ext uri="{FF2B5EF4-FFF2-40B4-BE49-F238E27FC236}">
                  <a16:creationId xmlns:a16="http://schemas.microsoft.com/office/drawing/2014/main" id="{00000000-0008-0000-0200-000045B8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47</xdr:col>
          <xdr:colOff>9525</xdr:colOff>
          <xdr:row>31</xdr:row>
          <xdr:rowOff>0</xdr:rowOff>
        </xdr:from>
        <xdr:to>
          <xdr:col>47</xdr:col>
          <xdr:colOff>190500</xdr:colOff>
          <xdr:row>31</xdr:row>
          <xdr:rowOff>228600</xdr:rowOff>
        </xdr:to>
        <xdr:sp macro="" textlink="">
          <xdr:nvSpPr>
            <xdr:cNvPr id="47174" name="Spinner 70" hidden="1">
              <a:extLst>
                <a:ext uri="{63B3BB69-23CF-44E3-9099-C40C66FF867C}">
                  <a14:compatExt spid="_x0000_s47174"/>
                </a:ext>
                <a:ext uri="{FF2B5EF4-FFF2-40B4-BE49-F238E27FC236}">
                  <a16:creationId xmlns:a16="http://schemas.microsoft.com/office/drawing/2014/main" id="{00000000-0008-0000-0200-000046B8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47</xdr:col>
          <xdr:colOff>9525</xdr:colOff>
          <xdr:row>32</xdr:row>
          <xdr:rowOff>0</xdr:rowOff>
        </xdr:from>
        <xdr:to>
          <xdr:col>47</xdr:col>
          <xdr:colOff>190500</xdr:colOff>
          <xdr:row>32</xdr:row>
          <xdr:rowOff>228600</xdr:rowOff>
        </xdr:to>
        <xdr:sp macro="" textlink="">
          <xdr:nvSpPr>
            <xdr:cNvPr id="47175" name="Spinner 71" hidden="1">
              <a:extLst>
                <a:ext uri="{63B3BB69-23CF-44E3-9099-C40C66FF867C}">
                  <a14:compatExt spid="_x0000_s47175"/>
                </a:ext>
                <a:ext uri="{FF2B5EF4-FFF2-40B4-BE49-F238E27FC236}">
                  <a16:creationId xmlns:a16="http://schemas.microsoft.com/office/drawing/2014/main" id="{00000000-0008-0000-0200-000047B8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47</xdr:col>
          <xdr:colOff>9525</xdr:colOff>
          <xdr:row>33</xdr:row>
          <xdr:rowOff>0</xdr:rowOff>
        </xdr:from>
        <xdr:to>
          <xdr:col>47</xdr:col>
          <xdr:colOff>190500</xdr:colOff>
          <xdr:row>33</xdr:row>
          <xdr:rowOff>228600</xdr:rowOff>
        </xdr:to>
        <xdr:sp macro="" textlink="">
          <xdr:nvSpPr>
            <xdr:cNvPr id="47176" name="Spinner 72" hidden="1">
              <a:extLst>
                <a:ext uri="{63B3BB69-23CF-44E3-9099-C40C66FF867C}">
                  <a14:compatExt spid="_x0000_s47176"/>
                </a:ext>
                <a:ext uri="{FF2B5EF4-FFF2-40B4-BE49-F238E27FC236}">
                  <a16:creationId xmlns:a16="http://schemas.microsoft.com/office/drawing/2014/main" id="{00000000-0008-0000-0200-000048B8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161925</xdr:colOff>
          <xdr:row>41</xdr:row>
          <xdr:rowOff>19050</xdr:rowOff>
        </xdr:from>
        <xdr:to>
          <xdr:col>13</xdr:col>
          <xdr:colOff>180975</xdr:colOff>
          <xdr:row>42</xdr:row>
          <xdr:rowOff>0</xdr:rowOff>
        </xdr:to>
        <xdr:sp macro="" textlink="">
          <xdr:nvSpPr>
            <xdr:cNvPr id="47227" name="Check Box 123" hidden="1">
              <a:extLst>
                <a:ext uri="{63B3BB69-23CF-44E3-9099-C40C66FF867C}">
                  <a14:compatExt spid="_x0000_s47227"/>
                </a:ext>
                <a:ext uri="{FF2B5EF4-FFF2-40B4-BE49-F238E27FC236}">
                  <a16:creationId xmlns:a16="http://schemas.microsoft.com/office/drawing/2014/main" id="{00000000-0008-0000-0200-00007BB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161925</xdr:colOff>
          <xdr:row>42</xdr:row>
          <xdr:rowOff>9525</xdr:rowOff>
        </xdr:from>
        <xdr:to>
          <xdr:col>13</xdr:col>
          <xdr:colOff>180975</xdr:colOff>
          <xdr:row>43</xdr:row>
          <xdr:rowOff>0</xdr:rowOff>
        </xdr:to>
        <xdr:sp macro="" textlink="">
          <xdr:nvSpPr>
            <xdr:cNvPr id="47228" name="Check Box 124" hidden="1">
              <a:extLst>
                <a:ext uri="{63B3BB69-23CF-44E3-9099-C40C66FF867C}">
                  <a14:compatExt spid="_x0000_s47228"/>
                </a:ext>
                <a:ext uri="{FF2B5EF4-FFF2-40B4-BE49-F238E27FC236}">
                  <a16:creationId xmlns:a16="http://schemas.microsoft.com/office/drawing/2014/main" id="{00000000-0008-0000-0200-00007CB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oneCellAnchor>
        <xdr:from>
          <xdr:col>0</xdr:col>
          <xdr:colOff>57150</xdr:colOff>
          <xdr:row>114</xdr:row>
          <xdr:rowOff>200025</xdr:rowOff>
        </xdr:from>
        <xdr:ext cx="4129500" cy="92075"/>
        <xdr:pic>
          <xdr:nvPicPr>
            <xdr:cNvPr id="157" name="Image 156">
              <a:extLst>
                <a:ext uri="{FF2B5EF4-FFF2-40B4-BE49-F238E27FC236}">
                  <a16:creationId xmlns:a16="http://schemas.microsoft.com/office/drawing/2014/main" id="{00000000-0008-0000-0200-00009D000000}"/>
                </a:ext>
              </a:extLst>
            </xdr:cNvPr>
            <xdr:cNvPicPr>
              <a:picLocks noChangeArrowheads="1"/>
              <a:extLst>
                <a:ext uri="{84589F7E-364E-4C9E-8A38-B11213B215E9}">
                  <a14:cameraTool cellRange="#REF!" spid="_x0000_s466544"/>
                </a:ext>
              </a:extLst>
            </xdr:cNvPicPr>
          </xdr:nvPicPr>
          <xdr:blipFill rotWithShape="1">
            <a:blip xmlns:r="http://schemas.openxmlformats.org/officeDocument/2006/relationships" r:embed="rId2"/>
            <a:srcRect l="4410" t="-11539" b="-1"/>
            <a:stretch>
              <a:fillRect/>
            </a:stretch>
          </xdr:blipFill>
          <xdr:spPr bwMode="auto">
            <a:xfrm>
              <a:off x="57150" y="31683325"/>
              <a:ext cx="4129500" cy="92075"/>
            </a:xfrm>
            <a:prstGeom prst="rect">
              <a:avLst/>
            </a:prstGeom>
            <a:noFill/>
            <a:extLst>
              <a:ext uri="{909E8E84-426E-40DD-AFC4-6F175D3DCCD1}">
                <a14:hiddenFill>
                  <a:solidFill>
                    <a:srgbClr val="FFFFFF"/>
                  </a:solidFill>
                </a14:hiddenFill>
              </a:ext>
            </a:extLst>
          </xdr:spPr>
        </xdr:pic>
        <xdr:clientData/>
      </xdr:oneCellAnchor>
    </mc:Choice>
    <mc:Fallback/>
  </mc:AlternateContent>
  <mc:AlternateContent xmlns:mc="http://schemas.openxmlformats.org/markup-compatibility/2006">
    <mc:Choice xmlns:a14="http://schemas.microsoft.com/office/drawing/2010/main" Requires="a14">
      <xdr:oneCellAnchor>
        <xdr:from>
          <xdr:col>26</xdr:col>
          <xdr:colOff>38100</xdr:colOff>
          <xdr:row>114</xdr:row>
          <xdr:rowOff>209550</xdr:rowOff>
        </xdr:from>
        <xdr:ext cx="4932000" cy="92075"/>
        <xdr:pic>
          <xdr:nvPicPr>
            <xdr:cNvPr id="158" name="Image 157">
              <a:extLst>
                <a:ext uri="{FF2B5EF4-FFF2-40B4-BE49-F238E27FC236}">
                  <a16:creationId xmlns:a16="http://schemas.microsoft.com/office/drawing/2014/main" id="{00000000-0008-0000-0200-00009E000000}"/>
                </a:ext>
              </a:extLst>
            </xdr:cNvPr>
            <xdr:cNvPicPr>
              <a:picLocks noChangeArrowheads="1"/>
              <a:extLst>
                <a:ext uri="{84589F7E-364E-4C9E-8A38-B11213B215E9}">
                  <a14:cameraTool cellRange="#REF!" spid="_x0000_s466545"/>
                </a:ext>
              </a:extLst>
            </xdr:cNvPicPr>
          </xdr:nvPicPr>
          <xdr:blipFill rotWithShape="1">
            <a:blip xmlns:r="http://schemas.openxmlformats.org/officeDocument/2006/relationships" r:embed="rId2"/>
            <a:srcRect l="4410" t="-11539" b="-1"/>
            <a:stretch>
              <a:fillRect/>
            </a:stretch>
          </xdr:blipFill>
          <xdr:spPr bwMode="auto">
            <a:xfrm>
              <a:off x="5194300" y="31692850"/>
              <a:ext cx="4932000" cy="92075"/>
            </a:xfrm>
            <a:prstGeom prst="rect">
              <a:avLst/>
            </a:prstGeom>
            <a:noFill/>
            <a:extLst>
              <a:ext uri="{909E8E84-426E-40DD-AFC4-6F175D3DCCD1}">
                <a14:hiddenFill>
                  <a:solidFill>
                    <a:srgbClr val="FFFFFF"/>
                  </a:solidFill>
                </a14:hiddenFill>
              </a:ext>
            </a:extLst>
          </xdr:spPr>
        </xdr:pic>
        <xdr:clientData/>
      </xdr:oneCellAnchor>
    </mc:Choice>
    <mc:Fallback/>
  </mc:AlternateContent>
  <mc:AlternateContent xmlns:mc="http://schemas.openxmlformats.org/markup-compatibility/2006">
    <mc:Choice xmlns:a14="http://schemas.microsoft.com/office/drawing/2010/main" Requires="a14">
      <xdr:oneCellAnchor>
        <xdr:from>
          <xdr:col>0</xdr:col>
          <xdr:colOff>57150</xdr:colOff>
          <xdr:row>88</xdr:row>
          <xdr:rowOff>200025</xdr:rowOff>
        </xdr:from>
        <xdr:ext cx="4572000" cy="92075"/>
        <xdr:pic>
          <xdr:nvPicPr>
            <xdr:cNvPr id="160" name="Image 159">
              <a:extLst>
                <a:ext uri="{FF2B5EF4-FFF2-40B4-BE49-F238E27FC236}">
                  <a16:creationId xmlns:a16="http://schemas.microsoft.com/office/drawing/2014/main" id="{00000000-0008-0000-0200-0000A0000000}"/>
                </a:ext>
              </a:extLst>
            </xdr:cNvPr>
            <xdr:cNvPicPr>
              <a:picLocks noChangeArrowheads="1"/>
              <a:extLst>
                <a:ext uri="{84589F7E-364E-4C9E-8A38-B11213B215E9}">
                  <a14:cameraTool cellRange="#REF!" spid="_x0000_s466546"/>
                </a:ext>
              </a:extLst>
            </xdr:cNvPicPr>
          </xdr:nvPicPr>
          <xdr:blipFill rotWithShape="1">
            <a:blip xmlns:r="http://schemas.openxmlformats.org/officeDocument/2006/relationships" r:embed="rId2"/>
            <a:srcRect l="4410" t="-11539" b="-1"/>
            <a:stretch>
              <a:fillRect/>
            </a:stretch>
          </xdr:blipFill>
          <xdr:spPr bwMode="auto">
            <a:xfrm>
              <a:off x="57150" y="23809325"/>
              <a:ext cx="4572000" cy="92075"/>
            </a:xfrm>
            <a:prstGeom prst="rect">
              <a:avLst/>
            </a:prstGeom>
            <a:noFill/>
            <a:extLst>
              <a:ext uri="{909E8E84-426E-40DD-AFC4-6F175D3DCCD1}">
                <a14:hiddenFill>
                  <a:solidFill>
                    <a:srgbClr val="FFFFFF"/>
                  </a:solidFill>
                </a14:hiddenFill>
              </a:ext>
            </a:extLst>
          </xdr:spPr>
        </xdr:pic>
        <xdr:clientData/>
      </xdr:oneCellAnchor>
    </mc:Choice>
    <mc:Fallback/>
  </mc:AlternateContent>
  <mc:AlternateContent xmlns:mc="http://schemas.openxmlformats.org/markup-compatibility/2006">
    <mc:Choice xmlns:a14="http://schemas.microsoft.com/office/drawing/2010/main" Requires="a14">
      <xdr:oneCellAnchor>
        <xdr:from>
          <xdr:col>27</xdr:col>
          <xdr:colOff>171450</xdr:colOff>
          <xdr:row>88</xdr:row>
          <xdr:rowOff>200025</xdr:rowOff>
        </xdr:from>
        <xdr:ext cx="4608000" cy="92075"/>
        <xdr:pic>
          <xdr:nvPicPr>
            <xdr:cNvPr id="161" name="Image 160">
              <a:extLst>
                <a:ext uri="{FF2B5EF4-FFF2-40B4-BE49-F238E27FC236}">
                  <a16:creationId xmlns:a16="http://schemas.microsoft.com/office/drawing/2014/main" id="{00000000-0008-0000-0200-0000A1000000}"/>
                </a:ext>
              </a:extLst>
            </xdr:cNvPr>
            <xdr:cNvPicPr>
              <a:picLocks noChangeArrowheads="1"/>
              <a:extLst>
                <a:ext uri="{84589F7E-364E-4C9E-8A38-B11213B215E9}">
                  <a14:cameraTool cellRange="#REF!" spid="_x0000_s466547"/>
                </a:ext>
              </a:extLst>
            </xdr:cNvPicPr>
          </xdr:nvPicPr>
          <xdr:blipFill rotWithShape="1">
            <a:blip xmlns:r="http://schemas.openxmlformats.org/officeDocument/2006/relationships" r:embed="rId2"/>
            <a:srcRect l="4410" t="-11539" b="-1"/>
            <a:stretch>
              <a:fillRect/>
            </a:stretch>
          </xdr:blipFill>
          <xdr:spPr bwMode="auto">
            <a:xfrm>
              <a:off x="5524500" y="23809325"/>
              <a:ext cx="4608000" cy="92075"/>
            </a:xfrm>
            <a:prstGeom prst="rect">
              <a:avLst/>
            </a:prstGeom>
            <a:noFill/>
            <a:extLst>
              <a:ext uri="{909E8E84-426E-40DD-AFC4-6F175D3DCCD1}">
                <a14:hiddenFill>
                  <a:solidFill>
                    <a:srgbClr val="FFFFFF"/>
                  </a:solidFill>
                </a14:hiddenFill>
              </a:ext>
            </a:extLst>
          </xdr:spPr>
        </xdr:pic>
        <xdr:clientData/>
      </xdr:oneCellAnchor>
    </mc:Choice>
    <mc:Fallback/>
  </mc:AlternateContent>
  <mc:AlternateContent xmlns:mc="http://schemas.openxmlformats.org/markup-compatibility/2006">
    <mc:Choice xmlns:a14="http://schemas.microsoft.com/office/drawing/2010/main" Requires="a14">
      <xdr:oneCellAnchor>
        <xdr:from>
          <xdr:col>0</xdr:col>
          <xdr:colOff>57150</xdr:colOff>
          <xdr:row>105</xdr:row>
          <xdr:rowOff>200025</xdr:rowOff>
        </xdr:from>
        <xdr:ext cx="4464000" cy="92075"/>
        <xdr:pic>
          <xdr:nvPicPr>
            <xdr:cNvPr id="162" name="Image 161">
              <a:extLst>
                <a:ext uri="{FF2B5EF4-FFF2-40B4-BE49-F238E27FC236}">
                  <a16:creationId xmlns:a16="http://schemas.microsoft.com/office/drawing/2014/main" id="{00000000-0008-0000-0200-0000A2000000}"/>
                </a:ext>
              </a:extLst>
            </xdr:cNvPr>
            <xdr:cNvPicPr>
              <a:picLocks noChangeArrowheads="1"/>
              <a:extLst>
                <a:ext uri="{84589F7E-364E-4C9E-8A38-B11213B215E9}">
                  <a14:cameraTool cellRange="#REF!" spid="_x0000_s466548"/>
                </a:ext>
              </a:extLst>
            </xdr:cNvPicPr>
          </xdr:nvPicPr>
          <xdr:blipFill rotWithShape="1">
            <a:blip xmlns:r="http://schemas.openxmlformats.org/officeDocument/2006/relationships" r:embed="rId2"/>
            <a:srcRect l="4410" t="-11539" b="-1"/>
            <a:stretch>
              <a:fillRect/>
            </a:stretch>
          </xdr:blipFill>
          <xdr:spPr bwMode="auto">
            <a:xfrm>
              <a:off x="57150" y="28127325"/>
              <a:ext cx="4464000" cy="92075"/>
            </a:xfrm>
            <a:prstGeom prst="rect">
              <a:avLst/>
            </a:prstGeom>
            <a:noFill/>
            <a:extLst>
              <a:ext uri="{909E8E84-426E-40DD-AFC4-6F175D3DCCD1}">
                <a14:hiddenFill>
                  <a:solidFill>
                    <a:srgbClr val="FFFFFF"/>
                  </a:solidFill>
                </a14:hiddenFill>
              </a:ext>
            </a:extLst>
          </xdr:spPr>
        </xdr:pic>
        <xdr:clientData/>
      </xdr:oneCellAnchor>
    </mc:Choice>
    <mc:Fallback/>
  </mc:AlternateContent>
  <mc:AlternateContent xmlns:mc="http://schemas.openxmlformats.org/markup-compatibility/2006">
    <mc:Choice xmlns:a14="http://schemas.microsoft.com/office/drawing/2010/main" Requires="a14">
      <xdr:oneCellAnchor>
        <xdr:from>
          <xdr:col>28</xdr:col>
          <xdr:colOff>57150</xdr:colOff>
          <xdr:row>105</xdr:row>
          <xdr:rowOff>209550</xdr:rowOff>
        </xdr:from>
        <xdr:ext cx="4536000" cy="92075"/>
        <xdr:pic>
          <xdr:nvPicPr>
            <xdr:cNvPr id="163" name="Image 162">
              <a:extLst>
                <a:ext uri="{FF2B5EF4-FFF2-40B4-BE49-F238E27FC236}">
                  <a16:creationId xmlns:a16="http://schemas.microsoft.com/office/drawing/2014/main" id="{00000000-0008-0000-0200-0000A3000000}"/>
                </a:ext>
              </a:extLst>
            </xdr:cNvPr>
            <xdr:cNvPicPr>
              <a:picLocks noChangeArrowheads="1"/>
              <a:extLst>
                <a:ext uri="{84589F7E-364E-4C9E-8A38-B11213B215E9}">
                  <a14:cameraTool cellRange="#REF!" spid="_x0000_s466549"/>
                </a:ext>
              </a:extLst>
            </xdr:cNvPicPr>
          </xdr:nvPicPr>
          <xdr:blipFill rotWithShape="1">
            <a:blip xmlns:r="http://schemas.openxmlformats.org/officeDocument/2006/relationships" r:embed="rId2"/>
            <a:srcRect l="4410" t="-11539" b="-1"/>
            <a:stretch>
              <a:fillRect/>
            </a:stretch>
          </xdr:blipFill>
          <xdr:spPr bwMode="auto">
            <a:xfrm>
              <a:off x="5607050" y="28136850"/>
              <a:ext cx="4536000" cy="92075"/>
            </a:xfrm>
            <a:prstGeom prst="rect">
              <a:avLst/>
            </a:prstGeom>
            <a:noFill/>
            <a:extLst>
              <a:ext uri="{909E8E84-426E-40DD-AFC4-6F175D3DCCD1}">
                <a14:hiddenFill>
                  <a:solidFill>
                    <a:srgbClr val="FFFFFF"/>
                  </a:solidFill>
                </a14:hiddenFill>
              </a:ext>
            </a:extLst>
          </xdr:spPr>
        </xdr:pic>
        <xdr:clientData/>
      </xdr:one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50</xdr:row>
          <xdr:rowOff>92075</xdr:rowOff>
        </xdr:from>
        <xdr:to>
          <xdr:col>19</xdr:col>
          <xdr:colOff>14500</xdr:colOff>
          <xdr:row>50</xdr:row>
          <xdr:rowOff>190500</xdr:rowOff>
        </xdr:to>
        <xdr:pic>
          <xdr:nvPicPr>
            <xdr:cNvPr id="164" name="Image 163">
              <a:extLst>
                <a:ext uri="{FF2B5EF4-FFF2-40B4-BE49-F238E27FC236}">
                  <a16:creationId xmlns:a16="http://schemas.microsoft.com/office/drawing/2014/main" id="{00000000-0008-0000-0200-0000A4000000}"/>
                </a:ext>
              </a:extLst>
            </xdr:cNvPr>
            <xdr:cNvPicPr>
              <a:picLocks noChangeArrowheads="1"/>
              <a:extLst>
                <a:ext uri="{84589F7E-364E-4C9E-8A38-B11213B215E9}">
                  <a14:cameraTool cellRange="#REF!" spid="_x0000_s466550"/>
                </a:ext>
              </a:extLst>
            </xdr:cNvPicPr>
          </xdr:nvPicPr>
          <xdr:blipFill rotWithShape="1">
            <a:blip xmlns:r="http://schemas.openxmlformats.org/officeDocument/2006/relationships" r:embed="rId2"/>
            <a:srcRect l="4410" t="-11539" b="-1"/>
            <a:stretch>
              <a:fillRect/>
            </a:stretch>
          </xdr:blipFill>
          <xdr:spPr bwMode="auto">
            <a:xfrm>
              <a:off x="0" y="12779375"/>
              <a:ext cx="3888000" cy="9842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38100</xdr:colOff>
          <xdr:row>50</xdr:row>
          <xdr:rowOff>79375</xdr:rowOff>
        </xdr:from>
        <xdr:to>
          <xdr:col>50</xdr:col>
          <xdr:colOff>173250</xdr:colOff>
          <xdr:row>50</xdr:row>
          <xdr:rowOff>177800</xdr:rowOff>
        </xdr:to>
        <xdr:pic>
          <xdr:nvPicPr>
            <xdr:cNvPr id="165" name="Image 164">
              <a:extLst>
                <a:ext uri="{FF2B5EF4-FFF2-40B4-BE49-F238E27FC236}">
                  <a16:creationId xmlns:a16="http://schemas.microsoft.com/office/drawing/2014/main" id="{00000000-0008-0000-0200-0000A5000000}"/>
                </a:ext>
              </a:extLst>
            </xdr:cNvPr>
            <xdr:cNvPicPr>
              <a:picLocks noChangeArrowheads="1"/>
              <a:extLst>
                <a:ext uri="{84589F7E-364E-4C9E-8A38-B11213B215E9}">
                  <a14:cameraTool cellRange="#REF!" spid="_x0000_s466551"/>
                </a:ext>
              </a:extLst>
            </xdr:cNvPicPr>
          </xdr:nvPicPr>
          <xdr:blipFill rotWithShape="1">
            <a:blip xmlns:r="http://schemas.openxmlformats.org/officeDocument/2006/relationships" r:embed="rId2"/>
            <a:srcRect l="4410" t="-11539" b="-1"/>
            <a:stretch>
              <a:fillRect/>
            </a:stretch>
          </xdr:blipFill>
          <xdr:spPr bwMode="auto">
            <a:xfrm>
              <a:off x="6178550" y="12766675"/>
              <a:ext cx="3888000" cy="9842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44</xdr:col>
          <xdr:colOff>28575</xdr:colOff>
          <xdr:row>52</xdr:row>
          <xdr:rowOff>9525</xdr:rowOff>
        </xdr:from>
        <xdr:to>
          <xdr:col>45</xdr:col>
          <xdr:colOff>66675</xdr:colOff>
          <xdr:row>53</xdr:row>
          <xdr:rowOff>0</xdr:rowOff>
        </xdr:to>
        <xdr:sp macro="" textlink="">
          <xdr:nvSpPr>
            <xdr:cNvPr id="47235" name="Check Box 131" hidden="1">
              <a:extLst>
                <a:ext uri="{63B3BB69-23CF-44E3-9099-C40C66FF867C}">
                  <a14:compatExt spid="_x0000_s47235"/>
                </a:ext>
                <a:ext uri="{FF2B5EF4-FFF2-40B4-BE49-F238E27FC236}">
                  <a16:creationId xmlns:a16="http://schemas.microsoft.com/office/drawing/2014/main" id="{00000000-0008-0000-0200-000083B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44</xdr:col>
          <xdr:colOff>28575</xdr:colOff>
          <xdr:row>53</xdr:row>
          <xdr:rowOff>9525</xdr:rowOff>
        </xdr:from>
        <xdr:to>
          <xdr:col>45</xdr:col>
          <xdr:colOff>66675</xdr:colOff>
          <xdr:row>54</xdr:row>
          <xdr:rowOff>0</xdr:rowOff>
        </xdr:to>
        <xdr:sp macro="" textlink="">
          <xdr:nvSpPr>
            <xdr:cNvPr id="47236" name="Check Box 132" hidden="1">
              <a:extLst>
                <a:ext uri="{63B3BB69-23CF-44E3-9099-C40C66FF867C}">
                  <a14:compatExt spid="_x0000_s47236"/>
                </a:ext>
                <a:ext uri="{FF2B5EF4-FFF2-40B4-BE49-F238E27FC236}">
                  <a16:creationId xmlns:a16="http://schemas.microsoft.com/office/drawing/2014/main" id="{00000000-0008-0000-0200-000084B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44</xdr:col>
          <xdr:colOff>28575</xdr:colOff>
          <xdr:row>54</xdr:row>
          <xdr:rowOff>9525</xdr:rowOff>
        </xdr:from>
        <xdr:to>
          <xdr:col>45</xdr:col>
          <xdr:colOff>66675</xdr:colOff>
          <xdr:row>55</xdr:row>
          <xdr:rowOff>0</xdr:rowOff>
        </xdr:to>
        <xdr:sp macro="" textlink="">
          <xdr:nvSpPr>
            <xdr:cNvPr id="47237" name="Check Box 133" hidden="1">
              <a:extLst>
                <a:ext uri="{63B3BB69-23CF-44E3-9099-C40C66FF867C}">
                  <a14:compatExt spid="_x0000_s47237"/>
                </a:ext>
                <a:ext uri="{FF2B5EF4-FFF2-40B4-BE49-F238E27FC236}">
                  <a16:creationId xmlns:a16="http://schemas.microsoft.com/office/drawing/2014/main" id="{00000000-0008-0000-0200-000085B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33</xdr:col>
          <xdr:colOff>28575</xdr:colOff>
          <xdr:row>52</xdr:row>
          <xdr:rowOff>9525</xdr:rowOff>
        </xdr:from>
        <xdr:to>
          <xdr:col>34</xdr:col>
          <xdr:colOff>47625</xdr:colOff>
          <xdr:row>53</xdr:row>
          <xdr:rowOff>0</xdr:rowOff>
        </xdr:to>
        <xdr:sp macro="" textlink="">
          <xdr:nvSpPr>
            <xdr:cNvPr id="47238" name="Check Box 134" hidden="1">
              <a:extLst>
                <a:ext uri="{63B3BB69-23CF-44E3-9099-C40C66FF867C}">
                  <a14:compatExt spid="_x0000_s47238"/>
                </a:ext>
                <a:ext uri="{FF2B5EF4-FFF2-40B4-BE49-F238E27FC236}">
                  <a16:creationId xmlns:a16="http://schemas.microsoft.com/office/drawing/2014/main" id="{00000000-0008-0000-0200-000086B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33</xdr:col>
          <xdr:colOff>28575</xdr:colOff>
          <xdr:row>53</xdr:row>
          <xdr:rowOff>9525</xdr:rowOff>
        </xdr:from>
        <xdr:to>
          <xdr:col>34</xdr:col>
          <xdr:colOff>47625</xdr:colOff>
          <xdr:row>54</xdr:row>
          <xdr:rowOff>0</xdr:rowOff>
        </xdr:to>
        <xdr:sp macro="" textlink="">
          <xdr:nvSpPr>
            <xdr:cNvPr id="47239" name="Check Box 135" hidden="1">
              <a:extLst>
                <a:ext uri="{63B3BB69-23CF-44E3-9099-C40C66FF867C}">
                  <a14:compatExt spid="_x0000_s47239"/>
                </a:ext>
                <a:ext uri="{FF2B5EF4-FFF2-40B4-BE49-F238E27FC236}">
                  <a16:creationId xmlns:a16="http://schemas.microsoft.com/office/drawing/2014/main" id="{00000000-0008-0000-0200-000087B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33</xdr:col>
          <xdr:colOff>28575</xdr:colOff>
          <xdr:row>54</xdr:row>
          <xdr:rowOff>9525</xdr:rowOff>
        </xdr:from>
        <xdr:to>
          <xdr:col>34</xdr:col>
          <xdr:colOff>57150</xdr:colOff>
          <xdr:row>55</xdr:row>
          <xdr:rowOff>0</xdr:rowOff>
        </xdr:to>
        <xdr:sp macro="" textlink="">
          <xdr:nvSpPr>
            <xdr:cNvPr id="47240" name="Check Box 136" hidden="1">
              <a:extLst>
                <a:ext uri="{63B3BB69-23CF-44E3-9099-C40C66FF867C}">
                  <a14:compatExt spid="_x0000_s47240"/>
                </a:ext>
                <a:ext uri="{FF2B5EF4-FFF2-40B4-BE49-F238E27FC236}">
                  <a16:creationId xmlns:a16="http://schemas.microsoft.com/office/drawing/2014/main" id="{00000000-0008-0000-0200-000088B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28575</xdr:colOff>
          <xdr:row>53</xdr:row>
          <xdr:rowOff>9525</xdr:rowOff>
        </xdr:from>
        <xdr:to>
          <xdr:col>21</xdr:col>
          <xdr:colOff>66675</xdr:colOff>
          <xdr:row>54</xdr:row>
          <xdr:rowOff>0</xdr:rowOff>
        </xdr:to>
        <xdr:sp macro="" textlink="">
          <xdr:nvSpPr>
            <xdr:cNvPr id="47241" name="Check Box 137" hidden="1">
              <a:extLst>
                <a:ext uri="{63B3BB69-23CF-44E3-9099-C40C66FF867C}">
                  <a14:compatExt spid="_x0000_s47241"/>
                </a:ext>
                <a:ext uri="{FF2B5EF4-FFF2-40B4-BE49-F238E27FC236}">
                  <a16:creationId xmlns:a16="http://schemas.microsoft.com/office/drawing/2014/main" id="{00000000-0008-0000-0200-000089B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28575</xdr:colOff>
          <xdr:row>54</xdr:row>
          <xdr:rowOff>9525</xdr:rowOff>
        </xdr:from>
        <xdr:to>
          <xdr:col>21</xdr:col>
          <xdr:colOff>66675</xdr:colOff>
          <xdr:row>55</xdr:row>
          <xdr:rowOff>0</xdr:rowOff>
        </xdr:to>
        <xdr:sp macro="" textlink="">
          <xdr:nvSpPr>
            <xdr:cNvPr id="47242" name="Check Box 138" hidden="1">
              <a:extLst>
                <a:ext uri="{63B3BB69-23CF-44E3-9099-C40C66FF867C}">
                  <a14:compatExt spid="_x0000_s47242"/>
                </a:ext>
                <a:ext uri="{FF2B5EF4-FFF2-40B4-BE49-F238E27FC236}">
                  <a16:creationId xmlns:a16="http://schemas.microsoft.com/office/drawing/2014/main" id="{00000000-0008-0000-0200-00008AB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28575</xdr:colOff>
          <xdr:row>55</xdr:row>
          <xdr:rowOff>9525</xdr:rowOff>
        </xdr:from>
        <xdr:to>
          <xdr:col>21</xdr:col>
          <xdr:colOff>66675</xdr:colOff>
          <xdr:row>56</xdr:row>
          <xdr:rowOff>0</xdr:rowOff>
        </xdr:to>
        <xdr:sp macro="" textlink="">
          <xdr:nvSpPr>
            <xdr:cNvPr id="47243" name="Check Box 139" hidden="1">
              <a:extLst>
                <a:ext uri="{63B3BB69-23CF-44E3-9099-C40C66FF867C}">
                  <a14:compatExt spid="_x0000_s47243"/>
                </a:ext>
                <a:ext uri="{FF2B5EF4-FFF2-40B4-BE49-F238E27FC236}">
                  <a16:creationId xmlns:a16="http://schemas.microsoft.com/office/drawing/2014/main" id="{00000000-0008-0000-0200-00008BB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161925</xdr:colOff>
          <xdr:row>43</xdr:row>
          <xdr:rowOff>19050</xdr:rowOff>
        </xdr:from>
        <xdr:to>
          <xdr:col>13</xdr:col>
          <xdr:colOff>180975</xdr:colOff>
          <xdr:row>44</xdr:row>
          <xdr:rowOff>0</xdr:rowOff>
        </xdr:to>
        <xdr:sp macro="" textlink="">
          <xdr:nvSpPr>
            <xdr:cNvPr id="47365" name="Check Box 261" hidden="1">
              <a:extLst>
                <a:ext uri="{63B3BB69-23CF-44E3-9099-C40C66FF867C}">
                  <a14:compatExt spid="_x0000_s47365"/>
                </a:ext>
                <a:ext uri="{FF2B5EF4-FFF2-40B4-BE49-F238E27FC236}">
                  <a16:creationId xmlns:a16="http://schemas.microsoft.com/office/drawing/2014/main" id="{00000000-0008-0000-0200-000005B9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161925</xdr:colOff>
          <xdr:row>44</xdr:row>
          <xdr:rowOff>19050</xdr:rowOff>
        </xdr:from>
        <xdr:to>
          <xdr:col>13</xdr:col>
          <xdr:colOff>180975</xdr:colOff>
          <xdr:row>45</xdr:row>
          <xdr:rowOff>0</xdr:rowOff>
        </xdr:to>
        <xdr:sp macro="" textlink="">
          <xdr:nvSpPr>
            <xdr:cNvPr id="47367" name="Check Box 263" hidden="1">
              <a:extLst>
                <a:ext uri="{63B3BB69-23CF-44E3-9099-C40C66FF867C}">
                  <a14:compatExt spid="_x0000_s47367"/>
                </a:ext>
                <a:ext uri="{FF2B5EF4-FFF2-40B4-BE49-F238E27FC236}">
                  <a16:creationId xmlns:a16="http://schemas.microsoft.com/office/drawing/2014/main" id="{00000000-0008-0000-0200-000007B9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161925</xdr:colOff>
          <xdr:row>45</xdr:row>
          <xdr:rowOff>19050</xdr:rowOff>
        </xdr:from>
        <xdr:to>
          <xdr:col>13</xdr:col>
          <xdr:colOff>180975</xdr:colOff>
          <xdr:row>46</xdr:row>
          <xdr:rowOff>0</xdr:rowOff>
        </xdr:to>
        <xdr:sp macro="" textlink="">
          <xdr:nvSpPr>
            <xdr:cNvPr id="47369" name="Check Box 265" hidden="1">
              <a:extLst>
                <a:ext uri="{63B3BB69-23CF-44E3-9099-C40C66FF867C}">
                  <a14:compatExt spid="_x0000_s47369"/>
                </a:ext>
                <a:ext uri="{FF2B5EF4-FFF2-40B4-BE49-F238E27FC236}">
                  <a16:creationId xmlns:a16="http://schemas.microsoft.com/office/drawing/2014/main" id="{00000000-0008-0000-0200-000009B9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161925</xdr:colOff>
          <xdr:row>46</xdr:row>
          <xdr:rowOff>19050</xdr:rowOff>
        </xdr:from>
        <xdr:to>
          <xdr:col>13</xdr:col>
          <xdr:colOff>180975</xdr:colOff>
          <xdr:row>47</xdr:row>
          <xdr:rowOff>0</xdr:rowOff>
        </xdr:to>
        <xdr:sp macro="" textlink="">
          <xdr:nvSpPr>
            <xdr:cNvPr id="47371" name="Check Box 267" hidden="1">
              <a:extLst>
                <a:ext uri="{63B3BB69-23CF-44E3-9099-C40C66FF867C}">
                  <a14:compatExt spid="_x0000_s47371"/>
                </a:ext>
                <a:ext uri="{FF2B5EF4-FFF2-40B4-BE49-F238E27FC236}">
                  <a16:creationId xmlns:a16="http://schemas.microsoft.com/office/drawing/2014/main" id="{00000000-0008-0000-0200-00000BB9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161925</xdr:colOff>
          <xdr:row>47</xdr:row>
          <xdr:rowOff>19050</xdr:rowOff>
        </xdr:from>
        <xdr:to>
          <xdr:col>13</xdr:col>
          <xdr:colOff>180975</xdr:colOff>
          <xdr:row>48</xdr:row>
          <xdr:rowOff>0</xdr:rowOff>
        </xdr:to>
        <xdr:sp macro="" textlink="">
          <xdr:nvSpPr>
            <xdr:cNvPr id="47373" name="Check Box 269" hidden="1">
              <a:extLst>
                <a:ext uri="{63B3BB69-23CF-44E3-9099-C40C66FF867C}">
                  <a14:compatExt spid="_x0000_s47373"/>
                </a:ext>
                <a:ext uri="{FF2B5EF4-FFF2-40B4-BE49-F238E27FC236}">
                  <a16:creationId xmlns:a16="http://schemas.microsoft.com/office/drawing/2014/main" id="{00000000-0008-0000-0200-00000DB9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161925</xdr:colOff>
          <xdr:row>48</xdr:row>
          <xdr:rowOff>19050</xdr:rowOff>
        </xdr:from>
        <xdr:to>
          <xdr:col>13</xdr:col>
          <xdr:colOff>180975</xdr:colOff>
          <xdr:row>49</xdr:row>
          <xdr:rowOff>0</xdr:rowOff>
        </xdr:to>
        <xdr:sp macro="" textlink="">
          <xdr:nvSpPr>
            <xdr:cNvPr id="47375" name="Check Box 271" hidden="1">
              <a:extLst>
                <a:ext uri="{63B3BB69-23CF-44E3-9099-C40C66FF867C}">
                  <a14:compatExt spid="_x0000_s47375"/>
                </a:ext>
                <a:ext uri="{FF2B5EF4-FFF2-40B4-BE49-F238E27FC236}">
                  <a16:creationId xmlns:a16="http://schemas.microsoft.com/office/drawing/2014/main" id="{00000000-0008-0000-0200-00000FB9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28575</xdr:colOff>
          <xdr:row>54</xdr:row>
          <xdr:rowOff>9525</xdr:rowOff>
        </xdr:from>
        <xdr:to>
          <xdr:col>21</xdr:col>
          <xdr:colOff>66675</xdr:colOff>
          <xdr:row>55</xdr:row>
          <xdr:rowOff>0</xdr:rowOff>
        </xdr:to>
        <xdr:sp macro="" textlink="">
          <xdr:nvSpPr>
            <xdr:cNvPr id="47376" name="Check Box 272" hidden="1">
              <a:extLst>
                <a:ext uri="{63B3BB69-23CF-44E3-9099-C40C66FF867C}">
                  <a14:compatExt spid="_x0000_s47376"/>
                </a:ext>
                <a:ext uri="{FF2B5EF4-FFF2-40B4-BE49-F238E27FC236}">
                  <a16:creationId xmlns:a16="http://schemas.microsoft.com/office/drawing/2014/main" id="{00000000-0008-0000-0200-000010B9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28575</xdr:colOff>
          <xdr:row>55</xdr:row>
          <xdr:rowOff>9525</xdr:rowOff>
        </xdr:from>
        <xdr:to>
          <xdr:col>21</xdr:col>
          <xdr:colOff>66675</xdr:colOff>
          <xdr:row>56</xdr:row>
          <xdr:rowOff>0</xdr:rowOff>
        </xdr:to>
        <xdr:sp macro="" textlink="">
          <xdr:nvSpPr>
            <xdr:cNvPr id="47377" name="Check Box 273" hidden="1">
              <a:extLst>
                <a:ext uri="{63B3BB69-23CF-44E3-9099-C40C66FF867C}">
                  <a14:compatExt spid="_x0000_s47377"/>
                </a:ext>
                <a:ext uri="{FF2B5EF4-FFF2-40B4-BE49-F238E27FC236}">
                  <a16:creationId xmlns:a16="http://schemas.microsoft.com/office/drawing/2014/main" id="{00000000-0008-0000-0200-000011B9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22</xdr:col>
          <xdr:colOff>142875</xdr:colOff>
          <xdr:row>24</xdr:row>
          <xdr:rowOff>19050</xdr:rowOff>
        </xdr:from>
        <xdr:to>
          <xdr:col>23</xdr:col>
          <xdr:colOff>123825</xdr:colOff>
          <xdr:row>25</xdr:row>
          <xdr:rowOff>0</xdr:rowOff>
        </xdr:to>
        <xdr:sp macro="" textlink="">
          <xdr:nvSpPr>
            <xdr:cNvPr id="47712" name="Spinner 608" hidden="1">
              <a:extLst>
                <a:ext uri="{63B3BB69-23CF-44E3-9099-C40C66FF867C}">
                  <a14:compatExt spid="_x0000_s47712"/>
                </a:ext>
                <a:ext uri="{FF2B5EF4-FFF2-40B4-BE49-F238E27FC236}">
                  <a16:creationId xmlns:a16="http://schemas.microsoft.com/office/drawing/2014/main" id="{00000000-0008-0000-0200-000060BA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28575</xdr:colOff>
          <xdr:row>54</xdr:row>
          <xdr:rowOff>9525</xdr:rowOff>
        </xdr:from>
        <xdr:to>
          <xdr:col>21</xdr:col>
          <xdr:colOff>66675</xdr:colOff>
          <xdr:row>55</xdr:row>
          <xdr:rowOff>0</xdr:rowOff>
        </xdr:to>
        <xdr:sp macro="" textlink="">
          <xdr:nvSpPr>
            <xdr:cNvPr id="165993" name="Check Box 5225" hidden="1">
              <a:extLst>
                <a:ext uri="{63B3BB69-23CF-44E3-9099-C40C66FF867C}">
                  <a14:compatExt spid="_x0000_s165993"/>
                </a:ext>
                <a:ext uri="{FF2B5EF4-FFF2-40B4-BE49-F238E27FC236}">
                  <a16:creationId xmlns:a16="http://schemas.microsoft.com/office/drawing/2014/main" id="{00000000-0008-0000-0200-0000698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4</xdr:col>
          <xdr:colOff>9525</xdr:colOff>
          <xdr:row>6</xdr:row>
          <xdr:rowOff>19050</xdr:rowOff>
        </xdr:from>
        <xdr:to>
          <xdr:col>4</xdr:col>
          <xdr:colOff>190500</xdr:colOff>
          <xdr:row>7</xdr:row>
          <xdr:rowOff>0</xdr:rowOff>
        </xdr:to>
        <xdr:sp macro="" textlink="">
          <xdr:nvSpPr>
            <xdr:cNvPr id="65537" name="Spinner 1" hidden="1">
              <a:extLst>
                <a:ext uri="{63B3BB69-23CF-44E3-9099-C40C66FF867C}">
                  <a14:compatExt spid="_x0000_s65537"/>
                </a:ext>
                <a:ext uri="{FF2B5EF4-FFF2-40B4-BE49-F238E27FC236}">
                  <a16:creationId xmlns:a16="http://schemas.microsoft.com/office/drawing/2014/main" id="{00000000-0008-0000-0300-000001000100}"/>
                </a:ext>
              </a:extLst>
            </xdr:cNvPr>
            <xdr:cNvSpPr/>
          </xdr:nvSpPr>
          <xdr:spPr bwMode="auto">
            <a:xfrm>
              <a:off x="0" y="0"/>
              <a:ext cx="0" cy="0"/>
            </a:xfrm>
            <a:prstGeom prst="rect">
              <a:avLst/>
            </a:prstGeom>
            <a:noFill/>
            <a:ln w="9525">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xdr:from>
          <xdr:col>4</xdr:col>
          <xdr:colOff>9525</xdr:colOff>
          <xdr:row>7</xdr:row>
          <xdr:rowOff>19050</xdr:rowOff>
        </xdr:from>
        <xdr:to>
          <xdr:col>4</xdr:col>
          <xdr:colOff>190500</xdr:colOff>
          <xdr:row>8</xdr:row>
          <xdr:rowOff>0</xdr:rowOff>
        </xdr:to>
        <xdr:sp macro="" textlink="">
          <xdr:nvSpPr>
            <xdr:cNvPr id="65538" name="Spinner 2" hidden="1">
              <a:extLst>
                <a:ext uri="{63B3BB69-23CF-44E3-9099-C40C66FF867C}">
                  <a14:compatExt spid="_x0000_s65538"/>
                </a:ext>
                <a:ext uri="{FF2B5EF4-FFF2-40B4-BE49-F238E27FC236}">
                  <a16:creationId xmlns:a16="http://schemas.microsoft.com/office/drawing/2014/main" id="{00000000-0008-0000-0300-000002000100}"/>
                </a:ext>
              </a:extLst>
            </xdr:cNvPr>
            <xdr:cNvSpPr/>
          </xdr:nvSpPr>
          <xdr:spPr bwMode="auto">
            <a:xfrm>
              <a:off x="0" y="0"/>
              <a:ext cx="0" cy="0"/>
            </a:xfrm>
            <a:prstGeom prst="rect">
              <a:avLst/>
            </a:prstGeom>
            <a:noFill/>
            <a:ln w="9525">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xdr:from>
          <xdr:col>4</xdr:col>
          <xdr:colOff>9525</xdr:colOff>
          <xdr:row>8</xdr:row>
          <xdr:rowOff>19050</xdr:rowOff>
        </xdr:from>
        <xdr:to>
          <xdr:col>4</xdr:col>
          <xdr:colOff>190500</xdr:colOff>
          <xdr:row>9</xdr:row>
          <xdr:rowOff>0</xdr:rowOff>
        </xdr:to>
        <xdr:sp macro="" textlink="">
          <xdr:nvSpPr>
            <xdr:cNvPr id="65539" name="Spinner 3" hidden="1">
              <a:extLst>
                <a:ext uri="{63B3BB69-23CF-44E3-9099-C40C66FF867C}">
                  <a14:compatExt spid="_x0000_s65539"/>
                </a:ext>
                <a:ext uri="{FF2B5EF4-FFF2-40B4-BE49-F238E27FC236}">
                  <a16:creationId xmlns:a16="http://schemas.microsoft.com/office/drawing/2014/main" id="{00000000-0008-0000-0300-000003000100}"/>
                </a:ext>
              </a:extLst>
            </xdr:cNvPr>
            <xdr:cNvSpPr/>
          </xdr:nvSpPr>
          <xdr:spPr bwMode="auto">
            <a:xfrm>
              <a:off x="0" y="0"/>
              <a:ext cx="0" cy="0"/>
            </a:xfrm>
            <a:prstGeom prst="rect">
              <a:avLst/>
            </a:prstGeom>
            <a:noFill/>
            <a:ln w="9525">
              <a:miter lim="800000"/>
              <a:headEnd/>
              <a:tailEnd/>
            </a:ln>
          </xdr:spPr>
        </xdr:sp>
        <xdr:clientData fPrintsWithSheet="0"/>
      </xdr:twoCellAnchor>
    </mc:Choice>
    <mc:Fallback/>
  </mc:AlternateContent>
  <xdr:absoluteAnchor>
    <xdr:pos x="66675" y="11206"/>
    <xdr:ext cx="2681166" cy="1095375"/>
    <xdr:pic>
      <xdr:nvPicPr>
        <xdr:cNvPr id="5" name="Image 4">
          <a:extLst>
            <a:ext uri="{FF2B5EF4-FFF2-40B4-BE49-F238E27FC236}">
              <a16:creationId xmlns:a16="http://schemas.microsoft.com/office/drawing/2014/main" id="{00000000-0008-0000-0300-000005000000}"/>
            </a:ext>
          </a:extLst>
        </xdr:cNvPr>
        <xdr:cNvPicPr>
          <a:picLocks noChangeAspect="1"/>
        </xdr:cNvPicPr>
      </xdr:nvPicPr>
      <xdr:blipFill>
        <a:blip xmlns:r="http://schemas.openxmlformats.org/officeDocument/2006/relationships" r:embed="rId1"/>
        <a:stretch>
          <a:fillRect/>
        </a:stretch>
      </xdr:blipFill>
      <xdr:spPr>
        <a:xfrm>
          <a:off x="66675" y="11206"/>
          <a:ext cx="2681166" cy="1095375"/>
        </a:xfrm>
        <a:prstGeom prst="rect">
          <a:avLst/>
        </a:prstGeom>
        <a:noFill/>
        <a:ln>
          <a:noFill/>
        </a:ln>
      </xdr:spPr>
    </xdr:pic>
    <xdr:clientData/>
  </xdr:absoluteAnchor>
  <mc:AlternateContent xmlns:mc="http://schemas.openxmlformats.org/markup-compatibility/2006">
    <mc:Choice xmlns:a14="http://schemas.microsoft.com/office/drawing/2010/main" Requires="a14">
      <xdr:twoCellAnchor>
        <xdr:from>
          <xdr:col>20</xdr:col>
          <xdr:colOff>9525</xdr:colOff>
          <xdr:row>6</xdr:row>
          <xdr:rowOff>19050</xdr:rowOff>
        </xdr:from>
        <xdr:to>
          <xdr:col>20</xdr:col>
          <xdr:colOff>190500</xdr:colOff>
          <xdr:row>7</xdr:row>
          <xdr:rowOff>0</xdr:rowOff>
        </xdr:to>
        <xdr:sp macro="" textlink="">
          <xdr:nvSpPr>
            <xdr:cNvPr id="65540" name="Spinner 4" hidden="1">
              <a:extLst>
                <a:ext uri="{63B3BB69-23CF-44E3-9099-C40C66FF867C}">
                  <a14:compatExt spid="_x0000_s65540"/>
                </a:ext>
                <a:ext uri="{FF2B5EF4-FFF2-40B4-BE49-F238E27FC236}">
                  <a16:creationId xmlns:a16="http://schemas.microsoft.com/office/drawing/2014/main" id="{00000000-0008-0000-0300-000004000100}"/>
                </a:ext>
              </a:extLst>
            </xdr:cNvPr>
            <xdr:cNvSpPr/>
          </xdr:nvSpPr>
          <xdr:spPr bwMode="auto">
            <a:xfrm>
              <a:off x="0" y="0"/>
              <a:ext cx="0" cy="0"/>
            </a:xfrm>
            <a:prstGeom prst="rect">
              <a:avLst/>
            </a:prstGeom>
            <a:noFill/>
            <a:ln w="9525">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xdr:from>
          <xdr:col>20</xdr:col>
          <xdr:colOff>9525</xdr:colOff>
          <xdr:row>7</xdr:row>
          <xdr:rowOff>19050</xdr:rowOff>
        </xdr:from>
        <xdr:to>
          <xdr:col>20</xdr:col>
          <xdr:colOff>190500</xdr:colOff>
          <xdr:row>8</xdr:row>
          <xdr:rowOff>0</xdr:rowOff>
        </xdr:to>
        <xdr:sp macro="" textlink="">
          <xdr:nvSpPr>
            <xdr:cNvPr id="65541" name="Spinner 5" hidden="1">
              <a:extLst>
                <a:ext uri="{63B3BB69-23CF-44E3-9099-C40C66FF867C}">
                  <a14:compatExt spid="_x0000_s65541"/>
                </a:ext>
                <a:ext uri="{FF2B5EF4-FFF2-40B4-BE49-F238E27FC236}">
                  <a16:creationId xmlns:a16="http://schemas.microsoft.com/office/drawing/2014/main" id="{00000000-0008-0000-0300-000005000100}"/>
                </a:ext>
              </a:extLst>
            </xdr:cNvPr>
            <xdr:cNvSpPr/>
          </xdr:nvSpPr>
          <xdr:spPr bwMode="auto">
            <a:xfrm>
              <a:off x="0" y="0"/>
              <a:ext cx="0" cy="0"/>
            </a:xfrm>
            <a:prstGeom prst="rect">
              <a:avLst/>
            </a:prstGeom>
            <a:noFill/>
            <a:ln w="9525">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xdr:from>
          <xdr:col>20</xdr:col>
          <xdr:colOff>9525</xdr:colOff>
          <xdr:row>8</xdr:row>
          <xdr:rowOff>19050</xdr:rowOff>
        </xdr:from>
        <xdr:to>
          <xdr:col>20</xdr:col>
          <xdr:colOff>190500</xdr:colOff>
          <xdr:row>9</xdr:row>
          <xdr:rowOff>0</xdr:rowOff>
        </xdr:to>
        <xdr:sp macro="" textlink="">
          <xdr:nvSpPr>
            <xdr:cNvPr id="65542" name="Spinner 6" hidden="1">
              <a:extLst>
                <a:ext uri="{63B3BB69-23CF-44E3-9099-C40C66FF867C}">
                  <a14:compatExt spid="_x0000_s65542"/>
                </a:ext>
                <a:ext uri="{FF2B5EF4-FFF2-40B4-BE49-F238E27FC236}">
                  <a16:creationId xmlns:a16="http://schemas.microsoft.com/office/drawing/2014/main" id="{00000000-0008-0000-0300-000006000100}"/>
                </a:ext>
              </a:extLst>
            </xdr:cNvPr>
            <xdr:cNvSpPr/>
          </xdr:nvSpPr>
          <xdr:spPr bwMode="auto">
            <a:xfrm>
              <a:off x="0" y="0"/>
              <a:ext cx="0" cy="0"/>
            </a:xfrm>
            <a:prstGeom prst="rect">
              <a:avLst/>
            </a:prstGeom>
            <a:noFill/>
            <a:ln w="9525">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xdr:from>
          <xdr:col>36</xdr:col>
          <xdr:colOff>9525</xdr:colOff>
          <xdr:row>6</xdr:row>
          <xdr:rowOff>19050</xdr:rowOff>
        </xdr:from>
        <xdr:to>
          <xdr:col>36</xdr:col>
          <xdr:colOff>190500</xdr:colOff>
          <xdr:row>7</xdr:row>
          <xdr:rowOff>0</xdr:rowOff>
        </xdr:to>
        <xdr:sp macro="" textlink="">
          <xdr:nvSpPr>
            <xdr:cNvPr id="65543" name="Spinner 7" hidden="1">
              <a:extLst>
                <a:ext uri="{63B3BB69-23CF-44E3-9099-C40C66FF867C}">
                  <a14:compatExt spid="_x0000_s65543"/>
                </a:ext>
                <a:ext uri="{FF2B5EF4-FFF2-40B4-BE49-F238E27FC236}">
                  <a16:creationId xmlns:a16="http://schemas.microsoft.com/office/drawing/2014/main" id="{00000000-0008-0000-0300-000007000100}"/>
                </a:ext>
              </a:extLst>
            </xdr:cNvPr>
            <xdr:cNvSpPr/>
          </xdr:nvSpPr>
          <xdr:spPr bwMode="auto">
            <a:xfrm>
              <a:off x="0" y="0"/>
              <a:ext cx="0" cy="0"/>
            </a:xfrm>
            <a:prstGeom prst="rect">
              <a:avLst/>
            </a:prstGeom>
            <a:noFill/>
            <a:ln w="9525">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xdr:from>
          <xdr:col>36</xdr:col>
          <xdr:colOff>9525</xdr:colOff>
          <xdr:row>7</xdr:row>
          <xdr:rowOff>19050</xdr:rowOff>
        </xdr:from>
        <xdr:to>
          <xdr:col>36</xdr:col>
          <xdr:colOff>190500</xdr:colOff>
          <xdr:row>8</xdr:row>
          <xdr:rowOff>0</xdr:rowOff>
        </xdr:to>
        <xdr:sp macro="" textlink="">
          <xdr:nvSpPr>
            <xdr:cNvPr id="65544" name="Spinner 8" hidden="1">
              <a:extLst>
                <a:ext uri="{63B3BB69-23CF-44E3-9099-C40C66FF867C}">
                  <a14:compatExt spid="_x0000_s65544"/>
                </a:ext>
                <a:ext uri="{FF2B5EF4-FFF2-40B4-BE49-F238E27FC236}">
                  <a16:creationId xmlns:a16="http://schemas.microsoft.com/office/drawing/2014/main" id="{00000000-0008-0000-0300-000008000100}"/>
                </a:ext>
              </a:extLst>
            </xdr:cNvPr>
            <xdr:cNvSpPr/>
          </xdr:nvSpPr>
          <xdr:spPr bwMode="auto">
            <a:xfrm>
              <a:off x="0" y="0"/>
              <a:ext cx="0" cy="0"/>
            </a:xfrm>
            <a:prstGeom prst="rect">
              <a:avLst/>
            </a:prstGeom>
            <a:noFill/>
            <a:ln w="9525">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xdr:from>
          <xdr:col>36</xdr:col>
          <xdr:colOff>9525</xdr:colOff>
          <xdr:row>8</xdr:row>
          <xdr:rowOff>19050</xdr:rowOff>
        </xdr:from>
        <xdr:to>
          <xdr:col>36</xdr:col>
          <xdr:colOff>190500</xdr:colOff>
          <xdr:row>9</xdr:row>
          <xdr:rowOff>0</xdr:rowOff>
        </xdr:to>
        <xdr:sp macro="" textlink="">
          <xdr:nvSpPr>
            <xdr:cNvPr id="65545" name="Spinner 9" hidden="1">
              <a:extLst>
                <a:ext uri="{63B3BB69-23CF-44E3-9099-C40C66FF867C}">
                  <a14:compatExt spid="_x0000_s65545"/>
                </a:ext>
                <a:ext uri="{FF2B5EF4-FFF2-40B4-BE49-F238E27FC236}">
                  <a16:creationId xmlns:a16="http://schemas.microsoft.com/office/drawing/2014/main" id="{00000000-0008-0000-0300-000009000100}"/>
                </a:ext>
              </a:extLst>
            </xdr:cNvPr>
            <xdr:cNvSpPr/>
          </xdr:nvSpPr>
          <xdr:spPr bwMode="auto">
            <a:xfrm>
              <a:off x="0" y="0"/>
              <a:ext cx="0" cy="0"/>
            </a:xfrm>
            <a:prstGeom prst="rect">
              <a:avLst/>
            </a:prstGeom>
            <a:noFill/>
            <a:ln w="9525">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xdr:from>
          <xdr:col>0</xdr:col>
          <xdr:colOff>9525</xdr:colOff>
          <xdr:row>12</xdr:row>
          <xdr:rowOff>19050</xdr:rowOff>
        </xdr:from>
        <xdr:to>
          <xdr:col>0</xdr:col>
          <xdr:colOff>190500</xdr:colOff>
          <xdr:row>13</xdr:row>
          <xdr:rowOff>0</xdr:rowOff>
        </xdr:to>
        <xdr:sp macro="" textlink="">
          <xdr:nvSpPr>
            <xdr:cNvPr id="65546" name="Spinner 10" hidden="1">
              <a:extLst>
                <a:ext uri="{63B3BB69-23CF-44E3-9099-C40C66FF867C}">
                  <a14:compatExt spid="_x0000_s65546"/>
                </a:ext>
                <a:ext uri="{FF2B5EF4-FFF2-40B4-BE49-F238E27FC236}">
                  <a16:creationId xmlns:a16="http://schemas.microsoft.com/office/drawing/2014/main" id="{00000000-0008-0000-0300-00000A000100}"/>
                </a:ext>
              </a:extLst>
            </xdr:cNvPr>
            <xdr:cNvSpPr/>
          </xdr:nvSpPr>
          <xdr:spPr bwMode="auto">
            <a:xfrm>
              <a:off x="0" y="0"/>
              <a:ext cx="0" cy="0"/>
            </a:xfrm>
            <a:prstGeom prst="rect">
              <a:avLst/>
            </a:prstGeom>
            <a:noFill/>
            <a:ln w="9525">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xdr:from>
          <xdr:col>0</xdr:col>
          <xdr:colOff>9525</xdr:colOff>
          <xdr:row>13</xdr:row>
          <xdr:rowOff>19050</xdr:rowOff>
        </xdr:from>
        <xdr:to>
          <xdr:col>0</xdr:col>
          <xdr:colOff>190500</xdr:colOff>
          <xdr:row>14</xdr:row>
          <xdr:rowOff>0</xdr:rowOff>
        </xdr:to>
        <xdr:sp macro="" textlink="">
          <xdr:nvSpPr>
            <xdr:cNvPr id="65547" name="Spinner 11" hidden="1">
              <a:extLst>
                <a:ext uri="{63B3BB69-23CF-44E3-9099-C40C66FF867C}">
                  <a14:compatExt spid="_x0000_s65547"/>
                </a:ext>
                <a:ext uri="{FF2B5EF4-FFF2-40B4-BE49-F238E27FC236}">
                  <a16:creationId xmlns:a16="http://schemas.microsoft.com/office/drawing/2014/main" id="{00000000-0008-0000-0300-00000B000100}"/>
                </a:ext>
              </a:extLst>
            </xdr:cNvPr>
            <xdr:cNvSpPr/>
          </xdr:nvSpPr>
          <xdr:spPr bwMode="auto">
            <a:xfrm>
              <a:off x="0" y="0"/>
              <a:ext cx="0" cy="0"/>
            </a:xfrm>
            <a:prstGeom prst="rect">
              <a:avLst/>
            </a:prstGeom>
            <a:noFill/>
            <a:ln w="9525">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xdr:from>
          <xdr:col>0</xdr:col>
          <xdr:colOff>9525</xdr:colOff>
          <xdr:row>14</xdr:row>
          <xdr:rowOff>19050</xdr:rowOff>
        </xdr:from>
        <xdr:to>
          <xdr:col>0</xdr:col>
          <xdr:colOff>190500</xdr:colOff>
          <xdr:row>15</xdr:row>
          <xdr:rowOff>0</xdr:rowOff>
        </xdr:to>
        <xdr:sp macro="" textlink="">
          <xdr:nvSpPr>
            <xdr:cNvPr id="65548" name="Spinner 12" hidden="1">
              <a:extLst>
                <a:ext uri="{63B3BB69-23CF-44E3-9099-C40C66FF867C}">
                  <a14:compatExt spid="_x0000_s65548"/>
                </a:ext>
                <a:ext uri="{FF2B5EF4-FFF2-40B4-BE49-F238E27FC236}">
                  <a16:creationId xmlns:a16="http://schemas.microsoft.com/office/drawing/2014/main" id="{00000000-0008-0000-0300-00000C000100}"/>
                </a:ext>
              </a:extLst>
            </xdr:cNvPr>
            <xdr:cNvSpPr/>
          </xdr:nvSpPr>
          <xdr:spPr bwMode="auto">
            <a:xfrm>
              <a:off x="0" y="0"/>
              <a:ext cx="0" cy="0"/>
            </a:xfrm>
            <a:prstGeom prst="rect">
              <a:avLst/>
            </a:prstGeom>
            <a:noFill/>
            <a:ln w="9525">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xdr:from>
          <xdr:col>0</xdr:col>
          <xdr:colOff>9525</xdr:colOff>
          <xdr:row>15</xdr:row>
          <xdr:rowOff>19050</xdr:rowOff>
        </xdr:from>
        <xdr:to>
          <xdr:col>0</xdr:col>
          <xdr:colOff>190500</xdr:colOff>
          <xdr:row>16</xdr:row>
          <xdr:rowOff>0</xdr:rowOff>
        </xdr:to>
        <xdr:sp macro="" textlink="">
          <xdr:nvSpPr>
            <xdr:cNvPr id="65549" name="Spinner 13" hidden="1">
              <a:extLst>
                <a:ext uri="{63B3BB69-23CF-44E3-9099-C40C66FF867C}">
                  <a14:compatExt spid="_x0000_s65549"/>
                </a:ext>
                <a:ext uri="{FF2B5EF4-FFF2-40B4-BE49-F238E27FC236}">
                  <a16:creationId xmlns:a16="http://schemas.microsoft.com/office/drawing/2014/main" id="{00000000-0008-0000-0300-00000D000100}"/>
                </a:ext>
              </a:extLst>
            </xdr:cNvPr>
            <xdr:cNvSpPr/>
          </xdr:nvSpPr>
          <xdr:spPr bwMode="auto">
            <a:xfrm>
              <a:off x="0" y="0"/>
              <a:ext cx="0" cy="0"/>
            </a:xfrm>
            <a:prstGeom prst="rect">
              <a:avLst/>
            </a:prstGeom>
            <a:noFill/>
            <a:ln w="9525">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xdr:from>
          <xdr:col>0</xdr:col>
          <xdr:colOff>9525</xdr:colOff>
          <xdr:row>16</xdr:row>
          <xdr:rowOff>19050</xdr:rowOff>
        </xdr:from>
        <xdr:to>
          <xdr:col>0</xdr:col>
          <xdr:colOff>190500</xdr:colOff>
          <xdr:row>17</xdr:row>
          <xdr:rowOff>0</xdr:rowOff>
        </xdr:to>
        <xdr:sp macro="" textlink="">
          <xdr:nvSpPr>
            <xdr:cNvPr id="65550" name="Spinner 14" hidden="1">
              <a:extLst>
                <a:ext uri="{63B3BB69-23CF-44E3-9099-C40C66FF867C}">
                  <a14:compatExt spid="_x0000_s65550"/>
                </a:ext>
                <a:ext uri="{FF2B5EF4-FFF2-40B4-BE49-F238E27FC236}">
                  <a16:creationId xmlns:a16="http://schemas.microsoft.com/office/drawing/2014/main" id="{00000000-0008-0000-0300-00000E000100}"/>
                </a:ext>
              </a:extLst>
            </xdr:cNvPr>
            <xdr:cNvSpPr/>
          </xdr:nvSpPr>
          <xdr:spPr bwMode="auto">
            <a:xfrm>
              <a:off x="0" y="0"/>
              <a:ext cx="0" cy="0"/>
            </a:xfrm>
            <a:prstGeom prst="rect">
              <a:avLst/>
            </a:prstGeom>
            <a:noFill/>
            <a:ln w="9525">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xdr:from>
          <xdr:col>0</xdr:col>
          <xdr:colOff>9525</xdr:colOff>
          <xdr:row>17</xdr:row>
          <xdr:rowOff>19050</xdr:rowOff>
        </xdr:from>
        <xdr:to>
          <xdr:col>0</xdr:col>
          <xdr:colOff>190500</xdr:colOff>
          <xdr:row>18</xdr:row>
          <xdr:rowOff>0</xdr:rowOff>
        </xdr:to>
        <xdr:sp macro="" textlink="">
          <xdr:nvSpPr>
            <xdr:cNvPr id="65551" name="Spinner 15" hidden="1">
              <a:extLst>
                <a:ext uri="{63B3BB69-23CF-44E3-9099-C40C66FF867C}">
                  <a14:compatExt spid="_x0000_s65551"/>
                </a:ext>
                <a:ext uri="{FF2B5EF4-FFF2-40B4-BE49-F238E27FC236}">
                  <a16:creationId xmlns:a16="http://schemas.microsoft.com/office/drawing/2014/main" id="{00000000-0008-0000-0300-00000F000100}"/>
                </a:ext>
              </a:extLst>
            </xdr:cNvPr>
            <xdr:cNvSpPr/>
          </xdr:nvSpPr>
          <xdr:spPr bwMode="auto">
            <a:xfrm>
              <a:off x="0" y="0"/>
              <a:ext cx="0" cy="0"/>
            </a:xfrm>
            <a:prstGeom prst="rect">
              <a:avLst/>
            </a:prstGeom>
            <a:noFill/>
            <a:ln w="9525">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xdr:from>
          <xdr:col>0</xdr:col>
          <xdr:colOff>9525</xdr:colOff>
          <xdr:row>18</xdr:row>
          <xdr:rowOff>19050</xdr:rowOff>
        </xdr:from>
        <xdr:to>
          <xdr:col>0</xdr:col>
          <xdr:colOff>190500</xdr:colOff>
          <xdr:row>19</xdr:row>
          <xdr:rowOff>0</xdr:rowOff>
        </xdr:to>
        <xdr:sp macro="" textlink="">
          <xdr:nvSpPr>
            <xdr:cNvPr id="65552" name="Spinner 16" hidden="1">
              <a:extLst>
                <a:ext uri="{63B3BB69-23CF-44E3-9099-C40C66FF867C}">
                  <a14:compatExt spid="_x0000_s65552"/>
                </a:ext>
                <a:ext uri="{FF2B5EF4-FFF2-40B4-BE49-F238E27FC236}">
                  <a16:creationId xmlns:a16="http://schemas.microsoft.com/office/drawing/2014/main" id="{00000000-0008-0000-0300-000010000100}"/>
                </a:ext>
              </a:extLst>
            </xdr:cNvPr>
            <xdr:cNvSpPr/>
          </xdr:nvSpPr>
          <xdr:spPr bwMode="auto">
            <a:xfrm>
              <a:off x="0" y="0"/>
              <a:ext cx="0" cy="0"/>
            </a:xfrm>
            <a:prstGeom prst="rect">
              <a:avLst/>
            </a:prstGeom>
            <a:noFill/>
            <a:ln w="9525">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xdr:from>
          <xdr:col>0</xdr:col>
          <xdr:colOff>9525</xdr:colOff>
          <xdr:row>19</xdr:row>
          <xdr:rowOff>19050</xdr:rowOff>
        </xdr:from>
        <xdr:to>
          <xdr:col>0</xdr:col>
          <xdr:colOff>190500</xdr:colOff>
          <xdr:row>20</xdr:row>
          <xdr:rowOff>0</xdr:rowOff>
        </xdr:to>
        <xdr:sp macro="" textlink="">
          <xdr:nvSpPr>
            <xdr:cNvPr id="65553" name="Spinner 17" hidden="1">
              <a:extLst>
                <a:ext uri="{63B3BB69-23CF-44E3-9099-C40C66FF867C}">
                  <a14:compatExt spid="_x0000_s65553"/>
                </a:ext>
                <a:ext uri="{FF2B5EF4-FFF2-40B4-BE49-F238E27FC236}">
                  <a16:creationId xmlns:a16="http://schemas.microsoft.com/office/drawing/2014/main" id="{00000000-0008-0000-0300-000011000100}"/>
                </a:ext>
              </a:extLst>
            </xdr:cNvPr>
            <xdr:cNvSpPr/>
          </xdr:nvSpPr>
          <xdr:spPr bwMode="auto">
            <a:xfrm>
              <a:off x="0" y="0"/>
              <a:ext cx="0" cy="0"/>
            </a:xfrm>
            <a:prstGeom prst="rect">
              <a:avLst/>
            </a:prstGeom>
            <a:noFill/>
            <a:ln w="9525">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xdr:from>
          <xdr:col>0</xdr:col>
          <xdr:colOff>9525</xdr:colOff>
          <xdr:row>20</xdr:row>
          <xdr:rowOff>19050</xdr:rowOff>
        </xdr:from>
        <xdr:to>
          <xdr:col>0</xdr:col>
          <xdr:colOff>190500</xdr:colOff>
          <xdr:row>21</xdr:row>
          <xdr:rowOff>0</xdr:rowOff>
        </xdr:to>
        <xdr:sp macro="" textlink="">
          <xdr:nvSpPr>
            <xdr:cNvPr id="65554" name="Spinner 18" hidden="1">
              <a:extLst>
                <a:ext uri="{63B3BB69-23CF-44E3-9099-C40C66FF867C}">
                  <a14:compatExt spid="_x0000_s65554"/>
                </a:ext>
                <a:ext uri="{FF2B5EF4-FFF2-40B4-BE49-F238E27FC236}">
                  <a16:creationId xmlns:a16="http://schemas.microsoft.com/office/drawing/2014/main" id="{00000000-0008-0000-0300-000012000100}"/>
                </a:ext>
              </a:extLst>
            </xdr:cNvPr>
            <xdr:cNvSpPr/>
          </xdr:nvSpPr>
          <xdr:spPr bwMode="auto">
            <a:xfrm>
              <a:off x="0" y="0"/>
              <a:ext cx="0" cy="0"/>
            </a:xfrm>
            <a:prstGeom prst="rect">
              <a:avLst/>
            </a:prstGeom>
            <a:noFill/>
            <a:ln w="9525">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xdr:from>
          <xdr:col>0</xdr:col>
          <xdr:colOff>9525</xdr:colOff>
          <xdr:row>21</xdr:row>
          <xdr:rowOff>19050</xdr:rowOff>
        </xdr:from>
        <xdr:to>
          <xdr:col>0</xdr:col>
          <xdr:colOff>190500</xdr:colOff>
          <xdr:row>22</xdr:row>
          <xdr:rowOff>0</xdr:rowOff>
        </xdr:to>
        <xdr:sp macro="" textlink="">
          <xdr:nvSpPr>
            <xdr:cNvPr id="65555" name="Spinner 19" hidden="1">
              <a:extLst>
                <a:ext uri="{63B3BB69-23CF-44E3-9099-C40C66FF867C}">
                  <a14:compatExt spid="_x0000_s65555"/>
                </a:ext>
                <a:ext uri="{FF2B5EF4-FFF2-40B4-BE49-F238E27FC236}">
                  <a16:creationId xmlns:a16="http://schemas.microsoft.com/office/drawing/2014/main" id="{00000000-0008-0000-0300-000013000100}"/>
                </a:ext>
              </a:extLst>
            </xdr:cNvPr>
            <xdr:cNvSpPr/>
          </xdr:nvSpPr>
          <xdr:spPr bwMode="auto">
            <a:xfrm>
              <a:off x="0" y="0"/>
              <a:ext cx="0" cy="0"/>
            </a:xfrm>
            <a:prstGeom prst="rect">
              <a:avLst/>
            </a:prstGeom>
            <a:noFill/>
            <a:ln w="9525">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xdr:from>
          <xdr:col>0</xdr:col>
          <xdr:colOff>9525</xdr:colOff>
          <xdr:row>22</xdr:row>
          <xdr:rowOff>19050</xdr:rowOff>
        </xdr:from>
        <xdr:to>
          <xdr:col>0</xdr:col>
          <xdr:colOff>190500</xdr:colOff>
          <xdr:row>23</xdr:row>
          <xdr:rowOff>0</xdr:rowOff>
        </xdr:to>
        <xdr:sp macro="" textlink="">
          <xdr:nvSpPr>
            <xdr:cNvPr id="65556" name="Spinner 20" hidden="1">
              <a:extLst>
                <a:ext uri="{63B3BB69-23CF-44E3-9099-C40C66FF867C}">
                  <a14:compatExt spid="_x0000_s65556"/>
                </a:ext>
                <a:ext uri="{FF2B5EF4-FFF2-40B4-BE49-F238E27FC236}">
                  <a16:creationId xmlns:a16="http://schemas.microsoft.com/office/drawing/2014/main" id="{00000000-0008-0000-0300-000014000100}"/>
                </a:ext>
              </a:extLst>
            </xdr:cNvPr>
            <xdr:cNvSpPr/>
          </xdr:nvSpPr>
          <xdr:spPr bwMode="auto">
            <a:xfrm>
              <a:off x="0" y="0"/>
              <a:ext cx="0" cy="0"/>
            </a:xfrm>
            <a:prstGeom prst="rect">
              <a:avLst/>
            </a:prstGeom>
            <a:noFill/>
            <a:ln w="9525">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xdr:from>
          <xdr:col>0</xdr:col>
          <xdr:colOff>9525</xdr:colOff>
          <xdr:row>23</xdr:row>
          <xdr:rowOff>19050</xdr:rowOff>
        </xdr:from>
        <xdr:to>
          <xdr:col>0</xdr:col>
          <xdr:colOff>190500</xdr:colOff>
          <xdr:row>24</xdr:row>
          <xdr:rowOff>0</xdr:rowOff>
        </xdr:to>
        <xdr:sp macro="" textlink="">
          <xdr:nvSpPr>
            <xdr:cNvPr id="65557" name="Spinner 21" hidden="1">
              <a:extLst>
                <a:ext uri="{63B3BB69-23CF-44E3-9099-C40C66FF867C}">
                  <a14:compatExt spid="_x0000_s65557"/>
                </a:ext>
                <a:ext uri="{FF2B5EF4-FFF2-40B4-BE49-F238E27FC236}">
                  <a16:creationId xmlns:a16="http://schemas.microsoft.com/office/drawing/2014/main" id="{00000000-0008-0000-0300-000015000100}"/>
                </a:ext>
              </a:extLst>
            </xdr:cNvPr>
            <xdr:cNvSpPr/>
          </xdr:nvSpPr>
          <xdr:spPr bwMode="auto">
            <a:xfrm>
              <a:off x="0" y="0"/>
              <a:ext cx="0" cy="0"/>
            </a:xfrm>
            <a:prstGeom prst="rect">
              <a:avLst/>
            </a:prstGeom>
            <a:noFill/>
            <a:ln w="9525">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xdr:from>
          <xdr:col>0</xdr:col>
          <xdr:colOff>9525</xdr:colOff>
          <xdr:row>24</xdr:row>
          <xdr:rowOff>19050</xdr:rowOff>
        </xdr:from>
        <xdr:to>
          <xdr:col>0</xdr:col>
          <xdr:colOff>190500</xdr:colOff>
          <xdr:row>25</xdr:row>
          <xdr:rowOff>0</xdr:rowOff>
        </xdr:to>
        <xdr:sp macro="" textlink="">
          <xdr:nvSpPr>
            <xdr:cNvPr id="65558" name="Spinner 22" hidden="1">
              <a:extLst>
                <a:ext uri="{63B3BB69-23CF-44E3-9099-C40C66FF867C}">
                  <a14:compatExt spid="_x0000_s65558"/>
                </a:ext>
                <a:ext uri="{FF2B5EF4-FFF2-40B4-BE49-F238E27FC236}">
                  <a16:creationId xmlns:a16="http://schemas.microsoft.com/office/drawing/2014/main" id="{00000000-0008-0000-0300-000016000100}"/>
                </a:ext>
              </a:extLst>
            </xdr:cNvPr>
            <xdr:cNvSpPr/>
          </xdr:nvSpPr>
          <xdr:spPr bwMode="auto">
            <a:xfrm>
              <a:off x="0" y="0"/>
              <a:ext cx="0" cy="0"/>
            </a:xfrm>
            <a:prstGeom prst="rect">
              <a:avLst/>
            </a:prstGeom>
            <a:noFill/>
            <a:ln w="9525">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xdr:from>
          <xdr:col>0</xdr:col>
          <xdr:colOff>9525</xdr:colOff>
          <xdr:row>25</xdr:row>
          <xdr:rowOff>19050</xdr:rowOff>
        </xdr:from>
        <xdr:to>
          <xdr:col>0</xdr:col>
          <xdr:colOff>190500</xdr:colOff>
          <xdr:row>26</xdr:row>
          <xdr:rowOff>0</xdr:rowOff>
        </xdr:to>
        <xdr:sp macro="" textlink="">
          <xdr:nvSpPr>
            <xdr:cNvPr id="65559" name="Spinner 23" hidden="1">
              <a:extLst>
                <a:ext uri="{63B3BB69-23CF-44E3-9099-C40C66FF867C}">
                  <a14:compatExt spid="_x0000_s65559"/>
                </a:ext>
                <a:ext uri="{FF2B5EF4-FFF2-40B4-BE49-F238E27FC236}">
                  <a16:creationId xmlns:a16="http://schemas.microsoft.com/office/drawing/2014/main" id="{00000000-0008-0000-0300-000017000100}"/>
                </a:ext>
              </a:extLst>
            </xdr:cNvPr>
            <xdr:cNvSpPr/>
          </xdr:nvSpPr>
          <xdr:spPr bwMode="auto">
            <a:xfrm>
              <a:off x="0" y="0"/>
              <a:ext cx="0" cy="0"/>
            </a:xfrm>
            <a:prstGeom prst="rect">
              <a:avLst/>
            </a:prstGeom>
            <a:noFill/>
            <a:ln w="9525">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xdr:from>
          <xdr:col>0</xdr:col>
          <xdr:colOff>9525</xdr:colOff>
          <xdr:row>26</xdr:row>
          <xdr:rowOff>19050</xdr:rowOff>
        </xdr:from>
        <xdr:to>
          <xdr:col>0</xdr:col>
          <xdr:colOff>190500</xdr:colOff>
          <xdr:row>27</xdr:row>
          <xdr:rowOff>0</xdr:rowOff>
        </xdr:to>
        <xdr:sp macro="" textlink="">
          <xdr:nvSpPr>
            <xdr:cNvPr id="65560" name="Spinner 24" hidden="1">
              <a:extLst>
                <a:ext uri="{63B3BB69-23CF-44E3-9099-C40C66FF867C}">
                  <a14:compatExt spid="_x0000_s65560"/>
                </a:ext>
                <a:ext uri="{FF2B5EF4-FFF2-40B4-BE49-F238E27FC236}">
                  <a16:creationId xmlns:a16="http://schemas.microsoft.com/office/drawing/2014/main" id="{00000000-0008-0000-0300-000018000100}"/>
                </a:ext>
              </a:extLst>
            </xdr:cNvPr>
            <xdr:cNvSpPr/>
          </xdr:nvSpPr>
          <xdr:spPr bwMode="auto">
            <a:xfrm>
              <a:off x="0" y="0"/>
              <a:ext cx="0" cy="0"/>
            </a:xfrm>
            <a:prstGeom prst="rect">
              <a:avLst/>
            </a:prstGeom>
            <a:noFill/>
            <a:ln w="9525">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xdr:from>
          <xdr:col>0</xdr:col>
          <xdr:colOff>9525</xdr:colOff>
          <xdr:row>27</xdr:row>
          <xdr:rowOff>19050</xdr:rowOff>
        </xdr:from>
        <xdr:to>
          <xdr:col>0</xdr:col>
          <xdr:colOff>190500</xdr:colOff>
          <xdr:row>28</xdr:row>
          <xdr:rowOff>0</xdr:rowOff>
        </xdr:to>
        <xdr:sp macro="" textlink="">
          <xdr:nvSpPr>
            <xdr:cNvPr id="65561" name="Spinner 25" hidden="1">
              <a:extLst>
                <a:ext uri="{63B3BB69-23CF-44E3-9099-C40C66FF867C}">
                  <a14:compatExt spid="_x0000_s65561"/>
                </a:ext>
                <a:ext uri="{FF2B5EF4-FFF2-40B4-BE49-F238E27FC236}">
                  <a16:creationId xmlns:a16="http://schemas.microsoft.com/office/drawing/2014/main" id="{00000000-0008-0000-0300-000019000100}"/>
                </a:ext>
              </a:extLst>
            </xdr:cNvPr>
            <xdr:cNvSpPr/>
          </xdr:nvSpPr>
          <xdr:spPr bwMode="auto">
            <a:xfrm>
              <a:off x="0" y="0"/>
              <a:ext cx="0" cy="0"/>
            </a:xfrm>
            <a:prstGeom prst="rect">
              <a:avLst/>
            </a:prstGeom>
            <a:noFill/>
            <a:ln w="9525">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xdr:from>
          <xdr:col>0</xdr:col>
          <xdr:colOff>9525</xdr:colOff>
          <xdr:row>28</xdr:row>
          <xdr:rowOff>19050</xdr:rowOff>
        </xdr:from>
        <xdr:to>
          <xdr:col>0</xdr:col>
          <xdr:colOff>190500</xdr:colOff>
          <xdr:row>29</xdr:row>
          <xdr:rowOff>0</xdr:rowOff>
        </xdr:to>
        <xdr:sp macro="" textlink="">
          <xdr:nvSpPr>
            <xdr:cNvPr id="65562" name="Spinner 26" hidden="1">
              <a:extLst>
                <a:ext uri="{63B3BB69-23CF-44E3-9099-C40C66FF867C}">
                  <a14:compatExt spid="_x0000_s65562"/>
                </a:ext>
                <a:ext uri="{FF2B5EF4-FFF2-40B4-BE49-F238E27FC236}">
                  <a16:creationId xmlns:a16="http://schemas.microsoft.com/office/drawing/2014/main" id="{00000000-0008-0000-0300-00001A000100}"/>
                </a:ext>
              </a:extLst>
            </xdr:cNvPr>
            <xdr:cNvSpPr/>
          </xdr:nvSpPr>
          <xdr:spPr bwMode="auto">
            <a:xfrm>
              <a:off x="0" y="0"/>
              <a:ext cx="0" cy="0"/>
            </a:xfrm>
            <a:prstGeom prst="rect">
              <a:avLst/>
            </a:prstGeom>
            <a:noFill/>
            <a:ln w="9525">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xdr:from>
          <xdr:col>0</xdr:col>
          <xdr:colOff>9525</xdr:colOff>
          <xdr:row>29</xdr:row>
          <xdr:rowOff>19050</xdr:rowOff>
        </xdr:from>
        <xdr:to>
          <xdr:col>0</xdr:col>
          <xdr:colOff>190500</xdr:colOff>
          <xdr:row>30</xdr:row>
          <xdr:rowOff>0</xdr:rowOff>
        </xdr:to>
        <xdr:sp macro="" textlink="">
          <xdr:nvSpPr>
            <xdr:cNvPr id="65563" name="Spinner 27" hidden="1">
              <a:extLst>
                <a:ext uri="{63B3BB69-23CF-44E3-9099-C40C66FF867C}">
                  <a14:compatExt spid="_x0000_s65563"/>
                </a:ext>
                <a:ext uri="{FF2B5EF4-FFF2-40B4-BE49-F238E27FC236}">
                  <a16:creationId xmlns:a16="http://schemas.microsoft.com/office/drawing/2014/main" id="{00000000-0008-0000-0300-00001B000100}"/>
                </a:ext>
              </a:extLst>
            </xdr:cNvPr>
            <xdr:cNvSpPr/>
          </xdr:nvSpPr>
          <xdr:spPr bwMode="auto">
            <a:xfrm>
              <a:off x="0" y="0"/>
              <a:ext cx="0" cy="0"/>
            </a:xfrm>
            <a:prstGeom prst="rect">
              <a:avLst/>
            </a:prstGeom>
            <a:noFill/>
            <a:ln w="9525">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xdr:from>
          <xdr:col>0</xdr:col>
          <xdr:colOff>9525</xdr:colOff>
          <xdr:row>30</xdr:row>
          <xdr:rowOff>19050</xdr:rowOff>
        </xdr:from>
        <xdr:to>
          <xdr:col>0</xdr:col>
          <xdr:colOff>190500</xdr:colOff>
          <xdr:row>31</xdr:row>
          <xdr:rowOff>0</xdr:rowOff>
        </xdr:to>
        <xdr:sp macro="" textlink="">
          <xdr:nvSpPr>
            <xdr:cNvPr id="65564" name="Spinner 28" hidden="1">
              <a:extLst>
                <a:ext uri="{63B3BB69-23CF-44E3-9099-C40C66FF867C}">
                  <a14:compatExt spid="_x0000_s65564"/>
                </a:ext>
                <a:ext uri="{FF2B5EF4-FFF2-40B4-BE49-F238E27FC236}">
                  <a16:creationId xmlns:a16="http://schemas.microsoft.com/office/drawing/2014/main" id="{00000000-0008-0000-0300-00001C000100}"/>
                </a:ext>
              </a:extLst>
            </xdr:cNvPr>
            <xdr:cNvSpPr/>
          </xdr:nvSpPr>
          <xdr:spPr bwMode="auto">
            <a:xfrm>
              <a:off x="0" y="0"/>
              <a:ext cx="0" cy="0"/>
            </a:xfrm>
            <a:prstGeom prst="rect">
              <a:avLst/>
            </a:prstGeom>
            <a:noFill/>
            <a:ln w="9525">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xdr:from>
          <xdr:col>0</xdr:col>
          <xdr:colOff>9525</xdr:colOff>
          <xdr:row>31</xdr:row>
          <xdr:rowOff>19050</xdr:rowOff>
        </xdr:from>
        <xdr:to>
          <xdr:col>0</xdr:col>
          <xdr:colOff>190500</xdr:colOff>
          <xdr:row>32</xdr:row>
          <xdr:rowOff>0</xdr:rowOff>
        </xdr:to>
        <xdr:sp macro="" textlink="">
          <xdr:nvSpPr>
            <xdr:cNvPr id="65565" name="Spinner 29" hidden="1">
              <a:extLst>
                <a:ext uri="{63B3BB69-23CF-44E3-9099-C40C66FF867C}">
                  <a14:compatExt spid="_x0000_s65565"/>
                </a:ext>
                <a:ext uri="{FF2B5EF4-FFF2-40B4-BE49-F238E27FC236}">
                  <a16:creationId xmlns:a16="http://schemas.microsoft.com/office/drawing/2014/main" id="{00000000-0008-0000-0300-00001D000100}"/>
                </a:ext>
              </a:extLst>
            </xdr:cNvPr>
            <xdr:cNvSpPr/>
          </xdr:nvSpPr>
          <xdr:spPr bwMode="auto">
            <a:xfrm>
              <a:off x="0" y="0"/>
              <a:ext cx="0" cy="0"/>
            </a:xfrm>
            <a:prstGeom prst="rect">
              <a:avLst/>
            </a:prstGeom>
            <a:noFill/>
            <a:ln w="9525">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xdr:from>
          <xdr:col>0</xdr:col>
          <xdr:colOff>9525</xdr:colOff>
          <xdr:row>32</xdr:row>
          <xdr:rowOff>19050</xdr:rowOff>
        </xdr:from>
        <xdr:to>
          <xdr:col>0</xdr:col>
          <xdr:colOff>190500</xdr:colOff>
          <xdr:row>33</xdr:row>
          <xdr:rowOff>0</xdr:rowOff>
        </xdr:to>
        <xdr:sp macro="" textlink="">
          <xdr:nvSpPr>
            <xdr:cNvPr id="65566" name="Spinner 30" hidden="1">
              <a:extLst>
                <a:ext uri="{63B3BB69-23CF-44E3-9099-C40C66FF867C}">
                  <a14:compatExt spid="_x0000_s65566"/>
                </a:ext>
                <a:ext uri="{FF2B5EF4-FFF2-40B4-BE49-F238E27FC236}">
                  <a16:creationId xmlns:a16="http://schemas.microsoft.com/office/drawing/2014/main" id="{00000000-0008-0000-0300-00001E000100}"/>
                </a:ext>
              </a:extLst>
            </xdr:cNvPr>
            <xdr:cNvSpPr/>
          </xdr:nvSpPr>
          <xdr:spPr bwMode="auto">
            <a:xfrm>
              <a:off x="0" y="0"/>
              <a:ext cx="0" cy="0"/>
            </a:xfrm>
            <a:prstGeom prst="rect">
              <a:avLst/>
            </a:prstGeom>
            <a:noFill/>
            <a:ln w="9525">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xdr:from>
          <xdr:col>0</xdr:col>
          <xdr:colOff>9525</xdr:colOff>
          <xdr:row>33</xdr:row>
          <xdr:rowOff>19050</xdr:rowOff>
        </xdr:from>
        <xdr:to>
          <xdr:col>0</xdr:col>
          <xdr:colOff>190500</xdr:colOff>
          <xdr:row>34</xdr:row>
          <xdr:rowOff>0</xdr:rowOff>
        </xdr:to>
        <xdr:sp macro="" textlink="">
          <xdr:nvSpPr>
            <xdr:cNvPr id="65567" name="Spinner 31" hidden="1">
              <a:extLst>
                <a:ext uri="{63B3BB69-23CF-44E3-9099-C40C66FF867C}">
                  <a14:compatExt spid="_x0000_s65567"/>
                </a:ext>
                <a:ext uri="{FF2B5EF4-FFF2-40B4-BE49-F238E27FC236}">
                  <a16:creationId xmlns:a16="http://schemas.microsoft.com/office/drawing/2014/main" id="{00000000-0008-0000-0300-00001F000100}"/>
                </a:ext>
              </a:extLst>
            </xdr:cNvPr>
            <xdr:cNvSpPr/>
          </xdr:nvSpPr>
          <xdr:spPr bwMode="auto">
            <a:xfrm>
              <a:off x="0" y="0"/>
              <a:ext cx="0" cy="0"/>
            </a:xfrm>
            <a:prstGeom prst="rect">
              <a:avLst/>
            </a:prstGeom>
            <a:noFill/>
            <a:ln w="9525">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xdr:from>
          <xdr:col>0</xdr:col>
          <xdr:colOff>9525</xdr:colOff>
          <xdr:row>34</xdr:row>
          <xdr:rowOff>19050</xdr:rowOff>
        </xdr:from>
        <xdr:to>
          <xdr:col>0</xdr:col>
          <xdr:colOff>190500</xdr:colOff>
          <xdr:row>35</xdr:row>
          <xdr:rowOff>0</xdr:rowOff>
        </xdr:to>
        <xdr:sp macro="" textlink="">
          <xdr:nvSpPr>
            <xdr:cNvPr id="65568" name="Spinner 32" hidden="1">
              <a:extLst>
                <a:ext uri="{63B3BB69-23CF-44E3-9099-C40C66FF867C}">
                  <a14:compatExt spid="_x0000_s65568"/>
                </a:ext>
                <a:ext uri="{FF2B5EF4-FFF2-40B4-BE49-F238E27FC236}">
                  <a16:creationId xmlns:a16="http://schemas.microsoft.com/office/drawing/2014/main" id="{00000000-0008-0000-0300-000020000100}"/>
                </a:ext>
              </a:extLst>
            </xdr:cNvPr>
            <xdr:cNvSpPr/>
          </xdr:nvSpPr>
          <xdr:spPr bwMode="auto">
            <a:xfrm>
              <a:off x="0" y="0"/>
              <a:ext cx="0" cy="0"/>
            </a:xfrm>
            <a:prstGeom prst="rect">
              <a:avLst/>
            </a:prstGeom>
            <a:noFill/>
            <a:ln w="9525">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xdr:from>
          <xdr:col>0</xdr:col>
          <xdr:colOff>9525</xdr:colOff>
          <xdr:row>35</xdr:row>
          <xdr:rowOff>19050</xdr:rowOff>
        </xdr:from>
        <xdr:to>
          <xdr:col>0</xdr:col>
          <xdr:colOff>190500</xdr:colOff>
          <xdr:row>36</xdr:row>
          <xdr:rowOff>0</xdr:rowOff>
        </xdr:to>
        <xdr:sp macro="" textlink="">
          <xdr:nvSpPr>
            <xdr:cNvPr id="65569" name="Spinner 33" hidden="1">
              <a:extLst>
                <a:ext uri="{63B3BB69-23CF-44E3-9099-C40C66FF867C}">
                  <a14:compatExt spid="_x0000_s65569"/>
                </a:ext>
                <a:ext uri="{FF2B5EF4-FFF2-40B4-BE49-F238E27FC236}">
                  <a16:creationId xmlns:a16="http://schemas.microsoft.com/office/drawing/2014/main" id="{00000000-0008-0000-0300-000021000100}"/>
                </a:ext>
              </a:extLst>
            </xdr:cNvPr>
            <xdr:cNvSpPr/>
          </xdr:nvSpPr>
          <xdr:spPr bwMode="auto">
            <a:xfrm>
              <a:off x="0" y="0"/>
              <a:ext cx="0" cy="0"/>
            </a:xfrm>
            <a:prstGeom prst="rect">
              <a:avLst/>
            </a:prstGeom>
            <a:noFill/>
            <a:ln w="9525">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xdr:from>
          <xdr:col>0</xdr:col>
          <xdr:colOff>9525</xdr:colOff>
          <xdr:row>36</xdr:row>
          <xdr:rowOff>19050</xdr:rowOff>
        </xdr:from>
        <xdr:to>
          <xdr:col>0</xdr:col>
          <xdr:colOff>190500</xdr:colOff>
          <xdr:row>37</xdr:row>
          <xdr:rowOff>0</xdr:rowOff>
        </xdr:to>
        <xdr:sp macro="" textlink="">
          <xdr:nvSpPr>
            <xdr:cNvPr id="65570" name="Spinner 34" hidden="1">
              <a:extLst>
                <a:ext uri="{63B3BB69-23CF-44E3-9099-C40C66FF867C}">
                  <a14:compatExt spid="_x0000_s65570"/>
                </a:ext>
                <a:ext uri="{FF2B5EF4-FFF2-40B4-BE49-F238E27FC236}">
                  <a16:creationId xmlns:a16="http://schemas.microsoft.com/office/drawing/2014/main" id="{00000000-0008-0000-0300-000022000100}"/>
                </a:ext>
              </a:extLst>
            </xdr:cNvPr>
            <xdr:cNvSpPr/>
          </xdr:nvSpPr>
          <xdr:spPr bwMode="auto">
            <a:xfrm>
              <a:off x="0" y="0"/>
              <a:ext cx="0" cy="0"/>
            </a:xfrm>
            <a:prstGeom prst="rect">
              <a:avLst/>
            </a:prstGeom>
            <a:noFill/>
            <a:ln w="9525">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xdr:from>
          <xdr:col>0</xdr:col>
          <xdr:colOff>9525</xdr:colOff>
          <xdr:row>37</xdr:row>
          <xdr:rowOff>19050</xdr:rowOff>
        </xdr:from>
        <xdr:to>
          <xdr:col>0</xdr:col>
          <xdr:colOff>190500</xdr:colOff>
          <xdr:row>38</xdr:row>
          <xdr:rowOff>0</xdr:rowOff>
        </xdr:to>
        <xdr:sp macro="" textlink="">
          <xdr:nvSpPr>
            <xdr:cNvPr id="65571" name="Spinner 35" hidden="1">
              <a:extLst>
                <a:ext uri="{63B3BB69-23CF-44E3-9099-C40C66FF867C}">
                  <a14:compatExt spid="_x0000_s65571"/>
                </a:ext>
                <a:ext uri="{FF2B5EF4-FFF2-40B4-BE49-F238E27FC236}">
                  <a16:creationId xmlns:a16="http://schemas.microsoft.com/office/drawing/2014/main" id="{00000000-0008-0000-0300-000023000100}"/>
                </a:ext>
              </a:extLst>
            </xdr:cNvPr>
            <xdr:cNvSpPr/>
          </xdr:nvSpPr>
          <xdr:spPr bwMode="auto">
            <a:xfrm>
              <a:off x="0" y="0"/>
              <a:ext cx="0" cy="0"/>
            </a:xfrm>
            <a:prstGeom prst="rect">
              <a:avLst/>
            </a:prstGeom>
            <a:noFill/>
            <a:ln w="9525">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xdr:from>
          <xdr:col>0</xdr:col>
          <xdr:colOff>9525</xdr:colOff>
          <xdr:row>41</xdr:row>
          <xdr:rowOff>19050</xdr:rowOff>
        </xdr:from>
        <xdr:to>
          <xdr:col>0</xdr:col>
          <xdr:colOff>190500</xdr:colOff>
          <xdr:row>42</xdr:row>
          <xdr:rowOff>0</xdr:rowOff>
        </xdr:to>
        <xdr:sp macro="" textlink="">
          <xdr:nvSpPr>
            <xdr:cNvPr id="65572" name="Spinner 36" hidden="1">
              <a:extLst>
                <a:ext uri="{63B3BB69-23CF-44E3-9099-C40C66FF867C}">
                  <a14:compatExt spid="_x0000_s65572"/>
                </a:ext>
                <a:ext uri="{FF2B5EF4-FFF2-40B4-BE49-F238E27FC236}">
                  <a16:creationId xmlns:a16="http://schemas.microsoft.com/office/drawing/2014/main" id="{00000000-0008-0000-0300-000024000100}"/>
                </a:ext>
              </a:extLst>
            </xdr:cNvPr>
            <xdr:cNvSpPr/>
          </xdr:nvSpPr>
          <xdr:spPr bwMode="auto">
            <a:xfrm>
              <a:off x="0" y="0"/>
              <a:ext cx="0" cy="0"/>
            </a:xfrm>
            <a:prstGeom prst="rect">
              <a:avLst/>
            </a:prstGeom>
            <a:noFill/>
            <a:ln w="9525">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xdr:from>
          <xdr:col>0</xdr:col>
          <xdr:colOff>9525</xdr:colOff>
          <xdr:row>42</xdr:row>
          <xdr:rowOff>19050</xdr:rowOff>
        </xdr:from>
        <xdr:to>
          <xdr:col>0</xdr:col>
          <xdr:colOff>190500</xdr:colOff>
          <xdr:row>43</xdr:row>
          <xdr:rowOff>0</xdr:rowOff>
        </xdr:to>
        <xdr:sp macro="" textlink="">
          <xdr:nvSpPr>
            <xdr:cNvPr id="65573" name="Spinner 37" hidden="1">
              <a:extLst>
                <a:ext uri="{63B3BB69-23CF-44E3-9099-C40C66FF867C}">
                  <a14:compatExt spid="_x0000_s65573"/>
                </a:ext>
                <a:ext uri="{FF2B5EF4-FFF2-40B4-BE49-F238E27FC236}">
                  <a16:creationId xmlns:a16="http://schemas.microsoft.com/office/drawing/2014/main" id="{00000000-0008-0000-0300-000025000100}"/>
                </a:ext>
              </a:extLst>
            </xdr:cNvPr>
            <xdr:cNvSpPr/>
          </xdr:nvSpPr>
          <xdr:spPr bwMode="auto">
            <a:xfrm>
              <a:off x="0" y="0"/>
              <a:ext cx="0" cy="0"/>
            </a:xfrm>
            <a:prstGeom prst="rect">
              <a:avLst/>
            </a:prstGeom>
            <a:noFill/>
            <a:ln w="9525">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xdr:from>
          <xdr:col>0</xdr:col>
          <xdr:colOff>9525</xdr:colOff>
          <xdr:row>43</xdr:row>
          <xdr:rowOff>19050</xdr:rowOff>
        </xdr:from>
        <xdr:to>
          <xdr:col>0</xdr:col>
          <xdr:colOff>190500</xdr:colOff>
          <xdr:row>44</xdr:row>
          <xdr:rowOff>0</xdr:rowOff>
        </xdr:to>
        <xdr:sp macro="" textlink="">
          <xdr:nvSpPr>
            <xdr:cNvPr id="65574" name="Spinner 38" hidden="1">
              <a:extLst>
                <a:ext uri="{63B3BB69-23CF-44E3-9099-C40C66FF867C}">
                  <a14:compatExt spid="_x0000_s65574"/>
                </a:ext>
                <a:ext uri="{FF2B5EF4-FFF2-40B4-BE49-F238E27FC236}">
                  <a16:creationId xmlns:a16="http://schemas.microsoft.com/office/drawing/2014/main" id="{00000000-0008-0000-0300-000026000100}"/>
                </a:ext>
              </a:extLst>
            </xdr:cNvPr>
            <xdr:cNvSpPr/>
          </xdr:nvSpPr>
          <xdr:spPr bwMode="auto">
            <a:xfrm>
              <a:off x="0" y="0"/>
              <a:ext cx="0" cy="0"/>
            </a:xfrm>
            <a:prstGeom prst="rect">
              <a:avLst/>
            </a:prstGeom>
            <a:noFill/>
            <a:ln w="9525">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xdr:from>
          <xdr:col>0</xdr:col>
          <xdr:colOff>9525</xdr:colOff>
          <xdr:row>44</xdr:row>
          <xdr:rowOff>19050</xdr:rowOff>
        </xdr:from>
        <xdr:to>
          <xdr:col>0</xdr:col>
          <xdr:colOff>190500</xdr:colOff>
          <xdr:row>45</xdr:row>
          <xdr:rowOff>0</xdr:rowOff>
        </xdr:to>
        <xdr:sp macro="" textlink="">
          <xdr:nvSpPr>
            <xdr:cNvPr id="65575" name="Spinner 39" hidden="1">
              <a:extLst>
                <a:ext uri="{63B3BB69-23CF-44E3-9099-C40C66FF867C}">
                  <a14:compatExt spid="_x0000_s65575"/>
                </a:ext>
                <a:ext uri="{FF2B5EF4-FFF2-40B4-BE49-F238E27FC236}">
                  <a16:creationId xmlns:a16="http://schemas.microsoft.com/office/drawing/2014/main" id="{00000000-0008-0000-0300-000027000100}"/>
                </a:ext>
              </a:extLst>
            </xdr:cNvPr>
            <xdr:cNvSpPr/>
          </xdr:nvSpPr>
          <xdr:spPr bwMode="auto">
            <a:xfrm>
              <a:off x="0" y="0"/>
              <a:ext cx="0" cy="0"/>
            </a:xfrm>
            <a:prstGeom prst="rect">
              <a:avLst/>
            </a:prstGeom>
            <a:noFill/>
            <a:ln w="9525">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xdr:from>
          <xdr:col>0</xdr:col>
          <xdr:colOff>9525</xdr:colOff>
          <xdr:row>45</xdr:row>
          <xdr:rowOff>19050</xdr:rowOff>
        </xdr:from>
        <xdr:to>
          <xdr:col>0</xdr:col>
          <xdr:colOff>190500</xdr:colOff>
          <xdr:row>46</xdr:row>
          <xdr:rowOff>0</xdr:rowOff>
        </xdr:to>
        <xdr:sp macro="" textlink="">
          <xdr:nvSpPr>
            <xdr:cNvPr id="65576" name="Spinner 40" hidden="1">
              <a:extLst>
                <a:ext uri="{63B3BB69-23CF-44E3-9099-C40C66FF867C}">
                  <a14:compatExt spid="_x0000_s65576"/>
                </a:ext>
                <a:ext uri="{FF2B5EF4-FFF2-40B4-BE49-F238E27FC236}">
                  <a16:creationId xmlns:a16="http://schemas.microsoft.com/office/drawing/2014/main" id="{00000000-0008-0000-0300-000028000100}"/>
                </a:ext>
              </a:extLst>
            </xdr:cNvPr>
            <xdr:cNvSpPr/>
          </xdr:nvSpPr>
          <xdr:spPr bwMode="auto">
            <a:xfrm>
              <a:off x="0" y="0"/>
              <a:ext cx="0" cy="0"/>
            </a:xfrm>
            <a:prstGeom prst="rect">
              <a:avLst/>
            </a:prstGeom>
            <a:noFill/>
            <a:ln w="9525">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xdr:from>
          <xdr:col>0</xdr:col>
          <xdr:colOff>9525</xdr:colOff>
          <xdr:row>46</xdr:row>
          <xdr:rowOff>19050</xdr:rowOff>
        </xdr:from>
        <xdr:to>
          <xdr:col>0</xdr:col>
          <xdr:colOff>190500</xdr:colOff>
          <xdr:row>47</xdr:row>
          <xdr:rowOff>0</xdr:rowOff>
        </xdr:to>
        <xdr:sp macro="" textlink="">
          <xdr:nvSpPr>
            <xdr:cNvPr id="65577" name="Spinner 41" hidden="1">
              <a:extLst>
                <a:ext uri="{63B3BB69-23CF-44E3-9099-C40C66FF867C}">
                  <a14:compatExt spid="_x0000_s65577"/>
                </a:ext>
                <a:ext uri="{FF2B5EF4-FFF2-40B4-BE49-F238E27FC236}">
                  <a16:creationId xmlns:a16="http://schemas.microsoft.com/office/drawing/2014/main" id="{00000000-0008-0000-0300-000029000100}"/>
                </a:ext>
              </a:extLst>
            </xdr:cNvPr>
            <xdr:cNvSpPr/>
          </xdr:nvSpPr>
          <xdr:spPr bwMode="auto">
            <a:xfrm>
              <a:off x="0" y="0"/>
              <a:ext cx="0" cy="0"/>
            </a:xfrm>
            <a:prstGeom prst="rect">
              <a:avLst/>
            </a:prstGeom>
            <a:noFill/>
            <a:ln w="9525">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0</xdr:col>
          <xdr:colOff>79562</xdr:colOff>
          <xdr:row>5</xdr:row>
          <xdr:rowOff>121585</xdr:rowOff>
        </xdr:from>
        <xdr:to>
          <xdr:col>20</xdr:col>
          <xdr:colOff>95756</xdr:colOff>
          <xdr:row>5</xdr:row>
          <xdr:rowOff>212539</xdr:rowOff>
        </xdr:to>
        <xdr:pic>
          <xdr:nvPicPr>
            <xdr:cNvPr id="44" name="Image 43">
              <a:extLst>
                <a:ext uri="{FF2B5EF4-FFF2-40B4-BE49-F238E27FC236}">
                  <a16:creationId xmlns:a16="http://schemas.microsoft.com/office/drawing/2014/main" id="{00000000-0008-0000-0300-00002C000000}"/>
                </a:ext>
              </a:extLst>
            </xdr:cNvPr>
            <xdr:cNvPicPr>
              <a:picLocks noChangeArrowheads="1"/>
              <a:extLst>
                <a:ext uri="{84589F7E-364E-4C9E-8A38-B11213B215E9}">
                  <a14:cameraTool cellRange="#REF!" spid="_x0000_s483667"/>
                </a:ext>
              </a:extLst>
            </xdr:cNvPicPr>
          </xdr:nvPicPr>
          <xdr:blipFill rotWithShape="1">
            <a:blip xmlns:r="http://schemas.openxmlformats.org/officeDocument/2006/relationships" r:embed="rId2"/>
            <a:srcRect l="4410" t="-11539" b="-1"/>
            <a:stretch>
              <a:fillRect/>
            </a:stretch>
          </xdr:blipFill>
          <xdr:spPr bwMode="auto">
            <a:xfrm>
              <a:off x="79562" y="1354232"/>
              <a:ext cx="4151165" cy="90954"/>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4482</xdr:colOff>
          <xdr:row>5</xdr:row>
          <xdr:rowOff>108698</xdr:rowOff>
        </xdr:from>
        <xdr:to>
          <xdr:col>50</xdr:col>
          <xdr:colOff>46982</xdr:colOff>
          <xdr:row>5</xdr:row>
          <xdr:rowOff>199652</xdr:rowOff>
        </xdr:to>
        <xdr:pic>
          <xdr:nvPicPr>
            <xdr:cNvPr id="45" name="Image 44">
              <a:extLst>
                <a:ext uri="{FF2B5EF4-FFF2-40B4-BE49-F238E27FC236}">
                  <a16:creationId xmlns:a16="http://schemas.microsoft.com/office/drawing/2014/main" id="{00000000-0008-0000-0300-00002D000000}"/>
                </a:ext>
              </a:extLst>
            </xdr:cNvPr>
            <xdr:cNvPicPr>
              <a:picLocks noChangeArrowheads="1"/>
              <a:extLst>
                <a:ext uri="{84589F7E-364E-4C9E-8A38-B11213B215E9}">
                  <a14:cameraTool cellRange="#REF!" spid="_x0000_s483668"/>
                </a:ext>
              </a:extLst>
            </xdr:cNvPicPr>
          </xdr:nvPicPr>
          <xdr:blipFill rotWithShape="1">
            <a:blip xmlns:r="http://schemas.openxmlformats.org/officeDocument/2006/relationships" r:embed="rId2"/>
            <a:srcRect l="4410" t="-11539" b="-1"/>
            <a:stretch>
              <a:fillRect/>
            </a:stretch>
          </xdr:blipFill>
          <xdr:spPr bwMode="auto">
            <a:xfrm>
              <a:off x="5349688" y="1341345"/>
              <a:ext cx="4973088" cy="90954"/>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180975</xdr:colOff>
          <xdr:row>42</xdr:row>
          <xdr:rowOff>0</xdr:rowOff>
        </xdr:from>
        <xdr:to>
          <xdr:col>13</xdr:col>
          <xdr:colOff>9525</xdr:colOff>
          <xdr:row>42</xdr:row>
          <xdr:rowOff>238125</xdr:rowOff>
        </xdr:to>
        <xdr:sp macro="" textlink="">
          <xdr:nvSpPr>
            <xdr:cNvPr id="65579" name="Check Box 43" hidden="1">
              <a:extLst>
                <a:ext uri="{63B3BB69-23CF-44E3-9099-C40C66FF867C}">
                  <a14:compatExt spid="_x0000_s65579"/>
                </a:ext>
                <a:ext uri="{FF2B5EF4-FFF2-40B4-BE49-F238E27FC236}">
                  <a16:creationId xmlns:a16="http://schemas.microsoft.com/office/drawing/2014/main" id="{00000000-0008-0000-0300-00002B0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180975</xdr:colOff>
          <xdr:row>43</xdr:row>
          <xdr:rowOff>9525</xdr:rowOff>
        </xdr:from>
        <xdr:to>
          <xdr:col>13</xdr:col>
          <xdr:colOff>9525</xdr:colOff>
          <xdr:row>44</xdr:row>
          <xdr:rowOff>0</xdr:rowOff>
        </xdr:to>
        <xdr:sp macro="" textlink="">
          <xdr:nvSpPr>
            <xdr:cNvPr id="65580" name="Check Box 44" hidden="1">
              <a:extLst>
                <a:ext uri="{63B3BB69-23CF-44E3-9099-C40C66FF867C}">
                  <a14:compatExt spid="_x0000_s65580"/>
                </a:ext>
                <a:ext uri="{FF2B5EF4-FFF2-40B4-BE49-F238E27FC236}">
                  <a16:creationId xmlns:a16="http://schemas.microsoft.com/office/drawing/2014/main" id="{00000000-0008-0000-0300-00002C0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180975</xdr:colOff>
          <xdr:row>44</xdr:row>
          <xdr:rowOff>9525</xdr:rowOff>
        </xdr:from>
        <xdr:to>
          <xdr:col>13</xdr:col>
          <xdr:colOff>9525</xdr:colOff>
          <xdr:row>45</xdr:row>
          <xdr:rowOff>0</xdr:rowOff>
        </xdr:to>
        <xdr:sp macro="" textlink="">
          <xdr:nvSpPr>
            <xdr:cNvPr id="65581" name="Check Box 45" hidden="1">
              <a:extLst>
                <a:ext uri="{63B3BB69-23CF-44E3-9099-C40C66FF867C}">
                  <a14:compatExt spid="_x0000_s65581"/>
                </a:ext>
                <a:ext uri="{FF2B5EF4-FFF2-40B4-BE49-F238E27FC236}">
                  <a16:creationId xmlns:a16="http://schemas.microsoft.com/office/drawing/2014/main" id="{00000000-0008-0000-0300-00002D0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180975</xdr:colOff>
          <xdr:row>45</xdr:row>
          <xdr:rowOff>9525</xdr:rowOff>
        </xdr:from>
        <xdr:to>
          <xdr:col>13</xdr:col>
          <xdr:colOff>9525</xdr:colOff>
          <xdr:row>46</xdr:row>
          <xdr:rowOff>0</xdr:rowOff>
        </xdr:to>
        <xdr:sp macro="" textlink="">
          <xdr:nvSpPr>
            <xdr:cNvPr id="65582" name="Check Box 46" hidden="1">
              <a:extLst>
                <a:ext uri="{63B3BB69-23CF-44E3-9099-C40C66FF867C}">
                  <a14:compatExt spid="_x0000_s65582"/>
                </a:ext>
                <a:ext uri="{FF2B5EF4-FFF2-40B4-BE49-F238E27FC236}">
                  <a16:creationId xmlns:a16="http://schemas.microsoft.com/office/drawing/2014/main" id="{00000000-0008-0000-0300-00002E0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180975</xdr:colOff>
          <xdr:row>47</xdr:row>
          <xdr:rowOff>9525</xdr:rowOff>
        </xdr:from>
        <xdr:to>
          <xdr:col>13</xdr:col>
          <xdr:colOff>9525</xdr:colOff>
          <xdr:row>48</xdr:row>
          <xdr:rowOff>0</xdr:rowOff>
        </xdr:to>
        <xdr:sp macro="" textlink="">
          <xdr:nvSpPr>
            <xdr:cNvPr id="65583" name="Check Box 47" hidden="1">
              <a:extLst>
                <a:ext uri="{63B3BB69-23CF-44E3-9099-C40C66FF867C}">
                  <a14:compatExt spid="_x0000_s65583"/>
                </a:ext>
                <a:ext uri="{FF2B5EF4-FFF2-40B4-BE49-F238E27FC236}">
                  <a16:creationId xmlns:a16="http://schemas.microsoft.com/office/drawing/2014/main" id="{00000000-0008-0000-0300-00002F0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180975</xdr:colOff>
          <xdr:row>46</xdr:row>
          <xdr:rowOff>9525</xdr:rowOff>
        </xdr:from>
        <xdr:to>
          <xdr:col>13</xdr:col>
          <xdr:colOff>9525</xdr:colOff>
          <xdr:row>47</xdr:row>
          <xdr:rowOff>0</xdr:rowOff>
        </xdr:to>
        <xdr:sp macro="" textlink="">
          <xdr:nvSpPr>
            <xdr:cNvPr id="65584" name="Check Box 48" hidden="1">
              <a:extLst>
                <a:ext uri="{63B3BB69-23CF-44E3-9099-C40C66FF867C}">
                  <a14:compatExt spid="_x0000_s65584"/>
                </a:ext>
                <a:ext uri="{FF2B5EF4-FFF2-40B4-BE49-F238E27FC236}">
                  <a16:creationId xmlns:a16="http://schemas.microsoft.com/office/drawing/2014/main" id="{00000000-0008-0000-0300-0000300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180975</xdr:colOff>
          <xdr:row>48</xdr:row>
          <xdr:rowOff>9525</xdr:rowOff>
        </xdr:from>
        <xdr:to>
          <xdr:col>13</xdr:col>
          <xdr:colOff>9525</xdr:colOff>
          <xdr:row>49</xdr:row>
          <xdr:rowOff>0</xdr:rowOff>
        </xdr:to>
        <xdr:sp macro="" textlink="">
          <xdr:nvSpPr>
            <xdr:cNvPr id="65585" name="Check Box 49" hidden="1">
              <a:extLst>
                <a:ext uri="{63B3BB69-23CF-44E3-9099-C40C66FF867C}">
                  <a14:compatExt spid="_x0000_s65585"/>
                </a:ext>
                <a:ext uri="{FF2B5EF4-FFF2-40B4-BE49-F238E27FC236}">
                  <a16:creationId xmlns:a16="http://schemas.microsoft.com/office/drawing/2014/main" id="{00000000-0008-0000-0300-0000310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57150</xdr:colOff>
          <xdr:row>9</xdr:row>
          <xdr:rowOff>200025</xdr:rowOff>
        </xdr:from>
        <xdr:to>
          <xdr:col>39</xdr:col>
          <xdr:colOff>77450</xdr:colOff>
          <xdr:row>10</xdr:row>
          <xdr:rowOff>44450</xdr:rowOff>
        </xdr:to>
        <xdr:pic>
          <xdr:nvPicPr>
            <xdr:cNvPr id="54" name="Image 53">
              <a:extLst>
                <a:ext uri="{FF2B5EF4-FFF2-40B4-BE49-F238E27FC236}">
                  <a16:creationId xmlns:a16="http://schemas.microsoft.com/office/drawing/2014/main" id="{00000000-0008-0000-0300-000036000000}"/>
                </a:ext>
              </a:extLst>
            </xdr:cNvPr>
            <xdr:cNvPicPr>
              <a:picLocks noChangeArrowheads="1"/>
              <a:extLst>
                <a:ext uri="{84589F7E-364E-4C9E-8A38-B11213B215E9}">
                  <a14:cameraTool cellRange="#REF!" spid="_x0000_s483669"/>
                </a:ext>
              </a:extLst>
            </xdr:cNvPicPr>
          </xdr:nvPicPr>
          <xdr:blipFill rotWithShape="1">
            <a:blip xmlns:r="http://schemas.openxmlformats.org/officeDocument/2006/relationships" r:embed="rId2"/>
            <a:srcRect l="4410" t="-11539" b="-1"/>
            <a:stretch>
              <a:fillRect/>
            </a:stretch>
          </xdr:blipFill>
          <xdr:spPr bwMode="auto">
            <a:xfrm>
              <a:off x="5213350" y="2473325"/>
              <a:ext cx="2649200" cy="9842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133350</xdr:colOff>
          <xdr:row>9</xdr:row>
          <xdr:rowOff>200025</xdr:rowOff>
        </xdr:from>
        <xdr:to>
          <xdr:col>20</xdr:col>
          <xdr:colOff>159800</xdr:colOff>
          <xdr:row>10</xdr:row>
          <xdr:rowOff>44450</xdr:rowOff>
        </xdr:to>
        <xdr:pic>
          <xdr:nvPicPr>
            <xdr:cNvPr id="55" name="Image 54">
              <a:extLst>
                <a:ext uri="{FF2B5EF4-FFF2-40B4-BE49-F238E27FC236}">
                  <a16:creationId xmlns:a16="http://schemas.microsoft.com/office/drawing/2014/main" id="{00000000-0008-0000-0300-000037000000}"/>
                </a:ext>
              </a:extLst>
            </xdr:cNvPr>
            <xdr:cNvPicPr>
              <a:picLocks noChangeArrowheads="1"/>
              <a:extLst>
                <a:ext uri="{84589F7E-364E-4C9E-8A38-B11213B215E9}">
                  <a14:cameraTool cellRange="#REF!" spid="_x0000_s483670"/>
                </a:ext>
              </a:extLst>
            </xdr:cNvPicPr>
          </xdr:nvPicPr>
          <xdr:blipFill rotWithShape="1">
            <a:blip xmlns:r="http://schemas.openxmlformats.org/officeDocument/2006/relationships" r:embed="rId2"/>
            <a:srcRect l="4410" t="-11539" b="-1"/>
            <a:stretch>
              <a:fillRect/>
            </a:stretch>
          </xdr:blipFill>
          <xdr:spPr bwMode="auto">
            <a:xfrm>
              <a:off x="1905000" y="2473325"/>
              <a:ext cx="2229900" cy="9842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43</xdr:col>
          <xdr:colOff>47625</xdr:colOff>
          <xdr:row>9</xdr:row>
          <xdr:rowOff>200025</xdr:rowOff>
        </xdr:from>
        <xdr:to>
          <xdr:col>50</xdr:col>
          <xdr:colOff>159450</xdr:colOff>
          <xdr:row>10</xdr:row>
          <xdr:rowOff>44450</xdr:rowOff>
        </xdr:to>
        <xdr:pic>
          <xdr:nvPicPr>
            <xdr:cNvPr id="56" name="Image 55">
              <a:extLst>
                <a:ext uri="{FF2B5EF4-FFF2-40B4-BE49-F238E27FC236}">
                  <a16:creationId xmlns:a16="http://schemas.microsoft.com/office/drawing/2014/main" id="{00000000-0008-0000-0300-000038000000}"/>
                </a:ext>
              </a:extLst>
            </xdr:cNvPr>
            <xdr:cNvPicPr>
              <a:picLocks noChangeArrowheads="1"/>
              <a:extLst>
                <a:ext uri="{84589F7E-364E-4C9E-8A38-B11213B215E9}">
                  <a14:cameraTool cellRange="#REF!" spid="_x0000_s483671"/>
                </a:ext>
              </a:extLst>
            </xdr:cNvPicPr>
          </xdr:nvPicPr>
          <xdr:blipFill rotWithShape="1">
            <a:blip xmlns:r="http://schemas.openxmlformats.org/officeDocument/2006/relationships" r:embed="rId2"/>
            <a:srcRect l="4410" t="-11539" b="-1"/>
            <a:stretch>
              <a:fillRect/>
            </a:stretch>
          </xdr:blipFill>
          <xdr:spPr bwMode="auto">
            <a:xfrm>
              <a:off x="8562975" y="2473325"/>
              <a:ext cx="1489775" cy="9842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38100</xdr:colOff>
          <xdr:row>9</xdr:row>
          <xdr:rowOff>200025</xdr:rowOff>
        </xdr:from>
        <xdr:to>
          <xdr:col>5</xdr:col>
          <xdr:colOff>43269</xdr:colOff>
          <xdr:row>10</xdr:row>
          <xdr:rowOff>44450</xdr:rowOff>
        </xdr:to>
        <xdr:pic>
          <xdr:nvPicPr>
            <xdr:cNvPr id="57" name="Image 56">
              <a:extLst>
                <a:ext uri="{FF2B5EF4-FFF2-40B4-BE49-F238E27FC236}">
                  <a16:creationId xmlns:a16="http://schemas.microsoft.com/office/drawing/2014/main" id="{00000000-0008-0000-0300-000039000000}"/>
                </a:ext>
              </a:extLst>
            </xdr:cNvPr>
            <xdr:cNvPicPr>
              <a:picLocks noChangeArrowheads="1"/>
              <a:extLst>
                <a:ext uri="{84589F7E-364E-4C9E-8A38-B11213B215E9}">
                  <a14:cameraTool cellRange="#REF!" spid="_x0000_s483672"/>
                </a:ext>
              </a:extLst>
            </xdr:cNvPicPr>
          </xdr:nvPicPr>
          <xdr:blipFill rotWithShape="1">
            <a:blip xmlns:r="http://schemas.openxmlformats.org/officeDocument/2006/relationships" r:embed="rId2"/>
            <a:srcRect l="4410" t="-11539" b="-1"/>
            <a:stretch>
              <a:fillRect/>
            </a:stretch>
          </xdr:blipFill>
          <xdr:spPr bwMode="auto">
            <a:xfrm>
              <a:off x="38100" y="2473325"/>
              <a:ext cx="1064125" cy="9842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oneCellAnchor>
        <xdr:from>
          <xdr:col>0</xdr:col>
          <xdr:colOff>57150</xdr:colOff>
          <xdr:row>59</xdr:row>
          <xdr:rowOff>200025</xdr:rowOff>
        </xdr:from>
        <xdr:ext cx="4608000" cy="92075"/>
        <xdr:pic>
          <xdr:nvPicPr>
            <xdr:cNvPr id="58" name="Image 57">
              <a:extLst>
                <a:ext uri="{FF2B5EF4-FFF2-40B4-BE49-F238E27FC236}">
                  <a16:creationId xmlns:a16="http://schemas.microsoft.com/office/drawing/2014/main" id="{00000000-0008-0000-0300-00003A000000}"/>
                </a:ext>
              </a:extLst>
            </xdr:cNvPr>
            <xdr:cNvPicPr>
              <a:picLocks noChangeArrowheads="1"/>
              <a:extLst>
                <a:ext uri="{84589F7E-364E-4C9E-8A38-B11213B215E9}">
                  <a14:cameraTool cellRange="#REF!" spid="_x0000_s483673"/>
                </a:ext>
              </a:extLst>
            </xdr:cNvPicPr>
          </xdr:nvPicPr>
          <xdr:blipFill rotWithShape="1">
            <a:blip xmlns:r="http://schemas.openxmlformats.org/officeDocument/2006/relationships" r:embed="rId2"/>
            <a:srcRect l="4410" t="-11539" b="-1"/>
            <a:stretch>
              <a:fillRect/>
            </a:stretch>
          </xdr:blipFill>
          <xdr:spPr bwMode="auto">
            <a:xfrm>
              <a:off x="57150" y="16443325"/>
              <a:ext cx="4608000" cy="92075"/>
            </a:xfrm>
            <a:prstGeom prst="rect">
              <a:avLst/>
            </a:prstGeom>
            <a:noFill/>
            <a:extLst>
              <a:ext uri="{909E8E84-426E-40DD-AFC4-6F175D3DCCD1}">
                <a14:hiddenFill>
                  <a:solidFill>
                    <a:srgbClr val="FFFFFF"/>
                  </a:solidFill>
                </a14:hiddenFill>
              </a:ext>
            </a:extLst>
          </xdr:spPr>
        </xdr:pic>
        <xdr:clientData/>
      </xdr:oneCellAnchor>
    </mc:Choice>
    <mc:Fallback/>
  </mc:AlternateContent>
  <mc:AlternateContent xmlns:mc="http://schemas.openxmlformats.org/markup-compatibility/2006">
    <mc:Choice xmlns:a14="http://schemas.microsoft.com/office/drawing/2010/main" Requires="a14">
      <xdr:oneCellAnchor>
        <xdr:from>
          <xdr:col>27</xdr:col>
          <xdr:colOff>142875</xdr:colOff>
          <xdr:row>59</xdr:row>
          <xdr:rowOff>190500</xdr:rowOff>
        </xdr:from>
        <xdr:ext cx="4644000" cy="92075"/>
        <xdr:pic>
          <xdr:nvPicPr>
            <xdr:cNvPr id="59" name="Image 58">
              <a:extLst>
                <a:ext uri="{FF2B5EF4-FFF2-40B4-BE49-F238E27FC236}">
                  <a16:creationId xmlns:a16="http://schemas.microsoft.com/office/drawing/2014/main" id="{00000000-0008-0000-0300-00003B000000}"/>
                </a:ext>
              </a:extLst>
            </xdr:cNvPr>
            <xdr:cNvPicPr>
              <a:picLocks noChangeArrowheads="1"/>
              <a:extLst>
                <a:ext uri="{84589F7E-364E-4C9E-8A38-B11213B215E9}">
                  <a14:cameraTool cellRange="#REF!" spid="_x0000_s483674"/>
                </a:ext>
              </a:extLst>
            </xdr:cNvPicPr>
          </xdr:nvPicPr>
          <xdr:blipFill rotWithShape="1">
            <a:blip xmlns:r="http://schemas.openxmlformats.org/officeDocument/2006/relationships" r:embed="rId2"/>
            <a:srcRect l="4410" t="-11539" b="-1"/>
            <a:stretch>
              <a:fillRect/>
            </a:stretch>
          </xdr:blipFill>
          <xdr:spPr bwMode="auto">
            <a:xfrm>
              <a:off x="5495925" y="16433800"/>
              <a:ext cx="4644000" cy="92075"/>
            </a:xfrm>
            <a:prstGeom prst="rect">
              <a:avLst/>
            </a:prstGeom>
            <a:noFill/>
            <a:extLst>
              <a:ext uri="{909E8E84-426E-40DD-AFC4-6F175D3DCCD1}">
                <a14:hiddenFill>
                  <a:solidFill>
                    <a:srgbClr val="FFFFFF"/>
                  </a:solidFill>
                </a14:hiddenFill>
              </a:ext>
            </a:extLst>
          </xdr:spPr>
        </xdr:pic>
        <xdr:clientData/>
      </xdr:oneCellAnchor>
    </mc:Choice>
    <mc:Fallback/>
  </mc:AlternateContent>
  <mc:AlternateContent xmlns:mc="http://schemas.openxmlformats.org/markup-compatibility/2006">
    <mc:Choice xmlns:a14="http://schemas.microsoft.com/office/drawing/2010/main" Requires="a14">
      <xdr:twoCellAnchor editAs="oneCell">
        <xdr:from>
          <xdr:col>21</xdr:col>
          <xdr:colOff>0</xdr:colOff>
          <xdr:row>22</xdr:row>
          <xdr:rowOff>200025</xdr:rowOff>
        </xdr:from>
        <xdr:to>
          <xdr:col>25</xdr:col>
          <xdr:colOff>99900</xdr:colOff>
          <xdr:row>23</xdr:row>
          <xdr:rowOff>44450</xdr:rowOff>
        </xdr:to>
        <xdr:pic>
          <xdr:nvPicPr>
            <xdr:cNvPr id="61" name="Image 60">
              <a:extLst>
                <a:ext uri="{FF2B5EF4-FFF2-40B4-BE49-F238E27FC236}">
                  <a16:creationId xmlns:a16="http://schemas.microsoft.com/office/drawing/2014/main" id="{00000000-0008-0000-0300-00003D000000}"/>
                </a:ext>
              </a:extLst>
            </xdr:cNvPr>
            <xdr:cNvPicPr>
              <a:picLocks noChangeArrowheads="1"/>
              <a:extLst>
                <a:ext uri="{84589F7E-364E-4C9E-8A38-B11213B215E9}">
                  <a14:cameraTool cellRange="#REF!" spid="_x0000_s483675"/>
                </a:ext>
              </a:extLst>
            </xdr:cNvPicPr>
          </xdr:nvPicPr>
          <xdr:blipFill rotWithShape="1">
            <a:blip xmlns:r="http://schemas.openxmlformats.org/officeDocument/2006/relationships" r:embed="rId2"/>
            <a:srcRect l="4410" t="-11539" b="-1"/>
            <a:stretch>
              <a:fillRect/>
            </a:stretch>
          </xdr:blipFill>
          <xdr:spPr bwMode="auto">
            <a:xfrm>
              <a:off x="4171950" y="5775325"/>
              <a:ext cx="887300" cy="9842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22</xdr:row>
          <xdr:rowOff>180975</xdr:rowOff>
        </xdr:from>
        <xdr:to>
          <xdr:col>15</xdr:col>
          <xdr:colOff>186500</xdr:colOff>
          <xdr:row>23</xdr:row>
          <xdr:rowOff>25400</xdr:rowOff>
        </xdr:to>
        <xdr:pic>
          <xdr:nvPicPr>
            <xdr:cNvPr id="62" name="Image 61">
              <a:extLst>
                <a:ext uri="{FF2B5EF4-FFF2-40B4-BE49-F238E27FC236}">
                  <a16:creationId xmlns:a16="http://schemas.microsoft.com/office/drawing/2014/main" id="{00000000-0008-0000-0300-00003E000000}"/>
                </a:ext>
              </a:extLst>
            </xdr:cNvPr>
            <xdr:cNvPicPr>
              <a:picLocks noChangeArrowheads="1"/>
              <a:extLst>
                <a:ext uri="{84589F7E-364E-4C9E-8A38-B11213B215E9}">
                  <a14:cameraTool cellRange="#REF!" spid="_x0000_s483676"/>
                </a:ext>
              </a:extLst>
            </xdr:cNvPicPr>
          </xdr:nvPicPr>
          <xdr:blipFill rotWithShape="1">
            <a:blip xmlns:r="http://schemas.openxmlformats.org/officeDocument/2006/relationships" r:embed="rId2"/>
            <a:srcRect l="4410" t="-11539" b="-1"/>
            <a:stretch>
              <a:fillRect/>
            </a:stretch>
          </xdr:blipFill>
          <xdr:spPr bwMode="auto">
            <a:xfrm>
              <a:off x="2667000" y="5756275"/>
              <a:ext cx="497650" cy="9842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104775</xdr:colOff>
          <xdr:row>22</xdr:row>
          <xdr:rowOff>200025</xdr:rowOff>
        </xdr:from>
        <xdr:to>
          <xdr:col>32</xdr:col>
          <xdr:colOff>117675</xdr:colOff>
          <xdr:row>23</xdr:row>
          <xdr:rowOff>44450</xdr:rowOff>
        </xdr:to>
        <xdr:pic>
          <xdr:nvPicPr>
            <xdr:cNvPr id="63" name="Image 62">
              <a:extLst>
                <a:ext uri="{FF2B5EF4-FFF2-40B4-BE49-F238E27FC236}">
                  <a16:creationId xmlns:a16="http://schemas.microsoft.com/office/drawing/2014/main" id="{00000000-0008-0000-0300-00003F000000}"/>
                </a:ext>
              </a:extLst>
            </xdr:cNvPr>
            <xdr:cNvPicPr>
              <a:picLocks noChangeArrowheads="1"/>
              <a:extLst>
                <a:ext uri="{84589F7E-364E-4C9E-8A38-B11213B215E9}">
                  <a14:cameraTool cellRange="#REF!" spid="_x0000_s483677"/>
                </a:ext>
              </a:extLst>
            </xdr:cNvPicPr>
          </xdr:nvPicPr>
          <xdr:blipFill rotWithShape="1">
            <a:blip xmlns:r="http://schemas.openxmlformats.org/officeDocument/2006/relationships" r:embed="rId2"/>
            <a:srcRect l="4410" t="-11539" b="-1"/>
            <a:stretch>
              <a:fillRect/>
            </a:stretch>
          </xdr:blipFill>
          <xdr:spPr bwMode="auto">
            <a:xfrm>
              <a:off x="6048375" y="5775325"/>
              <a:ext cx="425650" cy="9842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114300</xdr:colOff>
          <xdr:row>27</xdr:row>
          <xdr:rowOff>190500</xdr:rowOff>
        </xdr:from>
        <xdr:to>
          <xdr:col>25</xdr:col>
          <xdr:colOff>122175</xdr:colOff>
          <xdr:row>28</xdr:row>
          <xdr:rowOff>34925</xdr:rowOff>
        </xdr:to>
        <xdr:pic>
          <xdr:nvPicPr>
            <xdr:cNvPr id="64" name="Image 63">
              <a:extLst>
                <a:ext uri="{FF2B5EF4-FFF2-40B4-BE49-F238E27FC236}">
                  <a16:creationId xmlns:a16="http://schemas.microsoft.com/office/drawing/2014/main" id="{00000000-0008-0000-0300-000040000000}"/>
                </a:ext>
              </a:extLst>
            </xdr:cNvPr>
            <xdr:cNvPicPr>
              <a:picLocks noChangeArrowheads="1"/>
              <a:extLst>
                <a:ext uri="{84589F7E-364E-4C9E-8A38-B11213B215E9}">
                  <a14:cameraTool cellRange="#REF!" spid="_x0000_s483678"/>
                </a:ext>
              </a:extLst>
            </xdr:cNvPicPr>
          </xdr:nvPicPr>
          <xdr:blipFill rotWithShape="1">
            <a:blip xmlns:r="http://schemas.openxmlformats.org/officeDocument/2006/relationships" r:embed="rId2"/>
            <a:srcRect l="4410" t="-11539" b="-1"/>
            <a:stretch>
              <a:fillRect/>
            </a:stretch>
          </xdr:blipFill>
          <xdr:spPr bwMode="auto">
            <a:xfrm>
              <a:off x="4089400" y="7035800"/>
              <a:ext cx="992125" cy="9842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95250</xdr:colOff>
          <xdr:row>27</xdr:row>
          <xdr:rowOff>190500</xdr:rowOff>
        </xdr:from>
        <xdr:to>
          <xdr:col>32</xdr:col>
          <xdr:colOff>124125</xdr:colOff>
          <xdr:row>28</xdr:row>
          <xdr:rowOff>34925</xdr:rowOff>
        </xdr:to>
        <xdr:pic>
          <xdr:nvPicPr>
            <xdr:cNvPr id="65" name="Image 64">
              <a:extLst>
                <a:ext uri="{FF2B5EF4-FFF2-40B4-BE49-F238E27FC236}">
                  <a16:creationId xmlns:a16="http://schemas.microsoft.com/office/drawing/2014/main" id="{00000000-0008-0000-0300-000041000000}"/>
                </a:ext>
              </a:extLst>
            </xdr:cNvPr>
            <xdr:cNvPicPr>
              <a:picLocks noChangeArrowheads="1"/>
              <a:extLst>
                <a:ext uri="{84589F7E-364E-4C9E-8A38-B11213B215E9}">
                  <a14:cameraTool cellRange="#REF!" spid="_x0000_s483679"/>
                </a:ext>
              </a:extLst>
            </xdr:cNvPicPr>
          </xdr:nvPicPr>
          <xdr:blipFill rotWithShape="1">
            <a:blip xmlns:r="http://schemas.openxmlformats.org/officeDocument/2006/relationships" r:embed="rId2"/>
            <a:srcRect l="4410" t="-11539" b="-1"/>
            <a:stretch>
              <a:fillRect/>
            </a:stretch>
          </xdr:blipFill>
          <xdr:spPr bwMode="auto">
            <a:xfrm>
              <a:off x="5842000" y="7035800"/>
              <a:ext cx="638475" cy="9842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27</xdr:row>
          <xdr:rowOff>190500</xdr:rowOff>
        </xdr:from>
        <xdr:to>
          <xdr:col>15</xdr:col>
          <xdr:colOff>114500</xdr:colOff>
          <xdr:row>28</xdr:row>
          <xdr:rowOff>34925</xdr:rowOff>
        </xdr:to>
        <xdr:pic>
          <xdr:nvPicPr>
            <xdr:cNvPr id="66" name="Image 65">
              <a:extLst>
                <a:ext uri="{FF2B5EF4-FFF2-40B4-BE49-F238E27FC236}">
                  <a16:creationId xmlns:a16="http://schemas.microsoft.com/office/drawing/2014/main" id="{00000000-0008-0000-0300-000042000000}"/>
                </a:ext>
              </a:extLst>
            </xdr:cNvPr>
            <xdr:cNvPicPr>
              <a:picLocks noChangeArrowheads="1"/>
              <a:extLst>
                <a:ext uri="{84589F7E-364E-4C9E-8A38-B11213B215E9}">
                  <a14:cameraTool cellRange="#REF!" spid="_x0000_s483680"/>
                </a:ext>
              </a:extLst>
            </xdr:cNvPicPr>
          </xdr:nvPicPr>
          <xdr:blipFill rotWithShape="1">
            <a:blip xmlns:r="http://schemas.openxmlformats.org/officeDocument/2006/relationships" r:embed="rId2"/>
            <a:srcRect l="4410" t="-11539" b="-1"/>
            <a:stretch>
              <a:fillRect/>
            </a:stretch>
          </xdr:blipFill>
          <xdr:spPr bwMode="auto">
            <a:xfrm>
              <a:off x="2667000" y="7035800"/>
              <a:ext cx="425650" cy="9842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30</xdr:row>
          <xdr:rowOff>190500</xdr:rowOff>
        </xdr:from>
        <xdr:to>
          <xdr:col>15</xdr:col>
          <xdr:colOff>42500</xdr:colOff>
          <xdr:row>31</xdr:row>
          <xdr:rowOff>34925</xdr:rowOff>
        </xdr:to>
        <xdr:pic>
          <xdr:nvPicPr>
            <xdr:cNvPr id="67" name="Image 66">
              <a:extLst>
                <a:ext uri="{FF2B5EF4-FFF2-40B4-BE49-F238E27FC236}">
                  <a16:creationId xmlns:a16="http://schemas.microsoft.com/office/drawing/2014/main" id="{00000000-0008-0000-0300-000043000000}"/>
                </a:ext>
              </a:extLst>
            </xdr:cNvPr>
            <xdr:cNvPicPr>
              <a:picLocks noChangeArrowheads="1"/>
              <a:extLst>
                <a:ext uri="{84589F7E-364E-4C9E-8A38-B11213B215E9}">
                  <a14:cameraTool cellRange="#REF!" spid="_x0000_s483681"/>
                </a:ext>
              </a:extLst>
            </xdr:cNvPicPr>
          </xdr:nvPicPr>
          <xdr:blipFill rotWithShape="1">
            <a:blip xmlns:r="http://schemas.openxmlformats.org/officeDocument/2006/relationships" r:embed="rId2"/>
            <a:srcRect l="4410" t="-11539" b="-1"/>
            <a:stretch>
              <a:fillRect/>
            </a:stretch>
          </xdr:blipFill>
          <xdr:spPr bwMode="auto">
            <a:xfrm>
              <a:off x="2667000" y="7797800"/>
              <a:ext cx="353650" cy="9842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34</xdr:row>
          <xdr:rowOff>190500</xdr:rowOff>
        </xdr:from>
        <xdr:to>
          <xdr:col>15</xdr:col>
          <xdr:colOff>78500</xdr:colOff>
          <xdr:row>35</xdr:row>
          <xdr:rowOff>34925</xdr:rowOff>
        </xdr:to>
        <xdr:pic>
          <xdr:nvPicPr>
            <xdr:cNvPr id="68" name="Image 67">
              <a:extLst>
                <a:ext uri="{FF2B5EF4-FFF2-40B4-BE49-F238E27FC236}">
                  <a16:creationId xmlns:a16="http://schemas.microsoft.com/office/drawing/2014/main" id="{00000000-0008-0000-0300-000044000000}"/>
                </a:ext>
              </a:extLst>
            </xdr:cNvPr>
            <xdr:cNvPicPr>
              <a:picLocks noChangeArrowheads="1"/>
              <a:extLst>
                <a:ext uri="{84589F7E-364E-4C9E-8A38-B11213B215E9}">
                  <a14:cameraTool cellRange="#REF!" spid="_x0000_s483682"/>
                </a:ext>
              </a:extLst>
            </xdr:cNvPicPr>
          </xdr:nvPicPr>
          <xdr:blipFill rotWithShape="1">
            <a:blip xmlns:r="http://schemas.openxmlformats.org/officeDocument/2006/relationships" r:embed="rId2"/>
            <a:srcRect l="4410" t="-11539" b="-1"/>
            <a:stretch>
              <a:fillRect/>
            </a:stretch>
          </xdr:blipFill>
          <xdr:spPr bwMode="auto">
            <a:xfrm>
              <a:off x="2667000" y="8813800"/>
              <a:ext cx="389650" cy="9842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161925</xdr:colOff>
          <xdr:row>34</xdr:row>
          <xdr:rowOff>190500</xdr:rowOff>
        </xdr:from>
        <xdr:to>
          <xdr:col>25</xdr:col>
          <xdr:colOff>169800</xdr:colOff>
          <xdr:row>35</xdr:row>
          <xdr:rowOff>34925</xdr:rowOff>
        </xdr:to>
        <xdr:pic>
          <xdr:nvPicPr>
            <xdr:cNvPr id="69" name="Image 68">
              <a:extLst>
                <a:ext uri="{FF2B5EF4-FFF2-40B4-BE49-F238E27FC236}">
                  <a16:creationId xmlns:a16="http://schemas.microsoft.com/office/drawing/2014/main" id="{00000000-0008-0000-0300-000045000000}"/>
                </a:ext>
              </a:extLst>
            </xdr:cNvPr>
            <xdr:cNvPicPr>
              <a:picLocks noChangeArrowheads="1"/>
              <a:extLst>
                <a:ext uri="{84589F7E-364E-4C9E-8A38-B11213B215E9}">
                  <a14:cameraTool cellRange="#REF!" spid="_x0000_s483683"/>
                </a:ext>
              </a:extLst>
            </xdr:cNvPicPr>
          </xdr:nvPicPr>
          <xdr:blipFill rotWithShape="1">
            <a:blip xmlns:r="http://schemas.openxmlformats.org/officeDocument/2006/relationships" r:embed="rId2"/>
            <a:srcRect l="4410" t="-11539" b="-1"/>
            <a:stretch>
              <a:fillRect/>
            </a:stretch>
          </xdr:blipFill>
          <xdr:spPr bwMode="auto">
            <a:xfrm>
              <a:off x="4137025" y="8813800"/>
              <a:ext cx="992125" cy="9842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28575</xdr:colOff>
          <xdr:row>34</xdr:row>
          <xdr:rowOff>190500</xdr:rowOff>
        </xdr:from>
        <xdr:to>
          <xdr:col>40</xdr:col>
          <xdr:colOff>184025</xdr:colOff>
          <xdr:row>35</xdr:row>
          <xdr:rowOff>34925</xdr:rowOff>
        </xdr:to>
        <xdr:pic>
          <xdr:nvPicPr>
            <xdr:cNvPr id="70" name="Image 69">
              <a:extLst>
                <a:ext uri="{FF2B5EF4-FFF2-40B4-BE49-F238E27FC236}">
                  <a16:creationId xmlns:a16="http://schemas.microsoft.com/office/drawing/2014/main" id="{00000000-0008-0000-0300-000046000000}"/>
                </a:ext>
              </a:extLst>
            </xdr:cNvPr>
            <xdr:cNvPicPr>
              <a:picLocks noChangeArrowheads="1"/>
              <a:extLst>
                <a:ext uri="{84589F7E-364E-4C9E-8A38-B11213B215E9}">
                  <a14:cameraTool cellRange="#REF!" spid="_x0000_s483684"/>
                </a:ext>
              </a:extLst>
            </xdr:cNvPicPr>
          </xdr:nvPicPr>
          <xdr:blipFill rotWithShape="1">
            <a:blip xmlns:r="http://schemas.openxmlformats.org/officeDocument/2006/relationships" r:embed="rId2"/>
            <a:srcRect l="4410" t="-11539" b="-1"/>
            <a:stretch>
              <a:fillRect/>
            </a:stretch>
          </xdr:blipFill>
          <xdr:spPr bwMode="auto">
            <a:xfrm>
              <a:off x="6169025" y="8813800"/>
              <a:ext cx="1984250" cy="9842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48</xdr:col>
          <xdr:colOff>180975</xdr:colOff>
          <xdr:row>34</xdr:row>
          <xdr:rowOff>190500</xdr:rowOff>
        </xdr:from>
        <xdr:to>
          <xdr:col>50</xdr:col>
          <xdr:colOff>176925</xdr:colOff>
          <xdr:row>35</xdr:row>
          <xdr:rowOff>34925</xdr:rowOff>
        </xdr:to>
        <xdr:pic>
          <xdr:nvPicPr>
            <xdr:cNvPr id="71" name="Image 70">
              <a:extLst>
                <a:ext uri="{FF2B5EF4-FFF2-40B4-BE49-F238E27FC236}">
                  <a16:creationId xmlns:a16="http://schemas.microsoft.com/office/drawing/2014/main" id="{00000000-0008-0000-0300-000047000000}"/>
                </a:ext>
              </a:extLst>
            </xdr:cNvPr>
            <xdr:cNvPicPr>
              <a:picLocks noChangeArrowheads="1"/>
              <a:extLst>
                <a:ext uri="{84589F7E-364E-4C9E-8A38-B11213B215E9}">
                  <a14:cameraTool cellRange="#REF!" spid="_x0000_s483685"/>
                </a:ext>
              </a:extLst>
            </xdr:cNvPicPr>
          </xdr:nvPicPr>
          <xdr:blipFill rotWithShape="1">
            <a:blip xmlns:r="http://schemas.openxmlformats.org/officeDocument/2006/relationships" r:embed="rId2"/>
            <a:srcRect l="4410" t="-11539" b="-1"/>
            <a:stretch>
              <a:fillRect/>
            </a:stretch>
          </xdr:blipFill>
          <xdr:spPr bwMode="auto">
            <a:xfrm>
              <a:off x="9680575" y="8813800"/>
              <a:ext cx="389650" cy="9842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38100</xdr:colOff>
          <xdr:row>38</xdr:row>
          <xdr:rowOff>200025</xdr:rowOff>
        </xdr:from>
        <xdr:to>
          <xdr:col>29</xdr:col>
          <xdr:colOff>26025</xdr:colOff>
          <xdr:row>39</xdr:row>
          <xdr:rowOff>44450</xdr:rowOff>
        </xdr:to>
        <xdr:pic>
          <xdr:nvPicPr>
            <xdr:cNvPr id="72" name="Image 71">
              <a:extLst>
                <a:ext uri="{FF2B5EF4-FFF2-40B4-BE49-F238E27FC236}">
                  <a16:creationId xmlns:a16="http://schemas.microsoft.com/office/drawing/2014/main" id="{00000000-0008-0000-0300-000048000000}"/>
                </a:ext>
              </a:extLst>
            </xdr:cNvPr>
            <xdr:cNvPicPr>
              <a:picLocks noChangeArrowheads="1"/>
              <a:extLst>
                <a:ext uri="{84589F7E-364E-4C9E-8A38-B11213B215E9}">
                  <a14:cameraTool cellRange="#REF!" spid="_x0000_s483686"/>
                </a:ext>
              </a:extLst>
            </xdr:cNvPicPr>
          </xdr:nvPicPr>
          <xdr:blipFill rotWithShape="1">
            <a:blip xmlns:r="http://schemas.openxmlformats.org/officeDocument/2006/relationships" r:embed="rId2"/>
            <a:srcRect l="4410" t="-11539" b="-1"/>
            <a:stretch>
              <a:fillRect/>
            </a:stretch>
          </xdr:blipFill>
          <xdr:spPr bwMode="auto">
            <a:xfrm>
              <a:off x="2203450" y="9839325"/>
              <a:ext cx="3569325" cy="9842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33</xdr:col>
          <xdr:colOff>104775</xdr:colOff>
          <xdr:row>38</xdr:row>
          <xdr:rowOff>200025</xdr:rowOff>
        </xdr:from>
        <xdr:to>
          <xdr:col>50</xdr:col>
          <xdr:colOff>109550</xdr:colOff>
          <xdr:row>39</xdr:row>
          <xdr:rowOff>44450</xdr:rowOff>
        </xdr:to>
        <xdr:pic>
          <xdr:nvPicPr>
            <xdr:cNvPr id="73" name="Image 72">
              <a:extLst>
                <a:ext uri="{FF2B5EF4-FFF2-40B4-BE49-F238E27FC236}">
                  <a16:creationId xmlns:a16="http://schemas.microsoft.com/office/drawing/2014/main" id="{00000000-0008-0000-0300-000049000000}"/>
                </a:ext>
              </a:extLst>
            </xdr:cNvPr>
            <xdr:cNvPicPr>
              <a:picLocks noChangeArrowheads="1"/>
              <a:extLst>
                <a:ext uri="{84589F7E-364E-4C9E-8A38-B11213B215E9}">
                  <a14:cameraTool cellRange="#REF!" spid="_x0000_s483687"/>
                </a:ext>
              </a:extLst>
            </xdr:cNvPicPr>
          </xdr:nvPicPr>
          <xdr:blipFill rotWithShape="1">
            <a:blip xmlns:r="http://schemas.openxmlformats.org/officeDocument/2006/relationships" r:embed="rId2"/>
            <a:srcRect l="4410" t="-11539" b="-1"/>
            <a:stretch>
              <a:fillRect/>
            </a:stretch>
          </xdr:blipFill>
          <xdr:spPr bwMode="auto">
            <a:xfrm>
              <a:off x="6638925" y="9839325"/>
              <a:ext cx="3402025" cy="9842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47625</xdr:colOff>
          <xdr:row>38</xdr:row>
          <xdr:rowOff>200025</xdr:rowOff>
        </xdr:from>
        <xdr:to>
          <xdr:col>2</xdr:col>
          <xdr:colOff>76870</xdr:colOff>
          <xdr:row>39</xdr:row>
          <xdr:rowOff>44450</xdr:rowOff>
        </xdr:to>
        <xdr:pic>
          <xdr:nvPicPr>
            <xdr:cNvPr id="74" name="Image 73">
              <a:extLst>
                <a:ext uri="{FF2B5EF4-FFF2-40B4-BE49-F238E27FC236}">
                  <a16:creationId xmlns:a16="http://schemas.microsoft.com/office/drawing/2014/main" id="{00000000-0008-0000-0300-00004A000000}"/>
                </a:ext>
              </a:extLst>
            </xdr:cNvPr>
            <xdr:cNvPicPr>
              <a:picLocks noChangeArrowheads="1"/>
              <a:extLst>
                <a:ext uri="{84589F7E-364E-4C9E-8A38-B11213B215E9}">
                  <a14:cameraTool cellRange="#REF!" spid="_x0000_s483688"/>
                </a:ext>
              </a:extLst>
            </xdr:cNvPicPr>
          </xdr:nvPicPr>
          <xdr:blipFill rotWithShape="1">
            <a:blip xmlns:r="http://schemas.openxmlformats.org/officeDocument/2006/relationships" r:embed="rId2"/>
            <a:srcRect l="4410" t="-11539" b="-1"/>
            <a:stretch>
              <a:fillRect/>
            </a:stretch>
          </xdr:blipFill>
          <xdr:spPr bwMode="auto">
            <a:xfrm>
              <a:off x="47625" y="9837084"/>
              <a:ext cx="492421" cy="9842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0</xdr:colOff>
          <xdr:row>30</xdr:row>
          <xdr:rowOff>190500</xdr:rowOff>
        </xdr:from>
        <xdr:to>
          <xdr:col>22</xdr:col>
          <xdr:colOff>123975</xdr:colOff>
          <xdr:row>31</xdr:row>
          <xdr:rowOff>34925</xdr:rowOff>
        </xdr:to>
        <xdr:pic>
          <xdr:nvPicPr>
            <xdr:cNvPr id="75" name="Image 74">
              <a:extLst>
                <a:ext uri="{FF2B5EF4-FFF2-40B4-BE49-F238E27FC236}">
                  <a16:creationId xmlns:a16="http://schemas.microsoft.com/office/drawing/2014/main" id="{00000000-0008-0000-0300-00004B000000}"/>
                </a:ext>
              </a:extLst>
            </xdr:cNvPr>
            <xdr:cNvPicPr>
              <a:picLocks noChangeArrowheads="1"/>
              <a:extLst>
                <a:ext uri="{84589F7E-364E-4C9E-8A38-B11213B215E9}">
                  <a14:cameraTool cellRange="#REF!" spid="_x0000_s483689"/>
                </a:ext>
              </a:extLst>
            </xdr:cNvPicPr>
          </xdr:nvPicPr>
          <xdr:blipFill rotWithShape="1">
            <a:blip xmlns:r="http://schemas.openxmlformats.org/officeDocument/2006/relationships" r:embed="rId2"/>
            <a:srcRect l="4410" t="-11539" b="-1"/>
            <a:stretch>
              <a:fillRect/>
            </a:stretch>
          </xdr:blipFill>
          <xdr:spPr bwMode="auto">
            <a:xfrm>
              <a:off x="4171950" y="7797800"/>
              <a:ext cx="320825" cy="9842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xdr:from>
          <xdr:col>47</xdr:col>
          <xdr:colOff>9525</xdr:colOff>
          <xdr:row>12</xdr:row>
          <xdr:rowOff>0</xdr:rowOff>
        </xdr:from>
        <xdr:to>
          <xdr:col>47</xdr:col>
          <xdr:colOff>190500</xdr:colOff>
          <xdr:row>12</xdr:row>
          <xdr:rowOff>228600</xdr:rowOff>
        </xdr:to>
        <xdr:sp macro="" textlink="">
          <xdr:nvSpPr>
            <xdr:cNvPr id="65586" name="Spinner 50" hidden="1">
              <a:extLst>
                <a:ext uri="{63B3BB69-23CF-44E3-9099-C40C66FF867C}">
                  <a14:compatExt spid="_x0000_s65586"/>
                </a:ext>
                <a:ext uri="{FF2B5EF4-FFF2-40B4-BE49-F238E27FC236}">
                  <a16:creationId xmlns:a16="http://schemas.microsoft.com/office/drawing/2014/main" id="{00000000-0008-0000-0300-000032000100}"/>
                </a:ext>
              </a:extLst>
            </xdr:cNvPr>
            <xdr:cNvSpPr/>
          </xdr:nvSpPr>
          <xdr:spPr bwMode="auto">
            <a:xfrm>
              <a:off x="0" y="0"/>
              <a:ext cx="0" cy="0"/>
            </a:xfrm>
            <a:prstGeom prst="rect">
              <a:avLst/>
            </a:prstGeom>
            <a:noFill/>
            <a:ln w="9525">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xdr:from>
          <xdr:col>47</xdr:col>
          <xdr:colOff>9525</xdr:colOff>
          <xdr:row>13</xdr:row>
          <xdr:rowOff>0</xdr:rowOff>
        </xdr:from>
        <xdr:to>
          <xdr:col>47</xdr:col>
          <xdr:colOff>190500</xdr:colOff>
          <xdr:row>13</xdr:row>
          <xdr:rowOff>228600</xdr:rowOff>
        </xdr:to>
        <xdr:sp macro="" textlink="">
          <xdr:nvSpPr>
            <xdr:cNvPr id="65587" name="Spinner 51" hidden="1">
              <a:extLst>
                <a:ext uri="{63B3BB69-23CF-44E3-9099-C40C66FF867C}">
                  <a14:compatExt spid="_x0000_s65587"/>
                </a:ext>
                <a:ext uri="{FF2B5EF4-FFF2-40B4-BE49-F238E27FC236}">
                  <a16:creationId xmlns:a16="http://schemas.microsoft.com/office/drawing/2014/main" id="{00000000-0008-0000-0300-000033000100}"/>
                </a:ext>
              </a:extLst>
            </xdr:cNvPr>
            <xdr:cNvSpPr/>
          </xdr:nvSpPr>
          <xdr:spPr bwMode="auto">
            <a:xfrm>
              <a:off x="0" y="0"/>
              <a:ext cx="0" cy="0"/>
            </a:xfrm>
            <a:prstGeom prst="rect">
              <a:avLst/>
            </a:prstGeom>
            <a:noFill/>
            <a:ln w="9525">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xdr:from>
          <xdr:col>47</xdr:col>
          <xdr:colOff>9525</xdr:colOff>
          <xdr:row>14</xdr:row>
          <xdr:rowOff>0</xdr:rowOff>
        </xdr:from>
        <xdr:to>
          <xdr:col>47</xdr:col>
          <xdr:colOff>190500</xdr:colOff>
          <xdr:row>14</xdr:row>
          <xdr:rowOff>228600</xdr:rowOff>
        </xdr:to>
        <xdr:sp macro="" textlink="">
          <xdr:nvSpPr>
            <xdr:cNvPr id="65588" name="Spinner 52" hidden="1">
              <a:extLst>
                <a:ext uri="{63B3BB69-23CF-44E3-9099-C40C66FF867C}">
                  <a14:compatExt spid="_x0000_s65588"/>
                </a:ext>
                <a:ext uri="{FF2B5EF4-FFF2-40B4-BE49-F238E27FC236}">
                  <a16:creationId xmlns:a16="http://schemas.microsoft.com/office/drawing/2014/main" id="{00000000-0008-0000-0300-000034000100}"/>
                </a:ext>
              </a:extLst>
            </xdr:cNvPr>
            <xdr:cNvSpPr/>
          </xdr:nvSpPr>
          <xdr:spPr bwMode="auto">
            <a:xfrm>
              <a:off x="0" y="0"/>
              <a:ext cx="0" cy="0"/>
            </a:xfrm>
            <a:prstGeom prst="rect">
              <a:avLst/>
            </a:prstGeom>
            <a:noFill/>
            <a:ln w="9525">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xdr:from>
          <xdr:col>47</xdr:col>
          <xdr:colOff>9525</xdr:colOff>
          <xdr:row>15</xdr:row>
          <xdr:rowOff>0</xdr:rowOff>
        </xdr:from>
        <xdr:to>
          <xdr:col>47</xdr:col>
          <xdr:colOff>190500</xdr:colOff>
          <xdr:row>15</xdr:row>
          <xdr:rowOff>228600</xdr:rowOff>
        </xdr:to>
        <xdr:sp macro="" textlink="">
          <xdr:nvSpPr>
            <xdr:cNvPr id="65589" name="Spinner 53" hidden="1">
              <a:extLst>
                <a:ext uri="{63B3BB69-23CF-44E3-9099-C40C66FF867C}">
                  <a14:compatExt spid="_x0000_s65589"/>
                </a:ext>
                <a:ext uri="{FF2B5EF4-FFF2-40B4-BE49-F238E27FC236}">
                  <a16:creationId xmlns:a16="http://schemas.microsoft.com/office/drawing/2014/main" id="{00000000-0008-0000-0300-000035000100}"/>
                </a:ext>
              </a:extLst>
            </xdr:cNvPr>
            <xdr:cNvSpPr/>
          </xdr:nvSpPr>
          <xdr:spPr bwMode="auto">
            <a:xfrm>
              <a:off x="0" y="0"/>
              <a:ext cx="0" cy="0"/>
            </a:xfrm>
            <a:prstGeom prst="rect">
              <a:avLst/>
            </a:prstGeom>
            <a:noFill/>
            <a:ln w="9525">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xdr:from>
          <xdr:col>47</xdr:col>
          <xdr:colOff>9525</xdr:colOff>
          <xdr:row>16</xdr:row>
          <xdr:rowOff>0</xdr:rowOff>
        </xdr:from>
        <xdr:to>
          <xdr:col>47</xdr:col>
          <xdr:colOff>190500</xdr:colOff>
          <xdr:row>16</xdr:row>
          <xdr:rowOff>228600</xdr:rowOff>
        </xdr:to>
        <xdr:sp macro="" textlink="">
          <xdr:nvSpPr>
            <xdr:cNvPr id="65590" name="Spinner 54" hidden="1">
              <a:extLst>
                <a:ext uri="{63B3BB69-23CF-44E3-9099-C40C66FF867C}">
                  <a14:compatExt spid="_x0000_s65590"/>
                </a:ext>
                <a:ext uri="{FF2B5EF4-FFF2-40B4-BE49-F238E27FC236}">
                  <a16:creationId xmlns:a16="http://schemas.microsoft.com/office/drawing/2014/main" id="{00000000-0008-0000-0300-000036000100}"/>
                </a:ext>
              </a:extLst>
            </xdr:cNvPr>
            <xdr:cNvSpPr/>
          </xdr:nvSpPr>
          <xdr:spPr bwMode="auto">
            <a:xfrm>
              <a:off x="0" y="0"/>
              <a:ext cx="0" cy="0"/>
            </a:xfrm>
            <a:prstGeom prst="rect">
              <a:avLst/>
            </a:prstGeom>
            <a:noFill/>
            <a:ln w="9525">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xdr:from>
          <xdr:col>47</xdr:col>
          <xdr:colOff>9525</xdr:colOff>
          <xdr:row>17</xdr:row>
          <xdr:rowOff>0</xdr:rowOff>
        </xdr:from>
        <xdr:to>
          <xdr:col>47</xdr:col>
          <xdr:colOff>190500</xdr:colOff>
          <xdr:row>17</xdr:row>
          <xdr:rowOff>228600</xdr:rowOff>
        </xdr:to>
        <xdr:sp macro="" textlink="">
          <xdr:nvSpPr>
            <xdr:cNvPr id="65591" name="Spinner 55" hidden="1">
              <a:extLst>
                <a:ext uri="{63B3BB69-23CF-44E3-9099-C40C66FF867C}">
                  <a14:compatExt spid="_x0000_s65591"/>
                </a:ext>
                <a:ext uri="{FF2B5EF4-FFF2-40B4-BE49-F238E27FC236}">
                  <a16:creationId xmlns:a16="http://schemas.microsoft.com/office/drawing/2014/main" id="{00000000-0008-0000-0300-000037000100}"/>
                </a:ext>
              </a:extLst>
            </xdr:cNvPr>
            <xdr:cNvSpPr/>
          </xdr:nvSpPr>
          <xdr:spPr bwMode="auto">
            <a:xfrm>
              <a:off x="0" y="0"/>
              <a:ext cx="0" cy="0"/>
            </a:xfrm>
            <a:prstGeom prst="rect">
              <a:avLst/>
            </a:prstGeom>
            <a:noFill/>
            <a:ln w="9525">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xdr:from>
          <xdr:col>47</xdr:col>
          <xdr:colOff>9525</xdr:colOff>
          <xdr:row>18</xdr:row>
          <xdr:rowOff>0</xdr:rowOff>
        </xdr:from>
        <xdr:to>
          <xdr:col>47</xdr:col>
          <xdr:colOff>190500</xdr:colOff>
          <xdr:row>18</xdr:row>
          <xdr:rowOff>228600</xdr:rowOff>
        </xdr:to>
        <xdr:sp macro="" textlink="">
          <xdr:nvSpPr>
            <xdr:cNvPr id="65592" name="Spinner 56" hidden="1">
              <a:extLst>
                <a:ext uri="{63B3BB69-23CF-44E3-9099-C40C66FF867C}">
                  <a14:compatExt spid="_x0000_s65592"/>
                </a:ext>
                <a:ext uri="{FF2B5EF4-FFF2-40B4-BE49-F238E27FC236}">
                  <a16:creationId xmlns:a16="http://schemas.microsoft.com/office/drawing/2014/main" id="{00000000-0008-0000-0300-000038000100}"/>
                </a:ext>
              </a:extLst>
            </xdr:cNvPr>
            <xdr:cNvSpPr/>
          </xdr:nvSpPr>
          <xdr:spPr bwMode="auto">
            <a:xfrm>
              <a:off x="0" y="0"/>
              <a:ext cx="0" cy="0"/>
            </a:xfrm>
            <a:prstGeom prst="rect">
              <a:avLst/>
            </a:prstGeom>
            <a:noFill/>
            <a:ln w="9525">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xdr:from>
          <xdr:col>47</xdr:col>
          <xdr:colOff>9525</xdr:colOff>
          <xdr:row>19</xdr:row>
          <xdr:rowOff>0</xdr:rowOff>
        </xdr:from>
        <xdr:to>
          <xdr:col>47</xdr:col>
          <xdr:colOff>190500</xdr:colOff>
          <xdr:row>19</xdr:row>
          <xdr:rowOff>228600</xdr:rowOff>
        </xdr:to>
        <xdr:sp macro="" textlink="">
          <xdr:nvSpPr>
            <xdr:cNvPr id="65593" name="Spinner 57" hidden="1">
              <a:extLst>
                <a:ext uri="{63B3BB69-23CF-44E3-9099-C40C66FF867C}">
                  <a14:compatExt spid="_x0000_s65593"/>
                </a:ext>
                <a:ext uri="{FF2B5EF4-FFF2-40B4-BE49-F238E27FC236}">
                  <a16:creationId xmlns:a16="http://schemas.microsoft.com/office/drawing/2014/main" id="{00000000-0008-0000-0300-000039000100}"/>
                </a:ext>
              </a:extLst>
            </xdr:cNvPr>
            <xdr:cNvSpPr/>
          </xdr:nvSpPr>
          <xdr:spPr bwMode="auto">
            <a:xfrm>
              <a:off x="0" y="0"/>
              <a:ext cx="0" cy="0"/>
            </a:xfrm>
            <a:prstGeom prst="rect">
              <a:avLst/>
            </a:prstGeom>
            <a:noFill/>
            <a:ln w="9525">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xdr:from>
          <xdr:col>47</xdr:col>
          <xdr:colOff>9525</xdr:colOff>
          <xdr:row>20</xdr:row>
          <xdr:rowOff>0</xdr:rowOff>
        </xdr:from>
        <xdr:to>
          <xdr:col>47</xdr:col>
          <xdr:colOff>190500</xdr:colOff>
          <xdr:row>20</xdr:row>
          <xdr:rowOff>228600</xdr:rowOff>
        </xdr:to>
        <xdr:sp macro="" textlink="">
          <xdr:nvSpPr>
            <xdr:cNvPr id="65594" name="Spinner 58" hidden="1">
              <a:extLst>
                <a:ext uri="{63B3BB69-23CF-44E3-9099-C40C66FF867C}">
                  <a14:compatExt spid="_x0000_s65594"/>
                </a:ext>
                <a:ext uri="{FF2B5EF4-FFF2-40B4-BE49-F238E27FC236}">
                  <a16:creationId xmlns:a16="http://schemas.microsoft.com/office/drawing/2014/main" id="{00000000-0008-0000-0300-00003A000100}"/>
                </a:ext>
              </a:extLst>
            </xdr:cNvPr>
            <xdr:cNvSpPr/>
          </xdr:nvSpPr>
          <xdr:spPr bwMode="auto">
            <a:xfrm>
              <a:off x="0" y="0"/>
              <a:ext cx="0" cy="0"/>
            </a:xfrm>
            <a:prstGeom prst="rect">
              <a:avLst/>
            </a:prstGeom>
            <a:noFill/>
            <a:ln w="9525">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xdr:from>
          <xdr:col>47</xdr:col>
          <xdr:colOff>9525</xdr:colOff>
          <xdr:row>21</xdr:row>
          <xdr:rowOff>0</xdr:rowOff>
        </xdr:from>
        <xdr:to>
          <xdr:col>47</xdr:col>
          <xdr:colOff>190500</xdr:colOff>
          <xdr:row>21</xdr:row>
          <xdr:rowOff>228600</xdr:rowOff>
        </xdr:to>
        <xdr:sp macro="" textlink="">
          <xdr:nvSpPr>
            <xdr:cNvPr id="65595" name="Spinner 59" hidden="1">
              <a:extLst>
                <a:ext uri="{63B3BB69-23CF-44E3-9099-C40C66FF867C}">
                  <a14:compatExt spid="_x0000_s65595"/>
                </a:ext>
                <a:ext uri="{FF2B5EF4-FFF2-40B4-BE49-F238E27FC236}">
                  <a16:creationId xmlns:a16="http://schemas.microsoft.com/office/drawing/2014/main" id="{00000000-0008-0000-0300-00003B000100}"/>
                </a:ext>
              </a:extLst>
            </xdr:cNvPr>
            <xdr:cNvSpPr/>
          </xdr:nvSpPr>
          <xdr:spPr bwMode="auto">
            <a:xfrm>
              <a:off x="0" y="0"/>
              <a:ext cx="0" cy="0"/>
            </a:xfrm>
            <a:prstGeom prst="rect">
              <a:avLst/>
            </a:prstGeom>
            <a:noFill/>
            <a:ln w="9525">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xdr:from>
          <xdr:col>47</xdr:col>
          <xdr:colOff>9525</xdr:colOff>
          <xdr:row>22</xdr:row>
          <xdr:rowOff>0</xdr:rowOff>
        </xdr:from>
        <xdr:to>
          <xdr:col>47</xdr:col>
          <xdr:colOff>190500</xdr:colOff>
          <xdr:row>22</xdr:row>
          <xdr:rowOff>228600</xdr:rowOff>
        </xdr:to>
        <xdr:sp macro="" textlink="">
          <xdr:nvSpPr>
            <xdr:cNvPr id="65596" name="Spinner 60" hidden="1">
              <a:extLst>
                <a:ext uri="{63B3BB69-23CF-44E3-9099-C40C66FF867C}">
                  <a14:compatExt spid="_x0000_s65596"/>
                </a:ext>
                <a:ext uri="{FF2B5EF4-FFF2-40B4-BE49-F238E27FC236}">
                  <a16:creationId xmlns:a16="http://schemas.microsoft.com/office/drawing/2014/main" id="{00000000-0008-0000-0300-00003C000100}"/>
                </a:ext>
              </a:extLst>
            </xdr:cNvPr>
            <xdr:cNvSpPr/>
          </xdr:nvSpPr>
          <xdr:spPr bwMode="auto">
            <a:xfrm>
              <a:off x="0" y="0"/>
              <a:ext cx="0" cy="0"/>
            </a:xfrm>
            <a:prstGeom prst="rect">
              <a:avLst/>
            </a:prstGeom>
            <a:noFill/>
            <a:ln w="9525">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xdr:from>
          <xdr:col>47</xdr:col>
          <xdr:colOff>9525</xdr:colOff>
          <xdr:row>23</xdr:row>
          <xdr:rowOff>0</xdr:rowOff>
        </xdr:from>
        <xdr:to>
          <xdr:col>47</xdr:col>
          <xdr:colOff>190500</xdr:colOff>
          <xdr:row>23</xdr:row>
          <xdr:rowOff>228600</xdr:rowOff>
        </xdr:to>
        <xdr:sp macro="" textlink="">
          <xdr:nvSpPr>
            <xdr:cNvPr id="65597" name="Spinner 61" hidden="1">
              <a:extLst>
                <a:ext uri="{63B3BB69-23CF-44E3-9099-C40C66FF867C}">
                  <a14:compatExt spid="_x0000_s65597"/>
                </a:ext>
                <a:ext uri="{FF2B5EF4-FFF2-40B4-BE49-F238E27FC236}">
                  <a16:creationId xmlns:a16="http://schemas.microsoft.com/office/drawing/2014/main" id="{00000000-0008-0000-0300-00003D000100}"/>
                </a:ext>
              </a:extLst>
            </xdr:cNvPr>
            <xdr:cNvSpPr/>
          </xdr:nvSpPr>
          <xdr:spPr bwMode="auto">
            <a:xfrm>
              <a:off x="0" y="0"/>
              <a:ext cx="0" cy="0"/>
            </a:xfrm>
            <a:prstGeom prst="rect">
              <a:avLst/>
            </a:prstGeom>
            <a:noFill/>
            <a:ln w="9525">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xdr:from>
          <xdr:col>47</xdr:col>
          <xdr:colOff>9525</xdr:colOff>
          <xdr:row>24</xdr:row>
          <xdr:rowOff>0</xdr:rowOff>
        </xdr:from>
        <xdr:to>
          <xdr:col>47</xdr:col>
          <xdr:colOff>190500</xdr:colOff>
          <xdr:row>24</xdr:row>
          <xdr:rowOff>228600</xdr:rowOff>
        </xdr:to>
        <xdr:sp macro="" textlink="">
          <xdr:nvSpPr>
            <xdr:cNvPr id="65598" name="Spinner 62" hidden="1">
              <a:extLst>
                <a:ext uri="{63B3BB69-23CF-44E3-9099-C40C66FF867C}">
                  <a14:compatExt spid="_x0000_s65598"/>
                </a:ext>
                <a:ext uri="{FF2B5EF4-FFF2-40B4-BE49-F238E27FC236}">
                  <a16:creationId xmlns:a16="http://schemas.microsoft.com/office/drawing/2014/main" id="{00000000-0008-0000-0300-00003E000100}"/>
                </a:ext>
              </a:extLst>
            </xdr:cNvPr>
            <xdr:cNvSpPr/>
          </xdr:nvSpPr>
          <xdr:spPr bwMode="auto">
            <a:xfrm>
              <a:off x="0" y="0"/>
              <a:ext cx="0" cy="0"/>
            </a:xfrm>
            <a:prstGeom prst="rect">
              <a:avLst/>
            </a:prstGeom>
            <a:noFill/>
            <a:ln w="9525">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xdr:from>
          <xdr:col>47</xdr:col>
          <xdr:colOff>9525</xdr:colOff>
          <xdr:row>25</xdr:row>
          <xdr:rowOff>0</xdr:rowOff>
        </xdr:from>
        <xdr:to>
          <xdr:col>47</xdr:col>
          <xdr:colOff>190500</xdr:colOff>
          <xdr:row>25</xdr:row>
          <xdr:rowOff>228600</xdr:rowOff>
        </xdr:to>
        <xdr:sp macro="" textlink="">
          <xdr:nvSpPr>
            <xdr:cNvPr id="65599" name="Spinner 63" hidden="1">
              <a:extLst>
                <a:ext uri="{63B3BB69-23CF-44E3-9099-C40C66FF867C}">
                  <a14:compatExt spid="_x0000_s65599"/>
                </a:ext>
                <a:ext uri="{FF2B5EF4-FFF2-40B4-BE49-F238E27FC236}">
                  <a16:creationId xmlns:a16="http://schemas.microsoft.com/office/drawing/2014/main" id="{00000000-0008-0000-0300-00003F000100}"/>
                </a:ext>
              </a:extLst>
            </xdr:cNvPr>
            <xdr:cNvSpPr/>
          </xdr:nvSpPr>
          <xdr:spPr bwMode="auto">
            <a:xfrm>
              <a:off x="0" y="0"/>
              <a:ext cx="0" cy="0"/>
            </a:xfrm>
            <a:prstGeom prst="rect">
              <a:avLst/>
            </a:prstGeom>
            <a:noFill/>
            <a:ln w="9525">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xdr:from>
          <xdr:col>47</xdr:col>
          <xdr:colOff>9525</xdr:colOff>
          <xdr:row>26</xdr:row>
          <xdr:rowOff>0</xdr:rowOff>
        </xdr:from>
        <xdr:to>
          <xdr:col>47</xdr:col>
          <xdr:colOff>190500</xdr:colOff>
          <xdr:row>26</xdr:row>
          <xdr:rowOff>228600</xdr:rowOff>
        </xdr:to>
        <xdr:sp macro="" textlink="">
          <xdr:nvSpPr>
            <xdr:cNvPr id="65600" name="Spinner 64" hidden="1">
              <a:extLst>
                <a:ext uri="{63B3BB69-23CF-44E3-9099-C40C66FF867C}">
                  <a14:compatExt spid="_x0000_s65600"/>
                </a:ext>
                <a:ext uri="{FF2B5EF4-FFF2-40B4-BE49-F238E27FC236}">
                  <a16:creationId xmlns:a16="http://schemas.microsoft.com/office/drawing/2014/main" id="{00000000-0008-0000-0300-000040000100}"/>
                </a:ext>
              </a:extLst>
            </xdr:cNvPr>
            <xdr:cNvSpPr/>
          </xdr:nvSpPr>
          <xdr:spPr bwMode="auto">
            <a:xfrm>
              <a:off x="0" y="0"/>
              <a:ext cx="0" cy="0"/>
            </a:xfrm>
            <a:prstGeom prst="rect">
              <a:avLst/>
            </a:prstGeom>
            <a:noFill/>
            <a:ln w="9525">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xdr:from>
          <xdr:col>47</xdr:col>
          <xdr:colOff>9525</xdr:colOff>
          <xdr:row>27</xdr:row>
          <xdr:rowOff>0</xdr:rowOff>
        </xdr:from>
        <xdr:to>
          <xdr:col>47</xdr:col>
          <xdr:colOff>190500</xdr:colOff>
          <xdr:row>27</xdr:row>
          <xdr:rowOff>228600</xdr:rowOff>
        </xdr:to>
        <xdr:sp macro="" textlink="">
          <xdr:nvSpPr>
            <xdr:cNvPr id="65601" name="Spinner 65" hidden="1">
              <a:extLst>
                <a:ext uri="{63B3BB69-23CF-44E3-9099-C40C66FF867C}">
                  <a14:compatExt spid="_x0000_s65601"/>
                </a:ext>
                <a:ext uri="{FF2B5EF4-FFF2-40B4-BE49-F238E27FC236}">
                  <a16:creationId xmlns:a16="http://schemas.microsoft.com/office/drawing/2014/main" id="{00000000-0008-0000-0300-000041000100}"/>
                </a:ext>
              </a:extLst>
            </xdr:cNvPr>
            <xdr:cNvSpPr/>
          </xdr:nvSpPr>
          <xdr:spPr bwMode="auto">
            <a:xfrm>
              <a:off x="0" y="0"/>
              <a:ext cx="0" cy="0"/>
            </a:xfrm>
            <a:prstGeom prst="rect">
              <a:avLst/>
            </a:prstGeom>
            <a:noFill/>
            <a:ln w="9525">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xdr:from>
          <xdr:col>47</xdr:col>
          <xdr:colOff>9525</xdr:colOff>
          <xdr:row>28</xdr:row>
          <xdr:rowOff>0</xdr:rowOff>
        </xdr:from>
        <xdr:to>
          <xdr:col>47</xdr:col>
          <xdr:colOff>190500</xdr:colOff>
          <xdr:row>28</xdr:row>
          <xdr:rowOff>228600</xdr:rowOff>
        </xdr:to>
        <xdr:sp macro="" textlink="">
          <xdr:nvSpPr>
            <xdr:cNvPr id="65602" name="Spinner 66" hidden="1">
              <a:extLst>
                <a:ext uri="{63B3BB69-23CF-44E3-9099-C40C66FF867C}">
                  <a14:compatExt spid="_x0000_s65602"/>
                </a:ext>
                <a:ext uri="{FF2B5EF4-FFF2-40B4-BE49-F238E27FC236}">
                  <a16:creationId xmlns:a16="http://schemas.microsoft.com/office/drawing/2014/main" id="{00000000-0008-0000-0300-000042000100}"/>
                </a:ext>
              </a:extLst>
            </xdr:cNvPr>
            <xdr:cNvSpPr/>
          </xdr:nvSpPr>
          <xdr:spPr bwMode="auto">
            <a:xfrm>
              <a:off x="0" y="0"/>
              <a:ext cx="0" cy="0"/>
            </a:xfrm>
            <a:prstGeom prst="rect">
              <a:avLst/>
            </a:prstGeom>
            <a:noFill/>
            <a:ln w="9525">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xdr:from>
          <xdr:col>47</xdr:col>
          <xdr:colOff>9525</xdr:colOff>
          <xdr:row>29</xdr:row>
          <xdr:rowOff>0</xdr:rowOff>
        </xdr:from>
        <xdr:to>
          <xdr:col>47</xdr:col>
          <xdr:colOff>190500</xdr:colOff>
          <xdr:row>29</xdr:row>
          <xdr:rowOff>228600</xdr:rowOff>
        </xdr:to>
        <xdr:sp macro="" textlink="">
          <xdr:nvSpPr>
            <xdr:cNvPr id="65603" name="Spinner 67" hidden="1">
              <a:extLst>
                <a:ext uri="{63B3BB69-23CF-44E3-9099-C40C66FF867C}">
                  <a14:compatExt spid="_x0000_s65603"/>
                </a:ext>
                <a:ext uri="{FF2B5EF4-FFF2-40B4-BE49-F238E27FC236}">
                  <a16:creationId xmlns:a16="http://schemas.microsoft.com/office/drawing/2014/main" id="{00000000-0008-0000-0300-000043000100}"/>
                </a:ext>
              </a:extLst>
            </xdr:cNvPr>
            <xdr:cNvSpPr/>
          </xdr:nvSpPr>
          <xdr:spPr bwMode="auto">
            <a:xfrm>
              <a:off x="0" y="0"/>
              <a:ext cx="0" cy="0"/>
            </a:xfrm>
            <a:prstGeom prst="rect">
              <a:avLst/>
            </a:prstGeom>
            <a:noFill/>
            <a:ln w="9525">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xdr:from>
          <xdr:col>47</xdr:col>
          <xdr:colOff>9525</xdr:colOff>
          <xdr:row>30</xdr:row>
          <xdr:rowOff>0</xdr:rowOff>
        </xdr:from>
        <xdr:to>
          <xdr:col>47</xdr:col>
          <xdr:colOff>190500</xdr:colOff>
          <xdr:row>30</xdr:row>
          <xdr:rowOff>228600</xdr:rowOff>
        </xdr:to>
        <xdr:sp macro="" textlink="">
          <xdr:nvSpPr>
            <xdr:cNvPr id="65604" name="Spinner 68" hidden="1">
              <a:extLst>
                <a:ext uri="{63B3BB69-23CF-44E3-9099-C40C66FF867C}">
                  <a14:compatExt spid="_x0000_s65604"/>
                </a:ext>
                <a:ext uri="{FF2B5EF4-FFF2-40B4-BE49-F238E27FC236}">
                  <a16:creationId xmlns:a16="http://schemas.microsoft.com/office/drawing/2014/main" id="{00000000-0008-0000-0300-000044000100}"/>
                </a:ext>
              </a:extLst>
            </xdr:cNvPr>
            <xdr:cNvSpPr/>
          </xdr:nvSpPr>
          <xdr:spPr bwMode="auto">
            <a:xfrm>
              <a:off x="0" y="0"/>
              <a:ext cx="0" cy="0"/>
            </a:xfrm>
            <a:prstGeom prst="rect">
              <a:avLst/>
            </a:prstGeom>
            <a:noFill/>
            <a:ln w="9525">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xdr:from>
          <xdr:col>47</xdr:col>
          <xdr:colOff>9525</xdr:colOff>
          <xdr:row>31</xdr:row>
          <xdr:rowOff>0</xdr:rowOff>
        </xdr:from>
        <xdr:to>
          <xdr:col>47</xdr:col>
          <xdr:colOff>190500</xdr:colOff>
          <xdr:row>31</xdr:row>
          <xdr:rowOff>228600</xdr:rowOff>
        </xdr:to>
        <xdr:sp macro="" textlink="">
          <xdr:nvSpPr>
            <xdr:cNvPr id="65605" name="Spinner 69" hidden="1">
              <a:extLst>
                <a:ext uri="{63B3BB69-23CF-44E3-9099-C40C66FF867C}">
                  <a14:compatExt spid="_x0000_s65605"/>
                </a:ext>
                <a:ext uri="{FF2B5EF4-FFF2-40B4-BE49-F238E27FC236}">
                  <a16:creationId xmlns:a16="http://schemas.microsoft.com/office/drawing/2014/main" id="{00000000-0008-0000-0300-000045000100}"/>
                </a:ext>
              </a:extLst>
            </xdr:cNvPr>
            <xdr:cNvSpPr/>
          </xdr:nvSpPr>
          <xdr:spPr bwMode="auto">
            <a:xfrm>
              <a:off x="0" y="0"/>
              <a:ext cx="0" cy="0"/>
            </a:xfrm>
            <a:prstGeom prst="rect">
              <a:avLst/>
            </a:prstGeom>
            <a:noFill/>
            <a:ln w="9525">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xdr:from>
          <xdr:col>47</xdr:col>
          <xdr:colOff>9525</xdr:colOff>
          <xdr:row>32</xdr:row>
          <xdr:rowOff>0</xdr:rowOff>
        </xdr:from>
        <xdr:to>
          <xdr:col>47</xdr:col>
          <xdr:colOff>190500</xdr:colOff>
          <xdr:row>32</xdr:row>
          <xdr:rowOff>228600</xdr:rowOff>
        </xdr:to>
        <xdr:sp macro="" textlink="">
          <xdr:nvSpPr>
            <xdr:cNvPr id="65606" name="Spinner 70" hidden="1">
              <a:extLst>
                <a:ext uri="{63B3BB69-23CF-44E3-9099-C40C66FF867C}">
                  <a14:compatExt spid="_x0000_s65606"/>
                </a:ext>
                <a:ext uri="{FF2B5EF4-FFF2-40B4-BE49-F238E27FC236}">
                  <a16:creationId xmlns:a16="http://schemas.microsoft.com/office/drawing/2014/main" id="{00000000-0008-0000-0300-000046000100}"/>
                </a:ext>
              </a:extLst>
            </xdr:cNvPr>
            <xdr:cNvSpPr/>
          </xdr:nvSpPr>
          <xdr:spPr bwMode="auto">
            <a:xfrm>
              <a:off x="0" y="0"/>
              <a:ext cx="0" cy="0"/>
            </a:xfrm>
            <a:prstGeom prst="rect">
              <a:avLst/>
            </a:prstGeom>
            <a:noFill/>
            <a:ln w="9525">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xdr:from>
          <xdr:col>47</xdr:col>
          <xdr:colOff>9525</xdr:colOff>
          <xdr:row>33</xdr:row>
          <xdr:rowOff>0</xdr:rowOff>
        </xdr:from>
        <xdr:to>
          <xdr:col>47</xdr:col>
          <xdr:colOff>190500</xdr:colOff>
          <xdr:row>33</xdr:row>
          <xdr:rowOff>228600</xdr:rowOff>
        </xdr:to>
        <xdr:sp macro="" textlink="">
          <xdr:nvSpPr>
            <xdr:cNvPr id="65607" name="Spinner 71" hidden="1">
              <a:extLst>
                <a:ext uri="{63B3BB69-23CF-44E3-9099-C40C66FF867C}">
                  <a14:compatExt spid="_x0000_s65607"/>
                </a:ext>
                <a:ext uri="{FF2B5EF4-FFF2-40B4-BE49-F238E27FC236}">
                  <a16:creationId xmlns:a16="http://schemas.microsoft.com/office/drawing/2014/main" id="{00000000-0008-0000-0300-000047000100}"/>
                </a:ext>
              </a:extLst>
            </xdr:cNvPr>
            <xdr:cNvSpPr/>
          </xdr:nvSpPr>
          <xdr:spPr bwMode="auto">
            <a:xfrm>
              <a:off x="0" y="0"/>
              <a:ext cx="0" cy="0"/>
            </a:xfrm>
            <a:prstGeom prst="rect">
              <a:avLst/>
            </a:prstGeom>
            <a:noFill/>
            <a:ln w="9525">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11</xdr:col>
          <xdr:colOff>180975</xdr:colOff>
          <xdr:row>41</xdr:row>
          <xdr:rowOff>9525</xdr:rowOff>
        </xdr:from>
        <xdr:to>
          <xdr:col>13</xdr:col>
          <xdr:colOff>9525</xdr:colOff>
          <xdr:row>42</xdr:row>
          <xdr:rowOff>0</xdr:rowOff>
        </xdr:to>
        <xdr:sp macro="" textlink="">
          <xdr:nvSpPr>
            <xdr:cNvPr id="65658" name="Check Box 122" hidden="1">
              <a:extLst>
                <a:ext uri="{63B3BB69-23CF-44E3-9099-C40C66FF867C}">
                  <a14:compatExt spid="_x0000_s65658"/>
                </a:ext>
                <a:ext uri="{FF2B5EF4-FFF2-40B4-BE49-F238E27FC236}">
                  <a16:creationId xmlns:a16="http://schemas.microsoft.com/office/drawing/2014/main" id="{00000000-0008-0000-0300-00007A0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oneCellAnchor>
        <xdr:from>
          <xdr:col>0</xdr:col>
          <xdr:colOff>57150</xdr:colOff>
          <xdr:row>108</xdr:row>
          <xdr:rowOff>200025</xdr:rowOff>
        </xdr:from>
        <xdr:ext cx="4129500" cy="92075"/>
        <xdr:pic>
          <xdr:nvPicPr>
            <xdr:cNvPr id="156" name="Image 155">
              <a:extLst>
                <a:ext uri="{FF2B5EF4-FFF2-40B4-BE49-F238E27FC236}">
                  <a16:creationId xmlns:a16="http://schemas.microsoft.com/office/drawing/2014/main" id="{00000000-0008-0000-0300-00009C000000}"/>
                </a:ext>
              </a:extLst>
            </xdr:cNvPr>
            <xdr:cNvPicPr>
              <a:picLocks noChangeArrowheads="1"/>
              <a:extLst>
                <a:ext uri="{84589F7E-364E-4C9E-8A38-B11213B215E9}">
                  <a14:cameraTool cellRange="#REF!" spid="_x0000_s483690"/>
                </a:ext>
              </a:extLst>
            </xdr:cNvPicPr>
          </xdr:nvPicPr>
          <xdr:blipFill rotWithShape="1">
            <a:blip xmlns:r="http://schemas.openxmlformats.org/officeDocument/2006/relationships" r:embed="rId2"/>
            <a:srcRect l="4410" t="-11539" b="-1"/>
            <a:stretch>
              <a:fillRect/>
            </a:stretch>
          </xdr:blipFill>
          <xdr:spPr bwMode="auto">
            <a:xfrm>
              <a:off x="57150" y="31683325"/>
              <a:ext cx="4129500" cy="92075"/>
            </a:xfrm>
            <a:prstGeom prst="rect">
              <a:avLst/>
            </a:prstGeom>
            <a:noFill/>
            <a:extLst>
              <a:ext uri="{909E8E84-426E-40DD-AFC4-6F175D3DCCD1}">
                <a14:hiddenFill>
                  <a:solidFill>
                    <a:srgbClr val="FFFFFF"/>
                  </a:solidFill>
                </a14:hiddenFill>
              </a:ext>
            </a:extLst>
          </xdr:spPr>
        </xdr:pic>
        <xdr:clientData/>
      </xdr:oneCellAnchor>
    </mc:Choice>
    <mc:Fallback/>
  </mc:AlternateContent>
  <mc:AlternateContent xmlns:mc="http://schemas.openxmlformats.org/markup-compatibility/2006">
    <mc:Choice xmlns:a14="http://schemas.microsoft.com/office/drawing/2010/main" Requires="a14">
      <xdr:oneCellAnchor>
        <xdr:from>
          <xdr:col>26</xdr:col>
          <xdr:colOff>38100</xdr:colOff>
          <xdr:row>108</xdr:row>
          <xdr:rowOff>209550</xdr:rowOff>
        </xdr:from>
        <xdr:ext cx="4932000" cy="92075"/>
        <xdr:pic>
          <xdr:nvPicPr>
            <xdr:cNvPr id="157" name="Image 156">
              <a:extLst>
                <a:ext uri="{FF2B5EF4-FFF2-40B4-BE49-F238E27FC236}">
                  <a16:creationId xmlns:a16="http://schemas.microsoft.com/office/drawing/2014/main" id="{00000000-0008-0000-0300-00009D000000}"/>
                </a:ext>
              </a:extLst>
            </xdr:cNvPr>
            <xdr:cNvPicPr>
              <a:picLocks noChangeArrowheads="1"/>
              <a:extLst>
                <a:ext uri="{84589F7E-364E-4C9E-8A38-B11213B215E9}">
                  <a14:cameraTool cellRange="#REF!" spid="_x0000_s483691"/>
                </a:ext>
              </a:extLst>
            </xdr:cNvPicPr>
          </xdr:nvPicPr>
          <xdr:blipFill rotWithShape="1">
            <a:blip xmlns:r="http://schemas.openxmlformats.org/officeDocument/2006/relationships" r:embed="rId2"/>
            <a:srcRect l="4410" t="-11539" b="-1"/>
            <a:stretch>
              <a:fillRect/>
            </a:stretch>
          </xdr:blipFill>
          <xdr:spPr bwMode="auto">
            <a:xfrm>
              <a:off x="5194300" y="31692850"/>
              <a:ext cx="4932000" cy="92075"/>
            </a:xfrm>
            <a:prstGeom prst="rect">
              <a:avLst/>
            </a:prstGeom>
            <a:noFill/>
            <a:extLst>
              <a:ext uri="{909E8E84-426E-40DD-AFC4-6F175D3DCCD1}">
                <a14:hiddenFill>
                  <a:solidFill>
                    <a:srgbClr val="FFFFFF"/>
                  </a:solidFill>
                </a14:hiddenFill>
              </a:ext>
            </a:extLst>
          </xdr:spPr>
        </xdr:pic>
        <xdr:clientData/>
      </xdr:oneCellAnchor>
    </mc:Choice>
    <mc:Fallback/>
  </mc:AlternateContent>
  <mc:AlternateContent xmlns:mc="http://schemas.openxmlformats.org/markup-compatibility/2006">
    <mc:Choice xmlns:a14="http://schemas.microsoft.com/office/drawing/2010/main" Requires="a14">
      <xdr:oneCellAnchor>
        <xdr:from>
          <xdr:col>0</xdr:col>
          <xdr:colOff>57150</xdr:colOff>
          <xdr:row>88</xdr:row>
          <xdr:rowOff>200025</xdr:rowOff>
        </xdr:from>
        <xdr:ext cx="4572000" cy="92075"/>
        <xdr:pic>
          <xdr:nvPicPr>
            <xdr:cNvPr id="159" name="Image 158">
              <a:extLst>
                <a:ext uri="{FF2B5EF4-FFF2-40B4-BE49-F238E27FC236}">
                  <a16:creationId xmlns:a16="http://schemas.microsoft.com/office/drawing/2014/main" id="{00000000-0008-0000-0300-00009F000000}"/>
                </a:ext>
              </a:extLst>
            </xdr:cNvPr>
            <xdr:cNvPicPr>
              <a:picLocks noChangeArrowheads="1"/>
              <a:extLst>
                <a:ext uri="{84589F7E-364E-4C9E-8A38-B11213B215E9}">
                  <a14:cameraTool cellRange="#REF!" spid="_x0000_s483692"/>
                </a:ext>
              </a:extLst>
            </xdr:cNvPicPr>
          </xdr:nvPicPr>
          <xdr:blipFill rotWithShape="1">
            <a:blip xmlns:r="http://schemas.openxmlformats.org/officeDocument/2006/relationships" r:embed="rId2"/>
            <a:srcRect l="4410" t="-11539" b="-1"/>
            <a:stretch>
              <a:fillRect/>
            </a:stretch>
          </xdr:blipFill>
          <xdr:spPr bwMode="auto">
            <a:xfrm>
              <a:off x="57150" y="17287875"/>
              <a:ext cx="4572000" cy="92075"/>
            </a:xfrm>
            <a:prstGeom prst="rect">
              <a:avLst/>
            </a:prstGeom>
            <a:noFill/>
            <a:extLst>
              <a:ext uri="{909E8E84-426E-40DD-AFC4-6F175D3DCCD1}">
                <a14:hiddenFill>
                  <a:solidFill>
                    <a:srgbClr val="FFFFFF"/>
                  </a:solidFill>
                </a14:hiddenFill>
              </a:ext>
            </a:extLst>
          </xdr:spPr>
        </xdr:pic>
        <xdr:clientData/>
      </xdr:oneCellAnchor>
    </mc:Choice>
    <mc:Fallback/>
  </mc:AlternateContent>
  <mc:AlternateContent xmlns:mc="http://schemas.openxmlformats.org/markup-compatibility/2006">
    <mc:Choice xmlns:a14="http://schemas.microsoft.com/office/drawing/2010/main" Requires="a14">
      <xdr:oneCellAnchor>
        <xdr:from>
          <xdr:col>27</xdr:col>
          <xdr:colOff>171450</xdr:colOff>
          <xdr:row>88</xdr:row>
          <xdr:rowOff>200025</xdr:rowOff>
        </xdr:from>
        <xdr:ext cx="4608000" cy="92075"/>
        <xdr:pic>
          <xdr:nvPicPr>
            <xdr:cNvPr id="160" name="Image 159">
              <a:extLst>
                <a:ext uri="{FF2B5EF4-FFF2-40B4-BE49-F238E27FC236}">
                  <a16:creationId xmlns:a16="http://schemas.microsoft.com/office/drawing/2014/main" id="{00000000-0008-0000-0300-0000A0000000}"/>
                </a:ext>
              </a:extLst>
            </xdr:cNvPr>
            <xdr:cNvPicPr>
              <a:picLocks noChangeArrowheads="1"/>
              <a:extLst>
                <a:ext uri="{84589F7E-364E-4C9E-8A38-B11213B215E9}">
                  <a14:cameraTool cellRange="#REF!" spid="_x0000_s483693"/>
                </a:ext>
              </a:extLst>
            </xdr:cNvPicPr>
          </xdr:nvPicPr>
          <xdr:blipFill rotWithShape="1">
            <a:blip xmlns:r="http://schemas.openxmlformats.org/officeDocument/2006/relationships" r:embed="rId2"/>
            <a:srcRect l="4410" t="-11539" b="-1"/>
            <a:stretch>
              <a:fillRect/>
            </a:stretch>
          </xdr:blipFill>
          <xdr:spPr bwMode="auto">
            <a:xfrm>
              <a:off x="5524500" y="23809325"/>
              <a:ext cx="4608000" cy="92075"/>
            </a:xfrm>
            <a:prstGeom prst="rect">
              <a:avLst/>
            </a:prstGeom>
            <a:noFill/>
            <a:extLst>
              <a:ext uri="{909E8E84-426E-40DD-AFC4-6F175D3DCCD1}">
                <a14:hiddenFill>
                  <a:solidFill>
                    <a:srgbClr val="FFFFFF"/>
                  </a:solidFill>
                </a14:hiddenFill>
              </a:ext>
            </a:extLst>
          </xdr:spPr>
        </xdr:pic>
        <xdr:clientData/>
      </xdr:oneCellAnchor>
    </mc:Choice>
    <mc:Fallback/>
  </mc:AlternateContent>
  <mc:AlternateContent xmlns:mc="http://schemas.openxmlformats.org/markup-compatibility/2006">
    <mc:Choice xmlns:a14="http://schemas.microsoft.com/office/drawing/2010/main" Requires="a14">
      <xdr:oneCellAnchor>
        <xdr:from>
          <xdr:col>0</xdr:col>
          <xdr:colOff>57150</xdr:colOff>
          <xdr:row>105</xdr:row>
          <xdr:rowOff>200025</xdr:rowOff>
        </xdr:from>
        <xdr:ext cx="4464000" cy="92075"/>
        <xdr:pic>
          <xdr:nvPicPr>
            <xdr:cNvPr id="161" name="Image 160">
              <a:extLst>
                <a:ext uri="{FF2B5EF4-FFF2-40B4-BE49-F238E27FC236}">
                  <a16:creationId xmlns:a16="http://schemas.microsoft.com/office/drawing/2014/main" id="{00000000-0008-0000-0300-0000A1000000}"/>
                </a:ext>
              </a:extLst>
            </xdr:cNvPr>
            <xdr:cNvPicPr>
              <a:picLocks noChangeArrowheads="1"/>
              <a:extLst>
                <a:ext uri="{84589F7E-364E-4C9E-8A38-B11213B215E9}">
                  <a14:cameraTool cellRange="#REF!" spid="_x0000_s483694"/>
                </a:ext>
              </a:extLst>
            </xdr:cNvPicPr>
          </xdr:nvPicPr>
          <xdr:blipFill rotWithShape="1">
            <a:blip xmlns:r="http://schemas.openxmlformats.org/officeDocument/2006/relationships" r:embed="rId2"/>
            <a:srcRect l="4410" t="-11539" b="-1"/>
            <a:stretch>
              <a:fillRect/>
            </a:stretch>
          </xdr:blipFill>
          <xdr:spPr bwMode="auto">
            <a:xfrm>
              <a:off x="57150" y="28127325"/>
              <a:ext cx="4464000" cy="92075"/>
            </a:xfrm>
            <a:prstGeom prst="rect">
              <a:avLst/>
            </a:prstGeom>
            <a:noFill/>
            <a:extLst>
              <a:ext uri="{909E8E84-426E-40DD-AFC4-6F175D3DCCD1}">
                <a14:hiddenFill>
                  <a:solidFill>
                    <a:srgbClr val="FFFFFF"/>
                  </a:solidFill>
                </a14:hiddenFill>
              </a:ext>
            </a:extLst>
          </xdr:spPr>
        </xdr:pic>
        <xdr:clientData/>
      </xdr:oneCellAnchor>
    </mc:Choice>
    <mc:Fallback/>
  </mc:AlternateContent>
  <mc:AlternateContent xmlns:mc="http://schemas.openxmlformats.org/markup-compatibility/2006">
    <mc:Choice xmlns:a14="http://schemas.microsoft.com/office/drawing/2010/main" Requires="a14">
      <xdr:oneCellAnchor>
        <xdr:from>
          <xdr:col>28</xdr:col>
          <xdr:colOff>57150</xdr:colOff>
          <xdr:row>105</xdr:row>
          <xdr:rowOff>209550</xdr:rowOff>
        </xdr:from>
        <xdr:ext cx="4536000" cy="92075"/>
        <xdr:pic>
          <xdr:nvPicPr>
            <xdr:cNvPr id="162" name="Image 161">
              <a:extLst>
                <a:ext uri="{FF2B5EF4-FFF2-40B4-BE49-F238E27FC236}">
                  <a16:creationId xmlns:a16="http://schemas.microsoft.com/office/drawing/2014/main" id="{00000000-0008-0000-0300-0000A2000000}"/>
                </a:ext>
              </a:extLst>
            </xdr:cNvPr>
            <xdr:cNvPicPr>
              <a:picLocks noChangeArrowheads="1"/>
              <a:extLst>
                <a:ext uri="{84589F7E-364E-4C9E-8A38-B11213B215E9}">
                  <a14:cameraTool cellRange="#REF!" spid="_x0000_s483695"/>
                </a:ext>
              </a:extLst>
            </xdr:cNvPicPr>
          </xdr:nvPicPr>
          <xdr:blipFill rotWithShape="1">
            <a:blip xmlns:r="http://schemas.openxmlformats.org/officeDocument/2006/relationships" r:embed="rId2"/>
            <a:srcRect l="4410" t="-11539" b="-1"/>
            <a:stretch>
              <a:fillRect/>
            </a:stretch>
          </xdr:blipFill>
          <xdr:spPr bwMode="auto">
            <a:xfrm>
              <a:off x="5607050" y="28136850"/>
              <a:ext cx="4536000" cy="92075"/>
            </a:xfrm>
            <a:prstGeom prst="rect">
              <a:avLst/>
            </a:prstGeom>
            <a:noFill/>
            <a:extLst>
              <a:ext uri="{909E8E84-426E-40DD-AFC4-6F175D3DCCD1}">
                <a14:hiddenFill>
                  <a:solidFill>
                    <a:srgbClr val="FFFFFF"/>
                  </a:solidFill>
                </a14:hiddenFill>
              </a:ext>
            </a:extLst>
          </xdr:spPr>
        </xdr:pic>
        <xdr:clientData/>
      </xdr:one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50</xdr:row>
          <xdr:rowOff>92075</xdr:rowOff>
        </xdr:from>
        <xdr:to>
          <xdr:col>19</xdr:col>
          <xdr:colOff>35044</xdr:colOff>
          <xdr:row>50</xdr:row>
          <xdr:rowOff>190500</xdr:rowOff>
        </xdr:to>
        <xdr:pic>
          <xdr:nvPicPr>
            <xdr:cNvPr id="163" name="Image 162">
              <a:extLst>
                <a:ext uri="{FF2B5EF4-FFF2-40B4-BE49-F238E27FC236}">
                  <a16:creationId xmlns:a16="http://schemas.microsoft.com/office/drawing/2014/main" id="{00000000-0008-0000-0300-0000A3000000}"/>
                </a:ext>
              </a:extLst>
            </xdr:cNvPr>
            <xdr:cNvPicPr>
              <a:picLocks noChangeArrowheads="1"/>
              <a:extLst>
                <a:ext uri="{84589F7E-364E-4C9E-8A38-B11213B215E9}">
                  <a14:cameraTool cellRange="#REF!" spid="_x0000_s483696"/>
                </a:ext>
              </a:extLst>
            </xdr:cNvPicPr>
          </xdr:nvPicPr>
          <xdr:blipFill rotWithShape="1">
            <a:blip xmlns:r="http://schemas.openxmlformats.org/officeDocument/2006/relationships" r:embed="rId2"/>
            <a:srcRect l="4410" t="-11539" b="-1"/>
            <a:stretch>
              <a:fillRect/>
            </a:stretch>
          </xdr:blipFill>
          <xdr:spPr bwMode="auto">
            <a:xfrm>
              <a:off x="0" y="12779375"/>
              <a:ext cx="3888000" cy="9842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38100</xdr:colOff>
          <xdr:row>50</xdr:row>
          <xdr:rowOff>79375</xdr:rowOff>
        </xdr:from>
        <xdr:to>
          <xdr:col>50</xdr:col>
          <xdr:colOff>116100</xdr:colOff>
          <xdr:row>50</xdr:row>
          <xdr:rowOff>177800</xdr:rowOff>
        </xdr:to>
        <xdr:pic>
          <xdr:nvPicPr>
            <xdr:cNvPr id="164" name="Image 163">
              <a:extLst>
                <a:ext uri="{FF2B5EF4-FFF2-40B4-BE49-F238E27FC236}">
                  <a16:creationId xmlns:a16="http://schemas.microsoft.com/office/drawing/2014/main" id="{00000000-0008-0000-0300-0000A4000000}"/>
                </a:ext>
              </a:extLst>
            </xdr:cNvPr>
            <xdr:cNvPicPr>
              <a:picLocks noChangeArrowheads="1"/>
              <a:extLst>
                <a:ext uri="{84589F7E-364E-4C9E-8A38-B11213B215E9}">
                  <a14:cameraTool cellRange="#REF!" spid="_x0000_s483697"/>
                </a:ext>
              </a:extLst>
            </xdr:cNvPicPr>
          </xdr:nvPicPr>
          <xdr:blipFill rotWithShape="1">
            <a:blip xmlns:r="http://schemas.openxmlformats.org/officeDocument/2006/relationships" r:embed="rId2"/>
            <a:srcRect l="4410" t="-11539" b="-1"/>
            <a:stretch>
              <a:fillRect/>
            </a:stretch>
          </xdr:blipFill>
          <xdr:spPr bwMode="auto">
            <a:xfrm>
              <a:off x="6178550" y="12766675"/>
              <a:ext cx="3888000" cy="9842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44</xdr:col>
          <xdr:colOff>28575</xdr:colOff>
          <xdr:row>52</xdr:row>
          <xdr:rowOff>9525</xdr:rowOff>
        </xdr:from>
        <xdr:to>
          <xdr:col>45</xdr:col>
          <xdr:colOff>66675</xdr:colOff>
          <xdr:row>53</xdr:row>
          <xdr:rowOff>0</xdr:rowOff>
        </xdr:to>
        <xdr:sp macro="" textlink="">
          <xdr:nvSpPr>
            <xdr:cNvPr id="65666" name="Check Box 130" hidden="1">
              <a:extLst>
                <a:ext uri="{63B3BB69-23CF-44E3-9099-C40C66FF867C}">
                  <a14:compatExt spid="_x0000_s65666"/>
                </a:ext>
                <a:ext uri="{FF2B5EF4-FFF2-40B4-BE49-F238E27FC236}">
                  <a16:creationId xmlns:a16="http://schemas.microsoft.com/office/drawing/2014/main" id="{00000000-0008-0000-0300-0000820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44</xdr:col>
          <xdr:colOff>28575</xdr:colOff>
          <xdr:row>53</xdr:row>
          <xdr:rowOff>9525</xdr:rowOff>
        </xdr:from>
        <xdr:to>
          <xdr:col>45</xdr:col>
          <xdr:colOff>66675</xdr:colOff>
          <xdr:row>54</xdr:row>
          <xdr:rowOff>0</xdr:rowOff>
        </xdr:to>
        <xdr:sp macro="" textlink="">
          <xdr:nvSpPr>
            <xdr:cNvPr id="65667" name="Check Box 131" hidden="1">
              <a:extLst>
                <a:ext uri="{63B3BB69-23CF-44E3-9099-C40C66FF867C}">
                  <a14:compatExt spid="_x0000_s65667"/>
                </a:ext>
                <a:ext uri="{FF2B5EF4-FFF2-40B4-BE49-F238E27FC236}">
                  <a16:creationId xmlns:a16="http://schemas.microsoft.com/office/drawing/2014/main" id="{00000000-0008-0000-0300-0000830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44</xdr:col>
          <xdr:colOff>28575</xdr:colOff>
          <xdr:row>54</xdr:row>
          <xdr:rowOff>9525</xdr:rowOff>
        </xdr:from>
        <xdr:to>
          <xdr:col>45</xdr:col>
          <xdr:colOff>66675</xdr:colOff>
          <xdr:row>55</xdr:row>
          <xdr:rowOff>0</xdr:rowOff>
        </xdr:to>
        <xdr:sp macro="" textlink="">
          <xdr:nvSpPr>
            <xdr:cNvPr id="65668" name="Check Box 132" hidden="1">
              <a:extLst>
                <a:ext uri="{63B3BB69-23CF-44E3-9099-C40C66FF867C}">
                  <a14:compatExt spid="_x0000_s65668"/>
                </a:ext>
                <a:ext uri="{FF2B5EF4-FFF2-40B4-BE49-F238E27FC236}">
                  <a16:creationId xmlns:a16="http://schemas.microsoft.com/office/drawing/2014/main" id="{00000000-0008-0000-0300-0000840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33</xdr:col>
          <xdr:colOff>28575</xdr:colOff>
          <xdr:row>52</xdr:row>
          <xdr:rowOff>9525</xdr:rowOff>
        </xdr:from>
        <xdr:to>
          <xdr:col>34</xdr:col>
          <xdr:colOff>47625</xdr:colOff>
          <xdr:row>53</xdr:row>
          <xdr:rowOff>0</xdr:rowOff>
        </xdr:to>
        <xdr:sp macro="" textlink="">
          <xdr:nvSpPr>
            <xdr:cNvPr id="65669" name="Check Box 133" hidden="1">
              <a:extLst>
                <a:ext uri="{63B3BB69-23CF-44E3-9099-C40C66FF867C}">
                  <a14:compatExt spid="_x0000_s65669"/>
                </a:ext>
                <a:ext uri="{FF2B5EF4-FFF2-40B4-BE49-F238E27FC236}">
                  <a16:creationId xmlns:a16="http://schemas.microsoft.com/office/drawing/2014/main" id="{00000000-0008-0000-0300-0000850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33</xdr:col>
          <xdr:colOff>28575</xdr:colOff>
          <xdr:row>53</xdr:row>
          <xdr:rowOff>9525</xdr:rowOff>
        </xdr:from>
        <xdr:to>
          <xdr:col>34</xdr:col>
          <xdr:colOff>47625</xdr:colOff>
          <xdr:row>54</xdr:row>
          <xdr:rowOff>0</xdr:rowOff>
        </xdr:to>
        <xdr:sp macro="" textlink="">
          <xdr:nvSpPr>
            <xdr:cNvPr id="65670" name="Check Box 134" hidden="1">
              <a:extLst>
                <a:ext uri="{63B3BB69-23CF-44E3-9099-C40C66FF867C}">
                  <a14:compatExt spid="_x0000_s65670"/>
                </a:ext>
                <a:ext uri="{FF2B5EF4-FFF2-40B4-BE49-F238E27FC236}">
                  <a16:creationId xmlns:a16="http://schemas.microsoft.com/office/drawing/2014/main" id="{00000000-0008-0000-0300-0000860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33</xdr:col>
          <xdr:colOff>28575</xdr:colOff>
          <xdr:row>54</xdr:row>
          <xdr:rowOff>9525</xdr:rowOff>
        </xdr:from>
        <xdr:to>
          <xdr:col>34</xdr:col>
          <xdr:colOff>57150</xdr:colOff>
          <xdr:row>55</xdr:row>
          <xdr:rowOff>0</xdr:rowOff>
        </xdr:to>
        <xdr:sp macro="" textlink="">
          <xdr:nvSpPr>
            <xdr:cNvPr id="65671" name="Check Box 135" hidden="1">
              <a:extLst>
                <a:ext uri="{63B3BB69-23CF-44E3-9099-C40C66FF867C}">
                  <a14:compatExt spid="_x0000_s65671"/>
                </a:ext>
                <a:ext uri="{FF2B5EF4-FFF2-40B4-BE49-F238E27FC236}">
                  <a16:creationId xmlns:a16="http://schemas.microsoft.com/office/drawing/2014/main" id="{00000000-0008-0000-0300-0000870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28575</xdr:colOff>
          <xdr:row>53</xdr:row>
          <xdr:rowOff>9525</xdr:rowOff>
        </xdr:from>
        <xdr:to>
          <xdr:col>21</xdr:col>
          <xdr:colOff>66675</xdr:colOff>
          <xdr:row>54</xdr:row>
          <xdr:rowOff>0</xdr:rowOff>
        </xdr:to>
        <xdr:sp macro="" textlink="">
          <xdr:nvSpPr>
            <xdr:cNvPr id="65672" name="Check Box 136" hidden="1">
              <a:extLst>
                <a:ext uri="{63B3BB69-23CF-44E3-9099-C40C66FF867C}">
                  <a14:compatExt spid="_x0000_s65672"/>
                </a:ext>
                <a:ext uri="{FF2B5EF4-FFF2-40B4-BE49-F238E27FC236}">
                  <a16:creationId xmlns:a16="http://schemas.microsoft.com/office/drawing/2014/main" id="{00000000-0008-0000-0300-0000880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28575</xdr:colOff>
          <xdr:row>54</xdr:row>
          <xdr:rowOff>9525</xdr:rowOff>
        </xdr:from>
        <xdr:to>
          <xdr:col>21</xdr:col>
          <xdr:colOff>66675</xdr:colOff>
          <xdr:row>55</xdr:row>
          <xdr:rowOff>0</xdr:rowOff>
        </xdr:to>
        <xdr:sp macro="" textlink="">
          <xdr:nvSpPr>
            <xdr:cNvPr id="65673" name="Check Box 137" hidden="1">
              <a:extLst>
                <a:ext uri="{63B3BB69-23CF-44E3-9099-C40C66FF867C}">
                  <a14:compatExt spid="_x0000_s65673"/>
                </a:ext>
                <a:ext uri="{FF2B5EF4-FFF2-40B4-BE49-F238E27FC236}">
                  <a16:creationId xmlns:a16="http://schemas.microsoft.com/office/drawing/2014/main" id="{00000000-0008-0000-0300-0000890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28575</xdr:colOff>
          <xdr:row>55</xdr:row>
          <xdr:rowOff>9525</xdr:rowOff>
        </xdr:from>
        <xdr:to>
          <xdr:col>21</xdr:col>
          <xdr:colOff>66675</xdr:colOff>
          <xdr:row>56</xdr:row>
          <xdr:rowOff>0</xdr:rowOff>
        </xdr:to>
        <xdr:sp macro="" textlink="">
          <xdr:nvSpPr>
            <xdr:cNvPr id="65674" name="Check Box 138" hidden="1">
              <a:extLst>
                <a:ext uri="{63B3BB69-23CF-44E3-9099-C40C66FF867C}">
                  <a14:compatExt spid="_x0000_s65674"/>
                </a:ext>
                <a:ext uri="{FF2B5EF4-FFF2-40B4-BE49-F238E27FC236}">
                  <a16:creationId xmlns:a16="http://schemas.microsoft.com/office/drawing/2014/main" id="{00000000-0008-0000-0300-00008A0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22</xdr:col>
          <xdr:colOff>161925</xdr:colOff>
          <xdr:row>24</xdr:row>
          <xdr:rowOff>0</xdr:rowOff>
        </xdr:from>
        <xdr:to>
          <xdr:col>23</xdr:col>
          <xdr:colOff>142875</xdr:colOff>
          <xdr:row>24</xdr:row>
          <xdr:rowOff>238125</xdr:rowOff>
        </xdr:to>
        <xdr:sp macro="" textlink="">
          <xdr:nvSpPr>
            <xdr:cNvPr id="65790" name="Spinner 254" hidden="1">
              <a:extLst>
                <a:ext uri="{63B3BB69-23CF-44E3-9099-C40C66FF867C}">
                  <a14:compatExt spid="_x0000_s65790"/>
                </a:ext>
                <a:ext uri="{FF2B5EF4-FFF2-40B4-BE49-F238E27FC236}">
                  <a16:creationId xmlns:a16="http://schemas.microsoft.com/office/drawing/2014/main" id="{00000000-0008-0000-0300-0000FE000100}"/>
                </a:ext>
              </a:extLst>
            </xdr:cNvPr>
            <xdr:cNvSpPr/>
          </xdr:nvSpPr>
          <xdr:spPr bwMode="auto">
            <a:xfrm>
              <a:off x="0" y="0"/>
              <a:ext cx="0" cy="0"/>
            </a:xfrm>
            <a:prstGeom prst="rect">
              <a:avLst/>
            </a:prstGeom>
            <a:noFill/>
            <a:ln w="9525">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xdr:from>
          <xdr:col>0</xdr:col>
          <xdr:colOff>0</xdr:colOff>
          <xdr:row>10</xdr:row>
          <xdr:rowOff>228600</xdr:rowOff>
        </xdr:from>
        <xdr:to>
          <xdr:col>1</xdr:col>
          <xdr:colOff>190500</xdr:colOff>
          <xdr:row>12</xdr:row>
          <xdr:rowOff>0</xdr:rowOff>
        </xdr:to>
        <xdr:sp macro="" textlink="">
          <xdr:nvSpPr>
            <xdr:cNvPr id="132837" name="Label 3813" hidden="1">
              <a:extLst>
                <a:ext uri="{63B3BB69-23CF-44E3-9099-C40C66FF867C}">
                  <a14:compatExt spid="_x0000_s132837"/>
                </a:ext>
                <a:ext uri="{FF2B5EF4-FFF2-40B4-BE49-F238E27FC236}">
                  <a16:creationId xmlns:a16="http://schemas.microsoft.com/office/drawing/2014/main" id="{00000000-0008-0000-0300-0000E5060200}"/>
                </a:ext>
              </a:extLst>
            </xdr:cNvPr>
            <xdr:cNvSpPr/>
          </xdr:nvSpPr>
          <xdr:spPr bwMode="auto">
            <a:xfrm>
              <a:off x="0" y="0"/>
              <a:ext cx="0" cy="0"/>
            </a:xfrm>
            <a:prstGeom prst="rect">
              <a:avLst/>
            </a:prstGeom>
            <a:noFill/>
            <a:ln>
              <a:noFill/>
            </a:ln>
            <a:extLst>
              <a:ext uri="{909E8E84-426E-40DD-AFC4-6F175D3DCCD1}">
                <a14:hiddenFill>
                  <a:noFill/>
                </a14:hiddenFill>
              </a:ext>
              <a:ext uri="{91240B29-F687-4F45-9708-019B960494DF}">
                <a14:hiddenLine w="9525">
                  <a:noFill/>
                  <a:miter lim="800000"/>
                  <a:headEnd/>
                  <a:tailEnd/>
                </a14:hiddenLine>
              </a:ext>
            </a:extLst>
          </xdr:spPr>
          <xdr:txBody>
            <a:bodyPr vertOverflow="clip" wrap="square" lIns="27432" tIns="22860" rIns="0" bIns="0" anchor="t" upright="1"/>
            <a:lstStyle/>
            <a:p>
              <a:pPr algn="l" rtl="0">
                <a:defRPr sz="1000"/>
              </a:pPr>
              <a:r>
                <a:rPr lang="fr-FR" sz="1100" b="0" i="0" u="none" strike="noStrike" baseline="0">
                  <a:solidFill>
                    <a:srgbClr val="000000"/>
                  </a:solidFill>
                  <a:latin typeface="Liberation Sans"/>
                  <a:ea typeface="Liberation Sans"/>
                  <a:cs typeface="Liberation Sans"/>
                </a:rPr>
                <a:t>Dots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48</xdr:col>
          <xdr:colOff>123825</xdr:colOff>
          <xdr:row>11</xdr:row>
          <xdr:rowOff>0</xdr:rowOff>
        </xdr:from>
        <xdr:to>
          <xdr:col>51</xdr:col>
          <xdr:colOff>0</xdr:colOff>
          <xdr:row>12</xdr:row>
          <xdr:rowOff>28575</xdr:rowOff>
        </xdr:to>
        <xdr:sp macro="" textlink="">
          <xdr:nvSpPr>
            <xdr:cNvPr id="132838" name="Label 3814" hidden="1">
              <a:extLst>
                <a:ext uri="{63B3BB69-23CF-44E3-9099-C40C66FF867C}">
                  <a14:compatExt spid="_x0000_s132838"/>
                </a:ext>
                <a:ext uri="{FF2B5EF4-FFF2-40B4-BE49-F238E27FC236}">
                  <a16:creationId xmlns:a16="http://schemas.microsoft.com/office/drawing/2014/main" id="{00000000-0008-0000-0300-0000E6060200}"/>
                </a:ext>
              </a:extLst>
            </xdr:cNvPr>
            <xdr:cNvSpPr/>
          </xdr:nvSpPr>
          <xdr:spPr bwMode="auto">
            <a:xfrm>
              <a:off x="0" y="0"/>
              <a:ext cx="0" cy="0"/>
            </a:xfrm>
            <a:prstGeom prst="rect">
              <a:avLst/>
            </a:prstGeom>
            <a:noFill/>
            <a:ln>
              <a:noFill/>
            </a:ln>
            <a:extLst>
              <a:ext uri="{909E8E84-426E-40DD-AFC4-6F175D3DCCD1}">
                <a14:hiddenFill>
                  <a:noFill/>
                </a14:hiddenFill>
              </a:ext>
              <a:ext uri="{91240B29-F687-4F45-9708-019B960494DF}">
                <a14:hiddenLine w="9525">
                  <a:noFill/>
                  <a:miter lim="800000"/>
                  <a:headEnd/>
                  <a:tailEnd/>
                </a14:hiddenLine>
              </a:ext>
            </a:extLst>
          </xdr:spPr>
          <xdr:txBody>
            <a:bodyPr vertOverflow="clip" wrap="square" lIns="27432" tIns="22860" rIns="0" bIns="0" anchor="t" upright="1"/>
            <a:lstStyle/>
            <a:p>
              <a:pPr algn="l" rtl="0">
                <a:defRPr sz="1000"/>
              </a:pPr>
              <a:r>
                <a:rPr lang="fr-FR" sz="1100" b="0" i="0" u="none" strike="noStrike" baseline="0">
                  <a:solidFill>
                    <a:srgbClr val="000000"/>
                  </a:solidFill>
                  <a:latin typeface="Liberation Sans"/>
                  <a:ea typeface="Liberation Sans"/>
                  <a:cs typeface="Liberation Sans"/>
                </a:rPr>
                <a:t>Dots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0</xdr:col>
          <xdr:colOff>0</xdr:colOff>
          <xdr:row>39</xdr:row>
          <xdr:rowOff>200025</xdr:rowOff>
        </xdr:from>
        <xdr:to>
          <xdr:col>1</xdr:col>
          <xdr:colOff>190500</xdr:colOff>
          <xdr:row>40</xdr:row>
          <xdr:rowOff>219075</xdr:rowOff>
        </xdr:to>
        <xdr:sp macro="" textlink="">
          <xdr:nvSpPr>
            <xdr:cNvPr id="132839" name="Label 3815" hidden="1">
              <a:extLst>
                <a:ext uri="{63B3BB69-23CF-44E3-9099-C40C66FF867C}">
                  <a14:compatExt spid="_x0000_s132839"/>
                </a:ext>
                <a:ext uri="{FF2B5EF4-FFF2-40B4-BE49-F238E27FC236}">
                  <a16:creationId xmlns:a16="http://schemas.microsoft.com/office/drawing/2014/main" id="{00000000-0008-0000-0300-0000E7060200}"/>
                </a:ext>
              </a:extLst>
            </xdr:cNvPr>
            <xdr:cNvSpPr/>
          </xdr:nvSpPr>
          <xdr:spPr bwMode="auto">
            <a:xfrm>
              <a:off x="0" y="0"/>
              <a:ext cx="0" cy="0"/>
            </a:xfrm>
            <a:prstGeom prst="rect">
              <a:avLst/>
            </a:prstGeom>
            <a:noFill/>
            <a:ln>
              <a:noFill/>
            </a:ln>
            <a:extLst>
              <a:ext uri="{909E8E84-426E-40DD-AFC4-6F175D3DCCD1}">
                <a14:hiddenFill>
                  <a:noFill/>
                </a14:hiddenFill>
              </a:ext>
              <a:ext uri="{91240B29-F687-4F45-9708-019B960494DF}">
                <a14:hiddenLine w="9525">
                  <a:noFill/>
                  <a:miter lim="800000"/>
                  <a:headEnd/>
                  <a:tailEnd/>
                </a14:hiddenLine>
              </a:ext>
            </a:extLst>
          </xdr:spPr>
          <xdr:txBody>
            <a:bodyPr vertOverflow="clip" wrap="square" lIns="27432" tIns="22860" rIns="0" bIns="0" anchor="t" upright="1"/>
            <a:lstStyle/>
            <a:p>
              <a:pPr algn="l" rtl="0">
                <a:defRPr sz="1000"/>
              </a:pPr>
              <a:r>
                <a:rPr lang="fr-FR" sz="1100" b="0" i="0" u="none" strike="noStrike" baseline="0">
                  <a:solidFill>
                    <a:srgbClr val="000000"/>
                  </a:solidFill>
                  <a:latin typeface="Liberation Sans"/>
                  <a:ea typeface="Liberation Sans"/>
                  <a:cs typeface="Liberation Sans"/>
                </a:rPr>
                <a:t>Dots</a:t>
              </a:r>
            </a:p>
          </xdr:txBody>
        </xdr:sp>
        <xdr:clientData fPrintsWithSheet="0"/>
      </xdr:twoCellAnchor>
    </mc:Choice>
    <mc:Fallback/>
  </mc:AlternateContent>
</xdr:wsDr>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forum.theonyxpath.com/forum/main-category/exalted/1087290-advanced-character-generator" TargetMode="External"/><Relationship Id="rId1" Type="http://schemas.openxmlformats.org/officeDocument/2006/relationships/hyperlink" Target="http://forum.theonyxpath.com/forum/main-category/exalted/1087290-advanced-character-generator" TargetMode="External"/><Relationship Id="rId6" Type="http://schemas.openxmlformats.org/officeDocument/2006/relationships/ctrlProp" Target="../ctrlProps/ctrlProp1.xml"/><Relationship Id="rId5" Type="http://schemas.openxmlformats.org/officeDocument/2006/relationships/vmlDrawing" Target="../drawings/vmlDrawing1.vm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3" Type="http://schemas.openxmlformats.org/officeDocument/2006/relationships/ctrlProp" Target="../ctrlProps/ctrlProp11.xml"/><Relationship Id="rId18" Type="http://schemas.openxmlformats.org/officeDocument/2006/relationships/ctrlProp" Target="../ctrlProps/ctrlProp16.xml"/><Relationship Id="rId26" Type="http://schemas.openxmlformats.org/officeDocument/2006/relationships/ctrlProp" Target="../ctrlProps/ctrlProp24.xml"/><Relationship Id="rId39" Type="http://schemas.openxmlformats.org/officeDocument/2006/relationships/ctrlProp" Target="../ctrlProps/ctrlProp37.xml"/><Relationship Id="rId21" Type="http://schemas.openxmlformats.org/officeDocument/2006/relationships/ctrlProp" Target="../ctrlProps/ctrlProp19.xml"/><Relationship Id="rId34" Type="http://schemas.openxmlformats.org/officeDocument/2006/relationships/ctrlProp" Target="../ctrlProps/ctrlProp32.xml"/><Relationship Id="rId42" Type="http://schemas.openxmlformats.org/officeDocument/2006/relationships/ctrlProp" Target="../ctrlProps/ctrlProp40.xml"/><Relationship Id="rId47" Type="http://schemas.openxmlformats.org/officeDocument/2006/relationships/ctrlProp" Target="../ctrlProps/ctrlProp45.xml"/><Relationship Id="rId50" Type="http://schemas.openxmlformats.org/officeDocument/2006/relationships/ctrlProp" Target="../ctrlProps/ctrlProp48.xml"/><Relationship Id="rId55" Type="http://schemas.openxmlformats.org/officeDocument/2006/relationships/ctrlProp" Target="../ctrlProps/ctrlProp53.xml"/><Relationship Id="rId63" Type="http://schemas.openxmlformats.org/officeDocument/2006/relationships/ctrlProp" Target="../ctrlProps/ctrlProp61.xml"/><Relationship Id="rId68" Type="http://schemas.openxmlformats.org/officeDocument/2006/relationships/ctrlProp" Target="../ctrlProps/ctrlProp66.xml"/><Relationship Id="rId76" Type="http://schemas.openxmlformats.org/officeDocument/2006/relationships/ctrlProp" Target="../ctrlProps/ctrlProp74.xml"/><Relationship Id="rId84" Type="http://schemas.openxmlformats.org/officeDocument/2006/relationships/comments" Target="../comments1.xml"/><Relationship Id="rId7" Type="http://schemas.openxmlformats.org/officeDocument/2006/relationships/ctrlProp" Target="../ctrlProps/ctrlProp5.xml"/><Relationship Id="rId71" Type="http://schemas.openxmlformats.org/officeDocument/2006/relationships/ctrlProp" Target="../ctrlProps/ctrlProp69.xml"/><Relationship Id="rId2" Type="http://schemas.openxmlformats.org/officeDocument/2006/relationships/drawing" Target="../drawings/drawing2.xml"/><Relationship Id="rId16" Type="http://schemas.openxmlformats.org/officeDocument/2006/relationships/ctrlProp" Target="../ctrlProps/ctrlProp14.xml"/><Relationship Id="rId29" Type="http://schemas.openxmlformats.org/officeDocument/2006/relationships/ctrlProp" Target="../ctrlProps/ctrlProp27.xml"/><Relationship Id="rId11" Type="http://schemas.openxmlformats.org/officeDocument/2006/relationships/ctrlProp" Target="../ctrlProps/ctrlProp9.xml"/><Relationship Id="rId24" Type="http://schemas.openxmlformats.org/officeDocument/2006/relationships/ctrlProp" Target="../ctrlProps/ctrlProp22.xml"/><Relationship Id="rId32" Type="http://schemas.openxmlformats.org/officeDocument/2006/relationships/ctrlProp" Target="../ctrlProps/ctrlProp30.xml"/><Relationship Id="rId37" Type="http://schemas.openxmlformats.org/officeDocument/2006/relationships/ctrlProp" Target="../ctrlProps/ctrlProp35.xml"/><Relationship Id="rId40" Type="http://schemas.openxmlformats.org/officeDocument/2006/relationships/ctrlProp" Target="../ctrlProps/ctrlProp38.xml"/><Relationship Id="rId45" Type="http://schemas.openxmlformats.org/officeDocument/2006/relationships/ctrlProp" Target="../ctrlProps/ctrlProp43.xml"/><Relationship Id="rId53" Type="http://schemas.openxmlformats.org/officeDocument/2006/relationships/ctrlProp" Target="../ctrlProps/ctrlProp51.xml"/><Relationship Id="rId58" Type="http://schemas.openxmlformats.org/officeDocument/2006/relationships/ctrlProp" Target="../ctrlProps/ctrlProp56.xml"/><Relationship Id="rId66" Type="http://schemas.openxmlformats.org/officeDocument/2006/relationships/ctrlProp" Target="../ctrlProps/ctrlProp64.xml"/><Relationship Id="rId74" Type="http://schemas.openxmlformats.org/officeDocument/2006/relationships/ctrlProp" Target="../ctrlProps/ctrlProp72.xml"/><Relationship Id="rId79" Type="http://schemas.openxmlformats.org/officeDocument/2006/relationships/ctrlProp" Target="../ctrlProps/ctrlProp77.xml"/><Relationship Id="rId5" Type="http://schemas.openxmlformats.org/officeDocument/2006/relationships/ctrlProp" Target="../ctrlProps/ctrlProp3.xml"/><Relationship Id="rId61" Type="http://schemas.openxmlformats.org/officeDocument/2006/relationships/ctrlProp" Target="../ctrlProps/ctrlProp59.xml"/><Relationship Id="rId82" Type="http://schemas.openxmlformats.org/officeDocument/2006/relationships/ctrlProp" Target="../ctrlProps/ctrlProp80.xml"/><Relationship Id="rId10" Type="http://schemas.openxmlformats.org/officeDocument/2006/relationships/ctrlProp" Target="../ctrlProps/ctrlProp8.xml"/><Relationship Id="rId19" Type="http://schemas.openxmlformats.org/officeDocument/2006/relationships/ctrlProp" Target="../ctrlProps/ctrlProp17.xml"/><Relationship Id="rId31" Type="http://schemas.openxmlformats.org/officeDocument/2006/relationships/ctrlProp" Target="../ctrlProps/ctrlProp29.xml"/><Relationship Id="rId44" Type="http://schemas.openxmlformats.org/officeDocument/2006/relationships/ctrlProp" Target="../ctrlProps/ctrlProp42.xml"/><Relationship Id="rId52" Type="http://schemas.openxmlformats.org/officeDocument/2006/relationships/ctrlProp" Target="../ctrlProps/ctrlProp50.xml"/><Relationship Id="rId60" Type="http://schemas.openxmlformats.org/officeDocument/2006/relationships/ctrlProp" Target="../ctrlProps/ctrlProp58.xml"/><Relationship Id="rId65" Type="http://schemas.openxmlformats.org/officeDocument/2006/relationships/ctrlProp" Target="../ctrlProps/ctrlProp63.xml"/><Relationship Id="rId73" Type="http://schemas.openxmlformats.org/officeDocument/2006/relationships/ctrlProp" Target="../ctrlProps/ctrlProp71.xml"/><Relationship Id="rId78" Type="http://schemas.openxmlformats.org/officeDocument/2006/relationships/ctrlProp" Target="../ctrlProps/ctrlProp76.xml"/><Relationship Id="rId81" Type="http://schemas.openxmlformats.org/officeDocument/2006/relationships/ctrlProp" Target="../ctrlProps/ctrlProp79.xml"/><Relationship Id="rId4" Type="http://schemas.openxmlformats.org/officeDocument/2006/relationships/ctrlProp" Target="../ctrlProps/ctrlProp2.xml"/><Relationship Id="rId9" Type="http://schemas.openxmlformats.org/officeDocument/2006/relationships/ctrlProp" Target="../ctrlProps/ctrlProp7.xml"/><Relationship Id="rId14" Type="http://schemas.openxmlformats.org/officeDocument/2006/relationships/ctrlProp" Target="../ctrlProps/ctrlProp12.xml"/><Relationship Id="rId22" Type="http://schemas.openxmlformats.org/officeDocument/2006/relationships/ctrlProp" Target="../ctrlProps/ctrlProp20.xml"/><Relationship Id="rId27" Type="http://schemas.openxmlformats.org/officeDocument/2006/relationships/ctrlProp" Target="../ctrlProps/ctrlProp25.xml"/><Relationship Id="rId30" Type="http://schemas.openxmlformats.org/officeDocument/2006/relationships/ctrlProp" Target="../ctrlProps/ctrlProp28.xml"/><Relationship Id="rId35" Type="http://schemas.openxmlformats.org/officeDocument/2006/relationships/ctrlProp" Target="../ctrlProps/ctrlProp33.xml"/><Relationship Id="rId43" Type="http://schemas.openxmlformats.org/officeDocument/2006/relationships/ctrlProp" Target="../ctrlProps/ctrlProp41.xml"/><Relationship Id="rId48" Type="http://schemas.openxmlformats.org/officeDocument/2006/relationships/ctrlProp" Target="../ctrlProps/ctrlProp46.xml"/><Relationship Id="rId56" Type="http://schemas.openxmlformats.org/officeDocument/2006/relationships/ctrlProp" Target="../ctrlProps/ctrlProp54.xml"/><Relationship Id="rId64" Type="http://schemas.openxmlformats.org/officeDocument/2006/relationships/ctrlProp" Target="../ctrlProps/ctrlProp62.xml"/><Relationship Id="rId69" Type="http://schemas.openxmlformats.org/officeDocument/2006/relationships/ctrlProp" Target="../ctrlProps/ctrlProp67.xml"/><Relationship Id="rId77" Type="http://schemas.openxmlformats.org/officeDocument/2006/relationships/ctrlProp" Target="../ctrlProps/ctrlProp75.xml"/><Relationship Id="rId8" Type="http://schemas.openxmlformats.org/officeDocument/2006/relationships/ctrlProp" Target="../ctrlProps/ctrlProp6.xml"/><Relationship Id="rId51" Type="http://schemas.openxmlformats.org/officeDocument/2006/relationships/ctrlProp" Target="../ctrlProps/ctrlProp49.xml"/><Relationship Id="rId72" Type="http://schemas.openxmlformats.org/officeDocument/2006/relationships/ctrlProp" Target="../ctrlProps/ctrlProp70.xml"/><Relationship Id="rId80" Type="http://schemas.openxmlformats.org/officeDocument/2006/relationships/ctrlProp" Target="../ctrlProps/ctrlProp78.xml"/><Relationship Id="rId3" Type="http://schemas.openxmlformats.org/officeDocument/2006/relationships/vmlDrawing" Target="../drawings/vmlDrawing2.vml"/><Relationship Id="rId12" Type="http://schemas.openxmlformats.org/officeDocument/2006/relationships/ctrlProp" Target="../ctrlProps/ctrlProp10.xml"/><Relationship Id="rId17" Type="http://schemas.openxmlformats.org/officeDocument/2006/relationships/ctrlProp" Target="../ctrlProps/ctrlProp15.xml"/><Relationship Id="rId25" Type="http://schemas.openxmlformats.org/officeDocument/2006/relationships/ctrlProp" Target="../ctrlProps/ctrlProp23.xml"/><Relationship Id="rId33" Type="http://schemas.openxmlformats.org/officeDocument/2006/relationships/ctrlProp" Target="../ctrlProps/ctrlProp31.xml"/><Relationship Id="rId38" Type="http://schemas.openxmlformats.org/officeDocument/2006/relationships/ctrlProp" Target="../ctrlProps/ctrlProp36.xml"/><Relationship Id="rId46" Type="http://schemas.openxmlformats.org/officeDocument/2006/relationships/ctrlProp" Target="../ctrlProps/ctrlProp44.xml"/><Relationship Id="rId59" Type="http://schemas.openxmlformats.org/officeDocument/2006/relationships/ctrlProp" Target="../ctrlProps/ctrlProp57.xml"/><Relationship Id="rId67" Type="http://schemas.openxmlformats.org/officeDocument/2006/relationships/ctrlProp" Target="../ctrlProps/ctrlProp65.xml"/><Relationship Id="rId20" Type="http://schemas.openxmlformats.org/officeDocument/2006/relationships/ctrlProp" Target="../ctrlProps/ctrlProp18.xml"/><Relationship Id="rId41" Type="http://schemas.openxmlformats.org/officeDocument/2006/relationships/ctrlProp" Target="../ctrlProps/ctrlProp39.xml"/><Relationship Id="rId54" Type="http://schemas.openxmlformats.org/officeDocument/2006/relationships/ctrlProp" Target="../ctrlProps/ctrlProp52.xml"/><Relationship Id="rId62" Type="http://schemas.openxmlformats.org/officeDocument/2006/relationships/ctrlProp" Target="../ctrlProps/ctrlProp60.xml"/><Relationship Id="rId70" Type="http://schemas.openxmlformats.org/officeDocument/2006/relationships/ctrlProp" Target="../ctrlProps/ctrlProp68.xml"/><Relationship Id="rId75" Type="http://schemas.openxmlformats.org/officeDocument/2006/relationships/ctrlProp" Target="../ctrlProps/ctrlProp73.xml"/><Relationship Id="rId83" Type="http://schemas.openxmlformats.org/officeDocument/2006/relationships/ctrlProp" Target="../ctrlProps/ctrlProp81.xml"/><Relationship Id="rId1" Type="http://schemas.openxmlformats.org/officeDocument/2006/relationships/printerSettings" Target="../printerSettings/printerSettings2.bin"/><Relationship Id="rId6" Type="http://schemas.openxmlformats.org/officeDocument/2006/relationships/ctrlProp" Target="../ctrlProps/ctrlProp4.xml"/><Relationship Id="rId15" Type="http://schemas.openxmlformats.org/officeDocument/2006/relationships/ctrlProp" Target="../ctrlProps/ctrlProp13.xml"/><Relationship Id="rId23" Type="http://schemas.openxmlformats.org/officeDocument/2006/relationships/ctrlProp" Target="../ctrlProps/ctrlProp21.xml"/><Relationship Id="rId28" Type="http://schemas.openxmlformats.org/officeDocument/2006/relationships/ctrlProp" Target="../ctrlProps/ctrlProp26.xml"/><Relationship Id="rId36" Type="http://schemas.openxmlformats.org/officeDocument/2006/relationships/ctrlProp" Target="../ctrlProps/ctrlProp34.xml"/><Relationship Id="rId49" Type="http://schemas.openxmlformats.org/officeDocument/2006/relationships/ctrlProp" Target="../ctrlProps/ctrlProp47.xml"/><Relationship Id="rId57" Type="http://schemas.openxmlformats.org/officeDocument/2006/relationships/ctrlProp" Target="../ctrlProps/ctrlProp55.xml"/></Relationships>
</file>

<file path=xl/worksheets/_rels/sheet3.xml.rels><?xml version="1.0" encoding="UTF-8" standalone="yes"?>
<Relationships xmlns="http://schemas.openxmlformats.org/package/2006/relationships"><Relationship Id="rId13" Type="http://schemas.openxmlformats.org/officeDocument/2006/relationships/ctrlProp" Target="../ctrlProps/ctrlProp91.xml"/><Relationship Id="rId18" Type="http://schemas.openxmlformats.org/officeDocument/2006/relationships/ctrlProp" Target="../ctrlProps/ctrlProp96.xml"/><Relationship Id="rId26" Type="http://schemas.openxmlformats.org/officeDocument/2006/relationships/ctrlProp" Target="../ctrlProps/ctrlProp104.xml"/><Relationship Id="rId39" Type="http://schemas.openxmlformats.org/officeDocument/2006/relationships/ctrlProp" Target="../ctrlProps/ctrlProp117.xml"/><Relationship Id="rId21" Type="http://schemas.openxmlformats.org/officeDocument/2006/relationships/ctrlProp" Target="../ctrlProps/ctrlProp99.xml"/><Relationship Id="rId34" Type="http://schemas.openxmlformats.org/officeDocument/2006/relationships/ctrlProp" Target="../ctrlProps/ctrlProp112.xml"/><Relationship Id="rId42" Type="http://schemas.openxmlformats.org/officeDocument/2006/relationships/ctrlProp" Target="../ctrlProps/ctrlProp120.xml"/><Relationship Id="rId47" Type="http://schemas.openxmlformats.org/officeDocument/2006/relationships/ctrlProp" Target="../ctrlProps/ctrlProp125.xml"/><Relationship Id="rId50" Type="http://schemas.openxmlformats.org/officeDocument/2006/relationships/ctrlProp" Target="../ctrlProps/ctrlProp128.xml"/><Relationship Id="rId55" Type="http://schemas.openxmlformats.org/officeDocument/2006/relationships/ctrlProp" Target="../ctrlProps/ctrlProp133.xml"/><Relationship Id="rId63" Type="http://schemas.openxmlformats.org/officeDocument/2006/relationships/ctrlProp" Target="../ctrlProps/ctrlProp141.xml"/><Relationship Id="rId68" Type="http://schemas.openxmlformats.org/officeDocument/2006/relationships/ctrlProp" Target="../ctrlProps/ctrlProp146.xml"/><Relationship Id="rId76" Type="http://schemas.openxmlformats.org/officeDocument/2006/relationships/ctrlProp" Target="../ctrlProps/ctrlProp154.xml"/><Relationship Id="rId84" Type="http://schemas.openxmlformats.org/officeDocument/2006/relationships/ctrlProp" Target="../ctrlProps/ctrlProp162.xml"/><Relationship Id="rId7" Type="http://schemas.openxmlformats.org/officeDocument/2006/relationships/ctrlProp" Target="../ctrlProps/ctrlProp85.xml"/><Relationship Id="rId71" Type="http://schemas.openxmlformats.org/officeDocument/2006/relationships/ctrlProp" Target="../ctrlProps/ctrlProp149.xml"/><Relationship Id="rId2" Type="http://schemas.openxmlformats.org/officeDocument/2006/relationships/drawing" Target="../drawings/drawing3.xml"/><Relationship Id="rId16" Type="http://schemas.openxmlformats.org/officeDocument/2006/relationships/ctrlProp" Target="../ctrlProps/ctrlProp94.xml"/><Relationship Id="rId29" Type="http://schemas.openxmlformats.org/officeDocument/2006/relationships/ctrlProp" Target="../ctrlProps/ctrlProp107.xml"/><Relationship Id="rId11" Type="http://schemas.openxmlformats.org/officeDocument/2006/relationships/ctrlProp" Target="../ctrlProps/ctrlProp89.xml"/><Relationship Id="rId24" Type="http://schemas.openxmlformats.org/officeDocument/2006/relationships/ctrlProp" Target="../ctrlProps/ctrlProp102.xml"/><Relationship Id="rId32" Type="http://schemas.openxmlformats.org/officeDocument/2006/relationships/ctrlProp" Target="../ctrlProps/ctrlProp110.xml"/><Relationship Id="rId37" Type="http://schemas.openxmlformats.org/officeDocument/2006/relationships/ctrlProp" Target="../ctrlProps/ctrlProp115.xml"/><Relationship Id="rId40" Type="http://schemas.openxmlformats.org/officeDocument/2006/relationships/ctrlProp" Target="../ctrlProps/ctrlProp118.xml"/><Relationship Id="rId45" Type="http://schemas.openxmlformats.org/officeDocument/2006/relationships/ctrlProp" Target="../ctrlProps/ctrlProp123.xml"/><Relationship Id="rId53" Type="http://schemas.openxmlformats.org/officeDocument/2006/relationships/ctrlProp" Target="../ctrlProps/ctrlProp131.xml"/><Relationship Id="rId58" Type="http://schemas.openxmlformats.org/officeDocument/2006/relationships/ctrlProp" Target="../ctrlProps/ctrlProp136.xml"/><Relationship Id="rId66" Type="http://schemas.openxmlformats.org/officeDocument/2006/relationships/ctrlProp" Target="../ctrlProps/ctrlProp144.xml"/><Relationship Id="rId74" Type="http://schemas.openxmlformats.org/officeDocument/2006/relationships/ctrlProp" Target="../ctrlProps/ctrlProp152.xml"/><Relationship Id="rId79" Type="http://schemas.openxmlformats.org/officeDocument/2006/relationships/ctrlProp" Target="../ctrlProps/ctrlProp157.xml"/><Relationship Id="rId87" Type="http://schemas.openxmlformats.org/officeDocument/2006/relationships/ctrlProp" Target="../ctrlProps/ctrlProp165.xml"/><Relationship Id="rId5" Type="http://schemas.openxmlformats.org/officeDocument/2006/relationships/ctrlProp" Target="../ctrlProps/ctrlProp83.xml"/><Relationship Id="rId61" Type="http://schemas.openxmlformats.org/officeDocument/2006/relationships/ctrlProp" Target="../ctrlProps/ctrlProp139.xml"/><Relationship Id="rId82" Type="http://schemas.openxmlformats.org/officeDocument/2006/relationships/ctrlProp" Target="../ctrlProps/ctrlProp160.xml"/><Relationship Id="rId19" Type="http://schemas.openxmlformats.org/officeDocument/2006/relationships/ctrlProp" Target="../ctrlProps/ctrlProp97.xml"/><Relationship Id="rId4" Type="http://schemas.openxmlformats.org/officeDocument/2006/relationships/ctrlProp" Target="../ctrlProps/ctrlProp82.xml"/><Relationship Id="rId9" Type="http://schemas.openxmlformats.org/officeDocument/2006/relationships/ctrlProp" Target="../ctrlProps/ctrlProp87.xml"/><Relationship Id="rId14" Type="http://schemas.openxmlformats.org/officeDocument/2006/relationships/ctrlProp" Target="../ctrlProps/ctrlProp92.xml"/><Relationship Id="rId22" Type="http://schemas.openxmlformats.org/officeDocument/2006/relationships/ctrlProp" Target="../ctrlProps/ctrlProp100.xml"/><Relationship Id="rId27" Type="http://schemas.openxmlformats.org/officeDocument/2006/relationships/ctrlProp" Target="../ctrlProps/ctrlProp105.xml"/><Relationship Id="rId30" Type="http://schemas.openxmlformats.org/officeDocument/2006/relationships/ctrlProp" Target="../ctrlProps/ctrlProp108.xml"/><Relationship Id="rId35" Type="http://schemas.openxmlformats.org/officeDocument/2006/relationships/ctrlProp" Target="../ctrlProps/ctrlProp113.xml"/><Relationship Id="rId43" Type="http://schemas.openxmlformats.org/officeDocument/2006/relationships/ctrlProp" Target="../ctrlProps/ctrlProp121.xml"/><Relationship Id="rId48" Type="http://schemas.openxmlformats.org/officeDocument/2006/relationships/ctrlProp" Target="../ctrlProps/ctrlProp126.xml"/><Relationship Id="rId56" Type="http://schemas.openxmlformats.org/officeDocument/2006/relationships/ctrlProp" Target="../ctrlProps/ctrlProp134.xml"/><Relationship Id="rId64" Type="http://schemas.openxmlformats.org/officeDocument/2006/relationships/ctrlProp" Target="../ctrlProps/ctrlProp142.xml"/><Relationship Id="rId69" Type="http://schemas.openxmlformats.org/officeDocument/2006/relationships/ctrlProp" Target="../ctrlProps/ctrlProp147.xml"/><Relationship Id="rId77" Type="http://schemas.openxmlformats.org/officeDocument/2006/relationships/ctrlProp" Target="../ctrlProps/ctrlProp155.xml"/><Relationship Id="rId8" Type="http://schemas.openxmlformats.org/officeDocument/2006/relationships/ctrlProp" Target="../ctrlProps/ctrlProp86.xml"/><Relationship Id="rId51" Type="http://schemas.openxmlformats.org/officeDocument/2006/relationships/ctrlProp" Target="../ctrlProps/ctrlProp129.xml"/><Relationship Id="rId72" Type="http://schemas.openxmlformats.org/officeDocument/2006/relationships/ctrlProp" Target="../ctrlProps/ctrlProp150.xml"/><Relationship Id="rId80" Type="http://schemas.openxmlformats.org/officeDocument/2006/relationships/ctrlProp" Target="../ctrlProps/ctrlProp158.xml"/><Relationship Id="rId85" Type="http://schemas.openxmlformats.org/officeDocument/2006/relationships/ctrlProp" Target="../ctrlProps/ctrlProp163.xml"/><Relationship Id="rId3" Type="http://schemas.openxmlformats.org/officeDocument/2006/relationships/vmlDrawing" Target="../drawings/vmlDrawing3.vml"/><Relationship Id="rId12" Type="http://schemas.openxmlformats.org/officeDocument/2006/relationships/ctrlProp" Target="../ctrlProps/ctrlProp90.xml"/><Relationship Id="rId17" Type="http://schemas.openxmlformats.org/officeDocument/2006/relationships/ctrlProp" Target="../ctrlProps/ctrlProp95.xml"/><Relationship Id="rId25" Type="http://schemas.openxmlformats.org/officeDocument/2006/relationships/ctrlProp" Target="../ctrlProps/ctrlProp103.xml"/><Relationship Id="rId33" Type="http://schemas.openxmlformats.org/officeDocument/2006/relationships/ctrlProp" Target="../ctrlProps/ctrlProp111.xml"/><Relationship Id="rId38" Type="http://schemas.openxmlformats.org/officeDocument/2006/relationships/ctrlProp" Target="../ctrlProps/ctrlProp116.xml"/><Relationship Id="rId46" Type="http://schemas.openxmlformats.org/officeDocument/2006/relationships/ctrlProp" Target="../ctrlProps/ctrlProp124.xml"/><Relationship Id="rId59" Type="http://schemas.openxmlformats.org/officeDocument/2006/relationships/ctrlProp" Target="../ctrlProps/ctrlProp137.xml"/><Relationship Id="rId67" Type="http://schemas.openxmlformats.org/officeDocument/2006/relationships/ctrlProp" Target="../ctrlProps/ctrlProp145.xml"/><Relationship Id="rId20" Type="http://schemas.openxmlformats.org/officeDocument/2006/relationships/ctrlProp" Target="../ctrlProps/ctrlProp98.xml"/><Relationship Id="rId41" Type="http://schemas.openxmlformats.org/officeDocument/2006/relationships/ctrlProp" Target="../ctrlProps/ctrlProp119.xml"/><Relationship Id="rId54" Type="http://schemas.openxmlformats.org/officeDocument/2006/relationships/ctrlProp" Target="../ctrlProps/ctrlProp132.xml"/><Relationship Id="rId62" Type="http://schemas.openxmlformats.org/officeDocument/2006/relationships/ctrlProp" Target="../ctrlProps/ctrlProp140.xml"/><Relationship Id="rId70" Type="http://schemas.openxmlformats.org/officeDocument/2006/relationships/ctrlProp" Target="../ctrlProps/ctrlProp148.xml"/><Relationship Id="rId75" Type="http://schemas.openxmlformats.org/officeDocument/2006/relationships/ctrlProp" Target="../ctrlProps/ctrlProp153.xml"/><Relationship Id="rId83" Type="http://schemas.openxmlformats.org/officeDocument/2006/relationships/ctrlProp" Target="../ctrlProps/ctrlProp161.xml"/><Relationship Id="rId88" Type="http://schemas.openxmlformats.org/officeDocument/2006/relationships/comments" Target="../comments2.xml"/><Relationship Id="rId1" Type="http://schemas.openxmlformats.org/officeDocument/2006/relationships/printerSettings" Target="../printerSettings/printerSettings3.bin"/><Relationship Id="rId6" Type="http://schemas.openxmlformats.org/officeDocument/2006/relationships/ctrlProp" Target="../ctrlProps/ctrlProp84.xml"/><Relationship Id="rId15" Type="http://schemas.openxmlformats.org/officeDocument/2006/relationships/ctrlProp" Target="../ctrlProps/ctrlProp93.xml"/><Relationship Id="rId23" Type="http://schemas.openxmlformats.org/officeDocument/2006/relationships/ctrlProp" Target="../ctrlProps/ctrlProp101.xml"/><Relationship Id="rId28" Type="http://schemas.openxmlformats.org/officeDocument/2006/relationships/ctrlProp" Target="../ctrlProps/ctrlProp106.xml"/><Relationship Id="rId36" Type="http://schemas.openxmlformats.org/officeDocument/2006/relationships/ctrlProp" Target="../ctrlProps/ctrlProp114.xml"/><Relationship Id="rId49" Type="http://schemas.openxmlformats.org/officeDocument/2006/relationships/ctrlProp" Target="../ctrlProps/ctrlProp127.xml"/><Relationship Id="rId57" Type="http://schemas.openxmlformats.org/officeDocument/2006/relationships/ctrlProp" Target="../ctrlProps/ctrlProp135.xml"/><Relationship Id="rId10" Type="http://schemas.openxmlformats.org/officeDocument/2006/relationships/ctrlProp" Target="../ctrlProps/ctrlProp88.xml"/><Relationship Id="rId31" Type="http://schemas.openxmlformats.org/officeDocument/2006/relationships/ctrlProp" Target="../ctrlProps/ctrlProp109.xml"/><Relationship Id="rId44" Type="http://schemas.openxmlformats.org/officeDocument/2006/relationships/ctrlProp" Target="../ctrlProps/ctrlProp122.xml"/><Relationship Id="rId52" Type="http://schemas.openxmlformats.org/officeDocument/2006/relationships/ctrlProp" Target="../ctrlProps/ctrlProp130.xml"/><Relationship Id="rId60" Type="http://schemas.openxmlformats.org/officeDocument/2006/relationships/ctrlProp" Target="../ctrlProps/ctrlProp138.xml"/><Relationship Id="rId65" Type="http://schemas.openxmlformats.org/officeDocument/2006/relationships/ctrlProp" Target="../ctrlProps/ctrlProp143.xml"/><Relationship Id="rId73" Type="http://schemas.openxmlformats.org/officeDocument/2006/relationships/ctrlProp" Target="../ctrlProps/ctrlProp151.xml"/><Relationship Id="rId78" Type="http://schemas.openxmlformats.org/officeDocument/2006/relationships/ctrlProp" Target="../ctrlProps/ctrlProp156.xml"/><Relationship Id="rId81" Type="http://schemas.openxmlformats.org/officeDocument/2006/relationships/ctrlProp" Target="../ctrlProps/ctrlProp159.xml"/><Relationship Id="rId86" Type="http://schemas.openxmlformats.org/officeDocument/2006/relationships/ctrlProp" Target="../ctrlProps/ctrlProp164.xml"/></Relationships>
</file>

<file path=xl/worksheets/_rels/sheet4.xml.rels><?xml version="1.0" encoding="UTF-8" standalone="yes"?>
<Relationships xmlns="http://schemas.openxmlformats.org/package/2006/relationships"><Relationship Id="rId13" Type="http://schemas.openxmlformats.org/officeDocument/2006/relationships/ctrlProp" Target="../ctrlProps/ctrlProp175.xml"/><Relationship Id="rId18" Type="http://schemas.openxmlformats.org/officeDocument/2006/relationships/ctrlProp" Target="../ctrlProps/ctrlProp180.xml"/><Relationship Id="rId26" Type="http://schemas.openxmlformats.org/officeDocument/2006/relationships/ctrlProp" Target="../ctrlProps/ctrlProp188.xml"/><Relationship Id="rId39" Type="http://schemas.openxmlformats.org/officeDocument/2006/relationships/ctrlProp" Target="../ctrlProps/ctrlProp201.xml"/><Relationship Id="rId21" Type="http://schemas.openxmlformats.org/officeDocument/2006/relationships/ctrlProp" Target="../ctrlProps/ctrlProp183.xml"/><Relationship Id="rId34" Type="http://schemas.openxmlformats.org/officeDocument/2006/relationships/ctrlProp" Target="../ctrlProps/ctrlProp196.xml"/><Relationship Id="rId42" Type="http://schemas.openxmlformats.org/officeDocument/2006/relationships/ctrlProp" Target="../ctrlProps/ctrlProp204.xml"/><Relationship Id="rId47" Type="http://schemas.openxmlformats.org/officeDocument/2006/relationships/ctrlProp" Target="../ctrlProps/ctrlProp209.xml"/><Relationship Id="rId50" Type="http://schemas.openxmlformats.org/officeDocument/2006/relationships/ctrlProp" Target="../ctrlProps/ctrlProp212.xml"/><Relationship Id="rId55" Type="http://schemas.openxmlformats.org/officeDocument/2006/relationships/ctrlProp" Target="../ctrlProps/ctrlProp217.xml"/><Relationship Id="rId63" Type="http://schemas.openxmlformats.org/officeDocument/2006/relationships/ctrlProp" Target="../ctrlProps/ctrlProp225.xml"/><Relationship Id="rId68" Type="http://schemas.openxmlformats.org/officeDocument/2006/relationships/ctrlProp" Target="../ctrlProps/ctrlProp230.xml"/><Relationship Id="rId76" Type="http://schemas.openxmlformats.org/officeDocument/2006/relationships/ctrlProp" Target="../ctrlProps/ctrlProp238.xml"/><Relationship Id="rId84" Type="http://schemas.openxmlformats.org/officeDocument/2006/relationships/ctrlProp" Target="../ctrlProps/ctrlProp246.xml"/><Relationship Id="rId7" Type="http://schemas.openxmlformats.org/officeDocument/2006/relationships/ctrlProp" Target="../ctrlProps/ctrlProp169.xml"/><Relationship Id="rId71" Type="http://schemas.openxmlformats.org/officeDocument/2006/relationships/ctrlProp" Target="../ctrlProps/ctrlProp233.xml"/><Relationship Id="rId2" Type="http://schemas.openxmlformats.org/officeDocument/2006/relationships/drawing" Target="../drawings/drawing4.xml"/><Relationship Id="rId16" Type="http://schemas.openxmlformats.org/officeDocument/2006/relationships/ctrlProp" Target="../ctrlProps/ctrlProp178.xml"/><Relationship Id="rId29" Type="http://schemas.openxmlformats.org/officeDocument/2006/relationships/ctrlProp" Target="../ctrlProps/ctrlProp191.xml"/><Relationship Id="rId11" Type="http://schemas.openxmlformats.org/officeDocument/2006/relationships/ctrlProp" Target="../ctrlProps/ctrlProp173.xml"/><Relationship Id="rId24" Type="http://schemas.openxmlformats.org/officeDocument/2006/relationships/ctrlProp" Target="../ctrlProps/ctrlProp186.xml"/><Relationship Id="rId32" Type="http://schemas.openxmlformats.org/officeDocument/2006/relationships/ctrlProp" Target="../ctrlProps/ctrlProp194.xml"/><Relationship Id="rId37" Type="http://schemas.openxmlformats.org/officeDocument/2006/relationships/ctrlProp" Target="../ctrlProps/ctrlProp199.xml"/><Relationship Id="rId40" Type="http://schemas.openxmlformats.org/officeDocument/2006/relationships/ctrlProp" Target="../ctrlProps/ctrlProp202.xml"/><Relationship Id="rId45" Type="http://schemas.openxmlformats.org/officeDocument/2006/relationships/ctrlProp" Target="../ctrlProps/ctrlProp207.xml"/><Relationship Id="rId53" Type="http://schemas.openxmlformats.org/officeDocument/2006/relationships/ctrlProp" Target="../ctrlProps/ctrlProp215.xml"/><Relationship Id="rId58" Type="http://schemas.openxmlformats.org/officeDocument/2006/relationships/ctrlProp" Target="../ctrlProps/ctrlProp220.xml"/><Relationship Id="rId66" Type="http://schemas.openxmlformats.org/officeDocument/2006/relationships/ctrlProp" Target="../ctrlProps/ctrlProp228.xml"/><Relationship Id="rId74" Type="http://schemas.openxmlformats.org/officeDocument/2006/relationships/ctrlProp" Target="../ctrlProps/ctrlProp236.xml"/><Relationship Id="rId79" Type="http://schemas.openxmlformats.org/officeDocument/2006/relationships/ctrlProp" Target="../ctrlProps/ctrlProp241.xml"/><Relationship Id="rId87" Type="http://schemas.openxmlformats.org/officeDocument/2006/relationships/ctrlProp" Target="../ctrlProps/ctrlProp249.xml"/><Relationship Id="rId5" Type="http://schemas.openxmlformats.org/officeDocument/2006/relationships/ctrlProp" Target="../ctrlProps/ctrlProp167.xml"/><Relationship Id="rId61" Type="http://schemas.openxmlformats.org/officeDocument/2006/relationships/ctrlProp" Target="../ctrlProps/ctrlProp223.xml"/><Relationship Id="rId82" Type="http://schemas.openxmlformats.org/officeDocument/2006/relationships/ctrlProp" Target="../ctrlProps/ctrlProp244.xml"/><Relationship Id="rId19" Type="http://schemas.openxmlformats.org/officeDocument/2006/relationships/ctrlProp" Target="../ctrlProps/ctrlProp181.xml"/><Relationship Id="rId4" Type="http://schemas.openxmlformats.org/officeDocument/2006/relationships/ctrlProp" Target="../ctrlProps/ctrlProp166.xml"/><Relationship Id="rId9" Type="http://schemas.openxmlformats.org/officeDocument/2006/relationships/ctrlProp" Target="../ctrlProps/ctrlProp171.xml"/><Relationship Id="rId14" Type="http://schemas.openxmlformats.org/officeDocument/2006/relationships/ctrlProp" Target="../ctrlProps/ctrlProp176.xml"/><Relationship Id="rId22" Type="http://schemas.openxmlformats.org/officeDocument/2006/relationships/ctrlProp" Target="../ctrlProps/ctrlProp184.xml"/><Relationship Id="rId27" Type="http://schemas.openxmlformats.org/officeDocument/2006/relationships/ctrlProp" Target="../ctrlProps/ctrlProp189.xml"/><Relationship Id="rId30" Type="http://schemas.openxmlformats.org/officeDocument/2006/relationships/ctrlProp" Target="../ctrlProps/ctrlProp192.xml"/><Relationship Id="rId35" Type="http://schemas.openxmlformats.org/officeDocument/2006/relationships/ctrlProp" Target="../ctrlProps/ctrlProp197.xml"/><Relationship Id="rId43" Type="http://schemas.openxmlformats.org/officeDocument/2006/relationships/ctrlProp" Target="../ctrlProps/ctrlProp205.xml"/><Relationship Id="rId48" Type="http://schemas.openxmlformats.org/officeDocument/2006/relationships/ctrlProp" Target="../ctrlProps/ctrlProp210.xml"/><Relationship Id="rId56" Type="http://schemas.openxmlformats.org/officeDocument/2006/relationships/ctrlProp" Target="../ctrlProps/ctrlProp218.xml"/><Relationship Id="rId64" Type="http://schemas.openxmlformats.org/officeDocument/2006/relationships/ctrlProp" Target="../ctrlProps/ctrlProp226.xml"/><Relationship Id="rId69" Type="http://schemas.openxmlformats.org/officeDocument/2006/relationships/ctrlProp" Target="../ctrlProps/ctrlProp231.xml"/><Relationship Id="rId77" Type="http://schemas.openxmlformats.org/officeDocument/2006/relationships/ctrlProp" Target="../ctrlProps/ctrlProp239.xml"/><Relationship Id="rId8" Type="http://schemas.openxmlformats.org/officeDocument/2006/relationships/ctrlProp" Target="../ctrlProps/ctrlProp170.xml"/><Relationship Id="rId51" Type="http://schemas.openxmlformats.org/officeDocument/2006/relationships/ctrlProp" Target="../ctrlProps/ctrlProp213.xml"/><Relationship Id="rId72" Type="http://schemas.openxmlformats.org/officeDocument/2006/relationships/ctrlProp" Target="../ctrlProps/ctrlProp234.xml"/><Relationship Id="rId80" Type="http://schemas.openxmlformats.org/officeDocument/2006/relationships/ctrlProp" Target="../ctrlProps/ctrlProp242.xml"/><Relationship Id="rId85" Type="http://schemas.openxmlformats.org/officeDocument/2006/relationships/ctrlProp" Target="../ctrlProps/ctrlProp247.xml"/><Relationship Id="rId3" Type="http://schemas.openxmlformats.org/officeDocument/2006/relationships/vmlDrawing" Target="../drawings/vmlDrawing4.vml"/><Relationship Id="rId12" Type="http://schemas.openxmlformats.org/officeDocument/2006/relationships/ctrlProp" Target="../ctrlProps/ctrlProp174.xml"/><Relationship Id="rId17" Type="http://schemas.openxmlformats.org/officeDocument/2006/relationships/ctrlProp" Target="../ctrlProps/ctrlProp179.xml"/><Relationship Id="rId25" Type="http://schemas.openxmlformats.org/officeDocument/2006/relationships/ctrlProp" Target="../ctrlProps/ctrlProp187.xml"/><Relationship Id="rId33" Type="http://schemas.openxmlformats.org/officeDocument/2006/relationships/ctrlProp" Target="../ctrlProps/ctrlProp195.xml"/><Relationship Id="rId38" Type="http://schemas.openxmlformats.org/officeDocument/2006/relationships/ctrlProp" Target="../ctrlProps/ctrlProp200.xml"/><Relationship Id="rId46" Type="http://schemas.openxmlformats.org/officeDocument/2006/relationships/ctrlProp" Target="../ctrlProps/ctrlProp208.xml"/><Relationship Id="rId59" Type="http://schemas.openxmlformats.org/officeDocument/2006/relationships/ctrlProp" Target="../ctrlProps/ctrlProp221.xml"/><Relationship Id="rId67" Type="http://schemas.openxmlformats.org/officeDocument/2006/relationships/ctrlProp" Target="../ctrlProps/ctrlProp229.xml"/><Relationship Id="rId20" Type="http://schemas.openxmlformats.org/officeDocument/2006/relationships/ctrlProp" Target="../ctrlProps/ctrlProp182.xml"/><Relationship Id="rId41" Type="http://schemas.openxmlformats.org/officeDocument/2006/relationships/ctrlProp" Target="../ctrlProps/ctrlProp203.xml"/><Relationship Id="rId54" Type="http://schemas.openxmlformats.org/officeDocument/2006/relationships/ctrlProp" Target="../ctrlProps/ctrlProp216.xml"/><Relationship Id="rId62" Type="http://schemas.openxmlformats.org/officeDocument/2006/relationships/ctrlProp" Target="../ctrlProps/ctrlProp224.xml"/><Relationship Id="rId70" Type="http://schemas.openxmlformats.org/officeDocument/2006/relationships/ctrlProp" Target="../ctrlProps/ctrlProp232.xml"/><Relationship Id="rId75" Type="http://schemas.openxmlformats.org/officeDocument/2006/relationships/ctrlProp" Target="../ctrlProps/ctrlProp237.xml"/><Relationship Id="rId83" Type="http://schemas.openxmlformats.org/officeDocument/2006/relationships/ctrlProp" Target="../ctrlProps/ctrlProp245.xml"/><Relationship Id="rId88" Type="http://schemas.openxmlformats.org/officeDocument/2006/relationships/comments" Target="../comments3.xml"/><Relationship Id="rId1" Type="http://schemas.openxmlformats.org/officeDocument/2006/relationships/printerSettings" Target="../printerSettings/printerSettings4.bin"/><Relationship Id="rId6" Type="http://schemas.openxmlformats.org/officeDocument/2006/relationships/ctrlProp" Target="../ctrlProps/ctrlProp168.xml"/><Relationship Id="rId15" Type="http://schemas.openxmlformats.org/officeDocument/2006/relationships/ctrlProp" Target="../ctrlProps/ctrlProp177.xml"/><Relationship Id="rId23" Type="http://schemas.openxmlformats.org/officeDocument/2006/relationships/ctrlProp" Target="../ctrlProps/ctrlProp185.xml"/><Relationship Id="rId28" Type="http://schemas.openxmlformats.org/officeDocument/2006/relationships/ctrlProp" Target="../ctrlProps/ctrlProp190.xml"/><Relationship Id="rId36" Type="http://schemas.openxmlformats.org/officeDocument/2006/relationships/ctrlProp" Target="../ctrlProps/ctrlProp198.xml"/><Relationship Id="rId49" Type="http://schemas.openxmlformats.org/officeDocument/2006/relationships/ctrlProp" Target="../ctrlProps/ctrlProp211.xml"/><Relationship Id="rId57" Type="http://schemas.openxmlformats.org/officeDocument/2006/relationships/ctrlProp" Target="../ctrlProps/ctrlProp219.xml"/><Relationship Id="rId10" Type="http://schemas.openxmlformats.org/officeDocument/2006/relationships/ctrlProp" Target="../ctrlProps/ctrlProp172.xml"/><Relationship Id="rId31" Type="http://schemas.openxmlformats.org/officeDocument/2006/relationships/ctrlProp" Target="../ctrlProps/ctrlProp193.xml"/><Relationship Id="rId44" Type="http://schemas.openxmlformats.org/officeDocument/2006/relationships/ctrlProp" Target="../ctrlProps/ctrlProp206.xml"/><Relationship Id="rId52" Type="http://schemas.openxmlformats.org/officeDocument/2006/relationships/ctrlProp" Target="../ctrlProps/ctrlProp214.xml"/><Relationship Id="rId60" Type="http://schemas.openxmlformats.org/officeDocument/2006/relationships/ctrlProp" Target="../ctrlProps/ctrlProp222.xml"/><Relationship Id="rId65" Type="http://schemas.openxmlformats.org/officeDocument/2006/relationships/ctrlProp" Target="../ctrlProps/ctrlProp227.xml"/><Relationship Id="rId73" Type="http://schemas.openxmlformats.org/officeDocument/2006/relationships/ctrlProp" Target="../ctrlProps/ctrlProp235.xml"/><Relationship Id="rId78" Type="http://schemas.openxmlformats.org/officeDocument/2006/relationships/ctrlProp" Target="../ctrlProps/ctrlProp240.xml"/><Relationship Id="rId81" Type="http://schemas.openxmlformats.org/officeDocument/2006/relationships/ctrlProp" Target="../ctrlProps/ctrlProp243.xml"/><Relationship Id="rId86" Type="http://schemas.openxmlformats.org/officeDocument/2006/relationships/ctrlProp" Target="../ctrlProps/ctrlProp248.xml"/></Relationships>
</file>

<file path=xl/worksheets/_rels/sheet5.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5.v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6.vml"/></Relationships>
</file>

<file path=xl/worksheets/_rels/sheet11.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7.vml"/></Relationships>
</file>

<file path=xl/worksheets/_rels/sheet12.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8.vml"/></Relationships>
</file>

<file path=xl/worksheets/_rels/sheet14.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9.vml"/><Relationship Id="rId1" Type="http://schemas.openxmlformats.org/officeDocument/2006/relationships/printerSettings" Target="../printerSettings/printerSettings7.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10.vml"/><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1.vml"/></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9" tint="-0.249977111117893"/>
  </sheetPr>
  <dimension ref="A1:G27"/>
  <sheetViews>
    <sheetView workbookViewId="0">
      <selection activeCell="B2" sqref="B2:D6"/>
    </sheetView>
  </sheetViews>
  <sheetFormatPr baseColWidth="10" defaultColWidth="0" defaultRowHeight="14.25" zeroHeight="1"/>
  <cols>
    <col min="1" max="1" width="2" style="200" customWidth="1"/>
    <col min="2" max="2" width="10.625" style="200" customWidth="1"/>
    <col min="3" max="3" width="12.5" style="200" bestFit="1" customWidth="1"/>
    <col min="4" max="4" width="12.75" style="200" bestFit="1" customWidth="1"/>
    <col min="5" max="5" width="10.625" style="200" customWidth="1"/>
    <col min="6" max="6" width="17.375" style="200" customWidth="1"/>
    <col min="7" max="7" width="10.5" style="198" customWidth="1"/>
    <col min="8" max="16384" width="10.625" style="200" hidden="1"/>
  </cols>
  <sheetData>
    <row r="1" spans="1:7" s="198" customFormat="1" ht="15" thickBot="1"/>
    <row r="2" spans="1:7">
      <c r="A2" s="198"/>
      <c r="B2" s="265" t="s">
        <v>3466</v>
      </c>
      <c r="C2" s="266"/>
      <c r="D2" s="267"/>
      <c r="E2" s="199" t="s">
        <v>3443</v>
      </c>
      <c r="F2" s="219" t="s">
        <v>7391</v>
      </c>
    </row>
    <row r="3" spans="1:7" ht="14.25" customHeight="1">
      <c r="A3" s="198"/>
      <c r="B3" s="268"/>
      <c r="C3" s="269"/>
      <c r="D3" s="270"/>
      <c r="E3" s="280" t="s">
        <v>3520</v>
      </c>
      <c r="F3" s="281"/>
    </row>
    <row r="4" spans="1:7">
      <c r="A4" s="198"/>
      <c r="B4" s="268"/>
      <c r="C4" s="269"/>
      <c r="D4" s="270"/>
      <c r="E4" s="280" t="s">
        <v>3519</v>
      </c>
      <c r="F4" s="281"/>
    </row>
    <row r="5" spans="1:7">
      <c r="A5" s="198"/>
      <c r="B5" s="268"/>
      <c r="C5" s="269"/>
      <c r="D5" s="270"/>
      <c r="E5" s="198"/>
      <c r="F5" s="198"/>
    </row>
    <row r="6" spans="1:7" ht="15" thickBot="1">
      <c r="A6" s="198"/>
      <c r="B6" s="271"/>
      <c r="C6" s="272"/>
      <c r="D6" s="273"/>
      <c r="E6" s="198"/>
      <c r="F6" s="198"/>
    </row>
    <row r="7" spans="1:7">
      <c r="A7" s="198"/>
      <c r="B7" s="198"/>
      <c r="C7" s="198"/>
      <c r="D7" s="198"/>
      <c r="E7" s="198"/>
      <c r="F7" s="198"/>
    </row>
    <row r="8" spans="1:7">
      <c r="A8" s="198"/>
      <c r="B8" s="198" t="s">
        <v>3446</v>
      </c>
      <c r="C8" s="198"/>
      <c r="D8" s="198"/>
      <c r="E8" s="198"/>
      <c r="F8" s="198"/>
    </row>
    <row r="9" spans="1:7" ht="15" thickBot="1">
      <c r="A9" s="198"/>
      <c r="B9" s="198"/>
      <c r="C9" s="198"/>
      <c r="D9" s="198"/>
      <c r="E9" s="198"/>
      <c r="F9" s="198"/>
    </row>
    <row r="10" spans="1:7" ht="15" thickTop="1">
      <c r="A10" s="198"/>
      <c r="B10" s="274" t="s">
        <v>3465</v>
      </c>
      <c r="C10" s="275"/>
      <c r="D10" s="275"/>
      <c r="E10" s="275"/>
      <c r="F10" s="276"/>
    </row>
    <row r="11" spans="1:7" ht="15" thickBot="1">
      <c r="A11" s="198"/>
      <c r="B11" s="277"/>
      <c r="C11" s="278"/>
      <c r="D11" s="278"/>
      <c r="E11" s="278"/>
      <c r="F11" s="279"/>
      <c r="G11" s="201"/>
    </row>
    <row r="12" spans="1:7" ht="15" thickTop="1">
      <c r="A12" s="198"/>
      <c r="B12" s="198"/>
      <c r="C12" s="198"/>
      <c r="D12" s="198"/>
      <c r="E12" s="198"/>
      <c r="F12" s="198"/>
    </row>
    <row r="13" spans="1:7">
      <c r="A13" s="198"/>
      <c r="B13" s="198" t="s">
        <v>3440</v>
      </c>
      <c r="C13" s="198"/>
      <c r="D13" s="198"/>
      <c r="E13" s="198"/>
      <c r="F13" s="198"/>
    </row>
    <row r="14" spans="1:7">
      <c r="A14" s="198"/>
      <c r="B14" s="202" t="s">
        <v>3434</v>
      </c>
      <c r="C14" s="203" t="s">
        <v>3435</v>
      </c>
      <c r="D14" s="204" t="s">
        <v>3436</v>
      </c>
      <c r="E14" s="198"/>
      <c r="F14" s="198"/>
    </row>
    <row r="15" spans="1:7">
      <c r="A15" s="198"/>
      <c r="B15" s="198"/>
      <c r="C15" s="198"/>
      <c r="D15" s="198"/>
      <c r="E15" s="198"/>
      <c r="F15" s="198"/>
    </row>
    <row r="16" spans="1:7">
      <c r="A16" s="198"/>
      <c r="B16" s="205"/>
      <c r="C16" s="206" t="str">
        <f>IF(ISBLANK(B16),"&lt;= fill me by blue or yellow box so you don't touch my formula.",B16)</f>
        <v>&lt;= fill me by blue or yellow box so you don't touch my formula.</v>
      </c>
      <c r="D16" s="206"/>
      <c r="E16" s="206"/>
      <c r="F16" s="207"/>
    </row>
    <row r="17" spans="1:6">
      <c r="A17" s="198"/>
      <c r="B17" s="198"/>
      <c r="C17" s="198"/>
      <c r="D17" s="198"/>
      <c r="E17" s="198"/>
      <c r="F17" s="198"/>
    </row>
    <row r="18" spans="1:6">
      <c r="A18" s="198"/>
      <c r="B18" s="198"/>
      <c r="C18" s="198"/>
      <c r="D18" s="198"/>
      <c r="E18" s="198"/>
      <c r="F18" s="198"/>
    </row>
    <row r="19" spans="1:6">
      <c r="A19" s="198"/>
      <c r="B19" s="198"/>
      <c r="C19" s="198"/>
      <c r="D19" s="198"/>
      <c r="E19" s="198"/>
      <c r="F19" s="198"/>
    </row>
    <row r="20" spans="1:6">
      <c r="A20" s="198"/>
      <c r="B20" s="282" t="s">
        <v>3527</v>
      </c>
      <c r="C20" s="282"/>
      <c r="D20" s="198" t="s">
        <v>3437</v>
      </c>
      <c r="E20" s="198"/>
      <c r="F20" s="198"/>
    </row>
    <row r="21" spans="1:6">
      <c r="A21" s="198"/>
      <c r="B21" s="208"/>
      <c r="C21" s="198"/>
      <c r="D21" s="198"/>
      <c r="E21" s="198"/>
      <c r="F21" s="198"/>
    </row>
    <row r="22" spans="1:6">
      <c r="A22" s="198"/>
      <c r="B22" s="208"/>
      <c r="C22" s="198"/>
      <c r="D22" s="198" t="s">
        <v>3438</v>
      </c>
      <c r="E22" s="198"/>
      <c r="F22" s="198"/>
    </row>
    <row r="23" spans="1:6">
      <c r="A23" s="198"/>
      <c r="B23" s="208"/>
      <c r="C23" s="198"/>
      <c r="D23" s="198"/>
      <c r="E23" s="198"/>
      <c r="F23" s="198"/>
    </row>
    <row r="24" spans="1:6">
      <c r="A24" s="198"/>
      <c r="B24" s="198" t="s">
        <v>3447</v>
      </c>
      <c r="C24" s="198"/>
      <c r="D24" s="198"/>
      <c r="E24" s="198"/>
      <c r="F24" s="198"/>
    </row>
    <row r="25" spans="1:6">
      <c r="A25" s="198"/>
      <c r="B25" s="209" t="s">
        <v>3528</v>
      </c>
      <c r="C25" s="210"/>
      <c r="D25" s="198"/>
      <c r="E25" s="198"/>
      <c r="F25" s="198"/>
    </row>
    <row r="26" spans="1:6">
      <c r="A26" s="198"/>
      <c r="B26" s="198"/>
      <c r="C26" s="198"/>
      <c r="D26" s="198" t="s">
        <v>3439</v>
      </c>
      <c r="E26" s="198"/>
    </row>
    <row r="27" spans="1:6" ht="15">
      <c r="A27" s="198"/>
      <c r="B27" s="198" t="s">
        <v>3510</v>
      </c>
      <c r="C27" s="198"/>
      <c r="D27" s="198"/>
      <c r="E27" s="198"/>
      <c r="F27" s="198"/>
    </row>
  </sheetData>
  <sheetProtection sheet="1" selectLockedCells="1"/>
  <mergeCells count="5">
    <mergeCell ref="B2:D6"/>
    <mergeCell ref="B10:F11"/>
    <mergeCell ref="E3:F3"/>
    <mergeCell ref="E4:F4"/>
    <mergeCell ref="B20:C20"/>
  </mergeCells>
  <dataValidations count="1">
    <dataValidation type="textLength" allowBlank="1" showInputMessage="1" showErrorMessage="1" errorTitle="Do not touch we said &gt;.&lt;" error="You'd mess up things." sqref="D14" xr:uid="{00000000-0002-0000-0000-000000000000}">
      <formula1>0</formula1>
      <formula2>0</formula2>
    </dataValidation>
  </dataValidations>
  <hyperlinks>
    <hyperlink ref="B20" location="Creation_1!A1" display="Start by going to Creation 1" xr:uid="{00000000-0004-0000-0000-000000000000}"/>
    <hyperlink ref="B25" location="Values!A1" display="See Values to see how" xr:uid="{00000000-0004-0000-0000-000001000000}"/>
    <hyperlink ref="E3:F3" r:id="rId1" display="Feedback &amp; Changelog Here" xr:uid="{00000000-0004-0000-0000-000002000000}"/>
    <hyperlink ref="E4:F4" r:id="rId2" display="(Onyx Path Forum)" xr:uid="{00000000-0004-0000-0000-000003000000}"/>
  </hyperlinks>
  <pageMargins left="0.7" right="0.7" top="0.75" bottom="0.75" header="0.3" footer="0.3"/>
  <pageSetup paperSize="9" orientation="portrait" r:id="rId3"/>
  <drawing r:id="rId4"/>
  <legacyDrawing r:id="rId5"/>
  <mc:AlternateContent xmlns:mc="http://schemas.openxmlformats.org/markup-compatibility/2006">
    <mc:Choice Requires="x14">
      <controls>
        <mc:AlternateContent xmlns:mc="http://schemas.openxmlformats.org/markup-compatibility/2006">
          <mc:Choice Requires="x14">
            <control shapeId="289793" r:id="rId6" name="Case à cocher 1">
              <controlPr defaultSize="0" autoFill="0" autoLine="0" autoPict="0">
                <anchor moveWithCells="1">
                  <from>
                    <xdr:col>0</xdr:col>
                    <xdr:colOff>152400</xdr:colOff>
                    <xdr:row>17</xdr:row>
                    <xdr:rowOff>28575</xdr:rowOff>
                  </from>
                  <to>
                    <xdr:col>6</xdr:col>
                    <xdr:colOff>38100</xdr:colOff>
                    <xdr:row>18</xdr:row>
                    <xdr:rowOff>38100</xdr:rowOff>
                  </to>
                </anchor>
              </controlPr>
            </control>
          </mc:Choice>
        </mc:AlternateContent>
      </controls>
    </mc:Choice>
  </mc:AlternateContent>
  <extLst>
    <ext xmlns:x14="http://schemas.microsoft.com/office/spreadsheetml/2009/9/main" uri="{CCE6A557-97BC-4b89-ADB6-D9C93CAAB3DF}">
      <x14:dataValidations xmlns:xm="http://schemas.microsoft.com/office/excel/2006/main" count="1">
        <x14:dataValidation type="list" errorStyle="warning" allowBlank="1" showInputMessage="1" showErrorMessage="1" errorTitle="You got it wrong" error="Clic on the arrow to select proper data" xr:uid="{00000000-0002-0000-0000-000001000000}">
          <x14:formula1>
            <xm:f>Values!$A$3:$A$8</xm:f>
          </x14:formula1>
          <xm:sqref>C14</xm:sqref>
        </x14:dataValidation>
      </x14:dataValidations>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Feuil2">
    <tabColor theme="8" tint="0.79998168889431442"/>
    <pageSetUpPr fitToPage="1"/>
  </sheetPr>
  <dimension ref="A1:DH300"/>
  <sheetViews>
    <sheetView zoomScale="90" zoomScaleNormal="90" workbookViewId="0">
      <selection activeCell="S4" sqref="S4:AC4"/>
    </sheetView>
  </sheetViews>
  <sheetFormatPr baseColWidth="10" defaultColWidth="0" defaultRowHeight="20.100000000000001" customHeight="1" zeroHeight="1"/>
  <cols>
    <col min="1" max="1" width="3.5" style="94" bestFit="1" customWidth="1"/>
    <col min="2" max="12" width="2.625" style="94" customWidth="1"/>
    <col min="13" max="14" width="2.75" style="94" bestFit="1" customWidth="1"/>
    <col min="15" max="15" width="2.625" style="94" customWidth="1"/>
    <col min="16" max="16" width="2.75" style="94" bestFit="1" customWidth="1"/>
    <col min="17" max="33" width="2.625" style="94" customWidth="1"/>
    <col min="34" max="34" width="2.75" style="94" bestFit="1" customWidth="1"/>
    <col min="35" max="37" width="2.625" style="94" customWidth="1"/>
    <col min="38" max="38" width="2.875" style="94" bestFit="1" customWidth="1"/>
    <col min="39" max="51" width="2.625" style="94" customWidth="1"/>
    <col min="52" max="52" width="2.625" style="93" customWidth="1"/>
    <col min="53" max="53" width="3.25" style="93" customWidth="1"/>
    <col min="54" max="57" width="2.625" style="93" customWidth="1"/>
    <col min="58" max="58" width="2.875" style="93" bestFit="1" customWidth="1"/>
    <col min="59" max="63" width="2.625" style="93" customWidth="1"/>
    <col min="64" max="64" width="2.875" style="93" bestFit="1" customWidth="1"/>
    <col min="65" max="65" width="5.5" style="93" bestFit="1" customWidth="1"/>
    <col min="66" max="66" width="2.625" style="93" customWidth="1"/>
    <col min="67" max="67" width="2.875" style="93" bestFit="1" customWidth="1"/>
    <col min="68" max="80" width="2.625" style="93" customWidth="1"/>
    <col min="81" max="81" width="3.5" style="93" bestFit="1" customWidth="1"/>
    <col min="82" max="93" width="2.625" style="93" customWidth="1"/>
    <col min="94" max="112" width="0" style="94" hidden="1" customWidth="1"/>
    <col min="113" max="16384" width="2.625" style="94" hidden="1"/>
  </cols>
  <sheetData>
    <row r="1" spans="1:112" ht="20.100000000000001" customHeight="1" thickBot="1">
      <c r="A1" s="93"/>
      <c r="B1" s="93"/>
      <c r="C1" s="93"/>
      <c r="D1" s="93"/>
      <c r="E1" s="93"/>
      <c r="F1" s="93"/>
      <c r="G1" s="93"/>
      <c r="H1" s="93"/>
      <c r="I1" s="93"/>
      <c r="J1" s="93"/>
      <c r="K1" s="93"/>
      <c r="L1" s="93"/>
      <c r="M1" s="93"/>
      <c r="N1" s="93"/>
      <c r="O1" s="93"/>
      <c r="P1" s="93"/>
      <c r="Q1" s="93"/>
      <c r="R1" s="93"/>
      <c r="S1" s="93"/>
      <c r="T1" s="93"/>
      <c r="U1" s="93"/>
      <c r="V1" s="93"/>
      <c r="W1" s="93"/>
      <c r="X1" s="93"/>
      <c r="Y1" s="93"/>
      <c r="Z1" s="93"/>
      <c r="AA1" s="93"/>
      <c r="AB1" s="93"/>
      <c r="AC1" s="93"/>
      <c r="AD1" s="93"/>
      <c r="AE1" s="93"/>
      <c r="AF1" s="93"/>
      <c r="AG1" s="93"/>
      <c r="AH1" s="93"/>
      <c r="AI1" s="93"/>
      <c r="AJ1" s="93"/>
      <c r="AK1" s="93"/>
      <c r="AL1" s="93"/>
      <c r="AM1" s="93"/>
      <c r="AO1" s="93"/>
      <c r="AP1" s="93"/>
      <c r="AQ1" s="93"/>
      <c r="AR1" s="93"/>
      <c r="AS1" s="93"/>
      <c r="AT1" s="93"/>
      <c r="AU1" s="93"/>
      <c r="AV1" s="93"/>
      <c r="AW1" s="93"/>
      <c r="AY1" s="93"/>
      <c r="AZ1" s="95" t="s">
        <v>3249</v>
      </c>
    </row>
    <row r="2" spans="1:112" ht="20.100000000000001" customHeight="1" thickBot="1">
      <c r="A2" s="93"/>
      <c r="B2" s="93"/>
      <c r="C2" s="93"/>
      <c r="D2" s="93"/>
      <c r="E2" s="93"/>
      <c r="F2" s="93"/>
      <c r="G2" s="93"/>
      <c r="H2" s="93"/>
      <c r="I2" s="93"/>
      <c r="J2" s="93"/>
      <c r="K2" s="93"/>
      <c r="L2" s="93"/>
      <c r="M2" s="93"/>
      <c r="N2" s="93"/>
      <c r="O2" s="93"/>
      <c r="P2" s="347" t="s">
        <v>0</v>
      </c>
      <c r="Q2" s="347"/>
      <c r="R2" s="347"/>
      <c r="S2" s="346"/>
      <c r="T2" s="345"/>
      <c r="U2" s="345"/>
      <c r="V2" s="345"/>
      <c r="W2" s="345"/>
      <c r="X2" s="345"/>
      <c r="Y2" s="345"/>
      <c r="Z2" s="345"/>
      <c r="AA2" s="345"/>
      <c r="AB2" s="345"/>
      <c r="AC2" s="345"/>
      <c r="AD2" s="347" t="s">
        <v>1</v>
      </c>
      <c r="AE2" s="347"/>
      <c r="AF2" s="347"/>
      <c r="AG2" s="347"/>
      <c r="AH2" s="345"/>
      <c r="AI2" s="345"/>
      <c r="AJ2" s="345"/>
      <c r="AK2" s="345"/>
      <c r="AL2" s="345"/>
      <c r="AM2" s="345"/>
      <c r="AN2" s="345"/>
      <c r="AO2" s="345"/>
      <c r="AP2" s="345"/>
      <c r="AQ2" s="345"/>
      <c r="AR2" s="345"/>
      <c r="AS2" s="345"/>
      <c r="AT2" s="345"/>
      <c r="AU2" s="93"/>
      <c r="AV2" s="93"/>
      <c r="AW2" s="93"/>
      <c r="AX2" s="93"/>
      <c r="AY2" s="96"/>
      <c r="AZ2" s="283" t="s">
        <v>3251</v>
      </c>
      <c r="BA2" s="284"/>
      <c r="BB2" s="284"/>
      <c r="BO2" s="366" t="s">
        <v>3445</v>
      </c>
      <c r="BP2" s="367"/>
      <c r="BQ2" s="367"/>
      <c r="BR2" s="367"/>
      <c r="BS2" s="367"/>
      <c r="BT2" s="367"/>
      <c r="BU2" s="368"/>
    </row>
    <row r="3" spans="1:112" s="93" customFormat="1" ht="20.100000000000001" customHeight="1">
      <c r="P3" s="347" t="s">
        <v>2</v>
      </c>
      <c r="Q3" s="347"/>
      <c r="R3" s="347"/>
      <c r="S3" s="345"/>
      <c r="T3" s="345"/>
      <c r="U3" s="345"/>
      <c r="V3" s="345"/>
      <c r="W3" s="345"/>
      <c r="X3" s="345"/>
      <c r="Y3" s="345"/>
      <c r="Z3" s="345"/>
      <c r="AA3" s="345"/>
      <c r="AB3" s="345"/>
      <c r="AC3" s="345"/>
      <c r="AD3" s="347" t="s">
        <v>3</v>
      </c>
      <c r="AE3" s="347"/>
      <c r="AF3" s="347"/>
      <c r="AG3" s="343"/>
      <c r="AH3" s="293"/>
      <c r="AI3" s="293"/>
      <c r="AJ3" s="293"/>
      <c r="AK3" s="293"/>
      <c r="AL3" s="293"/>
      <c r="AM3" s="293"/>
      <c r="AN3" s="293"/>
      <c r="AO3" s="293"/>
      <c r="AP3" s="293"/>
      <c r="AQ3" s="293"/>
      <c r="AR3" s="293"/>
      <c r="AS3" s="293"/>
      <c r="AT3" s="344"/>
      <c r="AY3" s="96"/>
      <c r="AZ3" s="297" t="s">
        <v>3244</v>
      </c>
      <c r="BA3" s="298"/>
      <c r="BB3" s="298"/>
      <c r="BC3" s="93" t="str">
        <f>IF(S2=0,"Enter the name of your Character","ok")</f>
        <v>Enter the name of your Character</v>
      </c>
      <c r="BO3" s="249"/>
      <c r="BP3" s="51" t="s">
        <v>7357</v>
      </c>
      <c r="BQ3" s="252"/>
      <c r="BR3" s="252"/>
      <c r="BS3" s="252"/>
      <c r="BT3" s="252"/>
      <c r="BU3" s="253"/>
    </row>
    <row r="4" spans="1:112" s="93" customFormat="1" ht="19.5" customHeight="1">
      <c r="P4" s="347" t="s">
        <v>4</v>
      </c>
      <c r="Q4" s="347"/>
      <c r="R4" s="347"/>
      <c r="S4" s="335"/>
      <c r="T4" s="289"/>
      <c r="U4" s="289"/>
      <c r="V4" s="289"/>
      <c r="W4" s="289"/>
      <c r="X4" s="289"/>
      <c r="Y4" s="289"/>
      <c r="Z4" s="289"/>
      <c r="AA4" s="289"/>
      <c r="AB4" s="289"/>
      <c r="AC4" s="336"/>
      <c r="AD4" s="347" t="s">
        <v>1424</v>
      </c>
      <c r="AE4" s="347"/>
      <c r="AF4" s="347"/>
      <c r="AG4" s="347"/>
      <c r="AH4" s="347"/>
      <c r="AI4" s="338" t="str">
        <f>IF(COUNTIF(Exalt_Solar,S4),IFERROR(VLOOKUP("S",D13:F41,3,0),"Please choose a Supernal Ability"),"-")</f>
        <v>-</v>
      </c>
      <c r="AJ4" s="338"/>
      <c r="AK4" s="338"/>
      <c r="AL4" s="338"/>
      <c r="AM4" s="338"/>
      <c r="AN4" s="338"/>
      <c r="AO4" s="338"/>
      <c r="AP4" s="338"/>
      <c r="AQ4" s="338"/>
      <c r="AR4" s="338"/>
      <c r="AS4" s="338"/>
      <c r="AT4" s="338"/>
      <c r="AY4" s="96"/>
      <c r="AZ4" s="297" t="s">
        <v>3245</v>
      </c>
      <c r="BA4" s="298"/>
      <c r="BB4" s="298"/>
      <c r="BC4" s="93" t="str">
        <f>IF(S3=0,"Enter your name","ok")</f>
        <v>Enter your name</v>
      </c>
      <c r="BO4" s="250"/>
      <c r="BP4" s="254" t="s">
        <v>7358</v>
      </c>
      <c r="BQ4" s="255"/>
      <c r="BR4" s="255"/>
      <c r="BS4" s="255"/>
      <c r="BT4" s="255"/>
      <c r="BU4" s="256"/>
    </row>
    <row r="5" spans="1:112" s="93" customFormat="1" ht="20.100000000000001" customHeight="1" thickBot="1">
      <c r="Q5" s="94"/>
      <c r="V5" s="323" t="s">
        <v>5</v>
      </c>
      <c r="W5" s="323"/>
      <c r="X5" s="323"/>
      <c r="Y5" s="323"/>
      <c r="Z5" s="323"/>
      <c r="AI5" s="98"/>
      <c r="AY5" s="96"/>
      <c r="AZ5" s="297" t="s">
        <v>3246</v>
      </c>
      <c r="BA5" s="298"/>
      <c r="BB5" s="298"/>
      <c r="BC5" s="93" t="str">
        <f>IF(ISBLANK(S4),"Choose an Exalted Caste (or a mortal)",S4)</f>
        <v>Choose an Exalted Caste (or a mortal)</v>
      </c>
      <c r="BO5" s="251"/>
      <c r="BP5" s="257" t="s">
        <v>7359</v>
      </c>
      <c r="BQ5" s="258"/>
      <c r="BR5" s="258"/>
      <c r="BS5" s="258"/>
      <c r="BT5" s="258"/>
      <c r="BU5" s="259"/>
    </row>
    <row r="6" spans="1:112" s="93" customFormat="1" ht="19.5" customHeight="1">
      <c r="E6" s="93" t="str">
        <f>IF(AND(Values!D14&gt;Values!D18,Values!D14&gt;Values!D22),"Primary",IF(AND(Values!D14&lt;Values!D18,Values!D14&lt;Values!D22),"Tertiary",IF(OR(AND(Values!D14&lt;Values!D18,Values!D14&gt;Values!D22),AND(Values!D14&gt;Values!D18,Values!D14&lt;Values!D22)),"Secondary","Equality, add or remove points")))</f>
        <v>Equality, add or remove points</v>
      </c>
      <c r="G6" s="94"/>
      <c r="V6" s="323"/>
      <c r="W6" s="323"/>
      <c r="X6" s="323"/>
      <c r="Y6" s="323"/>
      <c r="Z6" s="323"/>
      <c r="AA6" s="93" t="str">
        <f>IF(AND(Values!D18&gt;Values!D14,Values!D18&gt;Values!D22),"Primary",IF(AND(Values!D18&lt;Values!D14,Values!D18&lt;Values!D22),"Tertiary",IF(OR(AND(Values!D18&lt;Values!D14,Values!D18&gt;Values!D22),AND(Values!D18&gt;Values!D14,Values!D18&lt;Values!D22)),"Secondary","Equality, add or remove points")))</f>
        <v>Equality, add or remove points</v>
      </c>
      <c r="AK6" s="93" t="str">
        <f>IF(AND(Values!D22&gt;Values!D14,Values!D22&gt;Values!D18),"Primary",IF(AND(Values!D22&lt;Values!D14,Values!D22&lt;Values!D18),"Tertiary",IF(OR(AND(Values!D22&lt;Values!D14,Values!D22&gt;Values!D18),AND(Values!D22&gt;Values!D14,Values!D22&lt;Values!D18)),"Secondary","Equality, add or remove points")))</f>
        <v>Equality, add or remove points</v>
      </c>
      <c r="AP6" s="94"/>
      <c r="AY6" s="96"/>
      <c r="AZ6" s="297" t="s">
        <v>3247</v>
      </c>
      <c r="BA6" s="298"/>
      <c r="BB6" s="298"/>
      <c r="BC6" s="298"/>
      <c r="BD6" s="93" t="str">
        <f>IF(AH2=0,"a few words to describe your Character","ok")</f>
        <v>a few words to describe your Character</v>
      </c>
    </row>
    <row r="7" spans="1:112" s="93" customFormat="1" ht="20.100000000000001" customHeight="1">
      <c r="F7" s="227"/>
      <c r="G7" s="327" t="s">
        <v>6</v>
      </c>
      <c r="H7" s="327"/>
      <c r="I7" s="327"/>
      <c r="J7" s="327"/>
      <c r="K7" s="327"/>
      <c r="L7" s="327"/>
      <c r="M7" s="291" t="str">
        <f>VLOOKUP(Values!$S11,Points!$A$1:$B$11,2,0)</f>
        <v>●○○○○</v>
      </c>
      <c r="N7" s="291"/>
      <c r="O7" s="291"/>
      <c r="V7" s="227"/>
      <c r="W7" s="327" t="s">
        <v>8</v>
      </c>
      <c r="X7" s="327"/>
      <c r="Y7" s="327"/>
      <c r="Z7" s="327"/>
      <c r="AA7" s="327"/>
      <c r="AB7" s="327"/>
      <c r="AC7" s="291" t="str">
        <f>VLOOKUP(Values!$S15,Points!$A$1:$B$11,2,0)</f>
        <v>●○○○○</v>
      </c>
      <c r="AD7" s="291"/>
      <c r="AE7" s="291"/>
      <c r="AL7" s="227"/>
      <c r="AM7" s="327" t="s">
        <v>9</v>
      </c>
      <c r="AN7" s="327"/>
      <c r="AO7" s="327"/>
      <c r="AP7" s="327"/>
      <c r="AQ7" s="327"/>
      <c r="AR7" s="327"/>
      <c r="AS7" s="291" t="str">
        <f>VLOOKUP(Values!$S19,Points!$A$1:$B$11,2,0)</f>
        <v>●○○○○</v>
      </c>
      <c r="AT7" s="291"/>
      <c r="AU7" s="291"/>
      <c r="AY7" s="96"/>
      <c r="AZ7" s="297" t="s">
        <v>3248</v>
      </c>
      <c r="BA7" s="298"/>
      <c r="BB7" s="298"/>
      <c r="BC7" s="93" t="str">
        <f>IF(_xlfn.XOR(AG3=0,S4="Mortal"),"Describe your anima +/- Spirit Animal (no anima for Mortal Characters)","ok")</f>
        <v>Describe your anima +/- Spirit Animal (no anima for Mortal Characters)</v>
      </c>
    </row>
    <row r="8" spans="1:112" ht="20.100000000000001" customHeight="1">
      <c r="A8" s="93"/>
      <c r="B8" s="93"/>
      <c r="C8" s="93"/>
      <c r="D8" s="93"/>
      <c r="E8" s="93"/>
      <c r="F8" s="227"/>
      <c r="G8" s="327" t="s">
        <v>10</v>
      </c>
      <c r="H8" s="327"/>
      <c r="I8" s="327"/>
      <c r="J8" s="327"/>
      <c r="K8" s="327"/>
      <c r="L8" s="327"/>
      <c r="M8" s="291" t="str">
        <f>VLOOKUP(Values!$S12,Points!$A$1:$B$11,2,0)</f>
        <v>●○○○○</v>
      </c>
      <c r="N8" s="291"/>
      <c r="O8" s="291"/>
      <c r="P8" s="93"/>
      <c r="Q8" s="93"/>
      <c r="R8" s="93"/>
      <c r="S8" s="93"/>
      <c r="T8" s="93"/>
      <c r="U8" s="93"/>
      <c r="V8" s="227"/>
      <c r="W8" s="327" t="s">
        <v>11</v>
      </c>
      <c r="X8" s="327"/>
      <c r="Y8" s="327"/>
      <c r="Z8" s="327"/>
      <c r="AA8" s="327"/>
      <c r="AB8" s="327"/>
      <c r="AC8" s="291" t="str">
        <f>VLOOKUP(Values!$S16,Points!$A$1:$B$11,2,0)</f>
        <v>●○○○○</v>
      </c>
      <c r="AD8" s="291"/>
      <c r="AE8" s="291"/>
      <c r="AF8" s="93"/>
      <c r="AG8" s="93"/>
      <c r="AH8" s="93"/>
      <c r="AI8" s="93"/>
      <c r="AJ8" s="93"/>
      <c r="AK8" s="93"/>
      <c r="AL8" s="227"/>
      <c r="AM8" s="327" t="s">
        <v>12</v>
      </c>
      <c r="AN8" s="327"/>
      <c r="AO8" s="327"/>
      <c r="AP8" s="327"/>
      <c r="AQ8" s="327"/>
      <c r="AR8" s="327"/>
      <c r="AS8" s="291" t="str">
        <f>VLOOKUP(Values!$S20,Points!$A$1:$B$11,2,0)</f>
        <v>●○○○○</v>
      </c>
      <c r="AT8" s="291"/>
      <c r="AU8" s="291"/>
      <c r="AV8" s="93"/>
      <c r="AW8" s="93"/>
      <c r="AX8" s="93"/>
      <c r="AY8" s="96"/>
    </row>
    <row r="9" spans="1:112" ht="20.100000000000001" customHeight="1">
      <c r="A9" s="93"/>
      <c r="B9" s="93"/>
      <c r="C9" s="93"/>
      <c r="D9" s="93"/>
      <c r="E9" s="93"/>
      <c r="F9" s="227"/>
      <c r="G9" s="327" t="s">
        <v>13</v>
      </c>
      <c r="H9" s="327"/>
      <c r="I9" s="327"/>
      <c r="J9" s="327"/>
      <c r="K9" s="327"/>
      <c r="L9" s="327"/>
      <c r="M9" s="291" t="str">
        <f>VLOOKUP(Values!$S13,Points!$A$1:$B$11,2,0)</f>
        <v>●○○○○</v>
      </c>
      <c r="N9" s="291"/>
      <c r="O9" s="291"/>
      <c r="P9" s="93"/>
      <c r="Q9" s="93"/>
      <c r="R9" s="93"/>
      <c r="S9" s="93"/>
      <c r="T9" s="93"/>
      <c r="U9" s="93"/>
      <c r="V9" s="227"/>
      <c r="W9" s="327" t="s">
        <v>14</v>
      </c>
      <c r="X9" s="327"/>
      <c r="Y9" s="327"/>
      <c r="Z9" s="327"/>
      <c r="AA9" s="327"/>
      <c r="AB9" s="327"/>
      <c r="AC9" s="291" t="str">
        <f>VLOOKUP(Values!$S17,Points!$A$1:$B$11,2,0)</f>
        <v>●○○○○</v>
      </c>
      <c r="AD9" s="291"/>
      <c r="AE9" s="291"/>
      <c r="AF9" s="93"/>
      <c r="AG9" s="93"/>
      <c r="AH9" s="93"/>
      <c r="AI9" s="93"/>
      <c r="AJ9" s="93"/>
      <c r="AK9" s="93"/>
      <c r="AL9" s="227"/>
      <c r="AM9" s="327" t="s">
        <v>15</v>
      </c>
      <c r="AN9" s="327"/>
      <c r="AO9" s="327"/>
      <c r="AP9" s="327"/>
      <c r="AQ9" s="327"/>
      <c r="AR9" s="327"/>
      <c r="AS9" s="291" t="str">
        <f>VLOOKUP(Values!$S21,Points!$A$1:$B$11,2,0)</f>
        <v>●○○○○</v>
      </c>
      <c r="AT9" s="291"/>
      <c r="AU9" s="291"/>
      <c r="AV9" s="93"/>
      <c r="AW9" s="93"/>
      <c r="AX9" s="93"/>
      <c r="AY9" s="96"/>
      <c r="AZ9" s="285" t="s">
        <v>3532</v>
      </c>
      <c r="BA9" s="286"/>
      <c r="BB9" s="286"/>
      <c r="BC9" s="286"/>
      <c r="BD9" s="286"/>
      <c r="BE9" s="286"/>
      <c r="BF9" s="286"/>
      <c r="BG9" s="286"/>
      <c r="BH9" s="286"/>
      <c r="BI9" s="286"/>
      <c r="BJ9" s="286"/>
    </row>
    <row r="10" spans="1:112" s="93" customFormat="1" ht="20.100000000000001" customHeight="1">
      <c r="F10" s="287" t="s">
        <v>17</v>
      </c>
      <c r="G10" s="287"/>
      <c r="H10" s="287"/>
      <c r="I10" s="287"/>
      <c r="J10" s="287"/>
      <c r="K10" s="98"/>
      <c r="L10" s="98"/>
      <c r="M10" s="99" t="str">
        <f>IF(E6="Primary",$BD$10-Values!$D$14,IF(E6="Secondary",$BD$11-Values!$D$14,IF(E6="Tertiary",$BD$12-Values!$D$14,"?")))</f>
        <v>?</v>
      </c>
      <c r="N10" s="93" t="s">
        <v>3250</v>
      </c>
      <c r="V10" s="287" t="s">
        <v>18</v>
      </c>
      <c r="W10" s="287"/>
      <c r="X10" s="287"/>
      <c r="Y10" s="287"/>
      <c r="Z10" s="287"/>
      <c r="AA10" s="100"/>
      <c r="AB10" s="94"/>
      <c r="AC10" s="99" t="str">
        <f>IF(AA6="Primary",$BD$10-Values!$D$18,IF(AA6="Secondary",$BD$11-Values!$D$18,IF(AA6="Tertiary",$BD$12-Values!$D$18,"?")))</f>
        <v>?</v>
      </c>
      <c r="AD10" s="93" t="s">
        <v>3250</v>
      </c>
      <c r="AN10" s="287" t="s">
        <v>19</v>
      </c>
      <c r="AO10" s="287"/>
      <c r="AP10" s="287"/>
      <c r="AQ10" s="287"/>
      <c r="AR10" s="287"/>
      <c r="AS10" s="99" t="str">
        <f>IF(AK6="Primary",$BD$10-Values!$D$22,IF(AK6="Secondary",$BD$11-Values!$D$22,IF(AK6="Tertiary",$BD$12-Values!$D$22,"?")))</f>
        <v>?</v>
      </c>
      <c r="AT10" s="93" t="s">
        <v>3250</v>
      </c>
      <c r="AY10" s="101"/>
      <c r="AZ10" s="297" t="s">
        <v>194</v>
      </c>
      <c r="BA10" s="298"/>
      <c r="BB10" s="298"/>
      <c r="BC10" s="298"/>
      <c r="BD10" s="102" t="e">
        <f>INDEX(Crea_Pts_xp!$B$2:$O$4,MATCH($AZ10,Crea_Pts_xp!$A$2:$A$4,0),MATCH(VLOOKUP($S$4,Castes!$B$2:$C$25,2,FALSE),Crea_Pts_xp!$B$1:$O$1,0))</f>
        <v>#N/A</v>
      </c>
      <c r="BE10" s="327" t="s">
        <v>1419</v>
      </c>
      <c r="BF10" s="327"/>
      <c r="BG10" s="327"/>
      <c r="BH10" s="102" t="s">
        <v>1420</v>
      </c>
      <c r="BI10" s="348" t="e">
        <f>IF(Values!$D$14=Creation_1!BD10,"Physique",IF(Values!$D$18=Creation_1!BD10,"Social",IF(Values!$D$22=Creation_1!BD10,"Mental","")))</f>
        <v>#N/A</v>
      </c>
      <c r="BJ10" s="348"/>
      <c r="BK10" s="348"/>
      <c r="BL10" s="348"/>
      <c r="BM10" s="93" t="e">
        <f>IF(BI10="","Ajust Attr pts","ok")</f>
        <v>#N/A</v>
      </c>
      <c r="DH10" s="93" t="str">
        <f>AZ10</f>
        <v>Primary</v>
      </c>
    </row>
    <row r="11" spans="1:112" s="93" customFormat="1" ht="20.100000000000001" customHeight="1">
      <c r="F11" s="287"/>
      <c r="G11" s="287"/>
      <c r="H11" s="287"/>
      <c r="I11" s="287"/>
      <c r="J11" s="287"/>
      <c r="K11" s="98"/>
      <c r="L11" s="98"/>
      <c r="V11" s="287"/>
      <c r="W11" s="287"/>
      <c r="X11" s="287"/>
      <c r="Y11" s="287"/>
      <c r="Z11" s="287"/>
      <c r="AA11" s="100"/>
      <c r="AN11" s="287"/>
      <c r="AO11" s="287"/>
      <c r="AP11" s="287"/>
      <c r="AQ11" s="287"/>
      <c r="AR11" s="287"/>
      <c r="AY11" s="101"/>
      <c r="AZ11" s="297" t="s">
        <v>195</v>
      </c>
      <c r="BA11" s="298"/>
      <c r="BB11" s="298"/>
      <c r="BC11" s="298"/>
      <c r="BD11" s="102" t="e">
        <f>INDEX(Crea_Pts_xp!$B$2:$O$4,MATCH($AZ11,Crea_Pts_xp!$A$2:$A$4,0),MATCH(VLOOKUP($S$4,Castes!$B$2:$C$25,2,FALSE),Crea_Pts_xp!$B$1:$O$1,0))</f>
        <v>#N/A</v>
      </c>
      <c r="BE11" s="327" t="s">
        <v>1419</v>
      </c>
      <c r="BF11" s="327"/>
      <c r="BG11" s="327"/>
      <c r="BH11" s="102" t="s">
        <v>1420</v>
      </c>
      <c r="BI11" s="348" t="e">
        <f>IF(Values!$D$14=Creation_1!BD11,"Physique",IF(Values!$D$18=Creation_1!BD11,"Social",IF(Values!$D$22=Creation_1!BD11,"Mental","")))</f>
        <v>#N/A</v>
      </c>
      <c r="BJ11" s="348"/>
      <c r="BK11" s="348"/>
      <c r="BL11" s="348"/>
      <c r="BM11" s="93" t="e">
        <f>IF(BI11="","Ajust Attr pts","ok")</f>
        <v>#N/A</v>
      </c>
      <c r="DH11" s="93" t="str">
        <f>AZ11</f>
        <v>Secondary</v>
      </c>
    </row>
    <row r="12" spans="1:112" s="93" customFormat="1" ht="20.100000000000001" customHeight="1">
      <c r="A12" s="94"/>
      <c r="B12" s="102" t="s">
        <v>3077</v>
      </c>
      <c r="D12" s="103" t="s">
        <v>3441</v>
      </c>
      <c r="E12" s="94"/>
      <c r="P12" s="298" t="s">
        <v>252</v>
      </c>
      <c r="Q12" s="298"/>
      <c r="R12" s="298"/>
      <c r="S12" s="298"/>
      <c r="T12" s="298"/>
      <c r="V12" s="298" t="s">
        <v>1433</v>
      </c>
      <c r="W12" s="298"/>
      <c r="X12" s="298"/>
      <c r="Y12" s="298"/>
      <c r="Z12" s="298"/>
      <c r="AA12" s="298"/>
      <c r="AB12" s="298"/>
      <c r="AC12" s="298"/>
      <c r="AD12" s="298"/>
      <c r="AE12" s="298"/>
      <c r="AF12" s="298"/>
      <c r="AH12" s="290" t="s">
        <v>80</v>
      </c>
      <c r="AI12" s="290"/>
      <c r="AJ12" s="290"/>
      <c r="AK12" s="290"/>
      <c r="AL12" s="290"/>
      <c r="AM12" s="290"/>
      <c r="AN12" s="290"/>
      <c r="AO12" s="290"/>
      <c r="AP12" s="290"/>
      <c r="AQ12" s="290"/>
      <c r="AS12" s="290" t="s">
        <v>3078</v>
      </c>
      <c r="AT12" s="290"/>
      <c r="AW12" s="290" t="s">
        <v>3077</v>
      </c>
      <c r="AX12" s="290"/>
      <c r="AY12" s="349"/>
      <c r="AZ12" s="297" t="s">
        <v>196</v>
      </c>
      <c r="BA12" s="298"/>
      <c r="BB12" s="298"/>
      <c r="BC12" s="298"/>
      <c r="BD12" s="102" t="e">
        <f>INDEX(Crea_Pts_xp!$B$2:$O$4,MATCH($AZ12,Crea_Pts_xp!$A$2:$A$4,0),MATCH(VLOOKUP($S$4,Castes!$B$2:$C$25,2,FALSE),Crea_Pts_xp!$B$1:$O$1,0))</f>
        <v>#N/A</v>
      </c>
      <c r="BE12" s="327" t="s">
        <v>1419</v>
      </c>
      <c r="BF12" s="327"/>
      <c r="BG12" s="327"/>
      <c r="BH12" s="102" t="s">
        <v>1420</v>
      </c>
      <c r="BI12" s="348" t="e">
        <f>IF(Values!$D$14=Creation_1!BD12,"Physique",IF(Values!$D$18=Creation_1!BD12,"Social",IF(Values!$D$22=Creation_1!BD12,"Mental","")))</f>
        <v>#N/A</v>
      </c>
      <c r="BJ12" s="348"/>
      <c r="BK12" s="348"/>
      <c r="BL12" s="348"/>
      <c r="BM12" s="93" t="e">
        <f>IF(BI12="","Ajust Attr pts","ok")</f>
        <v>#N/A</v>
      </c>
      <c r="DH12" s="93" t="str">
        <f>AZ12</f>
        <v>Tertiary</v>
      </c>
    </row>
    <row r="13" spans="1:112" s="93" customFormat="1" ht="20.100000000000001" customHeight="1">
      <c r="D13" s="218" t="str">
        <f t="shared" ref="D13:D24" si="0">IF(AND(COUNTIF(Exalt_DB,$S$4)=1,COUNTIF($BG$18:$BK$26,F13)=1),"C","")</f>
        <v/>
      </c>
      <c r="F13" s="327" t="str">
        <f>Values!B25</f>
        <v>Archery</v>
      </c>
      <c r="G13" s="327"/>
      <c r="H13" s="327"/>
      <c r="I13" s="327"/>
      <c r="J13" s="327"/>
      <c r="K13" s="291" t="str">
        <f>VLOOKUP(Values!$S25,Points!$A$1:$B$11,2,0)</f>
        <v>○○○○○</v>
      </c>
      <c r="L13" s="291"/>
      <c r="M13" s="291"/>
      <c r="P13" s="337"/>
      <c r="Q13" s="337"/>
      <c r="R13" s="337"/>
      <c r="S13" s="337"/>
      <c r="T13" s="337"/>
      <c r="V13" s="318"/>
      <c r="W13" s="318"/>
      <c r="X13" s="318"/>
      <c r="Y13" s="318"/>
      <c r="Z13" s="318"/>
      <c r="AA13" s="318"/>
      <c r="AB13" s="318"/>
      <c r="AC13" s="318"/>
      <c r="AD13" s="318"/>
      <c r="AE13" s="318"/>
      <c r="AF13" s="318"/>
      <c r="AH13" s="337"/>
      <c r="AI13" s="337"/>
      <c r="AJ13" s="337"/>
      <c r="AK13" s="337"/>
      <c r="AL13" s="337"/>
      <c r="AM13" s="337"/>
      <c r="AN13" s="337"/>
      <c r="AO13" s="337"/>
      <c r="AP13" s="337"/>
      <c r="AQ13" s="337"/>
      <c r="AS13" s="319"/>
      <c r="AT13" s="319"/>
      <c r="AU13" s="104">
        <f ca="1">IFERROR(IF(AND(SUM(INDIRECT("Merits!A"&amp;MATCH(AH13,Merits!A:A,0)&amp;":F"&amp;MATCH(AH13,Merits!A:A,0)))=0,Values!D73=0),1,COUNTIF(INDIRECT("Merits!A"&amp;MATCH(AH13,Merits!A:A,0)&amp;":F"&amp;MATCH(AH13,Merits!A:A,0)),Values!S73)),1)</f>
        <v>1</v>
      </c>
      <c r="AW13" s="291" t="str">
        <f>VLOOKUP(Values!$S73,Points!$A$1:$B$11,2,0)</f>
        <v>○○○○○</v>
      </c>
      <c r="AX13" s="291"/>
      <c r="AY13" s="332"/>
      <c r="BB13" s="102"/>
      <c r="BC13" s="102"/>
      <c r="BD13" s="102"/>
      <c r="BE13" s="102"/>
      <c r="BF13" s="102"/>
      <c r="BG13" s="102"/>
      <c r="BH13" s="102"/>
      <c r="BI13" s="102"/>
      <c r="BJ13" s="102"/>
      <c r="BK13" s="102"/>
      <c r="BM13" s="102"/>
      <c r="BN13" s="102"/>
      <c r="BO13" s="102"/>
      <c r="BP13" s="102"/>
      <c r="BQ13" s="102"/>
      <c r="BT13" s="102"/>
      <c r="BU13" s="102"/>
      <c r="BV13" s="102"/>
      <c r="BW13" s="102"/>
    </row>
    <row r="14" spans="1:112" s="93" customFormat="1" ht="20.100000000000001" customHeight="1">
      <c r="D14" s="218" t="str">
        <f t="shared" si="0"/>
        <v/>
      </c>
      <c r="F14" s="327" t="str">
        <f>Values!B26</f>
        <v>Athletics</v>
      </c>
      <c r="G14" s="327"/>
      <c r="H14" s="327"/>
      <c r="I14" s="327"/>
      <c r="J14" s="327"/>
      <c r="K14" s="291" t="str">
        <f>VLOOKUP(Values!$S26,Points!$A$1:$B$11,2,0)</f>
        <v>○○○○○</v>
      </c>
      <c r="L14" s="291"/>
      <c r="M14" s="291"/>
      <c r="P14" s="337"/>
      <c r="Q14" s="337"/>
      <c r="R14" s="337"/>
      <c r="S14" s="337"/>
      <c r="T14" s="337"/>
      <c r="V14" s="318"/>
      <c r="W14" s="318"/>
      <c r="X14" s="318"/>
      <c r="Y14" s="318"/>
      <c r="Z14" s="318"/>
      <c r="AA14" s="318"/>
      <c r="AB14" s="318"/>
      <c r="AC14" s="318"/>
      <c r="AD14" s="318"/>
      <c r="AE14" s="318"/>
      <c r="AF14" s="318"/>
      <c r="AH14" s="334"/>
      <c r="AI14" s="334"/>
      <c r="AJ14" s="334"/>
      <c r="AK14" s="334"/>
      <c r="AL14" s="334"/>
      <c r="AM14" s="334"/>
      <c r="AN14" s="334"/>
      <c r="AO14" s="334"/>
      <c r="AP14" s="334"/>
      <c r="AQ14" s="334"/>
      <c r="AS14" s="319"/>
      <c r="AT14" s="319"/>
      <c r="AU14" s="104">
        <f ca="1">IFERROR(IF(AND(SUM(INDIRECT("Merits!A"&amp;MATCH(AH14,Merits!A:A,0)&amp;":F"&amp;MATCH(AH14,Merits!A:A,0)))=0,Values!D74=0),1,COUNTIF(INDIRECT("Merits!A"&amp;MATCH(AH14,Merits!A:A,0)&amp;":F"&amp;MATCH(AH14,Merits!A:A,0)),Values!S74)),1)</f>
        <v>1</v>
      </c>
      <c r="AW14" s="291" t="str">
        <f>VLOOKUP(Values!$S74,Points!$A$1:$B$11,2,0)</f>
        <v>○○○○○</v>
      </c>
      <c r="AX14" s="291"/>
      <c r="AY14" s="332"/>
      <c r="AZ14" s="97" t="s">
        <v>3252</v>
      </c>
      <c r="BB14" s="369" t="e">
        <f>IF(VLOOKUP($S$4,Castes!$B$2:$C$25,2,FALSE)="Solar","Select 4 Caste Abilities (C) and 1 Supernal Ability (S) from your caste list ",IF(S4="Casteless","Select 2 Favored Attritubes, at least one in your Primary Attributes",IF(VLOOKUP($S$4,Castes!$B$2:$C$25,2,FALSE)="Lunar","Select 2 Favored (F) Attributes and 2 Caste (C) Attritubes, at least one of those must be in Primary and Secondary Attributes",IF(S4="Mortal","Petty Mortals don't get Favored stuff !","Select 5 Favored (F) Abilities"))))</f>
        <v>#N/A</v>
      </c>
      <c r="BC14" s="369"/>
      <c r="BD14" s="369"/>
      <c r="BE14" s="369"/>
      <c r="BF14" s="369"/>
      <c r="BG14" s="369"/>
      <c r="BH14" s="369"/>
      <c r="BI14" s="369"/>
      <c r="BJ14" s="369"/>
      <c r="BK14" s="369"/>
      <c r="BL14" s="369"/>
      <c r="BM14" s="369"/>
      <c r="BN14" s="369"/>
      <c r="BO14" s="369"/>
      <c r="BP14" s="369"/>
      <c r="BQ14" s="369"/>
      <c r="BR14" s="369"/>
      <c r="CD14" s="102"/>
    </row>
    <row r="15" spans="1:112" ht="20.100000000000001" customHeight="1">
      <c r="A15" s="93"/>
      <c r="B15" s="93"/>
      <c r="C15" s="93"/>
      <c r="D15" s="218" t="str">
        <f t="shared" si="0"/>
        <v/>
      </c>
      <c r="E15" s="93"/>
      <c r="F15" s="327" t="str">
        <f>Values!B27</f>
        <v>Awareness</v>
      </c>
      <c r="G15" s="327"/>
      <c r="H15" s="327"/>
      <c r="I15" s="327"/>
      <c r="J15" s="327"/>
      <c r="K15" s="291" t="str">
        <f>VLOOKUP(Values!$S27,Points!$A$1:$B$11,2,0)</f>
        <v>○○○○○</v>
      </c>
      <c r="L15" s="291"/>
      <c r="M15" s="291"/>
      <c r="N15" s="93"/>
      <c r="O15" s="93"/>
      <c r="P15" s="337"/>
      <c r="Q15" s="337"/>
      <c r="R15" s="337"/>
      <c r="S15" s="337"/>
      <c r="T15" s="337"/>
      <c r="U15" s="93"/>
      <c r="V15" s="318"/>
      <c r="W15" s="318"/>
      <c r="X15" s="318"/>
      <c r="Y15" s="318"/>
      <c r="Z15" s="318"/>
      <c r="AA15" s="318"/>
      <c r="AB15" s="318"/>
      <c r="AC15" s="318"/>
      <c r="AD15" s="318"/>
      <c r="AE15" s="318"/>
      <c r="AF15" s="318"/>
      <c r="AG15" s="93"/>
      <c r="AH15" s="334"/>
      <c r="AI15" s="334"/>
      <c r="AJ15" s="334"/>
      <c r="AK15" s="334"/>
      <c r="AL15" s="334"/>
      <c r="AM15" s="334"/>
      <c r="AN15" s="334"/>
      <c r="AO15" s="334"/>
      <c r="AP15" s="334"/>
      <c r="AQ15" s="334"/>
      <c r="AR15" s="93"/>
      <c r="AS15" s="319"/>
      <c r="AT15" s="319"/>
      <c r="AU15" s="104">
        <f ca="1">IFERROR(IF(AND(SUM(INDIRECT("Merits!A"&amp;MATCH(AH15,Merits!A:A,0)&amp;":F"&amp;MATCH(AH15,Merits!A:A,0)))=0,Values!D75=0),1,COUNTIF(INDIRECT("Merits!A"&amp;MATCH(AH15,Merits!A:A,0)&amp;":F"&amp;MATCH(AH15,Merits!A:A,0)),Values!S75)),1)</f>
        <v>1</v>
      </c>
      <c r="AV15" s="93"/>
      <c r="AW15" s="291" t="str">
        <f>VLOOKUP(Values!$S75,Points!$A$1:$B$11,2,0)</f>
        <v>○○○○○</v>
      </c>
      <c r="AX15" s="291"/>
      <c r="AY15" s="332"/>
      <c r="BB15" s="369"/>
      <c r="BC15" s="369"/>
      <c r="BD15" s="369"/>
      <c r="BE15" s="369"/>
      <c r="BF15" s="369"/>
      <c r="BG15" s="369"/>
      <c r="BH15" s="369"/>
      <c r="BI15" s="369"/>
      <c r="BJ15" s="369"/>
      <c r="BK15" s="369"/>
      <c r="BL15" s="369"/>
      <c r="BM15" s="369"/>
      <c r="BN15" s="369"/>
      <c r="BO15" s="369"/>
      <c r="BP15" s="369"/>
      <c r="BQ15" s="369"/>
      <c r="BR15" s="369"/>
      <c r="CD15" s="102"/>
    </row>
    <row r="16" spans="1:112" ht="20.100000000000001" customHeight="1">
      <c r="A16" s="93"/>
      <c r="B16" s="93"/>
      <c r="C16" s="93"/>
      <c r="D16" s="218" t="str">
        <f t="shared" si="0"/>
        <v/>
      </c>
      <c r="E16" s="93"/>
      <c r="F16" s="327" t="str">
        <f>Values!B28</f>
        <v>Brawl</v>
      </c>
      <c r="G16" s="327"/>
      <c r="H16" s="327"/>
      <c r="I16" s="327"/>
      <c r="J16" s="327"/>
      <c r="K16" s="291" t="str">
        <f>VLOOKUP(Values!$S28,Points!$A$1:$B$11,2,0)</f>
        <v>○○○○○</v>
      </c>
      <c r="L16" s="291"/>
      <c r="M16" s="291"/>
      <c r="N16" s="93"/>
      <c r="O16" s="93"/>
      <c r="P16" s="337"/>
      <c r="Q16" s="337"/>
      <c r="R16" s="337"/>
      <c r="S16" s="337"/>
      <c r="T16" s="337"/>
      <c r="U16" s="93"/>
      <c r="V16" s="318"/>
      <c r="W16" s="318"/>
      <c r="X16" s="318"/>
      <c r="Y16" s="318"/>
      <c r="Z16" s="318"/>
      <c r="AA16" s="318"/>
      <c r="AB16" s="318"/>
      <c r="AC16" s="318"/>
      <c r="AD16" s="318"/>
      <c r="AE16" s="318"/>
      <c r="AF16" s="318"/>
      <c r="AG16" s="93"/>
      <c r="AH16" s="334"/>
      <c r="AI16" s="334"/>
      <c r="AJ16" s="334"/>
      <c r="AK16" s="334"/>
      <c r="AL16" s="334"/>
      <c r="AM16" s="334"/>
      <c r="AN16" s="334"/>
      <c r="AO16" s="334"/>
      <c r="AP16" s="334"/>
      <c r="AQ16" s="334"/>
      <c r="AR16" s="93"/>
      <c r="AS16" s="319"/>
      <c r="AT16" s="319"/>
      <c r="AU16" s="104">
        <f ca="1">IFERROR(IF(AND(SUM(INDIRECT("Merits!A"&amp;MATCH(AH16,Merits!A:A,0)&amp;":F"&amp;MATCH(AH16,Merits!A:A,0)))=0,Values!D76=0),1,COUNTIF(INDIRECT("Merits!A"&amp;MATCH(AH16,Merits!A:A,0)&amp;":F"&amp;MATCH(AH16,Merits!A:A,0)),Values!S76)),1)</f>
        <v>1</v>
      </c>
      <c r="AV16" s="93"/>
      <c r="AW16" s="291" t="str">
        <f>VLOOKUP(Values!$S76,Points!$A$1:$B$11,2,0)</f>
        <v>○○○○○</v>
      </c>
      <c r="AX16" s="291"/>
      <c r="AY16" s="332"/>
      <c r="BB16" s="297" t="s">
        <v>1425</v>
      </c>
      <c r="BC16" s="298"/>
      <c r="BD16" s="298"/>
      <c r="BE16" s="298"/>
      <c r="BF16" s="105" t="s">
        <v>1426</v>
      </c>
      <c r="BG16" s="106" t="e">
        <f>INDEX(Crea_Pts_xp!$B$2:$O$19,MATCH(BF16,Crea_Pts_xp!$A$2:$A$19,0),MATCH(VLOOKUP($S$4,Castes!$B$2:$C$25,2,FALSE),Crea_Pts_xp!$B$1:$O$1,0))-COUNTIF(FavAb,"C")+(AND(D16=D25,D25="C")+AND(D16="C",D25="S")+AND(D25="C",D16="S"))-COUNTIF($F$7:$AL$9,"C")</f>
        <v>#N/A</v>
      </c>
      <c r="BH16" s="105" t="s">
        <v>1427</v>
      </c>
      <c r="BI16" s="106" t="e">
        <f>INDEX(Crea_Pts_xp!$B$2:$O$19,MATCH(BH16,Crea_Pts_xp!$A$2:$A$19,0),MATCH(VLOOKUP($S$4,Castes!$B$2:$C$25,2,FALSE),Crea_Pts_xp!$B$1:$O$1,0))-COUNTIF(FavAb,"S")</f>
        <v>#N/A</v>
      </c>
      <c r="BJ16" s="226" t="s">
        <v>1428</v>
      </c>
      <c r="BK16" s="106" t="e">
        <f>INDEX(Crea_Pts_xp!$B$2:$O$19,MATCH(BJ16,Crea_Pts_xp!$A$2:$A$19,0),MATCH(VLOOKUP($S$4,Castes!$B$2:$C$25,2,FALSE),Crea_Pts_xp!$B$1:$O$1,0))-COUNTIF(FavAb,"F")+IF(AND(D16=D25,D25="F"),1,0)-COUNTIF($F$7:$AL$9,"F")</f>
        <v>#N/A</v>
      </c>
      <c r="BL16" s="93" t="e">
        <f>IF(AND(BG16*1=0,BI16*1=0,BK16=0),"ok","Left")</f>
        <v>#N/A</v>
      </c>
      <c r="CB16" s="102"/>
      <c r="CC16" s="102"/>
      <c r="CD16" s="102"/>
    </row>
    <row r="17" spans="1:81" ht="20.100000000000001" customHeight="1">
      <c r="A17" s="93"/>
      <c r="B17" s="93"/>
      <c r="C17" s="93"/>
      <c r="D17" s="218" t="str">
        <f t="shared" si="0"/>
        <v/>
      </c>
      <c r="E17" s="93"/>
      <c r="F17" s="327" t="str">
        <f>Values!B29</f>
        <v>Bureaucracy</v>
      </c>
      <c r="G17" s="327"/>
      <c r="H17" s="327"/>
      <c r="I17" s="327"/>
      <c r="J17" s="327"/>
      <c r="K17" s="291" t="str">
        <f>VLOOKUP(Values!$S29,Points!$A$1:$B$11,2,0)</f>
        <v>○○○○○</v>
      </c>
      <c r="L17" s="291"/>
      <c r="M17" s="291"/>
      <c r="N17" s="93"/>
      <c r="O17" s="93"/>
      <c r="P17" s="330"/>
      <c r="Q17" s="330"/>
      <c r="R17" s="330"/>
      <c r="S17" s="330"/>
      <c r="T17" s="330"/>
      <c r="U17" s="93"/>
      <c r="V17" s="330"/>
      <c r="W17" s="330"/>
      <c r="X17" s="330"/>
      <c r="Y17" s="330"/>
      <c r="Z17" s="330"/>
      <c r="AA17" s="330"/>
      <c r="AB17" s="330"/>
      <c r="AC17" s="330"/>
      <c r="AD17" s="330"/>
      <c r="AE17" s="330"/>
      <c r="AF17" s="330"/>
      <c r="AG17" s="93"/>
      <c r="AH17" s="334"/>
      <c r="AI17" s="334"/>
      <c r="AJ17" s="334"/>
      <c r="AK17" s="334"/>
      <c r="AL17" s="334"/>
      <c r="AM17" s="334"/>
      <c r="AN17" s="334"/>
      <c r="AO17" s="334"/>
      <c r="AP17" s="334"/>
      <c r="AQ17" s="334"/>
      <c r="AR17" s="93"/>
      <c r="AS17" s="319"/>
      <c r="AT17" s="319"/>
      <c r="AU17" s="104">
        <f ca="1">IFERROR(IF(AND(SUM(INDIRECT("Merits!A"&amp;MATCH(AH17,Merits!A:A,0)&amp;":F"&amp;MATCH(AH17,Merits!A:A,0)))=0,Values!D77=0),1,COUNTIF(INDIRECT("Merits!A"&amp;MATCH(AH17,Merits!A:A,0)&amp;":F"&amp;MATCH(AH17,Merits!A:A,0)),Values!S77)),1)</f>
        <v>1</v>
      </c>
      <c r="AV17" s="93"/>
      <c r="AW17" s="291" t="str">
        <f>VLOOKUP(Values!$S77,Points!$A$1:$B$11,2,0)</f>
        <v>○○○○○</v>
      </c>
      <c r="AX17" s="291"/>
      <c r="AY17" s="332"/>
      <c r="BG17" s="286" t="s">
        <v>1429</v>
      </c>
      <c r="BH17" s="286"/>
      <c r="BI17" s="286"/>
      <c r="BJ17" s="286"/>
      <c r="BK17" s="290">
        <f>Values!S6</f>
        <v>0</v>
      </c>
      <c r="BL17" s="290"/>
      <c r="BM17" s="290"/>
      <c r="BN17" s="290"/>
      <c r="BO17" s="290"/>
      <c r="BP17" s="290"/>
      <c r="CB17" s="102"/>
      <c r="CC17" s="102"/>
    </row>
    <row r="18" spans="1:81" ht="20.100000000000001" customHeight="1">
      <c r="A18" s="93"/>
      <c r="B18" s="93"/>
      <c r="C18" s="93"/>
      <c r="D18" s="218" t="str">
        <f t="shared" si="0"/>
        <v/>
      </c>
      <c r="E18" s="93"/>
      <c r="F18" s="93" t="str">
        <f>Values!B30</f>
        <v>Craft</v>
      </c>
      <c r="G18" s="93"/>
      <c r="H18" s="354"/>
      <c r="I18" s="354"/>
      <c r="J18" s="354"/>
      <c r="K18" s="291" t="str">
        <f>VLOOKUP(Values!$S30,Points!$A$1:$B$11,2,0)</f>
        <v>○○○○○</v>
      </c>
      <c r="L18" s="291"/>
      <c r="M18" s="291"/>
      <c r="N18" s="93"/>
      <c r="O18" s="93"/>
      <c r="P18" s="330"/>
      <c r="Q18" s="330"/>
      <c r="R18" s="330"/>
      <c r="S18" s="330"/>
      <c r="T18" s="330"/>
      <c r="U18" s="93"/>
      <c r="V18" s="330"/>
      <c r="W18" s="330"/>
      <c r="X18" s="330"/>
      <c r="Y18" s="330"/>
      <c r="Z18" s="330"/>
      <c r="AA18" s="330"/>
      <c r="AB18" s="330"/>
      <c r="AC18" s="330"/>
      <c r="AD18" s="330"/>
      <c r="AE18" s="330"/>
      <c r="AF18" s="330"/>
      <c r="AG18" s="93"/>
      <c r="AH18" s="334"/>
      <c r="AI18" s="334"/>
      <c r="AJ18" s="334"/>
      <c r="AK18" s="334"/>
      <c r="AL18" s="334"/>
      <c r="AM18" s="334"/>
      <c r="AN18" s="334"/>
      <c r="AO18" s="334"/>
      <c r="AP18" s="334"/>
      <c r="AQ18" s="334"/>
      <c r="AR18" s="93"/>
      <c r="AS18" s="319"/>
      <c r="AT18" s="319"/>
      <c r="AU18" s="104">
        <f ca="1">IFERROR(IF(AND(SUM(INDIRECT("Merits!A"&amp;MATCH(AH18,Merits!A:A,0)&amp;":F"&amp;MATCH(AH18,Merits!A:A,0)))=0,Values!D78=0),1,COUNTIF(INDIRECT("Merits!A"&amp;MATCH(AH18,Merits!A:A,0)&amp;":F"&amp;MATCH(AH18,Merits!A:A,0)),Values!S78)),1)</f>
        <v>1</v>
      </c>
      <c r="AV18" s="93"/>
      <c r="AW18" s="291" t="str">
        <f>VLOOKUP(Values!$S78,Points!$A$1:$B$11,2,0)</f>
        <v>○○○○○</v>
      </c>
      <c r="AX18" s="291"/>
      <c r="AY18" s="332"/>
      <c r="BA18" s="356" t="s">
        <v>7355</v>
      </c>
      <c r="BB18" s="356"/>
      <c r="BC18" s="356"/>
      <c r="BD18" s="356"/>
      <c r="BE18" s="356"/>
      <c r="BG18" s="355" t="e">
        <f>HLOOKUP($BK$17,Cast_Spe!$A$2:$AAE$11,ROWS($CA$14:CA15),FALSE)</f>
        <v>#N/A</v>
      </c>
      <c r="BH18" s="355"/>
      <c r="BI18" s="355"/>
      <c r="BJ18" s="355"/>
      <c r="BK18" s="355"/>
    </row>
    <row r="19" spans="1:81" s="93" customFormat="1" ht="20.100000000000001" customHeight="1">
      <c r="D19" s="218" t="str">
        <f t="shared" si="0"/>
        <v/>
      </c>
      <c r="F19" s="327" t="str">
        <f>Values!B31</f>
        <v>Dodge</v>
      </c>
      <c r="G19" s="327"/>
      <c r="H19" s="327"/>
      <c r="I19" s="327"/>
      <c r="J19" s="327"/>
      <c r="K19" s="291" t="str">
        <f>VLOOKUP(Values!$S31,Points!$A$1:$B$11,2,0)</f>
        <v>○○○○○</v>
      </c>
      <c r="L19" s="291"/>
      <c r="M19" s="291"/>
      <c r="P19" s="330"/>
      <c r="Q19" s="330"/>
      <c r="R19" s="330"/>
      <c r="S19" s="330"/>
      <c r="T19" s="330"/>
      <c r="V19" s="330"/>
      <c r="W19" s="330"/>
      <c r="X19" s="330"/>
      <c r="Y19" s="330"/>
      <c r="Z19" s="330"/>
      <c r="AA19" s="330"/>
      <c r="AB19" s="330"/>
      <c r="AC19" s="330"/>
      <c r="AD19" s="330"/>
      <c r="AE19" s="330"/>
      <c r="AF19" s="330"/>
      <c r="AH19" s="334"/>
      <c r="AI19" s="334"/>
      <c r="AJ19" s="334"/>
      <c r="AK19" s="334"/>
      <c r="AL19" s="334"/>
      <c r="AM19" s="334"/>
      <c r="AN19" s="334"/>
      <c r="AO19" s="334"/>
      <c r="AP19" s="334"/>
      <c r="AQ19" s="334"/>
      <c r="AS19" s="319"/>
      <c r="AT19" s="319"/>
      <c r="AU19" s="104">
        <f ca="1">IFERROR(IF(AND(SUM(INDIRECT("Merits!A"&amp;MATCH(AH19,Merits!A:A,0)&amp;":F"&amp;MATCH(AH19,Merits!A:A,0)))=0,Values!D79=0),1,COUNTIF(INDIRECT("Merits!A"&amp;MATCH(AH19,Merits!A:A,0)&amp;":F"&amp;MATCH(AH19,Merits!A:A,0)),Values!S79)),1)</f>
        <v>1</v>
      </c>
      <c r="AW19" s="291" t="str">
        <f>VLOOKUP(Values!$S79,Points!$A$1:$B$11,2,0)</f>
        <v>○○○○○</v>
      </c>
      <c r="AX19" s="291"/>
      <c r="AY19" s="332"/>
      <c r="BA19" s="356"/>
      <c r="BB19" s="356"/>
      <c r="BC19" s="356"/>
      <c r="BD19" s="356"/>
      <c r="BE19" s="356"/>
      <c r="BG19" s="355" t="e">
        <f>HLOOKUP($BK$17,Cast_Spe!$A$2:$AAE$11,ROWS($CA$14:CA16),FALSE)</f>
        <v>#N/A</v>
      </c>
      <c r="BH19" s="355"/>
      <c r="BI19" s="355"/>
      <c r="BJ19" s="355"/>
      <c r="BK19" s="355"/>
    </row>
    <row r="20" spans="1:81" s="93" customFormat="1" ht="20.100000000000001" customHeight="1">
      <c r="D20" s="218" t="str">
        <f t="shared" si="0"/>
        <v/>
      </c>
      <c r="F20" s="327" t="str">
        <f>Values!B32</f>
        <v>Integrity</v>
      </c>
      <c r="G20" s="327"/>
      <c r="H20" s="327"/>
      <c r="I20" s="327"/>
      <c r="J20" s="327"/>
      <c r="K20" s="291" t="str">
        <f>VLOOKUP(Values!$S32,Points!$A$1:$B$11,2,0)</f>
        <v>○○○○○</v>
      </c>
      <c r="L20" s="291"/>
      <c r="M20" s="291"/>
      <c r="P20" s="330"/>
      <c r="Q20" s="330"/>
      <c r="R20" s="330"/>
      <c r="S20" s="330"/>
      <c r="T20" s="330"/>
      <c r="V20" s="330"/>
      <c r="W20" s="330"/>
      <c r="X20" s="330"/>
      <c r="Y20" s="330"/>
      <c r="Z20" s="330"/>
      <c r="AA20" s="330"/>
      <c r="AB20" s="330"/>
      <c r="AC20" s="330"/>
      <c r="AD20" s="330"/>
      <c r="AE20" s="330"/>
      <c r="AF20" s="330"/>
      <c r="AH20" s="339"/>
      <c r="AI20" s="339"/>
      <c r="AJ20" s="339"/>
      <c r="AK20" s="339"/>
      <c r="AL20" s="339"/>
      <c r="AM20" s="339"/>
      <c r="AN20" s="339"/>
      <c r="AO20" s="339"/>
      <c r="AP20" s="339"/>
      <c r="AQ20" s="339"/>
      <c r="AS20" s="328"/>
      <c r="AT20" s="328"/>
      <c r="AU20" s="104">
        <f ca="1">IFERROR(IF(AND(SUM(INDIRECT("Merits!A"&amp;MATCH(AH20,Merits!A:A,0)&amp;":F"&amp;MATCH(AH20,Merits!A:A,0)))=0,Values!D80=0),1,COUNTIF(INDIRECT("Merits!A"&amp;MATCH(AH20,Merits!A:A,0)&amp;":F"&amp;MATCH(AH20,Merits!A:A,0)),Values!S80)),1)</f>
        <v>1</v>
      </c>
      <c r="AW20" s="291" t="str">
        <f>VLOOKUP(Values!$S80,Points!$A$1:$B$11,2,0)</f>
        <v>○○○○○</v>
      </c>
      <c r="AX20" s="291"/>
      <c r="AY20" s="332"/>
      <c r="BA20" s="248"/>
      <c r="BB20" s="248"/>
      <c r="BC20" s="248"/>
      <c r="BD20" s="248"/>
      <c r="BE20" s="248"/>
      <c r="BG20" s="355" t="e">
        <f>HLOOKUP($BK$17,Cast_Spe!$A$2:$AAE$11,ROWS($CA$14:CA17),FALSE)</f>
        <v>#N/A</v>
      </c>
      <c r="BH20" s="355"/>
      <c r="BI20" s="355"/>
      <c r="BJ20" s="355"/>
      <c r="BK20" s="355"/>
    </row>
    <row r="21" spans="1:81" s="93" customFormat="1" ht="20.100000000000001" customHeight="1">
      <c r="D21" s="218" t="str">
        <f t="shared" si="0"/>
        <v/>
      </c>
      <c r="F21" s="327" t="str">
        <f>Values!B33</f>
        <v>Investigation</v>
      </c>
      <c r="G21" s="327"/>
      <c r="H21" s="327"/>
      <c r="I21" s="327"/>
      <c r="J21" s="327"/>
      <c r="K21" s="291" t="str">
        <f>VLOOKUP(Values!$S33,Points!$A$1:$B$11,2,0)</f>
        <v>○○○○○</v>
      </c>
      <c r="L21" s="291"/>
      <c r="M21" s="291"/>
      <c r="P21" s="330"/>
      <c r="Q21" s="330"/>
      <c r="R21" s="330"/>
      <c r="S21" s="330"/>
      <c r="T21" s="330"/>
      <c r="V21" s="330"/>
      <c r="W21" s="330"/>
      <c r="X21" s="330"/>
      <c r="Y21" s="330"/>
      <c r="Z21" s="330"/>
      <c r="AA21" s="330"/>
      <c r="AB21" s="330"/>
      <c r="AC21" s="330"/>
      <c r="AD21" s="330"/>
      <c r="AE21" s="330"/>
      <c r="AF21" s="330"/>
      <c r="AH21" s="339"/>
      <c r="AI21" s="339"/>
      <c r="AJ21" s="339"/>
      <c r="AK21" s="339"/>
      <c r="AL21" s="339"/>
      <c r="AM21" s="339"/>
      <c r="AN21" s="339"/>
      <c r="AO21" s="339"/>
      <c r="AP21" s="339"/>
      <c r="AQ21" s="339"/>
      <c r="AS21" s="328"/>
      <c r="AT21" s="328"/>
      <c r="AU21" s="104">
        <f ca="1">IFERROR(IF(AND(SUM(INDIRECT("Merits!A"&amp;MATCH(AH21,Merits!A:A,0)&amp;":F"&amp;MATCH(AH21,Merits!A:A,0)))=0,Values!D81=0),1,COUNTIF(INDIRECT("Merits!A"&amp;MATCH(AH21,Merits!A:A,0)&amp;":F"&amp;MATCH(AH21,Merits!A:A,0)),Values!S81)),1)</f>
        <v>1</v>
      </c>
      <c r="AW21" s="291" t="str">
        <f>VLOOKUP(Values!$S81,Points!$A$1:$B$11,2,0)</f>
        <v>○○○○○</v>
      </c>
      <c r="AX21" s="291"/>
      <c r="AY21" s="332"/>
      <c r="BA21" s="248"/>
      <c r="BB21" s="248"/>
      <c r="BC21" s="248"/>
      <c r="BD21" s="248"/>
      <c r="BE21" s="248"/>
      <c r="BG21" s="355" t="e">
        <f>HLOOKUP($BK$17,Cast_Spe!$A$2:$AAE$11,ROWS($CA$14:CA18),FALSE)</f>
        <v>#N/A</v>
      </c>
      <c r="BH21" s="355"/>
      <c r="BI21" s="355"/>
      <c r="BJ21" s="355"/>
      <c r="BK21" s="355"/>
    </row>
    <row r="22" spans="1:81" s="93" customFormat="1" ht="20.100000000000001" customHeight="1">
      <c r="D22" s="218" t="str">
        <f t="shared" si="0"/>
        <v/>
      </c>
      <c r="F22" s="327" t="str">
        <f>Values!B34</f>
        <v>Larceny</v>
      </c>
      <c r="G22" s="327"/>
      <c r="H22" s="327"/>
      <c r="I22" s="327"/>
      <c r="J22" s="327"/>
      <c r="K22" s="291" t="str">
        <f>VLOOKUP(Values!$S34,Points!$A$1:$B$11,2,0)</f>
        <v>○○○○○</v>
      </c>
      <c r="L22" s="291"/>
      <c r="M22" s="291"/>
      <c r="P22" s="330"/>
      <c r="Q22" s="330"/>
      <c r="R22" s="330"/>
      <c r="S22" s="330"/>
      <c r="T22" s="330"/>
      <c r="V22" s="330"/>
      <c r="W22" s="330"/>
      <c r="X22" s="330"/>
      <c r="Y22" s="330"/>
      <c r="Z22" s="330"/>
      <c r="AA22" s="330"/>
      <c r="AB22" s="330"/>
      <c r="AC22" s="330"/>
      <c r="AD22" s="330"/>
      <c r="AE22" s="330"/>
      <c r="AF22" s="330"/>
      <c r="AH22" s="339"/>
      <c r="AI22" s="339"/>
      <c r="AJ22" s="339"/>
      <c r="AK22" s="339"/>
      <c r="AL22" s="339"/>
      <c r="AM22" s="339"/>
      <c r="AN22" s="339"/>
      <c r="AO22" s="339"/>
      <c r="AP22" s="339"/>
      <c r="AQ22" s="339"/>
      <c r="AS22" s="328"/>
      <c r="AT22" s="328"/>
      <c r="AU22" s="104">
        <f ca="1">IFERROR(IF(AND(SUM(INDIRECT("Merits!A"&amp;MATCH(AH22,Merits!A:A,0)&amp;":F"&amp;MATCH(AH22,Merits!A:A,0)))=0,Values!D82=0),1,COUNTIF(INDIRECT("Merits!A"&amp;MATCH(AH22,Merits!A:A,0)&amp;":F"&amp;MATCH(AH22,Merits!A:A,0)),Values!S82)),1)</f>
        <v>1</v>
      </c>
      <c r="AW22" s="291" t="str">
        <f>VLOOKUP(Values!$S82,Points!$A$1:$B$11,2,0)</f>
        <v>○○○○○</v>
      </c>
      <c r="AX22" s="291"/>
      <c r="AY22" s="332"/>
      <c r="BG22" s="355" t="e">
        <f>HLOOKUP($BK$17,Cast_Spe!$A$2:$AAE$11,ROWS($CA$14:CA19),FALSE)</f>
        <v>#N/A</v>
      </c>
      <c r="BH22" s="355"/>
      <c r="BI22" s="355"/>
      <c r="BJ22" s="355"/>
      <c r="BK22" s="355"/>
    </row>
    <row r="23" spans="1:81" s="93" customFormat="1" ht="20.100000000000001" customHeight="1">
      <c r="D23" s="218" t="str">
        <f t="shared" si="0"/>
        <v/>
      </c>
      <c r="F23" s="327" t="str">
        <f>Values!B35</f>
        <v>Linguistics</v>
      </c>
      <c r="G23" s="327"/>
      <c r="H23" s="327"/>
      <c r="I23" s="327"/>
      <c r="J23" s="327"/>
      <c r="K23" s="291" t="str">
        <f>VLOOKUP(Values!$S35,Points!$A$1:$B$11,2,0)</f>
        <v>○○○○○</v>
      </c>
      <c r="L23" s="291"/>
      <c r="M23" s="291"/>
      <c r="P23" s="333" t="s">
        <v>3511</v>
      </c>
      <c r="Q23" s="287"/>
      <c r="R23" s="287"/>
      <c r="S23" s="287"/>
      <c r="T23" s="287"/>
      <c r="U23" s="287"/>
      <c r="V23" s="287"/>
      <c r="W23" s="102"/>
      <c r="Z23" s="352" t="s">
        <v>32</v>
      </c>
      <c r="AA23" s="352"/>
      <c r="AB23" s="352"/>
      <c r="AC23" s="352"/>
      <c r="AD23" s="352"/>
      <c r="AE23" s="352"/>
      <c r="AH23" s="340"/>
      <c r="AI23" s="340"/>
      <c r="AJ23" s="340"/>
      <c r="AK23" s="340"/>
      <c r="AL23" s="340"/>
      <c r="AM23" s="340"/>
      <c r="AN23" s="340"/>
      <c r="AO23" s="340"/>
      <c r="AP23" s="340"/>
      <c r="AQ23" s="340"/>
      <c r="AS23" s="342"/>
      <c r="AT23" s="342"/>
      <c r="AU23" s="104">
        <f ca="1">IFERROR(IF(AND(SUM(INDIRECT("Merits!A"&amp;MATCH(AH23,Merits!A:A,0)&amp;":F"&amp;MATCH(AH23,Merits!A:A,0)))=0,Values!D83=0),1,COUNTIF(INDIRECT("Merits!A"&amp;MATCH(AH23,Merits!A:A,0)&amp;":F"&amp;MATCH(AH23,Merits!A:A,0)),Values!S83)),1)</f>
        <v>1</v>
      </c>
      <c r="AW23" s="291" t="str">
        <f>VLOOKUP(Values!$S83,Points!$A$1:$B$11,2,0)</f>
        <v>○○○○○</v>
      </c>
      <c r="AX23" s="291"/>
      <c r="AY23" s="332"/>
      <c r="BG23" s="355" t="e">
        <f>HLOOKUP($BK$17,Cast_Spe!$A$2:$AAE$11,ROWS($CA$14:CA20),FALSE)</f>
        <v>#N/A</v>
      </c>
      <c r="BH23" s="355"/>
      <c r="BI23" s="355"/>
      <c r="BJ23" s="355"/>
      <c r="BK23" s="355"/>
    </row>
    <row r="24" spans="1:81" s="93" customFormat="1" ht="20.100000000000001" customHeight="1">
      <c r="D24" s="218" t="str">
        <f t="shared" si="0"/>
        <v/>
      </c>
      <c r="F24" s="327" t="str">
        <f>Values!B36</f>
        <v>Lore</v>
      </c>
      <c r="G24" s="327"/>
      <c r="H24" s="327"/>
      <c r="I24" s="327"/>
      <c r="J24" s="327"/>
      <c r="K24" s="291" t="str">
        <f>VLOOKUP(Values!$S36,Points!$A$1:$B$11,2,0)</f>
        <v>○○○○○</v>
      </c>
      <c r="L24" s="291"/>
      <c r="M24" s="291"/>
      <c r="P24" s="287"/>
      <c r="Q24" s="287"/>
      <c r="R24" s="287"/>
      <c r="S24" s="287"/>
      <c r="T24" s="287"/>
      <c r="U24" s="287"/>
      <c r="V24" s="287"/>
      <c r="W24" s="102"/>
      <c r="X24" s="100"/>
      <c r="Z24" s="287"/>
      <c r="AA24" s="287"/>
      <c r="AB24" s="287"/>
      <c r="AC24" s="287"/>
      <c r="AD24" s="287"/>
      <c r="AE24" s="287"/>
      <c r="AH24" s="340"/>
      <c r="AI24" s="340"/>
      <c r="AJ24" s="340"/>
      <c r="AK24" s="340"/>
      <c r="AL24" s="340"/>
      <c r="AM24" s="340"/>
      <c r="AN24" s="340"/>
      <c r="AO24" s="340"/>
      <c r="AP24" s="340"/>
      <c r="AQ24" s="340"/>
      <c r="AS24" s="342"/>
      <c r="AT24" s="342"/>
      <c r="AU24" s="104">
        <f ca="1">IFERROR(IF(AND(SUM(INDIRECT("Merits!A"&amp;MATCH(AH24,Merits!A:A,0)&amp;":F"&amp;MATCH(AH24,Merits!A:A,0)))=0,Values!D84=0),1,COUNTIF(INDIRECT("Merits!A"&amp;MATCH(AH24,Merits!A:A,0)&amp;":F"&amp;MATCH(AH24,Merits!A:A,0)),Values!S84)),1)</f>
        <v>1</v>
      </c>
      <c r="AW24" s="291" t="str">
        <f>VLOOKUP(Values!$S84,Points!$A$1:$B$11,2,0)</f>
        <v>○○○○○</v>
      </c>
      <c r="AX24" s="291"/>
      <c r="AY24" s="332"/>
      <c r="BG24" s="355" t="e">
        <f>HLOOKUP($BK$17,Cast_Spe!$A$2:$AAE$11,ROWS($CA$14:CA21),FALSE)</f>
        <v>#N/A</v>
      </c>
      <c r="BH24" s="355"/>
      <c r="BI24" s="355"/>
      <c r="BJ24" s="355"/>
      <c r="BK24" s="355"/>
    </row>
    <row r="25" spans="1:81" s="93" customFormat="1" ht="20.100000000000001" customHeight="1">
      <c r="D25" s="218" t="str">
        <f>IF(AND(COUNTIF(Exalt_DB,$S$4)=1,COUNTIF($BG$18:$BK$26,F25)=1),"C",IF(D16="S","C",D16))</f>
        <v/>
      </c>
      <c r="F25" s="327" t="str">
        <f>Values!B37</f>
        <v>Martial Arts</v>
      </c>
      <c r="G25" s="327"/>
      <c r="H25" s="327"/>
      <c r="I25" s="327"/>
      <c r="J25" s="327"/>
      <c r="K25" s="291" t="str">
        <f>VLOOKUP(Values!$S37,Points!$A$1:$B$11,2,0)</f>
        <v>○○○○○</v>
      </c>
      <c r="L25" s="291"/>
      <c r="M25" s="291"/>
      <c r="P25" s="288"/>
      <c r="Q25" s="288"/>
      <c r="R25" s="288"/>
      <c r="S25" s="288"/>
      <c r="T25" s="288"/>
      <c r="U25" s="288"/>
      <c r="V25" s="288"/>
      <c r="Y25" s="351" t="str">
        <f>VLOOKUP(Values!$S97,Points!$A$13:$B$23,2,0)</f>
        <v>● ● ● ● ● ○ ○ ○ ○ ○</v>
      </c>
      <c r="Z25" s="351"/>
      <c r="AA25" s="351"/>
      <c r="AB25" s="351"/>
      <c r="AC25" s="351"/>
      <c r="AD25" s="351"/>
      <c r="AE25" s="351"/>
      <c r="AF25" s="351"/>
      <c r="AH25" s="340"/>
      <c r="AI25" s="340"/>
      <c r="AJ25" s="340"/>
      <c r="AK25" s="340"/>
      <c r="AL25" s="340"/>
      <c r="AM25" s="340"/>
      <c r="AN25" s="340"/>
      <c r="AO25" s="340"/>
      <c r="AP25" s="340"/>
      <c r="AQ25" s="340"/>
      <c r="AS25" s="342"/>
      <c r="AT25" s="342"/>
      <c r="AU25" s="104">
        <f ca="1">IFERROR(IF(AND(SUM(INDIRECT("Merits!A"&amp;MATCH(AH25,Merits!A:A,0)&amp;":F"&amp;MATCH(AH25,Merits!A:A,0)))=0,Values!D85=0),1,COUNTIF(INDIRECT("Merits!A"&amp;MATCH(AH25,Merits!A:A,0)&amp;":F"&amp;MATCH(AH25,Merits!A:A,0)),Values!S85)),1)</f>
        <v>1</v>
      </c>
      <c r="AW25" s="291" t="str">
        <f>VLOOKUP(Values!$S85,Points!$A$1:$B$11,2,0)</f>
        <v>○○○○○</v>
      </c>
      <c r="AX25" s="291"/>
      <c r="AY25" s="332"/>
      <c r="BG25" s="355" t="e">
        <f>HLOOKUP($BK$17,Cast_Spe!$A$2:$AAE$11,ROWS($CA$14:CA22),FALSE)</f>
        <v>#N/A</v>
      </c>
      <c r="BH25" s="355"/>
      <c r="BI25" s="355"/>
      <c r="BJ25" s="355"/>
      <c r="BK25" s="355"/>
    </row>
    <row r="26" spans="1:81" s="93" customFormat="1" ht="20.100000000000001" customHeight="1">
      <c r="D26" s="218" t="str">
        <f t="shared" ref="D26:D38" si="1">IF(AND(COUNTIF(Exalt_DB,$S$4)=1,COUNTIF($BG$18:$BK$26,F26)=1),"C","")</f>
        <v/>
      </c>
      <c r="F26" s="327" t="str">
        <f>Values!B38</f>
        <v>Medicine</v>
      </c>
      <c r="G26" s="327"/>
      <c r="H26" s="327"/>
      <c r="I26" s="327"/>
      <c r="J26" s="327"/>
      <c r="K26" s="291" t="str">
        <f>VLOOKUP(Values!$S38,Points!$A$1:$B$11,2,0)</f>
        <v>○○○○○</v>
      </c>
      <c r="L26" s="291"/>
      <c r="M26" s="291"/>
      <c r="P26" s="288"/>
      <c r="Q26" s="288"/>
      <c r="R26" s="288"/>
      <c r="S26" s="288"/>
      <c r="T26" s="288"/>
      <c r="U26" s="288"/>
      <c r="V26" s="288"/>
      <c r="Y26" s="331" t="s">
        <v>36</v>
      </c>
      <c r="Z26" s="331"/>
      <c r="AA26" s="331"/>
      <c r="AB26" s="331"/>
      <c r="AC26" s="331"/>
      <c r="AD26" s="331"/>
      <c r="AE26" s="331"/>
      <c r="AF26" s="331"/>
      <c r="AH26" s="340"/>
      <c r="AI26" s="340"/>
      <c r="AJ26" s="340"/>
      <c r="AK26" s="340"/>
      <c r="AL26" s="340"/>
      <c r="AM26" s="340"/>
      <c r="AN26" s="340"/>
      <c r="AO26" s="340"/>
      <c r="AP26" s="340"/>
      <c r="AQ26" s="340"/>
      <c r="AS26" s="342"/>
      <c r="AT26" s="342"/>
      <c r="AU26" s="104">
        <f ca="1">IFERROR(IF(AND(SUM(INDIRECT("Merits!A"&amp;MATCH(AH26,Merits!A:A,0)&amp;":F"&amp;MATCH(AH26,Merits!A:A,0)))=0,Values!D86=0),1,COUNTIF(INDIRECT("Merits!A"&amp;MATCH(AH26,Merits!A:A,0)&amp;":F"&amp;MATCH(AH26,Merits!A:A,0)),Values!S86)),1)</f>
        <v>1</v>
      </c>
      <c r="AW26" s="291" t="str">
        <f>VLOOKUP(Values!$S86,Points!$A$1:$B$11,2,0)</f>
        <v>○○○○○</v>
      </c>
      <c r="AX26" s="291"/>
      <c r="AY26" s="332"/>
      <c r="BG26" s="355" t="e">
        <f>HLOOKUP($BK$17,Cast_Spe!$A$2:$AAE$11,ROWS($CA$14:CA23),FALSE)</f>
        <v>#N/A</v>
      </c>
      <c r="BH26" s="355"/>
      <c r="BI26" s="355"/>
      <c r="BJ26" s="355"/>
      <c r="BK26" s="355"/>
    </row>
    <row r="27" spans="1:81" s="93" customFormat="1" ht="20.100000000000001" customHeight="1">
      <c r="D27" s="218" t="str">
        <f t="shared" si="1"/>
        <v/>
      </c>
      <c r="F27" s="327" t="str">
        <f>Values!B39</f>
        <v>Melee</v>
      </c>
      <c r="G27" s="327"/>
      <c r="H27" s="327"/>
      <c r="I27" s="327"/>
      <c r="J27" s="327"/>
      <c r="K27" s="291" t="str">
        <f>VLOOKUP(Values!$S39,Points!$A$1:$B$11,2,0)</f>
        <v>○○○○○</v>
      </c>
      <c r="L27" s="291"/>
      <c r="M27" s="291"/>
      <c r="P27" s="288"/>
      <c r="Q27" s="288"/>
      <c r="R27" s="288"/>
      <c r="S27" s="288"/>
      <c r="T27" s="288"/>
      <c r="U27" s="288"/>
      <c r="V27" s="288"/>
      <c r="AH27" s="340"/>
      <c r="AI27" s="340"/>
      <c r="AJ27" s="340"/>
      <c r="AK27" s="340"/>
      <c r="AL27" s="340"/>
      <c r="AM27" s="340"/>
      <c r="AN27" s="340"/>
      <c r="AO27" s="340"/>
      <c r="AP27" s="340"/>
      <c r="AQ27" s="340"/>
      <c r="AS27" s="342"/>
      <c r="AT27" s="342"/>
      <c r="AU27" s="104">
        <f ca="1">IFERROR(IF(AND(SUM(INDIRECT("Merits!A"&amp;MATCH(AH27,Merits!A:A,0)&amp;":F"&amp;MATCH(AH27,Merits!A:A,0)))=0,Values!D87=0),1,COUNTIF(INDIRECT("Merits!A"&amp;MATCH(AH27,Merits!A:A,0)&amp;":F"&amp;MATCH(AH27,Merits!A:A,0)),Values!S87)),1)</f>
        <v>1</v>
      </c>
      <c r="AW27" s="291" t="str">
        <f>VLOOKUP(Values!$S87,Points!$A$1:$B$11,2,0)</f>
        <v>○○○○○</v>
      </c>
      <c r="AX27" s="291"/>
      <c r="AY27" s="332"/>
      <c r="AZ27" s="244" t="s">
        <v>7356</v>
      </c>
    </row>
    <row r="28" spans="1:81" s="93" customFormat="1" ht="20.100000000000001" customHeight="1">
      <c r="D28" s="218" t="str">
        <f t="shared" si="1"/>
        <v/>
      </c>
      <c r="F28" s="327" t="str">
        <f>Values!B40</f>
        <v>Occult</v>
      </c>
      <c r="G28" s="327"/>
      <c r="H28" s="327"/>
      <c r="I28" s="327"/>
      <c r="J28" s="327"/>
      <c r="K28" s="291" t="str">
        <f>VLOOKUP(Values!$S40,Points!$A$1:$B$11,2,0)</f>
        <v>○○○○○</v>
      </c>
      <c r="L28" s="291"/>
      <c r="M28" s="291"/>
      <c r="P28" s="287" t="s">
        <v>33</v>
      </c>
      <c r="Q28" s="287"/>
      <c r="R28" s="287"/>
      <c r="S28" s="287"/>
      <c r="T28" s="287"/>
      <c r="U28" s="287"/>
      <c r="Z28" s="287" t="s">
        <v>40</v>
      </c>
      <c r="AA28" s="287"/>
      <c r="AB28" s="287"/>
      <c r="AC28" s="287"/>
      <c r="AD28" s="287"/>
      <c r="AE28" s="100"/>
      <c r="AG28" s="94"/>
      <c r="AH28" s="340"/>
      <c r="AI28" s="340"/>
      <c r="AJ28" s="340"/>
      <c r="AK28" s="340"/>
      <c r="AL28" s="340"/>
      <c r="AM28" s="340"/>
      <c r="AN28" s="340"/>
      <c r="AO28" s="340"/>
      <c r="AP28" s="340"/>
      <c r="AQ28" s="340"/>
      <c r="AS28" s="342"/>
      <c r="AT28" s="342"/>
      <c r="AU28" s="104">
        <f ca="1">IFERROR(IF(AND(SUM(INDIRECT("Merits!A"&amp;MATCH(AH28,Merits!A:A,0)&amp;":F"&amp;MATCH(AH28,Merits!A:A,0)))=0,Values!D88=0),1,COUNTIF(INDIRECT("Merits!A"&amp;MATCH(AH28,Merits!A:A,0)&amp;":F"&amp;MATCH(AH28,Merits!A:A,0)),Values!S88)),1)</f>
        <v>1</v>
      </c>
      <c r="AW28" s="291" t="str">
        <f>VLOOKUP(Values!$S88,Points!$A$1:$B$11,2,0)</f>
        <v>○○○○○</v>
      </c>
      <c r="AX28" s="291"/>
      <c r="AY28" s="332"/>
      <c r="BA28" s="107">
        <f>28-(Values!D51+Values!D59)</f>
        <v>28</v>
      </c>
      <c r="BB28" s="297" t="str">
        <f>IF(BA28=0,"ok","Dots Left")</f>
        <v>Dots Left</v>
      </c>
      <c r="BC28" s="298"/>
      <c r="BD28" s="298"/>
      <c r="BE28" s="298"/>
      <c r="BF28" s="298"/>
      <c r="BG28" s="298"/>
      <c r="BI28" s="247"/>
      <c r="BJ28" s="247"/>
      <c r="BK28" s="247"/>
      <c r="BL28" s="247"/>
      <c r="BM28" s="247"/>
      <c r="BN28" s="247"/>
      <c r="BO28" s="247"/>
      <c r="BP28" s="247"/>
      <c r="BQ28" s="247"/>
      <c r="BR28" s="247"/>
      <c r="BS28" s="247"/>
      <c r="BT28" s="247"/>
    </row>
    <row r="29" spans="1:81" s="93" customFormat="1" ht="20.100000000000001" customHeight="1">
      <c r="D29" s="218" t="str">
        <f t="shared" si="1"/>
        <v/>
      </c>
      <c r="F29" s="327" t="str">
        <f>Values!B41</f>
        <v>Performance</v>
      </c>
      <c r="G29" s="327"/>
      <c r="H29" s="327"/>
      <c r="I29" s="327"/>
      <c r="J29" s="327"/>
      <c r="K29" s="291" t="str">
        <f>VLOOKUP(Values!$S41,Points!$A$1:$B$11,2,0)</f>
        <v>○○○○○</v>
      </c>
      <c r="L29" s="291"/>
      <c r="M29" s="291"/>
      <c r="N29" s="100"/>
      <c r="P29" s="287"/>
      <c r="Q29" s="287"/>
      <c r="R29" s="287"/>
      <c r="S29" s="287"/>
      <c r="T29" s="287"/>
      <c r="U29" s="287"/>
      <c r="Y29" s="100"/>
      <c r="Z29" s="287"/>
      <c r="AA29" s="287"/>
      <c r="AB29" s="287"/>
      <c r="AC29" s="287"/>
      <c r="AD29" s="287"/>
      <c r="AE29" s="100"/>
      <c r="AH29" s="340"/>
      <c r="AI29" s="340"/>
      <c r="AJ29" s="340"/>
      <c r="AK29" s="340"/>
      <c r="AL29" s="340"/>
      <c r="AM29" s="340"/>
      <c r="AN29" s="340"/>
      <c r="AO29" s="340"/>
      <c r="AP29" s="340"/>
      <c r="AQ29" s="340"/>
      <c r="AS29" s="342"/>
      <c r="AT29" s="342"/>
      <c r="AU29" s="104">
        <f ca="1">IFERROR(IF(AND(SUM(INDIRECT("Merits!A"&amp;MATCH(AH29,Merits!A:A,0)&amp;":F"&amp;MATCH(AH29,Merits!A:A,0)))=0,Values!D89=0),1,COUNTIF(INDIRECT("Merits!A"&amp;MATCH(AH29,Merits!A:A,0)&amp;":F"&amp;MATCH(AH29,Merits!A:A,0)),Values!S89)),1)</f>
        <v>1</v>
      </c>
      <c r="AW29" s="291" t="str">
        <f>VLOOKUP(Values!$S89,Points!$A$1:$B$11,2,0)</f>
        <v>○○○○○</v>
      </c>
      <c r="AX29" s="291"/>
      <c r="AY29" s="332"/>
      <c r="AZ29" s="86" t="s">
        <v>7350</v>
      </c>
      <c r="BA29" s="246"/>
      <c r="BB29" s="246"/>
      <c r="BC29" s="246"/>
      <c r="BD29" s="246"/>
      <c r="BE29" s="246" t="str">
        <f>"Choose Merits for a total of "&amp;VLOOKUP("Merits",Crea_Pts_xp!A1:C11,IF(Values!S6="Mortal",3,2),FALSE)&amp;" dots"</f>
        <v>Choose Merits for a total of 10 dots</v>
      </c>
      <c r="BF29" s="246"/>
      <c r="BG29" s="246"/>
      <c r="BH29" s="246"/>
      <c r="BI29" s="246"/>
      <c r="BJ29" s="246"/>
      <c r="BK29" s="246"/>
      <c r="BL29" s="246"/>
      <c r="BM29" s="246"/>
      <c r="BN29" s="102"/>
      <c r="BO29" s="246"/>
      <c r="BP29" s="246"/>
      <c r="BQ29" s="246"/>
      <c r="BR29" s="246"/>
      <c r="BS29" s="246"/>
      <c r="BT29" s="246"/>
      <c r="BU29" s="246"/>
      <c r="BV29" s="246"/>
      <c r="BW29" s="246"/>
    </row>
    <row r="30" spans="1:81" s="93" customFormat="1" ht="20.100000000000001" customHeight="1">
      <c r="D30" s="218" t="str">
        <f t="shared" si="1"/>
        <v/>
      </c>
      <c r="F30" s="327" t="str">
        <f>Values!B42</f>
        <v>Presence</v>
      </c>
      <c r="G30" s="327"/>
      <c r="H30" s="327"/>
      <c r="I30" s="327"/>
      <c r="J30" s="327"/>
      <c r="K30" s="291" t="str">
        <f>VLOOKUP(Values!$S42,Points!$A$1:$B$11,2,0)</f>
        <v>○○○○○</v>
      </c>
      <c r="L30" s="291"/>
      <c r="M30" s="291"/>
      <c r="O30" s="331" t="s">
        <v>36</v>
      </c>
      <c r="P30" s="331"/>
      <c r="Q30" s="331"/>
      <c r="R30" s="331"/>
      <c r="S30" s="331"/>
      <c r="T30" s="331"/>
      <c r="U30" s="331"/>
      <c r="V30" s="331"/>
      <c r="Y30" s="341" t="str">
        <f>VLOOKUP(Values!S98,Points!$A$13:$C$23,3,0)</f>
        <v>●</v>
      </c>
      <c r="Z30" s="341"/>
      <c r="AA30" s="341"/>
      <c r="AB30" s="341"/>
      <c r="AC30" s="341"/>
      <c r="AD30" s="341"/>
      <c r="AE30" s="341"/>
      <c r="AH30" s="350"/>
      <c r="AI30" s="350"/>
      <c r="AJ30" s="350"/>
      <c r="AK30" s="350"/>
      <c r="AL30" s="350"/>
      <c r="AM30" s="350"/>
      <c r="AN30" s="350"/>
      <c r="AO30" s="350"/>
      <c r="AP30" s="350"/>
      <c r="AQ30" s="350"/>
      <c r="AS30" s="328"/>
      <c r="AT30" s="328"/>
      <c r="AU30" s="104">
        <f ca="1">IFERROR(IF(AND(SUM(INDIRECT("Merits!A"&amp;MATCH(AH30,Merits!A:A,0)&amp;":F"&amp;MATCH(AH30,Merits!A:A,0)))=0,Values!D90=0),1,COUNTIF(INDIRECT("Merits!A"&amp;MATCH(AH30,Merits!A:A,0)&amp;":F"&amp;MATCH(AH30,Merits!A:A,0)),Values!S90)),1)</f>
        <v>1</v>
      </c>
      <c r="AW30" s="291" t="str">
        <f>VLOOKUP(Values!$S90,Points!$A$1:$B$11,2,0)</f>
        <v>○○○○○</v>
      </c>
      <c r="AX30" s="291"/>
      <c r="AY30" s="332"/>
      <c r="BA30" s="296" t="e">
        <f>HLOOKUP(VLOOKUP(S4,Exalt_Type_Table,2,FALSE),Exalt_Base_Values,11,0)-Values!D95</f>
        <v>#N/A</v>
      </c>
      <c r="BB30" s="296"/>
      <c r="BC30" s="296" t="e">
        <f>IF(BA30=0,"ok","Dots Left")</f>
        <v>#N/A</v>
      </c>
      <c r="BD30" s="296"/>
      <c r="BE30" s="296"/>
      <c r="BF30" s="296"/>
    </row>
    <row r="31" spans="1:81" s="93" customFormat="1" ht="20.100000000000001" customHeight="1">
      <c r="D31" s="218" t="str">
        <f t="shared" si="1"/>
        <v/>
      </c>
      <c r="F31" s="327" t="str">
        <f>Values!B43</f>
        <v>Resistance</v>
      </c>
      <c r="G31" s="327"/>
      <c r="H31" s="327"/>
      <c r="I31" s="327"/>
      <c r="J31" s="327"/>
      <c r="K31" s="291" t="str">
        <f>VLOOKUP(Values!$S43,Points!$A$1:$B$11,2,0)</f>
        <v>○○○○○</v>
      </c>
      <c r="L31" s="291"/>
      <c r="M31" s="291"/>
      <c r="P31" s="287" t="s">
        <v>41</v>
      </c>
      <c r="Q31" s="287"/>
      <c r="R31" s="287"/>
      <c r="S31" s="287"/>
      <c r="T31" s="287"/>
      <c r="U31" s="287"/>
      <c r="AH31" s="350"/>
      <c r="AI31" s="350"/>
      <c r="AJ31" s="350"/>
      <c r="AK31" s="350"/>
      <c r="AL31" s="350"/>
      <c r="AM31" s="350"/>
      <c r="AN31" s="350"/>
      <c r="AO31" s="350"/>
      <c r="AP31" s="350"/>
      <c r="AQ31" s="350"/>
      <c r="AS31" s="328"/>
      <c r="AT31" s="328"/>
      <c r="AU31" s="104">
        <f ca="1">IFERROR(IF(AND(SUM(INDIRECT("Merits!A"&amp;MATCH(AH31,Merits!A:A,0)&amp;":F"&amp;MATCH(AH31,Merits!A:A,0)))=0,Values!D91=0),1,COUNTIF(INDIRECT("Merits!A"&amp;MATCH(AH31,Merits!A:A,0)&amp;":F"&amp;MATCH(AH31,Merits!A:A,0)),Values!S91)),1)</f>
        <v>1</v>
      </c>
      <c r="AW31" s="291" t="str">
        <f>VLOOKUP(Values!$S91,Points!$A$1:$B$11,2,0)</f>
        <v>○○○○○</v>
      </c>
      <c r="AX31" s="291"/>
      <c r="AY31" s="332"/>
      <c r="AZ31" s="357" t="s">
        <v>7351</v>
      </c>
      <c r="BA31" s="353"/>
      <c r="BB31" s="353"/>
      <c r="BC31" s="353"/>
      <c r="BD31" s="353"/>
      <c r="BE31" s="353"/>
      <c r="BF31" s="353"/>
      <c r="BG31" s="353"/>
      <c r="BH31" s="353"/>
      <c r="BI31" s="353"/>
      <c r="BJ31" s="353"/>
      <c r="BK31" s="353"/>
    </row>
    <row r="32" spans="1:81" s="93" customFormat="1" ht="20.100000000000001" customHeight="1">
      <c r="D32" s="218" t="str">
        <f t="shared" si="1"/>
        <v/>
      </c>
      <c r="F32" s="327" t="str">
        <f>Values!B44</f>
        <v>Ride</v>
      </c>
      <c r="G32" s="327"/>
      <c r="H32" s="327"/>
      <c r="I32" s="327"/>
      <c r="J32" s="327"/>
      <c r="K32" s="291" t="str">
        <f>VLOOKUP(Values!$S44,Points!$A$1:$B$11,2,0)</f>
        <v>○○○○○</v>
      </c>
      <c r="L32" s="291"/>
      <c r="M32" s="291"/>
      <c r="P32" s="287"/>
      <c r="Q32" s="287"/>
      <c r="R32" s="287"/>
      <c r="S32" s="287"/>
      <c r="T32" s="287"/>
      <c r="U32" s="287"/>
      <c r="X32" s="327" t="s">
        <v>1434</v>
      </c>
      <c r="Y32" s="327"/>
      <c r="Z32" s="327"/>
      <c r="AA32" s="327"/>
      <c r="AB32" s="342"/>
      <c r="AC32" s="342"/>
      <c r="AE32" s="342" t="e">
        <f>HLOOKUP(VLOOKUP(S4,Exalt_Type_Table,2,FALSE),Exalt_Base_Values,13,0)+HLOOKUP(VLOOKUP(S4,Exalt_Type_Table,2,FALSE),Exalt_Base_Values,14,0)*Values!S98</f>
        <v>#N/A</v>
      </c>
      <c r="AF32" s="342"/>
      <c r="AH32" s="350"/>
      <c r="AI32" s="350"/>
      <c r="AJ32" s="350"/>
      <c r="AK32" s="350"/>
      <c r="AL32" s="350"/>
      <c r="AM32" s="350"/>
      <c r="AN32" s="350"/>
      <c r="AO32" s="350"/>
      <c r="AP32" s="350"/>
      <c r="AQ32" s="350"/>
      <c r="AS32" s="328"/>
      <c r="AT32" s="328"/>
      <c r="AU32" s="104">
        <f ca="1">IFERROR(IF(AND(SUM(INDIRECT("Merits!A"&amp;MATCH(AH32,Merits!A:A,0)&amp;":F"&amp;MATCH(AH32,Merits!A:A,0)))=0,Values!D92=0),1,COUNTIF(INDIRECT("Merits!A"&amp;MATCH(AH32,Merits!A:A,0)&amp;":F"&amp;MATCH(AH32,Merits!A:A,0)),Values!S92)),1)</f>
        <v>1</v>
      </c>
      <c r="AW32" s="291" t="str">
        <f>VLOOKUP(Values!$S92,Points!$A$1:$B$11,2,0)</f>
        <v>○○○○○</v>
      </c>
      <c r="AX32" s="291"/>
      <c r="AY32" s="332"/>
      <c r="BA32" s="107" t="e">
        <f>HLOOKUP(VLOOKUP(S4,Exalt_Type_Table,2,FALSE),Exalt_Base_Values,9,0)+COUNTIF(V13:V22,"")-10</f>
        <v>#N/A</v>
      </c>
      <c r="BB32" s="296" t="e">
        <f>IF(BA32=0,"ok","Specialities Left")</f>
        <v>#N/A</v>
      </c>
      <c r="BC32" s="296"/>
      <c r="BD32" s="296"/>
      <c r="BE32" s="296"/>
      <c r="BF32" s="296"/>
    </row>
    <row r="33" spans="1:72" s="93" customFormat="1" ht="20.100000000000001" customHeight="1">
      <c r="D33" s="218" t="str">
        <f t="shared" si="1"/>
        <v/>
      </c>
      <c r="F33" s="327" t="str">
        <f>Values!B45</f>
        <v>Sail</v>
      </c>
      <c r="G33" s="327"/>
      <c r="H33" s="327"/>
      <c r="I33" s="327"/>
      <c r="J33" s="327"/>
      <c r="K33" s="291" t="str">
        <f>VLOOKUP(Values!$S45,Points!$A$1:$B$11,2,0)</f>
        <v>○○○○○</v>
      </c>
      <c r="L33" s="291"/>
      <c r="M33" s="291"/>
      <c r="O33" s="319"/>
      <c r="P33" s="319"/>
      <c r="Q33" s="319"/>
      <c r="R33" s="319"/>
      <c r="S33" s="319"/>
      <c r="T33" s="319"/>
      <c r="U33" s="319"/>
      <c r="V33" s="319"/>
      <c r="X33" s="327" t="s">
        <v>1435</v>
      </c>
      <c r="Y33" s="327"/>
      <c r="Z33" s="327"/>
      <c r="AA33" s="327"/>
      <c r="AB33" s="342"/>
      <c r="AC33" s="342"/>
      <c r="AE33" s="342" t="e">
        <f>HLOOKUP(VLOOKUP(S4,Exalt_Type_Table,2,FALSE),Exalt_Base_Values,15,0)+HLOOKUP(VLOOKUP(S4,Exalt_Type_Table,2,FALSE),Exalt_Base_Values,16,0)*Values!S98</f>
        <v>#N/A</v>
      </c>
      <c r="AF33" s="342"/>
      <c r="AH33" s="350"/>
      <c r="AI33" s="350"/>
      <c r="AJ33" s="350"/>
      <c r="AK33" s="350"/>
      <c r="AL33" s="350"/>
      <c r="AM33" s="350"/>
      <c r="AN33" s="350"/>
      <c r="AO33" s="350"/>
      <c r="AP33" s="350"/>
      <c r="AQ33" s="350"/>
      <c r="AS33" s="328"/>
      <c r="AT33" s="328"/>
      <c r="AU33" s="104">
        <f ca="1">IFERROR(IF(AND(SUM(INDIRECT("Merits!A"&amp;MATCH(AH33,Merits!A:A,0)&amp;":F"&amp;MATCH(AH33,Merits!A:A,0)))=0,Values!D93=0),1,COUNTIF(INDIRECT("Merits!A"&amp;MATCH(AH33,Merits!A:A,0)&amp;":F"&amp;MATCH(AH33,Merits!A:A,0)),Values!S93)),1)</f>
        <v>1</v>
      </c>
      <c r="AW33" s="291" t="str">
        <f>VLOOKUP(Values!$S93,Points!$A$1:$B$11,2,0)</f>
        <v>○○○○○</v>
      </c>
      <c r="AX33" s="291"/>
      <c r="AY33" s="332"/>
    </row>
    <row r="34" spans="1:72" s="93" customFormat="1" ht="20.100000000000001" customHeight="1">
      <c r="D34" s="218" t="str">
        <f t="shared" si="1"/>
        <v/>
      </c>
      <c r="F34" s="327" t="str">
        <f>Values!B46</f>
        <v>Socialize</v>
      </c>
      <c r="G34" s="327"/>
      <c r="H34" s="327"/>
      <c r="I34" s="327"/>
      <c r="J34" s="327"/>
      <c r="K34" s="291" t="str">
        <f>VLOOKUP(Values!$S46,Points!$A$1:$B$11,2,0)</f>
        <v>○○○○○</v>
      </c>
      <c r="L34" s="291"/>
      <c r="M34" s="291"/>
      <c r="P34" s="94"/>
      <c r="Q34" s="108"/>
      <c r="R34" s="108"/>
      <c r="S34" s="108"/>
      <c r="T34" s="108"/>
      <c r="U34" s="108"/>
      <c r="X34" s="353" t="s">
        <v>3582</v>
      </c>
      <c r="Y34" s="327"/>
      <c r="Z34" s="327"/>
      <c r="AA34" s="327"/>
      <c r="AB34" s="342">
        <f>SUM(AY42:AY49,AB54:AB56)</f>
        <v>0</v>
      </c>
      <c r="AC34" s="342"/>
      <c r="AD34" s="342"/>
      <c r="AE34" s="342"/>
      <c r="AF34" s="342"/>
      <c r="AH34" s="350"/>
      <c r="AI34" s="350"/>
      <c r="AJ34" s="350"/>
      <c r="AK34" s="350"/>
      <c r="AL34" s="350"/>
      <c r="AM34" s="350"/>
      <c r="AN34" s="350"/>
      <c r="AO34" s="350"/>
      <c r="AP34" s="350"/>
      <c r="AQ34" s="350"/>
      <c r="AS34" s="328"/>
      <c r="AT34" s="328"/>
      <c r="AU34" s="104">
        <f ca="1">IFERROR(IF(AND(SUM(INDIRECT("Merits!A"&amp;MATCH(AH34,Merits!A:A,0)&amp;":F"&amp;MATCH(AH34,Merits!A:A,0)))=0,Values!D94=0),1,COUNTIF(INDIRECT("Merits!A"&amp;MATCH(AH34,Merits!A:A,0)&amp;":F"&amp;MATCH(AH34,Merits!A:A,0)),Values!S94)),1)</f>
        <v>1</v>
      </c>
      <c r="AW34" s="291" t="str">
        <f>VLOOKUP(Values!$S94,Points!$A$1:$B$11,2,0)</f>
        <v>○○○○○</v>
      </c>
      <c r="AX34" s="291"/>
      <c r="AY34" s="332"/>
      <c r="AZ34" s="109"/>
    </row>
    <row r="35" spans="1:72" s="93" customFormat="1" ht="20.100000000000001" customHeight="1">
      <c r="D35" s="218" t="str">
        <f t="shared" si="1"/>
        <v/>
      </c>
      <c r="F35" s="327" t="str">
        <f>Values!B47</f>
        <v>Stealth</v>
      </c>
      <c r="G35" s="327"/>
      <c r="H35" s="327"/>
      <c r="I35" s="327"/>
      <c r="J35" s="327"/>
      <c r="K35" s="291" t="str">
        <f>VLOOKUP(Values!$S47,Points!$A$1:$B$11,2,0)</f>
        <v>○○○○○</v>
      </c>
      <c r="L35" s="291"/>
      <c r="M35" s="291"/>
      <c r="P35" s="287" t="s">
        <v>3094</v>
      </c>
      <c r="Q35" s="287"/>
      <c r="R35" s="287"/>
      <c r="S35" s="287"/>
      <c r="T35" s="287"/>
      <c r="U35" s="287"/>
      <c r="AA35" s="287" t="s">
        <v>48</v>
      </c>
      <c r="AB35" s="287"/>
      <c r="AC35" s="287"/>
      <c r="AD35" s="287"/>
      <c r="AE35" s="287"/>
      <c r="AP35" s="287" t="s">
        <v>49</v>
      </c>
      <c r="AQ35" s="287"/>
      <c r="AR35" s="287"/>
      <c r="AS35" s="287"/>
      <c r="AT35" s="287"/>
      <c r="AU35" s="287"/>
      <c r="AV35" s="287"/>
      <c r="AW35" s="287"/>
      <c r="AY35" s="96"/>
    </row>
    <row r="36" spans="1:72" s="93" customFormat="1" ht="20.100000000000001" customHeight="1">
      <c r="D36" s="218" t="str">
        <f t="shared" si="1"/>
        <v/>
      </c>
      <c r="F36" s="327" t="str">
        <f>Values!B48</f>
        <v>Survival</v>
      </c>
      <c r="G36" s="327"/>
      <c r="H36" s="327"/>
      <c r="I36" s="327"/>
      <c r="J36" s="327"/>
      <c r="K36" s="291" t="str">
        <f>VLOOKUP(Values!$S48,Points!$A$1:$B$11,2,0)</f>
        <v>○○○○○</v>
      </c>
      <c r="L36" s="291"/>
      <c r="M36" s="291"/>
      <c r="P36" s="287"/>
      <c r="Q36" s="287"/>
      <c r="R36" s="287"/>
      <c r="S36" s="287"/>
      <c r="T36" s="287"/>
      <c r="U36" s="287"/>
      <c r="V36" s="94"/>
      <c r="AA36" s="287"/>
      <c r="AB36" s="287"/>
      <c r="AC36" s="287"/>
      <c r="AD36" s="287"/>
      <c r="AE36" s="287"/>
      <c r="AP36" s="287"/>
      <c r="AQ36" s="287"/>
      <c r="AR36" s="287"/>
      <c r="AS36" s="287"/>
      <c r="AT36" s="287"/>
      <c r="AU36" s="287"/>
      <c r="AV36" s="287"/>
      <c r="AW36" s="287"/>
      <c r="AY36" s="96"/>
    </row>
    <row r="37" spans="1:72" ht="20.100000000000001" customHeight="1">
      <c r="A37" s="93"/>
      <c r="B37" s="93"/>
      <c r="C37" s="93"/>
      <c r="D37" s="218" t="str">
        <f t="shared" si="1"/>
        <v/>
      </c>
      <c r="E37" s="93"/>
      <c r="F37" s="327" t="str">
        <f>Values!B49</f>
        <v>Thrown</v>
      </c>
      <c r="G37" s="327"/>
      <c r="H37" s="327"/>
      <c r="I37" s="327"/>
      <c r="J37" s="327"/>
      <c r="K37" s="291" t="str">
        <f>VLOOKUP(Values!$S49,Points!$A$1:$B$11,2,0)</f>
        <v>○○○○○</v>
      </c>
      <c r="L37" s="291"/>
      <c r="M37" s="291"/>
      <c r="N37" s="93"/>
      <c r="O37" s="319"/>
      <c r="P37" s="319"/>
      <c r="Q37" s="319"/>
      <c r="R37" s="319"/>
      <c r="S37" s="319"/>
      <c r="T37" s="319"/>
      <c r="U37" s="319"/>
      <c r="V37" s="319"/>
      <c r="W37" s="93"/>
      <c r="X37" s="93"/>
      <c r="Z37" s="93" t="s">
        <v>52</v>
      </c>
      <c r="AA37" s="93"/>
      <c r="AB37" s="93"/>
      <c r="AC37" s="93"/>
      <c r="AD37" s="93"/>
      <c r="AE37" s="93" t="s">
        <v>53</v>
      </c>
      <c r="AF37" s="93"/>
      <c r="AG37" s="93"/>
      <c r="AH37" s="93"/>
      <c r="AI37" s="93"/>
      <c r="AJ37" s="93"/>
      <c r="AK37" s="93"/>
      <c r="AL37" s="93"/>
      <c r="AM37" s="93"/>
      <c r="AN37" s="93" t="s">
        <v>54</v>
      </c>
      <c r="AO37" s="93"/>
      <c r="AP37" s="93"/>
      <c r="AQ37" s="93"/>
      <c r="AR37" s="93"/>
      <c r="AS37" s="93"/>
      <c r="AT37" s="93" t="s">
        <v>55</v>
      </c>
      <c r="AU37" s="93"/>
      <c r="AV37" s="93"/>
      <c r="AW37" s="93"/>
      <c r="AX37" s="93"/>
      <c r="AY37" s="96"/>
    </row>
    <row r="38" spans="1:72" ht="20.100000000000001" customHeight="1">
      <c r="A38" s="93"/>
      <c r="B38" s="93"/>
      <c r="C38" s="93"/>
      <c r="D38" s="218" t="str">
        <f t="shared" si="1"/>
        <v/>
      </c>
      <c r="E38" s="93"/>
      <c r="F38" s="327" t="str">
        <f>Values!B50</f>
        <v>War</v>
      </c>
      <c r="G38" s="327"/>
      <c r="H38" s="327"/>
      <c r="I38" s="327"/>
      <c r="J38" s="327"/>
      <c r="K38" s="291" t="str">
        <f>VLOOKUP(Values!$S50,Points!$A$1:$B$11,2,0)</f>
        <v>○○○○○</v>
      </c>
      <c r="L38" s="291"/>
      <c r="M38" s="291"/>
      <c r="N38" s="93"/>
      <c r="O38" s="93"/>
      <c r="P38" s="93"/>
      <c r="Q38" s="93"/>
      <c r="R38" s="93"/>
      <c r="S38" s="93"/>
      <c r="T38" s="93"/>
      <c r="U38" s="93"/>
      <c r="W38" s="93"/>
      <c r="X38" s="93"/>
      <c r="Y38" s="93"/>
      <c r="Z38" s="93"/>
      <c r="AA38" s="93"/>
      <c r="AB38" s="93"/>
      <c r="AC38" s="93"/>
      <c r="AD38" s="93"/>
      <c r="AE38" s="93"/>
      <c r="AF38" s="93"/>
      <c r="AG38" s="93"/>
      <c r="AH38" s="93"/>
      <c r="AI38" s="93"/>
      <c r="AJ38" s="93"/>
      <c r="AK38" s="93"/>
      <c r="AL38" s="93"/>
      <c r="AM38" s="93"/>
      <c r="AN38" s="93"/>
      <c r="AO38" s="93"/>
      <c r="AP38" s="93"/>
      <c r="AQ38" s="93"/>
      <c r="AR38" s="93"/>
      <c r="AS38" s="93"/>
      <c r="AT38" s="93"/>
      <c r="AU38" s="93"/>
      <c r="AV38" s="93"/>
      <c r="AW38" s="93"/>
      <c r="AX38" s="93"/>
      <c r="AY38" s="96"/>
    </row>
    <row r="39" spans="1:72" ht="20.100000000000001" customHeight="1">
      <c r="A39" s="93"/>
      <c r="B39" s="93"/>
      <c r="C39" s="93"/>
      <c r="D39" s="287" t="s">
        <v>1430</v>
      </c>
      <c r="E39" s="287"/>
      <c r="F39" s="287"/>
      <c r="G39" s="287"/>
      <c r="H39" s="287"/>
      <c r="I39" s="287"/>
      <c r="J39" s="287"/>
      <c r="K39" s="287"/>
      <c r="L39" s="93"/>
      <c r="M39" s="93"/>
      <c r="N39" s="93"/>
      <c r="O39" s="93"/>
      <c r="P39" s="93"/>
      <c r="Q39" s="93"/>
      <c r="R39" s="93"/>
      <c r="S39" s="93"/>
      <c r="T39" s="93"/>
      <c r="U39" s="93"/>
      <c r="V39" s="93"/>
      <c r="W39" s="93"/>
      <c r="X39" s="93"/>
      <c r="Y39" s="93"/>
      <c r="Z39" s="93"/>
      <c r="AA39" s="93"/>
      <c r="AB39" s="93"/>
      <c r="AC39" s="93"/>
      <c r="AD39" s="287" t="s">
        <v>58</v>
      </c>
      <c r="AE39" s="287"/>
      <c r="AF39" s="287"/>
      <c r="AG39" s="287"/>
      <c r="AH39" s="287"/>
      <c r="AI39" s="93"/>
      <c r="AJ39" s="93"/>
      <c r="AK39" s="93"/>
      <c r="AL39" s="93"/>
      <c r="AM39" s="93"/>
      <c r="AN39" s="93"/>
      <c r="AO39" s="93"/>
      <c r="AP39" s="93"/>
      <c r="AQ39" s="93"/>
      <c r="AR39" s="93"/>
      <c r="AS39" s="93"/>
      <c r="AT39" s="93"/>
      <c r="AU39" s="93"/>
      <c r="AV39" s="93"/>
      <c r="AW39" s="93"/>
      <c r="AX39" s="93"/>
      <c r="AY39" s="96"/>
    </row>
    <row r="40" spans="1:72" ht="20.100000000000001" customHeight="1">
      <c r="A40" s="93"/>
      <c r="B40" s="93"/>
      <c r="C40" s="93"/>
      <c r="D40" s="287"/>
      <c r="E40" s="287"/>
      <c r="F40" s="287"/>
      <c r="G40" s="287"/>
      <c r="H40" s="287"/>
      <c r="I40" s="287"/>
      <c r="J40" s="287"/>
      <c r="K40" s="287"/>
      <c r="L40" s="93"/>
      <c r="M40" s="93"/>
      <c r="N40" s="93"/>
      <c r="O40" s="93"/>
      <c r="P40" s="93"/>
      <c r="Q40" s="93"/>
      <c r="R40" s="93"/>
      <c r="S40" s="93"/>
      <c r="T40" s="93"/>
      <c r="U40" s="93"/>
      <c r="V40" s="93"/>
      <c r="W40" s="93"/>
      <c r="X40" s="93"/>
      <c r="Y40" s="93"/>
      <c r="Z40" s="93"/>
      <c r="AA40" s="93"/>
      <c r="AB40" s="93"/>
      <c r="AC40" s="93"/>
      <c r="AD40" s="287"/>
      <c r="AE40" s="287"/>
      <c r="AF40" s="287"/>
      <c r="AG40" s="287"/>
      <c r="AH40" s="287"/>
      <c r="AI40" s="93"/>
      <c r="AJ40" s="93"/>
      <c r="AK40" s="93"/>
      <c r="AL40" s="93"/>
      <c r="AM40" s="93"/>
      <c r="AN40" s="93"/>
      <c r="AO40" s="93"/>
      <c r="AP40" s="93"/>
      <c r="AQ40" s="93"/>
      <c r="AR40" s="93"/>
      <c r="AS40" s="93"/>
      <c r="AT40" s="93"/>
      <c r="AU40" s="93"/>
      <c r="AV40" s="93"/>
      <c r="AW40" s="93"/>
      <c r="AX40" s="93"/>
      <c r="AY40" s="96"/>
      <c r="AZ40" s="299" t="s">
        <v>7361</v>
      </c>
      <c r="BA40" s="300"/>
      <c r="BB40" s="300"/>
      <c r="BC40" s="300"/>
      <c r="BD40" s="300"/>
      <c r="BE40" s="300"/>
      <c r="BF40" s="300"/>
      <c r="BG40" s="300"/>
      <c r="BH40" s="300"/>
      <c r="BI40" s="300"/>
      <c r="BJ40" s="300"/>
      <c r="BK40" s="300"/>
      <c r="BL40" s="300"/>
      <c r="BM40" s="300"/>
      <c r="BN40" s="300"/>
      <c r="BO40" s="300"/>
      <c r="BP40" s="300"/>
      <c r="BQ40" s="300"/>
      <c r="BR40" s="300"/>
      <c r="BS40" s="300"/>
      <c r="BT40" s="300"/>
    </row>
    <row r="41" spans="1:72" ht="20.100000000000001" customHeight="1">
      <c r="A41" s="93"/>
      <c r="B41" s="93"/>
      <c r="C41" s="93"/>
      <c r="D41" s="93"/>
      <c r="E41" s="93"/>
      <c r="F41" s="93"/>
      <c r="G41" s="93"/>
      <c r="H41" s="93"/>
      <c r="I41" s="93"/>
      <c r="J41" s="93"/>
      <c r="K41" s="93"/>
      <c r="L41" s="93"/>
      <c r="M41" s="110" t="s">
        <v>16</v>
      </c>
      <c r="N41" s="93"/>
      <c r="O41" s="329" t="s">
        <v>81</v>
      </c>
      <c r="P41" s="329"/>
      <c r="Q41" s="93"/>
      <c r="R41" s="329" t="s">
        <v>80</v>
      </c>
      <c r="S41" s="329"/>
      <c r="T41" s="329"/>
      <c r="U41" s="329"/>
      <c r="V41" s="329"/>
      <c r="W41" s="329"/>
      <c r="X41" s="329" t="s">
        <v>252</v>
      </c>
      <c r="Y41" s="329"/>
      <c r="Z41" s="329"/>
      <c r="AA41" s="329"/>
      <c r="AB41" s="290" t="s">
        <v>3462</v>
      </c>
      <c r="AC41" s="290"/>
      <c r="AD41" s="111"/>
      <c r="AE41" s="110" t="s">
        <v>3157</v>
      </c>
      <c r="AF41" s="110" t="s">
        <v>3158</v>
      </c>
      <c r="AG41" s="110" t="s">
        <v>3159</v>
      </c>
      <c r="AH41" s="110" t="s">
        <v>3160</v>
      </c>
      <c r="AI41" s="110" t="s">
        <v>3161</v>
      </c>
      <c r="AJ41" s="112" t="s">
        <v>3162</v>
      </c>
      <c r="AK41" s="93"/>
      <c r="AL41" s="329" t="s">
        <v>3163</v>
      </c>
      <c r="AM41" s="329"/>
      <c r="AN41" s="329"/>
      <c r="AO41" s="110"/>
      <c r="AP41" s="110" t="s">
        <v>3153</v>
      </c>
      <c r="AQ41" s="110"/>
      <c r="AR41" s="329" t="s">
        <v>60</v>
      </c>
      <c r="AS41" s="329"/>
      <c r="AT41" s="329"/>
      <c r="AU41" s="329"/>
      <c r="AV41" s="329"/>
      <c r="AW41" s="329"/>
      <c r="AX41" s="329"/>
      <c r="AY41" s="113" t="s">
        <v>3154</v>
      </c>
      <c r="AZ41" s="301"/>
      <c r="BA41" s="300"/>
      <c r="BB41" s="300"/>
      <c r="BC41" s="300"/>
      <c r="BD41" s="300"/>
      <c r="BE41" s="300"/>
      <c r="BF41" s="300"/>
      <c r="BG41" s="300"/>
      <c r="BH41" s="300"/>
      <c r="BI41" s="300"/>
      <c r="BJ41" s="300"/>
      <c r="BK41" s="300"/>
      <c r="BL41" s="300"/>
      <c r="BM41" s="300"/>
      <c r="BN41" s="300"/>
      <c r="BO41" s="300"/>
      <c r="BP41" s="300"/>
      <c r="BQ41" s="300"/>
      <c r="BR41" s="300"/>
      <c r="BS41" s="300"/>
      <c r="BT41" s="300"/>
    </row>
    <row r="42" spans="1:72" ht="20.100000000000001" customHeight="1">
      <c r="A42" s="102" t="s">
        <v>3077</v>
      </c>
      <c r="B42" s="100"/>
      <c r="C42" s="102" t="s">
        <v>16</v>
      </c>
      <c r="D42" s="93"/>
      <c r="E42" s="100"/>
      <c r="F42" s="100"/>
      <c r="G42" s="100"/>
      <c r="H42" s="100"/>
      <c r="I42" s="100"/>
      <c r="J42" s="100"/>
      <c r="K42" s="93"/>
      <c r="L42" s="93"/>
      <c r="M42" s="93"/>
      <c r="N42" s="288" t="s">
        <v>3217</v>
      </c>
      <c r="O42" s="288"/>
      <c r="P42" s="288"/>
      <c r="Q42" s="288"/>
      <c r="R42" s="319" t="s">
        <v>3217</v>
      </c>
      <c r="S42" s="319"/>
      <c r="T42" s="319"/>
      <c r="U42" s="319"/>
      <c r="V42" s="319"/>
      <c r="W42" s="319"/>
      <c r="X42" s="288" t="s">
        <v>24</v>
      </c>
      <c r="Y42" s="288"/>
      <c r="Z42" s="288"/>
      <c r="AA42" s="288"/>
      <c r="AB42" s="322"/>
      <c r="AC42" s="322"/>
      <c r="AD42" s="93"/>
      <c r="AE42" s="114">
        <f ca="1">IFERROR((VLOOKUP($N42,Weapons!$B$2:$L$98,COLUMN(G$1),0)+$AJ42),"")</f>
        <v>5</v>
      </c>
      <c r="AF42" s="114" t="str">
        <f ca="1">IFERROR((VLOOKUP($N42,Weapons!$B$2:$L$98,COLUMN(H$1),0)+$AJ42),"")</f>
        <v/>
      </c>
      <c r="AG42" s="114" t="str">
        <f ca="1">IFERROR((VLOOKUP($N42,Weapons!$B$2:$L$98,COLUMN(I$1),0)+$AJ42),"")</f>
        <v/>
      </c>
      <c r="AH42" s="114" t="str">
        <f ca="1">IFERROR((VLOOKUP($N42,Weapons!$B$2:$L$98,COLUMN(J$1),0)+$AJ42),"")</f>
        <v/>
      </c>
      <c r="AI42" s="114" t="str">
        <f ca="1">IFERROR((VLOOKUP($N42,Weapons!$B$2:$L$98,COLUMN(K$1),0)+$AJ42),"")</f>
        <v/>
      </c>
      <c r="AJ42" s="115">
        <f ca="1">IFERROR(VLOOKUP($X42,Values!$A$24:$V$58,19,0)+IF($AB42="",Values!$S$12,VLOOKUP($AB42,Values!$B$11:$V$21,18,0))+INDIRECT("Values!$F"&amp;120+ROWS($AK$42:AK42)*2),"")</f>
        <v>1</v>
      </c>
      <c r="AK42" s="116"/>
      <c r="AL42" s="114">
        <f>IFERROR(Values!$S$11*(IF(OR($N42=Weapons!$B$11,$N42=Weapons!$B$20),0,1))+VLOOKUP($N42,Weapons!$B$2:$L$98,COLUMN(B$1),0),"")</f>
        <v>8</v>
      </c>
      <c r="AM42" s="114" t="s">
        <v>3076</v>
      </c>
      <c r="AN42" s="114">
        <f>IFERROR(VLOOKUP($N42,Weapons!$B$2:$L$98,COLUMN(D$1),0),"")</f>
        <v>1</v>
      </c>
      <c r="AO42" s="93"/>
      <c r="AP42" s="114">
        <f ca="1">IFERROR(ROUNDUP(AJ42/2,0)+VLOOKUP(N42,Weapons!$B$2:$L$98,3,0),"")</f>
        <v>1</v>
      </c>
      <c r="AQ42" s="102"/>
      <c r="AR42" s="319" t="s">
        <v>3258</v>
      </c>
      <c r="AS42" s="319"/>
      <c r="AT42" s="319"/>
      <c r="AU42" s="319"/>
      <c r="AV42" s="319"/>
      <c r="AW42" s="319"/>
      <c r="AX42" s="319"/>
      <c r="AY42" s="96" t="str">
        <f>IFERROR(VLOOKUP($N42,Weapons!$B$2:$L$98,5,0),"")</f>
        <v/>
      </c>
      <c r="AZ42" s="301"/>
      <c r="BA42" s="300"/>
      <c r="BB42" s="300"/>
      <c r="BC42" s="300"/>
      <c r="BD42" s="300"/>
      <c r="BE42" s="300"/>
      <c r="BF42" s="300"/>
      <c r="BG42" s="300"/>
      <c r="BH42" s="300"/>
      <c r="BI42" s="300"/>
      <c r="BJ42" s="300"/>
      <c r="BK42" s="300"/>
      <c r="BL42" s="300"/>
      <c r="BM42" s="300"/>
      <c r="BN42" s="300"/>
      <c r="BO42" s="300"/>
      <c r="BP42" s="300"/>
      <c r="BQ42" s="300"/>
      <c r="BR42" s="300"/>
      <c r="BS42" s="300"/>
      <c r="BT42" s="300"/>
    </row>
    <row r="43" spans="1:72" ht="20.100000000000001" customHeight="1">
      <c r="A43" s="93"/>
      <c r="B43" s="93"/>
      <c r="C43" s="218" t="str">
        <f t="shared" ref="C43:C48" si="2">IF(AND(COUNTIF(Exalt_DB,$S$4)=1,COUNTIF($BG$18:$BK$26,E43)=1),"C","")</f>
        <v/>
      </c>
      <c r="D43" s="93"/>
      <c r="E43" s="318"/>
      <c r="F43" s="318"/>
      <c r="G43" s="318"/>
      <c r="H43" s="318"/>
      <c r="I43" s="318"/>
      <c r="J43" s="291" t="str">
        <f>VLOOKUP(Values!$S53,Points!$A$1:$B$11,2,0)</f>
        <v>○○○○○</v>
      </c>
      <c r="K43" s="291"/>
      <c r="L43" s="291"/>
      <c r="M43" s="93"/>
      <c r="N43" s="289"/>
      <c r="O43" s="289"/>
      <c r="P43" s="289"/>
      <c r="Q43" s="289"/>
      <c r="R43" s="293"/>
      <c r="S43" s="293"/>
      <c r="T43" s="293"/>
      <c r="U43" s="293"/>
      <c r="V43" s="293"/>
      <c r="W43" s="293"/>
      <c r="X43" s="288"/>
      <c r="Y43" s="288"/>
      <c r="Z43" s="288"/>
      <c r="AA43" s="288"/>
      <c r="AB43" s="322"/>
      <c r="AC43" s="322"/>
      <c r="AD43" s="93"/>
      <c r="AE43" s="114" t="str">
        <f ca="1">IFERROR((VLOOKUP($N43,Weapons!$B$2:$L$98,COLUMN(G$1),0)+$AJ43),"")</f>
        <v/>
      </c>
      <c r="AF43" s="114" t="str">
        <f ca="1">IFERROR((VLOOKUP($N43,Weapons!$B$2:$L$98,COLUMN(H$1),0)+$AJ43),"")</f>
        <v/>
      </c>
      <c r="AG43" s="114" t="str">
        <f ca="1">IFERROR((VLOOKUP($N43,Weapons!$B$2:$L$98,COLUMN(I$1),0)+$AJ43),"")</f>
        <v/>
      </c>
      <c r="AH43" s="114" t="str">
        <f ca="1">IFERROR((VLOOKUP($N43,Weapons!$B$2:$L$98,COLUMN(J$1),0)+$AJ43),"")</f>
        <v/>
      </c>
      <c r="AI43" s="114" t="str">
        <f ca="1">IFERROR((VLOOKUP($N43,Weapons!$B$2:$L$98,COLUMN(K$1),0)+$AJ43),"")</f>
        <v/>
      </c>
      <c r="AJ43" s="115" t="str">
        <f ca="1">IFERROR(VLOOKUP($X43,Values!$A$24:$V$58,19,0)+IF($AB43="",Values!$S$12,VLOOKUP($AB43,Values!$B$11:$V$21,18,0))+INDIRECT("Values!$F"&amp;120+ROWS($AK$42:AK43)*2),"")</f>
        <v/>
      </c>
      <c r="AK43" s="93"/>
      <c r="AL43" s="114" t="str">
        <f>IFERROR(Values!$S$11*(IF(OR($N43=Weapons!$B$11,$N43=Weapons!$B$20),0,1))+VLOOKUP($N43,Weapons!$B$2:$L$98,COLUMN(B$1),0),"")</f>
        <v/>
      </c>
      <c r="AM43" s="114" t="s">
        <v>3076</v>
      </c>
      <c r="AN43" s="114" t="str">
        <f>IFERROR(VLOOKUP($N43,Weapons!$B$2:$L$98,COLUMN(D$1),0),"")</f>
        <v/>
      </c>
      <c r="AO43" s="93"/>
      <c r="AP43" s="114" t="str">
        <f ca="1">IFERROR(ROUNDUP(AJ43/2,0)+VLOOKUP(N43,Weapons!$B$2:$L$98,3,0),"")</f>
        <v/>
      </c>
      <c r="AQ43" s="102"/>
      <c r="AR43" s="293"/>
      <c r="AS43" s="293"/>
      <c r="AT43" s="293"/>
      <c r="AU43" s="293"/>
      <c r="AV43" s="293"/>
      <c r="AW43" s="293"/>
      <c r="AX43" s="293"/>
      <c r="AY43" s="96" t="str">
        <f>IF(COUNTIF($R$42:R42,R43)&gt;0,"",IFERROR(VLOOKUP($N43,Weapons!$B$2:$L$98,5,0),""))</f>
        <v/>
      </c>
      <c r="AZ43" s="301"/>
      <c r="BA43" s="300"/>
      <c r="BB43" s="300"/>
      <c r="BC43" s="300"/>
      <c r="BD43" s="300"/>
      <c r="BE43" s="300"/>
      <c r="BF43" s="300"/>
      <c r="BG43" s="300"/>
      <c r="BH43" s="300"/>
      <c r="BI43" s="300"/>
      <c r="BJ43" s="300"/>
      <c r="BK43" s="300"/>
      <c r="BL43" s="300"/>
      <c r="BM43" s="300"/>
      <c r="BN43" s="300"/>
      <c r="BO43" s="300"/>
      <c r="BP43" s="300"/>
      <c r="BQ43" s="300"/>
      <c r="BR43" s="300"/>
      <c r="BS43" s="300"/>
      <c r="BT43" s="300"/>
    </row>
    <row r="44" spans="1:72" ht="20.100000000000001" customHeight="1">
      <c r="A44" s="93"/>
      <c r="B44" s="93"/>
      <c r="C44" s="218" t="str">
        <f t="shared" si="2"/>
        <v/>
      </c>
      <c r="D44" s="93"/>
      <c r="E44" s="318"/>
      <c r="F44" s="318"/>
      <c r="G44" s="318"/>
      <c r="H44" s="318"/>
      <c r="I44" s="318"/>
      <c r="J44" s="291" t="str">
        <f>VLOOKUP(Values!$S54,Points!$A$1:$B$11,2,0)</f>
        <v>○○○○○</v>
      </c>
      <c r="K44" s="291"/>
      <c r="L44" s="291"/>
      <c r="M44" s="93"/>
      <c r="N44" s="289"/>
      <c r="O44" s="289"/>
      <c r="P44" s="289"/>
      <c r="Q44" s="289"/>
      <c r="R44" s="293"/>
      <c r="S44" s="293"/>
      <c r="T44" s="293"/>
      <c r="U44" s="293"/>
      <c r="V44" s="293"/>
      <c r="W44" s="293"/>
      <c r="X44" s="288"/>
      <c r="Y44" s="288"/>
      <c r="Z44" s="288"/>
      <c r="AA44" s="288"/>
      <c r="AB44" s="322"/>
      <c r="AC44" s="322"/>
      <c r="AD44" s="93"/>
      <c r="AE44" s="114" t="str">
        <f ca="1">IFERROR((VLOOKUP($N44,Weapons!$B$2:$L$98,COLUMN(G$1),0)+$AJ44),"")</f>
        <v/>
      </c>
      <c r="AF44" s="114" t="str">
        <f ca="1">IFERROR((VLOOKUP($N44,Weapons!$B$2:$L$98,COLUMN(H$1),0)+$AJ44),"")</f>
        <v/>
      </c>
      <c r="AG44" s="114" t="str">
        <f ca="1">IFERROR((VLOOKUP($N44,Weapons!$B$2:$L$98,COLUMN(I$1),0)+$AJ44),"")</f>
        <v/>
      </c>
      <c r="AH44" s="114" t="str">
        <f ca="1">IFERROR((VLOOKUP($N44,Weapons!$B$2:$L$98,COLUMN(J$1),0)+$AJ44),"")</f>
        <v/>
      </c>
      <c r="AI44" s="114" t="str">
        <f ca="1">IFERROR((VLOOKUP($N44,Weapons!$B$2:$L$98,COLUMN(K$1),0)+$AJ44),"")</f>
        <v/>
      </c>
      <c r="AJ44" s="115" t="str">
        <f ca="1">IFERROR(VLOOKUP($X44,Values!$A$24:$V$58,19,0)+IF($AB44="",Values!$S$12,VLOOKUP($AB44,Values!$B$11:$V$21,18,0))+INDIRECT("Values!$F"&amp;120+ROWS($AK$42:AK44)*2),"")</f>
        <v/>
      </c>
      <c r="AK44" s="93"/>
      <c r="AL44" s="114" t="str">
        <f>IFERROR(Values!$S$11*(IF(OR($N44=Weapons!$B$11,$N44=Weapons!$B$20),0,1))+VLOOKUP($N44,Weapons!$B$2:$L$98,COLUMN(B$1),0),"")</f>
        <v/>
      </c>
      <c r="AM44" s="114" t="s">
        <v>3076</v>
      </c>
      <c r="AN44" s="114" t="str">
        <f>IFERROR(VLOOKUP($N44,Weapons!$B$2:$L$98,COLUMN(D$1),0),"")</f>
        <v/>
      </c>
      <c r="AO44" s="93"/>
      <c r="AP44" s="114" t="str">
        <f ca="1">IFERROR(ROUNDUP(AJ44/2,0)+VLOOKUP(N44,Weapons!$B$2:$L$98,3,0),"")</f>
        <v/>
      </c>
      <c r="AQ44" s="102"/>
      <c r="AR44" s="293"/>
      <c r="AS44" s="293"/>
      <c r="AT44" s="293"/>
      <c r="AU44" s="293"/>
      <c r="AV44" s="293"/>
      <c r="AW44" s="293"/>
      <c r="AX44" s="293"/>
      <c r="AY44" s="96" t="str">
        <f>IF(COUNTIF($R$42:R43,R44)&gt;0,"",IFERROR(VLOOKUP($N44,Weapons!$B$2:$L$98,5,0),""))</f>
        <v/>
      </c>
      <c r="AZ44" s="244" t="s">
        <v>7352</v>
      </c>
    </row>
    <row r="45" spans="1:72" ht="20.100000000000001" customHeight="1">
      <c r="A45" s="93"/>
      <c r="B45" s="93"/>
      <c r="C45" s="218" t="str">
        <f t="shared" si="2"/>
        <v/>
      </c>
      <c r="D45" s="93"/>
      <c r="E45" s="318"/>
      <c r="F45" s="318"/>
      <c r="G45" s="318"/>
      <c r="H45" s="318"/>
      <c r="I45" s="318"/>
      <c r="J45" s="291" t="str">
        <f>VLOOKUP(Values!$S55,Points!$A$1:$B$11,2,0)</f>
        <v>○○○○○</v>
      </c>
      <c r="K45" s="291"/>
      <c r="L45" s="291"/>
      <c r="M45" s="93"/>
      <c r="N45" s="289"/>
      <c r="O45" s="289"/>
      <c r="P45" s="289"/>
      <c r="Q45" s="289"/>
      <c r="R45" s="293"/>
      <c r="S45" s="293"/>
      <c r="T45" s="293"/>
      <c r="U45" s="293"/>
      <c r="V45" s="293"/>
      <c r="W45" s="293"/>
      <c r="X45" s="288"/>
      <c r="Y45" s="288"/>
      <c r="Z45" s="288"/>
      <c r="AA45" s="288"/>
      <c r="AB45" s="322"/>
      <c r="AC45" s="322"/>
      <c r="AD45" s="93"/>
      <c r="AE45" s="114" t="str">
        <f ca="1">IFERROR((VLOOKUP($N45,Weapons!$B$2:$L$98,COLUMN(G$1),0)+$AJ45),"")</f>
        <v/>
      </c>
      <c r="AF45" s="114" t="str">
        <f ca="1">IFERROR((VLOOKUP($N45,Weapons!$B$2:$L$98,COLUMN(H$1),0)+$AJ45),"")</f>
        <v/>
      </c>
      <c r="AG45" s="114" t="str">
        <f ca="1">IFERROR((VLOOKUP($N45,Weapons!$B$2:$L$98,COLUMN(I$1),0)+$AJ45),"")</f>
        <v/>
      </c>
      <c r="AH45" s="114" t="str">
        <f ca="1">IFERROR((VLOOKUP($N45,Weapons!$B$2:$L$98,COLUMN(J$1),0)+$AJ45),"")</f>
        <v/>
      </c>
      <c r="AI45" s="114" t="str">
        <f ca="1">IFERROR((VLOOKUP($N45,Weapons!$B$2:$L$98,COLUMN(K$1),0)+$AJ45),"")</f>
        <v/>
      </c>
      <c r="AJ45" s="115" t="str">
        <f ca="1">IFERROR(VLOOKUP($X45,Values!$A$24:$V$58,19,0)+IF($AB45="",Values!$S$12,VLOOKUP($AB45,Values!$B$11:$V$21,18,0))+INDIRECT("Values!$F"&amp;120+ROWS($AK$42:AK45)*2),"")</f>
        <v/>
      </c>
      <c r="AK45" s="93"/>
      <c r="AL45" s="114" t="str">
        <f>IFERROR(Values!$S$11*(IF(OR($N45=Weapons!$B$11,$N45=Weapons!$B$20),0,1))+VLOOKUP($N45,Weapons!$B$2:$L$98,COLUMN(B$1),0),"")</f>
        <v/>
      </c>
      <c r="AM45" s="114" t="s">
        <v>3076</v>
      </c>
      <c r="AN45" s="114" t="str">
        <f>IFERROR(VLOOKUP($N45,Weapons!$B$2:$L$98,COLUMN(D$1),0),"")</f>
        <v/>
      </c>
      <c r="AO45" s="93"/>
      <c r="AP45" s="114" t="str">
        <f ca="1">IFERROR(ROUNDUP(AJ45/2,0)+VLOOKUP(N45,Weapons!$B$2:$L$98,3,0),"")</f>
        <v/>
      </c>
      <c r="AQ45" s="102"/>
      <c r="AR45" s="293"/>
      <c r="AS45" s="293"/>
      <c r="AT45" s="293"/>
      <c r="AU45" s="293"/>
      <c r="AV45" s="293"/>
      <c r="AW45" s="293"/>
      <c r="AX45" s="293"/>
      <c r="AY45" s="96" t="str">
        <f>IF(COUNTIF($R$42:R44,R45)&gt;0,"",IFERROR(VLOOKUP($N45,Weapons!$B$2:$L$98,5,0),""))</f>
        <v/>
      </c>
      <c r="BA45" s="93" t="s">
        <v>3253</v>
      </c>
    </row>
    <row r="46" spans="1:72" ht="20.100000000000001" customHeight="1">
      <c r="A46" s="93"/>
      <c r="B46" s="93"/>
      <c r="C46" s="218" t="str">
        <f t="shared" si="2"/>
        <v/>
      </c>
      <c r="D46" s="93"/>
      <c r="E46" s="318"/>
      <c r="F46" s="318"/>
      <c r="G46" s="318"/>
      <c r="H46" s="318"/>
      <c r="I46" s="318"/>
      <c r="J46" s="291" t="str">
        <f>VLOOKUP(Values!$S56,Points!$A$1:$B$11,2,0)</f>
        <v>○○○○○</v>
      </c>
      <c r="K46" s="291"/>
      <c r="L46" s="291"/>
      <c r="M46" s="93"/>
      <c r="N46" s="289"/>
      <c r="O46" s="289"/>
      <c r="P46" s="289"/>
      <c r="Q46" s="289"/>
      <c r="R46" s="293"/>
      <c r="S46" s="293"/>
      <c r="T46" s="293"/>
      <c r="U46" s="293"/>
      <c r="V46" s="293"/>
      <c r="W46" s="293"/>
      <c r="X46" s="288"/>
      <c r="Y46" s="288"/>
      <c r="Z46" s="288"/>
      <c r="AA46" s="288"/>
      <c r="AB46" s="322"/>
      <c r="AC46" s="322"/>
      <c r="AD46" s="93"/>
      <c r="AE46" s="114" t="str">
        <f ca="1">IFERROR((VLOOKUP($N46,Weapons!$B$2:$L$98,COLUMN(G$1),0)+$AJ46),"")</f>
        <v/>
      </c>
      <c r="AF46" s="114" t="str">
        <f ca="1">IFERROR((VLOOKUP($N46,Weapons!$B$2:$L$98,COLUMN(H$1),0)+$AJ46),"")</f>
        <v/>
      </c>
      <c r="AG46" s="114" t="str">
        <f ca="1">IFERROR((VLOOKUP($N46,Weapons!$B$2:$L$98,COLUMN(I$1),0)+$AJ46),"")</f>
        <v/>
      </c>
      <c r="AH46" s="114" t="str">
        <f ca="1">IFERROR((VLOOKUP($N46,Weapons!$B$2:$L$98,COLUMN(J$1),0)+$AJ46),"")</f>
        <v/>
      </c>
      <c r="AI46" s="114" t="str">
        <f ca="1">IFERROR((VLOOKUP($N46,Weapons!$B$2:$L$98,COLUMN(K$1),0)+$AJ46),"")</f>
        <v/>
      </c>
      <c r="AJ46" s="115" t="str">
        <f ca="1">IFERROR(VLOOKUP($X46,Values!$A$24:$V$58,19,0)+IF($AB46="",Values!$S$12,VLOOKUP($AB46,Values!$B$11:$V$21,18,0))+INDIRECT("Values!$F"&amp;120+ROWS($AK$42:AK46)*2),"")</f>
        <v/>
      </c>
      <c r="AK46" s="93"/>
      <c r="AL46" s="114" t="str">
        <f>IFERROR(Values!$S$11*(IF(OR($N46=Weapons!$B$11,$N46=Weapons!$B$20),0,1))+VLOOKUP($N46,Weapons!$B$2:$L$98,COLUMN(B$1),0),"")</f>
        <v/>
      </c>
      <c r="AM46" s="114" t="s">
        <v>3076</v>
      </c>
      <c r="AN46" s="114" t="str">
        <f>IFERROR(VLOOKUP($N46,Weapons!$B$2:$L$98,COLUMN(D$1),0),"")</f>
        <v/>
      </c>
      <c r="AO46" s="93"/>
      <c r="AP46" s="114" t="str">
        <f ca="1">IFERROR(ROUNDUP(AJ46/2,0)+VLOOKUP(N46,Weapons!$B$2:$L$98,3,0),"")</f>
        <v/>
      </c>
      <c r="AQ46" s="102"/>
      <c r="AR46" s="293"/>
      <c r="AS46" s="293"/>
      <c r="AT46" s="293"/>
      <c r="AU46" s="293"/>
      <c r="AV46" s="293"/>
      <c r="AW46" s="293"/>
      <c r="AX46" s="293"/>
      <c r="AY46" s="96" t="str">
        <f>IF(COUNTIF($R$42:R45,R46)&gt;0,"",IFERROR(VLOOKUP($N46,Weapons!$B$2:$L$98,5,0),""))</f>
        <v/>
      </c>
    </row>
    <row r="47" spans="1:72" ht="20.100000000000001" customHeight="1">
      <c r="A47" s="93"/>
      <c r="B47" s="93"/>
      <c r="C47" s="218" t="str">
        <f t="shared" si="2"/>
        <v/>
      </c>
      <c r="D47" s="93"/>
      <c r="E47" s="318"/>
      <c r="F47" s="318"/>
      <c r="G47" s="318"/>
      <c r="H47" s="318"/>
      <c r="I47" s="318"/>
      <c r="J47" s="291" t="str">
        <f>VLOOKUP(Values!$S57,Points!$A$1:$B$11,2,0)</f>
        <v>○○○○○</v>
      </c>
      <c r="K47" s="291"/>
      <c r="L47" s="291"/>
      <c r="M47" s="93"/>
      <c r="N47" s="289"/>
      <c r="O47" s="289"/>
      <c r="P47" s="289"/>
      <c r="Q47" s="289"/>
      <c r="R47" s="293"/>
      <c r="S47" s="293"/>
      <c r="T47" s="293"/>
      <c r="U47" s="293"/>
      <c r="V47" s="293"/>
      <c r="W47" s="293"/>
      <c r="X47" s="288"/>
      <c r="Y47" s="288"/>
      <c r="Z47" s="288"/>
      <c r="AA47" s="288"/>
      <c r="AB47" s="322"/>
      <c r="AC47" s="322"/>
      <c r="AD47" s="93"/>
      <c r="AE47" s="114" t="str">
        <f ca="1">IFERROR((VLOOKUP($N47,Weapons!$B$2:$L$98,COLUMN(G$1),0)+$AJ47),"")</f>
        <v/>
      </c>
      <c r="AF47" s="114" t="str">
        <f ca="1">IFERROR((VLOOKUP($N47,Weapons!$B$2:$L$98,COLUMN(H$1),0)+$AJ47),"")</f>
        <v/>
      </c>
      <c r="AG47" s="114" t="str">
        <f ca="1">IFERROR((VLOOKUP($N47,Weapons!$B$2:$L$98,COLUMN(I$1),0)+$AJ47),"")</f>
        <v/>
      </c>
      <c r="AH47" s="114" t="str">
        <f ca="1">IFERROR((VLOOKUP($N47,Weapons!$B$2:$L$98,COLUMN(J$1),0)+$AJ47),"")</f>
        <v/>
      </c>
      <c r="AI47" s="114" t="str">
        <f ca="1">IFERROR((VLOOKUP($N47,Weapons!$B$2:$L$98,COLUMN(K$1),0)+$AJ47),"")</f>
        <v/>
      </c>
      <c r="AJ47" s="115" t="str">
        <f ca="1">IFERROR(VLOOKUP($X47,Values!$A$24:$V$58,19,0)+IF($AB47="",Values!$S$12,VLOOKUP($AB47,Values!$B$11:$V$21,18,0))+INDIRECT("Values!$F"&amp;120+ROWS($AK$42:AK47)*2),"")</f>
        <v/>
      </c>
      <c r="AK47" s="93"/>
      <c r="AL47" s="114" t="str">
        <f>IFERROR(Values!$S$11*(IF(OR($N47=Weapons!$B$11,$N47=Weapons!$B$20),0,1))+VLOOKUP($N47,Weapons!$B$2:$L$98,COLUMN(B$1),0),"")</f>
        <v/>
      </c>
      <c r="AM47" s="114" t="s">
        <v>3076</v>
      </c>
      <c r="AN47" s="114" t="str">
        <f>IFERROR(VLOOKUP($N47,Weapons!$B$2:$L$98,COLUMN(D$1),0),"")</f>
        <v/>
      </c>
      <c r="AO47" s="93"/>
      <c r="AP47" s="114" t="str">
        <f ca="1">IFERROR(ROUNDUP(AJ47/2,0)+VLOOKUP(N47,Weapons!$B$2:$L$98,3,0),"")</f>
        <v/>
      </c>
      <c r="AQ47" s="102"/>
      <c r="AR47" s="293"/>
      <c r="AS47" s="293"/>
      <c r="AT47" s="293"/>
      <c r="AU47" s="293"/>
      <c r="AV47" s="293"/>
      <c r="AW47" s="293"/>
      <c r="AX47" s="293"/>
      <c r="AY47" s="96" t="str">
        <f>IF(COUNTIF($R$42:R46,R47)&gt;0,"",IFERROR(VLOOKUP($N47,Weapons!$B$2:$L$98,5,0),""))</f>
        <v/>
      </c>
      <c r="AZ47" s="245" t="s">
        <v>7353</v>
      </c>
    </row>
    <row r="48" spans="1:72" ht="20.100000000000001" customHeight="1">
      <c r="A48" s="93"/>
      <c r="B48" s="93"/>
      <c r="C48" s="218" t="str">
        <f t="shared" si="2"/>
        <v/>
      </c>
      <c r="D48" s="93"/>
      <c r="E48" s="318"/>
      <c r="F48" s="318"/>
      <c r="G48" s="318"/>
      <c r="H48" s="318"/>
      <c r="I48" s="318"/>
      <c r="J48" s="291" t="str">
        <f>VLOOKUP(Values!$S58,Points!$A$1:$B$11,2,0)</f>
        <v>○○○○○</v>
      </c>
      <c r="K48" s="291"/>
      <c r="L48" s="291"/>
      <c r="M48" s="93"/>
      <c r="N48" s="289"/>
      <c r="O48" s="289"/>
      <c r="P48" s="289"/>
      <c r="Q48" s="289"/>
      <c r="R48" s="293"/>
      <c r="S48" s="293"/>
      <c r="T48" s="293"/>
      <c r="U48" s="293"/>
      <c r="V48" s="293"/>
      <c r="W48" s="293"/>
      <c r="X48" s="288"/>
      <c r="Y48" s="288"/>
      <c r="Z48" s="288"/>
      <c r="AA48" s="288"/>
      <c r="AB48" s="322"/>
      <c r="AC48" s="322"/>
      <c r="AD48" s="93"/>
      <c r="AE48" s="114" t="str">
        <f ca="1">IFERROR((VLOOKUP($N48,Weapons!$B$2:$L$98,COLUMN(G$1),0)+$AJ48),"")</f>
        <v/>
      </c>
      <c r="AF48" s="114" t="str">
        <f ca="1">IFERROR((VLOOKUP($N48,Weapons!$B$2:$L$98,COLUMN(H$1),0)+$AJ48),"")</f>
        <v/>
      </c>
      <c r="AG48" s="114" t="str">
        <f ca="1">IFERROR((VLOOKUP($N48,Weapons!$B$2:$L$98,COLUMN(I$1),0)+$AJ48),"")</f>
        <v/>
      </c>
      <c r="AH48" s="114" t="str">
        <f ca="1">IFERROR((VLOOKUP($N48,Weapons!$B$2:$L$98,COLUMN(J$1),0)+$AJ48),"")</f>
        <v/>
      </c>
      <c r="AI48" s="114" t="str">
        <f ca="1">IFERROR((VLOOKUP($N48,Weapons!$B$2:$L$98,COLUMN(K$1),0)+$AJ48),"")</f>
        <v/>
      </c>
      <c r="AJ48" s="115" t="str">
        <f ca="1">IFERROR(VLOOKUP($X48,Values!$A$24:$V$58,19,0)+IF($AB48="",Values!$S$12,VLOOKUP($AB48,Values!$B$11:$V$21,18,0))+INDIRECT("Values!$F"&amp;120+ROWS($AK$42:AK48)*2),"")</f>
        <v/>
      </c>
      <c r="AK48" s="93"/>
      <c r="AL48" s="114" t="str">
        <f>IFERROR(Values!$S$11*(IF(OR($N48=Weapons!$B$11,$N48=Weapons!$B$20),0,1))+VLOOKUP($N48,Weapons!$B$2:$L$98,COLUMN(B$1),0),"")</f>
        <v/>
      </c>
      <c r="AM48" s="114" t="s">
        <v>3076</v>
      </c>
      <c r="AN48" s="114" t="str">
        <f>IFERROR(VLOOKUP($N48,Weapons!$B$2:$L$98,COLUMN(D$1),0),"")</f>
        <v/>
      </c>
      <c r="AO48" s="93"/>
      <c r="AP48" s="114" t="str">
        <f ca="1">IFERROR(ROUNDUP(AJ48/2,0)+VLOOKUP(N48,Weapons!$B$2:$L$98,3,0),"")</f>
        <v/>
      </c>
      <c r="AQ48" s="102"/>
      <c r="AR48" s="293"/>
      <c r="AS48" s="293"/>
      <c r="AT48" s="293"/>
      <c r="AU48" s="293"/>
      <c r="AV48" s="293"/>
      <c r="AW48" s="293"/>
      <c r="AX48" s="293"/>
      <c r="AY48" s="96" t="str">
        <f>IF(COUNTIF($R$42:R47,R48)&gt;0,"",IFERROR(VLOOKUP($N48,Weapons!$B$2:$L$98,5,0),""))</f>
        <v/>
      </c>
      <c r="BA48" s="93" t="s">
        <v>3254</v>
      </c>
    </row>
    <row r="49" spans="1:60" ht="20.100000000000001" customHeight="1">
      <c r="A49" s="93"/>
      <c r="B49" s="93"/>
      <c r="C49" s="93"/>
      <c r="D49" s="93"/>
      <c r="E49" s="93"/>
      <c r="F49" s="93"/>
      <c r="G49" s="93"/>
      <c r="H49" s="93"/>
      <c r="I49" s="93"/>
      <c r="J49" s="93"/>
      <c r="K49" s="93"/>
      <c r="L49" s="93"/>
      <c r="M49" s="93"/>
      <c r="N49" s="289"/>
      <c r="O49" s="289"/>
      <c r="P49" s="289"/>
      <c r="Q49" s="289"/>
      <c r="R49" s="319"/>
      <c r="S49" s="319"/>
      <c r="T49" s="319"/>
      <c r="U49" s="319"/>
      <c r="V49" s="319"/>
      <c r="W49" s="319"/>
      <c r="X49" s="288"/>
      <c r="Y49" s="288"/>
      <c r="Z49" s="288"/>
      <c r="AA49" s="288"/>
      <c r="AB49" s="322"/>
      <c r="AC49" s="322"/>
      <c r="AD49" s="93"/>
      <c r="AE49" s="114" t="str">
        <f ca="1">IFERROR((VLOOKUP($N49,Weapons!$B$2:$L$98,COLUMN(G$1),0)+$AJ49),"")</f>
        <v/>
      </c>
      <c r="AF49" s="114" t="str">
        <f ca="1">IFERROR((VLOOKUP($N49,Weapons!$B$2:$L$98,COLUMN(H$1),0)+$AJ49),"")</f>
        <v/>
      </c>
      <c r="AG49" s="114" t="str">
        <f ca="1">IFERROR((VLOOKUP($N49,Weapons!$B$2:$L$98,COLUMN(I$1),0)+$AJ49),"")</f>
        <v/>
      </c>
      <c r="AH49" s="114" t="str">
        <f ca="1">IFERROR((VLOOKUP($N49,Weapons!$B$2:$L$98,COLUMN(J$1),0)+$AJ49),"")</f>
        <v/>
      </c>
      <c r="AI49" s="114" t="str">
        <f ca="1">IFERROR((VLOOKUP($N49,Weapons!$B$2:$L$98,COLUMN(K$1),0)+$AJ49),"")</f>
        <v/>
      </c>
      <c r="AJ49" s="115" t="str">
        <f ca="1">IFERROR(VLOOKUP($X49,Values!$A$24:$V$58,19,0)+IF($AB49="",Values!$S$12,VLOOKUP($AB49,Values!$B$11:$V$21,18,0))+INDIRECT("Values!$F"&amp;120+ROWS($AK$42:AK49)*2),"")</f>
        <v/>
      </c>
      <c r="AK49" s="93"/>
      <c r="AL49" s="114" t="str">
        <f>IFERROR(Values!$S$11*(IF(OR($N49=Weapons!$B$11,$N49=Weapons!$B$20),0,1))+VLOOKUP($N49,Weapons!$B$2:$L$98,COLUMN(B$1),0),"")</f>
        <v/>
      </c>
      <c r="AM49" s="114" t="s">
        <v>3076</v>
      </c>
      <c r="AN49" s="114" t="str">
        <f>IFERROR(VLOOKUP($N49,Weapons!$B$2:$L$98,COLUMN(D$1),0),"")</f>
        <v/>
      </c>
      <c r="AO49" s="93"/>
      <c r="AP49" s="114" t="str">
        <f ca="1">IFERROR(ROUNDUP(AJ49/2,0)+VLOOKUP(N49,Weapons!$B$2:$L$98,3,0),"")</f>
        <v/>
      </c>
      <c r="AQ49" s="102"/>
      <c r="AR49" s="319"/>
      <c r="AS49" s="319"/>
      <c r="AT49" s="319"/>
      <c r="AU49" s="319"/>
      <c r="AV49" s="319"/>
      <c r="AW49" s="319"/>
      <c r="AX49" s="319"/>
      <c r="AY49" s="96" t="str">
        <f>IF(COUNTIF($R$42:R48,R49)&gt;0,"",IFERROR(VLOOKUP($N49,Weapons!$B$2:$L$98,5,0),""))</f>
        <v/>
      </c>
      <c r="BA49" s="93" t="s">
        <v>3255</v>
      </c>
    </row>
    <row r="50" spans="1:60" ht="20.100000000000001" customHeight="1">
      <c r="A50" s="93"/>
      <c r="B50" s="93"/>
      <c r="C50" s="93"/>
      <c r="D50" s="93"/>
      <c r="E50" s="93"/>
      <c r="F50" s="93"/>
      <c r="G50" s="93"/>
      <c r="H50" s="93"/>
      <c r="I50" s="93"/>
      <c r="J50" s="93"/>
      <c r="K50" s="93"/>
      <c r="L50" s="93"/>
      <c r="M50" s="93"/>
      <c r="N50" s="93"/>
      <c r="O50" s="93"/>
      <c r="P50" s="93"/>
      <c r="Q50" s="100"/>
      <c r="R50" s="100"/>
      <c r="S50" s="100"/>
      <c r="T50" s="100"/>
      <c r="U50" s="100"/>
      <c r="V50" s="100"/>
      <c r="W50" s="100"/>
      <c r="X50" s="100"/>
      <c r="Y50" s="100"/>
      <c r="Z50" s="100"/>
      <c r="AA50" s="93"/>
      <c r="AB50" s="93"/>
      <c r="AC50" s="93"/>
      <c r="AD50" s="93"/>
      <c r="AE50" s="93"/>
      <c r="AF50" s="93"/>
      <c r="AG50" s="93"/>
      <c r="AH50" s="93"/>
      <c r="AI50" s="93"/>
      <c r="AJ50" s="93"/>
      <c r="AK50" s="93"/>
      <c r="AL50" s="93"/>
      <c r="AM50" s="93"/>
      <c r="AN50" s="93"/>
      <c r="AO50" s="93"/>
      <c r="AP50" s="93"/>
      <c r="AQ50" s="93"/>
      <c r="AR50" s="93"/>
      <c r="AS50" s="93"/>
      <c r="AT50" s="93"/>
      <c r="AU50" s="93"/>
      <c r="AV50" s="93"/>
      <c r="AW50" s="93"/>
      <c r="AX50" s="93"/>
      <c r="AY50" s="96"/>
      <c r="BA50" s="93" t="s">
        <v>3256</v>
      </c>
    </row>
    <row r="51" spans="1:60" ht="20.100000000000001" customHeight="1">
      <c r="A51" s="93"/>
      <c r="B51" s="93"/>
      <c r="C51" s="93"/>
      <c r="D51" s="93"/>
      <c r="E51" s="93"/>
      <c r="F51" s="93"/>
      <c r="G51" s="93"/>
      <c r="H51" s="93"/>
      <c r="I51" s="93"/>
      <c r="J51" s="93"/>
      <c r="K51" s="93"/>
      <c r="L51" s="93"/>
      <c r="M51" s="93"/>
      <c r="N51" s="93"/>
      <c r="O51" s="93"/>
      <c r="P51" s="100"/>
      <c r="Q51" s="100"/>
      <c r="R51" s="100"/>
      <c r="S51" s="100"/>
      <c r="T51" s="100"/>
      <c r="U51" s="100"/>
      <c r="V51" s="100"/>
      <c r="W51" s="100"/>
      <c r="X51" s="100"/>
      <c r="Y51" s="100"/>
      <c r="Z51" s="100" t="s">
        <v>3199</v>
      </c>
      <c r="AA51" s="93"/>
      <c r="AB51" s="93"/>
      <c r="AC51" s="93"/>
      <c r="AD51" s="93"/>
      <c r="AE51" s="93"/>
      <c r="AF51" s="93"/>
      <c r="AG51" s="93"/>
      <c r="AH51" s="93"/>
      <c r="AI51" s="93"/>
      <c r="AJ51" s="93"/>
      <c r="AK51" s="93"/>
      <c r="AL51" s="93"/>
      <c r="AM51" s="93"/>
      <c r="AN51" s="93"/>
      <c r="AO51" s="93"/>
      <c r="AP51" s="93"/>
      <c r="AQ51" s="93"/>
      <c r="AR51" s="93"/>
      <c r="AS51" s="93"/>
      <c r="AT51" s="93"/>
      <c r="AU51" s="93"/>
      <c r="AV51" s="93"/>
      <c r="AW51" s="93"/>
      <c r="AX51" s="93"/>
      <c r="AY51" s="96"/>
      <c r="BA51" s="93" t="s">
        <v>3257</v>
      </c>
    </row>
    <row r="52" spans="1:60" ht="20.100000000000001" customHeight="1">
      <c r="A52" s="93"/>
      <c r="B52" s="93"/>
      <c r="C52" s="93"/>
      <c r="D52" s="93"/>
      <c r="E52" s="93"/>
      <c r="F52" s="93"/>
      <c r="G52" s="93"/>
      <c r="H52" s="93"/>
      <c r="I52" s="93"/>
      <c r="J52" s="93"/>
      <c r="K52" s="292"/>
      <c r="L52" s="324" t="s">
        <v>3214</v>
      </c>
      <c r="M52" s="324" t="s">
        <v>68</v>
      </c>
      <c r="N52" s="325" t="s">
        <v>55</v>
      </c>
      <c r="O52" s="93"/>
      <c r="P52" s="292" t="s">
        <v>70</v>
      </c>
      <c r="Q52" s="93"/>
      <c r="R52" s="292" t="s">
        <v>71</v>
      </c>
      <c r="S52" s="93"/>
      <c r="T52" s="324" t="s">
        <v>73</v>
      </c>
      <c r="U52" s="93"/>
      <c r="V52" s="93"/>
      <c r="W52" s="93"/>
      <c r="X52" s="93"/>
      <c r="Y52" s="93"/>
      <c r="Z52" s="93"/>
      <c r="AA52" s="93"/>
      <c r="AB52" s="326" t="s">
        <v>3239</v>
      </c>
      <c r="AC52" s="93"/>
      <c r="AD52" s="93"/>
      <c r="AE52" s="93" t="s">
        <v>3201</v>
      </c>
      <c r="AF52" s="99"/>
      <c r="AG52" s="93"/>
      <c r="AH52" s="93" t="s">
        <v>16</v>
      </c>
      <c r="AI52" s="93"/>
      <c r="AJ52" s="93"/>
      <c r="AK52" s="93"/>
      <c r="AL52" s="93"/>
      <c r="AM52" s="93"/>
      <c r="AN52" s="93"/>
      <c r="AO52" s="93"/>
      <c r="AP52" s="93" t="s">
        <v>1422</v>
      </c>
      <c r="AQ52" s="93"/>
      <c r="AR52" s="93"/>
      <c r="AS52" s="93" t="s">
        <v>16</v>
      </c>
      <c r="AT52" s="93"/>
      <c r="AU52" s="117" t="s">
        <v>3205</v>
      </c>
      <c r="AV52" s="118"/>
      <c r="AW52" s="118"/>
      <c r="AX52" s="118"/>
      <c r="AY52" s="96"/>
    </row>
    <row r="53" spans="1:60" ht="20.100000000000001" customHeight="1">
      <c r="A53" s="93"/>
      <c r="B53" s="290" t="s">
        <v>3207</v>
      </c>
      <c r="C53" s="290"/>
      <c r="D53" s="290"/>
      <c r="E53" s="290"/>
      <c r="F53" s="290"/>
      <c r="G53" s="290"/>
      <c r="H53" s="93"/>
      <c r="I53" s="290" t="s">
        <v>81</v>
      </c>
      <c r="J53" s="290"/>
      <c r="K53" s="292"/>
      <c r="L53" s="324"/>
      <c r="M53" s="324"/>
      <c r="N53" s="325"/>
      <c r="O53" s="93"/>
      <c r="P53" s="292"/>
      <c r="Q53" s="93"/>
      <c r="R53" s="292"/>
      <c r="S53" s="93"/>
      <c r="T53" s="324"/>
      <c r="U53" s="93" t="s">
        <v>16</v>
      </c>
      <c r="V53" s="93" t="s">
        <v>60</v>
      </c>
      <c r="W53" s="93"/>
      <c r="X53" s="93"/>
      <c r="Y53" s="93"/>
      <c r="Z53" s="93"/>
      <c r="AA53" s="93"/>
      <c r="AB53" s="326"/>
      <c r="AC53" s="93"/>
      <c r="AD53" s="93"/>
      <c r="AE53" s="93"/>
      <c r="AF53" s="93"/>
      <c r="AG53" s="99" t="s">
        <v>75</v>
      </c>
      <c r="AH53" s="93"/>
      <c r="AI53" s="93">
        <f>Values!S12+Values!S26+Values!S108</f>
        <v>1</v>
      </c>
      <c r="AJ53" s="93"/>
      <c r="AK53" s="93"/>
      <c r="AL53" s="93"/>
      <c r="AM53" s="93"/>
      <c r="AN53" s="93"/>
      <c r="AO53" s="93"/>
      <c r="AP53" s="93"/>
      <c r="AQ53" s="93"/>
      <c r="AR53" s="99" t="s">
        <v>3203</v>
      </c>
      <c r="AS53" s="93"/>
      <c r="AT53" s="118">
        <f>IF(COUNTIF(Values!$S$140:$S$239,"Sublime Façade Art")=1,ROUNDUP((Values!S16+MAX(Values!S32,Values!S34,Values!S41,Values!S46)+Values!S106)/2,0),ROUNDUP((Values!S16+Values!S46+Values!S106)/2,0))</f>
        <v>1</v>
      </c>
      <c r="AU53" s="117" t="s">
        <v>3206</v>
      </c>
      <c r="AV53" s="118"/>
      <c r="AW53" s="118"/>
      <c r="AX53" s="118"/>
      <c r="AY53" s="96"/>
      <c r="AZ53" s="294" t="s">
        <v>3529</v>
      </c>
      <c r="BA53" s="295"/>
      <c r="BB53" s="295"/>
      <c r="BC53" s="295"/>
      <c r="BD53" s="295"/>
      <c r="BE53" s="295"/>
      <c r="BF53" s="295"/>
      <c r="BG53" s="295"/>
      <c r="BH53" s="295"/>
    </row>
    <row r="54" spans="1:60" ht="20.100000000000001" customHeight="1">
      <c r="A54" s="93"/>
      <c r="B54" s="318" t="s">
        <v>1444</v>
      </c>
      <c r="C54" s="318"/>
      <c r="D54" s="318"/>
      <c r="E54" s="318"/>
      <c r="F54" s="318"/>
      <c r="G54" s="318"/>
      <c r="H54" s="93"/>
      <c r="I54" s="288"/>
      <c r="J54" s="288"/>
      <c r="K54" s="93"/>
      <c r="L54" s="93">
        <f>IFERROR(Values!$S$13,"")</f>
        <v>1</v>
      </c>
      <c r="M54" s="93">
        <f>IFERROR(VLOOKUP($I54,Armor!$B$1:$F$7,2,0),0)</f>
        <v>0</v>
      </c>
      <c r="N54" s="119">
        <f>L54+M54</f>
        <v>1</v>
      </c>
      <c r="O54" s="93"/>
      <c r="P54" s="93" t="str">
        <f>IFERROR(IF(VLOOKUP($I54,Armor!$B$1:$F$7,4,0)&lt;&gt;0,VLOOKUP($I54,Armor!$B$1:$F$7,4,0),""),"")</f>
        <v/>
      </c>
      <c r="Q54" s="93"/>
      <c r="R54" s="93">
        <f>IFERROR(VLOOKUP($I54,Armor!$B$1:$F$7,3,0),0)</f>
        <v>0</v>
      </c>
      <c r="S54" s="93"/>
      <c r="T54" s="93">
        <f>IF(ROUNDUP((Values!$S$12+Values!$S$31+Values!F113)/2,0)+R54&lt;0,0,ROUNDUP((Values!$S$12+Values!$S$31+Values!F113)/2,0)+R54)</f>
        <v>1</v>
      </c>
      <c r="U54" s="93"/>
      <c r="V54" s="318"/>
      <c r="W54" s="318"/>
      <c r="X54" s="318"/>
      <c r="Y54" s="318"/>
      <c r="Z54" s="318"/>
      <c r="AA54" s="318"/>
      <c r="AB54" s="93" t="str">
        <f>IFERROR(IF(VLOOKUP($I54,Armor!$B$1:$F$7,5,0)&lt;&gt;0,VLOOKUP($I54,Armor!$B$1:$F$7,5,0),""),"")</f>
        <v/>
      </c>
      <c r="AC54" s="93"/>
      <c r="AD54" s="93"/>
      <c r="AE54" s="93"/>
      <c r="AF54" s="93"/>
      <c r="AG54" s="99" t="s">
        <v>76</v>
      </c>
      <c r="AH54" s="93"/>
      <c r="AI54" s="93">
        <f>Values!S12+Values!S31+Values!S109</f>
        <v>1</v>
      </c>
      <c r="AJ54" s="93"/>
      <c r="AK54" s="93"/>
      <c r="AL54" s="93"/>
      <c r="AM54" s="93"/>
      <c r="AN54" s="93"/>
      <c r="AO54" s="93"/>
      <c r="AP54" s="93"/>
      <c r="AQ54" s="93"/>
      <c r="AR54" s="99" t="s">
        <v>3204</v>
      </c>
      <c r="AS54" s="93"/>
      <c r="AT54" s="93">
        <f>IF(COUNTIF(Values!$S$140:$S$239,"Arrogant Lion Bearing")=1,ROUNDUP((MAX(Values!S21,Values!S15)+Values!S32+Values!S105)/2,0),ROUNDUP((Values!S21+Values!S32+Values!S105)/2,0))</f>
        <v>1</v>
      </c>
      <c r="AU54" s="93"/>
      <c r="AV54" s="93"/>
      <c r="AW54" s="93"/>
      <c r="AX54" s="93"/>
      <c r="AY54" s="96"/>
      <c r="AZ54" s="294"/>
      <c r="BA54" s="295"/>
      <c r="BB54" s="295"/>
      <c r="BC54" s="295"/>
      <c r="BD54" s="295"/>
      <c r="BE54" s="295"/>
      <c r="BF54" s="295"/>
      <c r="BG54" s="295"/>
      <c r="BH54" s="295"/>
    </row>
    <row r="55" spans="1:60" ht="20.100000000000001" customHeight="1">
      <c r="A55" s="93"/>
      <c r="B55" s="317"/>
      <c r="C55" s="317"/>
      <c r="D55" s="317"/>
      <c r="E55" s="317"/>
      <c r="F55" s="317"/>
      <c r="G55" s="317"/>
      <c r="H55" s="93"/>
      <c r="I55" s="288"/>
      <c r="J55" s="288"/>
      <c r="K55" s="93"/>
      <c r="L55" s="93">
        <f>IFERROR(Values!$S$13,"")</f>
        <v>1</v>
      </c>
      <c r="M55" s="93">
        <f>IFERROR(VLOOKUP($I55,Armor!$B$1:$F$7,2,0),0)</f>
        <v>0</v>
      </c>
      <c r="N55" s="119">
        <f>L55+M55</f>
        <v>1</v>
      </c>
      <c r="O55" s="93"/>
      <c r="P55" s="93" t="str">
        <f>IFERROR(IF(VLOOKUP($I55,Armor!$B$1:$F$7,4,0)&lt;&gt;0,VLOOKUP($I55,Armor!$B$1:$F$7,4,0),""),"")</f>
        <v/>
      </c>
      <c r="Q55" s="93"/>
      <c r="R55" s="93">
        <f>IFERROR(VLOOKUP($I55,Armor!$B$1:$F$7,3,0),0)</f>
        <v>0</v>
      </c>
      <c r="S55" s="93"/>
      <c r="T55" s="93">
        <f>IF(ROUNDUP((Values!$S$12+Values!$S$31+Values!F115)/2,0)+R55&lt;0,0,ROUNDUP((Values!$S$12+Values!$S$31+Values!F115)/2,0)+R55)</f>
        <v>1</v>
      </c>
      <c r="U55" s="93"/>
      <c r="V55" s="317"/>
      <c r="W55" s="317"/>
      <c r="X55" s="317"/>
      <c r="Y55" s="317"/>
      <c r="Z55" s="317"/>
      <c r="AA55" s="317"/>
      <c r="AB55" s="93" t="str">
        <f>IFERROR(IF(VLOOKUP($I55,Armor!$B$1:$F$7,5,0)&lt;&gt;0,VLOOKUP($I55,Armor!$B$1:$F$7,5,0),""),"")</f>
        <v/>
      </c>
      <c r="AC55" s="93"/>
      <c r="AD55" s="93"/>
      <c r="AE55" s="93"/>
      <c r="AF55" s="93"/>
      <c r="AG55" s="99" t="s">
        <v>77</v>
      </c>
      <c r="AH55" s="93"/>
      <c r="AI55" s="93">
        <f>Values!S21+Values!S27+Values!S107</f>
        <v>1</v>
      </c>
      <c r="AJ55" s="93"/>
      <c r="AK55" s="93"/>
      <c r="AL55" s="93"/>
      <c r="AM55" s="93"/>
      <c r="AN55" s="93"/>
      <c r="AO55" s="93"/>
      <c r="AP55" s="93"/>
      <c r="AQ55" s="93"/>
      <c r="AR55" s="99" t="s">
        <v>3200</v>
      </c>
      <c r="AS55" s="93"/>
      <c r="AT55" s="93">
        <f>Values!S19+Values!S46+Values!S104</f>
        <v>1</v>
      </c>
      <c r="AU55" s="93"/>
      <c r="AV55" s="93"/>
      <c r="AW55" s="93"/>
      <c r="AX55" s="93"/>
      <c r="AY55" s="96"/>
      <c r="AZ55" s="294"/>
      <c r="BA55" s="295"/>
      <c r="BB55" s="295"/>
      <c r="BC55" s="295"/>
      <c r="BD55" s="295"/>
      <c r="BE55" s="295"/>
      <c r="BF55" s="295"/>
      <c r="BG55" s="295"/>
      <c r="BH55" s="295"/>
    </row>
    <row r="56" spans="1:60" ht="20.100000000000001" customHeight="1">
      <c r="A56" s="93"/>
      <c r="B56" s="317"/>
      <c r="C56" s="317"/>
      <c r="D56" s="317"/>
      <c r="E56" s="317"/>
      <c r="F56" s="317"/>
      <c r="G56" s="317"/>
      <c r="H56" s="93"/>
      <c r="I56" s="288"/>
      <c r="J56" s="288"/>
      <c r="K56" s="93"/>
      <c r="L56" s="93">
        <f>IFERROR(Values!$S$13,"")</f>
        <v>1</v>
      </c>
      <c r="M56" s="93">
        <f>IFERROR(VLOOKUP($I56,Armor!$B$1:$F$7,2,0),0)</f>
        <v>0</v>
      </c>
      <c r="N56" s="119">
        <f>L56+M56</f>
        <v>1</v>
      </c>
      <c r="O56" s="93"/>
      <c r="P56" s="93" t="str">
        <f>IFERROR(IF(VLOOKUP($I56,Armor!$B$1:$F$7,4,0)&lt;&gt;0,VLOOKUP($I56,Armor!$B$1:$F$7,4,0),""),"")</f>
        <v/>
      </c>
      <c r="Q56" s="93"/>
      <c r="R56" s="93">
        <f>IFERROR(VLOOKUP($I56,Armor!$B$1:$F$7,3,0),0)</f>
        <v>0</v>
      </c>
      <c r="S56" s="93"/>
      <c r="T56" s="93">
        <f>IF(ROUNDUP((Values!$S$12+Values!$S$31+Values!F117)/2,0)+R56&lt;0,0,ROUNDUP((Values!$S$12+Values!$S$31+Values!F117)/2,0)+R56)</f>
        <v>1</v>
      </c>
      <c r="U56" s="93"/>
      <c r="V56" s="317"/>
      <c r="W56" s="317"/>
      <c r="X56" s="317"/>
      <c r="Y56" s="317"/>
      <c r="Z56" s="317"/>
      <c r="AA56" s="317"/>
      <c r="AB56" s="93" t="str">
        <f>IFERROR(IF(VLOOKUP($I56,Armor!$B$1:$F$7,5,0)&lt;&gt;0,VLOOKUP($I56,Armor!$B$1:$F$7,5,0),""),"")</f>
        <v/>
      </c>
      <c r="AC56" s="93"/>
      <c r="AD56" s="93"/>
      <c r="AE56" s="93"/>
      <c r="AF56" s="93"/>
      <c r="AG56" s="93"/>
      <c r="AH56" s="93"/>
      <c r="AI56" s="93"/>
      <c r="AJ56" s="93"/>
      <c r="AK56" s="93"/>
      <c r="AL56" s="93"/>
      <c r="AM56" s="93"/>
      <c r="AN56" s="93"/>
      <c r="AO56" s="93"/>
      <c r="AP56" s="93"/>
      <c r="AQ56" s="93"/>
      <c r="AR56" s="93"/>
      <c r="AS56" s="93"/>
      <c r="AT56" s="93"/>
      <c r="AU56" s="93"/>
      <c r="AV56" s="93"/>
      <c r="AW56" s="93"/>
      <c r="AX56" s="93"/>
      <c r="AY56" s="96"/>
    </row>
    <row r="57" spans="1:60" ht="20.100000000000001" customHeight="1">
      <c r="A57" s="93"/>
      <c r="B57" s="93"/>
      <c r="C57" s="93"/>
      <c r="D57" s="93"/>
      <c r="E57" s="93"/>
      <c r="F57" s="93"/>
      <c r="G57" s="93"/>
      <c r="H57" s="93"/>
      <c r="I57" s="93"/>
      <c r="J57" s="93"/>
      <c r="K57" s="93"/>
      <c r="L57" s="93"/>
      <c r="M57" s="93"/>
      <c r="N57" s="93"/>
      <c r="O57" s="93"/>
      <c r="P57" s="93"/>
      <c r="Q57" s="93"/>
      <c r="R57" s="93"/>
      <c r="S57" s="93"/>
      <c r="T57" s="93"/>
      <c r="U57" s="93"/>
      <c r="V57" s="93"/>
      <c r="W57" s="93"/>
      <c r="X57" s="93"/>
      <c r="Y57" s="93"/>
      <c r="Z57" s="93"/>
      <c r="AA57" s="93"/>
      <c r="AB57" s="93"/>
      <c r="AC57" s="93"/>
      <c r="AD57" s="93"/>
      <c r="AE57" s="93"/>
      <c r="AF57" s="93"/>
      <c r="AG57" s="93"/>
      <c r="AH57" s="93"/>
      <c r="AI57" s="93"/>
      <c r="AJ57" s="93"/>
      <c r="AK57" s="93"/>
      <c r="AL57" s="93"/>
      <c r="AM57" s="93"/>
      <c r="AN57" s="93"/>
      <c r="AO57" s="93"/>
      <c r="AP57" s="93"/>
      <c r="AQ57" s="93"/>
      <c r="AR57" s="93"/>
      <c r="AS57" s="93"/>
      <c r="AT57" s="93"/>
      <c r="AU57" s="93"/>
      <c r="AV57" s="93"/>
      <c r="AW57" s="93"/>
      <c r="AX57" s="120"/>
      <c r="AY57" s="120"/>
      <c r="AZ57" s="121" t="s">
        <v>3083</v>
      </c>
    </row>
    <row r="58" spans="1:60" ht="20.100000000000001" customHeight="1">
      <c r="A58" s="292" t="s">
        <v>3222</v>
      </c>
      <c r="B58" s="316" t="s">
        <v>3223</v>
      </c>
      <c r="C58" s="120" t="s">
        <v>78</v>
      </c>
      <c r="D58" s="120" t="s">
        <v>78</v>
      </c>
      <c r="E58" s="120" t="s">
        <v>78</v>
      </c>
      <c r="F58" s="120" t="s">
        <v>78</v>
      </c>
      <c r="G58" s="120" t="s">
        <v>78</v>
      </c>
      <c r="H58" s="120" t="s">
        <v>78</v>
      </c>
      <c r="I58" s="120" t="s">
        <v>78</v>
      </c>
      <c r="J58" s="120" t="s">
        <v>78</v>
      </c>
      <c r="K58" s="120" t="s">
        <v>78</v>
      </c>
      <c r="L58" s="120" t="s">
        <v>78</v>
      </c>
      <c r="M58" s="120" t="s">
        <v>78</v>
      </c>
      <c r="N58" s="120" t="s">
        <v>78</v>
      </c>
      <c r="O58" s="120" t="s">
        <v>78</v>
      </c>
      <c r="P58" s="120" t="s">
        <v>78</v>
      </c>
      <c r="Q58" s="120" t="s">
        <v>78</v>
      </c>
      <c r="R58" s="120" t="s">
        <v>78</v>
      </c>
      <c r="S58" s="120" t="s">
        <v>78</v>
      </c>
      <c r="T58" s="120" t="s">
        <v>78</v>
      </c>
      <c r="U58" s="120" t="s">
        <v>78</v>
      </c>
      <c r="V58" s="120" t="s">
        <v>78</v>
      </c>
      <c r="W58" s="120" t="s">
        <v>78</v>
      </c>
      <c r="X58" s="120" t="s">
        <v>78</v>
      </c>
      <c r="Y58" s="120" t="s">
        <v>78</v>
      </c>
      <c r="Z58" s="120" t="s">
        <v>78</v>
      </c>
      <c r="AA58" s="120" t="s">
        <v>78</v>
      </c>
      <c r="AB58" s="120" t="s">
        <v>78</v>
      </c>
      <c r="AC58" s="120" t="s">
        <v>78</v>
      </c>
      <c r="AD58" s="120" t="s">
        <v>78</v>
      </c>
      <c r="AE58" s="120" t="s">
        <v>78</v>
      </c>
      <c r="AF58" s="120" t="s">
        <v>78</v>
      </c>
      <c r="AG58" s="120" t="s">
        <v>78</v>
      </c>
      <c r="AH58" s="120" t="s">
        <v>78</v>
      </c>
      <c r="AI58" s="120" t="s">
        <v>78</v>
      </c>
      <c r="AJ58" s="120" t="s">
        <v>78</v>
      </c>
      <c r="AK58" s="120" t="s">
        <v>78</v>
      </c>
      <c r="AL58" s="120" t="s">
        <v>78</v>
      </c>
      <c r="AM58" s="120" t="s">
        <v>78</v>
      </c>
      <c r="AN58" s="120" t="s">
        <v>78</v>
      </c>
      <c r="AO58" s="120" t="s">
        <v>78</v>
      </c>
      <c r="AP58" s="120" t="s">
        <v>78</v>
      </c>
      <c r="AQ58" s="120" t="s">
        <v>78</v>
      </c>
      <c r="AR58" s="120" t="s">
        <v>78</v>
      </c>
      <c r="AS58" s="120" t="s">
        <v>78</v>
      </c>
      <c r="AT58" s="120" t="s">
        <v>78</v>
      </c>
      <c r="AU58" s="120" t="s">
        <v>78</v>
      </c>
      <c r="AV58" s="120" t="s">
        <v>78</v>
      </c>
      <c r="AW58" s="120" t="s">
        <v>78</v>
      </c>
      <c r="AX58" s="102"/>
      <c r="AY58" s="122"/>
    </row>
    <row r="59" spans="1:60" ht="20.100000000000001" customHeight="1">
      <c r="A59" s="292"/>
      <c r="B59" s="316"/>
      <c r="C59" s="102" t="str">
        <f>VLOOKUP(COLUMN()-2,Health!$F$14:$G$19,2,1)</f>
        <v>-0</v>
      </c>
      <c r="D59" s="102" t="str">
        <f>VLOOKUP(COLUMN()-2,Health!$F$14:$G$19,2,1)</f>
        <v>-0</v>
      </c>
      <c r="E59" s="102" t="str">
        <f>VLOOKUP(COLUMN()-2,Health!$F$14:$G$19,2,1)</f>
        <v>-0</v>
      </c>
      <c r="F59" s="102" t="str">
        <f>VLOOKUP(COLUMN()-2,Health!$F$14:$G$19,2,1)</f>
        <v>-0</v>
      </c>
      <c r="G59" s="102" t="str">
        <f>VLOOKUP(COLUMN()-2,Health!$F$14:$G$19,2,1)</f>
        <v>-0</v>
      </c>
      <c r="H59" s="102" t="str">
        <f>VLOOKUP(COLUMN()-2,Health!$F$14:$G$19,2,1)</f>
        <v>-0</v>
      </c>
      <c r="I59" s="102" t="str">
        <f>VLOOKUP(COLUMN()-2,Health!$F$14:$G$19,2,1)</f>
        <v>-0</v>
      </c>
      <c r="J59" s="102" t="str">
        <f>VLOOKUP(COLUMN()-2,Health!$F$14:$G$19,2,1)</f>
        <v>-0</v>
      </c>
      <c r="K59" s="102" t="str">
        <f>VLOOKUP(COLUMN()-2,Health!$F$14:$G$19,2,1)</f>
        <v>-0</v>
      </c>
      <c r="L59" s="102" t="str">
        <f>VLOOKUP(COLUMN()-2,Health!$F$14:$G$19,2,1)</f>
        <v>-0</v>
      </c>
      <c r="M59" s="102" t="str">
        <f>VLOOKUP(COLUMN()-2,Health!$F$14:$G$19,2,1)</f>
        <v>-0</v>
      </c>
      <c r="N59" s="102" t="str">
        <f>VLOOKUP(COLUMN()-2,Health!$F$14:$G$19,2,1)</f>
        <v>-0</v>
      </c>
      <c r="O59" s="102" t="str">
        <f>VLOOKUP(COLUMN()-2,Health!$F$14:$G$19,2,1)</f>
        <v>-0</v>
      </c>
      <c r="P59" s="102" t="str">
        <f>VLOOKUP(COLUMN()-2,Health!$F$14:$G$19,2,1)</f>
        <v>-0</v>
      </c>
      <c r="Q59" s="102" t="str">
        <f>VLOOKUP(COLUMN()-2,Health!$F$14:$G$19,2,1)</f>
        <v>-0</v>
      </c>
      <c r="R59" s="102" t="str">
        <f>VLOOKUP(COLUMN()-2,Health!$F$14:$G$19,2,1)</f>
        <v>-0</v>
      </c>
      <c r="S59" s="102" t="str">
        <f>VLOOKUP(COLUMN()-2,Health!$F$14:$G$19,2,1)</f>
        <v>-0</v>
      </c>
      <c r="T59" s="102" t="str">
        <f>VLOOKUP(COLUMN()-2,Health!$F$14:$G$19,2,1)</f>
        <v>-0</v>
      </c>
      <c r="U59" s="102" t="str">
        <f>VLOOKUP(COLUMN()-2,Health!$F$14:$G$19,2,1)</f>
        <v>-0</v>
      </c>
      <c r="V59" s="102" t="str">
        <f>VLOOKUP(COLUMN()-2,Health!$F$14:$G$19,2,1)</f>
        <v>-0</v>
      </c>
      <c r="W59" s="102" t="str">
        <f>VLOOKUP(COLUMN()-2,Health!$F$14:$G$19,2,1)</f>
        <v>-0</v>
      </c>
      <c r="X59" s="102" t="str">
        <f>VLOOKUP(COLUMN()-2,Health!$F$14:$G$19,2,1)</f>
        <v>-0</v>
      </c>
      <c r="Y59" s="102" t="str">
        <f>VLOOKUP(COLUMN()-2,Health!$F$14:$G$19,2,1)</f>
        <v>-0</v>
      </c>
      <c r="Z59" s="102" t="str">
        <f>VLOOKUP(COLUMN()-2,Health!$F$14:$G$19,2,1)</f>
        <v>-0</v>
      </c>
      <c r="AA59" s="102" t="str">
        <f>VLOOKUP(COLUMN()-2,Health!$F$14:$G$19,2,1)</f>
        <v>-0</v>
      </c>
      <c r="AB59" s="102" t="str">
        <f>VLOOKUP(COLUMN()-2,Health!$F$14:$G$19,2,1)</f>
        <v>-0</v>
      </c>
      <c r="AC59" s="102" t="str">
        <f>VLOOKUP(COLUMN()-2,Health!$F$14:$G$19,2,1)</f>
        <v>-0</v>
      </c>
      <c r="AD59" s="102" t="str">
        <f>VLOOKUP(COLUMN()-2,Health!$F$14:$G$19,2,1)</f>
        <v>-0</v>
      </c>
      <c r="AE59" s="102" t="str">
        <f>VLOOKUP(COLUMN()-2,Health!$F$14:$G$19,2,1)</f>
        <v>-0</v>
      </c>
      <c r="AF59" s="102" t="str">
        <f>VLOOKUP(COLUMN()-2,Health!$F$14:$G$19,2,1)</f>
        <v>-0</v>
      </c>
      <c r="AG59" s="102" t="str">
        <f>VLOOKUP(COLUMN()-2,Health!$F$14:$G$19,2,1)</f>
        <v>-0</v>
      </c>
      <c r="AH59" s="102" t="str">
        <f>VLOOKUP(COLUMN()-2,Health!$F$14:$G$19,2,1)</f>
        <v>-0</v>
      </c>
      <c r="AI59" s="102" t="str">
        <f>VLOOKUP(COLUMN()-2,Health!$F$14:$G$19,2,1)</f>
        <v>-0</v>
      </c>
      <c r="AJ59" s="102" t="str">
        <f>VLOOKUP(COLUMN()-2,Health!$F$14:$G$19,2,1)</f>
        <v>-0</v>
      </c>
      <c r="AK59" s="102" t="str">
        <f>VLOOKUP(COLUMN()-2,Health!$F$14:$G$19,2,1)</f>
        <v>-0</v>
      </c>
      <c r="AL59" s="102" t="str">
        <f>VLOOKUP(COLUMN()-2,Health!$F$14:$G$19,2,1)</f>
        <v>-0</v>
      </c>
      <c r="AM59" s="102" t="str">
        <f>VLOOKUP(COLUMN()-2,Health!$F$14:$G$19,2,1)</f>
        <v>-0</v>
      </c>
      <c r="AN59" s="102" t="str">
        <f>VLOOKUP(COLUMN()-2,Health!$F$14:$G$19,2,1)</f>
        <v>-0</v>
      </c>
      <c r="AO59" s="102" t="str">
        <f>VLOOKUP(COLUMN()-2,Health!$F$14:$G$19,2,1)</f>
        <v>-0</v>
      </c>
      <c r="AP59" s="102" t="str">
        <f>VLOOKUP(COLUMN()-2,Health!$F$14:$G$19,2,1)</f>
        <v>-0</v>
      </c>
      <c r="AQ59" s="102" t="str">
        <f>VLOOKUP(COLUMN()-2,Health!$F$14:$G$19,2,1)</f>
        <v>-0</v>
      </c>
      <c r="AR59" s="102" t="str">
        <f>VLOOKUP(COLUMN()-2,Health!$F$14:$G$19,2,1)</f>
        <v>-0</v>
      </c>
      <c r="AS59" s="102" t="str">
        <f>VLOOKUP(COLUMN()-2,Health!$F$14:$G$19,2,1)</f>
        <v>-0</v>
      </c>
      <c r="AT59" s="102" t="str">
        <f>VLOOKUP(COLUMN()-2,Health!$F$14:$G$19,2,1)</f>
        <v>-0</v>
      </c>
      <c r="AU59" s="102" t="str">
        <f>VLOOKUP(COLUMN()-2,Health!$F$14:$G$19,2,1)</f>
        <v>-0</v>
      </c>
      <c r="AV59" s="102" t="str">
        <f>VLOOKUP(COLUMN()-2,Health!$F$14:$G$19,2,1)</f>
        <v>-0</v>
      </c>
      <c r="AW59" s="102" t="str">
        <f>VLOOKUP(COLUMN()-2,Health!$F$14:$G$19,2,1)</f>
        <v>-0</v>
      </c>
      <c r="AX59" s="93"/>
      <c r="AY59" s="96"/>
    </row>
    <row r="60" spans="1:60" ht="20.100000000000001" customHeight="1">
      <c r="A60" s="93"/>
      <c r="B60" s="93"/>
      <c r="C60" s="93"/>
      <c r="D60" s="93"/>
      <c r="E60" s="93"/>
      <c r="F60" s="93"/>
      <c r="G60" s="93"/>
      <c r="H60" s="93"/>
      <c r="I60" s="93"/>
      <c r="J60" s="93"/>
      <c r="K60" s="93"/>
      <c r="L60" s="93"/>
      <c r="M60" s="93"/>
      <c r="N60" s="93"/>
      <c r="O60" s="93"/>
      <c r="P60" s="93"/>
      <c r="R60" s="93"/>
      <c r="S60" s="93"/>
      <c r="T60" s="93"/>
      <c r="U60" s="93"/>
      <c r="W60" s="93"/>
      <c r="X60" s="323" t="s">
        <v>79</v>
      </c>
      <c r="Y60" s="323"/>
      <c r="Z60" s="323"/>
      <c r="AA60" s="323"/>
      <c r="AB60" s="323"/>
      <c r="AC60" s="93"/>
      <c r="AD60" s="93"/>
      <c r="AE60" s="93"/>
      <c r="AF60" s="93"/>
      <c r="AG60" s="93"/>
      <c r="AH60" s="93"/>
      <c r="AI60" s="98"/>
      <c r="AJ60" s="93"/>
      <c r="AK60" s="93"/>
      <c r="AL60" s="93"/>
      <c r="AM60" s="93"/>
      <c r="AN60" s="93"/>
      <c r="AO60" s="93"/>
      <c r="AP60" s="93"/>
      <c r="AQ60" s="93"/>
      <c r="AR60" s="93"/>
      <c r="AS60" s="93"/>
      <c r="AT60" s="93"/>
      <c r="AU60" s="93"/>
      <c r="AV60" s="93"/>
      <c r="AW60" s="93"/>
      <c r="AX60" s="93"/>
      <c r="AY60" s="96"/>
    </row>
    <row r="61" spans="1:60" ht="20.100000000000001" customHeight="1">
      <c r="A61" s="93"/>
      <c r="B61" s="93"/>
      <c r="C61" s="93"/>
      <c r="D61" s="93"/>
      <c r="E61" s="93"/>
      <c r="F61" s="93"/>
      <c r="G61" s="93"/>
      <c r="H61" s="93"/>
      <c r="I61" s="93"/>
      <c r="J61" s="93"/>
      <c r="K61" s="93"/>
      <c r="L61" s="93"/>
      <c r="M61" s="93"/>
      <c r="N61" s="93"/>
      <c r="O61" s="93"/>
      <c r="P61" s="93"/>
      <c r="Q61" s="93"/>
      <c r="R61" s="93"/>
      <c r="S61" s="93"/>
      <c r="T61" s="93"/>
      <c r="U61" s="93"/>
      <c r="W61" s="93"/>
      <c r="X61" s="323"/>
      <c r="Y61" s="323"/>
      <c r="Z61" s="323"/>
      <c r="AA61" s="323"/>
      <c r="AB61" s="323"/>
      <c r="AC61" s="93"/>
      <c r="AD61" s="93"/>
      <c r="AE61" s="93"/>
      <c r="AF61" s="93"/>
      <c r="AG61" s="93"/>
      <c r="AH61" s="93"/>
      <c r="AI61" s="93"/>
      <c r="AJ61" s="93"/>
      <c r="AK61" s="93"/>
      <c r="AL61" s="93"/>
      <c r="AM61" s="93"/>
      <c r="AN61" s="93"/>
      <c r="AO61" s="93"/>
      <c r="AP61" s="93"/>
      <c r="AQ61" s="93"/>
      <c r="AR61" s="93"/>
      <c r="AS61" s="93"/>
      <c r="AT61" s="93"/>
      <c r="AU61" s="93"/>
      <c r="AV61" s="93"/>
      <c r="AW61" s="93"/>
      <c r="AX61" s="93"/>
      <c r="AY61" s="96"/>
    </row>
    <row r="62" spans="1:60" ht="20.100000000000001" customHeight="1">
      <c r="A62" s="93"/>
      <c r="B62" s="290" t="s">
        <v>3152</v>
      </c>
      <c r="C62" s="290"/>
      <c r="D62" s="290"/>
      <c r="E62" s="290"/>
      <c r="F62" s="290"/>
      <c r="G62" s="290"/>
      <c r="H62" s="290"/>
      <c r="I62" s="290"/>
      <c r="J62" s="290"/>
      <c r="K62" s="93"/>
      <c r="M62" s="93"/>
      <c r="N62" s="290" t="s">
        <v>81</v>
      </c>
      <c r="O62" s="290"/>
      <c r="P62" s="290"/>
      <c r="Q62" s="290"/>
      <c r="R62" s="290"/>
      <c r="S62" s="93"/>
      <c r="T62" s="290" t="s">
        <v>3096</v>
      </c>
      <c r="U62" s="290"/>
      <c r="V62" s="290"/>
      <c r="W62" s="290"/>
      <c r="X62" s="290"/>
      <c r="Y62" s="290"/>
      <c r="Z62" s="93"/>
      <c r="AA62" s="290" t="s">
        <v>3152</v>
      </c>
      <c r="AB62" s="290"/>
      <c r="AC62" s="290"/>
      <c r="AD62" s="290"/>
      <c r="AE62" s="290"/>
      <c r="AF62" s="290"/>
      <c r="AG62" s="290"/>
      <c r="AH62" s="290"/>
      <c r="AI62" s="290"/>
      <c r="AJ62" s="93"/>
      <c r="AL62" s="93"/>
      <c r="AM62" s="290" t="s">
        <v>81</v>
      </c>
      <c r="AN62" s="290"/>
      <c r="AO62" s="290"/>
      <c r="AP62" s="290"/>
      <c r="AQ62" s="290"/>
      <c r="AR62" s="93"/>
      <c r="AS62" s="290" t="s">
        <v>3096</v>
      </c>
      <c r="AT62" s="290"/>
      <c r="AU62" s="290"/>
      <c r="AV62" s="290"/>
      <c r="AW62" s="290"/>
      <c r="AX62" s="290"/>
      <c r="AY62" s="123"/>
    </row>
    <row r="63" spans="1:60" ht="20.100000000000001" customHeight="1">
      <c r="A63" s="93"/>
      <c r="B63" s="319"/>
      <c r="C63" s="319"/>
      <c r="D63" s="319"/>
      <c r="E63" s="319"/>
      <c r="F63" s="319"/>
      <c r="G63" s="319"/>
      <c r="H63" s="319"/>
      <c r="I63" s="319"/>
      <c r="J63" s="319"/>
      <c r="K63" s="319"/>
      <c r="L63" s="319"/>
      <c r="M63" s="93"/>
      <c r="N63" s="288"/>
      <c r="O63" s="288"/>
      <c r="P63" s="288"/>
      <c r="Q63" s="288"/>
      <c r="R63" s="288"/>
      <c r="S63" s="93"/>
      <c r="T63" s="288"/>
      <c r="U63" s="288"/>
      <c r="V63" s="288"/>
      <c r="W63" s="288"/>
      <c r="X63" s="288"/>
      <c r="Y63" s="288"/>
      <c r="Z63" s="93"/>
      <c r="AA63" s="319"/>
      <c r="AB63" s="319"/>
      <c r="AC63" s="319"/>
      <c r="AD63" s="319"/>
      <c r="AE63" s="319"/>
      <c r="AF63" s="319"/>
      <c r="AG63" s="319"/>
      <c r="AH63" s="319"/>
      <c r="AI63" s="319"/>
      <c r="AJ63" s="319"/>
      <c r="AK63" s="319"/>
      <c r="AL63" s="93"/>
      <c r="AM63" s="288"/>
      <c r="AN63" s="288"/>
      <c r="AO63" s="288"/>
      <c r="AP63" s="288"/>
      <c r="AQ63" s="288"/>
      <c r="AR63" s="93"/>
      <c r="AS63" s="288"/>
      <c r="AT63" s="288"/>
      <c r="AU63" s="288"/>
      <c r="AV63" s="288"/>
      <c r="AW63" s="288"/>
      <c r="AX63" s="288"/>
      <c r="AY63" s="96"/>
    </row>
    <row r="64" spans="1:60" ht="20.100000000000001" customHeight="1">
      <c r="A64" s="93"/>
      <c r="B64" s="319"/>
      <c r="C64" s="319"/>
      <c r="D64" s="319"/>
      <c r="E64" s="319"/>
      <c r="F64" s="319"/>
      <c r="G64" s="319"/>
      <c r="H64" s="319"/>
      <c r="I64" s="319"/>
      <c r="J64" s="319"/>
      <c r="K64" s="319"/>
      <c r="L64" s="319"/>
      <c r="M64" s="93"/>
      <c r="N64" s="288"/>
      <c r="O64" s="288"/>
      <c r="P64" s="288"/>
      <c r="Q64" s="288"/>
      <c r="R64" s="288"/>
      <c r="S64" s="93"/>
      <c r="T64" s="288"/>
      <c r="U64" s="288"/>
      <c r="V64" s="288"/>
      <c r="W64" s="288"/>
      <c r="X64" s="288"/>
      <c r="Y64" s="288"/>
      <c r="Z64" s="93"/>
      <c r="AA64" s="319"/>
      <c r="AB64" s="319"/>
      <c r="AC64" s="319"/>
      <c r="AD64" s="319"/>
      <c r="AE64" s="319"/>
      <c r="AF64" s="319"/>
      <c r="AG64" s="319"/>
      <c r="AH64" s="319"/>
      <c r="AI64" s="319"/>
      <c r="AJ64" s="319"/>
      <c r="AK64" s="319"/>
      <c r="AL64" s="93"/>
      <c r="AM64" s="288"/>
      <c r="AN64" s="288"/>
      <c r="AO64" s="288"/>
      <c r="AP64" s="288"/>
      <c r="AQ64" s="288"/>
      <c r="AR64" s="93"/>
      <c r="AS64" s="288"/>
      <c r="AT64" s="288"/>
      <c r="AU64" s="288"/>
      <c r="AV64" s="288"/>
      <c r="AW64" s="288"/>
      <c r="AX64" s="288"/>
      <c r="AY64" s="96"/>
    </row>
    <row r="65" spans="1:51" ht="20.100000000000001" customHeight="1">
      <c r="A65" s="93"/>
      <c r="B65" s="319"/>
      <c r="C65" s="319"/>
      <c r="D65" s="319"/>
      <c r="E65" s="319"/>
      <c r="F65" s="319"/>
      <c r="G65" s="319"/>
      <c r="H65" s="319"/>
      <c r="I65" s="319"/>
      <c r="J65" s="319"/>
      <c r="K65" s="319"/>
      <c r="L65" s="319"/>
      <c r="M65" s="93"/>
      <c r="N65" s="288"/>
      <c r="O65" s="288"/>
      <c r="P65" s="288"/>
      <c r="Q65" s="288"/>
      <c r="R65" s="288"/>
      <c r="S65" s="93"/>
      <c r="T65" s="288"/>
      <c r="U65" s="288"/>
      <c r="V65" s="288"/>
      <c r="W65" s="288"/>
      <c r="X65" s="288"/>
      <c r="Y65" s="288"/>
      <c r="Z65" s="93"/>
      <c r="AA65" s="319"/>
      <c r="AB65" s="319"/>
      <c r="AC65" s="319"/>
      <c r="AD65" s="319"/>
      <c r="AE65" s="319"/>
      <c r="AF65" s="319"/>
      <c r="AG65" s="319"/>
      <c r="AH65" s="319"/>
      <c r="AI65" s="319"/>
      <c r="AJ65" s="319"/>
      <c r="AK65" s="319"/>
      <c r="AL65" s="93"/>
      <c r="AM65" s="288"/>
      <c r="AN65" s="288"/>
      <c r="AO65" s="288"/>
      <c r="AP65" s="288"/>
      <c r="AQ65" s="288"/>
      <c r="AR65" s="93"/>
      <c r="AS65" s="288"/>
      <c r="AT65" s="288"/>
      <c r="AU65" s="288"/>
      <c r="AV65" s="288"/>
      <c r="AW65" s="288"/>
      <c r="AX65" s="288"/>
      <c r="AY65" s="96"/>
    </row>
    <row r="66" spans="1:51" ht="20.100000000000001" customHeight="1">
      <c r="A66" s="93"/>
      <c r="B66" s="319"/>
      <c r="C66" s="319"/>
      <c r="D66" s="319"/>
      <c r="E66" s="319"/>
      <c r="F66" s="319"/>
      <c r="G66" s="319"/>
      <c r="H66" s="319"/>
      <c r="I66" s="319"/>
      <c r="J66" s="319"/>
      <c r="K66" s="319"/>
      <c r="L66" s="319"/>
      <c r="M66" s="93"/>
      <c r="N66" s="288"/>
      <c r="O66" s="288"/>
      <c r="P66" s="288"/>
      <c r="Q66" s="288"/>
      <c r="R66" s="288"/>
      <c r="S66" s="93"/>
      <c r="T66" s="288"/>
      <c r="U66" s="288"/>
      <c r="V66" s="288"/>
      <c r="W66" s="288"/>
      <c r="X66" s="288"/>
      <c r="Y66" s="288"/>
      <c r="Z66" s="93"/>
      <c r="AA66" s="319"/>
      <c r="AB66" s="319"/>
      <c r="AC66" s="319"/>
      <c r="AD66" s="319"/>
      <c r="AE66" s="319"/>
      <c r="AF66" s="319"/>
      <c r="AG66" s="319"/>
      <c r="AH66" s="319"/>
      <c r="AI66" s="319"/>
      <c r="AJ66" s="319"/>
      <c r="AK66" s="319"/>
      <c r="AL66" s="93"/>
      <c r="AM66" s="288"/>
      <c r="AN66" s="288"/>
      <c r="AO66" s="288"/>
      <c r="AP66" s="288"/>
      <c r="AQ66" s="288"/>
      <c r="AR66" s="93"/>
      <c r="AS66" s="288"/>
      <c r="AT66" s="288"/>
      <c r="AU66" s="288"/>
      <c r="AV66" s="288"/>
      <c r="AW66" s="288"/>
      <c r="AX66" s="288"/>
      <c r="AY66" s="96"/>
    </row>
    <row r="67" spans="1:51" ht="20.100000000000001" customHeight="1">
      <c r="A67" s="93"/>
      <c r="B67" s="319"/>
      <c r="C67" s="319"/>
      <c r="D67" s="319"/>
      <c r="E67" s="319"/>
      <c r="F67" s="319"/>
      <c r="G67" s="319"/>
      <c r="H67" s="319"/>
      <c r="I67" s="319"/>
      <c r="J67" s="319"/>
      <c r="K67" s="319"/>
      <c r="L67" s="319"/>
      <c r="M67" s="93"/>
      <c r="N67" s="288"/>
      <c r="O67" s="288"/>
      <c r="P67" s="288"/>
      <c r="Q67" s="288"/>
      <c r="R67" s="288"/>
      <c r="S67" s="93"/>
      <c r="T67" s="288"/>
      <c r="U67" s="288"/>
      <c r="V67" s="288"/>
      <c r="W67" s="288"/>
      <c r="X67" s="288"/>
      <c r="Y67" s="288"/>
      <c r="Z67" s="93"/>
      <c r="AA67" s="319"/>
      <c r="AB67" s="319"/>
      <c r="AC67" s="319"/>
      <c r="AD67" s="319"/>
      <c r="AE67" s="319"/>
      <c r="AF67" s="319"/>
      <c r="AG67" s="319"/>
      <c r="AH67" s="319"/>
      <c r="AI67" s="319"/>
      <c r="AJ67" s="319"/>
      <c r="AK67" s="319"/>
      <c r="AL67" s="93"/>
      <c r="AM67" s="288"/>
      <c r="AN67" s="288"/>
      <c r="AO67" s="288"/>
      <c r="AP67" s="288"/>
      <c r="AQ67" s="288"/>
      <c r="AR67" s="93"/>
      <c r="AS67" s="288"/>
      <c r="AT67" s="288"/>
      <c r="AU67" s="288"/>
      <c r="AV67" s="288"/>
      <c r="AW67" s="288"/>
      <c r="AX67" s="288"/>
      <c r="AY67" s="96"/>
    </row>
    <row r="68" spans="1:51" ht="20.100000000000001" customHeight="1">
      <c r="A68" s="93"/>
      <c r="B68" s="319"/>
      <c r="C68" s="319"/>
      <c r="D68" s="319"/>
      <c r="E68" s="319"/>
      <c r="F68" s="319"/>
      <c r="G68" s="319"/>
      <c r="H68" s="319"/>
      <c r="I68" s="319"/>
      <c r="J68" s="319"/>
      <c r="K68" s="319"/>
      <c r="L68" s="319"/>
      <c r="M68" s="93"/>
      <c r="N68" s="288"/>
      <c r="O68" s="288"/>
      <c r="P68" s="288"/>
      <c r="Q68" s="288"/>
      <c r="R68" s="288"/>
      <c r="S68" s="93"/>
      <c r="T68" s="288"/>
      <c r="U68" s="288"/>
      <c r="V68" s="288"/>
      <c r="W68" s="288"/>
      <c r="X68" s="288"/>
      <c r="Y68" s="288"/>
      <c r="Z68" s="93"/>
      <c r="AA68" s="319"/>
      <c r="AB68" s="319"/>
      <c r="AC68" s="319"/>
      <c r="AD68" s="319"/>
      <c r="AE68" s="319"/>
      <c r="AF68" s="319"/>
      <c r="AG68" s="319"/>
      <c r="AH68" s="319"/>
      <c r="AI68" s="319"/>
      <c r="AJ68" s="319"/>
      <c r="AK68" s="319"/>
      <c r="AL68" s="93"/>
      <c r="AM68" s="288"/>
      <c r="AN68" s="288"/>
      <c r="AO68" s="288"/>
      <c r="AP68" s="288"/>
      <c r="AQ68" s="288"/>
      <c r="AR68" s="93"/>
      <c r="AS68" s="288"/>
      <c r="AT68" s="288"/>
      <c r="AU68" s="288"/>
      <c r="AV68" s="288"/>
      <c r="AW68" s="288"/>
      <c r="AX68" s="288"/>
      <c r="AY68" s="96"/>
    </row>
    <row r="69" spans="1:51" ht="20.100000000000001" hidden="1" customHeight="1">
      <c r="A69" s="93"/>
      <c r="B69" s="319"/>
      <c r="C69" s="319"/>
      <c r="D69" s="319"/>
      <c r="E69" s="319"/>
      <c r="F69" s="319"/>
      <c r="G69" s="319"/>
      <c r="H69" s="319"/>
      <c r="I69" s="319"/>
      <c r="J69" s="319"/>
      <c r="K69" s="319"/>
      <c r="L69" s="319"/>
      <c r="M69" s="93"/>
      <c r="N69" s="288"/>
      <c r="O69" s="288"/>
      <c r="P69" s="288"/>
      <c r="Q69" s="288"/>
      <c r="R69" s="288"/>
      <c r="S69" s="93"/>
      <c r="T69" s="288"/>
      <c r="U69" s="288"/>
      <c r="V69" s="288"/>
      <c r="W69" s="288"/>
      <c r="X69" s="288"/>
      <c r="Y69" s="288"/>
      <c r="Z69" s="93"/>
      <c r="AA69" s="319"/>
      <c r="AB69" s="319"/>
      <c r="AC69" s="319"/>
      <c r="AD69" s="319"/>
      <c r="AE69" s="319"/>
      <c r="AF69" s="319"/>
      <c r="AG69" s="319"/>
      <c r="AH69" s="319"/>
      <c r="AI69" s="319"/>
      <c r="AJ69" s="319"/>
      <c r="AK69" s="319"/>
      <c r="AL69" s="93"/>
      <c r="AM69" s="288"/>
      <c r="AN69" s="288"/>
      <c r="AO69" s="288"/>
      <c r="AP69" s="288"/>
      <c r="AQ69" s="288"/>
      <c r="AR69" s="93"/>
      <c r="AS69" s="288"/>
      <c r="AT69" s="288"/>
      <c r="AU69" s="288"/>
      <c r="AV69" s="288"/>
      <c r="AW69" s="288"/>
      <c r="AX69" s="288"/>
      <c r="AY69" s="96"/>
    </row>
    <row r="70" spans="1:51" ht="20.100000000000001" hidden="1" customHeight="1">
      <c r="A70" s="93"/>
      <c r="B70" s="319"/>
      <c r="C70" s="319"/>
      <c r="D70" s="319"/>
      <c r="E70" s="319"/>
      <c r="F70" s="319"/>
      <c r="G70" s="319"/>
      <c r="H70" s="319"/>
      <c r="I70" s="319"/>
      <c r="J70" s="319"/>
      <c r="K70" s="319"/>
      <c r="L70" s="319"/>
      <c r="M70" s="93"/>
      <c r="N70" s="288"/>
      <c r="O70" s="288"/>
      <c r="P70" s="288"/>
      <c r="Q70" s="288"/>
      <c r="R70" s="288"/>
      <c r="S70" s="93"/>
      <c r="T70" s="288"/>
      <c r="U70" s="288"/>
      <c r="V70" s="288"/>
      <c r="W70" s="288"/>
      <c r="X70" s="288"/>
      <c r="Y70" s="288"/>
      <c r="Z70" s="93"/>
      <c r="AA70" s="319"/>
      <c r="AB70" s="319"/>
      <c r="AC70" s="319"/>
      <c r="AD70" s="319"/>
      <c r="AE70" s="319"/>
      <c r="AF70" s="319"/>
      <c r="AG70" s="319"/>
      <c r="AH70" s="319"/>
      <c r="AI70" s="319"/>
      <c r="AJ70" s="319"/>
      <c r="AK70" s="319"/>
      <c r="AL70" s="93"/>
      <c r="AM70" s="288"/>
      <c r="AN70" s="288"/>
      <c r="AO70" s="288"/>
      <c r="AP70" s="288"/>
      <c r="AQ70" s="288"/>
      <c r="AR70" s="93"/>
      <c r="AS70" s="288"/>
      <c r="AT70" s="288"/>
      <c r="AU70" s="288"/>
      <c r="AV70" s="288"/>
      <c r="AW70" s="288"/>
      <c r="AX70" s="288"/>
      <c r="AY70" s="96"/>
    </row>
    <row r="71" spans="1:51" ht="20.100000000000001" hidden="1" customHeight="1">
      <c r="A71" s="93"/>
      <c r="B71" s="319"/>
      <c r="C71" s="319"/>
      <c r="D71" s="319"/>
      <c r="E71" s="319"/>
      <c r="F71" s="319"/>
      <c r="G71" s="319"/>
      <c r="H71" s="319"/>
      <c r="I71" s="319"/>
      <c r="J71" s="319"/>
      <c r="K71" s="319"/>
      <c r="L71" s="319"/>
      <c r="M71" s="93"/>
      <c r="N71" s="288"/>
      <c r="O71" s="288"/>
      <c r="P71" s="288"/>
      <c r="Q71" s="288"/>
      <c r="R71" s="288"/>
      <c r="S71" s="93"/>
      <c r="T71" s="288"/>
      <c r="U71" s="288"/>
      <c r="V71" s="288"/>
      <c r="W71" s="288"/>
      <c r="X71" s="288"/>
      <c r="Y71" s="288"/>
      <c r="Z71" s="93"/>
      <c r="AA71" s="319"/>
      <c r="AB71" s="319"/>
      <c r="AC71" s="319"/>
      <c r="AD71" s="319"/>
      <c r="AE71" s="319"/>
      <c r="AF71" s="319"/>
      <c r="AG71" s="319"/>
      <c r="AH71" s="319"/>
      <c r="AI71" s="319"/>
      <c r="AJ71" s="319"/>
      <c r="AK71" s="319"/>
      <c r="AL71" s="93"/>
      <c r="AM71" s="288"/>
      <c r="AN71" s="288"/>
      <c r="AO71" s="288"/>
      <c r="AP71" s="288"/>
      <c r="AQ71" s="288"/>
      <c r="AR71" s="93"/>
      <c r="AS71" s="288"/>
      <c r="AT71" s="288"/>
      <c r="AU71" s="288"/>
      <c r="AV71" s="288"/>
      <c r="AW71" s="288"/>
      <c r="AX71" s="288"/>
      <c r="AY71" s="96"/>
    </row>
    <row r="72" spans="1:51" ht="20.100000000000001" hidden="1" customHeight="1">
      <c r="A72" s="93"/>
      <c r="B72" s="319"/>
      <c r="C72" s="319"/>
      <c r="D72" s="319"/>
      <c r="E72" s="319"/>
      <c r="F72" s="319"/>
      <c r="G72" s="319"/>
      <c r="H72" s="319"/>
      <c r="I72" s="319"/>
      <c r="J72" s="319"/>
      <c r="K72" s="319"/>
      <c r="L72" s="319"/>
      <c r="M72" s="93"/>
      <c r="N72" s="288"/>
      <c r="O72" s="288"/>
      <c r="P72" s="288"/>
      <c r="Q72" s="288"/>
      <c r="R72" s="288"/>
      <c r="S72" s="93"/>
      <c r="T72" s="288"/>
      <c r="U72" s="288"/>
      <c r="V72" s="288"/>
      <c r="W72" s="288"/>
      <c r="X72" s="288"/>
      <c r="Y72" s="288"/>
      <c r="Z72" s="93"/>
      <c r="AA72" s="319"/>
      <c r="AB72" s="319"/>
      <c r="AC72" s="319"/>
      <c r="AD72" s="319"/>
      <c r="AE72" s="319"/>
      <c r="AF72" s="319"/>
      <c r="AG72" s="319"/>
      <c r="AH72" s="319"/>
      <c r="AI72" s="319"/>
      <c r="AJ72" s="319"/>
      <c r="AK72" s="319"/>
      <c r="AL72" s="93"/>
      <c r="AM72" s="288"/>
      <c r="AN72" s="288"/>
      <c r="AO72" s="288"/>
      <c r="AP72" s="288"/>
      <c r="AQ72" s="288"/>
      <c r="AR72" s="93"/>
      <c r="AS72" s="288"/>
      <c r="AT72" s="288"/>
      <c r="AU72" s="288"/>
      <c r="AV72" s="288"/>
      <c r="AW72" s="288"/>
      <c r="AX72" s="288"/>
      <c r="AY72" s="96"/>
    </row>
    <row r="73" spans="1:51" ht="20.100000000000001" hidden="1" customHeight="1">
      <c r="A73" s="93"/>
      <c r="B73" s="319"/>
      <c r="C73" s="319"/>
      <c r="D73" s="319"/>
      <c r="E73" s="319"/>
      <c r="F73" s="319"/>
      <c r="G73" s="319"/>
      <c r="H73" s="319"/>
      <c r="I73" s="319"/>
      <c r="J73" s="319"/>
      <c r="K73" s="319"/>
      <c r="L73" s="319"/>
      <c r="M73" s="93"/>
      <c r="N73" s="288"/>
      <c r="O73" s="288"/>
      <c r="P73" s="288"/>
      <c r="Q73" s="288"/>
      <c r="R73" s="288"/>
      <c r="S73" s="93"/>
      <c r="T73" s="288"/>
      <c r="U73" s="288"/>
      <c r="V73" s="288"/>
      <c r="W73" s="288"/>
      <c r="X73" s="288"/>
      <c r="Y73" s="288"/>
      <c r="Z73" s="93"/>
      <c r="AA73" s="319"/>
      <c r="AB73" s="319"/>
      <c r="AC73" s="319"/>
      <c r="AD73" s="319"/>
      <c r="AE73" s="319"/>
      <c r="AF73" s="319"/>
      <c r="AG73" s="319"/>
      <c r="AH73" s="319"/>
      <c r="AI73" s="319"/>
      <c r="AJ73" s="319"/>
      <c r="AK73" s="319"/>
      <c r="AL73" s="93"/>
      <c r="AM73" s="288"/>
      <c r="AN73" s="288"/>
      <c r="AO73" s="288"/>
      <c r="AP73" s="288"/>
      <c r="AQ73" s="288"/>
      <c r="AR73" s="93"/>
      <c r="AS73" s="288"/>
      <c r="AT73" s="288"/>
      <c r="AU73" s="288"/>
      <c r="AV73" s="288"/>
      <c r="AW73" s="288"/>
      <c r="AX73" s="288"/>
      <c r="AY73" s="96"/>
    </row>
    <row r="74" spans="1:51" ht="20.100000000000001" hidden="1" customHeight="1">
      <c r="A74" s="93"/>
      <c r="B74" s="319"/>
      <c r="C74" s="319"/>
      <c r="D74" s="319"/>
      <c r="E74" s="319"/>
      <c r="F74" s="319"/>
      <c r="G74" s="319"/>
      <c r="H74" s="319"/>
      <c r="I74" s="319"/>
      <c r="J74" s="319"/>
      <c r="K74" s="319"/>
      <c r="L74" s="319"/>
      <c r="M74" s="93"/>
      <c r="N74" s="288"/>
      <c r="O74" s="288"/>
      <c r="P74" s="288"/>
      <c r="Q74" s="288"/>
      <c r="R74" s="288"/>
      <c r="S74" s="93"/>
      <c r="T74" s="288"/>
      <c r="U74" s="288"/>
      <c r="V74" s="288"/>
      <c r="W74" s="288"/>
      <c r="X74" s="288"/>
      <c r="Y74" s="288"/>
      <c r="Z74" s="93"/>
      <c r="AA74" s="319"/>
      <c r="AB74" s="319"/>
      <c r="AC74" s="319"/>
      <c r="AD74" s="319"/>
      <c r="AE74" s="319"/>
      <c r="AF74" s="319"/>
      <c r="AG74" s="319"/>
      <c r="AH74" s="319"/>
      <c r="AI74" s="319"/>
      <c r="AJ74" s="319"/>
      <c r="AK74" s="319"/>
      <c r="AL74" s="93"/>
      <c r="AM74" s="288"/>
      <c r="AN74" s="288"/>
      <c r="AO74" s="288"/>
      <c r="AP74" s="288"/>
      <c r="AQ74" s="288"/>
      <c r="AR74" s="93"/>
      <c r="AS74" s="288"/>
      <c r="AT74" s="288"/>
      <c r="AU74" s="288"/>
      <c r="AV74" s="288"/>
      <c r="AW74" s="288"/>
      <c r="AX74" s="288"/>
      <c r="AY74" s="96"/>
    </row>
    <row r="75" spans="1:51" ht="20.100000000000001" hidden="1" customHeight="1">
      <c r="A75" s="93"/>
      <c r="B75" s="319"/>
      <c r="C75" s="319"/>
      <c r="D75" s="319"/>
      <c r="E75" s="319"/>
      <c r="F75" s="319"/>
      <c r="G75" s="319"/>
      <c r="H75" s="319"/>
      <c r="I75" s="319"/>
      <c r="J75" s="319"/>
      <c r="K75" s="319"/>
      <c r="L75" s="319"/>
      <c r="M75" s="93"/>
      <c r="N75" s="288"/>
      <c r="O75" s="288"/>
      <c r="P75" s="288"/>
      <c r="Q75" s="288"/>
      <c r="R75" s="288"/>
      <c r="S75" s="93"/>
      <c r="T75" s="288"/>
      <c r="U75" s="288"/>
      <c r="V75" s="288"/>
      <c r="W75" s="288"/>
      <c r="X75" s="288"/>
      <c r="Y75" s="288"/>
      <c r="Z75" s="93"/>
      <c r="AA75" s="319"/>
      <c r="AB75" s="319"/>
      <c r="AC75" s="319"/>
      <c r="AD75" s="319"/>
      <c r="AE75" s="319"/>
      <c r="AF75" s="319"/>
      <c r="AG75" s="319"/>
      <c r="AH75" s="319"/>
      <c r="AI75" s="319"/>
      <c r="AJ75" s="319"/>
      <c r="AK75" s="319"/>
      <c r="AL75" s="93"/>
      <c r="AM75" s="288"/>
      <c r="AN75" s="288"/>
      <c r="AO75" s="288"/>
      <c r="AP75" s="288"/>
      <c r="AQ75" s="288"/>
      <c r="AR75" s="93"/>
      <c r="AS75" s="288"/>
      <c r="AT75" s="288"/>
      <c r="AU75" s="288"/>
      <c r="AV75" s="288"/>
      <c r="AW75" s="288"/>
      <c r="AX75" s="288"/>
      <c r="AY75" s="96"/>
    </row>
    <row r="76" spans="1:51" ht="20.100000000000001" hidden="1" customHeight="1">
      <c r="A76" s="93"/>
      <c r="B76" s="319"/>
      <c r="C76" s="319"/>
      <c r="D76" s="319"/>
      <c r="E76" s="319"/>
      <c r="F76" s="319"/>
      <c r="G76" s="319"/>
      <c r="H76" s="319"/>
      <c r="I76" s="319"/>
      <c r="J76" s="319"/>
      <c r="K76" s="319"/>
      <c r="L76" s="319"/>
      <c r="M76" s="93"/>
      <c r="N76" s="288"/>
      <c r="O76" s="288"/>
      <c r="P76" s="288"/>
      <c r="Q76" s="288"/>
      <c r="R76" s="288"/>
      <c r="S76" s="93"/>
      <c r="T76" s="288"/>
      <c r="U76" s="288"/>
      <c r="V76" s="288"/>
      <c r="W76" s="288"/>
      <c r="X76" s="288"/>
      <c r="Y76" s="288"/>
      <c r="Z76" s="93"/>
      <c r="AA76" s="319"/>
      <c r="AB76" s="319"/>
      <c r="AC76" s="319"/>
      <c r="AD76" s="319"/>
      <c r="AE76" s="319"/>
      <c r="AF76" s="319"/>
      <c r="AG76" s="319"/>
      <c r="AH76" s="319"/>
      <c r="AI76" s="319"/>
      <c r="AJ76" s="319"/>
      <c r="AK76" s="319"/>
      <c r="AL76" s="93"/>
      <c r="AM76" s="288"/>
      <c r="AN76" s="288"/>
      <c r="AO76" s="288"/>
      <c r="AP76" s="288"/>
      <c r="AQ76" s="288"/>
      <c r="AR76" s="93"/>
      <c r="AS76" s="288"/>
      <c r="AT76" s="288"/>
      <c r="AU76" s="288"/>
      <c r="AV76" s="288"/>
      <c r="AW76" s="288"/>
      <c r="AX76" s="288"/>
      <c r="AY76" s="96"/>
    </row>
    <row r="77" spans="1:51" ht="20.100000000000001" hidden="1" customHeight="1">
      <c r="A77" s="93"/>
      <c r="B77" s="319"/>
      <c r="C77" s="319"/>
      <c r="D77" s="319"/>
      <c r="E77" s="319"/>
      <c r="F77" s="319"/>
      <c r="G77" s="319"/>
      <c r="H77" s="319"/>
      <c r="I77" s="319"/>
      <c r="J77" s="319"/>
      <c r="K77" s="319"/>
      <c r="L77" s="319"/>
      <c r="M77" s="93"/>
      <c r="N77" s="288"/>
      <c r="O77" s="288"/>
      <c r="P77" s="288"/>
      <c r="Q77" s="288"/>
      <c r="R77" s="288"/>
      <c r="S77" s="93"/>
      <c r="T77" s="288"/>
      <c r="U77" s="288"/>
      <c r="V77" s="288"/>
      <c r="W77" s="288"/>
      <c r="X77" s="288"/>
      <c r="Y77" s="288"/>
      <c r="Z77" s="93"/>
      <c r="AA77" s="319"/>
      <c r="AB77" s="319"/>
      <c r="AC77" s="319"/>
      <c r="AD77" s="319"/>
      <c r="AE77" s="319"/>
      <c r="AF77" s="319"/>
      <c r="AG77" s="319"/>
      <c r="AH77" s="319"/>
      <c r="AI77" s="319"/>
      <c r="AJ77" s="319"/>
      <c r="AK77" s="319"/>
      <c r="AL77" s="93"/>
      <c r="AM77" s="288"/>
      <c r="AN77" s="288"/>
      <c r="AO77" s="288"/>
      <c r="AP77" s="288"/>
      <c r="AQ77" s="288"/>
      <c r="AR77" s="93"/>
      <c r="AS77" s="288"/>
      <c r="AT77" s="288"/>
      <c r="AU77" s="288"/>
      <c r="AV77" s="288"/>
      <c r="AW77" s="288"/>
      <c r="AX77" s="288"/>
      <c r="AY77" s="96"/>
    </row>
    <row r="78" spans="1:51" ht="20.100000000000001" hidden="1" customHeight="1">
      <c r="A78" s="93"/>
      <c r="B78" s="319"/>
      <c r="C78" s="319"/>
      <c r="D78" s="319"/>
      <c r="E78" s="319"/>
      <c r="F78" s="319"/>
      <c r="G78" s="319"/>
      <c r="H78" s="319"/>
      <c r="I78" s="319"/>
      <c r="J78" s="319"/>
      <c r="K78" s="319"/>
      <c r="L78" s="319"/>
      <c r="M78" s="93"/>
      <c r="N78" s="288"/>
      <c r="O78" s="288"/>
      <c r="P78" s="288"/>
      <c r="Q78" s="288"/>
      <c r="R78" s="288"/>
      <c r="S78" s="93"/>
      <c r="T78" s="288"/>
      <c r="U78" s="288"/>
      <c r="V78" s="288"/>
      <c r="W78" s="288"/>
      <c r="X78" s="288"/>
      <c r="Y78" s="288"/>
      <c r="Z78" s="93"/>
      <c r="AA78" s="319"/>
      <c r="AB78" s="319"/>
      <c r="AC78" s="319"/>
      <c r="AD78" s="319"/>
      <c r="AE78" s="319"/>
      <c r="AF78" s="319"/>
      <c r="AG78" s="319"/>
      <c r="AH78" s="319"/>
      <c r="AI78" s="319"/>
      <c r="AJ78" s="319"/>
      <c r="AK78" s="319"/>
      <c r="AL78" s="93"/>
      <c r="AM78" s="288"/>
      <c r="AN78" s="288"/>
      <c r="AO78" s="288"/>
      <c r="AP78" s="288"/>
      <c r="AQ78" s="288"/>
      <c r="AR78" s="93"/>
      <c r="AS78" s="288"/>
      <c r="AT78" s="288"/>
      <c r="AU78" s="288"/>
      <c r="AV78" s="288"/>
      <c r="AW78" s="288"/>
      <c r="AX78" s="288"/>
      <c r="AY78" s="96"/>
    </row>
    <row r="79" spans="1:51" ht="20.100000000000001" hidden="1" customHeight="1">
      <c r="A79" s="93"/>
      <c r="B79" s="319"/>
      <c r="C79" s="319"/>
      <c r="D79" s="319"/>
      <c r="E79" s="319"/>
      <c r="F79" s="319"/>
      <c r="G79" s="319"/>
      <c r="H79" s="319"/>
      <c r="I79" s="319"/>
      <c r="J79" s="319"/>
      <c r="K79" s="319"/>
      <c r="L79" s="319"/>
      <c r="M79" s="93"/>
      <c r="N79" s="288"/>
      <c r="O79" s="288"/>
      <c r="P79" s="288"/>
      <c r="Q79" s="288"/>
      <c r="R79" s="288"/>
      <c r="S79" s="93"/>
      <c r="T79" s="288"/>
      <c r="U79" s="288"/>
      <c r="V79" s="288"/>
      <c r="W79" s="288"/>
      <c r="X79" s="288"/>
      <c r="Y79" s="288"/>
      <c r="Z79" s="93"/>
      <c r="AA79" s="319"/>
      <c r="AB79" s="319"/>
      <c r="AC79" s="319"/>
      <c r="AD79" s="319"/>
      <c r="AE79" s="319"/>
      <c r="AF79" s="319"/>
      <c r="AG79" s="319"/>
      <c r="AH79" s="319"/>
      <c r="AI79" s="319"/>
      <c r="AJ79" s="319"/>
      <c r="AK79" s="319"/>
      <c r="AL79" s="93"/>
      <c r="AM79" s="288"/>
      <c r="AN79" s="288"/>
      <c r="AO79" s="288"/>
      <c r="AP79" s="288"/>
      <c r="AQ79" s="288"/>
      <c r="AR79" s="93"/>
      <c r="AS79" s="288"/>
      <c r="AT79" s="288"/>
      <c r="AU79" s="288"/>
      <c r="AV79" s="288"/>
      <c r="AW79" s="288"/>
      <c r="AX79" s="288"/>
      <c r="AY79" s="96"/>
    </row>
    <row r="80" spans="1:51" ht="20.100000000000001" hidden="1" customHeight="1">
      <c r="A80" s="93"/>
      <c r="B80" s="319"/>
      <c r="C80" s="319"/>
      <c r="D80" s="319"/>
      <c r="E80" s="319"/>
      <c r="F80" s="319"/>
      <c r="G80" s="319"/>
      <c r="H80" s="319"/>
      <c r="I80" s="319"/>
      <c r="J80" s="319"/>
      <c r="K80" s="319"/>
      <c r="L80" s="319"/>
      <c r="M80" s="93"/>
      <c r="N80" s="288"/>
      <c r="O80" s="288"/>
      <c r="P80" s="288"/>
      <c r="Q80" s="288"/>
      <c r="R80" s="288"/>
      <c r="S80" s="93"/>
      <c r="T80" s="288"/>
      <c r="U80" s="288"/>
      <c r="V80" s="288"/>
      <c r="W80" s="288"/>
      <c r="X80" s="288"/>
      <c r="Y80" s="288"/>
      <c r="Z80" s="93"/>
      <c r="AA80" s="319"/>
      <c r="AB80" s="319"/>
      <c r="AC80" s="319"/>
      <c r="AD80" s="319"/>
      <c r="AE80" s="319"/>
      <c r="AF80" s="319"/>
      <c r="AG80" s="319"/>
      <c r="AH80" s="319"/>
      <c r="AI80" s="319"/>
      <c r="AJ80" s="319"/>
      <c r="AK80" s="319"/>
      <c r="AL80" s="93"/>
      <c r="AM80" s="288"/>
      <c r="AN80" s="288"/>
      <c r="AO80" s="288"/>
      <c r="AP80" s="288"/>
      <c r="AQ80" s="288"/>
      <c r="AR80" s="93"/>
      <c r="AS80" s="288"/>
      <c r="AT80" s="288"/>
      <c r="AU80" s="288"/>
      <c r="AV80" s="288"/>
      <c r="AW80" s="288"/>
      <c r="AX80" s="288"/>
      <c r="AY80" s="96"/>
    </row>
    <row r="81" spans="1:51" ht="20.100000000000001" hidden="1" customHeight="1">
      <c r="A81" s="93"/>
      <c r="B81" s="319"/>
      <c r="C81" s="319"/>
      <c r="D81" s="319"/>
      <c r="E81" s="319"/>
      <c r="F81" s="319"/>
      <c r="G81" s="319"/>
      <c r="H81" s="319"/>
      <c r="I81" s="319"/>
      <c r="J81" s="319"/>
      <c r="K81" s="319"/>
      <c r="L81" s="319"/>
      <c r="M81" s="93"/>
      <c r="N81" s="288"/>
      <c r="O81" s="288"/>
      <c r="P81" s="288"/>
      <c r="Q81" s="288"/>
      <c r="R81" s="288"/>
      <c r="S81" s="93"/>
      <c r="T81" s="288"/>
      <c r="U81" s="288"/>
      <c r="V81" s="288"/>
      <c r="W81" s="288"/>
      <c r="X81" s="288"/>
      <c r="Y81" s="288"/>
      <c r="Z81" s="93"/>
      <c r="AA81" s="319"/>
      <c r="AB81" s="319"/>
      <c r="AC81" s="319"/>
      <c r="AD81" s="319"/>
      <c r="AE81" s="319"/>
      <c r="AF81" s="319"/>
      <c r="AG81" s="319"/>
      <c r="AH81" s="319"/>
      <c r="AI81" s="319"/>
      <c r="AJ81" s="319"/>
      <c r="AK81" s="319"/>
      <c r="AL81" s="93"/>
      <c r="AM81" s="288"/>
      <c r="AN81" s="288"/>
      <c r="AO81" s="288"/>
      <c r="AP81" s="288"/>
      <c r="AQ81" s="288"/>
      <c r="AR81" s="93"/>
      <c r="AS81" s="288"/>
      <c r="AT81" s="288"/>
      <c r="AU81" s="288"/>
      <c r="AV81" s="288"/>
      <c r="AW81" s="288"/>
      <c r="AX81" s="288"/>
      <c r="AY81" s="96"/>
    </row>
    <row r="82" spans="1:51" ht="20.100000000000001" hidden="1" customHeight="1">
      <c r="A82" s="93"/>
      <c r="B82" s="319"/>
      <c r="C82" s="319"/>
      <c r="D82" s="319"/>
      <c r="E82" s="319"/>
      <c r="F82" s="319"/>
      <c r="G82" s="319"/>
      <c r="H82" s="319"/>
      <c r="I82" s="319"/>
      <c r="J82" s="319"/>
      <c r="K82" s="319"/>
      <c r="L82" s="319"/>
      <c r="M82" s="93"/>
      <c r="N82" s="288"/>
      <c r="O82" s="288"/>
      <c r="P82" s="288"/>
      <c r="Q82" s="288"/>
      <c r="R82" s="288"/>
      <c r="S82" s="93"/>
      <c r="T82" s="288"/>
      <c r="U82" s="288"/>
      <c r="V82" s="288"/>
      <c r="W82" s="288"/>
      <c r="X82" s="288"/>
      <c r="Y82" s="288"/>
      <c r="Z82" s="93"/>
      <c r="AA82" s="319"/>
      <c r="AB82" s="319"/>
      <c r="AC82" s="319"/>
      <c r="AD82" s="319"/>
      <c r="AE82" s="319"/>
      <c r="AF82" s="319"/>
      <c r="AG82" s="319"/>
      <c r="AH82" s="319"/>
      <c r="AI82" s="319"/>
      <c r="AJ82" s="319"/>
      <c r="AK82" s="319"/>
      <c r="AL82" s="93"/>
      <c r="AM82" s="288"/>
      <c r="AN82" s="288"/>
      <c r="AO82" s="288"/>
      <c r="AP82" s="288"/>
      <c r="AQ82" s="288"/>
      <c r="AR82" s="93"/>
      <c r="AS82" s="288"/>
      <c r="AT82" s="288"/>
      <c r="AU82" s="288"/>
      <c r="AV82" s="288"/>
      <c r="AW82" s="288"/>
      <c r="AX82" s="288"/>
      <c r="AY82" s="96"/>
    </row>
    <row r="83" spans="1:51" ht="20.100000000000001" hidden="1" customHeight="1">
      <c r="A83" s="93"/>
      <c r="B83" s="319"/>
      <c r="C83" s="319"/>
      <c r="D83" s="319"/>
      <c r="E83" s="319"/>
      <c r="F83" s="319"/>
      <c r="G83" s="319"/>
      <c r="H83" s="319"/>
      <c r="I83" s="319"/>
      <c r="J83" s="319"/>
      <c r="K83" s="319"/>
      <c r="L83" s="319"/>
      <c r="M83" s="93"/>
      <c r="N83" s="288"/>
      <c r="O83" s="288"/>
      <c r="P83" s="288"/>
      <c r="Q83" s="288"/>
      <c r="R83" s="288"/>
      <c r="S83" s="93"/>
      <c r="T83" s="288"/>
      <c r="U83" s="288"/>
      <c r="V83" s="288"/>
      <c r="W83" s="288"/>
      <c r="X83" s="288"/>
      <c r="Y83" s="288"/>
      <c r="Z83" s="93"/>
      <c r="AA83" s="319"/>
      <c r="AB83" s="319"/>
      <c r="AC83" s="319"/>
      <c r="AD83" s="319"/>
      <c r="AE83" s="319"/>
      <c r="AF83" s="319"/>
      <c r="AG83" s="319"/>
      <c r="AH83" s="319"/>
      <c r="AI83" s="319"/>
      <c r="AJ83" s="319"/>
      <c r="AK83" s="319"/>
      <c r="AL83" s="93"/>
      <c r="AM83" s="288"/>
      <c r="AN83" s="288"/>
      <c r="AO83" s="288"/>
      <c r="AP83" s="288"/>
      <c r="AQ83" s="288"/>
      <c r="AR83" s="93"/>
      <c r="AS83" s="288"/>
      <c r="AT83" s="288"/>
      <c r="AU83" s="288"/>
      <c r="AV83" s="288"/>
      <c r="AW83" s="288"/>
      <c r="AX83" s="288"/>
      <c r="AY83" s="96"/>
    </row>
    <row r="84" spans="1:51" ht="20.100000000000001" hidden="1" customHeight="1">
      <c r="A84" s="93"/>
      <c r="B84" s="319"/>
      <c r="C84" s="319"/>
      <c r="D84" s="319"/>
      <c r="E84" s="319"/>
      <c r="F84" s="319"/>
      <c r="G84" s="319"/>
      <c r="H84" s="319"/>
      <c r="I84" s="319"/>
      <c r="J84" s="319"/>
      <c r="K84" s="319"/>
      <c r="L84" s="319"/>
      <c r="M84" s="93"/>
      <c r="N84" s="288"/>
      <c r="O84" s="288"/>
      <c r="P84" s="288"/>
      <c r="Q84" s="288"/>
      <c r="R84" s="288"/>
      <c r="S84" s="93"/>
      <c r="T84" s="288"/>
      <c r="U84" s="288"/>
      <c r="V84" s="288"/>
      <c r="W84" s="288"/>
      <c r="X84" s="288"/>
      <c r="Y84" s="288"/>
      <c r="Z84" s="93"/>
      <c r="AA84" s="319"/>
      <c r="AB84" s="319"/>
      <c r="AC84" s="319"/>
      <c r="AD84" s="319"/>
      <c r="AE84" s="319"/>
      <c r="AF84" s="319"/>
      <c r="AG84" s="319"/>
      <c r="AH84" s="319"/>
      <c r="AI84" s="319"/>
      <c r="AJ84" s="319"/>
      <c r="AK84" s="319"/>
      <c r="AL84" s="93"/>
      <c r="AM84" s="288"/>
      <c r="AN84" s="288"/>
      <c r="AO84" s="288"/>
      <c r="AP84" s="288"/>
      <c r="AQ84" s="288"/>
      <c r="AR84" s="93"/>
      <c r="AS84" s="288"/>
      <c r="AT84" s="288"/>
      <c r="AU84" s="288"/>
      <c r="AV84" s="288"/>
      <c r="AW84" s="288"/>
      <c r="AX84" s="288"/>
      <c r="AY84" s="96"/>
    </row>
    <row r="85" spans="1:51" ht="20.100000000000001" hidden="1" customHeight="1">
      <c r="A85" s="93"/>
      <c r="B85" s="319"/>
      <c r="C85" s="319"/>
      <c r="D85" s="319"/>
      <c r="E85" s="319"/>
      <c r="F85" s="319"/>
      <c r="G85" s="319"/>
      <c r="H85" s="319"/>
      <c r="I85" s="319"/>
      <c r="J85" s="319"/>
      <c r="K85" s="319"/>
      <c r="L85" s="319"/>
      <c r="M85" s="93"/>
      <c r="N85" s="288"/>
      <c r="O85" s="288"/>
      <c r="P85" s="288"/>
      <c r="Q85" s="288"/>
      <c r="R85" s="288"/>
      <c r="S85" s="93"/>
      <c r="T85" s="288"/>
      <c r="U85" s="288"/>
      <c r="V85" s="288"/>
      <c r="W85" s="288"/>
      <c r="X85" s="288"/>
      <c r="Y85" s="288"/>
      <c r="Z85" s="93"/>
      <c r="AA85" s="319"/>
      <c r="AB85" s="319"/>
      <c r="AC85" s="319"/>
      <c r="AD85" s="319"/>
      <c r="AE85" s="319"/>
      <c r="AF85" s="319"/>
      <c r="AG85" s="319"/>
      <c r="AH85" s="319"/>
      <c r="AI85" s="319"/>
      <c r="AJ85" s="319"/>
      <c r="AK85" s="319"/>
      <c r="AL85" s="93"/>
      <c r="AM85" s="288"/>
      <c r="AN85" s="288"/>
      <c r="AO85" s="288"/>
      <c r="AP85" s="288"/>
      <c r="AQ85" s="288"/>
      <c r="AR85" s="93"/>
      <c r="AS85" s="288"/>
      <c r="AT85" s="288"/>
      <c r="AU85" s="288"/>
      <c r="AV85" s="288"/>
      <c r="AW85" s="288"/>
      <c r="AX85" s="288"/>
      <c r="AY85" s="96"/>
    </row>
    <row r="86" spans="1:51" ht="20.100000000000001" hidden="1" customHeight="1">
      <c r="A86" s="93"/>
      <c r="B86" s="319"/>
      <c r="C86" s="319"/>
      <c r="D86" s="319"/>
      <c r="E86" s="319"/>
      <c r="F86" s="319"/>
      <c r="G86" s="319"/>
      <c r="H86" s="319"/>
      <c r="I86" s="319"/>
      <c r="J86" s="319"/>
      <c r="K86" s="319"/>
      <c r="L86" s="319"/>
      <c r="M86" s="93"/>
      <c r="N86" s="288"/>
      <c r="O86" s="288"/>
      <c r="P86" s="288"/>
      <c r="Q86" s="288"/>
      <c r="R86" s="288"/>
      <c r="S86" s="93"/>
      <c r="T86" s="288"/>
      <c r="U86" s="288"/>
      <c r="V86" s="288"/>
      <c r="W86" s="288"/>
      <c r="X86" s="288"/>
      <c r="Y86" s="288"/>
      <c r="Z86" s="93"/>
      <c r="AA86" s="319"/>
      <c r="AB86" s="319"/>
      <c r="AC86" s="319"/>
      <c r="AD86" s="319"/>
      <c r="AE86" s="319"/>
      <c r="AF86" s="319"/>
      <c r="AG86" s="319"/>
      <c r="AH86" s="319"/>
      <c r="AI86" s="319"/>
      <c r="AJ86" s="319"/>
      <c r="AK86" s="319"/>
      <c r="AL86" s="93"/>
      <c r="AM86" s="288"/>
      <c r="AN86" s="288"/>
      <c r="AO86" s="288"/>
      <c r="AP86" s="288"/>
      <c r="AQ86" s="288"/>
      <c r="AR86" s="93"/>
      <c r="AS86" s="288"/>
      <c r="AT86" s="288"/>
      <c r="AU86" s="288"/>
      <c r="AV86" s="288"/>
      <c r="AW86" s="288"/>
      <c r="AX86" s="288"/>
      <c r="AY86" s="96"/>
    </row>
    <row r="87" spans="1:51" ht="20.100000000000001" hidden="1" customHeight="1">
      <c r="A87" s="93"/>
      <c r="B87" s="319"/>
      <c r="C87" s="319"/>
      <c r="D87" s="319"/>
      <c r="E87" s="319"/>
      <c r="F87" s="319"/>
      <c r="G87" s="319"/>
      <c r="H87" s="319"/>
      <c r="I87" s="319"/>
      <c r="J87" s="319"/>
      <c r="K87" s="319"/>
      <c r="L87" s="319"/>
      <c r="M87" s="93"/>
      <c r="N87" s="288"/>
      <c r="O87" s="288"/>
      <c r="P87" s="288"/>
      <c r="Q87" s="288"/>
      <c r="R87" s="288"/>
      <c r="S87" s="93"/>
      <c r="T87" s="288"/>
      <c r="U87" s="288"/>
      <c r="V87" s="288"/>
      <c r="W87" s="288"/>
      <c r="X87" s="288"/>
      <c r="Y87" s="288"/>
      <c r="Z87" s="93"/>
      <c r="AA87" s="319"/>
      <c r="AB87" s="319"/>
      <c r="AC87" s="319"/>
      <c r="AD87" s="319"/>
      <c r="AE87" s="319"/>
      <c r="AF87" s="319"/>
      <c r="AG87" s="319"/>
      <c r="AH87" s="319"/>
      <c r="AI87" s="319"/>
      <c r="AJ87" s="319"/>
      <c r="AK87" s="319"/>
      <c r="AL87" s="93"/>
      <c r="AM87" s="288"/>
      <c r="AN87" s="288"/>
      <c r="AO87" s="288"/>
      <c r="AP87" s="288"/>
      <c r="AQ87" s="288"/>
      <c r="AR87" s="93"/>
      <c r="AS87" s="288"/>
      <c r="AT87" s="288"/>
      <c r="AU87" s="288"/>
      <c r="AV87" s="288"/>
      <c r="AW87" s="288"/>
      <c r="AX87" s="288"/>
      <c r="AY87" s="96"/>
    </row>
    <row r="88" spans="1:51" ht="20.100000000000001" customHeight="1">
      <c r="A88" s="93"/>
      <c r="B88" s="102"/>
      <c r="C88" s="102"/>
      <c r="D88" s="102"/>
      <c r="E88" s="102"/>
      <c r="F88" s="102"/>
      <c r="G88" s="102"/>
      <c r="H88" s="102"/>
      <c r="I88" s="102"/>
      <c r="J88" s="102"/>
      <c r="K88" s="93"/>
      <c r="L88" s="93"/>
      <c r="M88" s="93"/>
      <c r="N88" s="93"/>
      <c r="O88" s="93"/>
      <c r="P88" s="93"/>
      <c r="Q88" s="93"/>
      <c r="R88" s="93"/>
      <c r="S88" s="93"/>
      <c r="T88" s="93"/>
      <c r="U88" s="93"/>
      <c r="V88" s="93"/>
      <c r="W88" s="93"/>
      <c r="X88" s="93"/>
      <c r="Y88" s="93"/>
      <c r="Z88" s="93"/>
      <c r="AA88" s="93"/>
      <c r="AB88" s="93"/>
      <c r="AC88" s="93"/>
      <c r="AD88" s="93"/>
      <c r="AE88" s="93"/>
      <c r="AF88" s="93"/>
      <c r="AG88" s="93"/>
      <c r="AH88" s="93"/>
      <c r="AI88" s="93"/>
      <c r="AJ88" s="93"/>
      <c r="AK88" s="93"/>
      <c r="AL88" s="93"/>
      <c r="AM88" s="93"/>
      <c r="AN88" s="93"/>
      <c r="AO88" s="93"/>
      <c r="AP88" s="93"/>
      <c r="AQ88" s="93"/>
      <c r="AR88" s="93"/>
      <c r="AS88" s="93"/>
      <c r="AT88" s="93"/>
      <c r="AU88" s="93"/>
      <c r="AV88" s="93"/>
      <c r="AW88" s="93"/>
      <c r="AX88" s="93"/>
      <c r="AY88" s="96"/>
    </row>
    <row r="89" spans="1:51" ht="20.100000000000001" customHeight="1">
      <c r="A89" s="93"/>
      <c r="B89" s="93"/>
      <c r="C89" s="93"/>
      <c r="D89" s="93"/>
      <c r="E89" s="93"/>
      <c r="F89" s="93"/>
      <c r="G89" s="93"/>
      <c r="H89" s="93"/>
      <c r="I89" s="93"/>
      <c r="J89" s="93"/>
      <c r="K89" s="93"/>
      <c r="L89" s="93"/>
      <c r="M89" s="93"/>
      <c r="N89" s="93"/>
      <c r="O89" s="93"/>
      <c r="P89" s="93"/>
      <c r="Q89" s="93"/>
      <c r="R89" s="93"/>
      <c r="S89" s="93"/>
      <c r="T89" s="93"/>
      <c r="U89" s="93"/>
      <c r="V89" s="93"/>
      <c r="W89" s="93"/>
      <c r="X89" s="287" t="s">
        <v>86</v>
      </c>
      <c r="Y89" s="287"/>
      <c r="Z89" s="287"/>
      <c r="AA89" s="287"/>
      <c r="AB89" s="287"/>
      <c r="AC89" s="93"/>
      <c r="AD89" s="93"/>
      <c r="AE89" s="93"/>
      <c r="AF89" s="93"/>
      <c r="AG89" s="93"/>
      <c r="AH89" s="93"/>
      <c r="AI89" s="98"/>
      <c r="AJ89" s="93"/>
      <c r="AK89" s="93"/>
      <c r="AL89" s="93"/>
      <c r="AM89" s="93"/>
      <c r="AN89" s="93"/>
      <c r="AO89" s="93"/>
      <c r="AP89" s="93"/>
      <c r="AQ89" s="93"/>
      <c r="AR89" s="93"/>
      <c r="AS89" s="93"/>
      <c r="AT89" s="93"/>
      <c r="AU89" s="93"/>
      <c r="AV89" s="93"/>
      <c r="AW89" s="93"/>
      <c r="AX89" s="93"/>
      <c r="AY89" s="96"/>
    </row>
    <row r="90" spans="1:51" ht="20.100000000000001" customHeight="1">
      <c r="A90" s="93"/>
      <c r="B90" s="93"/>
      <c r="C90" s="93"/>
      <c r="D90" s="93"/>
      <c r="E90" s="93"/>
      <c r="F90" s="93"/>
      <c r="G90" s="93"/>
      <c r="H90" s="93"/>
      <c r="I90" s="93"/>
      <c r="J90" s="93"/>
      <c r="K90" s="93"/>
      <c r="L90" s="93"/>
      <c r="M90" s="93"/>
      <c r="N90" s="93"/>
      <c r="O90" s="93"/>
      <c r="P90" s="93"/>
      <c r="Q90" s="93"/>
      <c r="R90" s="93"/>
      <c r="S90" s="93"/>
      <c r="T90" s="93"/>
      <c r="U90" s="93"/>
      <c r="V90" s="93"/>
      <c r="W90" s="93"/>
      <c r="X90" s="287"/>
      <c r="Y90" s="287"/>
      <c r="Z90" s="287"/>
      <c r="AA90" s="287"/>
      <c r="AB90" s="287"/>
      <c r="AC90" s="93"/>
      <c r="AD90" s="93"/>
      <c r="AE90" s="93"/>
      <c r="AF90" s="93"/>
      <c r="AG90" s="93"/>
      <c r="AH90" s="93"/>
      <c r="AI90" s="93"/>
      <c r="AJ90" s="93"/>
      <c r="AK90" s="93"/>
      <c r="AL90" s="93"/>
      <c r="AM90" s="93"/>
      <c r="AN90" s="93"/>
      <c r="AO90" s="93"/>
      <c r="AP90" s="93"/>
      <c r="AQ90" s="93"/>
      <c r="AR90" s="93"/>
      <c r="AS90" s="93"/>
      <c r="AT90" s="93"/>
      <c r="AU90" s="93"/>
      <c r="AV90" s="93"/>
      <c r="AW90" s="93"/>
      <c r="AX90" s="93"/>
      <c r="AY90" s="96"/>
    </row>
    <row r="91" spans="1:51" ht="20.100000000000001" customHeight="1">
      <c r="A91" s="93"/>
      <c r="B91" s="290" t="s">
        <v>80</v>
      </c>
      <c r="C91" s="290"/>
      <c r="D91" s="290"/>
      <c r="E91" s="290"/>
      <c r="F91" s="290"/>
      <c r="G91" s="290"/>
      <c r="H91" s="290"/>
      <c r="I91" s="290"/>
      <c r="J91" s="290"/>
      <c r="K91" s="290"/>
      <c r="L91" s="290"/>
      <c r="M91" s="290"/>
      <c r="N91" s="290"/>
      <c r="O91" s="290"/>
      <c r="P91" s="290"/>
      <c r="Q91" s="290"/>
      <c r="R91" s="290"/>
      <c r="S91" s="290"/>
      <c r="T91" s="93"/>
      <c r="U91" s="290" t="s">
        <v>3165</v>
      </c>
      <c r="V91" s="290"/>
      <c r="W91" s="290"/>
      <c r="X91" s="290"/>
      <c r="Y91" s="290"/>
      <c r="Z91" s="93"/>
      <c r="AA91" s="290" t="s">
        <v>80</v>
      </c>
      <c r="AB91" s="290"/>
      <c r="AC91" s="290"/>
      <c r="AD91" s="290"/>
      <c r="AE91" s="290"/>
      <c r="AF91" s="290"/>
      <c r="AG91" s="290"/>
      <c r="AH91" s="290"/>
      <c r="AI91" s="290"/>
      <c r="AJ91" s="290"/>
      <c r="AK91" s="290"/>
      <c r="AL91" s="290"/>
      <c r="AM91" s="290"/>
      <c r="AN91" s="290"/>
      <c r="AO91" s="290"/>
      <c r="AP91" s="290"/>
      <c r="AQ91" s="290"/>
      <c r="AR91" s="290"/>
      <c r="AS91" s="93"/>
      <c r="AT91" s="290" t="s">
        <v>3165</v>
      </c>
      <c r="AU91" s="290"/>
      <c r="AV91" s="290"/>
      <c r="AW91" s="290"/>
      <c r="AX91" s="290"/>
      <c r="AY91" s="96"/>
    </row>
    <row r="92" spans="1:51" ht="20.100000000000001" customHeight="1">
      <c r="A92" s="93"/>
      <c r="B92" s="319"/>
      <c r="C92" s="319"/>
      <c r="D92" s="319"/>
      <c r="E92" s="319"/>
      <c r="F92" s="319"/>
      <c r="G92" s="319"/>
      <c r="H92" s="319"/>
      <c r="I92" s="319"/>
      <c r="J92" s="319"/>
      <c r="K92" s="319"/>
      <c r="L92" s="319"/>
      <c r="M92" s="319"/>
      <c r="N92" s="319"/>
      <c r="O92" s="319"/>
      <c r="P92" s="319"/>
      <c r="Q92" s="319"/>
      <c r="R92" s="319"/>
      <c r="S92" s="319"/>
      <c r="U92" s="319"/>
      <c r="V92" s="319"/>
      <c r="W92" s="319"/>
      <c r="X92" s="319"/>
      <c r="Y92" s="319"/>
      <c r="AA92" s="319"/>
      <c r="AB92" s="319"/>
      <c r="AC92" s="319"/>
      <c r="AD92" s="319"/>
      <c r="AE92" s="319"/>
      <c r="AF92" s="319"/>
      <c r="AG92" s="319"/>
      <c r="AH92" s="319"/>
      <c r="AI92" s="319"/>
      <c r="AJ92" s="319"/>
      <c r="AK92" s="319"/>
      <c r="AL92" s="319"/>
      <c r="AM92" s="319"/>
      <c r="AN92" s="319"/>
      <c r="AO92" s="319"/>
      <c r="AP92" s="319"/>
      <c r="AQ92" s="319"/>
      <c r="AR92" s="319"/>
      <c r="AT92" s="319"/>
      <c r="AU92" s="319"/>
      <c r="AV92" s="319"/>
      <c r="AW92" s="319"/>
      <c r="AX92" s="319"/>
      <c r="AY92" s="96"/>
    </row>
    <row r="93" spans="1:51" ht="20.100000000000001" customHeight="1">
      <c r="A93" s="93"/>
      <c r="B93" s="319"/>
      <c r="C93" s="319"/>
      <c r="D93" s="319"/>
      <c r="E93" s="319"/>
      <c r="F93" s="319"/>
      <c r="G93" s="319"/>
      <c r="H93" s="319"/>
      <c r="I93" s="319"/>
      <c r="J93" s="319"/>
      <c r="K93" s="319"/>
      <c r="L93" s="319"/>
      <c r="M93" s="319"/>
      <c r="N93" s="319"/>
      <c r="O93" s="319"/>
      <c r="P93" s="319"/>
      <c r="Q93" s="319"/>
      <c r="R93" s="319"/>
      <c r="S93" s="319"/>
      <c r="U93" s="319"/>
      <c r="V93" s="319"/>
      <c r="W93" s="319"/>
      <c r="X93" s="319"/>
      <c r="Y93" s="319"/>
      <c r="AA93" s="319"/>
      <c r="AB93" s="319"/>
      <c r="AC93" s="319"/>
      <c r="AD93" s="319"/>
      <c r="AE93" s="319"/>
      <c r="AF93" s="319"/>
      <c r="AG93" s="319"/>
      <c r="AH93" s="319"/>
      <c r="AI93" s="319"/>
      <c r="AJ93" s="319"/>
      <c r="AK93" s="319"/>
      <c r="AL93" s="319"/>
      <c r="AM93" s="319"/>
      <c r="AN93" s="319"/>
      <c r="AO93" s="319"/>
      <c r="AP93" s="319"/>
      <c r="AQ93" s="319"/>
      <c r="AR93" s="319"/>
      <c r="AT93" s="319"/>
      <c r="AU93" s="319"/>
      <c r="AV93" s="319"/>
      <c r="AW93" s="319"/>
      <c r="AX93" s="319"/>
      <c r="AY93" s="96"/>
    </row>
    <row r="94" spans="1:51" ht="20.100000000000001" customHeight="1">
      <c r="A94" s="93"/>
      <c r="B94" s="319"/>
      <c r="C94" s="319"/>
      <c r="D94" s="319"/>
      <c r="E94" s="319"/>
      <c r="F94" s="319"/>
      <c r="G94" s="319"/>
      <c r="H94" s="319"/>
      <c r="I94" s="319"/>
      <c r="J94" s="319"/>
      <c r="K94" s="319"/>
      <c r="L94" s="319"/>
      <c r="M94" s="319"/>
      <c r="N94" s="319"/>
      <c r="O94" s="319"/>
      <c r="P94" s="319"/>
      <c r="Q94" s="319"/>
      <c r="R94" s="319"/>
      <c r="S94" s="319"/>
      <c r="U94" s="319"/>
      <c r="V94" s="319"/>
      <c r="W94" s="319"/>
      <c r="X94" s="319"/>
      <c r="Y94" s="319"/>
      <c r="AA94" s="319"/>
      <c r="AB94" s="319"/>
      <c r="AC94" s="319"/>
      <c r="AD94" s="319"/>
      <c r="AE94" s="319"/>
      <c r="AF94" s="319"/>
      <c r="AG94" s="319"/>
      <c r="AH94" s="319"/>
      <c r="AI94" s="319"/>
      <c r="AJ94" s="319"/>
      <c r="AK94" s="319"/>
      <c r="AL94" s="319"/>
      <c r="AM94" s="319"/>
      <c r="AN94" s="319"/>
      <c r="AO94" s="319"/>
      <c r="AP94" s="319"/>
      <c r="AQ94" s="319"/>
      <c r="AR94" s="319"/>
      <c r="AT94" s="319"/>
      <c r="AU94" s="319"/>
      <c r="AV94" s="319"/>
      <c r="AW94" s="319"/>
      <c r="AX94" s="319"/>
      <c r="AY94" s="96"/>
    </row>
    <row r="95" spans="1:51" ht="20.100000000000001" hidden="1" customHeight="1">
      <c r="A95" s="93"/>
      <c r="B95" s="319"/>
      <c r="C95" s="319"/>
      <c r="D95" s="319"/>
      <c r="E95" s="319"/>
      <c r="F95" s="319"/>
      <c r="G95" s="319"/>
      <c r="H95" s="319"/>
      <c r="I95" s="319"/>
      <c r="J95" s="319"/>
      <c r="K95" s="319"/>
      <c r="L95" s="319"/>
      <c r="M95" s="319"/>
      <c r="N95" s="319"/>
      <c r="O95" s="319"/>
      <c r="P95" s="319"/>
      <c r="Q95" s="319"/>
      <c r="R95" s="319"/>
      <c r="S95" s="319"/>
      <c r="U95" s="319"/>
      <c r="V95" s="319"/>
      <c r="W95" s="319"/>
      <c r="X95" s="319"/>
      <c r="Y95" s="319"/>
      <c r="AA95" s="319"/>
      <c r="AB95" s="319"/>
      <c r="AC95" s="319"/>
      <c r="AD95" s="319"/>
      <c r="AE95" s="319"/>
      <c r="AF95" s="319"/>
      <c r="AG95" s="319"/>
      <c r="AH95" s="319"/>
      <c r="AI95" s="319"/>
      <c r="AJ95" s="319"/>
      <c r="AK95" s="319"/>
      <c r="AL95" s="319"/>
      <c r="AM95" s="319"/>
      <c r="AN95" s="319"/>
      <c r="AO95" s="319"/>
      <c r="AP95" s="319"/>
      <c r="AQ95" s="319"/>
      <c r="AR95" s="319"/>
      <c r="AT95" s="319"/>
      <c r="AU95" s="319"/>
      <c r="AV95" s="319"/>
      <c r="AW95" s="319"/>
      <c r="AX95" s="319"/>
      <c r="AY95" s="96"/>
    </row>
    <row r="96" spans="1:51" ht="20.100000000000001" hidden="1" customHeight="1">
      <c r="A96" s="93"/>
      <c r="B96" s="319"/>
      <c r="C96" s="319"/>
      <c r="D96" s="319"/>
      <c r="E96" s="319"/>
      <c r="F96" s="319"/>
      <c r="G96" s="319"/>
      <c r="H96" s="319"/>
      <c r="I96" s="319"/>
      <c r="J96" s="319"/>
      <c r="K96" s="319"/>
      <c r="L96" s="319"/>
      <c r="M96" s="319"/>
      <c r="N96" s="319"/>
      <c r="O96" s="319"/>
      <c r="P96" s="319"/>
      <c r="Q96" s="319"/>
      <c r="R96" s="319"/>
      <c r="S96" s="319"/>
      <c r="U96" s="319"/>
      <c r="V96" s="319"/>
      <c r="W96" s="319"/>
      <c r="X96" s="319"/>
      <c r="Y96" s="319"/>
      <c r="AA96" s="319"/>
      <c r="AB96" s="319"/>
      <c r="AC96" s="319"/>
      <c r="AD96" s="319"/>
      <c r="AE96" s="319"/>
      <c r="AF96" s="319"/>
      <c r="AG96" s="319"/>
      <c r="AH96" s="319"/>
      <c r="AI96" s="319"/>
      <c r="AJ96" s="319"/>
      <c r="AK96" s="319"/>
      <c r="AL96" s="319"/>
      <c r="AM96" s="319"/>
      <c r="AN96" s="319"/>
      <c r="AO96" s="319"/>
      <c r="AP96" s="319"/>
      <c r="AQ96" s="319"/>
      <c r="AR96" s="319"/>
      <c r="AT96" s="319"/>
      <c r="AU96" s="319"/>
      <c r="AV96" s="319"/>
      <c r="AW96" s="319"/>
      <c r="AX96" s="319"/>
      <c r="AY96" s="96"/>
    </row>
    <row r="97" spans="1:51" ht="20.100000000000001" hidden="1" customHeight="1">
      <c r="A97" s="93"/>
      <c r="B97" s="319"/>
      <c r="C97" s="319"/>
      <c r="D97" s="319"/>
      <c r="E97" s="319"/>
      <c r="F97" s="319"/>
      <c r="G97" s="319"/>
      <c r="H97" s="319"/>
      <c r="I97" s="319"/>
      <c r="J97" s="319"/>
      <c r="K97" s="319"/>
      <c r="L97" s="319"/>
      <c r="M97" s="319"/>
      <c r="N97" s="319"/>
      <c r="O97" s="319"/>
      <c r="P97" s="319"/>
      <c r="Q97" s="319"/>
      <c r="R97" s="319"/>
      <c r="S97" s="319"/>
      <c r="U97" s="319"/>
      <c r="V97" s="319"/>
      <c r="W97" s="319"/>
      <c r="X97" s="319"/>
      <c r="Y97" s="319"/>
      <c r="AA97" s="319"/>
      <c r="AB97" s="319"/>
      <c r="AC97" s="319"/>
      <c r="AD97" s="319"/>
      <c r="AE97" s="319"/>
      <c r="AF97" s="319"/>
      <c r="AG97" s="319"/>
      <c r="AH97" s="319"/>
      <c r="AI97" s="319"/>
      <c r="AJ97" s="319"/>
      <c r="AK97" s="319"/>
      <c r="AL97" s="319"/>
      <c r="AM97" s="319"/>
      <c r="AN97" s="319"/>
      <c r="AO97" s="319"/>
      <c r="AP97" s="319"/>
      <c r="AQ97" s="319"/>
      <c r="AR97" s="319"/>
      <c r="AT97" s="319"/>
      <c r="AU97" s="319"/>
      <c r="AV97" s="319"/>
      <c r="AW97" s="319"/>
      <c r="AX97" s="319"/>
      <c r="AY97" s="96"/>
    </row>
    <row r="98" spans="1:51" ht="20.100000000000001" hidden="1" customHeight="1">
      <c r="A98" s="93"/>
      <c r="B98" s="319"/>
      <c r="C98" s="319"/>
      <c r="D98" s="319"/>
      <c r="E98" s="319"/>
      <c r="F98" s="319"/>
      <c r="G98" s="319"/>
      <c r="H98" s="319"/>
      <c r="I98" s="319"/>
      <c r="J98" s="319"/>
      <c r="K98" s="319"/>
      <c r="L98" s="319"/>
      <c r="M98" s="319"/>
      <c r="N98" s="319"/>
      <c r="O98" s="319"/>
      <c r="P98" s="319"/>
      <c r="Q98" s="319"/>
      <c r="R98" s="319"/>
      <c r="S98" s="319"/>
      <c r="U98" s="319"/>
      <c r="V98" s="319"/>
      <c r="W98" s="319"/>
      <c r="X98" s="319"/>
      <c r="Y98" s="319"/>
      <c r="AA98" s="319"/>
      <c r="AB98" s="319"/>
      <c r="AC98" s="319"/>
      <c r="AD98" s="319"/>
      <c r="AE98" s="319"/>
      <c r="AF98" s="319"/>
      <c r="AG98" s="319"/>
      <c r="AH98" s="319"/>
      <c r="AI98" s="319"/>
      <c r="AJ98" s="319"/>
      <c r="AK98" s="319"/>
      <c r="AL98" s="319"/>
      <c r="AM98" s="319"/>
      <c r="AN98" s="319"/>
      <c r="AO98" s="319"/>
      <c r="AP98" s="319"/>
      <c r="AQ98" s="319"/>
      <c r="AR98" s="319"/>
      <c r="AT98" s="319"/>
      <c r="AU98" s="319"/>
      <c r="AV98" s="319"/>
      <c r="AW98" s="319"/>
      <c r="AX98" s="319"/>
      <c r="AY98" s="96"/>
    </row>
    <row r="99" spans="1:51" ht="20.100000000000001" hidden="1" customHeight="1">
      <c r="A99" s="93"/>
      <c r="B99" s="319"/>
      <c r="C99" s="319"/>
      <c r="D99" s="319"/>
      <c r="E99" s="319"/>
      <c r="F99" s="319"/>
      <c r="G99" s="319"/>
      <c r="H99" s="319"/>
      <c r="I99" s="319"/>
      <c r="J99" s="319"/>
      <c r="K99" s="319"/>
      <c r="L99" s="319"/>
      <c r="M99" s="319"/>
      <c r="N99" s="319"/>
      <c r="O99" s="319"/>
      <c r="P99" s="319"/>
      <c r="Q99" s="319"/>
      <c r="R99" s="319"/>
      <c r="S99" s="319"/>
      <c r="U99" s="319"/>
      <c r="V99" s="319"/>
      <c r="W99" s="319"/>
      <c r="X99" s="319"/>
      <c r="Y99" s="319"/>
      <c r="AA99" s="319"/>
      <c r="AB99" s="319"/>
      <c r="AC99" s="319"/>
      <c r="AD99" s="319"/>
      <c r="AE99" s="319"/>
      <c r="AF99" s="319"/>
      <c r="AG99" s="319"/>
      <c r="AH99" s="319"/>
      <c r="AI99" s="319"/>
      <c r="AJ99" s="319"/>
      <c r="AK99" s="319"/>
      <c r="AL99" s="319"/>
      <c r="AM99" s="319"/>
      <c r="AN99" s="319"/>
      <c r="AO99" s="319"/>
      <c r="AP99" s="319"/>
      <c r="AQ99" s="319"/>
      <c r="AR99" s="319"/>
      <c r="AT99" s="319"/>
      <c r="AU99" s="319"/>
      <c r="AV99" s="319"/>
      <c r="AW99" s="319"/>
      <c r="AX99" s="319"/>
      <c r="AY99" s="96"/>
    </row>
    <row r="100" spans="1:51" ht="20.100000000000001" hidden="1" customHeight="1">
      <c r="A100" s="93"/>
      <c r="B100" s="319"/>
      <c r="C100" s="319"/>
      <c r="D100" s="319"/>
      <c r="E100" s="319"/>
      <c r="F100" s="319"/>
      <c r="G100" s="319"/>
      <c r="H100" s="319"/>
      <c r="I100" s="319"/>
      <c r="J100" s="319"/>
      <c r="K100" s="319"/>
      <c r="L100" s="319"/>
      <c r="M100" s="319"/>
      <c r="N100" s="319"/>
      <c r="O100" s="319"/>
      <c r="P100" s="319"/>
      <c r="Q100" s="319"/>
      <c r="R100" s="319"/>
      <c r="S100" s="319"/>
      <c r="U100" s="319"/>
      <c r="V100" s="319"/>
      <c r="W100" s="319"/>
      <c r="X100" s="319"/>
      <c r="Y100" s="319"/>
      <c r="AA100" s="319"/>
      <c r="AB100" s="319"/>
      <c r="AC100" s="319"/>
      <c r="AD100" s="319"/>
      <c r="AE100" s="319"/>
      <c r="AF100" s="319"/>
      <c r="AG100" s="319"/>
      <c r="AH100" s="319"/>
      <c r="AI100" s="319"/>
      <c r="AJ100" s="319"/>
      <c r="AK100" s="319"/>
      <c r="AL100" s="319"/>
      <c r="AM100" s="319"/>
      <c r="AN100" s="319"/>
      <c r="AO100" s="319"/>
      <c r="AP100" s="319"/>
      <c r="AQ100" s="319"/>
      <c r="AR100" s="319"/>
      <c r="AT100" s="319"/>
      <c r="AU100" s="319"/>
      <c r="AV100" s="319"/>
      <c r="AW100" s="319"/>
      <c r="AX100" s="319"/>
      <c r="AY100" s="96"/>
    </row>
    <row r="101" spans="1:51" ht="20.100000000000001" hidden="1" customHeight="1">
      <c r="A101" s="93"/>
      <c r="B101" s="319"/>
      <c r="C101" s="319"/>
      <c r="D101" s="319"/>
      <c r="E101" s="319"/>
      <c r="F101" s="319"/>
      <c r="G101" s="319"/>
      <c r="H101" s="319"/>
      <c r="I101" s="319"/>
      <c r="J101" s="319"/>
      <c r="K101" s="319"/>
      <c r="L101" s="319"/>
      <c r="M101" s="319"/>
      <c r="N101" s="319"/>
      <c r="O101" s="319"/>
      <c r="P101" s="319"/>
      <c r="Q101" s="319"/>
      <c r="R101" s="319"/>
      <c r="S101" s="319"/>
      <c r="U101" s="319"/>
      <c r="V101" s="319"/>
      <c r="W101" s="319"/>
      <c r="X101" s="319"/>
      <c r="Y101" s="319"/>
      <c r="AA101" s="319"/>
      <c r="AB101" s="319"/>
      <c r="AC101" s="319"/>
      <c r="AD101" s="319"/>
      <c r="AE101" s="319"/>
      <c r="AF101" s="319"/>
      <c r="AG101" s="319"/>
      <c r="AH101" s="319"/>
      <c r="AI101" s="319"/>
      <c r="AJ101" s="319"/>
      <c r="AK101" s="319"/>
      <c r="AL101" s="319"/>
      <c r="AM101" s="319"/>
      <c r="AN101" s="319"/>
      <c r="AO101" s="319"/>
      <c r="AP101" s="319"/>
      <c r="AQ101" s="319"/>
      <c r="AR101" s="319"/>
      <c r="AT101" s="319"/>
      <c r="AU101" s="319"/>
      <c r="AV101" s="319"/>
      <c r="AW101" s="319"/>
      <c r="AX101" s="319"/>
      <c r="AY101" s="96"/>
    </row>
    <row r="102" spans="1:51" ht="20.100000000000001" hidden="1" customHeight="1">
      <c r="A102" s="93"/>
      <c r="B102" s="319"/>
      <c r="C102" s="319"/>
      <c r="D102" s="319"/>
      <c r="E102" s="319"/>
      <c r="F102" s="319"/>
      <c r="G102" s="319"/>
      <c r="H102" s="319"/>
      <c r="I102" s="319"/>
      <c r="J102" s="319"/>
      <c r="K102" s="319"/>
      <c r="L102" s="319"/>
      <c r="M102" s="319"/>
      <c r="N102" s="319"/>
      <c r="O102" s="319"/>
      <c r="P102" s="319"/>
      <c r="Q102" s="319"/>
      <c r="R102" s="319"/>
      <c r="S102" s="319"/>
      <c r="U102" s="319"/>
      <c r="V102" s="319"/>
      <c r="W102" s="319"/>
      <c r="X102" s="319"/>
      <c r="Y102" s="319"/>
      <c r="AA102" s="319"/>
      <c r="AB102" s="319"/>
      <c r="AC102" s="319"/>
      <c r="AD102" s="319"/>
      <c r="AE102" s="319"/>
      <c r="AF102" s="319"/>
      <c r="AG102" s="319"/>
      <c r="AH102" s="319"/>
      <c r="AI102" s="319"/>
      <c r="AJ102" s="319"/>
      <c r="AK102" s="319"/>
      <c r="AL102" s="319"/>
      <c r="AM102" s="319"/>
      <c r="AN102" s="319"/>
      <c r="AO102" s="319"/>
      <c r="AP102" s="319"/>
      <c r="AQ102" s="319"/>
      <c r="AR102" s="319"/>
      <c r="AT102" s="319"/>
      <c r="AU102" s="319"/>
      <c r="AV102" s="319"/>
      <c r="AW102" s="319"/>
      <c r="AX102" s="319"/>
      <c r="AY102" s="96"/>
    </row>
    <row r="103" spans="1:51" ht="20.100000000000001" hidden="1" customHeight="1">
      <c r="A103" s="93"/>
      <c r="B103" s="319"/>
      <c r="C103" s="319"/>
      <c r="D103" s="319"/>
      <c r="E103" s="319"/>
      <c r="F103" s="319"/>
      <c r="G103" s="319"/>
      <c r="H103" s="319"/>
      <c r="I103" s="319"/>
      <c r="J103" s="319"/>
      <c r="K103" s="319"/>
      <c r="L103" s="319"/>
      <c r="M103" s="319"/>
      <c r="N103" s="319"/>
      <c r="O103" s="319"/>
      <c r="P103" s="319"/>
      <c r="Q103" s="319"/>
      <c r="R103" s="319"/>
      <c r="S103" s="319"/>
      <c r="U103" s="319"/>
      <c r="V103" s="319"/>
      <c r="W103" s="319"/>
      <c r="X103" s="319"/>
      <c r="Y103" s="319"/>
      <c r="AA103" s="319"/>
      <c r="AB103" s="319"/>
      <c r="AC103" s="319"/>
      <c r="AD103" s="319"/>
      <c r="AE103" s="319"/>
      <c r="AF103" s="319"/>
      <c r="AG103" s="319"/>
      <c r="AH103" s="319"/>
      <c r="AI103" s="319"/>
      <c r="AJ103" s="319"/>
      <c r="AK103" s="319"/>
      <c r="AL103" s="319"/>
      <c r="AM103" s="319"/>
      <c r="AN103" s="319"/>
      <c r="AO103" s="319"/>
      <c r="AP103" s="319"/>
      <c r="AQ103" s="319"/>
      <c r="AR103" s="319"/>
      <c r="AT103" s="319"/>
      <c r="AU103" s="319"/>
      <c r="AV103" s="319"/>
      <c r="AW103" s="319"/>
      <c r="AX103" s="319"/>
      <c r="AY103" s="96"/>
    </row>
    <row r="104" spans="1:51" ht="20.100000000000001" hidden="1" customHeight="1">
      <c r="A104" s="93"/>
      <c r="B104" s="319"/>
      <c r="C104" s="319"/>
      <c r="D104" s="319"/>
      <c r="E104" s="319"/>
      <c r="F104" s="319"/>
      <c r="G104" s="319"/>
      <c r="H104" s="319"/>
      <c r="I104" s="319"/>
      <c r="J104" s="319"/>
      <c r="K104" s="319"/>
      <c r="L104" s="319"/>
      <c r="M104" s="319"/>
      <c r="N104" s="319"/>
      <c r="O104" s="319"/>
      <c r="P104" s="319"/>
      <c r="Q104" s="319"/>
      <c r="R104" s="319"/>
      <c r="S104" s="319"/>
      <c r="U104" s="319"/>
      <c r="V104" s="319"/>
      <c r="W104" s="319"/>
      <c r="X104" s="319"/>
      <c r="Y104" s="319"/>
      <c r="AA104" s="319"/>
      <c r="AB104" s="319"/>
      <c r="AC104" s="319"/>
      <c r="AD104" s="319"/>
      <c r="AE104" s="319"/>
      <c r="AF104" s="319"/>
      <c r="AG104" s="319"/>
      <c r="AH104" s="319"/>
      <c r="AI104" s="319"/>
      <c r="AJ104" s="319"/>
      <c r="AK104" s="319"/>
      <c r="AL104" s="319"/>
      <c r="AM104" s="319"/>
      <c r="AN104" s="319"/>
      <c r="AO104" s="319"/>
      <c r="AP104" s="319"/>
      <c r="AQ104" s="319"/>
      <c r="AR104" s="319"/>
      <c r="AT104" s="319"/>
      <c r="AU104" s="319"/>
      <c r="AV104" s="319"/>
      <c r="AW104" s="319"/>
      <c r="AX104" s="319"/>
      <c r="AY104" s="96"/>
    </row>
    <row r="105" spans="1:51" ht="20.100000000000001" hidden="1" customHeight="1">
      <c r="A105" s="93"/>
      <c r="B105" s="319"/>
      <c r="C105" s="319"/>
      <c r="D105" s="319"/>
      <c r="E105" s="319"/>
      <c r="F105" s="319"/>
      <c r="G105" s="319"/>
      <c r="H105" s="319"/>
      <c r="I105" s="319"/>
      <c r="J105" s="319"/>
      <c r="K105" s="319"/>
      <c r="L105" s="319"/>
      <c r="M105" s="319"/>
      <c r="N105" s="319"/>
      <c r="O105" s="319"/>
      <c r="P105" s="319"/>
      <c r="Q105" s="319"/>
      <c r="R105" s="319"/>
      <c r="S105" s="319"/>
      <c r="U105" s="319"/>
      <c r="V105" s="319"/>
      <c r="W105" s="319"/>
      <c r="X105" s="319"/>
      <c r="Y105" s="319"/>
      <c r="AA105" s="319"/>
      <c r="AB105" s="319"/>
      <c r="AC105" s="319"/>
      <c r="AD105" s="319"/>
      <c r="AE105" s="319"/>
      <c r="AF105" s="319"/>
      <c r="AG105" s="319"/>
      <c r="AH105" s="319"/>
      <c r="AI105" s="319"/>
      <c r="AJ105" s="319"/>
      <c r="AK105" s="319"/>
      <c r="AL105" s="319"/>
      <c r="AM105" s="319"/>
      <c r="AN105" s="319"/>
      <c r="AO105" s="319"/>
      <c r="AP105" s="319"/>
      <c r="AQ105" s="319"/>
      <c r="AR105" s="319"/>
      <c r="AT105" s="319"/>
      <c r="AU105" s="319"/>
      <c r="AV105" s="319"/>
      <c r="AW105" s="319"/>
      <c r="AX105" s="319"/>
      <c r="AY105" s="96"/>
    </row>
    <row r="106" spans="1:51" ht="20.100000000000001" customHeight="1">
      <c r="A106" s="93"/>
      <c r="B106" s="93"/>
      <c r="C106" s="93"/>
      <c r="D106" s="93"/>
      <c r="E106" s="93"/>
      <c r="F106" s="93"/>
      <c r="G106" s="93"/>
      <c r="H106" s="93"/>
      <c r="I106" s="93"/>
      <c r="J106" s="93"/>
      <c r="K106" s="93"/>
      <c r="L106" s="93"/>
      <c r="M106" s="93"/>
      <c r="N106" s="93"/>
      <c r="O106" s="93"/>
      <c r="P106" s="93"/>
      <c r="Q106" s="93"/>
      <c r="R106" s="93"/>
      <c r="S106" s="93"/>
      <c r="T106" s="93"/>
      <c r="U106" s="93"/>
      <c r="V106" s="93"/>
      <c r="W106" s="287" t="s">
        <v>3166</v>
      </c>
      <c r="X106" s="287"/>
      <c r="Y106" s="287"/>
      <c r="Z106" s="287"/>
      <c r="AA106" s="287"/>
      <c r="AB106" s="287"/>
      <c r="AC106" s="287"/>
      <c r="AD106" s="93"/>
      <c r="AE106" s="93"/>
      <c r="AF106" s="93"/>
      <c r="AG106" s="93"/>
      <c r="AH106" s="93"/>
      <c r="AI106" s="98"/>
      <c r="AJ106" s="93"/>
      <c r="AK106" s="93"/>
      <c r="AL106" s="93"/>
      <c r="AM106" s="93"/>
      <c r="AN106" s="93"/>
      <c r="AO106" s="93"/>
      <c r="AP106" s="93"/>
      <c r="AQ106" s="93"/>
      <c r="AR106" s="93"/>
      <c r="AS106" s="93"/>
      <c r="AT106" s="93"/>
      <c r="AU106" s="93"/>
      <c r="AV106" s="93"/>
      <c r="AW106" s="93"/>
      <c r="AX106" s="93"/>
      <c r="AY106" s="96"/>
    </row>
    <row r="107" spans="1:51" ht="20.100000000000001" customHeight="1">
      <c r="A107" s="93"/>
      <c r="B107" s="93"/>
      <c r="C107" s="93"/>
      <c r="D107" s="93"/>
      <c r="E107" s="93"/>
      <c r="F107" s="93"/>
      <c r="G107" s="93"/>
      <c r="H107" s="93"/>
      <c r="I107" s="93"/>
      <c r="J107" s="93"/>
      <c r="K107" s="93"/>
      <c r="L107" s="93"/>
      <c r="M107" s="93"/>
      <c r="N107" s="93"/>
      <c r="O107" s="93"/>
      <c r="P107" s="93"/>
      <c r="Q107" s="93"/>
      <c r="R107" s="93"/>
      <c r="S107" s="93"/>
      <c r="T107" s="93"/>
      <c r="U107" s="93"/>
      <c r="V107" s="93"/>
      <c r="W107" s="287"/>
      <c r="X107" s="287"/>
      <c r="Y107" s="287"/>
      <c r="Z107" s="287"/>
      <c r="AA107" s="287"/>
      <c r="AB107" s="287"/>
      <c r="AC107" s="287"/>
      <c r="AD107" s="93"/>
      <c r="AE107" s="93"/>
      <c r="AF107" s="93"/>
      <c r="AG107" s="93"/>
      <c r="AH107" s="93"/>
      <c r="AI107" s="93"/>
      <c r="AJ107" s="93"/>
      <c r="AK107" s="93"/>
      <c r="AL107" s="93"/>
      <c r="AM107" s="93"/>
      <c r="AN107" s="93"/>
      <c r="AO107" s="93"/>
      <c r="AP107" s="93"/>
      <c r="AQ107" s="93"/>
      <c r="AR107" s="93"/>
      <c r="AS107" s="93"/>
      <c r="AT107" s="93"/>
      <c r="AU107" s="93"/>
      <c r="AV107" s="93"/>
      <c r="AW107" s="93"/>
      <c r="AX107" s="93"/>
      <c r="AY107" s="96"/>
    </row>
    <row r="108" spans="1:51" ht="20.100000000000001" customHeight="1">
      <c r="A108" s="358"/>
      <c r="B108" s="358"/>
      <c r="C108" s="358"/>
      <c r="D108" s="358"/>
      <c r="E108" s="358"/>
      <c r="F108" s="358"/>
      <c r="G108" s="358"/>
      <c r="H108" s="358"/>
      <c r="I108" s="358"/>
      <c r="J108" s="358"/>
      <c r="K108" s="358"/>
      <c r="L108" s="358"/>
      <c r="M108" s="358"/>
      <c r="N108" s="358"/>
      <c r="O108" s="358"/>
      <c r="P108" s="358"/>
      <c r="Q108" s="358"/>
      <c r="R108" s="358"/>
      <c r="S108" s="358"/>
      <c r="T108" s="358"/>
      <c r="U108" s="358"/>
      <c r="V108" s="358"/>
      <c r="W108" s="358"/>
      <c r="X108" s="358"/>
      <c r="Y108" s="358"/>
      <c r="Z108" s="358"/>
      <c r="AA108" s="358"/>
      <c r="AB108" s="358"/>
      <c r="AC108" s="358"/>
      <c r="AD108" s="358"/>
      <c r="AE108" s="358"/>
      <c r="AF108" s="358"/>
      <c r="AG108" s="358"/>
      <c r="AH108" s="358"/>
      <c r="AI108" s="358"/>
      <c r="AJ108" s="358"/>
      <c r="AK108" s="358"/>
      <c r="AL108" s="358"/>
      <c r="AM108" s="358"/>
      <c r="AN108" s="358"/>
      <c r="AO108" s="358"/>
      <c r="AP108" s="358"/>
      <c r="AQ108" s="358"/>
      <c r="AR108" s="358"/>
      <c r="AS108" s="358"/>
      <c r="AT108" s="358"/>
      <c r="AU108" s="358"/>
      <c r="AV108" s="358"/>
      <c r="AW108" s="358"/>
      <c r="AX108" s="358"/>
      <c r="AY108" s="359"/>
    </row>
    <row r="109" spans="1:51" ht="20.100000000000001" customHeight="1">
      <c r="A109" s="358"/>
      <c r="B109" s="358"/>
      <c r="C109" s="358"/>
      <c r="D109" s="358"/>
      <c r="E109" s="358"/>
      <c r="F109" s="358"/>
      <c r="G109" s="358"/>
      <c r="H109" s="358"/>
      <c r="I109" s="358"/>
      <c r="J109" s="358"/>
      <c r="K109" s="358"/>
      <c r="L109" s="358"/>
      <c r="M109" s="358"/>
      <c r="N109" s="358"/>
      <c r="O109" s="358"/>
      <c r="P109" s="358"/>
      <c r="Q109" s="358"/>
      <c r="R109" s="358"/>
      <c r="S109" s="358"/>
      <c r="T109" s="358"/>
      <c r="U109" s="358"/>
      <c r="V109" s="358"/>
      <c r="W109" s="358"/>
      <c r="X109" s="358"/>
      <c r="Y109" s="358"/>
      <c r="Z109" s="358"/>
      <c r="AA109" s="358"/>
      <c r="AB109" s="358"/>
      <c r="AC109" s="358"/>
      <c r="AD109" s="358"/>
      <c r="AE109" s="358"/>
      <c r="AF109" s="358"/>
      <c r="AG109" s="358"/>
      <c r="AH109" s="358"/>
      <c r="AI109" s="358"/>
      <c r="AJ109" s="358"/>
      <c r="AK109" s="358"/>
      <c r="AL109" s="358"/>
      <c r="AM109" s="358"/>
      <c r="AN109" s="358"/>
      <c r="AO109" s="358"/>
      <c r="AP109" s="358"/>
      <c r="AQ109" s="358"/>
      <c r="AR109" s="358"/>
      <c r="AS109" s="358"/>
      <c r="AT109" s="358"/>
      <c r="AU109" s="358"/>
      <c r="AV109" s="358"/>
      <c r="AW109" s="358"/>
      <c r="AX109" s="358"/>
      <c r="AY109" s="359"/>
    </row>
    <row r="110" spans="1:51" ht="20.100000000000001" customHeight="1">
      <c r="A110" s="358"/>
      <c r="B110" s="358"/>
      <c r="C110" s="358"/>
      <c r="D110" s="358"/>
      <c r="E110" s="358"/>
      <c r="F110" s="358"/>
      <c r="G110" s="358"/>
      <c r="H110" s="358"/>
      <c r="I110" s="358"/>
      <c r="J110" s="358"/>
      <c r="K110" s="358"/>
      <c r="L110" s="358"/>
      <c r="M110" s="358"/>
      <c r="N110" s="358"/>
      <c r="O110" s="358"/>
      <c r="P110" s="358"/>
      <c r="Q110" s="358"/>
      <c r="R110" s="358"/>
      <c r="S110" s="358"/>
      <c r="T110" s="358"/>
      <c r="U110" s="358"/>
      <c r="V110" s="358"/>
      <c r="W110" s="358"/>
      <c r="X110" s="358"/>
      <c r="Y110" s="358"/>
      <c r="Z110" s="358"/>
      <c r="AA110" s="358"/>
      <c r="AB110" s="358"/>
      <c r="AC110" s="358"/>
      <c r="AD110" s="358"/>
      <c r="AE110" s="358"/>
      <c r="AF110" s="358"/>
      <c r="AG110" s="358"/>
      <c r="AH110" s="358"/>
      <c r="AI110" s="358"/>
      <c r="AJ110" s="358"/>
      <c r="AK110" s="358"/>
      <c r="AL110" s="358"/>
      <c r="AM110" s="358"/>
      <c r="AN110" s="358"/>
      <c r="AO110" s="358"/>
      <c r="AP110" s="358"/>
      <c r="AQ110" s="358"/>
      <c r="AR110" s="358"/>
      <c r="AS110" s="358"/>
      <c r="AT110" s="358"/>
      <c r="AU110" s="358"/>
      <c r="AV110" s="358"/>
      <c r="AW110" s="358"/>
      <c r="AX110" s="358"/>
      <c r="AY110" s="359"/>
    </row>
    <row r="111" spans="1:51" ht="20.100000000000001" customHeight="1">
      <c r="A111" s="358"/>
      <c r="B111" s="358"/>
      <c r="C111" s="358"/>
      <c r="D111" s="358"/>
      <c r="E111" s="358"/>
      <c r="F111" s="358"/>
      <c r="G111" s="358"/>
      <c r="H111" s="358"/>
      <c r="I111" s="358"/>
      <c r="J111" s="358"/>
      <c r="K111" s="358"/>
      <c r="L111" s="358"/>
      <c r="M111" s="358"/>
      <c r="N111" s="358"/>
      <c r="O111" s="358"/>
      <c r="P111" s="358"/>
      <c r="Q111" s="358"/>
      <c r="R111" s="358"/>
      <c r="S111" s="358"/>
      <c r="T111" s="358"/>
      <c r="U111" s="358"/>
      <c r="V111" s="358"/>
      <c r="W111" s="358"/>
      <c r="X111" s="358"/>
      <c r="Y111" s="358"/>
      <c r="Z111" s="358"/>
      <c r="AA111" s="358"/>
      <c r="AB111" s="358"/>
      <c r="AC111" s="358"/>
      <c r="AD111" s="358"/>
      <c r="AE111" s="358"/>
      <c r="AF111" s="358"/>
      <c r="AG111" s="358"/>
      <c r="AH111" s="358"/>
      <c r="AI111" s="358"/>
      <c r="AJ111" s="358"/>
      <c r="AK111" s="358"/>
      <c r="AL111" s="358"/>
      <c r="AM111" s="358"/>
      <c r="AN111" s="358"/>
      <c r="AO111" s="358"/>
      <c r="AP111" s="358"/>
      <c r="AQ111" s="358"/>
      <c r="AR111" s="358"/>
      <c r="AS111" s="358"/>
      <c r="AT111" s="358"/>
      <c r="AU111" s="358"/>
      <c r="AV111" s="358"/>
      <c r="AW111" s="358"/>
      <c r="AX111" s="358"/>
      <c r="AY111" s="359"/>
    </row>
    <row r="112" spans="1:51" ht="20.100000000000001" customHeight="1">
      <c r="A112" s="358"/>
      <c r="B112" s="358"/>
      <c r="C112" s="358"/>
      <c r="D112" s="358"/>
      <c r="E112" s="358"/>
      <c r="F112" s="358"/>
      <c r="G112" s="358"/>
      <c r="H112" s="358"/>
      <c r="I112" s="358"/>
      <c r="J112" s="358"/>
      <c r="K112" s="358"/>
      <c r="L112" s="358"/>
      <c r="M112" s="358"/>
      <c r="N112" s="358"/>
      <c r="O112" s="358"/>
      <c r="P112" s="358"/>
      <c r="Q112" s="358"/>
      <c r="R112" s="358"/>
      <c r="S112" s="358"/>
      <c r="T112" s="358"/>
      <c r="U112" s="358"/>
      <c r="V112" s="358"/>
      <c r="W112" s="358"/>
      <c r="X112" s="358"/>
      <c r="Y112" s="358"/>
      <c r="Z112" s="358"/>
      <c r="AA112" s="358"/>
      <c r="AB112" s="358"/>
      <c r="AC112" s="358"/>
      <c r="AD112" s="358"/>
      <c r="AE112" s="358"/>
      <c r="AF112" s="358"/>
      <c r="AG112" s="358"/>
      <c r="AH112" s="358"/>
      <c r="AI112" s="358"/>
      <c r="AJ112" s="358"/>
      <c r="AK112" s="358"/>
      <c r="AL112" s="358"/>
      <c r="AM112" s="358"/>
      <c r="AN112" s="358"/>
      <c r="AO112" s="358"/>
      <c r="AP112" s="358"/>
      <c r="AQ112" s="358"/>
      <c r="AR112" s="358"/>
      <c r="AS112" s="358"/>
      <c r="AT112" s="358"/>
      <c r="AU112" s="358"/>
      <c r="AV112" s="358"/>
      <c r="AW112" s="358"/>
      <c r="AX112" s="358"/>
      <c r="AY112" s="359"/>
    </row>
    <row r="113" spans="1:56" ht="20.100000000000001" customHeight="1">
      <c r="A113" s="358"/>
      <c r="B113" s="358"/>
      <c r="C113" s="358"/>
      <c r="D113" s="358"/>
      <c r="E113" s="358"/>
      <c r="F113" s="358"/>
      <c r="G113" s="358"/>
      <c r="H113" s="358"/>
      <c r="I113" s="358"/>
      <c r="J113" s="358"/>
      <c r="K113" s="358"/>
      <c r="L113" s="358"/>
      <c r="M113" s="358"/>
      <c r="N113" s="358"/>
      <c r="O113" s="358"/>
      <c r="P113" s="358"/>
      <c r="Q113" s="358"/>
      <c r="R113" s="358"/>
      <c r="S113" s="358"/>
      <c r="T113" s="358"/>
      <c r="U113" s="358"/>
      <c r="V113" s="358"/>
      <c r="W113" s="358"/>
      <c r="X113" s="358"/>
      <c r="Y113" s="358"/>
      <c r="Z113" s="358"/>
      <c r="AA113" s="358"/>
      <c r="AB113" s="358"/>
      <c r="AC113" s="358"/>
      <c r="AD113" s="358"/>
      <c r="AE113" s="358"/>
      <c r="AF113" s="358"/>
      <c r="AG113" s="358"/>
      <c r="AH113" s="358"/>
      <c r="AI113" s="358"/>
      <c r="AJ113" s="358"/>
      <c r="AK113" s="358"/>
      <c r="AL113" s="358"/>
      <c r="AM113" s="358"/>
      <c r="AN113" s="358"/>
      <c r="AO113" s="358"/>
      <c r="AP113" s="358"/>
      <c r="AQ113" s="358"/>
      <c r="AR113" s="358"/>
      <c r="AS113" s="358"/>
      <c r="AT113" s="358"/>
      <c r="AU113" s="358"/>
      <c r="AV113" s="358"/>
      <c r="AW113" s="358"/>
      <c r="AX113" s="358"/>
      <c r="AY113" s="359"/>
    </row>
    <row r="114" spans="1:56" ht="20.100000000000001" customHeight="1">
      <c r="A114" s="93"/>
      <c r="B114" s="93"/>
      <c r="C114" s="93"/>
      <c r="D114" s="93"/>
      <c r="E114" s="93"/>
      <c r="F114" s="93"/>
      <c r="G114" s="93"/>
      <c r="H114" s="93"/>
      <c r="I114" s="93"/>
      <c r="J114" s="93"/>
      <c r="K114" s="93"/>
      <c r="L114" s="93"/>
      <c r="M114" s="93"/>
      <c r="N114" s="93"/>
      <c r="O114" s="93"/>
      <c r="P114" s="93"/>
      <c r="Q114" s="93"/>
      <c r="R114" s="93"/>
      <c r="S114" s="93"/>
      <c r="T114" s="93"/>
      <c r="U114" s="93"/>
      <c r="V114" s="93"/>
      <c r="W114" s="93"/>
      <c r="X114" s="93"/>
      <c r="Y114" s="93"/>
      <c r="Z114" s="93"/>
      <c r="AA114" s="93"/>
      <c r="AB114" s="93"/>
      <c r="AC114" s="93"/>
      <c r="AD114" s="93"/>
      <c r="AE114" s="93"/>
      <c r="AF114" s="93"/>
      <c r="AG114" s="93"/>
      <c r="AH114" s="93"/>
      <c r="AI114" s="93"/>
      <c r="AJ114" s="93"/>
      <c r="AK114" s="93"/>
      <c r="AL114" s="93"/>
      <c r="AM114" s="93"/>
      <c r="AN114" s="93"/>
      <c r="AO114" s="93"/>
      <c r="AP114" s="93"/>
      <c r="AQ114" s="93"/>
      <c r="AR114" s="93"/>
      <c r="AS114" s="93"/>
      <c r="AT114" s="93"/>
      <c r="AU114" s="93"/>
      <c r="AV114" s="93"/>
      <c r="AW114" s="93"/>
      <c r="AX114" s="93"/>
      <c r="AY114" s="96"/>
    </row>
    <row r="115" spans="1:56" ht="20.100000000000001" customHeight="1">
      <c r="A115" s="93"/>
      <c r="B115" s="93"/>
      <c r="C115" s="93"/>
      <c r="D115" s="93"/>
      <c r="E115" s="93"/>
      <c r="F115" s="93"/>
      <c r="G115" s="93"/>
      <c r="H115" s="93"/>
      <c r="I115" s="93"/>
      <c r="J115" s="93"/>
      <c r="K115" s="93"/>
      <c r="L115" s="93"/>
      <c r="M115" s="93"/>
      <c r="N115" s="93"/>
      <c r="O115" s="93"/>
      <c r="P115" s="93"/>
      <c r="R115" s="93"/>
      <c r="S115" s="93"/>
      <c r="T115" s="93"/>
      <c r="U115" s="93"/>
      <c r="V115" s="323" t="s">
        <v>3218</v>
      </c>
      <c r="W115" s="323"/>
      <c r="X115" s="323"/>
      <c r="Y115" s="323"/>
      <c r="Z115" s="323"/>
      <c r="AA115" s="93"/>
      <c r="AB115" s="93"/>
      <c r="AC115" s="93"/>
      <c r="AD115" s="93"/>
      <c r="AE115" s="93"/>
      <c r="AF115" s="93"/>
      <c r="AG115" s="93"/>
      <c r="AH115" s="93"/>
      <c r="AI115" s="98"/>
      <c r="AJ115" s="93"/>
      <c r="AK115" s="93"/>
      <c r="AL115" s="93"/>
      <c r="AM115" s="93"/>
      <c r="AN115" s="93"/>
      <c r="AO115" s="93"/>
      <c r="AP115" s="93"/>
      <c r="AQ115" s="93"/>
      <c r="AR115" s="93"/>
      <c r="AS115" s="93"/>
      <c r="AT115" s="93"/>
      <c r="AU115" s="93"/>
      <c r="AV115" s="93"/>
      <c r="AW115" s="93"/>
      <c r="AX115" s="93"/>
      <c r="AY115" s="96"/>
    </row>
    <row r="116" spans="1:56" ht="20.100000000000001" customHeight="1">
      <c r="A116" s="93"/>
      <c r="B116" s="93"/>
      <c r="C116" s="93"/>
      <c r="D116" s="93"/>
      <c r="E116" s="93"/>
      <c r="F116" s="93"/>
      <c r="G116" s="93"/>
      <c r="H116" s="93"/>
      <c r="I116" s="93"/>
      <c r="J116" s="93"/>
      <c r="K116" s="93"/>
      <c r="L116" s="93"/>
      <c r="M116" s="93"/>
      <c r="N116" s="93"/>
      <c r="O116" s="93"/>
      <c r="P116" s="93"/>
      <c r="Q116" s="93"/>
      <c r="R116" s="93"/>
      <c r="S116" s="93"/>
      <c r="T116" s="93"/>
      <c r="U116" s="93"/>
      <c r="V116" s="323"/>
      <c r="W116" s="323"/>
      <c r="X116" s="323"/>
      <c r="Y116" s="323"/>
      <c r="Z116" s="323"/>
      <c r="AA116" s="93"/>
      <c r="AB116" s="93"/>
      <c r="AC116" s="93"/>
      <c r="AD116" s="93"/>
      <c r="AE116" s="93"/>
      <c r="AF116" s="93"/>
      <c r="AG116" s="93"/>
      <c r="AH116" s="93"/>
      <c r="AI116" s="93"/>
      <c r="AJ116" s="93"/>
      <c r="AK116" s="93"/>
      <c r="AL116" s="93"/>
      <c r="AM116" s="93"/>
      <c r="AN116" s="93"/>
      <c r="AO116" s="93"/>
      <c r="AP116" s="93"/>
      <c r="AQ116" s="93"/>
      <c r="AR116" s="93"/>
      <c r="AS116" s="93"/>
      <c r="AT116" s="93"/>
      <c r="AU116" s="93"/>
      <c r="AV116" s="93"/>
      <c r="AW116" s="93"/>
      <c r="AX116" s="93"/>
      <c r="AY116" s="96"/>
    </row>
    <row r="117" spans="1:56" ht="20.100000000000001" customHeight="1">
      <c r="A117" s="93"/>
      <c r="B117" s="290" t="s">
        <v>252</v>
      </c>
      <c r="C117" s="290"/>
      <c r="D117" s="290"/>
      <c r="E117" s="290"/>
      <c r="F117" s="290"/>
      <c r="G117" s="93"/>
      <c r="H117" s="290" t="s">
        <v>3164</v>
      </c>
      <c r="I117" s="290"/>
      <c r="J117" s="290"/>
      <c r="K117" s="290"/>
      <c r="L117" s="290"/>
      <c r="M117" s="93"/>
      <c r="N117" s="290" t="s">
        <v>80</v>
      </c>
      <c r="O117" s="290"/>
      <c r="P117" s="290"/>
      <c r="Q117" s="290"/>
      <c r="R117" s="290"/>
      <c r="S117" s="290"/>
      <c r="T117" s="290"/>
      <c r="U117" s="290"/>
      <c r="V117" s="290"/>
      <c r="W117" s="290"/>
      <c r="X117" s="290"/>
      <c r="Y117" s="290"/>
      <c r="Z117" s="290"/>
      <c r="AA117" s="290"/>
      <c r="AB117" s="93"/>
      <c r="AC117" s="290" t="s">
        <v>81</v>
      </c>
      <c r="AD117" s="290"/>
      <c r="AE117" s="290"/>
      <c r="AF117" s="290"/>
      <c r="AG117" s="290"/>
      <c r="AH117" s="93"/>
      <c r="AI117" s="290" t="s">
        <v>82</v>
      </c>
      <c r="AJ117" s="290"/>
      <c r="AK117" s="290"/>
      <c r="AL117" s="290"/>
      <c r="AM117" s="93"/>
      <c r="AN117" s="290" t="s">
        <v>83</v>
      </c>
      <c r="AO117" s="290"/>
      <c r="AP117" s="290"/>
      <c r="AQ117" s="290"/>
      <c r="AR117" s="290"/>
      <c r="AS117" s="93"/>
      <c r="AT117" s="290" t="s">
        <v>84</v>
      </c>
      <c r="AU117" s="290"/>
      <c r="AV117" s="93"/>
      <c r="AW117" s="342" t="s">
        <v>85</v>
      </c>
      <c r="AX117" s="342"/>
      <c r="AY117" s="361"/>
      <c r="BA117" s="93" t="s">
        <v>3197</v>
      </c>
    </row>
    <row r="118" spans="1:56" ht="20.100000000000001" customHeight="1">
      <c r="A118" s="309">
        <v>1</v>
      </c>
      <c r="B118" s="320"/>
      <c r="C118" s="320"/>
      <c r="D118" s="320"/>
      <c r="E118" s="320"/>
      <c r="F118" s="320"/>
      <c r="G118" s="124"/>
      <c r="H118" s="320" t="str">
        <f>IF(B118&lt;&gt;0,B118,"")</f>
        <v/>
      </c>
      <c r="I118" s="320"/>
      <c r="J118" s="320"/>
      <c r="K118" s="320"/>
      <c r="L118" s="320"/>
      <c r="M118" s="125"/>
      <c r="N118" s="321"/>
      <c r="O118" s="320"/>
      <c r="P118" s="320"/>
      <c r="Q118" s="320"/>
      <c r="R118" s="320"/>
      <c r="S118" s="320"/>
      <c r="T118" s="320"/>
      <c r="U118" s="320"/>
      <c r="V118" s="320"/>
      <c r="W118" s="320"/>
      <c r="X118" s="320"/>
      <c r="Y118" s="320"/>
      <c r="Z118" s="320"/>
      <c r="AA118" s="320"/>
      <c r="AB118" s="125"/>
      <c r="AC118" s="302" t="str">
        <f>IFERROR(INDEX(Database_Charms,MATCH($N118,Database_Charms_Names,0),MATCH(AC$117,Database_Charms_Values,0)),"")</f>
        <v/>
      </c>
      <c r="AD118" s="302"/>
      <c r="AE118" s="302"/>
      <c r="AF118" s="302"/>
      <c r="AG118" s="302"/>
      <c r="AH118" s="125"/>
      <c r="AI118" s="302" t="str">
        <f>IFERROR(INDEX(Database_Charms,MATCH($N118,Database_Charms_Names,0),MATCH(AI$117,Database_Charms_Values,0)),"")</f>
        <v/>
      </c>
      <c r="AJ118" s="302"/>
      <c r="AK118" s="302"/>
      <c r="AL118" s="302"/>
      <c r="AM118" s="125"/>
      <c r="AN118" s="302" t="str">
        <f>IFERROR(INDEX(Database_Charms,MATCH($N118,Database_Charms_Names,0),MATCH(AN$117,Database_Charms_Values,0)),"")</f>
        <v/>
      </c>
      <c r="AO118" s="302"/>
      <c r="AP118" s="302"/>
      <c r="AQ118" s="302"/>
      <c r="AR118" s="302"/>
      <c r="AS118" s="125"/>
      <c r="AT118" s="302" t="str">
        <f>IFERROR(INDEX(Database_Charms,MATCH($N118,Database_Charms_Names,0),MATCH(AT$117,Database_Charms_Values,0)),"")</f>
        <v/>
      </c>
      <c r="AU118" s="302"/>
      <c r="AV118" s="125"/>
      <c r="AW118" s="302" t="str">
        <f>IFERROR(INDEX(Database_Charms,MATCH($N118,Database_Charms_Names,0),MATCH(AW$117,Database_Charms_Values,0)),"")</f>
        <v/>
      </c>
      <c r="AX118" s="302"/>
      <c r="AY118" s="307"/>
      <c r="BD118" s="18"/>
    </row>
    <row r="119" spans="1:56" ht="14.1" customHeight="1">
      <c r="A119" s="310"/>
      <c r="B119" s="312" t="str">
        <f>IFERROR(INDEX(Database_Charms,MATCH($N118,Database_Charms_Names,0),MATCH(Charms!$S$1,Database_Charms_Values,0)),"")</f>
        <v/>
      </c>
      <c r="C119" s="312"/>
      <c r="D119" s="312"/>
      <c r="E119" s="312"/>
      <c r="F119" s="312"/>
      <c r="G119" s="312"/>
      <c r="H119" s="312"/>
      <c r="I119" s="312"/>
      <c r="J119" s="312"/>
      <c r="K119" s="312"/>
      <c r="L119" s="312"/>
      <c r="M119" s="312"/>
      <c r="N119" s="312"/>
      <c r="O119" s="312"/>
      <c r="P119" s="312"/>
      <c r="Q119" s="312"/>
      <c r="R119" s="312"/>
      <c r="S119" s="312"/>
      <c r="T119" s="312"/>
      <c r="U119" s="312"/>
      <c r="V119" s="312"/>
      <c r="W119" s="312"/>
      <c r="X119" s="312"/>
      <c r="Y119" s="312"/>
      <c r="Z119" s="312"/>
      <c r="AA119" s="312"/>
      <c r="AB119" s="312"/>
      <c r="AC119" s="312"/>
      <c r="AD119" s="312"/>
      <c r="AE119" s="312"/>
      <c r="AF119" s="312"/>
      <c r="AG119" s="312"/>
      <c r="AH119" s="312"/>
      <c r="AI119" s="312"/>
      <c r="AJ119" s="312"/>
      <c r="AK119" s="312"/>
      <c r="AL119" s="312"/>
      <c r="AM119" s="312"/>
      <c r="AN119" s="312"/>
      <c r="AO119" s="312"/>
      <c r="AP119" s="312"/>
      <c r="AQ119" s="312"/>
      <c r="AR119" s="312"/>
      <c r="AS119" s="312"/>
      <c r="AT119" s="312"/>
      <c r="AU119" s="312"/>
      <c r="AV119" s="312"/>
      <c r="AW119" s="312"/>
      <c r="AX119" s="312"/>
      <c r="AY119" s="313"/>
    </row>
    <row r="120" spans="1:56" ht="14.25">
      <c r="A120" s="311"/>
      <c r="B120" s="314"/>
      <c r="C120" s="314"/>
      <c r="D120" s="314"/>
      <c r="E120" s="314"/>
      <c r="F120" s="314"/>
      <c r="G120" s="314"/>
      <c r="H120" s="314"/>
      <c r="I120" s="314"/>
      <c r="J120" s="314"/>
      <c r="K120" s="314"/>
      <c r="L120" s="314"/>
      <c r="M120" s="314"/>
      <c r="N120" s="314"/>
      <c r="O120" s="314"/>
      <c r="P120" s="314"/>
      <c r="Q120" s="314"/>
      <c r="R120" s="314"/>
      <c r="S120" s="314"/>
      <c r="T120" s="314"/>
      <c r="U120" s="314"/>
      <c r="V120" s="314"/>
      <c r="W120" s="314"/>
      <c r="X120" s="314"/>
      <c r="Y120" s="314"/>
      <c r="Z120" s="314"/>
      <c r="AA120" s="314"/>
      <c r="AB120" s="314"/>
      <c r="AC120" s="314"/>
      <c r="AD120" s="314"/>
      <c r="AE120" s="314"/>
      <c r="AF120" s="314"/>
      <c r="AG120" s="314"/>
      <c r="AH120" s="314"/>
      <c r="AI120" s="314"/>
      <c r="AJ120" s="314"/>
      <c r="AK120" s="314"/>
      <c r="AL120" s="314"/>
      <c r="AM120" s="314"/>
      <c r="AN120" s="314"/>
      <c r="AO120" s="314"/>
      <c r="AP120" s="314"/>
      <c r="AQ120" s="314"/>
      <c r="AR120" s="314"/>
      <c r="AS120" s="314"/>
      <c r="AT120" s="314"/>
      <c r="AU120" s="314"/>
      <c r="AV120" s="314"/>
      <c r="AW120" s="314"/>
      <c r="AX120" s="314"/>
      <c r="AY120" s="315"/>
    </row>
    <row r="121" spans="1:56" ht="20.100000000000001" customHeight="1">
      <c r="A121" s="290">
        <v>2</v>
      </c>
      <c r="B121" s="320"/>
      <c r="C121" s="320"/>
      <c r="D121" s="320"/>
      <c r="E121" s="320"/>
      <c r="F121" s="320"/>
      <c r="G121" s="124"/>
      <c r="H121" s="320" t="str">
        <f>IF(B121&lt;&gt;0,B121,"")</f>
        <v/>
      </c>
      <c r="I121" s="320"/>
      <c r="J121" s="320"/>
      <c r="K121" s="320"/>
      <c r="L121" s="320"/>
      <c r="M121" s="125"/>
      <c r="N121" s="321"/>
      <c r="O121" s="320"/>
      <c r="P121" s="320"/>
      <c r="Q121" s="320"/>
      <c r="R121" s="320"/>
      <c r="S121" s="320"/>
      <c r="T121" s="320"/>
      <c r="U121" s="320"/>
      <c r="V121" s="320"/>
      <c r="W121" s="320"/>
      <c r="X121" s="320"/>
      <c r="Y121" s="320"/>
      <c r="Z121" s="320"/>
      <c r="AA121" s="320"/>
      <c r="AB121" s="125"/>
      <c r="AC121" s="302" t="str">
        <f>IFERROR(INDEX(Database_Charms,MATCH($N121,Database_Charms_Names,0),MATCH(AC$117,Database_Charms_Values,0)),"")</f>
        <v/>
      </c>
      <c r="AD121" s="302"/>
      <c r="AE121" s="302"/>
      <c r="AF121" s="302"/>
      <c r="AG121" s="302"/>
      <c r="AH121" s="125"/>
      <c r="AI121" s="302" t="str">
        <f>IFERROR(INDEX(Database_Charms,MATCH($N121,Database_Charms_Names,0),MATCH(AI$117,Database_Charms_Values,0)),"")</f>
        <v/>
      </c>
      <c r="AJ121" s="302"/>
      <c r="AK121" s="302"/>
      <c r="AL121" s="302"/>
      <c r="AM121" s="125"/>
      <c r="AN121" s="302" t="str">
        <f>IFERROR(INDEX(Database_Charms,MATCH($N121,Database_Charms_Names,0),MATCH(AN$117,Database_Charms_Values,0)),"")</f>
        <v/>
      </c>
      <c r="AO121" s="302"/>
      <c r="AP121" s="302"/>
      <c r="AQ121" s="302"/>
      <c r="AR121" s="302"/>
      <c r="AS121" s="125"/>
      <c r="AT121" s="302" t="str">
        <f>IFERROR(INDEX(Database_Charms,MATCH($N121,Database_Charms_Names,0),MATCH(AT$117,Database_Charms_Values,0)),"")</f>
        <v/>
      </c>
      <c r="AU121" s="302"/>
      <c r="AV121" s="125"/>
      <c r="AW121" s="302" t="str">
        <f>IFERROR(INDEX(Database_Charms,MATCH($N121,Database_Charms_Names,0),MATCH(AW$117,Database_Charms_Values,0)),"")</f>
        <v/>
      </c>
      <c r="AX121" s="302"/>
      <c r="AY121" s="307"/>
    </row>
    <row r="122" spans="1:56" ht="20.100000000000001" customHeight="1">
      <c r="A122" s="290"/>
      <c r="B122" s="312" t="str">
        <f>IFERROR(INDEX(Database_Charms,MATCH($N121,Database_Charms_Names,0),MATCH(Charms!$S$1,Database_Charms_Values,0)),"")</f>
        <v/>
      </c>
      <c r="C122" s="312"/>
      <c r="D122" s="312"/>
      <c r="E122" s="312"/>
      <c r="F122" s="312"/>
      <c r="G122" s="312"/>
      <c r="H122" s="312"/>
      <c r="I122" s="312"/>
      <c r="J122" s="312"/>
      <c r="K122" s="312"/>
      <c r="L122" s="312"/>
      <c r="M122" s="312"/>
      <c r="N122" s="312"/>
      <c r="O122" s="312"/>
      <c r="P122" s="312"/>
      <c r="Q122" s="312"/>
      <c r="R122" s="312"/>
      <c r="S122" s="312"/>
      <c r="T122" s="312"/>
      <c r="U122" s="312"/>
      <c r="V122" s="312"/>
      <c r="W122" s="312"/>
      <c r="X122" s="312"/>
      <c r="Y122" s="312"/>
      <c r="Z122" s="312"/>
      <c r="AA122" s="312"/>
      <c r="AB122" s="312"/>
      <c r="AC122" s="312"/>
      <c r="AD122" s="312"/>
      <c r="AE122" s="312"/>
      <c r="AF122" s="312"/>
      <c r="AG122" s="312"/>
      <c r="AH122" s="312"/>
      <c r="AI122" s="312"/>
      <c r="AJ122" s="312"/>
      <c r="AK122" s="312"/>
      <c r="AL122" s="312"/>
      <c r="AM122" s="312"/>
      <c r="AN122" s="312"/>
      <c r="AO122" s="312"/>
      <c r="AP122" s="312"/>
      <c r="AQ122" s="312"/>
      <c r="AR122" s="312"/>
      <c r="AS122" s="312"/>
      <c r="AT122" s="312"/>
      <c r="AU122" s="312"/>
      <c r="AV122" s="312"/>
      <c r="AW122" s="312"/>
      <c r="AX122" s="312"/>
      <c r="AY122" s="313"/>
    </row>
    <row r="123" spans="1:56" ht="20.100000000000001" customHeight="1">
      <c r="A123" s="290"/>
      <c r="B123" s="314"/>
      <c r="C123" s="314"/>
      <c r="D123" s="314"/>
      <c r="E123" s="314"/>
      <c r="F123" s="314"/>
      <c r="G123" s="314"/>
      <c r="H123" s="314"/>
      <c r="I123" s="314"/>
      <c r="J123" s="314"/>
      <c r="K123" s="314"/>
      <c r="L123" s="314"/>
      <c r="M123" s="314"/>
      <c r="N123" s="314"/>
      <c r="O123" s="314"/>
      <c r="P123" s="314"/>
      <c r="Q123" s="314"/>
      <c r="R123" s="314"/>
      <c r="S123" s="314"/>
      <c r="T123" s="314"/>
      <c r="U123" s="314"/>
      <c r="V123" s="314"/>
      <c r="W123" s="314"/>
      <c r="X123" s="314"/>
      <c r="Y123" s="314"/>
      <c r="Z123" s="314"/>
      <c r="AA123" s="314"/>
      <c r="AB123" s="314"/>
      <c r="AC123" s="314"/>
      <c r="AD123" s="314"/>
      <c r="AE123" s="314"/>
      <c r="AF123" s="314"/>
      <c r="AG123" s="314"/>
      <c r="AH123" s="314"/>
      <c r="AI123" s="314"/>
      <c r="AJ123" s="314"/>
      <c r="AK123" s="314"/>
      <c r="AL123" s="314"/>
      <c r="AM123" s="314"/>
      <c r="AN123" s="314"/>
      <c r="AO123" s="314"/>
      <c r="AP123" s="314"/>
      <c r="AQ123" s="314"/>
      <c r="AR123" s="314"/>
      <c r="AS123" s="314"/>
      <c r="AT123" s="314"/>
      <c r="AU123" s="314"/>
      <c r="AV123" s="314"/>
      <c r="AW123" s="314"/>
      <c r="AX123" s="314"/>
      <c r="AY123" s="315"/>
    </row>
    <row r="124" spans="1:56" ht="20.100000000000001" customHeight="1">
      <c r="A124" s="290">
        <v>3</v>
      </c>
      <c r="B124" s="320"/>
      <c r="C124" s="320"/>
      <c r="D124" s="320"/>
      <c r="E124" s="320"/>
      <c r="F124" s="320"/>
      <c r="G124" s="124"/>
      <c r="H124" s="320" t="str">
        <f>IF(B124&lt;&gt;0,B124,"")</f>
        <v/>
      </c>
      <c r="I124" s="320"/>
      <c r="J124" s="320"/>
      <c r="K124" s="320"/>
      <c r="L124" s="320"/>
      <c r="M124" s="125"/>
      <c r="N124" s="321"/>
      <c r="O124" s="320"/>
      <c r="P124" s="320"/>
      <c r="Q124" s="320"/>
      <c r="R124" s="320"/>
      <c r="S124" s="320"/>
      <c r="T124" s="320"/>
      <c r="U124" s="320"/>
      <c r="V124" s="320"/>
      <c r="W124" s="320"/>
      <c r="X124" s="320"/>
      <c r="Y124" s="320"/>
      <c r="Z124" s="320"/>
      <c r="AA124" s="320"/>
      <c r="AB124" s="125"/>
      <c r="AC124" s="302" t="str">
        <f>IFERROR(INDEX(Database_Charms,MATCH($N124,Database_Charms_Names,0),MATCH(AC$117,Database_Charms_Values,0)),"")</f>
        <v/>
      </c>
      <c r="AD124" s="302"/>
      <c r="AE124" s="302"/>
      <c r="AF124" s="302"/>
      <c r="AG124" s="302"/>
      <c r="AH124" s="125"/>
      <c r="AI124" s="302" t="str">
        <f>IFERROR(INDEX(Database_Charms,MATCH($N124,Database_Charms_Names,0),MATCH(AI$117,Database_Charms_Values,0)),"")</f>
        <v/>
      </c>
      <c r="AJ124" s="302"/>
      <c r="AK124" s="302"/>
      <c r="AL124" s="302"/>
      <c r="AM124" s="125"/>
      <c r="AN124" s="302" t="str">
        <f>IFERROR(INDEX(Database_Charms,MATCH($N124,Database_Charms_Names,0),MATCH(AN$117,Database_Charms_Values,0)),"")</f>
        <v/>
      </c>
      <c r="AO124" s="302"/>
      <c r="AP124" s="302"/>
      <c r="AQ124" s="302"/>
      <c r="AR124" s="302"/>
      <c r="AS124" s="125"/>
      <c r="AT124" s="302" t="str">
        <f>IFERROR(INDEX(Database_Charms,MATCH($N124,Database_Charms_Names,0),MATCH(AT$117,Database_Charms_Values,0)),"")</f>
        <v/>
      </c>
      <c r="AU124" s="302"/>
      <c r="AV124" s="125"/>
      <c r="AW124" s="302" t="str">
        <f>IFERROR(INDEX(Database_Charms,MATCH($N124,Database_Charms_Names,0),MATCH(AW$117,Database_Charms_Values,0)),"")</f>
        <v/>
      </c>
      <c r="AX124" s="302"/>
      <c r="AY124" s="307"/>
    </row>
    <row r="125" spans="1:56" ht="20.100000000000001" customHeight="1">
      <c r="A125" s="290"/>
      <c r="B125" s="312" t="str">
        <f>IFERROR(INDEX(Database_Charms,MATCH($N124,Database_Charms_Names,0),MATCH(Charms!$S$1,Database_Charms_Values,0)),"")</f>
        <v/>
      </c>
      <c r="C125" s="312"/>
      <c r="D125" s="312"/>
      <c r="E125" s="312"/>
      <c r="F125" s="312"/>
      <c r="G125" s="312"/>
      <c r="H125" s="312"/>
      <c r="I125" s="312"/>
      <c r="J125" s="312"/>
      <c r="K125" s="312"/>
      <c r="L125" s="312"/>
      <c r="M125" s="312"/>
      <c r="N125" s="312"/>
      <c r="O125" s="312"/>
      <c r="P125" s="312"/>
      <c r="Q125" s="312"/>
      <c r="R125" s="312"/>
      <c r="S125" s="312"/>
      <c r="T125" s="312"/>
      <c r="U125" s="312"/>
      <c r="V125" s="312"/>
      <c r="W125" s="312"/>
      <c r="X125" s="312"/>
      <c r="Y125" s="312"/>
      <c r="Z125" s="312"/>
      <c r="AA125" s="312"/>
      <c r="AB125" s="312"/>
      <c r="AC125" s="312"/>
      <c r="AD125" s="312"/>
      <c r="AE125" s="312"/>
      <c r="AF125" s="312"/>
      <c r="AG125" s="312"/>
      <c r="AH125" s="312"/>
      <c r="AI125" s="312"/>
      <c r="AJ125" s="312"/>
      <c r="AK125" s="312"/>
      <c r="AL125" s="312"/>
      <c r="AM125" s="312"/>
      <c r="AN125" s="312"/>
      <c r="AO125" s="312"/>
      <c r="AP125" s="312"/>
      <c r="AQ125" s="312"/>
      <c r="AR125" s="312"/>
      <c r="AS125" s="312"/>
      <c r="AT125" s="312"/>
      <c r="AU125" s="312"/>
      <c r="AV125" s="312"/>
      <c r="AW125" s="312"/>
      <c r="AX125" s="312"/>
      <c r="AY125" s="313"/>
    </row>
    <row r="126" spans="1:56" ht="20.100000000000001" customHeight="1">
      <c r="A126" s="290"/>
      <c r="B126" s="314"/>
      <c r="C126" s="314"/>
      <c r="D126" s="314"/>
      <c r="E126" s="314"/>
      <c r="F126" s="314"/>
      <c r="G126" s="314"/>
      <c r="H126" s="314"/>
      <c r="I126" s="314"/>
      <c r="J126" s="314"/>
      <c r="K126" s="314"/>
      <c r="L126" s="314"/>
      <c r="M126" s="314"/>
      <c r="N126" s="314"/>
      <c r="O126" s="314"/>
      <c r="P126" s="314"/>
      <c r="Q126" s="314"/>
      <c r="R126" s="314"/>
      <c r="S126" s="314"/>
      <c r="T126" s="314"/>
      <c r="U126" s="314"/>
      <c r="V126" s="314"/>
      <c r="W126" s="314"/>
      <c r="X126" s="314"/>
      <c r="Y126" s="314"/>
      <c r="Z126" s="314"/>
      <c r="AA126" s="314"/>
      <c r="AB126" s="314"/>
      <c r="AC126" s="314"/>
      <c r="AD126" s="314"/>
      <c r="AE126" s="314"/>
      <c r="AF126" s="314"/>
      <c r="AG126" s="314"/>
      <c r="AH126" s="314"/>
      <c r="AI126" s="314"/>
      <c r="AJ126" s="314"/>
      <c r="AK126" s="314"/>
      <c r="AL126" s="314"/>
      <c r="AM126" s="314"/>
      <c r="AN126" s="314"/>
      <c r="AO126" s="314"/>
      <c r="AP126" s="314"/>
      <c r="AQ126" s="314"/>
      <c r="AR126" s="314"/>
      <c r="AS126" s="314"/>
      <c r="AT126" s="314"/>
      <c r="AU126" s="314"/>
      <c r="AV126" s="314"/>
      <c r="AW126" s="314"/>
      <c r="AX126" s="314"/>
      <c r="AY126" s="315"/>
    </row>
    <row r="127" spans="1:56" ht="20.100000000000001" customHeight="1">
      <c r="A127" s="290">
        <v>4</v>
      </c>
      <c r="B127" s="320"/>
      <c r="C127" s="320"/>
      <c r="D127" s="320"/>
      <c r="E127" s="320"/>
      <c r="F127" s="320"/>
      <c r="G127" s="124"/>
      <c r="H127" s="320" t="str">
        <f>IF(B127&lt;&gt;0,B127,"")</f>
        <v/>
      </c>
      <c r="I127" s="320"/>
      <c r="J127" s="320"/>
      <c r="K127" s="320"/>
      <c r="L127" s="320"/>
      <c r="M127" s="125"/>
      <c r="N127" s="321"/>
      <c r="O127" s="320"/>
      <c r="P127" s="320"/>
      <c r="Q127" s="320"/>
      <c r="R127" s="320"/>
      <c r="S127" s="320"/>
      <c r="T127" s="320"/>
      <c r="U127" s="320"/>
      <c r="V127" s="320"/>
      <c r="W127" s="320"/>
      <c r="X127" s="320"/>
      <c r="Y127" s="320"/>
      <c r="Z127" s="320"/>
      <c r="AA127" s="320"/>
      <c r="AB127" s="125"/>
      <c r="AC127" s="302" t="str">
        <f>IFERROR(INDEX(Database_Charms,MATCH($N127,Database_Charms_Names,0),MATCH(AC$117,Database_Charms_Values,0)),"")</f>
        <v/>
      </c>
      <c r="AD127" s="302"/>
      <c r="AE127" s="302"/>
      <c r="AF127" s="302"/>
      <c r="AG127" s="302"/>
      <c r="AH127" s="125"/>
      <c r="AI127" s="302" t="str">
        <f>IFERROR(INDEX(Database_Charms,MATCH($N127,Database_Charms_Names,0),MATCH(AI$117,Database_Charms_Values,0)),"")</f>
        <v/>
      </c>
      <c r="AJ127" s="302"/>
      <c r="AK127" s="302"/>
      <c r="AL127" s="302"/>
      <c r="AM127" s="125"/>
      <c r="AN127" s="302" t="str">
        <f>IFERROR(INDEX(Database_Charms,MATCH($N127,Database_Charms_Names,0),MATCH(AN$117,Database_Charms_Values,0)),"")</f>
        <v/>
      </c>
      <c r="AO127" s="302"/>
      <c r="AP127" s="302"/>
      <c r="AQ127" s="302"/>
      <c r="AR127" s="302"/>
      <c r="AS127" s="125"/>
      <c r="AT127" s="302" t="str">
        <f>IFERROR(INDEX(Database_Charms,MATCH($N127,Database_Charms_Names,0),MATCH(AT$117,Database_Charms_Values,0)),"")</f>
        <v/>
      </c>
      <c r="AU127" s="302"/>
      <c r="AV127" s="125"/>
      <c r="AW127" s="302" t="str">
        <f>IFERROR(INDEX(Database_Charms,MATCH($N127,Database_Charms_Names,0),MATCH(AW$117,Database_Charms_Values,0)),"")</f>
        <v/>
      </c>
      <c r="AX127" s="302"/>
      <c r="AY127" s="307"/>
    </row>
    <row r="128" spans="1:56" ht="20.100000000000001" customHeight="1">
      <c r="A128" s="290"/>
      <c r="B128" s="312" t="str">
        <f>IFERROR(INDEX(Database_Charms,MATCH($N127,Database_Charms_Names,0),MATCH(Charms!$S$1,Database_Charms_Values,0)),"")</f>
        <v/>
      </c>
      <c r="C128" s="312"/>
      <c r="D128" s="312"/>
      <c r="E128" s="312"/>
      <c r="F128" s="312"/>
      <c r="G128" s="312"/>
      <c r="H128" s="312"/>
      <c r="I128" s="312"/>
      <c r="J128" s="312"/>
      <c r="K128" s="312"/>
      <c r="L128" s="312"/>
      <c r="M128" s="312"/>
      <c r="N128" s="312"/>
      <c r="O128" s="312"/>
      <c r="P128" s="312"/>
      <c r="Q128" s="312"/>
      <c r="R128" s="312"/>
      <c r="S128" s="312"/>
      <c r="T128" s="312"/>
      <c r="U128" s="312"/>
      <c r="V128" s="312"/>
      <c r="W128" s="312"/>
      <c r="X128" s="312"/>
      <c r="Y128" s="312"/>
      <c r="Z128" s="312"/>
      <c r="AA128" s="312"/>
      <c r="AB128" s="312"/>
      <c r="AC128" s="312"/>
      <c r="AD128" s="312"/>
      <c r="AE128" s="312"/>
      <c r="AF128" s="312"/>
      <c r="AG128" s="312"/>
      <c r="AH128" s="312"/>
      <c r="AI128" s="312"/>
      <c r="AJ128" s="312"/>
      <c r="AK128" s="312"/>
      <c r="AL128" s="312"/>
      <c r="AM128" s="312"/>
      <c r="AN128" s="312"/>
      <c r="AO128" s="312"/>
      <c r="AP128" s="312"/>
      <c r="AQ128" s="312"/>
      <c r="AR128" s="312"/>
      <c r="AS128" s="312"/>
      <c r="AT128" s="312"/>
      <c r="AU128" s="312"/>
      <c r="AV128" s="312"/>
      <c r="AW128" s="312"/>
      <c r="AX128" s="312"/>
      <c r="AY128" s="313"/>
    </row>
    <row r="129" spans="1:51" ht="20.100000000000001" customHeight="1">
      <c r="A129" s="290"/>
      <c r="B129" s="314"/>
      <c r="C129" s="314"/>
      <c r="D129" s="314"/>
      <c r="E129" s="314"/>
      <c r="F129" s="314"/>
      <c r="G129" s="314"/>
      <c r="H129" s="314"/>
      <c r="I129" s="314"/>
      <c r="J129" s="314"/>
      <c r="K129" s="314"/>
      <c r="L129" s="314"/>
      <c r="M129" s="314"/>
      <c r="N129" s="314"/>
      <c r="O129" s="314"/>
      <c r="P129" s="314"/>
      <c r="Q129" s="314"/>
      <c r="R129" s="314"/>
      <c r="S129" s="314"/>
      <c r="T129" s="314"/>
      <c r="U129" s="314"/>
      <c r="V129" s="314"/>
      <c r="W129" s="314"/>
      <c r="X129" s="314"/>
      <c r="Y129" s="314"/>
      <c r="Z129" s="314"/>
      <c r="AA129" s="314"/>
      <c r="AB129" s="314"/>
      <c r="AC129" s="314"/>
      <c r="AD129" s="314"/>
      <c r="AE129" s="314"/>
      <c r="AF129" s="314"/>
      <c r="AG129" s="314"/>
      <c r="AH129" s="314"/>
      <c r="AI129" s="314"/>
      <c r="AJ129" s="314"/>
      <c r="AK129" s="314"/>
      <c r="AL129" s="314"/>
      <c r="AM129" s="314"/>
      <c r="AN129" s="314"/>
      <c r="AO129" s="314"/>
      <c r="AP129" s="314"/>
      <c r="AQ129" s="314"/>
      <c r="AR129" s="314"/>
      <c r="AS129" s="314"/>
      <c r="AT129" s="314"/>
      <c r="AU129" s="314"/>
      <c r="AV129" s="314"/>
      <c r="AW129" s="314"/>
      <c r="AX129" s="314"/>
      <c r="AY129" s="315"/>
    </row>
    <row r="130" spans="1:51" ht="20.100000000000001" customHeight="1">
      <c r="A130" s="290">
        <v>5</v>
      </c>
      <c r="B130" s="320"/>
      <c r="C130" s="320"/>
      <c r="D130" s="320"/>
      <c r="E130" s="320"/>
      <c r="F130" s="320"/>
      <c r="G130" s="124"/>
      <c r="H130" s="320" t="str">
        <f>IF(B130&lt;&gt;0,B130,"")</f>
        <v/>
      </c>
      <c r="I130" s="320"/>
      <c r="J130" s="320"/>
      <c r="K130" s="320"/>
      <c r="L130" s="320"/>
      <c r="M130" s="125"/>
      <c r="N130" s="321"/>
      <c r="O130" s="320"/>
      <c r="P130" s="320"/>
      <c r="Q130" s="320"/>
      <c r="R130" s="320"/>
      <c r="S130" s="320"/>
      <c r="T130" s="320"/>
      <c r="U130" s="320"/>
      <c r="V130" s="320"/>
      <c r="W130" s="320"/>
      <c r="X130" s="320"/>
      <c r="Y130" s="320"/>
      <c r="Z130" s="320"/>
      <c r="AA130" s="320"/>
      <c r="AB130" s="125"/>
      <c r="AC130" s="302" t="str">
        <f>IFERROR(INDEX(Database_Charms,MATCH($N130,Database_Charms_Names,0),MATCH(AC$117,Database_Charms_Values,0)),"")</f>
        <v/>
      </c>
      <c r="AD130" s="302"/>
      <c r="AE130" s="302"/>
      <c r="AF130" s="302"/>
      <c r="AG130" s="302"/>
      <c r="AH130" s="125"/>
      <c r="AI130" s="302" t="str">
        <f>IFERROR(INDEX(Database_Charms,MATCH($N130,Database_Charms_Names,0),MATCH(AI$117,Database_Charms_Values,0)),"")</f>
        <v/>
      </c>
      <c r="AJ130" s="302"/>
      <c r="AK130" s="302"/>
      <c r="AL130" s="302"/>
      <c r="AM130" s="125"/>
      <c r="AN130" s="302" t="str">
        <f>IFERROR(INDEX(Database_Charms,MATCH($N130,Database_Charms_Names,0),MATCH(AN$117,Database_Charms_Values,0)),"")</f>
        <v/>
      </c>
      <c r="AO130" s="302"/>
      <c r="AP130" s="302"/>
      <c r="AQ130" s="302"/>
      <c r="AR130" s="302"/>
      <c r="AS130" s="125"/>
      <c r="AT130" s="302" t="str">
        <f>IFERROR(INDEX(Database_Charms,MATCH($N130,Database_Charms_Names,0),MATCH(AT$117,Database_Charms_Values,0)),"")</f>
        <v/>
      </c>
      <c r="AU130" s="302"/>
      <c r="AV130" s="125"/>
      <c r="AW130" s="302" t="str">
        <f>IFERROR(INDEX(Database_Charms,MATCH($N130,Database_Charms_Names,0),MATCH(AW$117,Database_Charms_Values,0)),"")</f>
        <v/>
      </c>
      <c r="AX130" s="302"/>
      <c r="AY130" s="307"/>
    </row>
    <row r="131" spans="1:51" ht="20.100000000000001" customHeight="1">
      <c r="A131" s="290"/>
      <c r="B131" s="312" t="str">
        <f>IFERROR(INDEX(Database_Charms,MATCH($N130,Database_Charms_Names,0),MATCH(Charms!$S$1,Database_Charms_Values,0)),"")</f>
        <v/>
      </c>
      <c r="C131" s="312"/>
      <c r="D131" s="312"/>
      <c r="E131" s="312"/>
      <c r="F131" s="312"/>
      <c r="G131" s="312"/>
      <c r="H131" s="312"/>
      <c r="I131" s="312"/>
      <c r="J131" s="312"/>
      <c r="K131" s="312"/>
      <c r="L131" s="312"/>
      <c r="M131" s="312"/>
      <c r="N131" s="312"/>
      <c r="O131" s="312"/>
      <c r="P131" s="312"/>
      <c r="Q131" s="312"/>
      <c r="R131" s="312"/>
      <c r="S131" s="312"/>
      <c r="T131" s="312"/>
      <c r="U131" s="312"/>
      <c r="V131" s="312"/>
      <c r="W131" s="312"/>
      <c r="X131" s="312"/>
      <c r="Y131" s="312"/>
      <c r="Z131" s="312"/>
      <c r="AA131" s="312"/>
      <c r="AB131" s="312"/>
      <c r="AC131" s="312"/>
      <c r="AD131" s="312"/>
      <c r="AE131" s="312"/>
      <c r="AF131" s="312"/>
      <c r="AG131" s="312"/>
      <c r="AH131" s="312"/>
      <c r="AI131" s="312"/>
      <c r="AJ131" s="312"/>
      <c r="AK131" s="312"/>
      <c r="AL131" s="312"/>
      <c r="AM131" s="312"/>
      <c r="AN131" s="312"/>
      <c r="AO131" s="312"/>
      <c r="AP131" s="312"/>
      <c r="AQ131" s="312"/>
      <c r="AR131" s="312"/>
      <c r="AS131" s="312"/>
      <c r="AT131" s="312"/>
      <c r="AU131" s="312"/>
      <c r="AV131" s="312"/>
      <c r="AW131" s="312"/>
      <c r="AX131" s="312"/>
      <c r="AY131" s="313"/>
    </row>
    <row r="132" spans="1:51" ht="20.100000000000001" customHeight="1">
      <c r="A132" s="290"/>
      <c r="B132" s="314"/>
      <c r="C132" s="314"/>
      <c r="D132" s="314"/>
      <c r="E132" s="314"/>
      <c r="F132" s="314"/>
      <c r="G132" s="314"/>
      <c r="H132" s="314"/>
      <c r="I132" s="314"/>
      <c r="J132" s="314"/>
      <c r="K132" s="314"/>
      <c r="L132" s="314"/>
      <c r="M132" s="314"/>
      <c r="N132" s="314"/>
      <c r="O132" s="314"/>
      <c r="P132" s="314"/>
      <c r="Q132" s="314"/>
      <c r="R132" s="314"/>
      <c r="S132" s="314"/>
      <c r="T132" s="314"/>
      <c r="U132" s="314"/>
      <c r="V132" s="314"/>
      <c r="W132" s="314"/>
      <c r="X132" s="314"/>
      <c r="Y132" s="314"/>
      <c r="Z132" s="314"/>
      <c r="AA132" s="314"/>
      <c r="AB132" s="314"/>
      <c r="AC132" s="314"/>
      <c r="AD132" s="314"/>
      <c r="AE132" s="314"/>
      <c r="AF132" s="314"/>
      <c r="AG132" s="314"/>
      <c r="AH132" s="314"/>
      <c r="AI132" s="314"/>
      <c r="AJ132" s="314"/>
      <c r="AK132" s="314"/>
      <c r="AL132" s="314"/>
      <c r="AM132" s="314"/>
      <c r="AN132" s="314"/>
      <c r="AO132" s="314"/>
      <c r="AP132" s="314"/>
      <c r="AQ132" s="314"/>
      <c r="AR132" s="314"/>
      <c r="AS132" s="314"/>
      <c r="AT132" s="314"/>
      <c r="AU132" s="314"/>
      <c r="AV132" s="314"/>
      <c r="AW132" s="314"/>
      <c r="AX132" s="314"/>
      <c r="AY132" s="315"/>
    </row>
    <row r="133" spans="1:51" ht="20.100000000000001" customHeight="1">
      <c r="A133" s="290">
        <v>6</v>
      </c>
      <c r="B133" s="320"/>
      <c r="C133" s="320"/>
      <c r="D133" s="320"/>
      <c r="E133" s="320"/>
      <c r="F133" s="320"/>
      <c r="G133" s="124"/>
      <c r="H133" s="320" t="str">
        <f>IF(B133&lt;&gt;0,B133,"")</f>
        <v/>
      </c>
      <c r="I133" s="320"/>
      <c r="J133" s="320"/>
      <c r="K133" s="320"/>
      <c r="L133" s="320"/>
      <c r="M133" s="125"/>
      <c r="N133" s="321"/>
      <c r="O133" s="320"/>
      <c r="P133" s="320"/>
      <c r="Q133" s="320"/>
      <c r="R133" s="320"/>
      <c r="S133" s="320"/>
      <c r="T133" s="320"/>
      <c r="U133" s="320"/>
      <c r="V133" s="320"/>
      <c r="W133" s="320"/>
      <c r="X133" s="320"/>
      <c r="Y133" s="320"/>
      <c r="Z133" s="320"/>
      <c r="AA133" s="320"/>
      <c r="AB133" s="125"/>
      <c r="AC133" s="302" t="str">
        <f>IFERROR(INDEX(Database_Charms,MATCH($N133,Database_Charms_Names,0),MATCH(AC$117,Database_Charms_Values,0)),"")</f>
        <v/>
      </c>
      <c r="AD133" s="302"/>
      <c r="AE133" s="302"/>
      <c r="AF133" s="302"/>
      <c r="AG133" s="302"/>
      <c r="AH133" s="125"/>
      <c r="AI133" s="302" t="str">
        <f>IFERROR(INDEX(Database_Charms,MATCH($N133,Database_Charms_Names,0),MATCH(AI$117,Database_Charms_Values,0)),"")</f>
        <v/>
      </c>
      <c r="AJ133" s="302"/>
      <c r="AK133" s="302"/>
      <c r="AL133" s="302"/>
      <c r="AM133" s="125"/>
      <c r="AN133" s="302" t="str">
        <f>IFERROR(INDEX(Database_Charms,MATCH($N133,Database_Charms_Names,0),MATCH(AN$117,Database_Charms_Values,0)),"")</f>
        <v/>
      </c>
      <c r="AO133" s="302"/>
      <c r="AP133" s="302"/>
      <c r="AQ133" s="302"/>
      <c r="AR133" s="302"/>
      <c r="AS133" s="125"/>
      <c r="AT133" s="302" t="str">
        <f>IFERROR(INDEX(Database_Charms,MATCH($N133,Database_Charms_Names,0),MATCH(AT$117,Database_Charms_Values,0)),"")</f>
        <v/>
      </c>
      <c r="AU133" s="302"/>
      <c r="AV133" s="125"/>
      <c r="AW133" s="302" t="str">
        <f>IFERROR(INDEX(Database_Charms,MATCH($N133,Database_Charms_Names,0),MATCH(AW$117,Database_Charms_Values,0)),"")</f>
        <v/>
      </c>
      <c r="AX133" s="302"/>
      <c r="AY133" s="307"/>
    </row>
    <row r="134" spans="1:51" ht="20.100000000000001" customHeight="1">
      <c r="A134" s="290"/>
      <c r="B134" s="312" t="str">
        <f>IFERROR(INDEX(Database_Charms,MATCH($N133,Database_Charms_Names,0),MATCH(Charms!$S$1,Database_Charms_Values,0)),"")</f>
        <v/>
      </c>
      <c r="C134" s="312"/>
      <c r="D134" s="312"/>
      <c r="E134" s="312"/>
      <c r="F134" s="312"/>
      <c r="G134" s="312"/>
      <c r="H134" s="312"/>
      <c r="I134" s="312"/>
      <c r="J134" s="312"/>
      <c r="K134" s="312"/>
      <c r="L134" s="312"/>
      <c r="M134" s="312"/>
      <c r="N134" s="312"/>
      <c r="O134" s="312"/>
      <c r="P134" s="312"/>
      <c r="Q134" s="312"/>
      <c r="R134" s="312"/>
      <c r="S134" s="312"/>
      <c r="T134" s="312"/>
      <c r="U134" s="312"/>
      <c r="V134" s="312"/>
      <c r="W134" s="312"/>
      <c r="X134" s="312"/>
      <c r="Y134" s="312"/>
      <c r="Z134" s="312"/>
      <c r="AA134" s="312"/>
      <c r="AB134" s="312"/>
      <c r="AC134" s="312"/>
      <c r="AD134" s="312"/>
      <c r="AE134" s="312"/>
      <c r="AF134" s="312"/>
      <c r="AG134" s="312"/>
      <c r="AH134" s="312"/>
      <c r="AI134" s="312"/>
      <c r="AJ134" s="312"/>
      <c r="AK134" s="312"/>
      <c r="AL134" s="312"/>
      <c r="AM134" s="312"/>
      <c r="AN134" s="312"/>
      <c r="AO134" s="312"/>
      <c r="AP134" s="312"/>
      <c r="AQ134" s="312"/>
      <c r="AR134" s="312"/>
      <c r="AS134" s="312"/>
      <c r="AT134" s="312"/>
      <c r="AU134" s="312"/>
      <c r="AV134" s="312"/>
      <c r="AW134" s="312"/>
      <c r="AX134" s="312"/>
      <c r="AY134" s="313"/>
    </row>
    <row r="135" spans="1:51" ht="20.100000000000001" customHeight="1">
      <c r="A135" s="290"/>
      <c r="B135" s="314"/>
      <c r="C135" s="314"/>
      <c r="D135" s="314"/>
      <c r="E135" s="314"/>
      <c r="F135" s="314"/>
      <c r="G135" s="314"/>
      <c r="H135" s="314"/>
      <c r="I135" s="314"/>
      <c r="J135" s="314"/>
      <c r="K135" s="314"/>
      <c r="L135" s="314"/>
      <c r="M135" s="314"/>
      <c r="N135" s="314"/>
      <c r="O135" s="314"/>
      <c r="P135" s="314"/>
      <c r="Q135" s="314"/>
      <c r="R135" s="314"/>
      <c r="S135" s="314"/>
      <c r="T135" s="314"/>
      <c r="U135" s="314"/>
      <c r="V135" s="314"/>
      <c r="W135" s="314"/>
      <c r="X135" s="314"/>
      <c r="Y135" s="314"/>
      <c r="Z135" s="314"/>
      <c r="AA135" s="314"/>
      <c r="AB135" s="314"/>
      <c r="AC135" s="314"/>
      <c r="AD135" s="314"/>
      <c r="AE135" s="314"/>
      <c r="AF135" s="314"/>
      <c r="AG135" s="314"/>
      <c r="AH135" s="314"/>
      <c r="AI135" s="314"/>
      <c r="AJ135" s="314"/>
      <c r="AK135" s="314"/>
      <c r="AL135" s="314"/>
      <c r="AM135" s="314"/>
      <c r="AN135" s="314"/>
      <c r="AO135" s="314"/>
      <c r="AP135" s="314"/>
      <c r="AQ135" s="314"/>
      <c r="AR135" s="314"/>
      <c r="AS135" s="314"/>
      <c r="AT135" s="314"/>
      <c r="AU135" s="314"/>
      <c r="AV135" s="314"/>
      <c r="AW135" s="314"/>
      <c r="AX135" s="314"/>
      <c r="AY135" s="315"/>
    </row>
    <row r="136" spans="1:51" ht="20.100000000000001" customHeight="1">
      <c r="A136" s="290">
        <v>7</v>
      </c>
      <c r="B136" s="320"/>
      <c r="C136" s="320"/>
      <c r="D136" s="320"/>
      <c r="E136" s="320"/>
      <c r="F136" s="320"/>
      <c r="G136" s="124"/>
      <c r="H136" s="320" t="str">
        <f>IF(B136&lt;&gt;0,B136,"")</f>
        <v/>
      </c>
      <c r="I136" s="320"/>
      <c r="J136" s="320"/>
      <c r="K136" s="320"/>
      <c r="L136" s="320"/>
      <c r="M136" s="125"/>
      <c r="N136" s="321"/>
      <c r="O136" s="320"/>
      <c r="P136" s="320"/>
      <c r="Q136" s="320"/>
      <c r="R136" s="320"/>
      <c r="S136" s="320"/>
      <c r="T136" s="320"/>
      <c r="U136" s="320"/>
      <c r="V136" s="320"/>
      <c r="W136" s="320"/>
      <c r="X136" s="320"/>
      <c r="Y136" s="320"/>
      <c r="Z136" s="320"/>
      <c r="AA136" s="320"/>
      <c r="AB136" s="125"/>
      <c r="AC136" s="302" t="str">
        <f>IFERROR(INDEX(Database_Charms,MATCH($N136,Database_Charms_Names,0),MATCH(AC$117,Database_Charms_Values,0)),"")</f>
        <v/>
      </c>
      <c r="AD136" s="302"/>
      <c r="AE136" s="302"/>
      <c r="AF136" s="302"/>
      <c r="AG136" s="302"/>
      <c r="AH136" s="125"/>
      <c r="AI136" s="302" t="str">
        <f>IFERROR(INDEX(Database_Charms,MATCH($N136,Database_Charms_Names,0),MATCH(AI$117,Database_Charms_Values,0)),"")</f>
        <v/>
      </c>
      <c r="AJ136" s="302"/>
      <c r="AK136" s="302"/>
      <c r="AL136" s="302"/>
      <c r="AM136" s="125"/>
      <c r="AN136" s="302" t="str">
        <f>IFERROR(INDEX(Database_Charms,MATCH($N136,Database_Charms_Names,0),MATCH(AN$117,Database_Charms_Values,0)),"")</f>
        <v/>
      </c>
      <c r="AO136" s="302"/>
      <c r="AP136" s="302"/>
      <c r="AQ136" s="302"/>
      <c r="AR136" s="302"/>
      <c r="AS136" s="125"/>
      <c r="AT136" s="302" t="str">
        <f>IFERROR(INDEX(Database_Charms,MATCH($N136,Database_Charms_Names,0),MATCH(AT$117,Database_Charms_Values,0)),"")</f>
        <v/>
      </c>
      <c r="AU136" s="302"/>
      <c r="AV136" s="125"/>
      <c r="AW136" s="302" t="str">
        <f>IFERROR(INDEX(Database_Charms,MATCH($N136,Database_Charms_Names,0),MATCH(AW$117,Database_Charms_Values,0)),"")</f>
        <v/>
      </c>
      <c r="AX136" s="302"/>
      <c r="AY136" s="307"/>
    </row>
    <row r="137" spans="1:51" ht="20.100000000000001" customHeight="1">
      <c r="A137" s="290"/>
      <c r="B137" s="312" t="str">
        <f>IFERROR(INDEX(Database_Charms,MATCH($N136,Database_Charms_Names,0),MATCH(Charms!$S$1,Database_Charms_Values,0)),"")</f>
        <v/>
      </c>
      <c r="C137" s="312"/>
      <c r="D137" s="312"/>
      <c r="E137" s="312"/>
      <c r="F137" s="312"/>
      <c r="G137" s="312"/>
      <c r="H137" s="312"/>
      <c r="I137" s="312"/>
      <c r="J137" s="312"/>
      <c r="K137" s="312"/>
      <c r="L137" s="312"/>
      <c r="M137" s="312"/>
      <c r="N137" s="312"/>
      <c r="O137" s="312"/>
      <c r="P137" s="312"/>
      <c r="Q137" s="312"/>
      <c r="R137" s="312"/>
      <c r="S137" s="312"/>
      <c r="T137" s="312"/>
      <c r="U137" s="312"/>
      <c r="V137" s="312"/>
      <c r="W137" s="312"/>
      <c r="X137" s="312"/>
      <c r="Y137" s="312"/>
      <c r="Z137" s="312"/>
      <c r="AA137" s="312"/>
      <c r="AB137" s="312"/>
      <c r="AC137" s="312"/>
      <c r="AD137" s="312"/>
      <c r="AE137" s="312"/>
      <c r="AF137" s="312"/>
      <c r="AG137" s="312"/>
      <c r="AH137" s="312"/>
      <c r="AI137" s="312"/>
      <c r="AJ137" s="312"/>
      <c r="AK137" s="312"/>
      <c r="AL137" s="312"/>
      <c r="AM137" s="312"/>
      <c r="AN137" s="312"/>
      <c r="AO137" s="312"/>
      <c r="AP137" s="312"/>
      <c r="AQ137" s="312"/>
      <c r="AR137" s="312"/>
      <c r="AS137" s="312"/>
      <c r="AT137" s="312"/>
      <c r="AU137" s="312"/>
      <c r="AV137" s="312"/>
      <c r="AW137" s="312"/>
      <c r="AX137" s="312"/>
      <c r="AY137" s="313"/>
    </row>
    <row r="138" spans="1:51" ht="20.100000000000001" customHeight="1">
      <c r="A138" s="290"/>
      <c r="B138" s="314"/>
      <c r="C138" s="314"/>
      <c r="D138" s="314"/>
      <c r="E138" s="314"/>
      <c r="F138" s="314"/>
      <c r="G138" s="314"/>
      <c r="H138" s="314"/>
      <c r="I138" s="314"/>
      <c r="J138" s="314"/>
      <c r="K138" s="314"/>
      <c r="L138" s="314"/>
      <c r="M138" s="314"/>
      <c r="N138" s="314"/>
      <c r="O138" s="314"/>
      <c r="P138" s="314"/>
      <c r="Q138" s="314"/>
      <c r="R138" s="314"/>
      <c r="S138" s="314"/>
      <c r="T138" s="314"/>
      <c r="U138" s="314"/>
      <c r="V138" s="314"/>
      <c r="W138" s="314"/>
      <c r="X138" s="314"/>
      <c r="Y138" s="314"/>
      <c r="Z138" s="314"/>
      <c r="AA138" s="314"/>
      <c r="AB138" s="314"/>
      <c r="AC138" s="314"/>
      <c r="AD138" s="314"/>
      <c r="AE138" s="314"/>
      <c r="AF138" s="314"/>
      <c r="AG138" s="314"/>
      <c r="AH138" s="314"/>
      <c r="AI138" s="314"/>
      <c r="AJ138" s="314"/>
      <c r="AK138" s="314"/>
      <c r="AL138" s="314"/>
      <c r="AM138" s="314"/>
      <c r="AN138" s="314"/>
      <c r="AO138" s="314"/>
      <c r="AP138" s="314"/>
      <c r="AQ138" s="314"/>
      <c r="AR138" s="314"/>
      <c r="AS138" s="314"/>
      <c r="AT138" s="314"/>
      <c r="AU138" s="314"/>
      <c r="AV138" s="314"/>
      <c r="AW138" s="314"/>
      <c r="AX138" s="314"/>
      <c r="AY138" s="315"/>
    </row>
    <row r="139" spans="1:51" ht="20.100000000000001" customHeight="1">
      <c r="A139" s="290">
        <v>8</v>
      </c>
      <c r="B139" s="320"/>
      <c r="C139" s="320"/>
      <c r="D139" s="320"/>
      <c r="E139" s="320"/>
      <c r="F139" s="320"/>
      <c r="G139" s="124"/>
      <c r="H139" s="320" t="str">
        <f>IF(B139&lt;&gt;0,B139,"")</f>
        <v/>
      </c>
      <c r="I139" s="320"/>
      <c r="J139" s="320"/>
      <c r="K139" s="320"/>
      <c r="L139" s="320"/>
      <c r="M139" s="125"/>
      <c r="N139" s="321"/>
      <c r="O139" s="320"/>
      <c r="P139" s="320"/>
      <c r="Q139" s="320"/>
      <c r="R139" s="320"/>
      <c r="S139" s="320"/>
      <c r="T139" s="320"/>
      <c r="U139" s="320"/>
      <c r="V139" s="320"/>
      <c r="W139" s="320"/>
      <c r="X139" s="320"/>
      <c r="Y139" s="320"/>
      <c r="Z139" s="320"/>
      <c r="AA139" s="320"/>
      <c r="AB139" s="125"/>
      <c r="AC139" s="302" t="str">
        <f>IFERROR(INDEX(Database_Charms,MATCH($N139,Database_Charms_Names,0),MATCH(AC$117,Database_Charms_Values,0)),"")</f>
        <v/>
      </c>
      <c r="AD139" s="302"/>
      <c r="AE139" s="302"/>
      <c r="AF139" s="302"/>
      <c r="AG139" s="302"/>
      <c r="AH139" s="125"/>
      <c r="AI139" s="302" t="str">
        <f>IFERROR(INDEX(Database_Charms,MATCH($N139,Database_Charms_Names,0),MATCH(AI$117,Database_Charms_Values,0)),"")</f>
        <v/>
      </c>
      <c r="AJ139" s="302"/>
      <c r="AK139" s="302"/>
      <c r="AL139" s="302"/>
      <c r="AM139" s="125"/>
      <c r="AN139" s="302" t="str">
        <f>IFERROR(INDEX(Database_Charms,MATCH($N139,Database_Charms_Names,0),MATCH(AN$117,Database_Charms_Values,0)),"")</f>
        <v/>
      </c>
      <c r="AO139" s="302"/>
      <c r="AP139" s="302"/>
      <c r="AQ139" s="302"/>
      <c r="AR139" s="302"/>
      <c r="AS139" s="125"/>
      <c r="AT139" s="302" t="str">
        <f>IFERROR(INDEX(Database_Charms,MATCH($N139,Database_Charms_Names,0),MATCH(AT$117,Database_Charms_Values,0)),"")</f>
        <v/>
      </c>
      <c r="AU139" s="302"/>
      <c r="AV139" s="125"/>
      <c r="AW139" s="302" t="str">
        <f>IFERROR(INDEX(Database_Charms,MATCH($N139,Database_Charms_Names,0),MATCH(AW$117,Database_Charms_Values,0)),"")</f>
        <v/>
      </c>
      <c r="AX139" s="302"/>
      <c r="AY139" s="307"/>
    </row>
    <row r="140" spans="1:51" ht="20.100000000000001" customHeight="1">
      <c r="A140" s="290"/>
      <c r="B140" s="312" t="str">
        <f>IFERROR(INDEX(Database_Charms,MATCH($N139,Database_Charms_Names,0),MATCH(Charms!$S$1,Database_Charms_Values,0)),"")</f>
        <v/>
      </c>
      <c r="C140" s="312"/>
      <c r="D140" s="312"/>
      <c r="E140" s="312"/>
      <c r="F140" s="312"/>
      <c r="G140" s="312"/>
      <c r="H140" s="312"/>
      <c r="I140" s="312"/>
      <c r="J140" s="312"/>
      <c r="K140" s="312"/>
      <c r="L140" s="312"/>
      <c r="M140" s="312"/>
      <c r="N140" s="312"/>
      <c r="O140" s="312"/>
      <c r="P140" s="312"/>
      <c r="Q140" s="312"/>
      <c r="R140" s="312"/>
      <c r="S140" s="312"/>
      <c r="T140" s="312"/>
      <c r="U140" s="312"/>
      <c r="V140" s="312"/>
      <c r="W140" s="312"/>
      <c r="X140" s="312"/>
      <c r="Y140" s="312"/>
      <c r="Z140" s="312"/>
      <c r="AA140" s="312"/>
      <c r="AB140" s="312"/>
      <c r="AC140" s="312"/>
      <c r="AD140" s="312"/>
      <c r="AE140" s="312"/>
      <c r="AF140" s="312"/>
      <c r="AG140" s="312"/>
      <c r="AH140" s="312"/>
      <c r="AI140" s="312"/>
      <c r="AJ140" s="312"/>
      <c r="AK140" s="312"/>
      <c r="AL140" s="312"/>
      <c r="AM140" s="312"/>
      <c r="AN140" s="312"/>
      <c r="AO140" s="312"/>
      <c r="AP140" s="312"/>
      <c r="AQ140" s="312"/>
      <c r="AR140" s="312"/>
      <c r="AS140" s="312"/>
      <c r="AT140" s="312"/>
      <c r="AU140" s="312"/>
      <c r="AV140" s="312"/>
      <c r="AW140" s="312"/>
      <c r="AX140" s="312"/>
      <c r="AY140" s="313"/>
    </row>
    <row r="141" spans="1:51" ht="20.100000000000001" customHeight="1">
      <c r="A141" s="290"/>
      <c r="B141" s="314"/>
      <c r="C141" s="314"/>
      <c r="D141" s="314"/>
      <c r="E141" s="314"/>
      <c r="F141" s="314"/>
      <c r="G141" s="314"/>
      <c r="H141" s="314"/>
      <c r="I141" s="314"/>
      <c r="J141" s="314"/>
      <c r="K141" s="314"/>
      <c r="L141" s="314"/>
      <c r="M141" s="314"/>
      <c r="N141" s="314"/>
      <c r="O141" s="314"/>
      <c r="P141" s="314"/>
      <c r="Q141" s="314"/>
      <c r="R141" s="314"/>
      <c r="S141" s="314"/>
      <c r="T141" s="314"/>
      <c r="U141" s="314"/>
      <c r="V141" s="314"/>
      <c r="W141" s="314"/>
      <c r="X141" s="314"/>
      <c r="Y141" s="314"/>
      <c r="Z141" s="314"/>
      <c r="AA141" s="314"/>
      <c r="AB141" s="314"/>
      <c r="AC141" s="314"/>
      <c r="AD141" s="314"/>
      <c r="AE141" s="314"/>
      <c r="AF141" s="314"/>
      <c r="AG141" s="314"/>
      <c r="AH141" s="314"/>
      <c r="AI141" s="314"/>
      <c r="AJ141" s="314"/>
      <c r="AK141" s="314"/>
      <c r="AL141" s="314"/>
      <c r="AM141" s="314"/>
      <c r="AN141" s="314"/>
      <c r="AO141" s="314"/>
      <c r="AP141" s="314"/>
      <c r="AQ141" s="314"/>
      <c r="AR141" s="314"/>
      <c r="AS141" s="314"/>
      <c r="AT141" s="314"/>
      <c r="AU141" s="314"/>
      <c r="AV141" s="314"/>
      <c r="AW141" s="314"/>
      <c r="AX141" s="314"/>
      <c r="AY141" s="315"/>
    </row>
    <row r="142" spans="1:51" ht="20.100000000000001" customHeight="1">
      <c r="A142" s="290">
        <v>9</v>
      </c>
      <c r="B142" s="320"/>
      <c r="C142" s="320"/>
      <c r="D142" s="320"/>
      <c r="E142" s="320"/>
      <c r="F142" s="320"/>
      <c r="G142" s="124"/>
      <c r="H142" s="320" t="str">
        <f>IF(B142&lt;&gt;0,B142,"")</f>
        <v/>
      </c>
      <c r="I142" s="320"/>
      <c r="J142" s="320"/>
      <c r="K142" s="320"/>
      <c r="L142" s="320"/>
      <c r="M142" s="125"/>
      <c r="N142" s="321"/>
      <c r="O142" s="320"/>
      <c r="P142" s="320"/>
      <c r="Q142" s="320"/>
      <c r="R142" s="320"/>
      <c r="S142" s="320"/>
      <c r="T142" s="320"/>
      <c r="U142" s="320"/>
      <c r="V142" s="320"/>
      <c r="W142" s="320"/>
      <c r="X142" s="320"/>
      <c r="Y142" s="320"/>
      <c r="Z142" s="320"/>
      <c r="AA142" s="320"/>
      <c r="AB142" s="125"/>
      <c r="AC142" s="302" t="str">
        <f>IFERROR(INDEX(Database_Charms,MATCH($N142,Database_Charms_Names,0),MATCH(AC$117,Database_Charms_Values,0)),"")</f>
        <v/>
      </c>
      <c r="AD142" s="302"/>
      <c r="AE142" s="302"/>
      <c r="AF142" s="302"/>
      <c r="AG142" s="302"/>
      <c r="AH142" s="125"/>
      <c r="AI142" s="302" t="str">
        <f>IFERROR(INDEX(Database_Charms,MATCH($N142,Database_Charms_Names,0),MATCH(AI$117,Database_Charms_Values,0)),"")</f>
        <v/>
      </c>
      <c r="AJ142" s="302"/>
      <c r="AK142" s="302"/>
      <c r="AL142" s="302"/>
      <c r="AM142" s="125"/>
      <c r="AN142" s="302" t="str">
        <f>IFERROR(INDEX(Database_Charms,MATCH($N142,Database_Charms_Names,0),MATCH(AN$117,Database_Charms_Values,0)),"")</f>
        <v/>
      </c>
      <c r="AO142" s="302"/>
      <c r="AP142" s="302"/>
      <c r="AQ142" s="302"/>
      <c r="AR142" s="302"/>
      <c r="AS142" s="125"/>
      <c r="AT142" s="302" t="str">
        <f>IFERROR(INDEX(Database_Charms,MATCH($N142,Database_Charms_Names,0),MATCH(AT$117,Database_Charms_Values,0)),"")</f>
        <v/>
      </c>
      <c r="AU142" s="302"/>
      <c r="AV142" s="125"/>
      <c r="AW142" s="302" t="str">
        <f>IFERROR(INDEX(Database_Charms,MATCH($N142,Database_Charms_Names,0),MATCH(AW$117,Database_Charms_Values,0)),"")</f>
        <v/>
      </c>
      <c r="AX142" s="302"/>
      <c r="AY142" s="307"/>
    </row>
    <row r="143" spans="1:51" ht="20.100000000000001" customHeight="1">
      <c r="A143" s="290"/>
      <c r="B143" s="312" t="str">
        <f>IFERROR(INDEX(Database_Charms,MATCH($N142,Database_Charms_Names,0),MATCH(Charms!$S$1,Database_Charms_Values,0)),"")</f>
        <v/>
      </c>
      <c r="C143" s="312"/>
      <c r="D143" s="312"/>
      <c r="E143" s="312"/>
      <c r="F143" s="312"/>
      <c r="G143" s="312"/>
      <c r="H143" s="312"/>
      <c r="I143" s="312"/>
      <c r="J143" s="312"/>
      <c r="K143" s="312"/>
      <c r="L143" s="312"/>
      <c r="M143" s="312"/>
      <c r="N143" s="312"/>
      <c r="O143" s="312"/>
      <c r="P143" s="312"/>
      <c r="Q143" s="312"/>
      <c r="R143" s="312"/>
      <c r="S143" s="312"/>
      <c r="T143" s="312"/>
      <c r="U143" s="312"/>
      <c r="V143" s="312"/>
      <c r="W143" s="312"/>
      <c r="X143" s="312"/>
      <c r="Y143" s="312"/>
      <c r="Z143" s="312"/>
      <c r="AA143" s="312"/>
      <c r="AB143" s="312"/>
      <c r="AC143" s="312"/>
      <c r="AD143" s="312"/>
      <c r="AE143" s="312"/>
      <c r="AF143" s="312"/>
      <c r="AG143" s="312"/>
      <c r="AH143" s="312"/>
      <c r="AI143" s="312"/>
      <c r="AJ143" s="312"/>
      <c r="AK143" s="312"/>
      <c r="AL143" s="312"/>
      <c r="AM143" s="312"/>
      <c r="AN143" s="312"/>
      <c r="AO143" s="312"/>
      <c r="AP143" s="312"/>
      <c r="AQ143" s="312"/>
      <c r="AR143" s="312"/>
      <c r="AS143" s="312"/>
      <c r="AT143" s="312"/>
      <c r="AU143" s="312"/>
      <c r="AV143" s="312"/>
      <c r="AW143" s="312"/>
      <c r="AX143" s="312"/>
      <c r="AY143" s="313"/>
    </row>
    <row r="144" spans="1:51" ht="20.100000000000001" customHeight="1">
      <c r="A144" s="290"/>
      <c r="B144" s="314"/>
      <c r="C144" s="314"/>
      <c r="D144" s="314"/>
      <c r="E144" s="314"/>
      <c r="F144" s="314"/>
      <c r="G144" s="314"/>
      <c r="H144" s="314"/>
      <c r="I144" s="314"/>
      <c r="J144" s="314"/>
      <c r="K144" s="314"/>
      <c r="L144" s="314"/>
      <c r="M144" s="314"/>
      <c r="N144" s="314"/>
      <c r="O144" s="314"/>
      <c r="P144" s="314"/>
      <c r="Q144" s="314"/>
      <c r="R144" s="314"/>
      <c r="S144" s="314"/>
      <c r="T144" s="314"/>
      <c r="U144" s="314"/>
      <c r="V144" s="314"/>
      <c r="W144" s="314"/>
      <c r="X144" s="314"/>
      <c r="Y144" s="314"/>
      <c r="Z144" s="314"/>
      <c r="AA144" s="314"/>
      <c r="AB144" s="314"/>
      <c r="AC144" s="314"/>
      <c r="AD144" s="314"/>
      <c r="AE144" s="314"/>
      <c r="AF144" s="314"/>
      <c r="AG144" s="314"/>
      <c r="AH144" s="314"/>
      <c r="AI144" s="314"/>
      <c r="AJ144" s="314"/>
      <c r="AK144" s="314"/>
      <c r="AL144" s="314"/>
      <c r="AM144" s="314"/>
      <c r="AN144" s="314"/>
      <c r="AO144" s="314"/>
      <c r="AP144" s="314"/>
      <c r="AQ144" s="314"/>
      <c r="AR144" s="314"/>
      <c r="AS144" s="314"/>
      <c r="AT144" s="314"/>
      <c r="AU144" s="314"/>
      <c r="AV144" s="314"/>
      <c r="AW144" s="314"/>
      <c r="AX144" s="314"/>
      <c r="AY144" s="315"/>
    </row>
    <row r="145" spans="1:51" ht="20.100000000000001" customHeight="1">
      <c r="A145" s="290">
        <v>10</v>
      </c>
      <c r="B145" s="320"/>
      <c r="C145" s="320"/>
      <c r="D145" s="320"/>
      <c r="E145" s="320"/>
      <c r="F145" s="320"/>
      <c r="G145" s="124"/>
      <c r="H145" s="320" t="str">
        <f>IF(B145&lt;&gt;0,B145,"")</f>
        <v/>
      </c>
      <c r="I145" s="320"/>
      <c r="J145" s="320"/>
      <c r="K145" s="320"/>
      <c r="L145" s="320"/>
      <c r="M145" s="125"/>
      <c r="N145" s="321"/>
      <c r="O145" s="320"/>
      <c r="P145" s="320"/>
      <c r="Q145" s="320"/>
      <c r="R145" s="320"/>
      <c r="S145" s="320"/>
      <c r="T145" s="320"/>
      <c r="U145" s="320"/>
      <c r="V145" s="320"/>
      <c r="W145" s="320"/>
      <c r="X145" s="320"/>
      <c r="Y145" s="320"/>
      <c r="Z145" s="320"/>
      <c r="AA145" s="320"/>
      <c r="AB145" s="125"/>
      <c r="AC145" s="302" t="str">
        <f>IFERROR(INDEX(Database_Charms,MATCH($N145,Database_Charms_Names,0),MATCH(AC$117,Database_Charms_Values,0)),"")</f>
        <v/>
      </c>
      <c r="AD145" s="302"/>
      <c r="AE145" s="302"/>
      <c r="AF145" s="302"/>
      <c r="AG145" s="302"/>
      <c r="AH145" s="125"/>
      <c r="AI145" s="302" t="str">
        <f>IFERROR(INDEX(Database_Charms,MATCH($N145,Database_Charms_Names,0),MATCH(AI$117,Database_Charms_Values,0)),"")</f>
        <v/>
      </c>
      <c r="AJ145" s="302"/>
      <c r="AK145" s="302"/>
      <c r="AL145" s="302"/>
      <c r="AM145" s="125"/>
      <c r="AN145" s="302" t="str">
        <f>IFERROR(INDEX(Database_Charms,MATCH($N145,Database_Charms_Names,0),MATCH(AN$117,Database_Charms_Values,0)),"")</f>
        <v/>
      </c>
      <c r="AO145" s="302"/>
      <c r="AP145" s="302"/>
      <c r="AQ145" s="302"/>
      <c r="AR145" s="302"/>
      <c r="AS145" s="125"/>
      <c r="AT145" s="302" t="str">
        <f>IFERROR(INDEX(Database_Charms,MATCH($N145,Database_Charms_Names,0),MATCH(AT$117,Database_Charms_Values,0)),"")</f>
        <v/>
      </c>
      <c r="AU145" s="302"/>
      <c r="AV145" s="125"/>
      <c r="AW145" s="302" t="str">
        <f>IFERROR(INDEX(Database_Charms,MATCH($N145,Database_Charms_Names,0),MATCH(AW$117,Database_Charms_Values,0)),"")</f>
        <v/>
      </c>
      <c r="AX145" s="302"/>
      <c r="AY145" s="307"/>
    </row>
    <row r="146" spans="1:51" ht="20.100000000000001" customHeight="1">
      <c r="A146" s="290"/>
      <c r="B146" s="312" t="str">
        <f>IFERROR(INDEX(Database_Charms,MATCH($N145,Database_Charms_Names,0),MATCH(Charms!$S$1,Database_Charms_Values,0)),"")</f>
        <v/>
      </c>
      <c r="C146" s="312"/>
      <c r="D146" s="312"/>
      <c r="E146" s="312"/>
      <c r="F146" s="312"/>
      <c r="G146" s="312"/>
      <c r="H146" s="312"/>
      <c r="I146" s="312"/>
      <c r="J146" s="312"/>
      <c r="K146" s="312"/>
      <c r="L146" s="312"/>
      <c r="M146" s="312"/>
      <c r="N146" s="312"/>
      <c r="O146" s="312"/>
      <c r="P146" s="312"/>
      <c r="Q146" s="312"/>
      <c r="R146" s="312"/>
      <c r="S146" s="312"/>
      <c r="T146" s="312"/>
      <c r="U146" s="312"/>
      <c r="V146" s="312"/>
      <c r="W146" s="312"/>
      <c r="X146" s="312"/>
      <c r="Y146" s="312"/>
      <c r="Z146" s="312"/>
      <c r="AA146" s="312"/>
      <c r="AB146" s="312"/>
      <c r="AC146" s="312"/>
      <c r="AD146" s="312"/>
      <c r="AE146" s="312"/>
      <c r="AF146" s="312"/>
      <c r="AG146" s="312"/>
      <c r="AH146" s="312"/>
      <c r="AI146" s="312"/>
      <c r="AJ146" s="312"/>
      <c r="AK146" s="312"/>
      <c r="AL146" s="312"/>
      <c r="AM146" s="312"/>
      <c r="AN146" s="312"/>
      <c r="AO146" s="312"/>
      <c r="AP146" s="312"/>
      <c r="AQ146" s="312"/>
      <c r="AR146" s="312"/>
      <c r="AS146" s="312"/>
      <c r="AT146" s="312"/>
      <c r="AU146" s="312"/>
      <c r="AV146" s="312"/>
      <c r="AW146" s="312"/>
      <c r="AX146" s="312"/>
      <c r="AY146" s="313"/>
    </row>
    <row r="147" spans="1:51" ht="20.100000000000001" customHeight="1">
      <c r="A147" s="290"/>
      <c r="B147" s="314"/>
      <c r="C147" s="314"/>
      <c r="D147" s="314"/>
      <c r="E147" s="314"/>
      <c r="F147" s="314"/>
      <c r="G147" s="314"/>
      <c r="H147" s="314"/>
      <c r="I147" s="314"/>
      <c r="J147" s="314"/>
      <c r="K147" s="314"/>
      <c r="L147" s="314"/>
      <c r="M147" s="314"/>
      <c r="N147" s="314"/>
      <c r="O147" s="314"/>
      <c r="P147" s="314"/>
      <c r="Q147" s="314"/>
      <c r="R147" s="314"/>
      <c r="S147" s="314"/>
      <c r="T147" s="314"/>
      <c r="U147" s="314"/>
      <c r="V147" s="314"/>
      <c r="W147" s="314"/>
      <c r="X147" s="314"/>
      <c r="Y147" s="314"/>
      <c r="Z147" s="314"/>
      <c r="AA147" s="314"/>
      <c r="AB147" s="314"/>
      <c r="AC147" s="314"/>
      <c r="AD147" s="314"/>
      <c r="AE147" s="314"/>
      <c r="AF147" s="314"/>
      <c r="AG147" s="314"/>
      <c r="AH147" s="314"/>
      <c r="AI147" s="314"/>
      <c r="AJ147" s="314"/>
      <c r="AK147" s="314"/>
      <c r="AL147" s="314"/>
      <c r="AM147" s="314"/>
      <c r="AN147" s="314"/>
      <c r="AO147" s="314"/>
      <c r="AP147" s="314"/>
      <c r="AQ147" s="314"/>
      <c r="AR147" s="314"/>
      <c r="AS147" s="314"/>
      <c r="AT147" s="314"/>
      <c r="AU147" s="314"/>
      <c r="AV147" s="314"/>
      <c r="AW147" s="314"/>
      <c r="AX147" s="314"/>
      <c r="AY147" s="315"/>
    </row>
    <row r="148" spans="1:51" ht="20.100000000000001" customHeight="1">
      <c r="A148" s="290">
        <v>11</v>
      </c>
      <c r="B148" s="320"/>
      <c r="C148" s="320"/>
      <c r="D148" s="320"/>
      <c r="E148" s="320"/>
      <c r="F148" s="320"/>
      <c r="G148" s="124"/>
      <c r="H148" s="320" t="str">
        <f>IF(B148&lt;&gt;0,B148,"")</f>
        <v/>
      </c>
      <c r="I148" s="320"/>
      <c r="J148" s="320"/>
      <c r="K148" s="320"/>
      <c r="L148" s="320"/>
      <c r="M148" s="125"/>
      <c r="N148" s="321"/>
      <c r="O148" s="320"/>
      <c r="P148" s="320"/>
      <c r="Q148" s="320"/>
      <c r="R148" s="320"/>
      <c r="S148" s="320"/>
      <c r="T148" s="320"/>
      <c r="U148" s="320"/>
      <c r="V148" s="320"/>
      <c r="W148" s="320"/>
      <c r="X148" s="320"/>
      <c r="Y148" s="320"/>
      <c r="Z148" s="320"/>
      <c r="AA148" s="320"/>
      <c r="AB148" s="125"/>
      <c r="AC148" s="302" t="str">
        <f>IFERROR(INDEX(Database_Charms,MATCH($N148,Database_Charms_Names,0),MATCH(AC$117,Database_Charms_Values,0)),"")</f>
        <v/>
      </c>
      <c r="AD148" s="302"/>
      <c r="AE148" s="302"/>
      <c r="AF148" s="302"/>
      <c r="AG148" s="302"/>
      <c r="AH148" s="125"/>
      <c r="AI148" s="302" t="str">
        <f>IFERROR(INDEX(Database_Charms,MATCH($N148,Database_Charms_Names,0),MATCH(AI$117,Database_Charms_Values,0)),"")</f>
        <v/>
      </c>
      <c r="AJ148" s="302"/>
      <c r="AK148" s="302"/>
      <c r="AL148" s="302"/>
      <c r="AM148" s="125"/>
      <c r="AN148" s="302" t="str">
        <f>IFERROR(INDEX(Database_Charms,MATCH($N148,Database_Charms_Names,0),MATCH(AN$117,Database_Charms_Values,0)),"")</f>
        <v/>
      </c>
      <c r="AO148" s="302"/>
      <c r="AP148" s="302"/>
      <c r="AQ148" s="302"/>
      <c r="AR148" s="302"/>
      <c r="AS148" s="125"/>
      <c r="AT148" s="302" t="str">
        <f>IFERROR(INDEX(Database_Charms,MATCH($N148,Database_Charms_Names,0),MATCH(AT$117,Database_Charms_Values,0)),"")</f>
        <v/>
      </c>
      <c r="AU148" s="302"/>
      <c r="AV148" s="125"/>
      <c r="AW148" s="302" t="str">
        <f>IFERROR(INDEX(Database_Charms,MATCH($N148,Database_Charms_Names,0),MATCH(AW$117,Database_Charms_Values,0)),"")</f>
        <v/>
      </c>
      <c r="AX148" s="302"/>
      <c r="AY148" s="307"/>
    </row>
    <row r="149" spans="1:51" ht="20.100000000000001" customHeight="1">
      <c r="A149" s="290"/>
      <c r="B149" s="312" t="str">
        <f>IFERROR(INDEX(Database_Charms,MATCH($N148,Database_Charms_Names,0),MATCH(Charms!$S$1,Database_Charms_Values,0)),"")</f>
        <v/>
      </c>
      <c r="C149" s="312"/>
      <c r="D149" s="312"/>
      <c r="E149" s="312"/>
      <c r="F149" s="312"/>
      <c r="G149" s="312"/>
      <c r="H149" s="312"/>
      <c r="I149" s="312"/>
      <c r="J149" s="312"/>
      <c r="K149" s="312"/>
      <c r="L149" s="312"/>
      <c r="M149" s="312"/>
      <c r="N149" s="312"/>
      <c r="O149" s="312"/>
      <c r="P149" s="312"/>
      <c r="Q149" s="312"/>
      <c r="R149" s="312"/>
      <c r="S149" s="312"/>
      <c r="T149" s="312"/>
      <c r="U149" s="312"/>
      <c r="V149" s="312"/>
      <c r="W149" s="312"/>
      <c r="X149" s="312"/>
      <c r="Y149" s="312"/>
      <c r="Z149" s="312"/>
      <c r="AA149" s="312"/>
      <c r="AB149" s="312"/>
      <c r="AC149" s="312"/>
      <c r="AD149" s="312"/>
      <c r="AE149" s="312"/>
      <c r="AF149" s="312"/>
      <c r="AG149" s="312"/>
      <c r="AH149" s="312"/>
      <c r="AI149" s="312"/>
      <c r="AJ149" s="312"/>
      <c r="AK149" s="312"/>
      <c r="AL149" s="312"/>
      <c r="AM149" s="312"/>
      <c r="AN149" s="312"/>
      <c r="AO149" s="312"/>
      <c r="AP149" s="312"/>
      <c r="AQ149" s="312"/>
      <c r="AR149" s="312"/>
      <c r="AS149" s="312"/>
      <c r="AT149" s="312"/>
      <c r="AU149" s="312"/>
      <c r="AV149" s="312"/>
      <c r="AW149" s="312"/>
      <c r="AX149" s="312"/>
      <c r="AY149" s="313"/>
    </row>
    <row r="150" spans="1:51" ht="20.100000000000001" customHeight="1">
      <c r="A150" s="290"/>
      <c r="B150" s="314"/>
      <c r="C150" s="314"/>
      <c r="D150" s="314"/>
      <c r="E150" s="314"/>
      <c r="F150" s="314"/>
      <c r="G150" s="314"/>
      <c r="H150" s="314"/>
      <c r="I150" s="314"/>
      <c r="J150" s="314"/>
      <c r="K150" s="314"/>
      <c r="L150" s="314"/>
      <c r="M150" s="314"/>
      <c r="N150" s="314"/>
      <c r="O150" s="314"/>
      <c r="P150" s="314"/>
      <c r="Q150" s="314"/>
      <c r="R150" s="314"/>
      <c r="S150" s="314"/>
      <c r="T150" s="314"/>
      <c r="U150" s="314"/>
      <c r="V150" s="314"/>
      <c r="W150" s="314"/>
      <c r="X150" s="314"/>
      <c r="Y150" s="314"/>
      <c r="Z150" s="314"/>
      <c r="AA150" s="314"/>
      <c r="AB150" s="314"/>
      <c r="AC150" s="314"/>
      <c r="AD150" s="314"/>
      <c r="AE150" s="314"/>
      <c r="AF150" s="314"/>
      <c r="AG150" s="314"/>
      <c r="AH150" s="314"/>
      <c r="AI150" s="314"/>
      <c r="AJ150" s="314"/>
      <c r="AK150" s="314"/>
      <c r="AL150" s="314"/>
      <c r="AM150" s="314"/>
      <c r="AN150" s="314"/>
      <c r="AO150" s="314"/>
      <c r="AP150" s="314"/>
      <c r="AQ150" s="314"/>
      <c r="AR150" s="314"/>
      <c r="AS150" s="314"/>
      <c r="AT150" s="314"/>
      <c r="AU150" s="314"/>
      <c r="AV150" s="314"/>
      <c r="AW150" s="314"/>
      <c r="AX150" s="314"/>
      <c r="AY150" s="315"/>
    </row>
    <row r="151" spans="1:51" ht="20.100000000000001" customHeight="1">
      <c r="A151" s="290">
        <v>12</v>
      </c>
      <c r="B151" s="320"/>
      <c r="C151" s="320"/>
      <c r="D151" s="320"/>
      <c r="E151" s="320"/>
      <c r="F151" s="320"/>
      <c r="G151" s="124"/>
      <c r="H151" s="320" t="str">
        <f>IF(B151&lt;&gt;0,B151,"")</f>
        <v/>
      </c>
      <c r="I151" s="320"/>
      <c r="J151" s="320"/>
      <c r="K151" s="320"/>
      <c r="L151" s="320"/>
      <c r="M151" s="125"/>
      <c r="N151" s="321"/>
      <c r="O151" s="320"/>
      <c r="P151" s="320"/>
      <c r="Q151" s="320"/>
      <c r="R151" s="320"/>
      <c r="S151" s="320"/>
      <c r="T151" s="320"/>
      <c r="U151" s="320"/>
      <c r="V151" s="320"/>
      <c r="W151" s="320"/>
      <c r="X151" s="320"/>
      <c r="Y151" s="320"/>
      <c r="Z151" s="320"/>
      <c r="AA151" s="320"/>
      <c r="AB151" s="125"/>
      <c r="AC151" s="302" t="str">
        <f>IFERROR(INDEX(Database_Charms,MATCH($N151,Database_Charms_Names,0),MATCH(AC$117,Database_Charms_Values,0)),"")</f>
        <v/>
      </c>
      <c r="AD151" s="302"/>
      <c r="AE151" s="302"/>
      <c r="AF151" s="302"/>
      <c r="AG151" s="302"/>
      <c r="AH151" s="125"/>
      <c r="AI151" s="302" t="str">
        <f>IFERROR(INDEX(Database_Charms,MATCH($N151,Database_Charms_Names,0),MATCH(AI$117,Database_Charms_Values,0)),"")</f>
        <v/>
      </c>
      <c r="AJ151" s="302"/>
      <c r="AK151" s="302"/>
      <c r="AL151" s="302"/>
      <c r="AM151" s="125"/>
      <c r="AN151" s="302" t="str">
        <f>IFERROR(INDEX(Database_Charms,MATCH($N151,Database_Charms_Names,0),MATCH(AN$117,Database_Charms_Values,0)),"")</f>
        <v/>
      </c>
      <c r="AO151" s="302"/>
      <c r="AP151" s="302"/>
      <c r="AQ151" s="302"/>
      <c r="AR151" s="302"/>
      <c r="AS151" s="125"/>
      <c r="AT151" s="302" t="str">
        <f>IFERROR(INDEX(Database_Charms,MATCH($N151,Database_Charms_Names,0),MATCH(AT$117,Database_Charms_Values,0)),"")</f>
        <v/>
      </c>
      <c r="AU151" s="302"/>
      <c r="AV151" s="125"/>
      <c r="AW151" s="302" t="str">
        <f>IFERROR(INDEX(Database_Charms,MATCH($N151,Database_Charms_Names,0),MATCH(AW$117,Database_Charms_Values,0)),"")</f>
        <v/>
      </c>
      <c r="AX151" s="302"/>
      <c r="AY151" s="307"/>
    </row>
    <row r="152" spans="1:51" ht="20.100000000000001" customHeight="1">
      <c r="A152" s="290"/>
      <c r="B152" s="312" t="str">
        <f>IFERROR(INDEX(Database_Charms,MATCH($N151,Database_Charms_Names,0),MATCH(Charms!$S$1,Database_Charms_Values,0)),"")</f>
        <v/>
      </c>
      <c r="C152" s="312"/>
      <c r="D152" s="312"/>
      <c r="E152" s="312"/>
      <c r="F152" s="312"/>
      <c r="G152" s="312"/>
      <c r="H152" s="312"/>
      <c r="I152" s="312"/>
      <c r="J152" s="312"/>
      <c r="K152" s="312"/>
      <c r="L152" s="312"/>
      <c r="M152" s="312"/>
      <c r="N152" s="312"/>
      <c r="O152" s="312"/>
      <c r="P152" s="312"/>
      <c r="Q152" s="312"/>
      <c r="R152" s="312"/>
      <c r="S152" s="312"/>
      <c r="T152" s="312"/>
      <c r="U152" s="312"/>
      <c r="V152" s="312"/>
      <c r="W152" s="312"/>
      <c r="X152" s="312"/>
      <c r="Y152" s="312"/>
      <c r="Z152" s="312"/>
      <c r="AA152" s="312"/>
      <c r="AB152" s="312"/>
      <c r="AC152" s="312"/>
      <c r="AD152" s="312"/>
      <c r="AE152" s="312"/>
      <c r="AF152" s="312"/>
      <c r="AG152" s="312"/>
      <c r="AH152" s="312"/>
      <c r="AI152" s="312"/>
      <c r="AJ152" s="312"/>
      <c r="AK152" s="312"/>
      <c r="AL152" s="312"/>
      <c r="AM152" s="312"/>
      <c r="AN152" s="312"/>
      <c r="AO152" s="312"/>
      <c r="AP152" s="312"/>
      <c r="AQ152" s="312"/>
      <c r="AR152" s="312"/>
      <c r="AS152" s="312"/>
      <c r="AT152" s="312"/>
      <c r="AU152" s="312"/>
      <c r="AV152" s="312"/>
      <c r="AW152" s="312"/>
      <c r="AX152" s="312"/>
      <c r="AY152" s="313"/>
    </row>
    <row r="153" spans="1:51" ht="20.100000000000001" customHeight="1">
      <c r="A153" s="290"/>
      <c r="B153" s="314"/>
      <c r="C153" s="314"/>
      <c r="D153" s="314"/>
      <c r="E153" s="314"/>
      <c r="F153" s="314"/>
      <c r="G153" s="314"/>
      <c r="H153" s="314"/>
      <c r="I153" s="314"/>
      <c r="J153" s="314"/>
      <c r="K153" s="314"/>
      <c r="L153" s="314"/>
      <c r="M153" s="314"/>
      <c r="N153" s="314"/>
      <c r="O153" s="314"/>
      <c r="P153" s="314"/>
      <c r="Q153" s="314"/>
      <c r="R153" s="314"/>
      <c r="S153" s="314"/>
      <c r="T153" s="314"/>
      <c r="U153" s="314"/>
      <c r="V153" s="314"/>
      <c r="W153" s="314"/>
      <c r="X153" s="314"/>
      <c r="Y153" s="314"/>
      <c r="Z153" s="314"/>
      <c r="AA153" s="314"/>
      <c r="AB153" s="314"/>
      <c r="AC153" s="314"/>
      <c r="AD153" s="314"/>
      <c r="AE153" s="314"/>
      <c r="AF153" s="314"/>
      <c r="AG153" s="314"/>
      <c r="AH153" s="314"/>
      <c r="AI153" s="314"/>
      <c r="AJ153" s="314"/>
      <c r="AK153" s="314"/>
      <c r="AL153" s="314"/>
      <c r="AM153" s="314"/>
      <c r="AN153" s="314"/>
      <c r="AO153" s="314"/>
      <c r="AP153" s="314"/>
      <c r="AQ153" s="314"/>
      <c r="AR153" s="314"/>
      <c r="AS153" s="314"/>
      <c r="AT153" s="314"/>
      <c r="AU153" s="314"/>
      <c r="AV153" s="314"/>
      <c r="AW153" s="314"/>
      <c r="AX153" s="314"/>
      <c r="AY153" s="315"/>
    </row>
    <row r="154" spans="1:51" ht="20.100000000000001" customHeight="1">
      <c r="A154" s="290">
        <v>13</v>
      </c>
      <c r="B154" s="320"/>
      <c r="C154" s="320"/>
      <c r="D154" s="320"/>
      <c r="E154" s="320"/>
      <c r="F154" s="320"/>
      <c r="G154" s="124"/>
      <c r="H154" s="320" t="str">
        <f>IF(B154&lt;&gt;0,B154,"")</f>
        <v/>
      </c>
      <c r="I154" s="320"/>
      <c r="J154" s="320"/>
      <c r="K154" s="320"/>
      <c r="L154" s="320"/>
      <c r="M154" s="125"/>
      <c r="N154" s="321"/>
      <c r="O154" s="320"/>
      <c r="P154" s="320"/>
      <c r="Q154" s="320"/>
      <c r="R154" s="320"/>
      <c r="S154" s="320"/>
      <c r="T154" s="320"/>
      <c r="U154" s="320"/>
      <c r="V154" s="320"/>
      <c r="W154" s="320"/>
      <c r="X154" s="320"/>
      <c r="Y154" s="320"/>
      <c r="Z154" s="320"/>
      <c r="AA154" s="320"/>
      <c r="AB154" s="125"/>
      <c r="AC154" s="302" t="str">
        <f>IFERROR(INDEX(Database_Charms,MATCH($N154,Database_Charms_Names,0),MATCH(AC$117,Database_Charms_Values,0)),"")</f>
        <v/>
      </c>
      <c r="AD154" s="302"/>
      <c r="AE154" s="302"/>
      <c r="AF154" s="302"/>
      <c r="AG154" s="302"/>
      <c r="AH154" s="125"/>
      <c r="AI154" s="302" t="str">
        <f>IFERROR(INDEX(Database_Charms,MATCH($N154,Database_Charms_Names,0),MATCH(AI$117,Database_Charms_Values,0)),"")</f>
        <v/>
      </c>
      <c r="AJ154" s="302"/>
      <c r="AK154" s="302"/>
      <c r="AL154" s="302"/>
      <c r="AM154" s="125"/>
      <c r="AN154" s="302" t="str">
        <f>IFERROR(INDEX(Database_Charms,MATCH($N154,Database_Charms_Names,0),MATCH(AN$117,Database_Charms_Values,0)),"")</f>
        <v/>
      </c>
      <c r="AO154" s="302"/>
      <c r="AP154" s="302"/>
      <c r="AQ154" s="302"/>
      <c r="AR154" s="302"/>
      <c r="AS154" s="125"/>
      <c r="AT154" s="302" t="str">
        <f>IFERROR(INDEX(Database_Charms,MATCH($N154,Database_Charms_Names,0),MATCH(AT$117,Database_Charms_Values,0)),"")</f>
        <v/>
      </c>
      <c r="AU154" s="302"/>
      <c r="AV154" s="125"/>
      <c r="AW154" s="302" t="str">
        <f>IFERROR(INDEX(Database_Charms,MATCH($N154,Database_Charms_Names,0),MATCH(AW$117,Database_Charms_Values,0)),"")</f>
        <v/>
      </c>
      <c r="AX154" s="302"/>
      <c r="AY154" s="307"/>
    </row>
    <row r="155" spans="1:51" ht="20.100000000000001" customHeight="1">
      <c r="A155" s="290"/>
      <c r="B155" s="312" t="str">
        <f>IFERROR(INDEX(Database_Charms,MATCH($N154,Database_Charms_Names,0),MATCH(Charms!$S$1,Database_Charms_Values,0)),"")</f>
        <v/>
      </c>
      <c r="C155" s="312"/>
      <c r="D155" s="312"/>
      <c r="E155" s="312"/>
      <c r="F155" s="312"/>
      <c r="G155" s="312"/>
      <c r="H155" s="312"/>
      <c r="I155" s="312"/>
      <c r="J155" s="312"/>
      <c r="K155" s="312"/>
      <c r="L155" s="312"/>
      <c r="M155" s="312"/>
      <c r="N155" s="312"/>
      <c r="O155" s="312"/>
      <c r="P155" s="312"/>
      <c r="Q155" s="312"/>
      <c r="R155" s="312"/>
      <c r="S155" s="312"/>
      <c r="T155" s="312"/>
      <c r="U155" s="312"/>
      <c r="V155" s="312"/>
      <c r="W155" s="312"/>
      <c r="X155" s="312"/>
      <c r="Y155" s="312"/>
      <c r="Z155" s="312"/>
      <c r="AA155" s="312"/>
      <c r="AB155" s="312"/>
      <c r="AC155" s="312"/>
      <c r="AD155" s="312"/>
      <c r="AE155" s="312"/>
      <c r="AF155" s="312"/>
      <c r="AG155" s="312"/>
      <c r="AH155" s="312"/>
      <c r="AI155" s="312"/>
      <c r="AJ155" s="312"/>
      <c r="AK155" s="312"/>
      <c r="AL155" s="312"/>
      <c r="AM155" s="312"/>
      <c r="AN155" s="312"/>
      <c r="AO155" s="312"/>
      <c r="AP155" s="312"/>
      <c r="AQ155" s="312"/>
      <c r="AR155" s="312"/>
      <c r="AS155" s="312"/>
      <c r="AT155" s="312"/>
      <c r="AU155" s="312"/>
      <c r="AV155" s="312"/>
      <c r="AW155" s="312"/>
      <c r="AX155" s="312"/>
      <c r="AY155" s="313"/>
    </row>
    <row r="156" spans="1:51" ht="20.100000000000001" customHeight="1">
      <c r="A156" s="290"/>
      <c r="B156" s="314"/>
      <c r="C156" s="314"/>
      <c r="D156" s="314"/>
      <c r="E156" s="314"/>
      <c r="F156" s="314"/>
      <c r="G156" s="314"/>
      <c r="H156" s="314"/>
      <c r="I156" s="314"/>
      <c r="J156" s="314"/>
      <c r="K156" s="314"/>
      <c r="L156" s="314"/>
      <c r="M156" s="314"/>
      <c r="N156" s="314"/>
      <c r="O156" s="314"/>
      <c r="P156" s="314"/>
      <c r="Q156" s="314"/>
      <c r="R156" s="314"/>
      <c r="S156" s="314"/>
      <c r="T156" s="314"/>
      <c r="U156" s="314"/>
      <c r="V156" s="314"/>
      <c r="W156" s="314"/>
      <c r="X156" s="314"/>
      <c r="Y156" s="314"/>
      <c r="Z156" s="314"/>
      <c r="AA156" s="314"/>
      <c r="AB156" s="314"/>
      <c r="AC156" s="314"/>
      <c r="AD156" s="314"/>
      <c r="AE156" s="314"/>
      <c r="AF156" s="314"/>
      <c r="AG156" s="314"/>
      <c r="AH156" s="314"/>
      <c r="AI156" s="314"/>
      <c r="AJ156" s="314"/>
      <c r="AK156" s="314"/>
      <c r="AL156" s="314"/>
      <c r="AM156" s="314"/>
      <c r="AN156" s="314"/>
      <c r="AO156" s="314"/>
      <c r="AP156" s="314"/>
      <c r="AQ156" s="314"/>
      <c r="AR156" s="314"/>
      <c r="AS156" s="314"/>
      <c r="AT156" s="314"/>
      <c r="AU156" s="314"/>
      <c r="AV156" s="314"/>
      <c r="AW156" s="314"/>
      <c r="AX156" s="314"/>
      <c r="AY156" s="315"/>
    </row>
    <row r="157" spans="1:51" ht="20.100000000000001" customHeight="1">
      <c r="A157" s="290">
        <v>14</v>
      </c>
      <c r="B157" s="320"/>
      <c r="C157" s="320"/>
      <c r="D157" s="320"/>
      <c r="E157" s="320"/>
      <c r="F157" s="320"/>
      <c r="G157" s="124"/>
      <c r="H157" s="320" t="str">
        <f>IF(B157&lt;&gt;0,B157,"")</f>
        <v/>
      </c>
      <c r="I157" s="320"/>
      <c r="J157" s="320"/>
      <c r="K157" s="320"/>
      <c r="L157" s="320"/>
      <c r="M157" s="125"/>
      <c r="N157" s="321"/>
      <c r="O157" s="320"/>
      <c r="P157" s="320"/>
      <c r="Q157" s="320"/>
      <c r="R157" s="320"/>
      <c r="S157" s="320"/>
      <c r="T157" s="320"/>
      <c r="U157" s="320"/>
      <c r="V157" s="320"/>
      <c r="W157" s="320"/>
      <c r="X157" s="320"/>
      <c r="Y157" s="320"/>
      <c r="Z157" s="320"/>
      <c r="AA157" s="320"/>
      <c r="AB157" s="125"/>
      <c r="AC157" s="302" t="str">
        <f>IFERROR(INDEX(Database_Charms,MATCH($N157,Database_Charms_Names,0),MATCH(AC$117,Database_Charms_Values,0)),"")</f>
        <v/>
      </c>
      <c r="AD157" s="302"/>
      <c r="AE157" s="302"/>
      <c r="AF157" s="302"/>
      <c r="AG157" s="302"/>
      <c r="AH157" s="125"/>
      <c r="AI157" s="302" t="str">
        <f>IFERROR(INDEX(Database_Charms,MATCH($N157,Database_Charms_Names,0),MATCH(AI$117,Database_Charms_Values,0)),"")</f>
        <v/>
      </c>
      <c r="AJ157" s="302"/>
      <c r="AK157" s="302"/>
      <c r="AL157" s="302"/>
      <c r="AM157" s="125"/>
      <c r="AN157" s="302" t="str">
        <f>IFERROR(INDEX(Database_Charms,MATCH($N157,Database_Charms_Names,0),MATCH(AN$117,Database_Charms_Values,0)),"")</f>
        <v/>
      </c>
      <c r="AO157" s="302"/>
      <c r="AP157" s="302"/>
      <c r="AQ157" s="302"/>
      <c r="AR157" s="302"/>
      <c r="AS157" s="125"/>
      <c r="AT157" s="302" t="str">
        <f>IFERROR(INDEX(Database_Charms,MATCH($N157,Database_Charms_Names,0),MATCH(AT$117,Database_Charms_Values,0)),"")</f>
        <v/>
      </c>
      <c r="AU157" s="302"/>
      <c r="AV157" s="125"/>
      <c r="AW157" s="302" t="str">
        <f>IFERROR(INDEX(Database_Charms,MATCH($N157,Database_Charms_Names,0),MATCH(AW$117,Database_Charms_Values,0)),"")</f>
        <v/>
      </c>
      <c r="AX157" s="302"/>
      <c r="AY157" s="307"/>
    </row>
    <row r="158" spans="1:51" ht="20.100000000000001" customHeight="1">
      <c r="A158" s="290"/>
      <c r="B158" s="312" t="str">
        <f>IFERROR(INDEX(Database_Charms,MATCH($N157,Database_Charms_Names,0),MATCH(Charms!$S$1,Database_Charms_Values,0)),"")</f>
        <v/>
      </c>
      <c r="C158" s="312"/>
      <c r="D158" s="312"/>
      <c r="E158" s="312"/>
      <c r="F158" s="312"/>
      <c r="G158" s="312"/>
      <c r="H158" s="312"/>
      <c r="I158" s="312"/>
      <c r="J158" s="312"/>
      <c r="K158" s="312"/>
      <c r="L158" s="312"/>
      <c r="M158" s="312"/>
      <c r="N158" s="312"/>
      <c r="O158" s="312"/>
      <c r="P158" s="312"/>
      <c r="Q158" s="312"/>
      <c r="R158" s="312"/>
      <c r="S158" s="312"/>
      <c r="T158" s="312"/>
      <c r="U158" s="312"/>
      <c r="V158" s="312"/>
      <c r="W158" s="312"/>
      <c r="X158" s="312"/>
      <c r="Y158" s="312"/>
      <c r="Z158" s="312"/>
      <c r="AA158" s="312"/>
      <c r="AB158" s="312"/>
      <c r="AC158" s="312"/>
      <c r="AD158" s="312"/>
      <c r="AE158" s="312"/>
      <c r="AF158" s="312"/>
      <c r="AG158" s="312"/>
      <c r="AH158" s="312"/>
      <c r="AI158" s="312"/>
      <c r="AJ158" s="312"/>
      <c r="AK158" s="312"/>
      <c r="AL158" s="312"/>
      <c r="AM158" s="312"/>
      <c r="AN158" s="312"/>
      <c r="AO158" s="312"/>
      <c r="AP158" s="312"/>
      <c r="AQ158" s="312"/>
      <c r="AR158" s="312"/>
      <c r="AS158" s="312"/>
      <c r="AT158" s="312"/>
      <c r="AU158" s="312"/>
      <c r="AV158" s="312"/>
      <c r="AW158" s="312"/>
      <c r="AX158" s="312"/>
      <c r="AY158" s="313"/>
    </row>
    <row r="159" spans="1:51" ht="20.100000000000001" customHeight="1">
      <c r="A159" s="290"/>
      <c r="B159" s="314"/>
      <c r="C159" s="314"/>
      <c r="D159" s="314"/>
      <c r="E159" s="314"/>
      <c r="F159" s="314"/>
      <c r="G159" s="314"/>
      <c r="H159" s="314"/>
      <c r="I159" s="314"/>
      <c r="J159" s="314"/>
      <c r="K159" s="314"/>
      <c r="L159" s="314"/>
      <c r="M159" s="314"/>
      <c r="N159" s="314"/>
      <c r="O159" s="314"/>
      <c r="P159" s="314"/>
      <c r="Q159" s="314"/>
      <c r="R159" s="314"/>
      <c r="S159" s="314"/>
      <c r="T159" s="314"/>
      <c r="U159" s="314"/>
      <c r="V159" s="314"/>
      <c r="W159" s="314"/>
      <c r="X159" s="314"/>
      <c r="Y159" s="314"/>
      <c r="Z159" s="314"/>
      <c r="AA159" s="314"/>
      <c r="AB159" s="314"/>
      <c r="AC159" s="314"/>
      <c r="AD159" s="314"/>
      <c r="AE159" s="314"/>
      <c r="AF159" s="314"/>
      <c r="AG159" s="314"/>
      <c r="AH159" s="314"/>
      <c r="AI159" s="314"/>
      <c r="AJ159" s="314"/>
      <c r="AK159" s="314"/>
      <c r="AL159" s="314"/>
      <c r="AM159" s="314"/>
      <c r="AN159" s="314"/>
      <c r="AO159" s="314"/>
      <c r="AP159" s="314"/>
      <c r="AQ159" s="314"/>
      <c r="AR159" s="314"/>
      <c r="AS159" s="314"/>
      <c r="AT159" s="314"/>
      <c r="AU159" s="314"/>
      <c r="AV159" s="314"/>
      <c r="AW159" s="314"/>
      <c r="AX159" s="314"/>
      <c r="AY159" s="315"/>
    </row>
    <row r="160" spans="1:51" ht="20.100000000000001" customHeight="1">
      <c r="A160" s="290">
        <v>15</v>
      </c>
      <c r="B160" s="320"/>
      <c r="C160" s="320"/>
      <c r="D160" s="320"/>
      <c r="E160" s="320"/>
      <c r="F160" s="320"/>
      <c r="G160" s="124"/>
      <c r="H160" s="320" t="str">
        <f>IF(B160&lt;&gt;0,B160,"")</f>
        <v/>
      </c>
      <c r="I160" s="320"/>
      <c r="J160" s="320"/>
      <c r="K160" s="320"/>
      <c r="L160" s="320"/>
      <c r="M160" s="125"/>
      <c r="N160" s="321"/>
      <c r="O160" s="320"/>
      <c r="P160" s="320"/>
      <c r="Q160" s="320"/>
      <c r="R160" s="320"/>
      <c r="S160" s="320"/>
      <c r="T160" s="320"/>
      <c r="U160" s="320"/>
      <c r="V160" s="320"/>
      <c r="W160" s="320"/>
      <c r="X160" s="320"/>
      <c r="Y160" s="320"/>
      <c r="Z160" s="320"/>
      <c r="AA160" s="320"/>
      <c r="AB160" s="125"/>
      <c r="AC160" s="302" t="str">
        <f>IFERROR(INDEX(Database_Charms,MATCH($N160,Database_Charms_Names,0),MATCH(AC$117,Database_Charms_Values,0)),"")</f>
        <v/>
      </c>
      <c r="AD160" s="302"/>
      <c r="AE160" s="302"/>
      <c r="AF160" s="302"/>
      <c r="AG160" s="302"/>
      <c r="AH160" s="125"/>
      <c r="AI160" s="302" t="str">
        <f>IFERROR(INDEX(Database_Charms,MATCH($N160,Database_Charms_Names,0),MATCH(AI$117,Database_Charms_Values,0)),"")</f>
        <v/>
      </c>
      <c r="AJ160" s="302"/>
      <c r="AK160" s="302"/>
      <c r="AL160" s="302"/>
      <c r="AM160" s="125"/>
      <c r="AN160" s="302" t="str">
        <f>IFERROR(INDEX(Database_Charms,MATCH($N160,Database_Charms_Names,0),MATCH(AN$117,Database_Charms_Values,0)),"")</f>
        <v/>
      </c>
      <c r="AO160" s="302"/>
      <c r="AP160" s="302"/>
      <c r="AQ160" s="302"/>
      <c r="AR160" s="302"/>
      <c r="AS160" s="125"/>
      <c r="AT160" s="302" t="str">
        <f>IFERROR(INDEX(Database_Charms,MATCH($N160,Database_Charms_Names,0),MATCH(AT$117,Database_Charms_Values,0)),"")</f>
        <v/>
      </c>
      <c r="AU160" s="302"/>
      <c r="AV160" s="125"/>
      <c r="AW160" s="302" t="str">
        <f>IFERROR(INDEX(Database_Charms,MATCH($N160,Database_Charms_Names,0),MATCH(AW$117,Database_Charms_Values,0)),"")</f>
        <v/>
      </c>
      <c r="AX160" s="302"/>
      <c r="AY160" s="307"/>
    </row>
    <row r="161" spans="1:74" ht="20.100000000000001" customHeight="1">
      <c r="A161" s="290"/>
      <c r="B161" s="312" t="str">
        <f>IFERROR(INDEX(Database_Charms,MATCH($N160,Database_Charms_Names,0),MATCH(Charms!$S$1,Database_Charms_Values,0)),"")</f>
        <v/>
      </c>
      <c r="C161" s="312"/>
      <c r="D161" s="312"/>
      <c r="E161" s="312"/>
      <c r="F161" s="312"/>
      <c r="G161" s="312"/>
      <c r="H161" s="312"/>
      <c r="I161" s="312"/>
      <c r="J161" s="312"/>
      <c r="K161" s="312"/>
      <c r="L161" s="312"/>
      <c r="M161" s="312"/>
      <c r="N161" s="312"/>
      <c r="O161" s="312"/>
      <c r="P161" s="312"/>
      <c r="Q161" s="312"/>
      <c r="R161" s="312"/>
      <c r="S161" s="312"/>
      <c r="T161" s="312"/>
      <c r="U161" s="312"/>
      <c r="V161" s="312"/>
      <c r="W161" s="312"/>
      <c r="X161" s="312"/>
      <c r="Y161" s="312"/>
      <c r="Z161" s="312"/>
      <c r="AA161" s="312"/>
      <c r="AB161" s="312"/>
      <c r="AC161" s="312"/>
      <c r="AD161" s="312"/>
      <c r="AE161" s="312"/>
      <c r="AF161" s="312"/>
      <c r="AG161" s="312"/>
      <c r="AH161" s="312"/>
      <c r="AI161" s="312"/>
      <c r="AJ161" s="312"/>
      <c r="AK161" s="312"/>
      <c r="AL161" s="312"/>
      <c r="AM161" s="312"/>
      <c r="AN161" s="312"/>
      <c r="AO161" s="312"/>
      <c r="AP161" s="312"/>
      <c r="AQ161" s="312"/>
      <c r="AR161" s="312"/>
      <c r="AS161" s="312"/>
      <c r="AT161" s="312"/>
      <c r="AU161" s="312"/>
      <c r="AV161" s="312"/>
      <c r="AW161" s="312"/>
      <c r="AX161" s="312"/>
      <c r="AY161" s="313"/>
    </row>
    <row r="162" spans="1:74" ht="20.100000000000001" customHeight="1">
      <c r="A162" s="290"/>
      <c r="B162" s="314"/>
      <c r="C162" s="314"/>
      <c r="D162" s="314"/>
      <c r="E162" s="314"/>
      <c r="F162" s="314"/>
      <c r="G162" s="314"/>
      <c r="H162" s="314"/>
      <c r="I162" s="314"/>
      <c r="J162" s="314"/>
      <c r="K162" s="314"/>
      <c r="L162" s="314"/>
      <c r="M162" s="314"/>
      <c r="N162" s="314"/>
      <c r="O162" s="314"/>
      <c r="P162" s="314"/>
      <c r="Q162" s="314"/>
      <c r="R162" s="314"/>
      <c r="S162" s="314"/>
      <c r="T162" s="314"/>
      <c r="U162" s="314"/>
      <c r="V162" s="314"/>
      <c r="W162" s="314"/>
      <c r="X162" s="314"/>
      <c r="Y162" s="314"/>
      <c r="Z162" s="314"/>
      <c r="AA162" s="314"/>
      <c r="AB162" s="314"/>
      <c r="AC162" s="314"/>
      <c r="AD162" s="314"/>
      <c r="AE162" s="314"/>
      <c r="AF162" s="314"/>
      <c r="AG162" s="314"/>
      <c r="AH162" s="314"/>
      <c r="AI162" s="314"/>
      <c r="AJ162" s="314"/>
      <c r="AK162" s="314"/>
      <c r="AL162" s="314"/>
      <c r="AM162" s="314"/>
      <c r="AN162" s="314"/>
      <c r="AO162" s="314"/>
      <c r="AP162" s="314"/>
      <c r="AQ162" s="314"/>
      <c r="AR162" s="314"/>
      <c r="AS162" s="314"/>
      <c r="AT162" s="314"/>
      <c r="AU162" s="314"/>
      <c r="AV162" s="314"/>
      <c r="AW162" s="314"/>
      <c r="AX162" s="314"/>
      <c r="AY162" s="315"/>
    </row>
    <row r="163" spans="1:74" ht="20.100000000000001" customHeight="1">
      <c r="A163" s="290">
        <v>16</v>
      </c>
      <c r="B163" s="360"/>
      <c r="C163" s="360"/>
      <c r="D163" s="360"/>
      <c r="E163" s="360"/>
      <c r="F163" s="360"/>
      <c r="G163" s="124"/>
      <c r="H163" s="360" t="str">
        <f>IF(B163&lt;&gt;0,B163,"")</f>
        <v/>
      </c>
      <c r="I163" s="360"/>
      <c r="J163" s="360"/>
      <c r="K163" s="360"/>
      <c r="L163" s="360"/>
      <c r="M163" s="125"/>
      <c r="N163" s="360"/>
      <c r="O163" s="360"/>
      <c r="P163" s="360"/>
      <c r="Q163" s="360"/>
      <c r="R163" s="360"/>
      <c r="S163" s="360"/>
      <c r="T163" s="360"/>
      <c r="U163" s="360"/>
      <c r="V163" s="360"/>
      <c r="W163" s="360"/>
      <c r="X163" s="360"/>
      <c r="Y163" s="360"/>
      <c r="Z163" s="360"/>
      <c r="AA163" s="360"/>
      <c r="AB163" s="125"/>
      <c r="AC163" s="302" t="str">
        <f>IFERROR(INDEX(Database_Charms,MATCH($N163,Database_Charms_Names,0),MATCH(AC$117,Database_Charms_Values,0)),"")</f>
        <v/>
      </c>
      <c r="AD163" s="302"/>
      <c r="AE163" s="302"/>
      <c r="AF163" s="302"/>
      <c r="AG163" s="302"/>
      <c r="AH163" s="125"/>
      <c r="AI163" s="302" t="str">
        <f>IFERROR(INDEX(Database_Charms,MATCH($N163,Database_Charms_Names,0),MATCH(AI$117,Database_Charms_Values,0)),"")</f>
        <v/>
      </c>
      <c r="AJ163" s="302"/>
      <c r="AK163" s="302"/>
      <c r="AL163" s="302"/>
      <c r="AM163" s="125"/>
      <c r="AN163" s="302" t="str">
        <f>IFERROR(INDEX(Database_Charms,MATCH($N163,Database_Charms_Names,0),MATCH(AN$117,Database_Charms_Values,0)),"")</f>
        <v/>
      </c>
      <c r="AO163" s="302"/>
      <c r="AP163" s="302"/>
      <c r="AQ163" s="302"/>
      <c r="AR163" s="302"/>
      <c r="AS163" s="125"/>
      <c r="AT163" s="302" t="str">
        <f>IFERROR(INDEX(Database_Charms,MATCH($N163,Database_Charms_Names,0),MATCH(AT$117,Database_Charms_Values,0)),"")</f>
        <v/>
      </c>
      <c r="AU163" s="302"/>
      <c r="AV163" s="125"/>
      <c r="AW163" s="302" t="str">
        <f>IFERROR(INDEX(Database_Charms,MATCH($N163,Database_Charms_Names,0),MATCH(AW$117,Database_Charms_Values,0)),"")</f>
        <v/>
      </c>
      <c r="AX163" s="302"/>
      <c r="AY163" s="307"/>
      <c r="BA163" s="308" t="str">
        <f ca="1">HYPERLINK("["&amp;MID(CELL("nomfichier"), FIND("[", CELL("nomfichier"))+1,FIND("]", CELL("nomfichier"))- FIND("[", CELL("nomfichier"))-1)&amp;"]'Creation_BP'!A1","Step 7 : Go to Creation_BP ! (You may have a free spell if you chose Terrestrial Sorcery,
Please put it in the 16th line.
If you have more free charms for whatever reasons, cheat in Creation_BP")</f>
        <v>Step 7 : Go to Creation_BP ! (You may have a free spell if you chose Terrestrial Sorcery,
Please put it in the 16th line.
If you have more free charms for whatever reasons, cheat in Creation_BP</v>
      </c>
      <c r="BB163" s="303"/>
      <c r="BC163" s="303"/>
      <c r="BD163" s="303"/>
      <c r="BE163" s="303"/>
      <c r="BF163" s="303"/>
      <c r="BG163" s="303"/>
      <c r="BH163" s="303"/>
      <c r="BI163" s="303"/>
      <c r="BJ163" s="303"/>
      <c r="BK163" s="303"/>
      <c r="BL163" s="303"/>
      <c r="BM163" s="303"/>
      <c r="BN163" s="303"/>
      <c r="BO163" s="303"/>
      <c r="BP163" s="303"/>
      <c r="BQ163" s="303"/>
      <c r="BR163" s="303"/>
      <c r="BS163" s="303"/>
      <c r="BT163" s="303"/>
      <c r="BU163" s="303"/>
      <c r="BV163" s="303"/>
    </row>
    <row r="164" spans="1:74" ht="20.100000000000001" customHeight="1">
      <c r="A164" s="290"/>
      <c r="B164" s="312" t="str">
        <f>IFERROR(INDEX(Database_Charms,MATCH($N163,Database_Charms_Names,0),MATCH(Charms!$S$1,Database_Charms_Values,0)),"")</f>
        <v/>
      </c>
      <c r="C164" s="312"/>
      <c r="D164" s="312"/>
      <c r="E164" s="312"/>
      <c r="F164" s="312"/>
      <c r="G164" s="312"/>
      <c r="H164" s="312"/>
      <c r="I164" s="312"/>
      <c r="J164" s="312"/>
      <c r="K164" s="312"/>
      <c r="L164" s="312"/>
      <c r="M164" s="312"/>
      <c r="N164" s="312"/>
      <c r="O164" s="312"/>
      <c r="P164" s="312"/>
      <c r="Q164" s="312"/>
      <c r="R164" s="312"/>
      <c r="S164" s="312"/>
      <c r="T164" s="312"/>
      <c r="U164" s="312"/>
      <c r="V164" s="312"/>
      <c r="W164" s="312"/>
      <c r="X164" s="312"/>
      <c r="Y164" s="312"/>
      <c r="Z164" s="312"/>
      <c r="AA164" s="312"/>
      <c r="AB164" s="312"/>
      <c r="AC164" s="312"/>
      <c r="AD164" s="312"/>
      <c r="AE164" s="312"/>
      <c r="AF164" s="312"/>
      <c r="AG164" s="312"/>
      <c r="AH164" s="312"/>
      <c r="AI164" s="312"/>
      <c r="AJ164" s="312"/>
      <c r="AK164" s="312"/>
      <c r="AL164" s="312"/>
      <c r="AM164" s="312"/>
      <c r="AN164" s="312"/>
      <c r="AO164" s="312"/>
      <c r="AP164" s="312"/>
      <c r="AQ164" s="312"/>
      <c r="AR164" s="312"/>
      <c r="AS164" s="312"/>
      <c r="AT164" s="312"/>
      <c r="AU164" s="312"/>
      <c r="AV164" s="312"/>
      <c r="AW164" s="312"/>
      <c r="AX164" s="312"/>
      <c r="AY164" s="313"/>
      <c r="BA164" s="303"/>
      <c r="BB164" s="303"/>
      <c r="BC164" s="303"/>
      <c r="BD164" s="303"/>
      <c r="BE164" s="303"/>
      <c r="BF164" s="303"/>
      <c r="BG164" s="303"/>
      <c r="BH164" s="303"/>
      <c r="BI164" s="303"/>
      <c r="BJ164" s="303"/>
      <c r="BK164" s="303"/>
      <c r="BL164" s="303"/>
      <c r="BM164" s="303"/>
      <c r="BN164" s="303"/>
      <c r="BO164" s="303"/>
      <c r="BP164" s="303"/>
      <c r="BQ164" s="303"/>
      <c r="BR164" s="303"/>
      <c r="BS164" s="303"/>
      <c r="BT164" s="303"/>
      <c r="BU164" s="303"/>
      <c r="BV164" s="303"/>
    </row>
    <row r="165" spans="1:74" ht="20.100000000000001" customHeight="1">
      <c r="A165" s="290"/>
      <c r="B165" s="314"/>
      <c r="C165" s="314"/>
      <c r="D165" s="314"/>
      <c r="E165" s="314"/>
      <c r="F165" s="314"/>
      <c r="G165" s="314"/>
      <c r="H165" s="314"/>
      <c r="I165" s="314"/>
      <c r="J165" s="314"/>
      <c r="K165" s="314"/>
      <c r="L165" s="314"/>
      <c r="M165" s="314"/>
      <c r="N165" s="314"/>
      <c r="O165" s="314"/>
      <c r="P165" s="314"/>
      <c r="Q165" s="314"/>
      <c r="R165" s="314"/>
      <c r="S165" s="314"/>
      <c r="T165" s="314"/>
      <c r="U165" s="314"/>
      <c r="V165" s="314"/>
      <c r="W165" s="314"/>
      <c r="X165" s="314"/>
      <c r="Y165" s="314"/>
      <c r="Z165" s="314"/>
      <c r="AA165" s="314"/>
      <c r="AB165" s="314"/>
      <c r="AC165" s="314"/>
      <c r="AD165" s="314"/>
      <c r="AE165" s="314"/>
      <c r="AF165" s="314"/>
      <c r="AG165" s="314"/>
      <c r="AH165" s="314"/>
      <c r="AI165" s="314"/>
      <c r="AJ165" s="314"/>
      <c r="AK165" s="314"/>
      <c r="AL165" s="314"/>
      <c r="AM165" s="314"/>
      <c r="AN165" s="314"/>
      <c r="AO165" s="314"/>
      <c r="AP165" s="314"/>
      <c r="AQ165" s="314"/>
      <c r="AR165" s="314"/>
      <c r="AS165" s="314"/>
      <c r="AT165" s="314"/>
      <c r="AU165" s="314"/>
      <c r="AV165" s="314"/>
      <c r="AW165" s="314"/>
      <c r="AX165" s="314"/>
      <c r="AY165" s="315"/>
      <c r="BA165" s="303"/>
      <c r="BB165" s="303"/>
      <c r="BC165" s="303"/>
      <c r="BD165" s="303"/>
      <c r="BE165" s="303"/>
      <c r="BF165" s="303"/>
      <c r="BG165" s="303"/>
      <c r="BH165" s="303"/>
      <c r="BI165" s="303"/>
      <c r="BJ165" s="303"/>
      <c r="BK165" s="303"/>
      <c r="BL165" s="303"/>
      <c r="BM165" s="303"/>
      <c r="BN165" s="303"/>
      <c r="BO165" s="303"/>
      <c r="BP165" s="303"/>
      <c r="BQ165" s="303"/>
      <c r="BR165" s="303"/>
      <c r="BS165" s="303"/>
      <c r="BT165" s="303"/>
      <c r="BU165" s="303"/>
      <c r="BV165" s="303"/>
    </row>
    <row r="166" spans="1:74" ht="20.100000000000001" hidden="1" customHeight="1">
      <c r="A166" s="298">
        <v>17</v>
      </c>
      <c r="B166" s="302"/>
      <c r="C166" s="302"/>
      <c r="D166" s="302"/>
      <c r="E166" s="302"/>
      <c r="F166" s="302"/>
      <c r="G166" s="124"/>
      <c r="H166" s="302"/>
      <c r="I166" s="302"/>
      <c r="J166" s="302"/>
      <c r="K166" s="302"/>
      <c r="L166" s="302"/>
      <c r="M166" s="125"/>
      <c r="N166" s="302"/>
      <c r="O166" s="302"/>
      <c r="P166" s="302"/>
      <c r="Q166" s="302"/>
      <c r="R166" s="302"/>
      <c r="S166" s="302"/>
      <c r="T166" s="302"/>
      <c r="U166" s="302"/>
      <c r="V166" s="302"/>
      <c r="W166" s="302"/>
      <c r="X166" s="302"/>
      <c r="Y166" s="302"/>
      <c r="Z166" s="302"/>
      <c r="AA166" s="302"/>
      <c r="AB166" s="125"/>
      <c r="AC166" s="302" t="str">
        <f>IFERROR(VLOOKUP($N166,Charms!B:S,10,FALSE),"")</f>
        <v/>
      </c>
      <c r="AD166" s="302"/>
      <c r="AE166" s="302"/>
      <c r="AF166" s="302"/>
      <c r="AG166" s="302"/>
      <c r="AH166" s="125"/>
      <c r="AI166" s="302" t="str">
        <f>IFERROR(VLOOKUP($N166,Charms!B:S,12,FALSE),"")</f>
        <v/>
      </c>
      <c r="AJ166" s="302"/>
      <c r="AK166" s="302"/>
      <c r="AL166" s="302"/>
      <c r="AM166" s="125"/>
      <c r="AN166" s="302" t="str">
        <f>IFERROR(VLOOKUP($N166,Charms!B:S,4,FALSE),"")</f>
        <v/>
      </c>
      <c r="AO166" s="302"/>
      <c r="AP166" s="302"/>
      <c r="AQ166" s="302"/>
      <c r="AR166" s="302"/>
      <c r="AS166" s="125"/>
      <c r="AT166" s="302" t="str">
        <f>IFERROR(IF(VLOOKUP($N166,Charms!B:S,2,FALSE)="","Main",VLOOKUP($N166,Charms!B:S,2,FALSE)),"")</f>
        <v/>
      </c>
      <c r="AU166" s="302"/>
      <c r="AV166" s="125"/>
      <c r="AW166" s="302" t="str">
        <f>IFERROR(VLOOKUP($N166,Charms!B:S,3,FALSE),"")</f>
        <v/>
      </c>
      <c r="AX166" s="302"/>
      <c r="AY166" s="307"/>
    </row>
    <row r="167" spans="1:74" ht="20.100000000000001" hidden="1" customHeight="1">
      <c r="A167" s="298"/>
      <c r="B167" s="362" t="str">
        <f>IFERROR(VLOOKUP($N166,Charms!B:S,14,FALSE),"")</f>
        <v/>
      </c>
      <c r="C167" s="362"/>
      <c r="D167" s="362"/>
      <c r="E167" s="362"/>
      <c r="F167" s="362"/>
      <c r="G167" s="362"/>
      <c r="H167" s="362"/>
      <c r="I167" s="362"/>
      <c r="J167" s="362"/>
      <c r="K167" s="362"/>
      <c r="L167" s="362"/>
      <c r="M167" s="362"/>
      <c r="N167" s="362"/>
      <c r="O167" s="362"/>
      <c r="P167" s="362"/>
      <c r="Q167" s="362"/>
      <c r="R167" s="362"/>
      <c r="S167" s="362"/>
      <c r="T167" s="362"/>
      <c r="U167" s="362"/>
      <c r="V167" s="362"/>
      <c r="W167" s="362"/>
      <c r="X167" s="362"/>
      <c r="Y167" s="362"/>
      <c r="Z167" s="362"/>
      <c r="AA167" s="362"/>
      <c r="AB167" s="362"/>
      <c r="AC167" s="362"/>
      <c r="AD167" s="362"/>
      <c r="AE167" s="362"/>
      <c r="AF167" s="362"/>
      <c r="AG167" s="362"/>
      <c r="AH167" s="362"/>
      <c r="AI167" s="362"/>
      <c r="AJ167" s="362"/>
      <c r="AK167" s="362"/>
      <c r="AL167" s="362"/>
      <c r="AM167" s="362"/>
      <c r="AN167" s="362"/>
      <c r="AO167" s="362"/>
      <c r="AP167" s="362"/>
      <c r="AQ167" s="362"/>
      <c r="AR167" s="362"/>
      <c r="AS167" s="362"/>
      <c r="AT167" s="362"/>
      <c r="AU167" s="362"/>
      <c r="AV167" s="362"/>
      <c r="AW167" s="362"/>
      <c r="AX167" s="362"/>
      <c r="AY167" s="363"/>
    </row>
    <row r="168" spans="1:74" ht="20.100000000000001" hidden="1" customHeight="1">
      <c r="A168" s="298"/>
      <c r="B168" s="364"/>
      <c r="C168" s="364"/>
      <c r="D168" s="364"/>
      <c r="E168" s="364"/>
      <c r="F168" s="364"/>
      <c r="G168" s="364"/>
      <c r="H168" s="364"/>
      <c r="I168" s="364"/>
      <c r="J168" s="364"/>
      <c r="K168" s="364"/>
      <c r="L168" s="364"/>
      <c r="M168" s="364"/>
      <c r="N168" s="364"/>
      <c r="O168" s="364"/>
      <c r="P168" s="364"/>
      <c r="Q168" s="364"/>
      <c r="R168" s="364"/>
      <c r="S168" s="364"/>
      <c r="T168" s="364"/>
      <c r="U168" s="364"/>
      <c r="V168" s="364"/>
      <c r="W168" s="364"/>
      <c r="X168" s="364"/>
      <c r="Y168" s="364"/>
      <c r="Z168" s="364"/>
      <c r="AA168" s="364"/>
      <c r="AB168" s="364"/>
      <c r="AC168" s="364"/>
      <c r="AD168" s="364"/>
      <c r="AE168" s="364"/>
      <c r="AF168" s="364"/>
      <c r="AG168" s="364"/>
      <c r="AH168" s="364"/>
      <c r="AI168" s="364"/>
      <c r="AJ168" s="364"/>
      <c r="AK168" s="364"/>
      <c r="AL168" s="364"/>
      <c r="AM168" s="364"/>
      <c r="AN168" s="364"/>
      <c r="AO168" s="364"/>
      <c r="AP168" s="364"/>
      <c r="AQ168" s="364"/>
      <c r="AR168" s="364"/>
      <c r="AS168" s="364"/>
      <c r="AT168" s="364"/>
      <c r="AU168" s="364"/>
      <c r="AV168" s="364"/>
      <c r="AW168" s="364"/>
      <c r="AX168" s="364"/>
      <c r="AY168" s="365"/>
    </row>
    <row r="169" spans="1:74" ht="20.100000000000001" hidden="1" customHeight="1">
      <c r="A169" s="309">
        <v>18</v>
      </c>
      <c r="B169" s="302"/>
      <c r="C169" s="302"/>
      <c r="D169" s="302"/>
      <c r="E169" s="302"/>
      <c r="F169" s="302"/>
      <c r="G169" s="124"/>
      <c r="H169" s="302"/>
      <c r="I169" s="302"/>
      <c r="J169" s="302"/>
      <c r="K169" s="302"/>
      <c r="L169" s="302"/>
      <c r="M169" s="125"/>
      <c r="N169" s="302"/>
      <c r="O169" s="302"/>
      <c r="P169" s="302"/>
      <c r="Q169" s="302"/>
      <c r="R169" s="302"/>
      <c r="S169" s="302"/>
      <c r="T169" s="302"/>
      <c r="U169" s="302"/>
      <c r="V169" s="302"/>
      <c r="W169" s="302"/>
      <c r="X169" s="302"/>
      <c r="Y169" s="302"/>
      <c r="Z169" s="302"/>
      <c r="AA169" s="302"/>
      <c r="AB169" s="125"/>
      <c r="AC169" s="302" t="str">
        <f>IFERROR(VLOOKUP($N169,Charms!B:S,10,FALSE),"")</f>
        <v/>
      </c>
      <c r="AD169" s="302"/>
      <c r="AE169" s="302"/>
      <c r="AF169" s="302"/>
      <c r="AG169" s="302"/>
      <c r="AH169" s="125"/>
      <c r="AI169" s="302" t="str">
        <f>IFERROR(VLOOKUP($N169,Charms!B:S,12,FALSE),"")</f>
        <v/>
      </c>
      <c r="AJ169" s="302"/>
      <c r="AK169" s="302"/>
      <c r="AL169" s="302"/>
      <c r="AM169" s="125"/>
      <c r="AN169" s="302" t="str">
        <f>IFERROR(VLOOKUP($N169,Charms!B:S,4,FALSE),"")</f>
        <v/>
      </c>
      <c r="AO169" s="302"/>
      <c r="AP169" s="302"/>
      <c r="AQ169" s="302"/>
      <c r="AR169" s="302"/>
      <c r="AS169" s="125"/>
      <c r="AT169" s="302" t="str">
        <f>IFERROR(IF(VLOOKUP($N169,Charms!B:S,2,FALSE)="","Main",VLOOKUP($N169,Charms!B:S,2,FALSE)),"")</f>
        <v/>
      </c>
      <c r="AU169" s="302"/>
      <c r="AV169" s="125"/>
      <c r="AW169" s="302" t="str">
        <f>IFERROR(VLOOKUP($N169,Charms!B:S,3,FALSE),"")</f>
        <v/>
      </c>
      <c r="AX169" s="302"/>
      <c r="AY169" s="307"/>
    </row>
    <row r="170" spans="1:74" ht="20.100000000000001" hidden="1" customHeight="1">
      <c r="A170" s="310"/>
      <c r="B170" s="303" t="str">
        <f>IFERROR(VLOOKUP($N169,Charms!B:S,14,FALSE),"")</f>
        <v/>
      </c>
      <c r="C170" s="303"/>
      <c r="D170" s="303"/>
      <c r="E170" s="303"/>
      <c r="F170" s="303"/>
      <c r="G170" s="303"/>
      <c r="H170" s="303"/>
      <c r="I170" s="303"/>
      <c r="J170" s="303"/>
      <c r="K170" s="303"/>
      <c r="L170" s="303"/>
      <c r="M170" s="303"/>
      <c r="N170" s="303"/>
      <c r="O170" s="303"/>
      <c r="P170" s="303"/>
      <c r="Q170" s="303"/>
      <c r="R170" s="303"/>
      <c r="S170" s="303"/>
      <c r="T170" s="303"/>
      <c r="U170" s="303"/>
      <c r="V170" s="303"/>
      <c r="W170" s="303"/>
      <c r="X170" s="303"/>
      <c r="Y170" s="303"/>
      <c r="Z170" s="303"/>
      <c r="AA170" s="303"/>
      <c r="AB170" s="303"/>
      <c r="AC170" s="303"/>
      <c r="AD170" s="303"/>
      <c r="AE170" s="303"/>
      <c r="AF170" s="303"/>
      <c r="AG170" s="303"/>
      <c r="AH170" s="303"/>
      <c r="AI170" s="303"/>
      <c r="AJ170" s="303"/>
      <c r="AK170" s="303"/>
      <c r="AL170" s="303"/>
      <c r="AM170" s="303"/>
      <c r="AN170" s="303"/>
      <c r="AO170" s="303"/>
      <c r="AP170" s="303"/>
      <c r="AQ170" s="303"/>
      <c r="AR170" s="303"/>
      <c r="AS170" s="303"/>
      <c r="AT170" s="303"/>
      <c r="AU170" s="303"/>
      <c r="AV170" s="303"/>
      <c r="AW170" s="303"/>
      <c r="AX170" s="303"/>
      <c r="AY170" s="304"/>
    </row>
    <row r="171" spans="1:74" ht="20.100000000000001" hidden="1" customHeight="1">
      <c r="A171" s="311"/>
      <c r="B171" s="305"/>
      <c r="C171" s="305"/>
      <c r="D171" s="305"/>
      <c r="E171" s="305"/>
      <c r="F171" s="305"/>
      <c r="G171" s="305"/>
      <c r="H171" s="305"/>
      <c r="I171" s="305"/>
      <c r="J171" s="305"/>
      <c r="K171" s="305"/>
      <c r="L171" s="305"/>
      <c r="M171" s="305"/>
      <c r="N171" s="305"/>
      <c r="O171" s="305"/>
      <c r="P171" s="305"/>
      <c r="Q171" s="305"/>
      <c r="R171" s="305"/>
      <c r="S171" s="305"/>
      <c r="T171" s="305"/>
      <c r="U171" s="305"/>
      <c r="V171" s="305"/>
      <c r="W171" s="305"/>
      <c r="X171" s="305"/>
      <c r="Y171" s="305"/>
      <c r="Z171" s="305"/>
      <c r="AA171" s="305"/>
      <c r="AB171" s="305"/>
      <c r="AC171" s="305"/>
      <c r="AD171" s="305"/>
      <c r="AE171" s="305"/>
      <c r="AF171" s="305"/>
      <c r="AG171" s="305"/>
      <c r="AH171" s="305"/>
      <c r="AI171" s="305"/>
      <c r="AJ171" s="305"/>
      <c r="AK171" s="305"/>
      <c r="AL171" s="305"/>
      <c r="AM171" s="305"/>
      <c r="AN171" s="305"/>
      <c r="AO171" s="305"/>
      <c r="AP171" s="305"/>
      <c r="AQ171" s="305"/>
      <c r="AR171" s="305"/>
      <c r="AS171" s="305"/>
      <c r="AT171" s="305"/>
      <c r="AU171" s="305"/>
      <c r="AV171" s="305"/>
      <c r="AW171" s="305"/>
      <c r="AX171" s="305"/>
      <c r="AY171" s="306"/>
    </row>
    <row r="172" spans="1:74" ht="20.100000000000001" hidden="1" customHeight="1">
      <c r="A172" s="309">
        <v>19</v>
      </c>
      <c r="B172" s="302"/>
      <c r="C172" s="302"/>
      <c r="D172" s="302"/>
      <c r="E172" s="302"/>
      <c r="F172" s="302"/>
      <c r="G172" s="124"/>
      <c r="H172" s="302"/>
      <c r="I172" s="302"/>
      <c r="J172" s="302"/>
      <c r="K172" s="302"/>
      <c r="L172" s="302"/>
      <c r="M172" s="125"/>
      <c r="N172" s="302"/>
      <c r="O172" s="302"/>
      <c r="P172" s="302"/>
      <c r="Q172" s="302"/>
      <c r="R172" s="302"/>
      <c r="S172" s="302"/>
      <c r="T172" s="302"/>
      <c r="U172" s="302"/>
      <c r="V172" s="302"/>
      <c r="W172" s="302"/>
      <c r="X172" s="302"/>
      <c r="Y172" s="302"/>
      <c r="Z172" s="302"/>
      <c r="AA172" s="302"/>
      <c r="AB172" s="125"/>
      <c r="AC172" s="302" t="str">
        <f>IFERROR(VLOOKUP($N172,Charms!B:S,10,FALSE),"")</f>
        <v/>
      </c>
      <c r="AD172" s="302"/>
      <c r="AE172" s="302"/>
      <c r="AF172" s="302"/>
      <c r="AG172" s="302"/>
      <c r="AH172" s="125"/>
      <c r="AI172" s="302" t="str">
        <f>IFERROR(VLOOKUP($N172,Charms!B:S,12,FALSE),"")</f>
        <v/>
      </c>
      <c r="AJ172" s="302"/>
      <c r="AK172" s="302"/>
      <c r="AL172" s="302"/>
      <c r="AM172" s="125"/>
      <c r="AN172" s="302" t="str">
        <f>IFERROR(VLOOKUP($N172,Charms!B:S,4,FALSE),"")</f>
        <v/>
      </c>
      <c r="AO172" s="302"/>
      <c r="AP172" s="302"/>
      <c r="AQ172" s="302"/>
      <c r="AR172" s="302"/>
      <c r="AS172" s="125"/>
      <c r="AT172" s="302" t="str">
        <f>IFERROR(IF(VLOOKUP($N172,Charms!B:S,2,FALSE)="","Main",VLOOKUP($N172,Charms!B:S,2,FALSE)),"")</f>
        <v/>
      </c>
      <c r="AU172" s="302"/>
      <c r="AV172" s="125"/>
      <c r="AW172" s="302" t="str">
        <f>IFERROR(VLOOKUP($N172,Charms!B:S,3,FALSE),"")</f>
        <v/>
      </c>
      <c r="AX172" s="302"/>
      <c r="AY172" s="307"/>
    </row>
    <row r="173" spans="1:74" ht="20.100000000000001" hidden="1" customHeight="1">
      <c r="A173" s="310"/>
      <c r="B173" s="303" t="str">
        <f>IFERROR(VLOOKUP($N172,Charms!B:S,14,FALSE),"")</f>
        <v/>
      </c>
      <c r="C173" s="303"/>
      <c r="D173" s="303"/>
      <c r="E173" s="303"/>
      <c r="F173" s="303"/>
      <c r="G173" s="303"/>
      <c r="H173" s="303"/>
      <c r="I173" s="303"/>
      <c r="J173" s="303"/>
      <c r="K173" s="303"/>
      <c r="L173" s="303"/>
      <c r="M173" s="303"/>
      <c r="N173" s="303"/>
      <c r="O173" s="303"/>
      <c r="P173" s="303"/>
      <c r="Q173" s="303"/>
      <c r="R173" s="303"/>
      <c r="S173" s="303"/>
      <c r="T173" s="303"/>
      <c r="U173" s="303"/>
      <c r="V173" s="303"/>
      <c r="W173" s="303"/>
      <c r="X173" s="303"/>
      <c r="Y173" s="303"/>
      <c r="Z173" s="303"/>
      <c r="AA173" s="303"/>
      <c r="AB173" s="303"/>
      <c r="AC173" s="303"/>
      <c r="AD173" s="303"/>
      <c r="AE173" s="303"/>
      <c r="AF173" s="303"/>
      <c r="AG173" s="303"/>
      <c r="AH173" s="303"/>
      <c r="AI173" s="303"/>
      <c r="AJ173" s="303"/>
      <c r="AK173" s="303"/>
      <c r="AL173" s="303"/>
      <c r="AM173" s="303"/>
      <c r="AN173" s="303"/>
      <c r="AO173" s="303"/>
      <c r="AP173" s="303"/>
      <c r="AQ173" s="303"/>
      <c r="AR173" s="303"/>
      <c r="AS173" s="303"/>
      <c r="AT173" s="303"/>
      <c r="AU173" s="303"/>
      <c r="AV173" s="303"/>
      <c r="AW173" s="303"/>
      <c r="AX173" s="303"/>
      <c r="AY173" s="304"/>
    </row>
    <row r="174" spans="1:74" ht="20.100000000000001" hidden="1" customHeight="1">
      <c r="A174" s="311"/>
      <c r="B174" s="305"/>
      <c r="C174" s="305"/>
      <c r="D174" s="305"/>
      <c r="E174" s="305"/>
      <c r="F174" s="305"/>
      <c r="G174" s="305"/>
      <c r="H174" s="305"/>
      <c r="I174" s="305"/>
      <c r="J174" s="305"/>
      <c r="K174" s="305"/>
      <c r="L174" s="305"/>
      <c r="M174" s="305"/>
      <c r="N174" s="305"/>
      <c r="O174" s="305"/>
      <c r="P174" s="305"/>
      <c r="Q174" s="305"/>
      <c r="R174" s="305"/>
      <c r="S174" s="305"/>
      <c r="T174" s="305"/>
      <c r="U174" s="305"/>
      <c r="V174" s="305"/>
      <c r="W174" s="305"/>
      <c r="X174" s="305"/>
      <c r="Y174" s="305"/>
      <c r="Z174" s="305"/>
      <c r="AA174" s="305"/>
      <c r="AB174" s="305"/>
      <c r="AC174" s="305"/>
      <c r="AD174" s="305"/>
      <c r="AE174" s="305"/>
      <c r="AF174" s="305"/>
      <c r="AG174" s="305"/>
      <c r="AH174" s="305"/>
      <c r="AI174" s="305"/>
      <c r="AJ174" s="305"/>
      <c r="AK174" s="305"/>
      <c r="AL174" s="305"/>
      <c r="AM174" s="305"/>
      <c r="AN174" s="305"/>
      <c r="AO174" s="305"/>
      <c r="AP174" s="305"/>
      <c r="AQ174" s="305"/>
      <c r="AR174" s="305"/>
      <c r="AS174" s="305"/>
      <c r="AT174" s="305"/>
      <c r="AU174" s="305"/>
      <c r="AV174" s="305"/>
      <c r="AW174" s="305"/>
      <c r="AX174" s="305"/>
      <c r="AY174" s="306"/>
    </row>
    <row r="175" spans="1:74" ht="20.100000000000001" hidden="1" customHeight="1">
      <c r="A175" s="309">
        <v>20</v>
      </c>
      <c r="B175" s="302"/>
      <c r="C175" s="302"/>
      <c r="D175" s="302"/>
      <c r="E175" s="302"/>
      <c r="F175" s="302"/>
      <c r="G175" s="124"/>
      <c r="H175" s="302"/>
      <c r="I175" s="302"/>
      <c r="J175" s="302"/>
      <c r="K175" s="302"/>
      <c r="L175" s="302"/>
      <c r="M175" s="125"/>
      <c r="N175" s="302"/>
      <c r="O175" s="302"/>
      <c r="P175" s="302"/>
      <c r="Q175" s="302"/>
      <c r="R175" s="302"/>
      <c r="S175" s="302"/>
      <c r="T175" s="302"/>
      <c r="U175" s="302"/>
      <c r="V175" s="302"/>
      <c r="W175" s="302"/>
      <c r="X175" s="302"/>
      <c r="Y175" s="302"/>
      <c r="Z175" s="302"/>
      <c r="AA175" s="302"/>
      <c r="AB175" s="125"/>
      <c r="AC175" s="302" t="str">
        <f>IFERROR(VLOOKUP($N175,Charms!B:S,10,FALSE),"")</f>
        <v/>
      </c>
      <c r="AD175" s="302"/>
      <c r="AE175" s="302"/>
      <c r="AF175" s="302"/>
      <c r="AG175" s="302"/>
      <c r="AH175" s="125"/>
      <c r="AI175" s="302" t="str">
        <f>IFERROR(VLOOKUP($N175,Charms!B:S,12,FALSE),"")</f>
        <v/>
      </c>
      <c r="AJ175" s="302"/>
      <c r="AK175" s="302"/>
      <c r="AL175" s="302"/>
      <c r="AM175" s="125"/>
      <c r="AN175" s="302" t="str">
        <f>IFERROR(VLOOKUP($N175,Charms!B:S,4,FALSE),"")</f>
        <v/>
      </c>
      <c r="AO175" s="302"/>
      <c r="AP175" s="302"/>
      <c r="AQ175" s="302"/>
      <c r="AR175" s="302"/>
      <c r="AS175" s="125"/>
      <c r="AT175" s="302" t="str">
        <f>IFERROR(IF(VLOOKUP($N175,Charms!B:S,2,FALSE)="","Main",VLOOKUP($N175,Charms!B:S,2,FALSE)),"")</f>
        <v/>
      </c>
      <c r="AU175" s="302"/>
      <c r="AV175" s="125"/>
      <c r="AW175" s="302" t="str">
        <f>IFERROR(VLOOKUP($N175,Charms!B:S,3,FALSE),"")</f>
        <v/>
      </c>
      <c r="AX175" s="302"/>
      <c r="AY175" s="307"/>
    </row>
    <row r="176" spans="1:74" ht="20.100000000000001" hidden="1" customHeight="1">
      <c r="A176" s="310"/>
      <c r="B176" s="303" t="str">
        <f>IFERROR(VLOOKUP($N175,Charms!B:S,14,FALSE),"")</f>
        <v/>
      </c>
      <c r="C176" s="303"/>
      <c r="D176" s="303"/>
      <c r="E176" s="303"/>
      <c r="F176" s="303"/>
      <c r="G176" s="303"/>
      <c r="H176" s="303"/>
      <c r="I176" s="303"/>
      <c r="J176" s="303"/>
      <c r="K176" s="303"/>
      <c r="L176" s="303"/>
      <c r="M176" s="303"/>
      <c r="N176" s="303"/>
      <c r="O176" s="303"/>
      <c r="P176" s="303"/>
      <c r="Q176" s="303"/>
      <c r="R176" s="303"/>
      <c r="S176" s="303"/>
      <c r="T176" s="303"/>
      <c r="U176" s="303"/>
      <c r="V176" s="303"/>
      <c r="W176" s="303"/>
      <c r="X176" s="303"/>
      <c r="Y176" s="303"/>
      <c r="Z176" s="303"/>
      <c r="AA176" s="303"/>
      <c r="AB176" s="303"/>
      <c r="AC176" s="303"/>
      <c r="AD176" s="303"/>
      <c r="AE176" s="303"/>
      <c r="AF176" s="303"/>
      <c r="AG176" s="303"/>
      <c r="AH176" s="303"/>
      <c r="AI176" s="303"/>
      <c r="AJ176" s="303"/>
      <c r="AK176" s="303"/>
      <c r="AL176" s="303"/>
      <c r="AM176" s="303"/>
      <c r="AN176" s="303"/>
      <c r="AO176" s="303"/>
      <c r="AP176" s="303"/>
      <c r="AQ176" s="303"/>
      <c r="AR176" s="303"/>
      <c r="AS176" s="303"/>
      <c r="AT176" s="303"/>
      <c r="AU176" s="303"/>
      <c r="AV176" s="303"/>
      <c r="AW176" s="303"/>
      <c r="AX176" s="303"/>
      <c r="AY176" s="304"/>
    </row>
    <row r="177" spans="1:51" ht="20.100000000000001" hidden="1" customHeight="1">
      <c r="A177" s="311"/>
      <c r="B177" s="305"/>
      <c r="C177" s="305"/>
      <c r="D177" s="305"/>
      <c r="E177" s="305"/>
      <c r="F177" s="305"/>
      <c r="G177" s="305"/>
      <c r="H177" s="305"/>
      <c r="I177" s="305"/>
      <c r="J177" s="305"/>
      <c r="K177" s="305"/>
      <c r="L177" s="305"/>
      <c r="M177" s="305"/>
      <c r="N177" s="305"/>
      <c r="O177" s="305"/>
      <c r="P177" s="305"/>
      <c r="Q177" s="305"/>
      <c r="R177" s="305"/>
      <c r="S177" s="305"/>
      <c r="T177" s="305"/>
      <c r="U177" s="305"/>
      <c r="V177" s="305"/>
      <c r="W177" s="305"/>
      <c r="X177" s="305"/>
      <c r="Y177" s="305"/>
      <c r="Z177" s="305"/>
      <c r="AA177" s="305"/>
      <c r="AB177" s="305"/>
      <c r="AC177" s="305"/>
      <c r="AD177" s="305"/>
      <c r="AE177" s="305"/>
      <c r="AF177" s="305"/>
      <c r="AG177" s="305"/>
      <c r="AH177" s="305"/>
      <c r="AI177" s="305"/>
      <c r="AJ177" s="305"/>
      <c r="AK177" s="305"/>
      <c r="AL177" s="305"/>
      <c r="AM177" s="305"/>
      <c r="AN177" s="305"/>
      <c r="AO177" s="305"/>
      <c r="AP177" s="305"/>
      <c r="AQ177" s="305"/>
      <c r="AR177" s="305"/>
      <c r="AS177" s="305"/>
      <c r="AT177" s="305"/>
      <c r="AU177" s="305"/>
      <c r="AV177" s="305"/>
      <c r="AW177" s="305"/>
      <c r="AX177" s="305"/>
      <c r="AY177" s="306"/>
    </row>
    <row r="178" spans="1:51" ht="20.100000000000001" hidden="1" customHeight="1">
      <c r="A178" s="309">
        <v>21</v>
      </c>
      <c r="B178" s="302"/>
      <c r="C178" s="302"/>
      <c r="D178" s="302"/>
      <c r="E178" s="302"/>
      <c r="F178" s="302"/>
      <c r="G178" s="124"/>
      <c r="H178" s="302"/>
      <c r="I178" s="302"/>
      <c r="J178" s="302"/>
      <c r="K178" s="302"/>
      <c r="L178" s="302"/>
      <c r="M178" s="125"/>
      <c r="N178" s="302"/>
      <c r="O178" s="302"/>
      <c r="P178" s="302"/>
      <c r="Q178" s="302"/>
      <c r="R178" s="302"/>
      <c r="S178" s="302"/>
      <c r="T178" s="302"/>
      <c r="U178" s="302"/>
      <c r="V178" s="302"/>
      <c r="W178" s="302"/>
      <c r="X178" s="302"/>
      <c r="Y178" s="302"/>
      <c r="Z178" s="302"/>
      <c r="AA178" s="302"/>
      <c r="AB178" s="125"/>
      <c r="AC178" s="302" t="str">
        <f>IFERROR(VLOOKUP($N178,Charms!B:S,10,FALSE),"")</f>
        <v/>
      </c>
      <c r="AD178" s="302"/>
      <c r="AE178" s="302"/>
      <c r="AF178" s="302"/>
      <c r="AG178" s="302"/>
      <c r="AH178" s="125"/>
      <c r="AI178" s="302" t="str">
        <f>IFERROR(VLOOKUP($N178,Charms!B:S,12,FALSE),"")</f>
        <v/>
      </c>
      <c r="AJ178" s="302"/>
      <c r="AK178" s="302"/>
      <c r="AL178" s="302"/>
      <c r="AM178" s="125"/>
      <c r="AN178" s="302" t="str">
        <f>IFERROR(VLOOKUP($N178,Charms!B:S,4,FALSE),"")</f>
        <v/>
      </c>
      <c r="AO178" s="302"/>
      <c r="AP178" s="302"/>
      <c r="AQ178" s="302"/>
      <c r="AR178" s="302"/>
      <c r="AS178" s="125"/>
      <c r="AT178" s="302" t="str">
        <f>IFERROR(IF(VLOOKUP($N178,Charms!B:S,2,FALSE)="","Main",VLOOKUP($N178,Charms!B:S,2,FALSE)),"")</f>
        <v/>
      </c>
      <c r="AU178" s="302"/>
      <c r="AV178" s="125"/>
      <c r="AW178" s="302" t="str">
        <f>IFERROR(VLOOKUP($N178,Charms!B:S,3,FALSE),"")</f>
        <v/>
      </c>
      <c r="AX178" s="302"/>
      <c r="AY178" s="307"/>
    </row>
    <row r="179" spans="1:51" ht="20.100000000000001" hidden="1" customHeight="1">
      <c r="A179" s="310"/>
      <c r="B179" s="303" t="str">
        <f>IFERROR(VLOOKUP($N178,Charms!B:S,14,FALSE),"")</f>
        <v/>
      </c>
      <c r="C179" s="303"/>
      <c r="D179" s="303"/>
      <c r="E179" s="303"/>
      <c r="F179" s="303"/>
      <c r="G179" s="303"/>
      <c r="H179" s="303"/>
      <c r="I179" s="303"/>
      <c r="J179" s="303"/>
      <c r="K179" s="303"/>
      <c r="L179" s="303"/>
      <c r="M179" s="303"/>
      <c r="N179" s="303"/>
      <c r="O179" s="303"/>
      <c r="P179" s="303"/>
      <c r="Q179" s="303"/>
      <c r="R179" s="303"/>
      <c r="S179" s="303"/>
      <c r="T179" s="303"/>
      <c r="U179" s="303"/>
      <c r="V179" s="303"/>
      <c r="W179" s="303"/>
      <c r="X179" s="303"/>
      <c r="Y179" s="303"/>
      <c r="Z179" s="303"/>
      <c r="AA179" s="303"/>
      <c r="AB179" s="303"/>
      <c r="AC179" s="303"/>
      <c r="AD179" s="303"/>
      <c r="AE179" s="303"/>
      <c r="AF179" s="303"/>
      <c r="AG179" s="303"/>
      <c r="AH179" s="303"/>
      <c r="AI179" s="303"/>
      <c r="AJ179" s="303"/>
      <c r="AK179" s="303"/>
      <c r="AL179" s="303"/>
      <c r="AM179" s="303"/>
      <c r="AN179" s="303"/>
      <c r="AO179" s="303"/>
      <c r="AP179" s="303"/>
      <c r="AQ179" s="303"/>
      <c r="AR179" s="303"/>
      <c r="AS179" s="303"/>
      <c r="AT179" s="303"/>
      <c r="AU179" s="303"/>
      <c r="AV179" s="303"/>
      <c r="AW179" s="303"/>
      <c r="AX179" s="303"/>
      <c r="AY179" s="304"/>
    </row>
    <row r="180" spans="1:51" ht="20.100000000000001" hidden="1" customHeight="1">
      <c r="A180" s="311"/>
      <c r="B180" s="305"/>
      <c r="C180" s="305"/>
      <c r="D180" s="305"/>
      <c r="E180" s="305"/>
      <c r="F180" s="305"/>
      <c r="G180" s="305"/>
      <c r="H180" s="305"/>
      <c r="I180" s="305"/>
      <c r="J180" s="305"/>
      <c r="K180" s="305"/>
      <c r="L180" s="305"/>
      <c r="M180" s="305"/>
      <c r="N180" s="305"/>
      <c r="O180" s="305"/>
      <c r="P180" s="305"/>
      <c r="Q180" s="305"/>
      <c r="R180" s="305"/>
      <c r="S180" s="305"/>
      <c r="T180" s="305"/>
      <c r="U180" s="305"/>
      <c r="V180" s="305"/>
      <c r="W180" s="305"/>
      <c r="X180" s="305"/>
      <c r="Y180" s="305"/>
      <c r="Z180" s="305"/>
      <c r="AA180" s="305"/>
      <c r="AB180" s="305"/>
      <c r="AC180" s="305"/>
      <c r="AD180" s="305"/>
      <c r="AE180" s="305"/>
      <c r="AF180" s="305"/>
      <c r="AG180" s="305"/>
      <c r="AH180" s="305"/>
      <c r="AI180" s="305"/>
      <c r="AJ180" s="305"/>
      <c r="AK180" s="305"/>
      <c r="AL180" s="305"/>
      <c r="AM180" s="305"/>
      <c r="AN180" s="305"/>
      <c r="AO180" s="305"/>
      <c r="AP180" s="305"/>
      <c r="AQ180" s="305"/>
      <c r="AR180" s="305"/>
      <c r="AS180" s="305"/>
      <c r="AT180" s="305"/>
      <c r="AU180" s="305"/>
      <c r="AV180" s="305"/>
      <c r="AW180" s="305"/>
      <c r="AX180" s="305"/>
      <c r="AY180" s="306"/>
    </row>
    <row r="181" spans="1:51" ht="20.100000000000001" hidden="1" customHeight="1">
      <c r="A181" s="309">
        <v>22</v>
      </c>
      <c r="B181" s="302"/>
      <c r="C181" s="302"/>
      <c r="D181" s="302"/>
      <c r="E181" s="302"/>
      <c r="F181" s="302"/>
      <c r="G181" s="124"/>
      <c r="H181" s="302"/>
      <c r="I181" s="302"/>
      <c r="J181" s="302"/>
      <c r="K181" s="302"/>
      <c r="L181" s="302"/>
      <c r="M181" s="125"/>
      <c r="N181" s="302"/>
      <c r="O181" s="302"/>
      <c r="P181" s="302"/>
      <c r="Q181" s="302"/>
      <c r="R181" s="302"/>
      <c r="S181" s="302"/>
      <c r="T181" s="302"/>
      <c r="U181" s="302"/>
      <c r="V181" s="302"/>
      <c r="W181" s="302"/>
      <c r="X181" s="302"/>
      <c r="Y181" s="302"/>
      <c r="Z181" s="302"/>
      <c r="AA181" s="302"/>
      <c r="AB181" s="125"/>
      <c r="AC181" s="302" t="str">
        <f>IFERROR(VLOOKUP($N181,Charms!B:S,10,FALSE),"")</f>
        <v/>
      </c>
      <c r="AD181" s="302"/>
      <c r="AE181" s="302"/>
      <c r="AF181" s="302"/>
      <c r="AG181" s="302"/>
      <c r="AH181" s="125"/>
      <c r="AI181" s="302" t="str">
        <f>IFERROR(VLOOKUP($N181,Charms!B:S,12,FALSE),"")</f>
        <v/>
      </c>
      <c r="AJ181" s="302"/>
      <c r="AK181" s="302"/>
      <c r="AL181" s="302"/>
      <c r="AM181" s="125"/>
      <c r="AN181" s="302" t="str">
        <f>IFERROR(VLOOKUP($N181,Charms!B:S,4,FALSE),"")</f>
        <v/>
      </c>
      <c r="AO181" s="302"/>
      <c r="AP181" s="302"/>
      <c r="AQ181" s="302"/>
      <c r="AR181" s="302"/>
      <c r="AS181" s="125"/>
      <c r="AT181" s="302" t="str">
        <f>IFERROR(IF(VLOOKUP($N181,Charms!B:S,2,FALSE)="","Main",VLOOKUP($N181,Charms!B:S,2,FALSE)),"")</f>
        <v/>
      </c>
      <c r="AU181" s="302"/>
      <c r="AV181" s="125"/>
      <c r="AW181" s="302" t="str">
        <f>IFERROR(VLOOKUP($N181,Charms!B:S,3,FALSE),"")</f>
        <v/>
      </c>
      <c r="AX181" s="302"/>
      <c r="AY181" s="307"/>
    </row>
    <row r="182" spans="1:51" ht="20.100000000000001" hidden="1" customHeight="1">
      <c r="A182" s="310"/>
      <c r="B182" s="303" t="str">
        <f>IFERROR(VLOOKUP($N181,Charms!B:S,14,FALSE),"")</f>
        <v/>
      </c>
      <c r="C182" s="303"/>
      <c r="D182" s="303"/>
      <c r="E182" s="303"/>
      <c r="F182" s="303"/>
      <c r="G182" s="303"/>
      <c r="H182" s="303"/>
      <c r="I182" s="303"/>
      <c r="J182" s="303"/>
      <c r="K182" s="303"/>
      <c r="L182" s="303"/>
      <c r="M182" s="303"/>
      <c r="N182" s="303"/>
      <c r="O182" s="303"/>
      <c r="P182" s="303"/>
      <c r="Q182" s="303"/>
      <c r="R182" s="303"/>
      <c r="S182" s="303"/>
      <c r="T182" s="303"/>
      <c r="U182" s="303"/>
      <c r="V182" s="303"/>
      <c r="W182" s="303"/>
      <c r="X182" s="303"/>
      <c r="Y182" s="303"/>
      <c r="Z182" s="303"/>
      <c r="AA182" s="303"/>
      <c r="AB182" s="303"/>
      <c r="AC182" s="303"/>
      <c r="AD182" s="303"/>
      <c r="AE182" s="303"/>
      <c r="AF182" s="303"/>
      <c r="AG182" s="303"/>
      <c r="AH182" s="303"/>
      <c r="AI182" s="303"/>
      <c r="AJ182" s="303"/>
      <c r="AK182" s="303"/>
      <c r="AL182" s="303"/>
      <c r="AM182" s="303"/>
      <c r="AN182" s="303"/>
      <c r="AO182" s="303"/>
      <c r="AP182" s="303"/>
      <c r="AQ182" s="303"/>
      <c r="AR182" s="303"/>
      <c r="AS182" s="303"/>
      <c r="AT182" s="303"/>
      <c r="AU182" s="303"/>
      <c r="AV182" s="303"/>
      <c r="AW182" s="303"/>
      <c r="AX182" s="303"/>
      <c r="AY182" s="304"/>
    </row>
    <row r="183" spans="1:51" ht="20.100000000000001" hidden="1" customHeight="1">
      <c r="A183" s="311"/>
      <c r="B183" s="305"/>
      <c r="C183" s="305"/>
      <c r="D183" s="305"/>
      <c r="E183" s="305"/>
      <c r="F183" s="305"/>
      <c r="G183" s="305"/>
      <c r="H183" s="305"/>
      <c r="I183" s="305"/>
      <c r="J183" s="305"/>
      <c r="K183" s="305"/>
      <c r="L183" s="305"/>
      <c r="M183" s="305"/>
      <c r="N183" s="305"/>
      <c r="O183" s="305"/>
      <c r="P183" s="305"/>
      <c r="Q183" s="305"/>
      <c r="R183" s="305"/>
      <c r="S183" s="305"/>
      <c r="T183" s="305"/>
      <c r="U183" s="305"/>
      <c r="V183" s="305"/>
      <c r="W183" s="305"/>
      <c r="X183" s="305"/>
      <c r="Y183" s="305"/>
      <c r="Z183" s="305"/>
      <c r="AA183" s="305"/>
      <c r="AB183" s="305"/>
      <c r="AC183" s="305"/>
      <c r="AD183" s="305"/>
      <c r="AE183" s="305"/>
      <c r="AF183" s="305"/>
      <c r="AG183" s="305"/>
      <c r="AH183" s="305"/>
      <c r="AI183" s="305"/>
      <c r="AJ183" s="305"/>
      <c r="AK183" s="305"/>
      <c r="AL183" s="305"/>
      <c r="AM183" s="305"/>
      <c r="AN183" s="305"/>
      <c r="AO183" s="305"/>
      <c r="AP183" s="305"/>
      <c r="AQ183" s="305"/>
      <c r="AR183" s="305"/>
      <c r="AS183" s="305"/>
      <c r="AT183" s="305"/>
      <c r="AU183" s="305"/>
      <c r="AV183" s="305"/>
      <c r="AW183" s="305"/>
      <c r="AX183" s="305"/>
      <c r="AY183" s="306"/>
    </row>
    <row r="184" spans="1:51" ht="20.100000000000001" hidden="1" customHeight="1">
      <c r="A184" s="309">
        <v>23</v>
      </c>
      <c r="B184" s="302"/>
      <c r="C184" s="302"/>
      <c r="D184" s="302"/>
      <c r="E184" s="302"/>
      <c r="F184" s="302"/>
      <c r="G184" s="124"/>
      <c r="H184" s="302"/>
      <c r="I184" s="302"/>
      <c r="J184" s="302"/>
      <c r="K184" s="302"/>
      <c r="L184" s="302"/>
      <c r="M184" s="125"/>
      <c r="N184" s="302"/>
      <c r="O184" s="302"/>
      <c r="P184" s="302"/>
      <c r="Q184" s="302"/>
      <c r="R184" s="302"/>
      <c r="S184" s="302"/>
      <c r="T184" s="302"/>
      <c r="U184" s="302"/>
      <c r="V184" s="302"/>
      <c r="W184" s="302"/>
      <c r="X184" s="302"/>
      <c r="Y184" s="302"/>
      <c r="Z184" s="302"/>
      <c r="AA184" s="302"/>
      <c r="AB184" s="125"/>
      <c r="AC184" s="302" t="str">
        <f>IFERROR(VLOOKUP($N184,Charms!B:S,10,FALSE),"")</f>
        <v/>
      </c>
      <c r="AD184" s="302"/>
      <c r="AE184" s="302"/>
      <c r="AF184" s="302"/>
      <c r="AG184" s="302"/>
      <c r="AH184" s="125"/>
      <c r="AI184" s="302" t="str">
        <f>IFERROR(VLOOKUP($N184,Charms!B:S,12,FALSE),"")</f>
        <v/>
      </c>
      <c r="AJ184" s="302"/>
      <c r="AK184" s="302"/>
      <c r="AL184" s="302"/>
      <c r="AM184" s="125"/>
      <c r="AN184" s="302" t="str">
        <f>IFERROR(VLOOKUP($N184,Charms!B:S,4,FALSE),"")</f>
        <v/>
      </c>
      <c r="AO184" s="302"/>
      <c r="AP184" s="302"/>
      <c r="AQ184" s="302"/>
      <c r="AR184" s="302"/>
      <c r="AS184" s="125"/>
      <c r="AT184" s="302" t="str">
        <f>IFERROR(IF(VLOOKUP($N184,Charms!B:S,2,FALSE)="","Main",VLOOKUP($N184,Charms!B:S,2,FALSE)),"")</f>
        <v/>
      </c>
      <c r="AU184" s="302"/>
      <c r="AV184" s="125"/>
      <c r="AW184" s="302" t="str">
        <f>IFERROR(VLOOKUP($N184,Charms!B:S,3,FALSE),"")</f>
        <v/>
      </c>
      <c r="AX184" s="302"/>
      <c r="AY184" s="307"/>
    </row>
    <row r="185" spans="1:51" ht="20.100000000000001" hidden="1" customHeight="1">
      <c r="A185" s="310"/>
      <c r="B185" s="303" t="str">
        <f>IFERROR(VLOOKUP($N184,Charms!B:S,14,FALSE),"")</f>
        <v/>
      </c>
      <c r="C185" s="303"/>
      <c r="D185" s="303"/>
      <c r="E185" s="303"/>
      <c r="F185" s="303"/>
      <c r="G185" s="303"/>
      <c r="H185" s="303"/>
      <c r="I185" s="303"/>
      <c r="J185" s="303"/>
      <c r="K185" s="303"/>
      <c r="L185" s="303"/>
      <c r="M185" s="303"/>
      <c r="N185" s="303"/>
      <c r="O185" s="303"/>
      <c r="P185" s="303"/>
      <c r="Q185" s="303"/>
      <c r="R185" s="303"/>
      <c r="S185" s="303"/>
      <c r="T185" s="303"/>
      <c r="U185" s="303"/>
      <c r="V185" s="303"/>
      <c r="W185" s="303"/>
      <c r="X185" s="303"/>
      <c r="Y185" s="303"/>
      <c r="Z185" s="303"/>
      <c r="AA185" s="303"/>
      <c r="AB185" s="303"/>
      <c r="AC185" s="303"/>
      <c r="AD185" s="303"/>
      <c r="AE185" s="303"/>
      <c r="AF185" s="303"/>
      <c r="AG185" s="303"/>
      <c r="AH185" s="303"/>
      <c r="AI185" s="303"/>
      <c r="AJ185" s="303"/>
      <c r="AK185" s="303"/>
      <c r="AL185" s="303"/>
      <c r="AM185" s="303"/>
      <c r="AN185" s="303"/>
      <c r="AO185" s="303"/>
      <c r="AP185" s="303"/>
      <c r="AQ185" s="303"/>
      <c r="AR185" s="303"/>
      <c r="AS185" s="303"/>
      <c r="AT185" s="303"/>
      <c r="AU185" s="303"/>
      <c r="AV185" s="303"/>
      <c r="AW185" s="303"/>
      <c r="AX185" s="303"/>
      <c r="AY185" s="304"/>
    </row>
    <row r="186" spans="1:51" ht="20.100000000000001" hidden="1" customHeight="1">
      <c r="A186" s="311"/>
      <c r="B186" s="305"/>
      <c r="C186" s="305"/>
      <c r="D186" s="305"/>
      <c r="E186" s="305"/>
      <c r="F186" s="305"/>
      <c r="G186" s="305"/>
      <c r="H186" s="305"/>
      <c r="I186" s="305"/>
      <c r="J186" s="305"/>
      <c r="K186" s="305"/>
      <c r="L186" s="305"/>
      <c r="M186" s="305"/>
      <c r="N186" s="305"/>
      <c r="O186" s="305"/>
      <c r="P186" s="305"/>
      <c r="Q186" s="305"/>
      <c r="R186" s="305"/>
      <c r="S186" s="305"/>
      <c r="T186" s="305"/>
      <c r="U186" s="305"/>
      <c r="V186" s="305"/>
      <c r="W186" s="305"/>
      <c r="X186" s="305"/>
      <c r="Y186" s="305"/>
      <c r="Z186" s="305"/>
      <c r="AA186" s="305"/>
      <c r="AB186" s="305"/>
      <c r="AC186" s="305"/>
      <c r="AD186" s="305"/>
      <c r="AE186" s="305"/>
      <c r="AF186" s="305"/>
      <c r="AG186" s="305"/>
      <c r="AH186" s="305"/>
      <c r="AI186" s="305"/>
      <c r="AJ186" s="305"/>
      <c r="AK186" s="305"/>
      <c r="AL186" s="305"/>
      <c r="AM186" s="305"/>
      <c r="AN186" s="305"/>
      <c r="AO186" s="305"/>
      <c r="AP186" s="305"/>
      <c r="AQ186" s="305"/>
      <c r="AR186" s="305"/>
      <c r="AS186" s="305"/>
      <c r="AT186" s="305"/>
      <c r="AU186" s="305"/>
      <c r="AV186" s="305"/>
      <c r="AW186" s="305"/>
      <c r="AX186" s="305"/>
      <c r="AY186" s="306"/>
    </row>
    <row r="187" spans="1:51" ht="20.100000000000001" hidden="1" customHeight="1">
      <c r="A187" s="309">
        <v>24</v>
      </c>
      <c r="B187" s="302"/>
      <c r="C187" s="302"/>
      <c r="D187" s="302"/>
      <c r="E187" s="302"/>
      <c r="F187" s="302"/>
      <c r="G187" s="124"/>
      <c r="H187" s="302"/>
      <c r="I187" s="302"/>
      <c r="J187" s="302"/>
      <c r="K187" s="302"/>
      <c r="L187" s="302"/>
      <c r="M187" s="125"/>
      <c r="N187" s="302"/>
      <c r="O187" s="302"/>
      <c r="P187" s="302"/>
      <c r="Q187" s="302"/>
      <c r="R187" s="302"/>
      <c r="S187" s="302"/>
      <c r="T187" s="302"/>
      <c r="U187" s="302"/>
      <c r="V187" s="302"/>
      <c r="W187" s="302"/>
      <c r="X187" s="302"/>
      <c r="Y187" s="302"/>
      <c r="Z187" s="302"/>
      <c r="AA187" s="302"/>
      <c r="AB187" s="125"/>
      <c r="AC187" s="302" t="str">
        <f>IFERROR(VLOOKUP($N187,Charms!B:S,10,FALSE),"")</f>
        <v/>
      </c>
      <c r="AD187" s="302"/>
      <c r="AE187" s="302"/>
      <c r="AF187" s="302"/>
      <c r="AG187" s="302"/>
      <c r="AH187" s="125"/>
      <c r="AI187" s="302" t="str">
        <f>IFERROR(VLOOKUP($N187,Charms!B:S,12,FALSE),"")</f>
        <v/>
      </c>
      <c r="AJ187" s="302"/>
      <c r="AK187" s="302"/>
      <c r="AL187" s="302"/>
      <c r="AM187" s="125"/>
      <c r="AN187" s="302" t="str">
        <f>IFERROR(VLOOKUP($N187,Charms!B:S,4,FALSE),"")</f>
        <v/>
      </c>
      <c r="AO187" s="302"/>
      <c r="AP187" s="302"/>
      <c r="AQ187" s="302"/>
      <c r="AR187" s="302"/>
      <c r="AS187" s="125"/>
      <c r="AT187" s="302" t="str">
        <f>IFERROR(IF(VLOOKUP($N187,Charms!B:S,2,FALSE)="","Main",VLOOKUP($N187,Charms!B:S,2,FALSE)),"")</f>
        <v/>
      </c>
      <c r="AU187" s="302"/>
      <c r="AV187" s="125"/>
      <c r="AW187" s="302" t="str">
        <f>IFERROR(VLOOKUP($N187,Charms!B:S,3,FALSE),"")</f>
        <v/>
      </c>
      <c r="AX187" s="302"/>
      <c r="AY187" s="307"/>
    </row>
    <row r="188" spans="1:51" ht="20.100000000000001" hidden="1" customHeight="1">
      <c r="A188" s="310"/>
      <c r="B188" s="303" t="str">
        <f>IFERROR(VLOOKUP($N187,Charms!B:S,14,FALSE),"")</f>
        <v/>
      </c>
      <c r="C188" s="303"/>
      <c r="D188" s="303"/>
      <c r="E188" s="303"/>
      <c r="F188" s="303"/>
      <c r="G188" s="303"/>
      <c r="H188" s="303"/>
      <c r="I188" s="303"/>
      <c r="J188" s="303"/>
      <c r="K188" s="303"/>
      <c r="L188" s="303"/>
      <c r="M188" s="303"/>
      <c r="N188" s="303"/>
      <c r="O188" s="303"/>
      <c r="P188" s="303"/>
      <c r="Q188" s="303"/>
      <c r="R188" s="303"/>
      <c r="S188" s="303"/>
      <c r="T188" s="303"/>
      <c r="U188" s="303"/>
      <c r="V188" s="303"/>
      <c r="W188" s="303"/>
      <c r="X188" s="303"/>
      <c r="Y188" s="303"/>
      <c r="Z188" s="303"/>
      <c r="AA188" s="303"/>
      <c r="AB188" s="303"/>
      <c r="AC188" s="303"/>
      <c r="AD188" s="303"/>
      <c r="AE188" s="303"/>
      <c r="AF188" s="303"/>
      <c r="AG188" s="303"/>
      <c r="AH188" s="303"/>
      <c r="AI188" s="303"/>
      <c r="AJ188" s="303"/>
      <c r="AK188" s="303"/>
      <c r="AL188" s="303"/>
      <c r="AM188" s="303"/>
      <c r="AN188" s="303"/>
      <c r="AO188" s="303"/>
      <c r="AP188" s="303"/>
      <c r="AQ188" s="303"/>
      <c r="AR188" s="303"/>
      <c r="AS188" s="303"/>
      <c r="AT188" s="303"/>
      <c r="AU188" s="303"/>
      <c r="AV188" s="303"/>
      <c r="AW188" s="303"/>
      <c r="AX188" s="303"/>
      <c r="AY188" s="304"/>
    </row>
    <row r="189" spans="1:51" ht="20.100000000000001" hidden="1" customHeight="1">
      <c r="A189" s="311"/>
      <c r="B189" s="305"/>
      <c r="C189" s="305"/>
      <c r="D189" s="305"/>
      <c r="E189" s="305"/>
      <c r="F189" s="305"/>
      <c r="G189" s="305"/>
      <c r="H189" s="305"/>
      <c r="I189" s="305"/>
      <c r="J189" s="305"/>
      <c r="K189" s="305"/>
      <c r="L189" s="305"/>
      <c r="M189" s="305"/>
      <c r="N189" s="305"/>
      <c r="O189" s="305"/>
      <c r="P189" s="305"/>
      <c r="Q189" s="305"/>
      <c r="R189" s="305"/>
      <c r="S189" s="305"/>
      <c r="T189" s="305"/>
      <c r="U189" s="305"/>
      <c r="V189" s="305"/>
      <c r="W189" s="305"/>
      <c r="X189" s="305"/>
      <c r="Y189" s="305"/>
      <c r="Z189" s="305"/>
      <c r="AA189" s="305"/>
      <c r="AB189" s="305"/>
      <c r="AC189" s="305"/>
      <c r="AD189" s="305"/>
      <c r="AE189" s="305"/>
      <c r="AF189" s="305"/>
      <c r="AG189" s="305"/>
      <c r="AH189" s="305"/>
      <c r="AI189" s="305"/>
      <c r="AJ189" s="305"/>
      <c r="AK189" s="305"/>
      <c r="AL189" s="305"/>
      <c r="AM189" s="305"/>
      <c r="AN189" s="305"/>
      <c r="AO189" s="305"/>
      <c r="AP189" s="305"/>
      <c r="AQ189" s="305"/>
      <c r="AR189" s="305"/>
      <c r="AS189" s="305"/>
      <c r="AT189" s="305"/>
      <c r="AU189" s="305"/>
      <c r="AV189" s="305"/>
      <c r="AW189" s="305"/>
      <c r="AX189" s="305"/>
      <c r="AY189" s="306"/>
    </row>
    <row r="190" spans="1:51" ht="20.100000000000001" hidden="1" customHeight="1">
      <c r="A190" s="309">
        <v>25</v>
      </c>
      <c r="B190" s="302"/>
      <c r="C190" s="302"/>
      <c r="D190" s="302"/>
      <c r="E190" s="302"/>
      <c r="F190" s="302"/>
      <c r="G190" s="124"/>
      <c r="H190" s="302"/>
      <c r="I190" s="302"/>
      <c r="J190" s="302"/>
      <c r="K190" s="302"/>
      <c r="L190" s="302"/>
      <c r="M190" s="125"/>
      <c r="N190" s="302"/>
      <c r="O190" s="302"/>
      <c r="P190" s="302"/>
      <c r="Q190" s="302"/>
      <c r="R190" s="302"/>
      <c r="S190" s="302"/>
      <c r="T190" s="302"/>
      <c r="U190" s="302"/>
      <c r="V190" s="302"/>
      <c r="W190" s="302"/>
      <c r="X190" s="302"/>
      <c r="Y190" s="302"/>
      <c r="Z190" s="302"/>
      <c r="AA190" s="302"/>
      <c r="AB190" s="125"/>
      <c r="AC190" s="302" t="str">
        <f>IFERROR(VLOOKUP($N190,Charms!B:S,10,FALSE),"")</f>
        <v/>
      </c>
      <c r="AD190" s="302"/>
      <c r="AE190" s="302"/>
      <c r="AF190" s="302"/>
      <c r="AG190" s="302"/>
      <c r="AH190" s="125"/>
      <c r="AI190" s="302" t="str">
        <f>IFERROR(VLOOKUP($N190,Charms!B:S,12,FALSE),"")</f>
        <v/>
      </c>
      <c r="AJ190" s="302"/>
      <c r="AK190" s="302"/>
      <c r="AL190" s="302"/>
      <c r="AM190" s="125"/>
      <c r="AN190" s="302" t="str">
        <f>IFERROR(VLOOKUP($N190,Charms!B:S,4,FALSE),"")</f>
        <v/>
      </c>
      <c r="AO190" s="302"/>
      <c r="AP190" s="302"/>
      <c r="AQ190" s="302"/>
      <c r="AR190" s="302"/>
      <c r="AS190" s="125"/>
      <c r="AT190" s="302" t="str">
        <f>IFERROR(IF(VLOOKUP($N190,Charms!B:S,2,FALSE)="","Main",VLOOKUP($N190,Charms!B:S,2,FALSE)),"")</f>
        <v/>
      </c>
      <c r="AU190" s="302"/>
      <c r="AV190" s="125"/>
      <c r="AW190" s="302" t="str">
        <f>IFERROR(VLOOKUP($N190,Charms!B:S,3,FALSE),"")</f>
        <v/>
      </c>
      <c r="AX190" s="302"/>
      <c r="AY190" s="307"/>
    </row>
    <row r="191" spans="1:51" ht="20.100000000000001" hidden="1" customHeight="1">
      <c r="A191" s="310"/>
      <c r="B191" s="303" t="str">
        <f>IFERROR(VLOOKUP($N190,Charms!B:S,14,FALSE),"")</f>
        <v/>
      </c>
      <c r="C191" s="303"/>
      <c r="D191" s="303"/>
      <c r="E191" s="303"/>
      <c r="F191" s="303"/>
      <c r="G191" s="303"/>
      <c r="H191" s="303"/>
      <c r="I191" s="303"/>
      <c r="J191" s="303"/>
      <c r="K191" s="303"/>
      <c r="L191" s="303"/>
      <c r="M191" s="303"/>
      <c r="N191" s="303"/>
      <c r="O191" s="303"/>
      <c r="P191" s="303"/>
      <c r="Q191" s="303"/>
      <c r="R191" s="303"/>
      <c r="S191" s="303"/>
      <c r="T191" s="303"/>
      <c r="U191" s="303"/>
      <c r="V191" s="303"/>
      <c r="W191" s="303"/>
      <c r="X191" s="303"/>
      <c r="Y191" s="303"/>
      <c r="Z191" s="303"/>
      <c r="AA191" s="303"/>
      <c r="AB191" s="303"/>
      <c r="AC191" s="303"/>
      <c r="AD191" s="303"/>
      <c r="AE191" s="303"/>
      <c r="AF191" s="303"/>
      <c r="AG191" s="303"/>
      <c r="AH191" s="303"/>
      <c r="AI191" s="303"/>
      <c r="AJ191" s="303"/>
      <c r="AK191" s="303"/>
      <c r="AL191" s="303"/>
      <c r="AM191" s="303"/>
      <c r="AN191" s="303"/>
      <c r="AO191" s="303"/>
      <c r="AP191" s="303"/>
      <c r="AQ191" s="303"/>
      <c r="AR191" s="303"/>
      <c r="AS191" s="303"/>
      <c r="AT191" s="303"/>
      <c r="AU191" s="303"/>
      <c r="AV191" s="303"/>
      <c r="AW191" s="303"/>
      <c r="AX191" s="303"/>
      <c r="AY191" s="304"/>
    </row>
    <row r="192" spans="1:51" ht="20.100000000000001" hidden="1" customHeight="1">
      <c r="A192" s="311"/>
      <c r="B192" s="305"/>
      <c r="C192" s="305"/>
      <c r="D192" s="305"/>
      <c r="E192" s="305"/>
      <c r="F192" s="305"/>
      <c r="G192" s="305"/>
      <c r="H192" s="305"/>
      <c r="I192" s="305"/>
      <c r="J192" s="305"/>
      <c r="K192" s="305"/>
      <c r="L192" s="305"/>
      <c r="M192" s="305"/>
      <c r="N192" s="305"/>
      <c r="O192" s="305"/>
      <c r="P192" s="305"/>
      <c r="Q192" s="305"/>
      <c r="R192" s="305"/>
      <c r="S192" s="305"/>
      <c r="T192" s="305"/>
      <c r="U192" s="305"/>
      <c r="V192" s="305"/>
      <c r="W192" s="305"/>
      <c r="X192" s="305"/>
      <c r="Y192" s="305"/>
      <c r="Z192" s="305"/>
      <c r="AA192" s="305"/>
      <c r="AB192" s="305"/>
      <c r="AC192" s="305"/>
      <c r="AD192" s="305"/>
      <c r="AE192" s="305"/>
      <c r="AF192" s="305"/>
      <c r="AG192" s="305"/>
      <c r="AH192" s="305"/>
      <c r="AI192" s="305"/>
      <c r="AJ192" s="305"/>
      <c r="AK192" s="305"/>
      <c r="AL192" s="305"/>
      <c r="AM192" s="305"/>
      <c r="AN192" s="305"/>
      <c r="AO192" s="305"/>
      <c r="AP192" s="305"/>
      <c r="AQ192" s="305"/>
      <c r="AR192" s="305"/>
      <c r="AS192" s="305"/>
      <c r="AT192" s="305"/>
      <c r="AU192" s="305"/>
      <c r="AV192" s="305"/>
      <c r="AW192" s="305"/>
      <c r="AX192" s="305"/>
      <c r="AY192" s="306"/>
    </row>
    <row r="193" spans="1:51" ht="20.100000000000001" hidden="1" customHeight="1">
      <c r="A193" s="309">
        <v>26</v>
      </c>
      <c r="B193" s="302"/>
      <c r="C193" s="302"/>
      <c r="D193" s="302"/>
      <c r="E193" s="302"/>
      <c r="F193" s="302"/>
      <c r="G193" s="124"/>
      <c r="H193" s="302"/>
      <c r="I193" s="302"/>
      <c r="J193" s="302"/>
      <c r="K193" s="302"/>
      <c r="L193" s="302"/>
      <c r="M193" s="125"/>
      <c r="N193" s="302"/>
      <c r="O193" s="302"/>
      <c r="P193" s="302"/>
      <c r="Q193" s="302"/>
      <c r="R193" s="302"/>
      <c r="S193" s="302"/>
      <c r="T193" s="302"/>
      <c r="U193" s="302"/>
      <c r="V193" s="302"/>
      <c r="W193" s="302"/>
      <c r="X193" s="302"/>
      <c r="Y193" s="302"/>
      <c r="Z193" s="302"/>
      <c r="AA193" s="302"/>
      <c r="AB193" s="125"/>
      <c r="AC193" s="302" t="str">
        <f>IFERROR(VLOOKUP($N193,Charms!B:S,10,FALSE),"")</f>
        <v/>
      </c>
      <c r="AD193" s="302"/>
      <c r="AE193" s="302"/>
      <c r="AF193" s="302"/>
      <c r="AG193" s="302"/>
      <c r="AH193" s="125"/>
      <c r="AI193" s="302" t="str">
        <f>IFERROR(VLOOKUP($N193,Charms!B:S,12,FALSE),"")</f>
        <v/>
      </c>
      <c r="AJ193" s="302"/>
      <c r="AK193" s="302"/>
      <c r="AL193" s="302"/>
      <c r="AM193" s="125"/>
      <c r="AN193" s="302" t="str">
        <f>IFERROR(VLOOKUP($N193,Charms!B:S,4,FALSE),"")</f>
        <v/>
      </c>
      <c r="AO193" s="302"/>
      <c r="AP193" s="302"/>
      <c r="AQ193" s="302"/>
      <c r="AR193" s="302"/>
      <c r="AS193" s="125"/>
      <c r="AT193" s="302" t="str">
        <f>IFERROR(IF(VLOOKUP($N193,Charms!B:S,2,FALSE)="","Main",VLOOKUP($N193,Charms!B:S,2,FALSE)),"")</f>
        <v/>
      </c>
      <c r="AU193" s="302"/>
      <c r="AV193" s="125"/>
      <c r="AW193" s="302" t="str">
        <f>IFERROR(VLOOKUP($N193,Charms!B:S,3,FALSE),"")</f>
        <v/>
      </c>
      <c r="AX193" s="302"/>
      <c r="AY193" s="307"/>
    </row>
    <row r="194" spans="1:51" ht="20.100000000000001" hidden="1" customHeight="1">
      <c r="A194" s="310"/>
      <c r="B194" s="303" t="str">
        <f>IFERROR(VLOOKUP($N193,Charms!B:S,14,FALSE),"")</f>
        <v/>
      </c>
      <c r="C194" s="303"/>
      <c r="D194" s="303"/>
      <c r="E194" s="303"/>
      <c r="F194" s="303"/>
      <c r="G194" s="303"/>
      <c r="H194" s="303"/>
      <c r="I194" s="303"/>
      <c r="J194" s="303"/>
      <c r="K194" s="303"/>
      <c r="L194" s="303"/>
      <c r="M194" s="303"/>
      <c r="N194" s="303"/>
      <c r="O194" s="303"/>
      <c r="P194" s="303"/>
      <c r="Q194" s="303"/>
      <c r="R194" s="303"/>
      <c r="S194" s="303"/>
      <c r="T194" s="303"/>
      <c r="U194" s="303"/>
      <c r="V194" s="303"/>
      <c r="W194" s="303"/>
      <c r="X194" s="303"/>
      <c r="Y194" s="303"/>
      <c r="Z194" s="303"/>
      <c r="AA194" s="303"/>
      <c r="AB194" s="303"/>
      <c r="AC194" s="303"/>
      <c r="AD194" s="303"/>
      <c r="AE194" s="303"/>
      <c r="AF194" s="303"/>
      <c r="AG194" s="303"/>
      <c r="AH194" s="303"/>
      <c r="AI194" s="303"/>
      <c r="AJ194" s="303"/>
      <c r="AK194" s="303"/>
      <c r="AL194" s="303"/>
      <c r="AM194" s="303"/>
      <c r="AN194" s="303"/>
      <c r="AO194" s="303"/>
      <c r="AP194" s="303"/>
      <c r="AQ194" s="303"/>
      <c r="AR194" s="303"/>
      <c r="AS194" s="303"/>
      <c r="AT194" s="303"/>
      <c r="AU194" s="303"/>
      <c r="AV194" s="303"/>
      <c r="AW194" s="303"/>
      <c r="AX194" s="303"/>
      <c r="AY194" s="304"/>
    </row>
    <row r="195" spans="1:51" ht="20.100000000000001" hidden="1" customHeight="1">
      <c r="A195" s="311"/>
      <c r="B195" s="305"/>
      <c r="C195" s="305"/>
      <c r="D195" s="305"/>
      <c r="E195" s="305"/>
      <c r="F195" s="305"/>
      <c r="G195" s="305"/>
      <c r="H195" s="305"/>
      <c r="I195" s="305"/>
      <c r="J195" s="305"/>
      <c r="K195" s="305"/>
      <c r="L195" s="305"/>
      <c r="M195" s="305"/>
      <c r="N195" s="305"/>
      <c r="O195" s="305"/>
      <c r="P195" s="305"/>
      <c r="Q195" s="305"/>
      <c r="R195" s="305"/>
      <c r="S195" s="305"/>
      <c r="T195" s="305"/>
      <c r="U195" s="305"/>
      <c r="V195" s="305"/>
      <c r="W195" s="305"/>
      <c r="X195" s="305"/>
      <c r="Y195" s="305"/>
      <c r="Z195" s="305"/>
      <c r="AA195" s="305"/>
      <c r="AB195" s="305"/>
      <c r="AC195" s="305"/>
      <c r="AD195" s="305"/>
      <c r="AE195" s="305"/>
      <c r="AF195" s="305"/>
      <c r="AG195" s="305"/>
      <c r="AH195" s="305"/>
      <c r="AI195" s="305"/>
      <c r="AJ195" s="305"/>
      <c r="AK195" s="305"/>
      <c r="AL195" s="305"/>
      <c r="AM195" s="305"/>
      <c r="AN195" s="305"/>
      <c r="AO195" s="305"/>
      <c r="AP195" s="305"/>
      <c r="AQ195" s="305"/>
      <c r="AR195" s="305"/>
      <c r="AS195" s="305"/>
      <c r="AT195" s="305"/>
      <c r="AU195" s="305"/>
      <c r="AV195" s="305"/>
      <c r="AW195" s="305"/>
      <c r="AX195" s="305"/>
      <c r="AY195" s="306"/>
    </row>
    <row r="196" spans="1:51" ht="20.100000000000001" hidden="1" customHeight="1">
      <c r="A196" s="309">
        <v>27</v>
      </c>
      <c r="B196" s="302"/>
      <c r="C196" s="302"/>
      <c r="D196" s="302"/>
      <c r="E196" s="302"/>
      <c r="F196" s="302"/>
      <c r="G196" s="124"/>
      <c r="H196" s="302"/>
      <c r="I196" s="302"/>
      <c r="J196" s="302"/>
      <c r="K196" s="302"/>
      <c r="L196" s="302"/>
      <c r="M196" s="125"/>
      <c r="N196" s="302"/>
      <c r="O196" s="302"/>
      <c r="P196" s="302"/>
      <c r="Q196" s="302"/>
      <c r="R196" s="302"/>
      <c r="S196" s="302"/>
      <c r="T196" s="302"/>
      <c r="U196" s="302"/>
      <c r="V196" s="302"/>
      <c r="W196" s="302"/>
      <c r="X196" s="302"/>
      <c r="Y196" s="302"/>
      <c r="Z196" s="302"/>
      <c r="AA196" s="302"/>
      <c r="AB196" s="125"/>
      <c r="AC196" s="302" t="str">
        <f>IFERROR(VLOOKUP($N196,Charms!B:S,10,FALSE),"")</f>
        <v/>
      </c>
      <c r="AD196" s="302"/>
      <c r="AE196" s="302"/>
      <c r="AF196" s="302"/>
      <c r="AG196" s="302"/>
      <c r="AH196" s="125"/>
      <c r="AI196" s="302" t="str">
        <f>IFERROR(VLOOKUP($N196,Charms!B:S,12,FALSE),"")</f>
        <v/>
      </c>
      <c r="AJ196" s="302"/>
      <c r="AK196" s="302"/>
      <c r="AL196" s="302"/>
      <c r="AM196" s="125"/>
      <c r="AN196" s="302" t="str">
        <f>IFERROR(VLOOKUP($N196,Charms!B:S,4,FALSE),"")</f>
        <v/>
      </c>
      <c r="AO196" s="302"/>
      <c r="AP196" s="302"/>
      <c r="AQ196" s="302"/>
      <c r="AR196" s="302"/>
      <c r="AS196" s="125"/>
      <c r="AT196" s="302" t="str">
        <f>IFERROR(IF(VLOOKUP($N196,Charms!B:S,2,FALSE)="","Main",VLOOKUP($N196,Charms!B:S,2,FALSE)),"")</f>
        <v/>
      </c>
      <c r="AU196" s="302"/>
      <c r="AV196" s="125"/>
      <c r="AW196" s="302" t="str">
        <f>IFERROR(VLOOKUP($N196,Charms!B:S,3,FALSE),"")</f>
        <v/>
      </c>
      <c r="AX196" s="302"/>
      <c r="AY196" s="307"/>
    </row>
    <row r="197" spans="1:51" ht="20.100000000000001" hidden="1" customHeight="1">
      <c r="A197" s="310"/>
      <c r="B197" s="303" t="str">
        <f>IFERROR(VLOOKUP($N196,Charms!B:S,14,FALSE),"")</f>
        <v/>
      </c>
      <c r="C197" s="303"/>
      <c r="D197" s="303"/>
      <c r="E197" s="303"/>
      <c r="F197" s="303"/>
      <c r="G197" s="303"/>
      <c r="H197" s="303"/>
      <c r="I197" s="303"/>
      <c r="J197" s="303"/>
      <c r="K197" s="303"/>
      <c r="L197" s="303"/>
      <c r="M197" s="303"/>
      <c r="N197" s="303"/>
      <c r="O197" s="303"/>
      <c r="P197" s="303"/>
      <c r="Q197" s="303"/>
      <c r="R197" s="303"/>
      <c r="S197" s="303"/>
      <c r="T197" s="303"/>
      <c r="U197" s="303"/>
      <c r="V197" s="303"/>
      <c r="W197" s="303"/>
      <c r="X197" s="303"/>
      <c r="Y197" s="303"/>
      <c r="Z197" s="303"/>
      <c r="AA197" s="303"/>
      <c r="AB197" s="303"/>
      <c r="AC197" s="303"/>
      <c r="AD197" s="303"/>
      <c r="AE197" s="303"/>
      <c r="AF197" s="303"/>
      <c r="AG197" s="303"/>
      <c r="AH197" s="303"/>
      <c r="AI197" s="303"/>
      <c r="AJ197" s="303"/>
      <c r="AK197" s="303"/>
      <c r="AL197" s="303"/>
      <c r="AM197" s="303"/>
      <c r="AN197" s="303"/>
      <c r="AO197" s="303"/>
      <c r="AP197" s="303"/>
      <c r="AQ197" s="303"/>
      <c r="AR197" s="303"/>
      <c r="AS197" s="303"/>
      <c r="AT197" s="303"/>
      <c r="AU197" s="303"/>
      <c r="AV197" s="303"/>
      <c r="AW197" s="303"/>
      <c r="AX197" s="303"/>
      <c r="AY197" s="304"/>
    </row>
    <row r="198" spans="1:51" ht="20.100000000000001" hidden="1" customHeight="1">
      <c r="A198" s="311"/>
      <c r="B198" s="305"/>
      <c r="C198" s="305"/>
      <c r="D198" s="305"/>
      <c r="E198" s="305"/>
      <c r="F198" s="305"/>
      <c r="G198" s="305"/>
      <c r="H198" s="305"/>
      <c r="I198" s="305"/>
      <c r="J198" s="305"/>
      <c r="K198" s="305"/>
      <c r="L198" s="305"/>
      <c r="M198" s="305"/>
      <c r="N198" s="305"/>
      <c r="O198" s="305"/>
      <c r="P198" s="305"/>
      <c r="Q198" s="305"/>
      <c r="R198" s="305"/>
      <c r="S198" s="305"/>
      <c r="T198" s="305"/>
      <c r="U198" s="305"/>
      <c r="V198" s="305"/>
      <c r="W198" s="305"/>
      <c r="X198" s="305"/>
      <c r="Y198" s="305"/>
      <c r="Z198" s="305"/>
      <c r="AA198" s="305"/>
      <c r="AB198" s="305"/>
      <c r="AC198" s="305"/>
      <c r="AD198" s="305"/>
      <c r="AE198" s="305"/>
      <c r="AF198" s="305"/>
      <c r="AG198" s="305"/>
      <c r="AH198" s="305"/>
      <c r="AI198" s="305"/>
      <c r="AJ198" s="305"/>
      <c r="AK198" s="305"/>
      <c r="AL198" s="305"/>
      <c r="AM198" s="305"/>
      <c r="AN198" s="305"/>
      <c r="AO198" s="305"/>
      <c r="AP198" s="305"/>
      <c r="AQ198" s="305"/>
      <c r="AR198" s="305"/>
      <c r="AS198" s="305"/>
      <c r="AT198" s="305"/>
      <c r="AU198" s="305"/>
      <c r="AV198" s="305"/>
      <c r="AW198" s="305"/>
      <c r="AX198" s="305"/>
      <c r="AY198" s="306"/>
    </row>
    <row r="199" spans="1:51" ht="20.100000000000001" hidden="1" customHeight="1">
      <c r="A199" s="309">
        <v>28</v>
      </c>
      <c r="B199" s="302"/>
      <c r="C199" s="302"/>
      <c r="D199" s="302"/>
      <c r="E199" s="302"/>
      <c r="F199" s="302"/>
      <c r="G199" s="124"/>
      <c r="H199" s="302"/>
      <c r="I199" s="302"/>
      <c r="J199" s="302"/>
      <c r="K199" s="302"/>
      <c r="L199" s="302"/>
      <c r="M199" s="125"/>
      <c r="N199" s="302"/>
      <c r="O199" s="302"/>
      <c r="P199" s="302"/>
      <c r="Q199" s="302"/>
      <c r="R199" s="302"/>
      <c r="S199" s="302"/>
      <c r="T199" s="302"/>
      <c r="U199" s="302"/>
      <c r="V199" s="302"/>
      <c r="W199" s="302"/>
      <c r="X199" s="302"/>
      <c r="Y199" s="302"/>
      <c r="Z199" s="302"/>
      <c r="AA199" s="302"/>
      <c r="AB199" s="125"/>
      <c r="AC199" s="302" t="str">
        <f>IFERROR(VLOOKUP($N199,Charms!B:S,10,FALSE),"")</f>
        <v/>
      </c>
      <c r="AD199" s="302"/>
      <c r="AE199" s="302"/>
      <c r="AF199" s="302"/>
      <c r="AG199" s="302"/>
      <c r="AH199" s="125"/>
      <c r="AI199" s="302" t="str">
        <f>IFERROR(VLOOKUP($N199,Charms!B:S,12,FALSE),"")</f>
        <v/>
      </c>
      <c r="AJ199" s="302"/>
      <c r="AK199" s="302"/>
      <c r="AL199" s="302"/>
      <c r="AM199" s="125"/>
      <c r="AN199" s="302" t="str">
        <f>IFERROR(VLOOKUP($N199,Charms!B:S,4,FALSE),"")</f>
        <v/>
      </c>
      <c r="AO199" s="302"/>
      <c r="AP199" s="302"/>
      <c r="AQ199" s="302"/>
      <c r="AR199" s="302"/>
      <c r="AS199" s="125"/>
      <c r="AT199" s="302" t="str">
        <f>IFERROR(IF(VLOOKUP($N199,Charms!B:S,2,FALSE)="","Main",VLOOKUP($N199,Charms!B:S,2,FALSE)),"")</f>
        <v/>
      </c>
      <c r="AU199" s="302"/>
      <c r="AV199" s="125"/>
      <c r="AW199" s="302" t="str">
        <f>IFERROR(VLOOKUP($N199,Charms!B:S,3,FALSE),"")</f>
        <v/>
      </c>
      <c r="AX199" s="302"/>
      <c r="AY199" s="307"/>
    </row>
    <row r="200" spans="1:51" ht="20.100000000000001" hidden="1" customHeight="1">
      <c r="A200" s="310"/>
      <c r="B200" s="303" t="str">
        <f>IFERROR(VLOOKUP($N199,Charms!B:S,14,FALSE),"")</f>
        <v/>
      </c>
      <c r="C200" s="303"/>
      <c r="D200" s="303"/>
      <c r="E200" s="303"/>
      <c r="F200" s="303"/>
      <c r="G200" s="303"/>
      <c r="H200" s="303"/>
      <c r="I200" s="303"/>
      <c r="J200" s="303"/>
      <c r="K200" s="303"/>
      <c r="L200" s="303"/>
      <c r="M200" s="303"/>
      <c r="N200" s="303"/>
      <c r="O200" s="303"/>
      <c r="P200" s="303"/>
      <c r="Q200" s="303"/>
      <c r="R200" s="303"/>
      <c r="S200" s="303"/>
      <c r="T200" s="303"/>
      <c r="U200" s="303"/>
      <c r="V200" s="303"/>
      <c r="W200" s="303"/>
      <c r="X200" s="303"/>
      <c r="Y200" s="303"/>
      <c r="Z200" s="303"/>
      <c r="AA200" s="303"/>
      <c r="AB200" s="303"/>
      <c r="AC200" s="303"/>
      <c r="AD200" s="303"/>
      <c r="AE200" s="303"/>
      <c r="AF200" s="303"/>
      <c r="AG200" s="303"/>
      <c r="AH200" s="303"/>
      <c r="AI200" s="303"/>
      <c r="AJ200" s="303"/>
      <c r="AK200" s="303"/>
      <c r="AL200" s="303"/>
      <c r="AM200" s="303"/>
      <c r="AN200" s="303"/>
      <c r="AO200" s="303"/>
      <c r="AP200" s="303"/>
      <c r="AQ200" s="303"/>
      <c r="AR200" s="303"/>
      <c r="AS200" s="303"/>
      <c r="AT200" s="303"/>
      <c r="AU200" s="303"/>
      <c r="AV200" s="303"/>
      <c r="AW200" s="303"/>
      <c r="AX200" s="303"/>
      <c r="AY200" s="304"/>
    </row>
    <row r="201" spans="1:51" ht="20.100000000000001" hidden="1" customHeight="1">
      <c r="A201" s="311"/>
      <c r="B201" s="305"/>
      <c r="C201" s="305"/>
      <c r="D201" s="305"/>
      <c r="E201" s="305"/>
      <c r="F201" s="305"/>
      <c r="G201" s="305"/>
      <c r="H201" s="305"/>
      <c r="I201" s="305"/>
      <c r="J201" s="305"/>
      <c r="K201" s="305"/>
      <c r="L201" s="305"/>
      <c r="M201" s="305"/>
      <c r="N201" s="305"/>
      <c r="O201" s="305"/>
      <c r="P201" s="305"/>
      <c r="Q201" s="305"/>
      <c r="R201" s="305"/>
      <c r="S201" s="305"/>
      <c r="T201" s="305"/>
      <c r="U201" s="305"/>
      <c r="V201" s="305"/>
      <c r="W201" s="305"/>
      <c r="X201" s="305"/>
      <c r="Y201" s="305"/>
      <c r="Z201" s="305"/>
      <c r="AA201" s="305"/>
      <c r="AB201" s="305"/>
      <c r="AC201" s="305"/>
      <c r="AD201" s="305"/>
      <c r="AE201" s="305"/>
      <c r="AF201" s="305"/>
      <c r="AG201" s="305"/>
      <c r="AH201" s="305"/>
      <c r="AI201" s="305"/>
      <c r="AJ201" s="305"/>
      <c r="AK201" s="305"/>
      <c r="AL201" s="305"/>
      <c r="AM201" s="305"/>
      <c r="AN201" s="305"/>
      <c r="AO201" s="305"/>
      <c r="AP201" s="305"/>
      <c r="AQ201" s="305"/>
      <c r="AR201" s="305"/>
      <c r="AS201" s="305"/>
      <c r="AT201" s="305"/>
      <c r="AU201" s="305"/>
      <c r="AV201" s="305"/>
      <c r="AW201" s="305"/>
      <c r="AX201" s="305"/>
      <c r="AY201" s="306"/>
    </row>
    <row r="202" spans="1:51" ht="20.100000000000001" hidden="1" customHeight="1">
      <c r="A202" s="309">
        <v>29</v>
      </c>
      <c r="B202" s="302"/>
      <c r="C202" s="302"/>
      <c r="D202" s="302"/>
      <c r="E202" s="302"/>
      <c r="F202" s="302"/>
      <c r="G202" s="124"/>
      <c r="H202" s="302"/>
      <c r="I202" s="302"/>
      <c r="J202" s="302"/>
      <c r="K202" s="302"/>
      <c r="L202" s="302"/>
      <c r="M202" s="125"/>
      <c r="N202" s="302"/>
      <c r="O202" s="302"/>
      <c r="P202" s="302"/>
      <c r="Q202" s="302"/>
      <c r="R202" s="302"/>
      <c r="S202" s="302"/>
      <c r="T202" s="302"/>
      <c r="U202" s="302"/>
      <c r="V202" s="302"/>
      <c r="W202" s="302"/>
      <c r="X202" s="302"/>
      <c r="Y202" s="302"/>
      <c r="Z202" s="302"/>
      <c r="AA202" s="302"/>
      <c r="AB202" s="125"/>
      <c r="AC202" s="302" t="str">
        <f>IFERROR(VLOOKUP($N202,Charms!B:S,10,FALSE),"")</f>
        <v/>
      </c>
      <c r="AD202" s="302"/>
      <c r="AE202" s="302"/>
      <c r="AF202" s="302"/>
      <c r="AG202" s="302"/>
      <c r="AH202" s="125"/>
      <c r="AI202" s="302" t="str">
        <f>IFERROR(VLOOKUP($N202,Charms!B:S,12,FALSE),"")</f>
        <v/>
      </c>
      <c r="AJ202" s="302"/>
      <c r="AK202" s="302"/>
      <c r="AL202" s="302"/>
      <c r="AM202" s="125"/>
      <c r="AN202" s="302" t="str">
        <f>IFERROR(VLOOKUP($N202,Charms!B:S,4,FALSE),"")</f>
        <v/>
      </c>
      <c r="AO202" s="302"/>
      <c r="AP202" s="302"/>
      <c r="AQ202" s="302"/>
      <c r="AR202" s="302"/>
      <c r="AS202" s="125"/>
      <c r="AT202" s="302" t="str">
        <f>IFERROR(IF(VLOOKUP($N202,Charms!B:S,2,FALSE)="","Main",VLOOKUP($N202,Charms!B:S,2,FALSE)),"")</f>
        <v/>
      </c>
      <c r="AU202" s="302"/>
      <c r="AV202" s="125"/>
      <c r="AW202" s="302" t="str">
        <f>IFERROR(VLOOKUP($N202,Charms!B:S,3,FALSE),"")</f>
        <v/>
      </c>
      <c r="AX202" s="302"/>
      <c r="AY202" s="307"/>
    </row>
    <row r="203" spans="1:51" ht="20.100000000000001" hidden="1" customHeight="1">
      <c r="A203" s="310"/>
      <c r="B203" s="303" t="str">
        <f>IFERROR(VLOOKUP($N202,Charms!B:S,14,FALSE),"")</f>
        <v/>
      </c>
      <c r="C203" s="303"/>
      <c r="D203" s="303"/>
      <c r="E203" s="303"/>
      <c r="F203" s="303"/>
      <c r="G203" s="303"/>
      <c r="H203" s="303"/>
      <c r="I203" s="303"/>
      <c r="J203" s="303"/>
      <c r="K203" s="303"/>
      <c r="L203" s="303"/>
      <c r="M203" s="303"/>
      <c r="N203" s="303"/>
      <c r="O203" s="303"/>
      <c r="P203" s="303"/>
      <c r="Q203" s="303"/>
      <c r="R203" s="303"/>
      <c r="S203" s="303"/>
      <c r="T203" s="303"/>
      <c r="U203" s="303"/>
      <c r="V203" s="303"/>
      <c r="W203" s="303"/>
      <c r="X203" s="303"/>
      <c r="Y203" s="303"/>
      <c r="Z203" s="303"/>
      <c r="AA203" s="303"/>
      <c r="AB203" s="303"/>
      <c r="AC203" s="303"/>
      <c r="AD203" s="303"/>
      <c r="AE203" s="303"/>
      <c r="AF203" s="303"/>
      <c r="AG203" s="303"/>
      <c r="AH203" s="303"/>
      <c r="AI203" s="303"/>
      <c r="AJ203" s="303"/>
      <c r="AK203" s="303"/>
      <c r="AL203" s="303"/>
      <c r="AM203" s="303"/>
      <c r="AN203" s="303"/>
      <c r="AO203" s="303"/>
      <c r="AP203" s="303"/>
      <c r="AQ203" s="303"/>
      <c r="AR203" s="303"/>
      <c r="AS203" s="303"/>
      <c r="AT203" s="303"/>
      <c r="AU203" s="303"/>
      <c r="AV203" s="303"/>
      <c r="AW203" s="303"/>
      <c r="AX203" s="303"/>
      <c r="AY203" s="304"/>
    </row>
    <row r="204" spans="1:51" ht="20.100000000000001" hidden="1" customHeight="1">
      <c r="A204" s="311"/>
      <c r="B204" s="305"/>
      <c r="C204" s="305"/>
      <c r="D204" s="305"/>
      <c r="E204" s="305"/>
      <c r="F204" s="305"/>
      <c r="G204" s="305"/>
      <c r="H204" s="305"/>
      <c r="I204" s="305"/>
      <c r="J204" s="305"/>
      <c r="K204" s="305"/>
      <c r="L204" s="305"/>
      <c r="M204" s="305"/>
      <c r="N204" s="305"/>
      <c r="O204" s="305"/>
      <c r="P204" s="305"/>
      <c r="Q204" s="305"/>
      <c r="R204" s="305"/>
      <c r="S204" s="305"/>
      <c r="T204" s="305"/>
      <c r="U204" s="305"/>
      <c r="V204" s="305"/>
      <c r="W204" s="305"/>
      <c r="X204" s="305"/>
      <c r="Y204" s="305"/>
      <c r="Z204" s="305"/>
      <c r="AA204" s="305"/>
      <c r="AB204" s="305"/>
      <c r="AC204" s="305"/>
      <c r="AD204" s="305"/>
      <c r="AE204" s="305"/>
      <c r="AF204" s="305"/>
      <c r="AG204" s="305"/>
      <c r="AH204" s="305"/>
      <c r="AI204" s="305"/>
      <c r="AJ204" s="305"/>
      <c r="AK204" s="305"/>
      <c r="AL204" s="305"/>
      <c r="AM204" s="305"/>
      <c r="AN204" s="305"/>
      <c r="AO204" s="305"/>
      <c r="AP204" s="305"/>
      <c r="AQ204" s="305"/>
      <c r="AR204" s="305"/>
      <c r="AS204" s="305"/>
      <c r="AT204" s="305"/>
      <c r="AU204" s="305"/>
      <c r="AV204" s="305"/>
      <c r="AW204" s="305"/>
      <c r="AX204" s="305"/>
      <c r="AY204" s="306"/>
    </row>
    <row r="205" spans="1:51" ht="20.100000000000001" hidden="1" customHeight="1">
      <c r="A205" s="309">
        <v>30</v>
      </c>
      <c r="B205" s="302"/>
      <c r="C205" s="302"/>
      <c r="D205" s="302"/>
      <c r="E205" s="302"/>
      <c r="F205" s="302"/>
      <c r="G205" s="124"/>
      <c r="H205" s="302"/>
      <c r="I205" s="302"/>
      <c r="J205" s="302"/>
      <c r="K205" s="302"/>
      <c r="L205" s="302"/>
      <c r="M205" s="125"/>
      <c r="N205" s="302"/>
      <c r="O205" s="302"/>
      <c r="P205" s="302"/>
      <c r="Q205" s="302"/>
      <c r="R205" s="302"/>
      <c r="S205" s="302"/>
      <c r="T205" s="302"/>
      <c r="U205" s="302"/>
      <c r="V205" s="302"/>
      <c r="W205" s="302"/>
      <c r="X205" s="302"/>
      <c r="Y205" s="302"/>
      <c r="Z205" s="302"/>
      <c r="AA205" s="302"/>
      <c r="AB205" s="125"/>
      <c r="AC205" s="302" t="str">
        <f>IFERROR(VLOOKUP($N205,Charms!B:S,10,FALSE),"")</f>
        <v/>
      </c>
      <c r="AD205" s="302"/>
      <c r="AE205" s="302"/>
      <c r="AF205" s="302"/>
      <c r="AG205" s="302"/>
      <c r="AH205" s="125"/>
      <c r="AI205" s="302" t="str">
        <f>IFERROR(VLOOKUP($N205,Charms!B:S,12,FALSE),"")</f>
        <v/>
      </c>
      <c r="AJ205" s="302"/>
      <c r="AK205" s="302"/>
      <c r="AL205" s="302"/>
      <c r="AM205" s="125"/>
      <c r="AN205" s="302" t="str">
        <f>IFERROR(VLOOKUP($N205,Charms!B:S,4,FALSE),"")</f>
        <v/>
      </c>
      <c r="AO205" s="302"/>
      <c r="AP205" s="302"/>
      <c r="AQ205" s="302"/>
      <c r="AR205" s="302"/>
      <c r="AS205" s="125"/>
      <c r="AT205" s="302" t="str">
        <f>IFERROR(IF(VLOOKUP($N205,Charms!B:S,2,FALSE)="","Main",VLOOKUP($N205,Charms!B:S,2,FALSE)),"")</f>
        <v/>
      </c>
      <c r="AU205" s="302"/>
      <c r="AV205" s="125"/>
      <c r="AW205" s="302" t="str">
        <f>IFERROR(VLOOKUP($N205,Charms!B:S,3,FALSE),"")</f>
        <v/>
      </c>
      <c r="AX205" s="302"/>
      <c r="AY205" s="307"/>
    </row>
    <row r="206" spans="1:51" ht="20.100000000000001" hidden="1" customHeight="1">
      <c r="A206" s="310"/>
      <c r="B206" s="303" t="str">
        <f>IFERROR(VLOOKUP($N205,Charms!B:S,14,FALSE),"")</f>
        <v/>
      </c>
      <c r="C206" s="303"/>
      <c r="D206" s="303"/>
      <c r="E206" s="303"/>
      <c r="F206" s="303"/>
      <c r="G206" s="303"/>
      <c r="H206" s="303"/>
      <c r="I206" s="303"/>
      <c r="J206" s="303"/>
      <c r="K206" s="303"/>
      <c r="L206" s="303"/>
      <c r="M206" s="303"/>
      <c r="N206" s="303"/>
      <c r="O206" s="303"/>
      <c r="P206" s="303"/>
      <c r="Q206" s="303"/>
      <c r="R206" s="303"/>
      <c r="S206" s="303"/>
      <c r="T206" s="303"/>
      <c r="U206" s="303"/>
      <c r="V206" s="303"/>
      <c r="W206" s="303"/>
      <c r="X206" s="303"/>
      <c r="Y206" s="303"/>
      <c r="Z206" s="303"/>
      <c r="AA206" s="303"/>
      <c r="AB206" s="303"/>
      <c r="AC206" s="303"/>
      <c r="AD206" s="303"/>
      <c r="AE206" s="303"/>
      <c r="AF206" s="303"/>
      <c r="AG206" s="303"/>
      <c r="AH206" s="303"/>
      <c r="AI206" s="303"/>
      <c r="AJ206" s="303"/>
      <c r="AK206" s="303"/>
      <c r="AL206" s="303"/>
      <c r="AM206" s="303"/>
      <c r="AN206" s="303"/>
      <c r="AO206" s="303"/>
      <c r="AP206" s="303"/>
      <c r="AQ206" s="303"/>
      <c r="AR206" s="303"/>
      <c r="AS206" s="303"/>
      <c r="AT206" s="303"/>
      <c r="AU206" s="303"/>
      <c r="AV206" s="303"/>
      <c r="AW206" s="303"/>
      <c r="AX206" s="303"/>
      <c r="AY206" s="304"/>
    </row>
    <row r="207" spans="1:51" ht="20.100000000000001" hidden="1" customHeight="1">
      <c r="A207" s="311"/>
      <c r="B207" s="305"/>
      <c r="C207" s="305"/>
      <c r="D207" s="305"/>
      <c r="E207" s="305"/>
      <c r="F207" s="305"/>
      <c r="G207" s="305"/>
      <c r="H207" s="305"/>
      <c r="I207" s="305"/>
      <c r="J207" s="305"/>
      <c r="K207" s="305"/>
      <c r="L207" s="305"/>
      <c r="M207" s="305"/>
      <c r="N207" s="305"/>
      <c r="O207" s="305"/>
      <c r="P207" s="305"/>
      <c r="Q207" s="305"/>
      <c r="R207" s="305"/>
      <c r="S207" s="305"/>
      <c r="T207" s="305"/>
      <c r="U207" s="305"/>
      <c r="V207" s="305"/>
      <c r="W207" s="305"/>
      <c r="X207" s="305"/>
      <c r="Y207" s="305"/>
      <c r="Z207" s="305"/>
      <c r="AA207" s="305"/>
      <c r="AB207" s="305"/>
      <c r="AC207" s="305"/>
      <c r="AD207" s="305"/>
      <c r="AE207" s="305"/>
      <c r="AF207" s="305"/>
      <c r="AG207" s="305"/>
      <c r="AH207" s="305"/>
      <c r="AI207" s="305"/>
      <c r="AJ207" s="305"/>
      <c r="AK207" s="305"/>
      <c r="AL207" s="305"/>
      <c r="AM207" s="305"/>
      <c r="AN207" s="305"/>
      <c r="AO207" s="305"/>
      <c r="AP207" s="305"/>
      <c r="AQ207" s="305"/>
      <c r="AR207" s="305"/>
      <c r="AS207" s="305"/>
      <c r="AT207" s="305"/>
      <c r="AU207" s="305"/>
      <c r="AV207" s="305"/>
      <c r="AW207" s="305"/>
      <c r="AX207" s="305"/>
      <c r="AY207" s="306"/>
    </row>
    <row r="208" spans="1:51" ht="20.100000000000001" hidden="1" customHeight="1">
      <c r="A208" s="309">
        <v>31</v>
      </c>
      <c r="B208" s="302"/>
      <c r="C208" s="302"/>
      <c r="D208" s="302"/>
      <c r="E208" s="302"/>
      <c r="F208" s="302"/>
      <c r="G208" s="124"/>
      <c r="H208" s="302"/>
      <c r="I208" s="302"/>
      <c r="J208" s="302"/>
      <c r="K208" s="302"/>
      <c r="L208" s="302"/>
      <c r="M208" s="125"/>
      <c r="N208" s="302"/>
      <c r="O208" s="302"/>
      <c r="P208" s="302"/>
      <c r="Q208" s="302"/>
      <c r="R208" s="302"/>
      <c r="S208" s="302"/>
      <c r="T208" s="302"/>
      <c r="U208" s="302"/>
      <c r="V208" s="302"/>
      <c r="W208" s="302"/>
      <c r="X208" s="302"/>
      <c r="Y208" s="302"/>
      <c r="Z208" s="302"/>
      <c r="AA208" s="302"/>
      <c r="AB208" s="125"/>
      <c r="AC208" s="302" t="str">
        <f>IFERROR(VLOOKUP($N208,Charms!B:S,10,FALSE),"")</f>
        <v/>
      </c>
      <c r="AD208" s="302"/>
      <c r="AE208" s="302"/>
      <c r="AF208" s="302"/>
      <c r="AG208" s="302"/>
      <c r="AH208" s="125"/>
      <c r="AI208" s="302" t="str">
        <f>IFERROR(VLOOKUP($N208,Charms!B:S,12,FALSE),"")</f>
        <v/>
      </c>
      <c r="AJ208" s="302"/>
      <c r="AK208" s="302"/>
      <c r="AL208" s="302"/>
      <c r="AM208" s="125"/>
      <c r="AN208" s="302" t="str">
        <f>IFERROR(VLOOKUP($N208,Charms!B:S,4,FALSE),"")</f>
        <v/>
      </c>
      <c r="AO208" s="302"/>
      <c r="AP208" s="302"/>
      <c r="AQ208" s="302"/>
      <c r="AR208" s="302"/>
      <c r="AS208" s="125"/>
      <c r="AT208" s="302" t="str">
        <f>IFERROR(IF(VLOOKUP($N208,Charms!B:S,2,FALSE)="","Main",VLOOKUP($N208,Charms!B:S,2,FALSE)),"")</f>
        <v/>
      </c>
      <c r="AU208" s="302"/>
      <c r="AV208" s="125"/>
      <c r="AW208" s="302" t="str">
        <f>IFERROR(VLOOKUP($N208,Charms!B:S,3,FALSE),"")</f>
        <v/>
      </c>
      <c r="AX208" s="302"/>
      <c r="AY208" s="307"/>
    </row>
    <row r="209" spans="1:51" ht="20.100000000000001" hidden="1" customHeight="1">
      <c r="A209" s="310"/>
      <c r="B209" s="303" t="str">
        <f>IFERROR(VLOOKUP($N208,Charms!B:S,14,FALSE),"")</f>
        <v/>
      </c>
      <c r="C209" s="303"/>
      <c r="D209" s="303"/>
      <c r="E209" s="303"/>
      <c r="F209" s="303"/>
      <c r="G209" s="303"/>
      <c r="H209" s="303"/>
      <c r="I209" s="303"/>
      <c r="J209" s="303"/>
      <c r="K209" s="303"/>
      <c r="L209" s="303"/>
      <c r="M209" s="303"/>
      <c r="N209" s="303"/>
      <c r="O209" s="303"/>
      <c r="P209" s="303"/>
      <c r="Q209" s="303"/>
      <c r="R209" s="303"/>
      <c r="S209" s="303"/>
      <c r="T209" s="303"/>
      <c r="U209" s="303"/>
      <c r="V209" s="303"/>
      <c r="W209" s="303"/>
      <c r="X209" s="303"/>
      <c r="Y209" s="303"/>
      <c r="Z209" s="303"/>
      <c r="AA209" s="303"/>
      <c r="AB209" s="303"/>
      <c r="AC209" s="303"/>
      <c r="AD209" s="303"/>
      <c r="AE209" s="303"/>
      <c r="AF209" s="303"/>
      <c r="AG209" s="303"/>
      <c r="AH209" s="303"/>
      <c r="AI209" s="303"/>
      <c r="AJ209" s="303"/>
      <c r="AK209" s="303"/>
      <c r="AL209" s="303"/>
      <c r="AM209" s="303"/>
      <c r="AN209" s="303"/>
      <c r="AO209" s="303"/>
      <c r="AP209" s="303"/>
      <c r="AQ209" s="303"/>
      <c r="AR209" s="303"/>
      <c r="AS209" s="303"/>
      <c r="AT209" s="303"/>
      <c r="AU209" s="303"/>
      <c r="AV209" s="303"/>
      <c r="AW209" s="303"/>
      <c r="AX209" s="303"/>
      <c r="AY209" s="304"/>
    </row>
    <row r="210" spans="1:51" ht="20.100000000000001" hidden="1" customHeight="1">
      <c r="A210" s="311"/>
      <c r="B210" s="305"/>
      <c r="C210" s="305"/>
      <c r="D210" s="305"/>
      <c r="E210" s="305"/>
      <c r="F210" s="305"/>
      <c r="G210" s="305"/>
      <c r="H210" s="305"/>
      <c r="I210" s="305"/>
      <c r="J210" s="305"/>
      <c r="K210" s="305"/>
      <c r="L210" s="305"/>
      <c r="M210" s="305"/>
      <c r="N210" s="305"/>
      <c r="O210" s="305"/>
      <c r="P210" s="305"/>
      <c r="Q210" s="305"/>
      <c r="R210" s="305"/>
      <c r="S210" s="305"/>
      <c r="T210" s="305"/>
      <c r="U210" s="305"/>
      <c r="V210" s="305"/>
      <c r="W210" s="305"/>
      <c r="X210" s="305"/>
      <c r="Y210" s="305"/>
      <c r="Z210" s="305"/>
      <c r="AA210" s="305"/>
      <c r="AB210" s="305"/>
      <c r="AC210" s="305"/>
      <c r="AD210" s="305"/>
      <c r="AE210" s="305"/>
      <c r="AF210" s="305"/>
      <c r="AG210" s="305"/>
      <c r="AH210" s="305"/>
      <c r="AI210" s="305"/>
      <c r="AJ210" s="305"/>
      <c r="AK210" s="305"/>
      <c r="AL210" s="305"/>
      <c r="AM210" s="305"/>
      <c r="AN210" s="305"/>
      <c r="AO210" s="305"/>
      <c r="AP210" s="305"/>
      <c r="AQ210" s="305"/>
      <c r="AR210" s="305"/>
      <c r="AS210" s="305"/>
      <c r="AT210" s="305"/>
      <c r="AU210" s="305"/>
      <c r="AV210" s="305"/>
      <c r="AW210" s="305"/>
      <c r="AX210" s="305"/>
      <c r="AY210" s="306"/>
    </row>
    <row r="211" spans="1:51" ht="20.100000000000001" hidden="1" customHeight="1">
      <c r="A211" s="309">
        <v>32</v>
      </c>
      <c r="B211" s="302"/>
      <c r="C211" s="302"/>
      <c r="D211" s="302"/>
      <c r="E211" s="302"/>
      <c r="F211" s="302"/>
      <c r="G211" s="124"/>
      <c r="H211" s="302"/>
      <c r="I211" s="302"/>
      <c r="J211" s="302"/>
      <c r="K211" s="302"/>
      <c r="L211" s="302"/>
      <c r="M211" s="125"/>
      <c r="N211" s="302"/>
      <c r="O211" s="302"/>
      <c r="P211" s="302"/>
      <c r="Q211" s="302"/>
      <c r="R211" s="302"/>
      <c r="S211" s="302"/>
      <c r="T211" s="302"/>
      <c r="U211" s="302"/>
      <c r="V211" s="302"/>
      <c r="W211" s="302"/>
      <c r="X211" s="302"/>
      <c r="Y211" s="302"/>
      <c r="Z211" s="302"/>
      <c r="AA211" s="302"/>
      <c r="AB211" s="125"/>
      <c r="AC211" s="302" t="str">
        <f>IFERROR(VLOOKUP($N211,Charms!B:S,10,FALSE),"")</f>
        <v/>
      </c>
      <c r="AD211" s="302"/>
      <c r="AE211" s="302"/>
      <c r="AF211" s="302"/>
      <c r="AG211" s="302"/>
      <c r="AH211" s="125"/>
      <c r="AI211" s="302" t="str">
        <f>IFERROR(VLOOKUP($N211,Charms!B:S,12,FALSE),"")</f>
        <v/>
      </c>
      <c r="AJ211" s="302"/>
      <c r="AK211" s="302"/>
      <c r="AL211" s="302"/>
      <c r="AM211" s="125"/>
      <c r="AN211" s="302" t="str">
        <f>IFERROR(VLOOKUP($N211,Charms!B:S,4,FALSE),"")</f>
        <v/>
      </c>
      <c r="AO211" s="302"/>
      <c r="AP211" s="302"/>
      <c r="AQ211" s="302"/>
      <c r="AR211" s="302"/>
      <c r="AS211" s="125"/>
      <c r="AT211" s="302" t="str">
        <f>IFERROR(IF(VLOOKUP($N211,Charms!B:S,2,FALSE)="","Main",VLOOKUP($N211,Charms!B:S,2,FALSE)),"")</f>
        <v/>
      </c>
      <c r="AU211" s="302"/>
      <c r="AV211" s="125"/>
      <c r="AW211" s="302" t="str">
        <f>IFERROR(VLOOKUP($N211,Charms!B:S,3,FALSE),"")</f>
        <v/>
      </c>
      <c r="AX211" s="302"/>
      <c r="AY211" s="307"/>
    </row>
    <row r="212" spans="1:51" ht="20.100000000000001" hidden="1" customHeight="1">
      <c r="A212" s="310"/>
      <c r="B212" s="303" t="str">
        <f>IFERROR(VLOOKUP($N211,Charms!B:S,14,FALSE),"")</f>
        <v/>
      </c>
      <c r="C212" s="303"/>
      <c r="D212" s="303"/>
      <c r="E212" s="303"/>
      <c r="F212" s="303"/>
      <c r="G212" s="303"/>
      <c r="H212" s="303"/>
      <c r="I212" s="303"/>
      <c r="J212" s="303"/>
      <c r="K212" s="303"/>
      <c r="L212" s="303"/>
      <c r="M212" s="303"/>
      <c r="N212" s="303"/>
      <c r="O212" s="303"/>
      <c r="P212" s="303"/>
      <c r="Q212" s="303"/>
      <c r="R212" s="303"/>
      <c r="S212" s="303"/>
      <c r="T212" s="303"/>
      <c r="U212" s="303"/>
      <c r="V212" s="303"/>
      <c r="W212" s="303"/>
      <c r="X212" s="303"/>
      <c r="Y212" s="303"/>
      <c r="Z212" s="303"/>
      <c r="AA212" s="303"/>
      <c r="AB212" s="303"/>
      <c r="AC212" s="303"/>
      <c r="AD212" s="303"/>
      <c r="AE212" s="303"/>
      <c r="AF212" s="303"/>
      <c r="AG212" s="303"/>
      <c r="AH212" s="303"/>
      <c r="AI212" s="303"/>
      <c r="AJ212" s="303"/>
      <c r="AK212" s="303"/>
      <c r="AL212" s="303"/>
      <c r="AM212" s="303"/>
      <c r="AN212" s="303"/>
      <c r="AO212" s="303"/>
      <c r="AP212" s="303"/>
      <c r="AQ212" s="303"/>
      <c r="AR212" s="303"/>
      <c r="AS212" s="303"/>
      <c r="AT212" s="303"/>
      <c r="AU212" s="303"/>
      <c r="AV212" s="303"/>
      <c r="AW212" s="303"/>
      <c r="AX212" s="303"/>
      <c r="AY212" s="304"/>
    </row>
    <row r="213" spans="1:51" ht="20.100000000000001" hidden="1" customHeight="1">
      <c r="A213" s="311"/>
      <c r="B213" s="305"/>
      <c r="C213" s="305"/>
      <c r="D213" s="305"/>
      <c r="E213" s="305"/>
      <c r="F213" s="305"/>
      <c r="G213" s="305"/>
      <c r="H213" s="305"/>
      <c r="I213" s="305"/>
      <c r="J213" s="305"/>
      <c r="K213" s="305"/>
      <c r="L213" s="305"/>
      <c r="M213" s="305"/>
      <c r="N213" s="305"/>
      <c r="O213" s="305"/>
      <c r="P213" s="305"/>
      <c r="Q213" s="305"/>
      <c r="R213" s="305"/>
      <c r="S213" s="305"/>
      <c r="T213" s="305"/>
      <c r="U213" s="305"/>
      <c r="V213" s="305"/>
      <c r="W213" s="305"/>
      <c r="X213" s="305"/>
      <c r="Y213" s="305"/>
      <c r="Z213" s="305"/>
      <c r="AA213" s="305"/>
      <c r="AB213" s="305"/>
      <c r="AC213" s="305"/>
      <c r="AD213" s="305"/>
      <c r="AE213" s="305"/>
      <c r="AF213" s="305"/>
      <c r="AG213" s="305"/>
      <c r="AH213" s="305"/>
      <c r="AI213" s="305"/>
      <c r="AJ213" s="305"/>
      <c r="AK213" s="305"/>
      <c r="AL213" s="305"/>
      <c r="AM213" s="305"/>
      <c r="AN213" s="305"/>
      <c r="AO213" s="305"/>
      <c r="AP213" s="305"/>
      <c r="AQ213" s="305"/>
      <c r="AR213" s="305"/>
      <c r="AS213" s="305"/>
      <c r="AT213" s="305"/>
      <c r="AU213" s="305"/>
      <c r="AV213" s="305"/>
      <c r="AW213" s="305"/>
      <c r="AX213" s="305"/>
      <c r="AY213" s="306"/>
    </row>
    <row r="214" spans="1:51" ht="20.100000000000001" hidden="1" customHeight="1">
      <c r="A214" s="309">
        <v>33</v>
      </c>
      <c r="B214" s="302"/>
      <c r="C214" s="302"/>
      <c r="D214" s="302"/>
      <c r="E214" s="302"/>
      <c r="F214" s="302"/>
      <c r="G214" s="124"/>
      <c r="H214" s="302"/>
      <c r="I214" s="302"/>
      <c r="J214" s="302"/>
      <c r="K214" s="302"/>
      <c r="L214" s="302"/>
      <c r="M214" s="125"/>
      <c r="N214" s="302"/>
      <c r="O214" s="302"/>
      <c r="P214" s="302"/>
      <c r="Q214" s="302"/>
      <c r="R214" s="302"/>
      <c r="S214" s="302"/>
      <c r="T214" s="302"/>
      <c r="U214" s="302"/>
      <c r="V214" s="302"/>
      <c r="W214" s="302"/>
      <c r="X214" s="302"/>
      <c r="Y214" s="302"/>
      <c r="Z214" s="302"/>
      <c r="AA214" s="302"/>
      <c r="AB214" s="125"/>
      <c r="AC214" s="302" t="str">
        <f>IFERROR(VLOOKUP($N214,Charms!B:S,10,FALSE),"")</f>
        <v/>
      </c>
      <c r="AD214" s="302"/>
      <c r="AE214" s="302"/>
      <c r="AF214" s="302"/>
      <c r="AG214" s="302"/>
      <c r="AH214" s="125"/>
      <c r="AI214" s="302" t="str">
        <f>IFERROR(VLOOKUP($N214,Charms!B:S,12,FALSE),"")</f>
        <v/>
      </c>
      <c r="AJ214" s="302"/>
      <c r="AK214" s="302"/>
      <c r="AL214" s="302"/>
      <c r="AM214" s="125"/>
      <c r="AN214" s="302" t="str">
        <f>IFERROR(VLOOKUP($N214,Charms!B:S,4,FALSE),"")</f>
        <v/>
      </c>
      <c r="AO214" s="302"/>
      <c r="AP214" s="302"/>
      <c r="AQ214" s="302"/>
      <c r="AR214" s="302"/>
      <c r="AS214" s="125"/>
      <c r="AT214" s="302" t="str">
        <f>IFERROR(IF(VLOOKUP($N214,Charms!B:S,2,FALSE)="","Main",VLOOKUP($N214,Charms!B:S,2,FALSE)),"")</f>
        <v/>
      </c>
      <c r="AU214" s="302"/>
      <c r="AV214" s="125"/>
      <c r="AW214" s="302" t="str">
        <f>IFERROR(VLOOKUP($N214,Charms!B:S,3,FALSE),"")</f>
        <v/>
      </c>
      <c r="AX214" s="302"/>
      <c r="AY214" s="307"/>
    </row>
    <row r="215" spans="1:51" ht="20.100000000000001" hidden="1" customHeight="1">
      <c r="A215" s="310"/>
      <c r="B215" s="303" t="str">
        <f>IFERROR(VLOOKUP($N214,Charms!B:S,14,FALSE),"")</f>
        <v/>
      </c>
      <c r="C215" s="303"/>
      <c r="D215" s="303"/>
      <c r="E215" s="303"/>
      <c r="F215" s="303"/>
      <c r="G215" s="303"/>
      <c r="H215" s="303"/>
      <c r="I215" s="303"/>
      <c r="J215" s="303"/>
      <c r="K215" s="303"/>
      <c r="L215" s="303"/>
      <c r="M215" s="303"/>
      <c r="N215" s="303"/>
      <c r="O215" s="303"/>
      <c r="P215" s="303"/>
      <c r="Q215" s="303"/>
      <c r="R215" s="303"/>
      <c r="S215" s="303"/>
      <c r="T215" s="303"/>
      <c r="U215" s="303"/>
      <c r="V215" s="303"/>
      <c r="W215" s="303"/>
      <c r="X215" s="303"/>
      <c r="Y215" s="303"/>
      <c r="Z215" s="303"/>
      <c r="AA215" s="303"/>
      <c r="AB215" s="303"/>
      <c r="AC215" s="303"/>
      <c r="AD215" s="303"/>
      <c r="AE215" s="303"/>
      <c r="AF215" s="303"/>
      <c r="AG215" s="303"/>
      <c r="AH215" s="303"/>
      <c r="AI215" s="303"/>
      <c r="AJ215" s="303"/>
      <c r="AK215" s="303"/>
      <c r="AL215" s="303"/>
      <c r="AM215" s="303"/>
      <c r="AN215" s="303"/>
      <c r="AO215" s="303"/>
      <c r="AP215" s="303"/>
      <c r="AQ215" s="303"/>
      <c r="AR215" s="303"/>
      <c r="AS215" s="303"/>
      <c r="AT215" s="303"/>
      <c r="AU215" s="303"/>
      <c r="AV215" s="303"/>
      <c r="AW215" s="303"/>
      <c r="AX215" s="303"/>
      <c r="AY215" s="304"/>
    </row>
    <row r="216" spans="1:51" ht="20.100000000000001" hidden="1" customHeight="1">
      <c r="A216" s="311"/>
      <c r="B216" s="305"/>
      <c r="C216" s="305"/>
      <c r="D216" s="305"/>
      <c r="E216" s="305"/>
      <c r="F216" s="305"/>
      <c r="G216" s="305"/>
      <c r="H216" s="305"/>
      <c r="I216" s="305"/>
      <c r="J216" s="305"/>
      <c r="K216" s="305"/>
      <c r="L216" s="305"/>
      <c r="M216" s="305"/>
      <c r="N216" s="305"/>
      <c r="O216" s="305"/>
      <c r="P216" s="305"/>
      <c r="Q216" s="305"/>
      <c r="R216" s="305"/>
      <c r="S216" s="305"/>
      <c r="T216" s="305"/>
      <c r="U216" s="305"/>
      <c r="V216" s="305"/>
      <c r="W216" s="305"/>
      <c r="X216" s="305"/>
      <c r="Y216" s="305"/>
      <c r="Z216" s="305"/>
      <c r="AA216" s="305"/>
      <c r="AB216" s="305"/>
      <c r="AC216" s="305"/>
      <c r="AD216" s="305"/>
      <c r="AE216" s="305"/>
      <c r="AF216" s="305"/>
      <c r="AG216" s="305"/>
      <c r="AH216" s="305"/>
      <c r="AI216" s="305"/>
      <c r="AJ216" s="305"/>
      <c r="AK216" s="305"/>
      <c r="AL216" s="305"/>
      <c r="AM216" s="305"/>
      <c r="AN216" s="305"/>
      <c r="AO216" s="305"/>
      <c r="AP216" s="305"/>
      <c r="AQ216" s="305"/>
      <c r="AR216" s="305"/>
      <c r="AS216" s="305"/>
      <c r="AT216" s="305"/>
      <c r="AU216" s="305"/>
      <c r="AV216" s="305"/>
      <c r="AW216" s="305"/>
      <c r="AX216" s="305"/>
      <c r="AY216" s="306"/>
    </row>
    <row r="217" spans="1:51" ht="20.100000000000001" hidden="1" customHeight="1">
      <c r="A217" s="309">
        <v>34</v>
      </c>
      <c r="B217" s="302"/>
      <c r="C217" s="302"/>
      <c r="D217" s="302"/>
      <c r="E217" s="302"/>
      <c r="F217" s="302"/>
      <c r="G217" s="124"/>
      <c r="H217" s="302"/>
      <c r="I217" s="302"/>
      <c r="J217" s="302"/>
      <c r="K217" s="302"/>
      <c r="L217" s="302"/>
      <c r="M217" s="125"/>
      <c r="N217" s="302"/>
      <c r="O217" s="302"/>
      <c r="P217" s="302"/>
      <c r="Q217" s="302"/>
      <c r="R217" s="302"/>
      <c r="S217" s="302"/>
      <c r="T217" s="302"/>
      <c r="U217" s="302"/>
      <c r="V217" s="302"/>
      <c r="W217" s="302"/>
      <c r="X217" s="302"/>
      <c r="Y217" s="302"/>
      <c r="Z217" s="302"/>
      <c r="AA217" s="302"/>
      <c r="AB217" s="125"/>
      <c r="AC217" s="302" t="str">
        <f>IFERROR(VLOOKUP($N217,Charms!B:S,10,FALSE),"")</f>
        <v/>
      </c>
      <c r="AD217" s="302"/>
      <c r="AE217" s="302"/>
      <c r="AF217" s="302"/>
      <c r="AG217" s="302"/>
      <c r="AH217" s="125"/>
      <c r="AI217" s="302" t="str">
        <f>IFERROR(VLOOKUP($N217,Charms!B:S,12,FALSE),"")</f>
        <v/>
      </c>
      <c r="AJ217" s="302"/>
      <c r="AK217" s="302"/>
      <c r="AL217" s="302"/>
      <c r="AM217" s="125"/>
      <c r="AN217" s="302" t="str">
        <f>IFERROR(VLOOKUP($N217,Charms!B:S,4,FALSE),"")</f>
        <v/>
      </c>
      <c r="AO217" s="302"/>
      <c r="AP217" s="302"/>
      <c r="AQ217" s="302"/>
      <c r="AR217" s="302"/>
      <c r="AS217" s="125"/>
      <c r="AT217" s="302" t="str">
        <f>IFERROR(IF(VLOOKUP($N217,Charms!B:S,2,FALSE)="","Main",VLOOKUP($N217,Charms!B:S,2,FALSE)),"")</f>
        <v/>
      </c>
      <c r="AU217" s="302"/>
      <c r="AV217" s="125"/>
      <c r="AW217" s="302" t="str">
        <f>IFERROR(VLOOKUP($N217,Charms!B:S,3,FALSE),"")</f>
        <v/>
      </c>
      <c r="AX217" s="302"/>
      <c r="AY217" s="307"/>
    </row>
    <row r="218" spans="1:51" ht="20.100000000000001" hidden="1" customHeight="1">
      <c r="A218" s="310"/>
      <c r="B218" s="303" t="str">
        <f>IFERROR(VLOOKUP($N217,Charms!B:S,14,FALSE),"")</f>
        <v/>
      </c>
      <c r="C218" s="303"/>
      <c r="D218" s="303"/>
      <c r="E218" s="303"/>
      <c r="F218" s="303"/>
      <c r="G218" s="303"/>
      <c r="H218" s="303"/>
      <c r="I218" s="303"/>
      <c r="J218" s="303"/>
      <c r="K218" s="303"/>
      <c r="L218" s="303"/>
      <c r="M218" s="303"/>
      <c r="N218" s="303"/>
      <c r="O218" s="303"/>
      <c r="P218" s="303"/>
      <c r="Q218" s="303"/>
      <c r="R218" s="303"/>
      <c r="S218" s="303"/>
      <c r="T218" s="303"/>
      <c r="U218" s="303"/>
      <c r="V218" s="303"/>
      <c r="W218" s="303"/>
      <c r="X218" s="303"/>
      <c r="Y218" s="303"/>
      <c r="Z218" s="303"/>
      <c r="AA218" s="303"/>
      <c r="AB218" s="303"/>
      <c r="AC218" s="303"/>
      <c r="AD218" s="303"/>
      <c r="AE218" s="303"/>
      <c r="AF218" s="303"/>
      <c r="AG218" s="303"/>
      <c r="AH218" s="303"/>
      <c r="AI218" s="303"/>
      <c r="AJ218" s="303"/>
      <c r="AK218" s="303"/>
      <c r="AL218" s="303"/>
      <c r="AM218" s="303"/>
      <c r="AN218" s="303"/>
      <c r="AO218" s="303"/>
      <c r="AP218" s="303"/>
      <c r="AQ218" s="303"/>
      <c r="AR218" s="303"/>
      <c r="AS218" s="303"/>
      <c r="AT218" s="303"/>
      <c r="AU218" s="303"/>
      <c r="AV218" s="303"/>
      <c r="AW218" s="303"/>
      <c r="AX218" s="303"/>
      <c r="AY218" s="304"/>
    </row>
    <row r="219" spans="1:51" ht="20.100000000000001" hidden="1" customHeight="1">
      <c r="A219" s="311"/>
      <c r="B219" s="305"/>
      <c r="C219" s="305"/>
      <c r="D219" s="305"/>
      <c r="E219" s="305"/>
      <c r="F219" s="305"/>
      <c r="G219" s="305"/>
      <c r="H219" s="305"/>
      <c r="I219" s="305"/>
      <c r="J219" s="305"/>
      <c r="K219" s="305"/>
      <c r="L219" s="305"/>
      <c r="M219" s="305"/>
      <c r="N219" s="305"/>
      <c r="O219" s="305"/>
      <c r="P219" s="305"/>
      <c r="Q219" s="305"/>
      <c r="R219" s="305"/>
      <c r="S219" s="305"/>
      <c r="T219" s="305"/>
      <c r="U219" s="305"/>
      <c r="V219" s="305"/>
      <c r="W219" s="305"/>
      <c r="X219" s="305"/>
      <c r="Y219" s="305"/>
      <c r="Z219" s="305"/>
      <c r="AA219" s="305"/>
      <c r="AB219" s="305"/>
      <c r="AC219" s="305"/>
      <c r="AD219" s="305"/>
      <c r="AE219" s="305"/>
      <c r="AF219" s="305"/>
      <c r="AG219" s="305"/>
      <c r="AH219" s="305"/>
      <c r="AI219" s="305"/>
      <c r="AJ219" s="305"/>
      <c r="AK219" s="305"/>
      <c r="AL219" s="305"/>
      <c r="AM219" s="305"/>
      <c r="AN219" s="305"/>
      <c r="AO219" s="305"/>
      <c r="AP219" s="305"/>
      <c r="AQ219" s="305"/>
      <c r="AR219" s="305"/>
      <c r="AS219" s="305"/>
      <c r="AT219" s="305"/>
      <c r="AU219" s="305"/>
      <c r="AV219" s="305"/>
      <c r="AW219" s="305"/>
      <c r="AX219" s="305"/>
      <c r="AY219" s="306"/>
    </row>
    <row r="220" spans="1:51" ht="20.100000000000001" hidden="1" customHeight="1">
      <c r="A220" s="309">
        <v>35</v>
      </c>
      <c r="B220" s="302"/>
      <c r="C220" s="302"/>
      <c r="D220" s="302"/>
      <c r="E220" s="302"/>
      <c r="F220" s="302"/>
      <c r="G220" s="124"/>
      <c r="H220" s="302"/>
      <c r="I220" s="302"/>
      <c r="J220" s="302"/>
      <c r="K220" s="302"/>
      <c r="L220" s="302"/>
      <c r="M220" s="125"/>
      <c r="N220" s="302"/>
      <c r="O220" s="302"/>
      <c r="P220" s="302"/>
      <c r="Q220" s="302"/>
      <c r="R220" s="302"/>
      <c r="S220" s="302"/>
      <c r="T220" s="302"/>
      <c r="U220" s="302"/>
      <c r="V220" s="302"/>
      <c r="W220" s="302"/>
      <c r="X220" s="302"/>
      <c r="Y220" s="302"/>
      <c r="Z220" s="302"/>
      <c r="AA220" s="302"/>
      <c r="AB220" s="125"/>
      <c r="AC220" s="302" t="str">
        <f>IFERROR(VLOOKUP($N220,Charms!B:S,10,FALSE),"")</f>
        <v/>
      </c>
      <c r="AD220" s="302"/>
      <c r="AE220" s="302"/>
      <c r="AF220" s="302"/>
      <c r="AG220" s="302"/>
      <c r="AH220" s="125"/>
      <c r="AI220" s="302" t="str">
        <f>IFERROR(VLOOKUP($N220,Charms!B:S,12,FALSE),"")</f>
        <v/>
      </c>
      <c r="AJ220" s="302"/>
      <c r="AK220" s="302"/>
      <c r="AL220" s="302"/>
      <c r="AM220" s="125"/>
      <c r="AN220" s="302" t="str">
        <f>IFERROR(VLOOKUP($N220,Charms!B:S,4,FALSE),"")</f>
        <v/>
      </c>
      <c r="AO220" s="302"/>
      <c r="AP220" s="302"/>
      <c r="AQ220" s="302"/>
      <c r="AR220" s="302"/>
      <c r="AS220" s="125"/>
      <c r="AT220" s="302" t="str">
        <f>IFERROR(IF(VLOOKUP($N220,Charms!B:S,2,FALSE)="","Main",VLOOKUP($N220,Charms!B:S,2,FALSE)),"")</f>
        <v/>
      </c>
      <c r="AU220" s="302"/>
      <c r="AV220" s="125"/>
      <c r="AW220" s="302" t="str">
        <f>IFERROR(VLOOKUP($N220,Charms!B:S,3,FALSE),"")</f>
        <v/>
      </c>
      <c r="AX220" s="302"/>
      <c r="AY220" s="307"/>
    </row>
    <row r="221" spans="1:51" ht="20.100000000000001" hidden="1" customHeight="1">
      <c r="A221" s="310"/>
      <c r="B221" s="303" t="str">
        <f>IFERROR(VLOOKUP($N220,Charms!B:S,14,FALSE),"")</f>
        <v/>
      </c>
      <c r="C221" s="303"/>
      <c r="D221" s="303"/>
      <c r="E221" s="303"/>
      <c r="F221" s="303"/>
      <c r="G221" s="303"/>
      <c r="H221" s="303"/>
      <c r="I221" s="303"/>
      <c r="J221" s="303"/>
      <c r="K221" s="303"/>
      <c r="L221" s="303"/>
      <c r="M221" s="303"/>
      <c r="N221" s="303"/>
      <c r="O221" s="303"/>
      <c r="P221" s="303"/>
      <c r="Q221" s="303"/>
      <c r="R221" s="303"/>
      <c r="S221" s="303"/>
      <c r="T221" s="303"/>
      <c r="U221" s="303"/>
      <c r="V221" s="303"/>
      <c r="W221" s="303"/>
      <c r="X221" s="303"/>
      <c r="Y221" s="303"/>
      <c r="Z221" s="303"/>
      <c r="AA221" s="303"/>
      <c r="AB221" s="303"/>
      <c r="AC221" s="303"/>
      <c r="AD221" s="303"/>
      <c r="AE221" s="303"/>
      <c r="AF221" s="303"/>
      <c r="AG221" s="303"/>
      <c r="AH221" s="303"/>
      <c r="AI221" s="303"/>
      <c r="AJ221" s="303"/>
      <c r="AK221" s="303"/>
      <c r="AL221" s="303"/>
      <c r="AM221" s="303"/>
      <c r="AN221" s="303"/>
      <c r="AO221" s="303"/>
      <c r="AP221" s="303"/>
      <c r="AQ221" s="303"/>
      <c r="AR221" s="303"/>
      <c r="AS221" s="303"/>
      <c r="AT221" s="303"/>
      <c r="AU221" s="303"/>
      <c r="AV221" s="303"/>
      <c r="AW221" s="303"/>
      <c r="AX221" s="303"/>
      <c r="AY221" s="304"/>
    </row>
    <row r="222" spans="1:51" ht="20.100000000000001" hidden="1" customHeight="1">
      <c r="A222" s="311"/>
      <c r="B222" s="305"/>
      <c r="C222" s="305"/>
      <c r="D222" s="305"/>
      <c r="E222" s="305"/>
      <c r="F222" s="305"/>
      <c r="G222" s="305"/>
      <c r="H222" s="305"/>
      <c r="I222" s="305"/>
      <c r="J222" s="305"/>
      <c r="K222" s="305"/>
      <c r="L222" s="305"/>
      <c r="M222" s="305"/>
      <c r="N222" s="305"/>
      <c r="O222" s="305"/>
      <c r="P222" s="305"/>
      <c r="Q222" s="305"/>
      <c r="R222" s="305"/>
      <c r="S222" s="305"/>
      <c r="T222" s="305"/>
      <c r="U222" s="305"/>
      <c r="V222" s="305"/>
      <c r="W222" s="305"/>
      <c r="X222" s="305"/>
      <c r="Y222" s="305"/>
      <c r="Z222" s="305"/>
      <c r="AA222" s="305"/>
      <c r="AB222" s="305"/>
      <c r="AC222" s="305"/>
      <c r="AD222" s="305"/>
      <c r="AE222" s="305"/>
      <c r="AF222" s="305"/>
      <c r="AG222" s="305"/>
      <c r="AH222" s="305"/>
      <c r="AI222" s="305"/>
      <c r="AJ222" s="305"/>
      <c r="AK222" s="305"/>
      <c r="AL222" s="305"/>
      <c r="AM222" s="305"/>
      <c r="AN222" s="305"/>
      <c r="AO222" s="305"/>
      <c r="AP222" s="305"/>
      <c r="AQ222" s="305"/>
      <c r="AR222" s="305"/>
      <c r="AS222" s="305"/>
      <c r="AT222" s="305"/>
      <c r="AU222" s="305"/>
      <c r="AV222" s="305"/>
      <c r="AW222" s="305"/>
      <c r="AX222" s="305"/>
      <c r="AY222" s="306"/>
    </row>
    <row r="223" spans="1:51" ht="20.100000000000001" hidden="1" customHeight="1">
      <c r="A223" s="309">
        <v>36</v>
      </c>
      <c r="B223" s="302"/>
      <c r="C223" s="302"/>
      <c r="D223" s="302"/>
      <c r="E223" s="302"/>
      <c r="F223" s="302"/>
      <c r="G223" s="124"/>
      <c r="H223" s="302"/>
      <c r="I223" s="302"/>
      <c r="J223" s="302"/>
      <c r="K223" s="302"/>
      <c r="L223" s="302"/>
      <c r="M223" s="125"/>
      <c r="N223" s="302"/>
      <c r="O223" s="302"/>
      <c r="P223" s="302"/>
      <c r="Q223" s="302"/>
      <c r="R223" s="302"/>
      <c r="S223" s="302"/>
      <c r="T223" s="302"/>
      <c r="U223" s="302"/>
      <c r="V223" s="302"/>
      <c r="W223" s="302"/>
      <c r="X223" s="302"/>
      <c r="Y223" s="302"/>
      <c r="Z223" s="302"/>
      <c r="AA223" s="302"/>
      <c r="AB223" s="125"/>
      <c r="AC223" s="302" t="str">
        <f>IFERROR(VLOOKUP($N223,Charms!B:S,10,FALSE),"")</f>
        <v/>
      </c>
      <c r="AD223" s="302"/>
      <c r="AE223" s="302"/>
      <c r="AF223" s="302"/>
      <c r="AG223" s="302"/>
      <c r="AH223" s="125"/>
      <c r="AI223" s="302" t="str">
        <f>IFERROR(VLOOKUP($N223,Charms!B:S,12,FALSE),"")</f>
        <v/>
      </c>
      <c r="AJ223" s="302"/>
      <c r="AK223" s="302"/>
      <c r="AL223" s="302"/>
      <c r="AM223" s="125"/>
      <c r="AN223" s="302" t="str">
        <f>IFERROR(VLOOKUP($N223,Charms!B:S,4,FALSE),"")</f>
        <v/>
      </c>
      <c r="AO223" s="302"/>
      <c r="AP223" s="302"/>
      <c r="AQ223" s="302"/>
      <c r="AR223" s="302"/>
      <c r="AS223" s="125"/>
      <c r="AT223" s="302" t="str">
        <f>IFERROR(IF(VLOOKUP($N223,Charms!B:S,2,FALSE)="","Main",VLOOKUP($N223,Charms!B:S,2,FALSE)),"")</f>
        <v/>
      </c>
      <c r="AU223" s="302"/>
      <c r="AV223" s="125"/>
      <c r="AW223" s="302" t="str">
        <f>IFERROR(VLOOKUP($N223,Charms!B:S,3,FALSE),"")</f>
        <v/>
      </c>
      <c r="AX223" s="302"/>
      <c r="AY223" s="307"/>
    </row>
    <row r="224" spans="1:51" ht="20.100000000000001" hidden="1" customHeight="1">
      <c r="A224" s="310"/>
      <c r="B224" s="303" t="str">
        <f>IFERROR(VLOOKUP($N223,Charms!B:S,14,FALSE),"")</f>
        <v/>
      </c>
      <c r="C224" s="303"/>
      <c r="D224" s="303"/>
      <c r="E224" s="303"/>
      <c r="F224" s="303"/>
      <c r="G224" s="303"/>
      <c r="H224" s="303"/>
      <c r="I224" s="303"/>
      <c r="J224" s="303"/>
      <c r="K224" s="303"/>
      <c r="L224" s="303"/>
      <c r="M224" s="303"/>
      <c r="N224" s="303"/>
      <c r="O224" s="303"/>
      <c r="P224" s="303"/>
      <c r="Q224" s="303"/>
      <c r="R224" s="303"/>
      <c r="S224" s="303"/>
      <c r="T224" s="303"/>
      <c r="U224" s="303"/>
      <c r="V224" s="303"/>
      <c r="W224" s="303"/>
      <c r="X224" s="303"/>
      <c r="Y224" s="303"/>
      <c r="Z224" s="303"/>
      <c r="AA224" s="303"/>
      <c r="AB224" s="303"/>
      <c r="AC224" s="303"/>
      <c r="AD224" s="303"/>
      <c r="AE224" s="303"/>
      <c r="AF224" s="303"/>
      <c r="AG224" s="303"/>
      <c r="AH224" s="303"/>
      <c r="AI224" s="303"/>
      <c r="AJ224" s="303"/>
      <c r="AK224" s="303"/>
      <c r="AL224" s="303"/>
      <c r="AM224" s="303"/>
      <c r="AN224" s="303"/>
      <c r="AO224" s="303"/>
      <c r="AP224" s="303"/>
      <c r="AQ224" s="303"/>
      <c r="AR224" s="303"/>
      <c r="AS224" s="303"/>
      <c r="AT224" s="303"/>
      <c r="AU224" s="303"/>
      <c r="AV224" s="303"/>
      <c r="AW224" s="303"/>
      <c r="AX224" s="303"/>
      <c r="AY224" s="304"/>
    </row>
    <row r="225" spans="1:51" ht="20.100000000000001" hidden="1" customHeight="1">
      <c r="A225" s="311"/>
      <c r="B225" s="305"/>
      <c r="C225" s="305"/>
      <c r="D225" s="305"/>
      <c r="E225" s="305"/>
      <c r="F225" s="305"/>
      <c r="G225" s="305"/>
      <c r="H225" s="305"/>
      <c r="I225" s="305"/>
      <c r="J225" s="305"/>
      <c r="K225" s="305"/>
      <c r="L225" s="305"/>
      <c r="M225" s="305"/>
      <c r="N225" s="305"/>
      <c r="O225" s="305"/>
      <c r="P225" s="305"/>
      <c r="Q225" s="305"/>
      <c r="R225" s="305"/>
      <c r="S225" s="305"/>
      <c r="T225" s="305"/>
      <c r="U225" s="305"/>
      <c r="V225" s="305"/>
      <c r="W225" s="305"/>
      <c r="X225" s="305"/>
      <c r="Y225" s="305"/>
      <c r="Z225" s="305"/>
      <c r="AA225" s="305"/>
      <c r="AB225" s="305"/>
      <c r="AC225" s="305"/>
      <c r="AD225" s="305"/>
      <c r="AE225" s="305"/>
      <c r="AF225" s="305"/>
      <c r="AG225" s="305"/>
      <c r="AH225" s="305"/>
      <c r="AI225" s="305"/>
      <c r="AJ225" s="305"/>
      <c r="AK225" s="305"/>
      <c r="AL225" s="305"/>
      <c r="AM225" s="305"/>
      <c r="AN225" s="305"/>
      <c r="AO225" s="305"/>
      <c r="AP225" s="305"/>
      <c r="AQ225" s="305"/>
      <c r="AR225" s="305"/>
      <c r="AS225" s="305"/>
      <c r="AT225" s="305"/>
      <c r="AU225" s="305"/>
      <c r="AV225" s="305"/>
      <c r="AW225" s="305"/>
      <c r="AX225" s="305"/>
      <c r="AY225" s="306"/>
    </row>
    <row r="226" spans="1:51" ht="20.100000000000001" hidden="1" customHeight="1">
      <c r="A226" s="309">
        <v>37</v>
      </c>
      <c r="B226" s="302"/>
      <c r="C226" s="302"/>
      <c r="D226" s="302"/>
      <c r="E226" s="302"/>
      <c r="F226" s="302"/>
      <c r="G226" s="124"/>
      <c r="H226" s="302"/>
      <c r="I226" s="302"/>
      <c r="J226" s="302"/>
      <c r="K226" s="302"/>
      <c r="L226" s="302"/>
      <c r="M226" s="125"/>
      <c r="N226" s="302"/>
      <c r="O226" s="302"/>
      <c r="P226" s="302"/>
      <c r="Q226" s="302"/>
      <c r="R226" s="302"/>
      <c r="S226" s="302"/>
      <c r="T226" s="302"/>
      <c r="U226" s="302"/>
      <c r="V226" s="302"/>
      <c r="W226" s="302"/>
      <c r="X226" s="302"/>
      <c r="Y226" s="302"/>
      <c r="Z226" s="302"/>
      <c r="AA226" s="302"/>
      <c r="AB226" s="125"/>
      <c r="AC226" s="302" t="str">
        <f>IFERROR(VLOOKUP($N226,Charms!B:S,10,FALSE),"")</f>
        <v/>
      </c>
      <c r="AD226" s="302"/>
      <c r="AE226" s="302"/>
      <c r="AF226" s="302"/>
      <c r="AG226" s="302"/>
      <c r="AH226" s="125"/>
      <c r="AI226" s="302" t="str">
        <f>IFERROR(VLOOKUP($N226,Charms!B:S,12,FALSE),"")</f>
        <v/>
      </c>
      <c r="AJ226" s="302"/>
      <c r="AK226" s="302"/>
      <c r="AL226" s="302"/>
      <c r="AM226" s="125"/>
      <c r="AN226" s="302" t="str">
        <f>IFERROR(VLOOKUP($N226,Charms!B:S,4,FALSE),"")</f>
        <v/>
      </c>
      <c r="AO226" s="302"/>
      <c r="AP226" s="302"/>
      <c r="AQ226" s="302"/>
      <c r="AR226" s="302"/>
      <c r="AS226" s="125"/>
      <c r="AT226" s="302" t="str">
        <f>IFERROR(IF(VLOOKUP($N226,Charms!B:S,2,FALSE)="","Main",VLOOKUP($N226,Charms!B:S,2,FALSE)),"")</f>
        <v/>
      </c>
      <c r="AU226" s="302"/>
      <c r="AV226" s="125"/>
      <c r="AW226" s="302" t="str">
        <f>IFERROR(VLOOKUP($N226,Charms!B:S,3,FALSE),"")</f>
        <v/>
      </c>
      <c r="AX226" s="302"/>
      <c r="AY226" s="307"/>
    </row>
    <row r="227" spans="1:51" ht="20.100000000000001" hidden="1" customHeight="1">
      <c r="A227" s="310"/>
      <c r="B227" s="303" t="str">
        <f>IFERROR(VLOOKUP($N226,Charms!B:S,14,FALSE),"")</f>
        <v/>
      </c>
      <c r="C227" s="303"/>
      <c r="D227" s="303"/>
      <c r="E227" s="303"/>
      <c r="F227" s="303"/>
      <c r="G227" s="303"/>
      <c r="H227" s="303"/>
      <c r="I227" s="303"/>
      <c r="J227" s="303"/>
      <c r="K227" s="303"/>
      <c r="L227" s="303"/>
      <c r="M227" s="303"/>
      <c r="N227" s="303"/>
      <c r="O227" s="303"/>
      <c r="P227" s="303"/>
      <c r="Q227" s="303"/>
      <c r="R227" s="303"/>
      <c r="S227" s="303"/>
      <c r="T227" s="303"/>
      <c r="U227" s="303"/>
      <c r="V227" s="303"/>
      <c r="W227" s="303"/>
      <c r="X227" s="303"/>
      <c r="Y227" s="303"/>
      <c r="Z227" s="303"/>
      <c r="AA227" s="303"/>
      <c r="AB227" s="303"/>
      <c r="AC227" s="303"/>
      <c r="AD227" s="303"/>
      <c r="AE227" s="303"/>
      <c r="AF227" s="303"/>
      <c r="AG227" s="303"/>
      <c r="AH227" s="303"/>
      <c r="AI227" s="303"/>
      <c r="AJ227" s="303"/>
      <c r="AK227" s="303"/>
      <c r="AL227" s="303"/>
      <c r="AM227" s="303"/>
      <c r="AN227" s="303"/>
      <c r="AO227" s="303"/>
      <c r="AP227" s="303"/>
      <c r="AQ227" s="303"/>
      <c r="AR227" s="303"/>
      <c r="AS227" s="303"/>
      <c r="AT227" s="303"/>
      <c r="AU227" s="303"/>
      <c r="AV227" s="303"/>
      <c r="AW227" s="303"/>
      <c r="AX227" s="303"/>
      <c r="AY227" s="304"/>
    </row>
    <row r="228" spans="1:51" ht="20.100000000000001" hidden="1" customHeight="1">
      <c r="A228" s="311"/>
      <c r="B228" s="305"/>
      <c r="C228" s="305"/>
      <c r="D228" s="305"/>
      <c r="E228" s="305"/>
      <c r="F228" s="305"/>
      <c r="G228" s="305"/>
      <c r="H228" s="305"/>
      <c r="I228" s="305"/>
      <c r="J228" s="305"/>
      <c r="K228" s="305"/>
      <c r="L228" s="305"/>
      <c r="M228" s="305"/>
      <c r="N228" s="305"/>
      <c r="O228" s="305"/>
      <c r="P228" s="305"/>
      <c r="Q228" s="305"/>
      <c r="R228" s="305"/>
      <c r="S228" s="305"/>
      <c r="T228" s="305"/>
      <c r="U228" s="305"/>
      <c r="V228" s="305"/>
      <c r="W228" s="305"/>
      <c r="X228" s="305"/>
      <c r="Y228" s="305"/>
      <c r="Z228" s="305"/>
      <c r="AA228" s="305"/>
      <c r="AB228" s="305"/>
      <c r="AC228" s="305"/>
      <c r="AD228" s="305"/>
      <c r="AE228" s="305"/>
      <c r="AF228" s="305"/>
      <c r="AG228" s="305"/>
      <c r="AH228" s="305"/>
      <c r="AI228" s="305"/>
      <c r="AJ228" s="305"/>
      <c r="AK228" s="305"/>
      <c r="AL228" s="305"/>
      <c r="AM228" s="305"/>
      <c r="AN228" s="305"/>
      <c r="AO228" s="305"/>
      <c r="AP228" s="305"/>
      <c r="AQ228" s="305"/>
      <c r="AR228" s="305"/>
      <c r="AS228" s="305"/>
      <c r="AT228" s="305"/>
      <c r="AU228" s="305"/>
      <c r="AV228" s="305"/>
      <c r="AW228" s="305"/>
      <c r="AX228" s="305"/>
      <c r="AY228" s="306"/>
    </row>
    <row r="229" spans="1:51" ht="20.100000000000001" hidden="1" customHeight="1">
      <c r="A229" s="309">
        <v>38</v>
      </c>
      <c r="B229" s="302"/>
      <c r="C229" s="302"/>
      <c r="D229" s="302"/>
      <c r="E229" s="302"/>
      <c r="F229" s="302"/>
      <c r="G229" s="124"/>
      <c r="H229" s="302"/>
      <c r="I229" s="302"/>
      <c r="J229" s="302"/>
      <c r="K229" s="302"/>
      <c r="L229" s="302"/>
      <c r="M229" s="125"/>
      <c r="N229" s="302"/>
      <c r="O229" s="302"/>
      <c r="P229" s="302"/>
      <c r="Q229" s="302"/>
      <c r="R229" s="302"/>
      <c r="S229" s="302"/>
      <c r="T229" s="302"/>
      <c r="U229" s="302"/>
      <c r="V229" s="302"/>
      <c r="W229" s="302"/>
      <c r="X229" s="302"/>
      <c r="Y229" s="302"/>
      <c r="Z229" s="302"/>
      <c r="AA229" s="302"/>
      <c r="AB229" s="125"/>
      <c r="AC229" s="302" t="str">
        <f>IFERROR(VLOOKUP($N229,Charms!B:S,10,FALSE),"")</f>
        <v/>
      </c>
      <c r="AD229" s="302"/>
      <c r="AE229" s="302"/>
      <c r="AF229" s="302"/>
      <c r="AG229" s="302"/>
      <c r="AH229" s="125"/>
      <c r="AI229" s="302" t="str">
        <f>IFERROR(VLOOKUP($N229,Charms!B:S,12,FALSE),"")</f>
        <v/>
      </c>
      <c r="AJ229" s="302"/>
      <c r="AK229" s="302"/>
      <c r="AL229" s="302"/>
      <c r="AM229" s="125"/>
      <c r="AN229" s="302" t="str">
        <f>IFERROR(VLOOKUP($N229,Charms!B:S,4,FALSE),"")</f>
        <v/>
      </c>
      <c r="AO229" s="302"/>
      <c r="AP229" s="302"/>
      <c r="AQ229" s="302"/>
      <c r="AR229" s="302"/>
      <c r="AS229" s="125"/>
      <c r="AT229" s="302" t="str">
        <f>IFERROR(IF(VLOOKUP($N229,Charms!B:S,2,FALSE)="","Main",VLOOKUP($N229,Charms!B:S,2,FALSE)),"")</f>
        <v/>
      </c>
      <c r="AU229" s="302"/>
      <c r="AV229" s="125"/>
      <c r="AW229" s="302" t="str">
        <f>IFERROR(VLOOKUP($N229,Charms!B:S,3,FALSE),"")</f>
        <v/>
      </c>
      <c r="AX229" s="302"/>
      <c r="AY229" s="307"/>
    </row>
    <row r="230" spans="1:51" ht="20.100000000000001" hidden="1" customHeight="1">
      <c r="A230" s="310"/>
      <c r="B230" s="303" t="str">
        <f>IFERROR(VLOOKUP($N229,Charms!B:S,14,FALSE),"")</f>
        <v/>
      </c>
      <c r="C230" s="303"/>
      <c r="D230" s="303"/>
      <c r="E230" s="303"/>
      <c r="F230" s="303"/>
      <c r="G230" s="303"/>
      <c r="H230" s="303"/>
      <c r="I230" s="303"/>
      <c r="J230" s="303"/>
      <c r="K230" s="303"/>
      <c r="L230" s="303"/>
      <c r="M230" s="303"/>
      <c r="N230" s="303"/>
      <c r="O230" s="303"/>
      <c r="P230" s="303"/>
      <c r="Q230" s="303"/>
      <c r="R230" s="303"/>
      <c r="S230" s="303"/>
      <c r="T230" s="303"/>
      <c r="U230" s="303"/>
      <c r="V230" s="303"/>
      <c r="W230" s="303"/>
      <c r="X230" s="303"/>
      <c r="Y230" s="303"/>
      <c r="Z230" s="303"/>
      <c r="AA230" s="303"/>
      <c r="AB230" s="303"/>
      <c r="AC230" s="303"/>
      <c r="AD230" s="303"/>
      <c r="AE230" s="303"/>
      <c r="AF230" s="303"/>
      <c r="AG230" s="303"/>
      <c r="AH230" s="303"/>
      <c r="AI230" s="303"/>
      <c r="AJ230" s="303"/>
      <c r="AK230" s="303"/>
      <c r="AL230" s="303"/>
      <c r="AM230" s="303"/>
      <c r="AN230" s="303"/>
      <c r="AO230" s="303"/>
      <c r="AP230" s="303"/>
      <c r="AQ230" s="303"/>
      <c r="AR230" s="303"/>
      <c r="AS230" s="303"/>
      <c r="AT230" s="303"/>
      <c r="AU230" s="303"/>
      <c r="AV230" s="303"/>
      <c r="AW230" s="303"/>
      <c r="AX230" s="303"/>
      <c r="AY230" s="304"/>
    </row>
    <row r="231" spans="1:51" ht="20.100000000000001" hidden="1" customHeight="1">
      <c r="A231" s="311"/>
      <c r="B231" s="305"/>
      <c r="C231" s="305"/>
      <c r="D231" s="305"/>
      <c r="E231" s="305"/>
      <c r="F231" s="305"/>
      <c r="G231" s="305"/>
      <c r="H231" s="305"/>
      <c r="I231" s="305"/>
      <c r="J231" s="305"/>
      <c r="K231" s="305"/>
      <c r="L231" s="305"/>
      <c r="M231" s="305"/>
      <c r="N231" s="305"/>
      <c r="O231" s="305"/>
      <c r="P231" s="305"/>
      <c r="Q231" s="305"/>
      <c r="R231" s="305"/>
      <c r="S231" s="305"/>
      <c r="T231" s="305"/>
      <c r="U231" s="305"/>
      <c r="V231" s="305"/>
      <c r="W231" s="305"/>
      <c r="X231" s="305"/>
      <c r="Y231" s="305"/>
      <c r="Z231" s="305"/>
      <c r="AA231" s="305"/>
      <c r="AB231" s="305"/>
      <c r="AC231" s="305"/>
      <c r="AD231" s="305"/>
      <c r="AE231" s="305"/>
      <c r="AF231" s="305"/>
      <c r="AG231" s="305"/>
      <c r="AH231" s="305"/>
      <c r="AI231" s="305"/>
      <c r="AJ231" s="305"/>
      <c r="AK231" s="305"/>
      <c r="AL231" s="305"/>
      <c r="AM231" s="305"/>
      <c r="AN231" s="305"/>
      <c r="AO231" s="305"/>
      <c r="AP231" s="305"/>
      <c r="AQ231" s="305"/>
      <c r="AR231" s="305"/>
      <c r="AS231" s="305"/>
      <c r="AT231" s="305"/>
      <c r="AU231" s="305"/>
      <c r="AV231" s="305"/>
      <c r="AW231" s="305"/>
      <c r="AX231" s="305"/>
      <c r="AY231" s="306"/>
    </row>
    <row r="232" spans="1:51" ht="20.100000000000001" hidden="1" customHeight="1">
      <c r="A232" s="309">
        <v>39</v>
      </c>
      <c r="B232" s="302"/>
      <c r="C232" s="302"/>
      <c r="D232" s="302"/>
      <c r="E232" s="302"/>
      <c r="F232" s="302"/>
      <c r="G232" s="124"/>
      <c r="H232" s="302"/>
      <c r="I232" s="302"/>
      <c r="J232" s="302"/>
      <c r="K232" s="302"/>
      <c r="L232" s="302"/>
      <c r="M232" s="125"/>
      <c r="N232" s="302"/>
      <c r="O232" s="302"/>
      <c r="P232" s="302"/>
      <c r="Q232" s="302"/>
      <c r="R232" s="302"/>
      <c r="S232" s="302"/>
      <c r="T232" s="302"/>
      <c r="U232" s="302"/>
      <c r="V232" s="302"/>
      <c r="W232" s="302"/>
      <c r="X232" s="302"/>
      <c r="Y232" s="302"/>
      <c r="Z232" s="302"/>
      <c r="AA232" s="302"/>
      <c r="AB232" s="125"/>
      <c r="AC232" s="302" t="str">
        <f>IFERROR(VLOOKUP($N232,Charms!B:S,10,FALSE),"")</f>
        <v/>
      </c>
      <c r="AD232" s="302"/>
      <c r="AE232" s="302"/>
      <c r="AF232" s="302"/>
      <c r="AG232" s="302"/>
      <c r="AH232" s="125"/>
      <c r="AI232" s="302" t="str">
        <f>IFERROR(VLOOKUP($N232,Charms!B:S,12,FALSE),"")</f>
        <v/>
      </c>
      <c r="AJ232" s="302"/>
      <c r="AK232" s="302"/>
      <c r="AL232" s="302"/>
      <c r="AM232" s="125"/>
      <c r="AN232" s="302" t="str">
        <f>IFERROR(VLOOKUP($N232,Charms!B:S,4,FALSE),"")</f>
        <v/>
      </c>
      <c r="AO232" s="302"/>
      <c r="AP232" s="302"/>
      <c r="AQ232" s="302"/>
      <c r="AR232" s="302"/>
      <c r="AS232" s="125"/>
      <c r="AT232" s="302" t="str">
        <f>IFERROR(IF(VLOOKUP($N232,Charms!B:S,2,FALSE)="","Main",VLOOKUP($N232,Charms!B:S,2,FALSE)),"")</f>
        <v/>
      </c>
      <c r="AU232" s="302"/>
      <c r="AV232" s="125"/>
      <c r="AW232" s="302" t="str">
        <f>IFERROR(VLOOKUP($N232,Charms!B:S,3,FALSE),"")</f>
        <v/>
      </c>
      <c r="AX232" s="302"/>
      <c r="AY232" s="307"/>
    </row>
    <row r="233" spans="1:51" ht="20.100000000000001" hidden="1" customHeight="1">
      <c r="A233" s="310"/>
      <c r="B233" s="303" t="str">
        <f>IFERROR(VLOOKUP($N232,Charms!B:S,14,FALSE),"")</f>
        <v/>
      </c>
      <c r="C233" s="303"/>
      <c r="D233" s="303"/>
      <c r="E233" s="303"/>
      <c r="F233" s="303"/>
      <c r="G233" s="303"/>
      <c r="H233" s="303"/>
      <c r="I233" s="303"/>
      <c r="J233" s="303"/>
      <c r="K233" s="303"/>
      <c r="L233" s="303"/>
      <c r="M233" s="303"/>
      <c r="N233" s="303"/>
      <c r="O233" s="303"/>
      <c r="P233" s="303"/>
      <c r="Q233" s="303"/>
      <c r="R233" s="303"/>
      <c r="S233" s="303"/>
      <c r="T233" s="303"/>
      <c r="U233" s="303"/>
      <c r="V233" s="303"/>
      <c r="W233" s="303"/>
      <c r="X233" s="303"/>
      <c r="Y233" s="303"/>
      <c r="Z233" s="303"/>
      <c r="AA233" s="303"/>
      <c r="AB233" s="303"/>
      <c r="AC233" s="303"/>
      <c r="AD233" s="303"/>
      <c r="AE233" s="303"/>
      <c r="AF233" s="303"/>
      <c r="AG233" s="303"/>
      <c r="AH233" s="303"/>
      <c r="AI233" s="303"/>
      <c r="AJ233" s="303"/>
      <c r="AK233" s="303"/>
      <c r="AL233" s="303"/>
      <c r="AM233" s="303"/>
      <c r="AN233" s="303"/>
      <c r="AO233" s="303"/>
      <c r="AP233" s="303"/>
      <c r="AQ233" s="303"/>
      <c r="AR233" s="303"/>
      <c r="AS233" s="303"/>
      <c r="AT233" s="303"/>
      <c r="AU233" s="303"/>
      <c r="AV233" s="303"/>
      <c r="AW233" s="303"/>
      <c r="AX233" s="303"/>
      <c r="AY233" s="304"/>
    </row>
    <row r="234" spans="1:51" ht="20.100000000000001" hidden="1" customHeight="1">
      <c r="A234" s="311"/>
      <c r="B234" s="305"/>
      <c r="C234" s="305"/>
      <c r="D234" s="305"/>
      <c r="E234" s="305"/>
      <c r="F234" s="305"/>
      <c r="G234" s="305"/>
      <c r="H234" s="305"/>
      <c r="I234" s="305"/>
      <c r="J234" s="305"/>
      <c r="K234" s="305"/>
      <c r="L234" s="305"/>
      <c r="M234" s="305"/>
      <c r="N234" s="305"/>
      <c r="O234" s="305"/>
      <c r="P234" s="305"/>
      <c r="Q234" s="305"/>
      <c r="R234" s="305"/>
      <c r="S234" s="305"/>
      <c r="T234" s="305"/>
      <c r="U234" s="305"/>
      <c r="V234" s="305"/>
      <c r="W234" s="305"/>
      <c r="X234" s="305"/>
      <c r="Y234" s="305"/>
      <c r="Z234" s="305"/>
      <c r="AA234" s="305"/>
      <c r="AB234" s="305"/>
      <c r="AC234" s="305"/>
      <c r="AD234" s="305"/>
      <c r="AE234" s="305"/>
      <c r="AF234" s="305"/>
      <c r="AG234" s="305"/>
      <c r="AH234" s="305"/>
      <c r="AI234" s="305"/>
      <c r="AJ234" s="305"/>
      <c r="AK234" s="305"/>
      <c r="AL234" s="305"/>
      <c r="AM234" s="305"/>
      <c r="AN234" s="305"/>
      <c r="AO234" s="305"/>
      <c r="AP234" s="305"/>
      <c r="AQ234" s="305"/>
      <c r="AR234" s="305"/>
      <c r="AS234" s="305"/>
      <c r="AT234" s="305"/>
      <c r="AU234" s="305"/>
      <c r="AV234" s="305"/>
      <c r="AW234" s="305"/>
      <c r="AX234" s="305"/>
      <c r="AY234" s="306"/>
    </row>
    <row r="235" spans="1:51" ht="20.100000000000001" hidden="1" customHeight="1">
      <c r="A235" s="309">
        <v>40</v>
      </c>
      <c r="B235" s="302"/>
      <c r="C235" s="302"/>
      <c r="D235" s="302"/>
      <c r="E235" s="302"/>
      <c r="F235" s="302"/>
      <c r="G235" s="124"/>
      <c r="H235" s="302"/>
      <c r="I235" s="302"/>
      <c r="J235" s="302"/>
      <c r="K235" s="302"/>
      <c r="L235" s="302"/>
      <c r="M235" s="125"/>
      <c r="N235" s="302"/>
      <c r="O235" s="302"/>
      <c r="P235" s="302"/>
      <c r="Q235" s="302"/>
      <c r="R235" s="302"/>
      <c r="S235" s="302"/>
      <c r="T235" s="302"/>
      <c r="U235" s="302"/>
      <c r="V235" s="302"/>
      <c r="W235" s="302"/>
      <c r="X235" s="302"/>
      <c r="Y235" s="302"/>
      <c r="Z235" s="302"/>
      <c r="AA235" s="302"/>
      <c r="AB235" s="125"/>
      <c r="AC235" s="302" t="str">
        <f>IFERROR(VLOOKUP($N235,Charms!B:S,10,FALSE),"")</f>
        <v/>
      </c>
      <c r="AD235" s="302"/>
      <c r="AE235" s="302"/>
      <c r="AF235" s="302"/>
      <c r="AG235" s="302"/>
      <c r="AH235" s="125"/>
      <c r="AI235" s="302" t="str">
        <f>IFERROR(VLOOKUP($N235,Charms!B:S,12,FALSE),"")</f>
        <v/>
      </c>
      <c r="AJ235" s="302"/>
      <c r="AK235" s="302"/>
      <c r="AL235" s="302"/>
      <c r="AM235" s="125"/>
      <c r="AN235" s="302" t="str">
        <f>IFERROR(VLOOKUP($N235,Charms!B:S,4,FALSE),"")</f>
        <v/>
      </c>
      <c r="AO235" s="302"/>
      <c r="AP235" s="302"/>
      <c r="AQ235" s="302"/>
      <c r="AR235" s="302"/>
      <c r="AS235" s="125"/>
      <c r="AT235" s="302" t="str">
        <f>IFERROR(IF(VLOOKUP($N235,Charms!B:S,2,FALSE)="","Main",VLOOKUP($N235,Charms!B:S,2,FALSE)),"")</f>
        <v/>
      </c>
      <c r="AU235" s="302"/>
      <c r="AV235" s="125"/>
      <c r="AW235" s="302" t="str">
        <f>IFERROR(VLOOKUP($N235,Charms!B:S,3,FALSE),"")</f>
        <v/>
      </c>
      <c r="AX235" s="302"/>
      <c r="AY235" s="307"/>
    </row>
    <row r="236" spans="1:51" ht="20.100000000000001" hidden="1" customHeight="1">
      <c r="A236" s="310"/>
      <c r="B236" s="303" t="str">
        <f>IFERROR(VLOOKUP($N235,Charms!B:S,14,FALSE),"")</f>
        <v/>
      </c>
      <c r="C236" s="303"/>
      <c r="D236" s="303"/>
      <c r="E236" s="303"/>
      <c r="F236" s="303"/>
      <c r="G236" s="303"/>
      <c r="H236" s="303"/>
      <c r="I236" s="303"/>
      <c r="J236" s="303"/>
      <c r="K236" s="303"/>
      <c r="L236" s="303"/>
      <c r="M236" s="303"/>
      <c r="N236" s="303"/>
      <c r="O236" s="303"/>
      <c r="P236" s="303"/>
      <c r="Q236" s="303"/>
      <c r="R236" s="303"/>
      <c r="S236" s="303"/>
      <c r="T236" s="303"/>
      <c r="U236" s="303"/>
      <c r="V236" s="303"/>
      <c r="W236" s="303"/>
      <c r="X236" s="303"/>
      <c r="Y236" s="303"/>
      <c r="Z236" s="303"/>
      <c r="AA236" s="303"/>
      <c r="AB236" s="303"/>
      <c r="AC236" s="303"/>
      <c r="AD236" s="303"/>
      <c r="AE236" s="303"/>
      <c r="AF236" s="303"/>
      <c r="AG236" s="303"/>
      <c r="AH236" s="303"/>
      <c r="AI236" s="303"/>
      <c r="AJ236" s="303"/>
      <c r="AK236" s="303"/>
      <c r="AL236" s="303"/>
      <c r="AM236" s="303"/>
      <c r="AN236" s="303"/>
      <c r="AO236" s="303"/>
      <c r="AP236" s="303"/>
      <c r="AQ236" s="303"/>
      <c r="AR236" s="303"/>
      <c r="AS236" s="303"/>
      <c r="AT236" s="303"/>
      <c r="AU236" s="303"/>
      <c r="AV236" s="303"/>
      <c r="AW236" s="303"/>
      <c r="AX236" s="303"/>
      <c r="AY236" s="304"/>
    </row>
    <row r="237" spans="1:51" ht="20.100000000000001" hidden="1" customHeight="1">
      <c r="A237" s="311"/>
      <c r="B237" s="305"/>
      <c r="C237" s="305"/>
      <c r="D237" s="305"/>
      <c r="E237" s="305"/>
      <c r="F237" s="305"/>
      <c r="G237" s="305"/>
      <c r="H237" s="305"/>
      <c r="I237" s="305"/>
      <c r="J237" s="305"/>
      <c r="K237" s="305"/>
      <c r="L237" s="305"/>
      <c r="M237" s="305"/>
      <c r="N237" s="305"/>
      <c r="O237" s="305"/>
      <c r="P237" s="305"/>
      <c r="Q237" s="305"/>
      <c r="R237" s="305"/>
      <c r="S237" s="305"/>
      <c r="T237" s="305"/>
      <c r="U237" s="305"/>
      <c r="V237" s="305"/>
      <c r="W237" s="305"/>
      <c r="X237" s="305"/>
      <c r="Y237" s="305"/>
      <c r="Z237" s="305"/>
      <c r="AA237" s="305"/>
      <c r="AB237" s="305"/>
      <c r="AC237" s="305"/>
      <c r="AD237" s="305"/>
      <c r="AE237" s="305"/>
      <c r="AF237" s="305"/>
      <c r="AG237" s="305"/>
      <c r="AH237" s="305"/>
      <c r="AI237" s="305"/>
      <c r="AJ237" s="305"/>
      <c r="AK237" s="305"/>
      <c r="AL237" s="305"/>
      <c r="AM237" s="305"/>
      <c r="AN237" s="305"/>
      <c r="AO237" s="305"/>
      <c r="AP237" s="305"/>
      <c r="AQ237" s="305"/>
      <c r="AR237" s="305"/>
      <c r="AS237" s="305"/>
      <c r="AT237" s="305"/>
      <c r="AU237" s="305"/>
      <c r="AV237" s="305"/>
      <c r="AW237" s="305"/>
      <c r="AX237" s="305"/>
      <c r="AY237" s="306"/>
    </row>
    <row r="238" spans="1:51" ht="20.100000000000001" hidden="1" customHeight="1">
      <c r="A238" s="309">
        <v>41</v>
      </c>
      <c r="B238" s="302"/>
      <c r="C238" s="302"/>
      <c r="D238" s="302"/>
      <c r="E238" s="302"/>
      <c r="F238" s="302"/>
      <c r="G238" s="124"/>
      <c r="H238" s="302"/>
      <c r="I238" s="302"/>
      <c r="J238" s="302"/>
      <c r="K238" s="302"/>
      <c r="L238" s="302"/>
      <c r="M238" s="125"/>
      <c r="N238" s="302"/>
      <c r="O238" s="302"/>
      <c r="P238" s="302"/>
      <c r="Q238" s="302"/>
      <c r="R238" s="302"/>
      <c r="S238" s="302"/>
      <c r="T238" s="302"/>
      <c r="U238" s="302"/>
      <c r="V238" s="302"/>
      <c r="W238" s="302"/>
      <c r="X238" s="302"/>
      <c r="Y238" s="302"/>
      <c r="Z238" s="302"/>
      <c r="AA238" s="302"/>
      <c r="AB238" s="125"/>
      <c r="AC238" s="302" t="str">
        <f>IFERROR(VLOOKUP($N238,Charms!B:S,10,FALSE),"")</f>
        <v/>
      </c>
      <c r="AD238" s="302"/>
      <c r="AE238" s="302"/>
      <c r="AF238" s="302"/>
      <c r="AG238" s="302"/>
      <c r="AH238" s="125"/>
      <c r="AI238" s="302" t="str">
        <f>IFERROR(VLOOKUP($N238,Charms!B:S,12,FALSE),"")</f>
        <v/>
      </c>
      <c r="AJ238" s="302"/>
      <c r="AK238" s="302"/>
      <c r="AL238" s="302"/>
      <c r="AM238" s="125"/>
      <c r="AN238" s="302" t="str">
        <f>IFERROR(VLOOKUP($N238,Charms!B:S,4,FALSE),"")</f>
        <v/>
      </c>
      <c r="AO238" s="302"/>
      <c r="AP238" s="302"/>
      <c r="AQ238" s="302"/>
      <c r="AR238" s="302"/>
      <c r="AS238" s="125"/>
      <c r="AT238" s="302" t="str">
        <f>IFERROR(IF(VLOOKUP($N238,Charms!B:S,2,FALSE)="","Main",VLOOKUP($N238,Charms!B:S,2,FALSE)),"")</f>
        <v/>
      </c>
      <c r="AU238" s="302"/>
      <c r="AV238" s="125"/>
      <c r="AW238" s="302" t="str">
        <f>IFERROR(VLOOKUP($N238,Charms!B:S,3,FALSE),"")</f>
        <v/>
      </c>
      <c r="AX238" s="302"/>
      <c r="AY238" s="307"/>
    </row>
    <row r="239" spans="1:51" ht="20.100000000000001" hidden="1" customHeight="1">
      <c r="A239" s="310"/>
      <c r="B239" s="303" t="str">
        <f>IFERROR(VLOOKUP($N238,Charms!B:S,14,FALSE),"")</f>
        <v/>
      </c>
      <c r="C239" s="303"/>
      <c r="D239" s="303"/>
      <c r="E239" s="303"/>
      <c r="F239" s="303"/>
      <c r="G239" s="303"/>
      <c r="H239" s="303"/>
      <c r="I239" s="303"/>
      <c r="J239" s="303"/>
      <c r="K239" s="303"/>
      <c r="L239" s="303"/>
      <c r="M239" s="303"/>
      <c r="N239" s="303"/>
      <c r="O239" s="303"/>
      <c r="P239" s="303"/>
      <c r="Q239" s="303"/>
      <c r="R239" s="303"/>
      <c r="S239" s="303"/>
      <c r="T239" s="303"/>
      <c r="U239" s="303"/>
      <c r="V239" s="303"/>
      <c r="W239" s="303"/>
      <c r="X239" s="303"/>
      <c r="Y239" s="303"/>
      <c r="Z239" s="303"/>
      <c r="AA239" s="303"/>
      <c r="AB239" s="303"/>
      <c r="AC239" s="303"/>
      <c r="AD239" s="303"/>
      <c r="AE239" s="303"/>
      <c r="AF239" s="303"/>
      <c r="AG239" s="303"/>
      <c r="AH239" s="303"/>
      <c r="AI239" s="303"/>
      <c r="AJ239" s="303"/>
      <c r="AK239" s="303"/>
      <c r="AL239" s="303"/>
      <c r="AM239" s="303"/>
      <c r="AN239" s="303"/>
      <c r="AO239" s="303"/>
      <c r="AP239" s="303"/>
      <c r="AQ239" s="303"/>
      <c r="AR239" s="303"/>
      <c r="AS239" s="303"/>
      <c r="AT239" s="303"/>
      <c r="AU239" s="303"/>
      <c r="AV239" s="303"/>
      <c r="AW239" s="303"/>
      <c r="AX239" s="303"/>
      <c r="AY239" s="304"/>
    </row>
    <row r="240" spans="1:51" ht="20.100000000000001" hidden="1" customHeight="1">
      <c r="A240" s="311"/>
      <c r="B240" s="305"/>
      <c r="C240" s="305"/>
      <c r="D240" s="305"/>
      <c r="E240" s="305"/>
      <c r="F240" s="305"/>
      <c r="G240" s="305"/>
      <c r="H240" s="305"/>
      <c r="I240" s="305"/>
      <c r="J240" s="305"/>
      <c r="K240" s="305"/>
      <c r="L240" s="305"/>
      <c r="M240" s="305"/>
      <c r="N240" s="305"/>
      <c r="O240" s="305"/>
      <c r="P240" s="305"/>
      <c r="Q240" s="305"/>
      <c r="R240" s="305"/>
      <c r="S240" s="305"/>
      <c r="T240" s="305"/>
      <c r="U240" s="305"/>
      <c r="V240" s="305"/>
      <c r="W240" s="305"/>
      <c r="X240" s="305"/>
      <c r="Y240" s="305"/>
      <c r="Z240" s="305"/>
      <c r="AA240" s="305"/>
      <c r="AB240" s="305"/>
      <c r="AC240" s="305"/>
      <c r="AD240" s="305"/>
      <c r="AE240" s="305"/>
      <c r="AF240" s="305"/>
      <c r="AG240" s="305"/>
      <c r="AH240" s="305"/>
      <c r="AI240" s="305"/>
      <c r="AJ240" s="305"/>
      <c r="AK240" s="305"/>
      <c r="AL240" s="305"/>
      <c r="AM240" s="305"/>
      <c r="AN240" s="305"/>
      <c r="AO240" s="305"/>
      <c r="AP240" s="305"/>
      <c r="AQ240" s="305"/>
      <c r="AR240" s="305"/>
      <c r="AS240" s="305"/>
      <c r="AT240" s="305"/>
      <c r="AU240" s="305"/>
      <c r="AV240" s="305"/>
      <c r="AW240" s="305"/>
      <c r="AX240" s="305"/>
      <c r="AY240" s="306"/>
    </row>
    <row r="241" spans="1:51" ht="20.100000000000001" hidden="1" customHeight="1">
      <c r="A241" s="309">
        <v>42</v>
      </c>
      <c r="B241" s="302"/>
      <c r="C241" s="302"/>
      <c r="D241" s="302"/>
      <c r="E241" s="302"/>
      <c r="F241" s="302"/>
      <c r="G241" s="124"/>
      <c r="H241" s="302"/>
      <c r="I241" s="302"/>
      <c r="J241" s="302"/>
      <c r="K241" s="302"/>
      <c r="L241" s="302"/>
      <c r="M241" s="125"/>
      <c r="N241" s="302"/>
      <c r="O241" s="302"/>
      <c r="P241" s="302"/>
      <c r="Q241" s="302"/>
      <c r="R241" s="302"/>
      <c r="S241" s="302"/>
      <c r="T241" s="302"/>
      <c r="U241" s="302"/>
      <c r="V241" s="302"/>
      <c r="W241" s="302"/>
      <c r="X241" s="302"/>
      <c r="Y241" s="302"/>
      <c r="Z241" s="302"/>
      <c r="AA241" s="302"/>
      <c r="AB241" s="125"/>
      <c r="AC241" s="302" t="str">
        <f>IFERROR(VLOOKUP($N241,Charms!B:S,10,FALSE),"")</f>
        <v/>
      </c>
      <c r="AD241" s="302"/>
      <c r="AE241" s="302"/>
      <c r="AF241" s="302"/>
      <c r="AG241" s="302"/>
      <c r="AH241" s="125"/>
      <c r="AI241" s="302" t="str">
        <f>IFERROR(VLOOKUP($N241,Charms!B:S,12,FALSE),"")</f>
        <v/>
      </c>
      <c r="AJ241" s="302"/>
      <c r="AK241" s="302"/>
      <c r="AL241" s="302"/>
      <c r="AM241" s="125"/>
      <c r="AN241" s="302" t="str">
        <f>IFERROR(VLOOKUP($N241,Charms!B:S,4,FALSE),"")</f>
        <v/>
      </c>
      <c r="AO241" s="302"/>
      <c r="AP241" s="302"/>
      <c r="AQ241" s="302"/>
      <c r="AR241" s="302"/>
      <c r="AS241" s="125"/>
      <c r="AT241" s="302" t="str">
        <f>IFERROR(IF(VLOOKUP($N241,Charms!B:S,2,FALSE)="","Main",VLOOKUP($N241,Charms!B:S,2,FALSE)),"")</f>
        <v/>
      </c>
      <c r="AU241" s="302"/>
      <c r="AV241" s="125"/>
      <c r="AW241" s="302" t="str">
        <f>IFERROR(VLOOKUP($N241,Charms!B:S,3,FALSE),"")</f>
        <v/>
      </c>
      <c r="AX241" s="302"/>
      <c r="AY241" s="307"/>
    </row>
    <row r="242" spans="1:51" ht="20.100000000000001" hidden="1" customHeight="1">
      <c r="A242" s="310"/>
      <c r="B242" s="303" t="str">
        <f>IFERROR(VLOOKUP($N241,Charms!B:S,14,FALSE),"")</f>
        <v/>
      </c>
      <c r="C242" s="303"/>
      <c r="D242" s="303"/>
      <c r="E242" s="303"/>
      <c r="F242" s="303"/>
      <c r="G242" s="303"/>
      <c r="H242" s="303"/>
      <c r="I242" s="303"/>
      <c r="J242" s="303"/>
      <c r="K242" s="303"/>
      <c r="L242" s="303"/>
      <c r="M242" s="303"/>
      <c r="N242" s="303"/>
      <c r="O242" s="303"/>
      <c r="P242" s="303"/>
      <c r="Q242" s="303"/>
      <c r="R242" s="303"/>
      <c r="S242" s="303"/>
      <c r="T242" s="303"/>
      <c r="U242" s="303"/>
      <c r="V242" s="303"/>
      <c r="W242" s="303"/>
      <c r="X242" s="303"/>
      <c r="Y242" s="303"/>
      <c r="Z242" s="303"/>
      <c r="AA242" s="303"/>
      <c r="AB242" s="303"/>
      <c r="AC242" s="303"/>
      <c r="AD242" s="303"/>
      <c r="AE242" s="303"/>
      <c r="AF242" s="303"/>
      <c r="AG242" s="303"/>
      <c r="AH242" s="303"/>
      <c r="AI242" s="303"/>
      <c r="AJ242" s="303"/>
      <c r="AK242" s="303"/>
      <c r="AL242" s="303"/>
      <c r="AM242" s="303"/>
      <c r="AN242" s="303"/>
      <c r="AO242" s="303"/>
      <c r="AP242" s="303"/>
      <c r="AQ242" s="303"/>
      <c r="AR242" s="303"/>
      <c r="AS242" s="303"/>
      <c r="AT242" s="303"/>
      <c r="AU242" s="303"/>
      <c r="AV242" s="303"/>
      <c r="AW242" s="303"/>
      <c r="AX242" s="303"/>
      <c r="AY242" s="304"/>
    </row>
    <row r="243" spans="1:51" ht="20.100000000000001" hidden="1" customHeight="1">
      <c r="A243" s="311"/>
      <c r="B243" s="305"/>
      <c r="C243" s="305"/>
      <c r="D243" s="305"/>
      <c r="E243" s="305"/>
      <c r="F243" s="305"/>
      <c r="G243" s="305"/>
      <c r="H243" s="305"/>
      <c r="I243" s="305"/>
      <c r="J243" s="305"/>
      <c r="K243" s="305"/>
      <c r="L243" s="305"/>
      <c r="M243" s="305"/>
      <c r="N243" s="305"/>
      <c r="O243" s="305"/>
      <c r="P243" s="305"/>
      <c r="Q243" s="305"/>
      <c r="R243" s="305"/>
      <c r="S243" s="305"/>
      <c r="T243" s="305"/>
      <c r="U243" s="305"/>
      <c r="V243" s="305"/>
      <c r="W243" s="305"/>
      <c r="X243" s="305"/>
      <c r="Y243" s="305"/>
      <c r="Z243" s="305"/>
      <c r="AA243" s="305"/>
      <c r="AB243" s="305"/>
      <c r="AC243" s="305"/>
      <c r="AD243" s="305"/>
      <c r="AE243" s="305"/>
      <c r="AF243" s="305"/>
      <c r="AG243" s="305"/>
      <c r="AH243" s="305"/>
      <c r="AI243" s="305"/>
      <c r="AJ243" s="305"/>
      <c r="AK243" s="305"/>
      <c r="AL243" s="305"/>
      <c r="AM243" s="305"/>
      <c r="AN243" s="305"/>
      <c r="AO243" s="305"/>
      <c r="AP243" s="305"/>
      <c r="AQ243" s="305"/>
      <c r="AR243" s="305"/>
      <c r="AS243" s="305"/>
      <c r="AT243" s="305"/>
      <c r="AU243" s="305"/>
      <c r="AV243" s="305"/>
      <c r="AW243" s="305"/>
      <c r="AX243" s="305"/>
      <c r="AY243" s="306"/>
    </row>
    <row r="244" spans="1:51" ht="20.100000000000001" hidden="1" customHeight="1">
      <c r="A244" s="309">
        <v>43</v>
      </c>
      <c r="B244" s="302"/>
      <c r="C244" s="302"/>
      <c r="D244" s="302"/>
      <c r="E244" s="302"/>
      <c r="F244" s="302"/>
      <c r="G244" s="124"/>
      <c r="H244" s="302"/>
      <c r="I244" s="302"/>
      <c r="J244" s="302"/>
      <c r="K244" s="302"/>
      <c r="L244" s="302"/>
      <c r="M244" s="125"/>
      <c r="N244" s="302"/>
      <c r="O244" s="302"/>
      <c r="P244" s="302"/>
      <c r="Q244" s="302"/>
      <c r="R244" s="302"/>
      <c r="S244" s="302"/>
      <c r="T244" s="302"/>
      <c r="U244" s="302"/>
      <c r="V244" s="302"/>
      <c r="W244" s="302"/>
      <c r="X244" s="302"/>
      <c r="Y244" s="302"/>
      <c r="Z244" s="302"/>
      <c r="AA244" s="302"/>
      <c r="AB244" s="125"/>
      <c r="AC244" s="302" t="str">
        <f>IFERROR(VLOOKUP($N244,Charms!B:S,10,FALSE),"")</f>
        <v/>
      </c>
      <c r="AD244" s="302"/>
      <c r="AE244" s="302"/>
      <c r="AF244" s="302"/>
      <c r="AG244" s="302"/>
      <c r="AH244" s="125"/>
      <c r="AI244" s="302" t="str">
        <f>IFERROR(VLOOKUP($N244,Charms!B:S,12,FALSE),"")</f>
        <v/>
      </c>
      <c r="AJ244" s="302"/>
      <c r="AK244" s="302"/>
      <c r="AL244" s="302"/>
      <c r="AM244" s="125"/>
      <c r="AN244" s="302" t="str">
        <f>IFERROR(VLOOKUP($N244,Charms!B:S,4,FALSE),"")</f>
        <v/>
      </c>
      <c r="AO244" s="302"/>
      <c r="AP244" s="302"/>
      <c r="AQ244" s="302"/>
      <c r="AR244" s="302"/>
      <c r="AS244" s="125"/>
      <c r="AT244" s="302" t="str">
        <f>IFERROR(IF(VLOOKUP($N244,Charms!B:S,2,FALSE)="","Main",VLOOKUP($N244,Charms!B:S,2,FALSE)),"")</f>
        <v/>
      </c>
      <c r="AU244" s="302"/>
      <c r="AV244" s="125"/>
      <c r="AW244" s="302" t="str">
        <f>IFERROR(VLOOKUP($N244,Charms!B:S,3,FALSE),"")</f>
        <v/>
      </c>
      <c r="AX244" s="302"/>
      <c r="AY244" s="307"/>
    </row>
    <row r="245" spans="1:51" ht="20.100000000000001" hidden="1" customHeight="1">
      <c r="A245" s="310"/>
      <c r="B245" s="303" t="str">
        <f>IFERROR(VLOOKUP($N244,Charms!B:S,14,FALSE),"")</f>
        <v/>
      </c>
      <c r="C245" s="303"/>
      <c r="D245" s="303"/>
      <c r="E245" s="303"/>
      <c r="F245" s="303"/>
      <c r="G245" s="303"/>
      <c r="H245" s="303"/>
      <c r="I245" s="303"/>
      <c r="J245" s="303"/>
      <c r="K245" s="303"/>
      <c r="L245" s="303"/>
      <c r="M245" s="303"/>
      <c r="N245" s="303"/>
      <c r="O245" s="303"/>
      <c r="P245" s="303"/>
      <c r="Q245" s="303"/>
      <c r="R245" s="303"/>
      <c r="S245" s="303"/>
      <c r="T245" s="303"/>
      <c r="U245" s="303"/>
      <c r="V245" s="303"/>
      <c r="W245" s="303"/>
      <c r="X245" s="303"/>
      <c r="Y245" s="303"/>
      <c r="Z245" s="303"/>
      <c r="AA245" s="303"/>
      <c r="AB245" s="303"/>
      <c r="AC245" s="303"/>
      <c r="AD245" s="303"/>
      <c r="AE245" s="303"/>
      <c r="AF245" s="303"/>
      <c r="AG245" s="303"/>
      <c r="AH245" s="303"/>
      <c r="AI245" s="303"/>
      <c r="AJ245" s="303"/>
      <c r="AK245" s="303"/>
      <c r="AL245" s="303"/>
      <c r="AM245" s="303"/>
      <c r="AN245" s="303"/>
      <c r="AO245" s="303"/>
      <c r="AP245" s="303"/>
      <c r="AQ245" s="303"/>
      <c r="AR245" s="303"/>
      <c r="AS245" s="303"/>
      <c r="AT245" s="303"/>
      <c r="AU245" s="303"/>
      <c r="AV245" s="303"/>
      <c r="AW245" s="303"/>
      <c r="AX245" s="303"/>
      <c r="AY245" s="304"/>
    </row>
    <row r="246" spans="1:51" ht="20.100000000000001" hidden="1" customHeight="1">
      <c r="A246" s="311"/>
      <c r="B246" s="305"/>
      <c r="C246" s="305"/>
      <c r="D246" s="305"/>
      <c r="E246" s="305"/>
      <c r="F246" s="305"/>
      <c r="G246" s="305"/>
      <c r="H246" s="305"/>
      <c r="I246" s="305"/>
      <c r="J246" s="305"/>
      <c r="K246" s="305"/>
      <c r="L246" s="305"/>
      <c r="M246" s="305"/>
      <c r="N246" s="305"/>
      <c r="O246" s="305"/>
      <c r="P246" s="305"/>
      <c r="Q246" s="305"/>
      <c r="R246" s="305"/>
      <c r="S246" s="305"/>
      <c r="T246" s="305"/>
      <c r="U246" s="305"/>
      <c r="V246" s="305"/>
      <c r="W246" s="305"/>
      <c r="X246" s="305"/>
      <c r="Y246" s="305"/>
      <c r="Z246" s="305"/>
      <c r="AA246" s="305"/>
      <c r="AB246" s="305"/>
      <c r="AC246" s="305"/>
      <c r="AD246" s="305"/>
      <c r="AE246" s="305"/>
      <c r="AF246" s="305"/>
      <c r="AG246" s="305"/>
      <c r="AH246" s="305"/>
      <c r="AI246" s="305"/>
      <c r="AJ246" s="305"/>
      <c r="AK246" s="305"/>
      <c r="AL246" s="305"/>
      <c r="AM246" s="305"/>
      <c r="AN246" s="305"/>
      <c r="AO246" s="305"/>
      <c r="AP246" s="305"/>
      <c r="AQ246" s="305"/>
      <c r="AR246" s="305"/>
      <c r="AS246" s="305"/>
      <c r="AT246" s="305"/>
      <c r="AU246" s="305"/>
      <c r="AV246" s="305"/>
      <c r="AW246" s="305"/>
      <c r="AX246" s="305"/>
      <c r="AY246" s="306"/>
    </row>
    <row r="247" spans="1:51" ht="20.100000000000001" hidden="1" customHeight="1">
      <c r="A247" s="309">
        <v>44</v>
      </c>
      <c r="B247" s="302"/>
      <c r="C247" s="302"/>
      <c r="D247" s="302"/>
      <c r="E247" s="302"/>
      <c r="F247" s="302"/>
      <c r="G247" s="124"/>
      <c r="H247" s="302"/>
      <c r="I247" s="302"/>
      <c r="J247" s="302"/>
      <c r="K247" s="302"/>
      <c r="L247" s="302"/>
      <c r="M247" s="125"/>
      <c r="N247" s="302"/>
      <c r="O247" s="302"/>
      <c r="P247" s="302"/>
      <c r="Q247" s="302"/>
      <c r="R247" s="302"/>
      <c r="S247" s="302"/>
      <c r="T247" s="302"/>
      <c r="U247" s="302"/>
      <c r="V247" s="302"/>
      <c r="W247" s="302"/>
      <c r="X247" s="302"/>
      <c r="Y247" s="302"/>
      <c r="Z247" s="302"/>
      <c r="AA247" s="302"/>
      <c r="AB247" s="125"/>
      <c r="AC247" s="302" t="str">
        <f>IFERROR(VLOOKUP($N247,Charms!B:S,10,FALSE),"")</f>
        <v/>
      </c>
      <c r="AD247" s="302"/>
      <c r="AE247" s="302"/>
      <c r="AF247" s="302"/>
      <c r="AG247" s="302"/>
      <c r="AH247" s="125"/>
      <c r="AI247" s="302" t="str">
        <f>IFERROR(VLOOKUP($N247,Charms!B:S,12,FALSE),"")</f>
        <v/>
      </c>
      <c r="AJ247" s="302"/>
      <c r="AK247" s="302"/>
      <c r="AL247" s="302"/>
      <c r="AM247" s="125"/>
      <c r="AN247" s="302" t="str">
        <f>IFERROR(VLOOKUP($N247,Charms!B:S,4,FALSE),"")</f>
        <v/>
      </c>
      <c r="AO247" s="302"/>
      <c r="AP247" s="302"/>
      <c r="AQ247" s="302"/>
      <c r="AR247" s="302"/>
      <c r="AS247" s="125"/>
      <c r="AT247" s="302" t="str">
        <f>IFERROR(IF(VLOOKUP($N247,Charms!B:S,2,FALSE)="","Main",VLOOKUP($N247,Charms!B:S,2,FALSE)),"")</f>
        <v/>
      </c>
      <c r="AU247" s="302"/>
      <c r="AV247" s="125"/>
      <c r="AW247" s="302" t="str">
        <f>IFERROR(VLOOKUP($N247,Charms!B:S,3,FALSE),"")</f>
        <v/>
      </c>
      <c r="AX247" s="302"/>
      <c r="AY247" s="307"/>
    </row>
    <row r="248" spans="1:51" ht="20.100000000000001" hidden="1" customHeight="1">
      <c r="A248" s="310"/>
      <c r="B248" s="303" t="str">
        <f>IFERROR(VLOOKUP($N247,Charms!B:S,14,FALSE),"")</f>
        <v/>
      </c>
      <c r="C248" s="303"/>
      <c r="D248" s="303"/>
      <c r="E248" s="303"/>
      <c r="F248" s="303"/>
      <c r="G248" s="303"/>
      <c r="H248" s="303"/>
      <c r="I248" s="303"/>
      <c r="J248" s="303"/>
      <c r="K248" s="303"/>
      <c r="L248" s="303"/>
      <c r="M248" s="303"/>
      <c r="N248" s="303"/>
      <c r="O248" s="303"/>
      <c r="P248" s="303"/>
      <c r="Q248" s="303"/>
      <c r="R248" s="303"/>
      <c r="S248" s="303"/>
      <c r="T248" s="303"/>
      <c r="U248" s="303"/>
      <c r="V248" s="303"/>
      <c r="W248" s="303"/>
      <c r="X248" s="303"/>
      <c r="Y248" s="303"/>
      <c r="Z248" s="303"/>
      <c r="AA248" s="303"/>
      <c r="AB248" s="303"/>
      <c r="AC248" s="303"/>
      <c r="AD248" s="303"/>
      <c r="AE248" s="303"/>
      <c r="AF248" s="303"/>
      <c r="AG248" s="303"/>
      <c r="AH248" s="303"/>
      <c r="AI248" s="303"/>
      <c r="AJ248" s="303"/>
      <c r="AK248" s="303"/>
      <c r="AL248" s="303"/>
      <c r="AM248" s="303"/>
      <c r="AN248" s="303"/>
      <c r="AO248" s="303"/>
      <c r="AP248" s="303"/>
      <c r="AQ248" s="303"/>
      <c r="AR248" s="303"/>
      <c r="AS248" s="303"/>
      <c r="AT248" s="303"/>
      <c r="AU248" s="303"/>
      <c r="AV248" s="303"/>
      <c r="AW248" s="303"/>
      <c r="AX248" s="303"/>
      <c r="AY248" s="304"/>
    </row>
    <row r="249" spans="1:51" ht="20.100000000000001" hidden="1" customHeight="1">
      <c r="A249" s="311"/>
      <c r="B249" s="305"/>
      <c r="C249" s="305"/>
      <c r="D249" s="305"/>
      <c r="E249" s="305"/>
      <c r="F249" s="305"/>
      <c r="G249" s="305"/>
      <c r="H249" s="305"/>
      <c r="I249" s="305"/>
      <c r="J249" s="305"/>
      <c r="K249" s="305"/>
      <c r="L249" s="305"/>
      <c r="M249" s="305"/>
      <c r="N249" s="305"/>
      <c r="O249" s="305"/>
      <c r="P249" s="305"/>
      <c r="Q249" s="305"/>
      <c r="R249" s="305"/>
      <c r="S249" s="305"/>
      <c r="T249" s="305"/>
      <c r="U249" s="305"/>
      <c r="V249" s="305"/>
      <c r="W249" s="305"/>
      <c r="X249" s="305"/>
      <c r="Y249" s="305"/>
      <c r="Z249" s="305"/>
      <c r="AA249" s="305"/>
      <c r="AB249" s="305"/>
      <c r="AC249" s="305"/>
      <c r="AD249" s="305"/>
      <c r="AE249" s="305"/>
      <c r="AF249" s="305"/>
      <c r="AG249" s="305"/>
      <c r="AH249" s="305"/>
      <c r="AI249" s="305"/>
      <c r="AJ249" s="305"/>
      <c r="AK249" s="305"/>
      <c r="AL249" s="305"/>
      <c r="AM249" s="305"/>
      <c r="AN249" s="305"/>
      <c r="AO249" s="305"/>
      <c r="AP249" s="305"/>
      <c r="AQ249" s="305"/>
      <c r="AR249" s="305"/>
      <c r="AS249" s="305"/>
      <c r="AT249" s="305"/>
      <c r="AU249" s="305"/>
      <c r="AV249" s="305"/>
      <c r="AW249" s="305"/>
      <c r="AX249" s="305"/>
      <c r="AY249" s="306"/>
    </row>
    <row r="250" spans="1:51" ht="20.100000000000001" hidden="1" customHeight="1">
      <c r="A250" s="309">
        <v>45</v>
      </c>
      <c r="B250" s="302"/>
      <c r="C250" s="302"/>
      <c r="D250" s="302"/>
      <c r="E250" s="302"/>
      <c r="F250" s="302"/>
      <c r="G250" s="124"/>
      <c r="H250" s="302"/>
      <c r="I250" s="302"/>
      <c r="J250" s="302"/>
      <c r="K250" s="302"/>
      <c r="L250" s="302"/>
      <c r="M250" s="125"/>
      <c r="N250" s="302"/>
      <c r="O250" s="302"/>
      <c r="P250" s="302"/>
      <c r="Q250" s="302"/>
      <c r="R250" s="302"/>
      <c r="S250" s="302"/>
      <c r="T250" s="302"/>
      <c r="U250" s="302"/>
      <c r="V250" s="302"/>
      <c r="W250" s="302"/>
      <c r="X250" s="302"/>
      <c r="Y250" s="302"/>
      <c r="Z250" s="302"/>
      <c r="AA250" s="302"/>
      <c r="AB250" s="125"/>
      <c r="AC250" s="302" t="str">
        <f>IFERROR(VLOOKUP($N250,Charms!B:S,10,FALSE),"")</f>
        <v/>
      </c>
      <c r="AD250" s="302"/>
      <c r="AE250" s="302"/>
      <c r="AF250" s="302"/>
      <c r="AG250" s="302"/>
      <c r="AH250" s="125"/>
      <c r="AI250" s="302" t="str">
        <f>IFERROR(VLOOKUP($N250,Charms!B:S,12,FALSE),"")</f>
        <v/>
      </c>
      <c r="AJ250" s="302"/>
      <c r="AK250" s="302"/>
      <c r="AL250" s="302"/>
      <c r="AM250" s="125"/>
      <c r="AN250" s="302" t="str">
        <f>IFERROR(VLOOKUP($N250,Charms!B:S,4,FALSE),"")</f>
        <v/>
      </c>
      <c r="AO250" s="302"/>
      <c r="AP250" s="302"/>
      <c r="AQ250" s="302"/>
      <c r="AR250" s="302"/>
      <c r="AS250" s="125"/>
      <c r="AT250" s="302" t="str">
        <f>IFERROR(IF(VLOOKUP($N250,Charms!B:S,2,FALSE)="","Main",VLOOKUP($N250,Charms!B:S,2,FALSE)),"")</f>
        <v/>
      </c>
      <c r="AU250" s="302"/>
      <c r="AV250" s="125"/>
      <c r="AW250" s="302" t="str">
        <f>IFERROR(VLOOKUP($N250,Charms!B:S,3,FALSE),"")</f>
        <v/>
      </c>
      <c r="AX250" s="302"/>
      <c r="AY250" s="307"/>
    </row>
    <row r="251" spans="1:51" ht="20.100000000000001" hidden="1" customHeight="1">
      <c r="A251" s="310"/>
      <c r="B251" s="303" t="str">
        <f>IFERROR(VLOOKUP($N250,Charms!B:S,14,FALSE),"")</f>
        <v/>
      </c>
      <c r="C251" s="303"/>
      <c r="D251" s="303"/>
      <c r="E251" s="303"/>
      <c r="F251" s="303"/>
      <c r="G251" s="303"/>
      <c r="H251" s="303"/>
      <c r="I251" s="303"/>
      <c r="J251" s="303"/>
      <c r="K251" s="303"/>
      <c r="L251" s="303"/>
      <c r="M251" s="303"/>
      <c r="N251" s="303"/>
      <c r="O251" s="303"/>
      <c r="P251" s="303"/>
      <c r="Q251" s="303"/>
      <c r="R251" s="303"/>
      <c r="S251" s="303"/>
      <c r="T251" s="303"/>
      <c r="U251" s="303"/>
      <c r="V251" s="303"/>
      <c r="W251" s="303"/>
      <c r="X251" s="303"/>
      <c r="Y251" s="303"/>
      <c r="Z251" s="303"/>
      <c r="AA251" s="303"/>
      <c r="AB251" s="303"/>
      <c r="AC251" s="303"/>
      <c r="AD251" s="303"/>
      <c r="AE251" s="303"/>
      <c r="AF251" s="303"/>
      <c r="AG251" s="303"/>
      <c r="AH251" s="303"/>
      <c r="AI251" s="303"/>
      <c r="AJ251" s="303"/>
      <c r="AK251" s="303"/>
      <c r="AL251" s="303"/>
      <c r="AM251" s="303"/>
      <c r="AN251" s="303"/>
      <c r="AO251" s="303"/>
      <c r="AP251" s="303"/>
      <c r="AQ251" s="303"/>
      <c r="AR251" s="303"/>
      <c r="AS251" s="303"/>
      <c r="AT251" s="303"/>
      <c r="AU251" s="303"/>
      <c r="AV251" s="303"/>
      <c r="AW251" s="303"/>
      <c r="AX251" s="303"/>
      <c r="AY251" s="304"/>
    </row>
    <row r="252" spans="1:51" ht="20.100000000000001" hidden="1" customHeight="1">
      <c r="A252" s="311"/>
      <c r="B252" s="305"/>
      <c r="C252" s="305"/>
      <c r="D252" s="305"/>
      <c r="E252" s="305"/>
      <c r="F252" s="305"/>
      <c r="G252" s="305"/>
      <c r="H252" s="305"/>
      <c r="I252" s="305"/>
      <c r="J252" s="305"/>
      <c r="K252" s="305"/>
      <c r="L252" s="305"/>
      <c r="M252" s="305"/>
      <c r="N252" s="305"/>
      <c r="O252" s="305"/>
      <c r="P252" s="305"/>
      <c r="Q252" s="305"/>
      <c r="R252" s="305"/>
      <c r="S252" s="305"/>
      <c r="T252" s="305"/>
      <c r="U252" s="305"/>
      <c r="V252" s="305"/>
      <c r="W252" s="305"/>
      <c r="X252" s="305"/>
      <c r="Y252" s="305"/>
      <c r="Z252" s="305"/>
      <c r="AA252" s="305"/>
      <c r="AB252" s="305"/>
      <c r="AC252" s="305"/>
      <c r="AD252" s="305"/>
      <c r="AE252" s="305"/>
      <c r="AF252" s="305"/>
      <c r="AG252" s="305"/>
      <c r="AH252" s="305"/>
      <c r="AI252" s="305"/>
      <c r="AJ252" s="305"/>
      <c r="AK252" s="305"/>
      <c r="AL252" s="305"/>
      <c r="AM252" s="305"/>
      <c r="AN252" s="305"/>
      <c r="AO252" s="305"/>
      <c r="AP252" s="305"/>
      <c r="AQ252" s="305"/>
      <c r="AR252" s="305"/>
      <c r="AS252" s="305"/>
      <c r="AT252" s="305"/>
      <c r="AU252" s="305"/>
      <c r="AV252" s="305"/>
      <c r="AW252" s="305"/>
      <c r="AX252" s="305"/>
      <c r="AY252" s="306"/>
    </row>
    <row r="253" spans="1:51" ht="20.100000000000001" hidden="1" customHeight="1">
      <c r="A253" s="309">
        <v>46</v>
      </c>
      <c r="B253" s="302"/>
      <c r="C253" s="302"/>
      <c r="D253" s="302"/>
      <c r="E253" s="302"/>
      <c r="F253" s="302"/>
      <c r="G253" s="124"/>
      <c r="H253" s="302"/>
      <c r="I253" s="302"/>
      <c r="J253" s="302"/>
      <c r="K253" s="302"/>
      <c r="L253" s="302"/>
      <c r="M253" s="125"/>
      <c r="N253" s="302"/>
      <c r="O253" s="302"/>
      <c r="P253" s="302"/>
      <c r="Q253" s="302"/>
      <c r="R253" s="302"/>
      <c r="S253" s="302"/>
      <c r="T253" s="302"/>
      <c r="U253" s="302"/>
      <c r="V253" s="302"/>
      <c r="W253" s="302"/>
      <c r="X253" s="302"/>
      <c r="Y253" s="302"/>
      <c r="Z253" s="302"/>
      <c r="AA253" s="302"/>
      <c r="AB253" s="125"/>
      <c r="AC253" s="302" t="str">
        <f>IFERROR(VLOOKUP($N253,Charms!B:S,10,FALSE),"")</f>
        <v/>
      </c>
      <c r="AD253" s="302"/>
      <c r="AE253" s="302"/>
      <c r="AF253" s="302"/>
      <c r="AG253" s="302"/>
      <c r="AH253" s="125"/>
      <c r="AI253" s="302" t="str">
        <f>IFERROR(VLOOKUP($N253,Charms!B:S,12,FALSE),"")</f>
        <v/>
      </c>
      <c r="AJ253" s="302"/>
      <c r="AK253" s="302"/>
      <c r="AL253" s="302"/>
      <c r="AM253" s="125"/>
      <c r="AN253" s="302" t="str">
        <f>IFERROR(VLOOKUP($N253,Charms!B:S,4,FALSE),"")</f>
        <v/>
      </c>
      <c r="AO253" s="302"/>
      <c r="AP253" s="302"/>
      <c r="AQ253" s="302"/>
      <c r="AR253" s="302"/>
      <c r="AS253" s="125"/>
      <c r="AT253" s="302" t="str">
        <f>IFERROR(IF(VLOOKUP($N253,Charms!B:S,2,FALSE)="","Main",VLOOKUP($N253,Charms!B:S,2,FALSE)),"")</f>
        <v/>
      </c>
      <c r="AU253" s="302"/>
      <c r="AV253" s="125"/>
      <c r="AW253" s="302" t="str">
        <f>IFERROR(VLOOKUP($N253,Charms!B:S,3,FALSE),"")</f>
        <v/>
      </c>
      <c r="AX253" s="302"/>
      <c r="AY253" s="307"/>
    </row>
    <row r="254" spans="1:51" ht="20.100000000000001" hidden="1" customHeight="1">
      <c r="A254" s="310"/>
      <c r="B254" s="303" t="str">
        <f>IFERROR(VLOOKUP($N253,Charms!B:S,14,FALSE),"")</f>
        <v/>
      </c>
      <c r="C254" s="303"/>
      <c r="D254" s="303"/>
      <c r="E254" s="303"/>
      <c r="F254" s="303"/>
      <c r="G254" s="303"/>
      <c r="H254" s="303"/>
      <c r="I254" s="303"/>
      <c r="J254" s="303"/>
      <c r="K254" s="303"/>
      <c r="L254" s="303"/>
      <c r="M254" s="303"/>
      <c r="N254" s="303"/>
      <c r="O254" s="303"/>
      <c r="P254" s="303"/>
      <c r="Q254" s="303"/>
      <c r="R254" s="303"/>
      <c r="S254" s="303"/>
      <c r="T254" s="303"/>
      <c r="U254" s="303"/>
      <c r="V254" s="303"/>
      <c r="W254" s="303"/>
      <c r="X254" s="303"/>
      <c r="Y254" s="303"/>
      <c r="Z254" s="303"/>
      <c r="AA254" s="303"/>
      <c r="AB254" s="303"/>
      <c r="AC254" s="303"/>
      <c r="AD254" s="303"/>
      <c r="AE254" s="303"/>
      <c r="AF254" s="303"/>
      <c r="AG254" s="303"/>
      <c r="AH254" s="303"/>
      <c r="AI254" s="303"/>
      <c r="AJ254" s="303"/>
      <c r="AK254" s="303"/>
      <c r="AL254" s="303"/>
      <c r="AM254" s="303"/>
      <c r="AN254" s="303"/>
      <c r="AO254" s="303"/>
      <c r="AP254" s="303"/>
      <c r="AQ254" s="303"/>
      <c r="AR254" s="303"/>
      <c r="AS254" s="303"/>
      <c r="AT254" s="303"/>
      <c r="AU254" s="303"/>
      <c r="AV254" s="303"/>
      <c r="AW254" s="303"/>
      <c r="AX254" s="303"/>
      <c r="AY254" s="304"/>
    </row>
    <row r="255" spans="1:51" ht="20.100000000000001" hidden="1" customHeight="1">
      <c r="A255" s="311"/>
      <c r="B255" s="305"/>
      <c r="C255" s="305"/>
      <c r="D255" s="305"/>
      <c r="E255" s="305"/>
      <c r="F255" s="305"/>
      <c r="G255" s="305"/>
      <c r="H255" s="305"/>
      <c r="I255" s="305"/>
      <c r="J255" s="305"/>
      <c r="K255" s="305"/>
      <c r="L255" s="305"/>
      <c r="M255" s="305"/>
      <c r="N255" s="305"/>
      <c r="O255" s="305"/>
      <c r="P255" s="305"/>
      <c r="Q255" s="305"/>
      <c r="R255" s="305"/>
      <c r="S255" s="305"/>
      <c r="T255" s="305"/>
      <c r="U255" s="305"/>
      <c r="V255" s="305"/>
      <c r="W255" s="305"/>
      <c r="X255" s="305"/>
      <c r="Y255" s="305"/>
      <c r="Z255" s="305"/>
      <c r="AA255" s="305"/>
      <c r="AB255" s="305"/>
      <c r="AC255" s="305"/>
      <c r="AD255" s="305"/>
      <c r="AE255" s="305"/>
      <c r="AF255" s="305"/>
      <c r="AG255" s="305"/>
      <c r="AH255" s="305"/>
      <c r="AI255" s="305"/>
      <c r="AJ255" s="305"/>
      <c r="AK255" s="305"/>
      <c r="AL255" s="305"/>
      <c r="AM255" s="305"/>
      <c r="AN255" s="305"/>
      <c r="AO255" s="305"/>
      <c r="AP255" s="305"/>
      <c r="AQ255" s="305"/>
      <c r="AR255" s="305"/>
      <c r="AS255" s="305"/>
      <c r="AT255" s="305"/>
      <c r="AU255" s="305"/>
      <c r="AV255" s="305"/>
      <c r="AW255" s="305"/>
      <c r="AX255" s="305"/>
      <c r="AY255" s="306"/>
    </row>
    <row r="256" spans="1:51" ht="20.100000000000001" hidden="1" customHeight="1">
      <c r="A256" s="309">
        <v>47</v>
      </c>
      <c r="B256" s="302"/>
      <c r="C256" s="302"/>
      <c r="D256" s="302"/>
      <c r="E256" s="302"/>
      <c r="F256" s="302"/>
      <c r="G256" s="124"/>
      <c r="H256" s="302"/>
      <c r="I256" s="302"/>
      <c r="J256" s="302"/>
      <c r="K256" s="302"/>
      <c r="L256" s="302"/>
      <c r="M256" s="125"/>
      <c r="N256" s="302"/>
      <c r="O256" s="302"/>
      <c r="P256" s="302"/>
      <c r="Q256" s="302"/>
      <c r="R256" s="302"/>
      <c r="S256" s="302"/>
      <c r="T256" s="302"/>
      <c r="U256" s="302"/>
      <c r="V256" s="302"/>
      <c r="W256" s="302"/>
      <c r="X256" s="302"/>
      <c r="Y256" s="302"/>
      <c r="Z256" s="302"/>
      <c r="AA256" s="302"/>
      <c r="AB256" s="125"/>
      <c r="AC256" s="302" t="str">
        <f>IFERROR(VLOOKUP($N256,Charms!B:S,10,FALSE),"")</f>
        <v/>
      </c>
      <c r="AD256" s="302"/>
      <c r="AE256" s="302"/>
      <c r="AF256" s="302"/>
      <c r="AG256" s="302"/>
      <c r="AH256" s="125"/>
      <c r="AI256" s="302" t="str">
        <f>IFERROR(VLOOKUP($N256,Charms!B:S,12,FALSE),"")</f>
        <v/>
      </c>
      <c r="AJ256" s="302"/>
      <c r="AK256" s="302"/>
      <c r="AL256" s="302"/>
      <c r="AM256" s="125"/>
      <c r="AN256" s="302" t="str">
        <f>IFERROR(VLOOKUP($N256,Charms!B:S,4,FALSE),"")</f>
        <v/>
      </c>
      <c r="AO256" s="302"/>
      <c r="AP256" s="302"/>
      <c r="AQ256" s="302"/>
      <c r="AR256" s="302"/>
      <c r="AS256" s="125"/>
      <c r="AT256" s="302" t="str">
        <f>IFERROR(IF(VLOOKUP($N256,Charms!B:S,2,FALSE)="","Main",VLOOKUP($N256,Charms!B:S,2,FALSE)),"")</f>
        <v/>
      </c>
      <c r="AU256" s="302"/>
      <c r="AV256" s="125"/>
      <c r="AW256" s="302" t="str">
        <f>IFERROR(VLOOKUP($N256,Charms!B:S,3,FALSE),"")</f>
        <v/>
      </c>
      <c r="AX256" s="302"/>
      <c r="AY256" s="307"/>
    </row>
    <row r="257" spans="1:51" ht="20.100000000000001" hidden="1" customHeight="1">
      <c r="A257" s="310"/>
      <c r="B257" s="303" t="str">
        <f>IFERROR(VLOOKUP($N256,Charms!B:S,14,FALSE),"")</f>
        <v/>
      </c>
      <c r="C257" s="303"/>
      <c r="D257" s="303"/>
      <c r="E257" s="303"/>
      <c r="F257" s="303"/>
      <c r="G257" s="303"/>
      <c r="H257" s="303"/>
      <c r="I257" s="303"/>
      <c r="J257" s="303"/>
      <c r="K257" s="303"/>
      <c r="L257" s="303"/>
      <c r="M257" s="303"/>
      <c r="N257" s="303"/>
      <c r="O257" s="303"/>
      <c r="P257" s="303"/>
      <c r="Q257" s="303"/>
      <c r="R257" s="303"/>
      <c r="S257" s="303"/>
      <c r="T257" s="303"/>
      <c r="U257" s="303"/>
      <c r="V257" s="303"/>
      <c r="W257" s="303"/>
      <c r="X257" s="303"/>
      <c r="Y257" s="303"/>
      <c r="Z257" s="303"/>
      <c r="AA257" s="303"/>
      <c r="AB257" s="303"/>
      <c r="AC257" s="303"/>
      <c r="AD257" s="303"/>
      <c r="AE257" s="303"/>
      <c r="AF257" s="303"/>
      <c r="AG257" s="303"/>
      <c r="AH257" s="303"/>
      <c r="AI257" s="303"/>
      <c r="AJ257" s="303"/>
      <c r="AK257" s="303"/>
      <c r="AL257" s="303"/>
      <c r="AM257" s="303"/>
      <c r="AN257" s="303"/>
      <c r="AO257" s="303"/>
      <c r="AP257" s="303"/>
      <c r="AQ257" s="303"/>
      <c r="AR257" s="303"/>
      <c r="AS257" s="303"/>
      <c r="AT257" s="303"/>
      <c r="AU257" s="303"/>
      <c r="AV257" s="303"/>
      <c r="AW257" s="303"/>
      <c r="AX257" s="303"/>
      <c r="AY257" s="304"/>
    </row>
    <row r="258" spans="1:51" ht="20.100000000000001" hidden="1" customHeight="1">
      <c r="A258" s="311"/>
      <c r="B258" s="305"/>
      <c r="C258" s="305"/>
      <c r="D258" s="305"/>
      <c r="E258" s="305"/>
      <c r="F258" s="305"/>
      <c r="G258" s="305"/>
      <c r="H258" s="305"/>
      <c r="I258" s="305"/>
      <c r="J258" s="305"/>
      <c r="K258" s="305"/>
      <c r="L258" s="305"/>
      <c r="M258" s="305"/>
      <c r="N258" s="305"/>
      <c r="O258" s="305"/>
      <c r="P258" s="305"/>
      <c r="Q258" s="305"/>
      <c r="R258" s="305"/>
      <c r="S258" s="305"/>
      <c r="T258" s="305"/>
      <c r="U258" s="305"/>
      <c r="V258" s="305"/>
      <c r="W258" s="305"/>
      <c r="X258" s="305"/>
      <c r="Y258" s="305"/>
      <c r="Z258" s="305"/>
      <c r="AA258" s="305"/>
      <c r="AB258" s="305"/>
      <c r="AC258" s="305"/>
      <c r="AD258" s="305"/>
      <c r="AE258" s="305"/>
      <c r="AF258" s="305"/>
      <c r="AG258" s="305"/>
      <c r="AH258" s="305"/>
      <c r="AI258" s="305"/>
      <c r="AJ258" s="305"/>
      <c r="AK258" s="305"/>
      <c r="AL258" s="305"/>
      <c r="AM258" s="305"/>
      <c r="AN258" s="305"/>
      <c r="AO258" s="305"/>
      <c r="AP258" s="305"/>
      <c r="AQ258" s="305"/>
      <c r="AR258" s="305"/>
      <c r="AS258" s="305"/>
      <c r="AT258" s="305"/>
      <c r="AU258" s="305"/>
      <c r="AV258" s="305"/>
      <c r="AW258" s="305"/>
      <c r="AX258" s="305"/>
      <c r="AY258" s="306"/>
    </row>
    <row r="259" spans="1:51" ht="20.100000000000001" hidden="1" customHeight="1">
      <c r="A259" s="309">
        <v>48</v>
      </c>
      <c r="B259" s="302"/>
      <c r="C259" s="302"/>
      <c r="D259" s="302"/>
      <c r="E259" s="302"/>
      <c r="F259" s="302"/>
      <c r="G259" s="124"/>
      <c r="H259" s="302"/>
      <c r="I259" s="302"/>
      <c r="J259" s="302"/>
      <c r="K259" s="302"/>
      <c r="L259" s="302"/>
      <c r="M259" s="125"/>
      <c r="N259" s="302"/>
      <c r="O259" s="302"/>
      <c r="P259" s="302"/>
      <c r="Q259" s="302"/>
      <c r="R259" s="302"/>
      <c r="S259" s="302"/>
      <c r="T259" s="302"/>
      <c r="U259" s="302"/>
      <c r="V259" s="302"/>
      <c r="W259" s="302"/>
      <c r="X259" s="302"/>
      <c r="Y259" s="302"/>
      <c r="Z259" s="302"/>
      <c r="AA259" s="302"/>
      <c r="AB259" s="125"/>
      <c r="AC259" s="302" t="str">
        <f>IFERROR(VLOOKUP($N259,Charms!B:S,10,FALSE),"")</f>
        <v/>
      </c>
      <c r="AD259" s="302"/>
      <c r="AE259" s="302"/>
      <c r="AF259" s="302"/>
      <c r="AG259" s="302"/>
      <c r="AH259" s="125"/>
      <c r="AI259" s="302" t="str">
        <f>IFERROR(VLOOKUP($N259,Charms!B:S,12,FALSE),"")</f>
        <v/>
      </c>
      <c r="AJ259" s="302"/>
      <c r="AK259" s="302"/>
      <c r="AL259" s="302"/>
      <c r="AM259" s="125"/>
      <c r="AN259" s="302" t="str">
        <f>IFERROR(VLOOKUP($N259,Charms!B:S,4,FALSE),"")</f>
        <v/>
      </c>
      <c r="AO259" s="302"/>
      <c r="AP259" s="302"/>
      <c r="AQ259" s="302"/>
      <c r="AR259" s="302"/>
      <c r="AS259" s="125"/>
      <c r="AT259" s="302" t="str">
        <f>IFERROR(IF(VLOOKUP($N259,Charms!B:S,2,FALSE)="","Main",VLOOKUP($N259,Charms!B:S,2,FALSE)),"")</f>
        <v/>
      </c>
      <c r="AU259" s="302"/>
      <c r="AV259" s="125"/>
      <c r="AW259" s="302" t="str">
        <f>IFERROR(VLOOKUP($N259,Charms!B:S,3,FALSE),"")</f>
        <v/>
      </c>
      <c r="AX259" s="302"/>
      <c r="AY259" s="307"/>
    </row>
    <row r="260" spans="1:51" ht="20.100000000000001" hidden="1" customHeight="1">
      <c r="A260" s="310"/>
      <c r="B260" s="303" t="str">
        <f>IFERROR(VLOOKUP($N259,Charms!B:S,14,FALSE),"")</f>
        <v/>
      </c>
      <c r="C260" s="303"/>
      <c r="D260" s="303"/>
      <c r="E260" s="303"/>
      <c r="F260" s="303"/>
      <c r="G260" s="303"/>
      <c r="H260" s="303"/>
      <c r="I260" s="303"/>
      <c r="J260" s="303"/>
      <c r="K260" s="303"/>
      <c r="L260" s="303"/>
      <c r="M260" s="303"/>
      <c r="N260" s="303"/>
      <c r="O260" s="303"/>
      <c r="P260" s="303"/>
      <c r="Q260" s="303"/>
      <c r="R260" s="303"/>
      <c r="S260" s="303"/>
      <c r="T260" s="303"/>
      <c r="U260" s="303"/>
      <c r="V260" s="303"/>
      <c r="W260" s="303"/>
      <c r="X260" s="303"/>
      <c r="Y260" s="303"/>
      <c r="Z260" s="303"/>
      <c r="AA260" s="303"/>
      <c r="AB260" s="303"/>
      <c r="AC260" s="303"/>
      <c r="AD260" s="303"/>
      <c r="AE260" s="303"/>
      <c r="AF260" s="303"/>
      <c r="AG260" s="303"/>
      <c r="AH260" s="303"/>
      <c r="AI260" s="303"/>
      <c r="AJ260" s="303"/>
      <c r="AK260" s="303"/>
      <c r="AL260" s="303"/>
      <c r="AM260" s="303"/>
      <c r="AN260" s="303"/>
      <c r="AO260" s="303"/>
      <c r="AP260" s="303"/>
      <c r="AQ260" s="303"/>
      <c r="AR260" s="303"/>
      <c r="AS260" s="303"/>
      <c r="AT260" s="303"/>
      <c r="AU260" s="303"/>
      <c r="AV260" s="303"/>
      <c r="AW260" s="303"/>
      <c r="AX260" s="303"/>
      <c r="AY260" s="304"/>
    </row>
    <row r="261" spans="1:51" ht="20.100000000000001" hidden="1" customHeight="1">
      <c r="A261" s="311"/>
      <c r="B261" s="305"/>
      <c r="C261" s="305"/>
      <c r="D261" s="305"/>
      <c r="E261" s="305"/>
      <c r="F261" s="305"/>
      <c r="G261" s="305"/>
      <c r="H261" s="305"/>
      <c r="I261" s="305"/>
      <c r="J261" s="305"/>
      <c r="K261" s="305"/>
      <c r="L261" s="305"/>
      <c r="M261" s="305"/>
      <c r="N261" s="305"/>
      <c r="O261" s="305"/>
      <c r="P261" s="305"/>
      <c r="Q261" s="305"/>
      <c r="R261" s="305"/>
      <c r="S261" s="305"/>
      <c r="T261" s="305"/>
      <c r="U261" s="305"/>
      <c r="V261" s="305"/>
      <c r="W261" s="305"/>
      <c r="X261" s="305"/>
      <c r="Y261" s="305"/>
      <c r="Z261" s="305"/>
      <c r="AA261" s="305"/>
      <c r="AB261" s="305"/>
      <c r="AC261" s="305"/>
      <c r="AD261" s="305"/>
      <c r="AE261" s="305"/>
      <c r="AF261" s="305"/>
      <c r="AG261" s="305"/>
      <c r="AH261" s="305"/>
      <c r="AI261" s="305"/>
      <c r="AJ261" s="305"/>
      <c r="AK261" s="305"/>
      <c r="AL261" s="305"/>
      <c r="AM261" s="305"/>
      <c r="AN261" s="305"/>
      <c r="AO261" s="305"/>
      <c r="AP261" s="305"/>
      <c r="AQ261" s="305"/>
      <c r="AR261" s="305"/>
      <c r="AS261" s="305"/>
      <c r="AT261" s="305"/>
      <c r="AU261" s="305"/>
      <c r="AV261" s="305"/>
      <c r="AW261" s="305"/>
      <c r="AX261" s="305"/>
      <c r="AY261" s="306"/>
    </row>
    <row r="262" spans="1:51" ht="20.100000000000001" hidden="1" customHeight="1">
      <c r="A262" s="309">
        <v>49</v>
      </c>
      <c r="B262" s="302"/>
      <c r="C262" s="302"/>
      <c r="D262" s="302"/>
      <c r="E262" s="302"/>
      <c r="F262" s="302"/>
      <c r="G262" s="124"/>
      <c r="H262" s="302"/>
      <c r="I262" s="302"/>
      <c r="J262" s="302"/>
      <c r="K262" s="302"/>
      <c r="L262" s="302"/>
      <c r="M262" s="125"/>
      <c r="N262" s="302"/>
      <c r="O262" s="302"/>
      <c r="P262" s="302"/>
      <c r="Q262" s="302"/>
      <c r="R262" s="302"/>
      <c r="S262" s="302"/>
      <c r="T262" s="302"/>
      <c r="U262" s="302"/>
      <c r="V262" s="302"/>
      <c r="W262" s="302"/>
      <c r="X262" s="302"/>
      <c r="Y262" s="302"/>
      <c r="Z262" s="302"/>
      <c r="AA262" s="302"/>
      <c r="AB262" s="125"/>
      <c r="AC262" s="302" t="str">
        <f>IFERROR(VLOOKUP($N262,Charms!B:S,10,FALSE),"")</f>
        <v/>
      </c>
      <c r="AD262" s="302"/>
      <c r="AE262" s="302"/>
      <c r="AF262" s="302"/>
      <c r="AG262" s="302"/>
      <c r="AH262" s="125"/>
      <c r="AI262" s="302" t="str">
        <f>IFERROR(VLOOKUP($N262,Charms!B:S,12,FALSE),"")</f>
        <v/>
      </c>
      <c r="AJ262" s="302"/>
      <c r="AK262" s="302"/>
      <c r="AL262" s="302"/>
      <c r="AM262" s="125"/>
      <c r="AN262" s="302" t="str">
        <f>IFERROR(VLOOKUP($N262,Charms!B:S,4,FALSE),"")</f>
        <v/>
      </c>
      <c r="AO262" s="302"/>
      <c r="AP262" s="302"/>
      <c r="AQ262" s="302"/>
      <c r="AR262" s="302"/>
      <c r="AS262" s="125"/>
      <c r="AT262" s="302" t="str">
        <f>IFERROR(IF(VLOOKUP($N262,Charms!B:S,2,FALSE)="","Main",VLOOKUP($N262,Charms!B:S,2,FALSE)),"")</f>
        <v/>
      </c>
      <c r="AU262" s="302"/>
      <c r="AV262" s="125"/>
      <c r="AW262" s="302" t="str">
        <f>IFERROR(VLOOKUP($N262,Charms!B:S,3,FALSE),"")</f>
        <v/>
      </c>
      <c r="AX262" s="302"/>
      <c r="AY262" s="307"/>
    </row>
    <row r="263" spans="1:51" ht="20.100000000000001" hidden="1" customHeight="1">
      <c r="A263" s="310"/>
      <c r="B263" s="303" t="str">
        <f>IFERROR(VLOOKUP($N262,Charms!B:S,14,FALSE),"")</f>
        <v/>
      </c>
      <c r="C263" s="303"/>
      <c r="D263" s="303"/>
      <c r="E263" s="303"/>
      <c r="F263" s="303"/>
      <c r="G263" s="303"/>
      <c r="H263" s="303"/>
      <c r="I263" s="303"/>
      <c r="J263" s="303"/>
      <c r="K263" s="303"/>
      <c r="L263" s="303"/>
      <c r="M263" s="303"/>
      <c r="N263" s="303"/>
      <c r="O263" s="303"/>
      <c r="P263" s="303"/>
      <c r="Q263" s="303"/>
      <c r="R263" s="303"/>
      <c r="S263" s="303"/>
      <c r="T263" s="303"/>
      <c r="U263" s="303"/>
      <c r="V263" s="303"/>
      <c r="W263" s="303"/>
      <c r="X263" s="303"/>
      <c r="Y263" s="303"/>
      <c r="Z263" s="303"/>
      <c r="AA263" s="303"/>
      <c r="AB263" s="303"/>
      <c r="AC263" s="303"/>
      <c r="AD263" s="303"/>
      <c r="AE263" s="303"/>
      <c r="AF263" s="303"/>
      <c r="AG263" s="303"/>
      <c r="AH263" s="303"/>
      <c r="AI263" s="303"/>
      <c r="AJ263" s="303"/>
      <c r="AK263" s="303"/>
      <c r="AL263" s="303"/>
      <c r="AM263" s="303"/>
      <c r="AN263" s="303"/>
      <c r="AO263" s="303"/>
      <c r="AP263" s="303"/>
      <c r="AQ263" s="303"/>
      <c r="AR263" s="303"/>
      <c r="AS263" s="303"/>
      <c r="AT263" s="303"/>
      <c r="AU263" s="303"/>
      <c r="AV263" s="303"/>
      <c r="AW263" s="303"/>
      <c r="AX263" s="303"/>
      <c r="AY263" s="304"/>
    </row>
    <row r="264" spans="1:51" ht="20.100000000000001" hidden="1" customHeight="1">
      <c r="A264" s="311"/>
      <c r="B264" s="305"/>
      <c r="C264" s="305"/>
      <c r="D264" s="305"/>
      <c r="E264" s="305"/>
      <c r="F264" s="305"/>
      <c r="G264" s="305"/>
      <c r="H264" s="305"/>
      <c r="I264" s="305"/>
      <c r="J264" s="305"/>
      <c r="K264" s="305"/>
      <c r="L264" s="305"/>
      <c r="M264" s="305"/>
      <c r="N264" s="305"/>
      <c r="O264" s="305"/>
      <c r="P264" s="305"/>
      <c r="Q264" s="305"/>
      <c r="R264" s="305"/>
      <c r="S264" s="305"/>
      <c r="T264" s="305"/>
      <c r="U264" s="305"/>
      <c r="V264" s="305"/>
      <c r="W264" s="305"/>
      <c r="X264" s="305"/>
      <c r="Y264" s="305"/>
      <c r="Z264" s="305"/>
      <c r="AA264" s="305"/>
      <c r="AB264" s="305"/>
      <c r="AC264" s="305"/>
      <c r="AD264" s="305"/>
      <c r="AE264" s="305"/>
      <c r="AF264" s="305"/>
      <c r="AG264" s="305"/>
      <c r="AH264" s="305"/>
      <c r="AI264" s="305"/>
      <c r="AJ264" s="305"/>
      <c r="AK264" s="305"/>
      <c r="AL264" s="305"/>
      <c r="AM264" s="305"/>
      <c r="AN264" s="305"/>
      <c r="AO264" s="305"/>
      <c r="AP264" s="305"/>
      <c r="AQ264" s="305"/>
      <c r="AR264" s="305"/>
      <c r="AS264" s="305"/>
      <c r="AT264" s="305"/>
      <c r="AU264" s="305"/>
      <c r="AV264" s="305"/>
      <c r="AW264" s="305"/>
      <c r="AX264" s="305"/>
      <c r="AY264" s="306"/>
    </row>
    <row r="265" spans="1:51" ht="20.100000000000001" hidden="1" customHeight="1">
      <c r="A265" s="309">
        <v>50</v>
      </c>
      <c r="B265" s="302"/>
      <c r="C265" s="302"/>
      <c r="D265" s="302"/>
      <c r="E265" s="302"/>
      <c r="F265" s="302"/>
      <c r="G265" s="124"/>
      <c r="H265" s="302"/>
      <c r="I265" s="302"/>
      <c r="J265" s="302"/>
      <c r="K265" s="302"/>
      <c r="L265" s="302"/>
      <c r="M265" s="125"/>
      <c r="N265" s="302"/>
      <c r="O265" s="302"/>
      <c r="P265" s="302"/>
      <c r="Q265" s="302"/>
      <c r="R265" s="302"/>
      <c r="S265" s="302"/>
      <c r="T265" s="302"/>
      <c r="U265" s="302"/>
      <c r="V265" s="302"/>
      <c r="W265" s="302"/>
      <c r="X265" s="302"/>
      <c r="Y265" s="302"/>
      <c r="Z265" s="302"/>
      <c r="AA265" s="302"/>
      <c r="AB265" s="125"/>
      <c r="AC265" s="302" t="str">
        <f>IFERROR(VLOOKUP($N265,Charms!B:S,10,FALSE),"")</f>
        <v/>
      </c>
      <c r="AD265" s="302"/>
      <c r="AE265" s="302"/>
      <c r="AF265" s="302"/>
      <c r="AG265" s="302"/>
      <c r="AH265" s="125"/>
      <c r="AI265" s="302" t="str">
        <f>IFERROR(VLOOKUP($N265,Charms!B:S,12,FALSE),"")</f>
        <v/>
      </c>
      <c r="AJ265" s="302"/>
      <c r="AK265" s="302"/>
      <c r="AL265" s="302"/>
      <c r="AM265" s="125"/>
      <c r="AN265" s="302" t="str">
        <f>IFERROR(VLOOKUP($N265,Charms!B:S,4,FALSE),"")</f>
        <v/>
      </c>
      <c r="AO265" s="302"/>
      <c r="AP265" s="302"/>
      <c r="AQ265" s="302"/>
      <c r="AR265" s="302"/>
      <c r="AS265" s="125"/>
      <c r="AT265" s="302" t="str">
        <f>IFERROR(IF(VLOOKUP($N265,Charms!B:S,2,FALSE)="","Main",VLOOKUP($N265,Charms!B:S,2,FALSE)),"")</f>
        <v/>
      </c>
      <c r="AU265" s="302"/>
      <c r="AV265" s="125"/>
      <c r="AW265" s="302" t="str">
        <f>IFERROR(VLOOKUP($N265,Charms!B:S,3,FALSE),"")</f>
        <v/>
      </c>
      <c r="AX265" s="302"/>
      <c r="AY265" s="307"/>
    </row>
    <row r="266" spans="1:51" ht="20.100000000000001" hidden="1" customHeight="1">
      <c r="A266" s="310"/>
      <c r="B266" s="303" t="str">
        <f>IFERROR(VLOOKUP($N265,Charms!B:S,14,FALSE),"")</f>
        <v/>
      </c>
      <c r="C266" s="303"/>
      <c r="D266" s="303"/>
      <c r="E266" s="303"/>
      <c r="F266" s="303"/>
      <c r="G266" s="303"/>
      <c r="H266" s="303"/>
      <c r="I266" s="303"/>
      <c r="J266" s="303"/>
      <c r="K266" s="303"/>
      <c r="L266" s="303"/>
      <c r="M266" s="303"/>
      <c r="N266" s="303"/>
      <c r="O266" s="303"/>
      <c r="P266" s="303"/>
      <c r="Q266" s="303"/>
      <c r="R266" s="303"/>
      <c r="S266" s="303"/>
      <c r="T266" s="303"/>
      <c r="U266" s="303"/>
      <c r="V266" s="303"/>
      <c r="W266" s="303"/>
      <c r="X266" s="303"/>
      <c r="Y266" s="303"/>
      <c r="Z266" s="303"/>
      <c r="AA266" s="303"/>
      <c r="AB266" s="303"/>
      <c r="AC266" s="303"/>
      <c r="AD266" s="303"/>
      <c r="AE266" s="303"/>
      <c r="AF266" s="303"/>
      <c r="AG266" s="303"/>
      <c r="AH266" s="303"/>
      <c r="AI266" s="303"/>
      <c r="AJ266" s="303"/>
      <c r="AK266" s="303"/>
      <c r="AL266" s="303"/>
      <c r="AM266" s="303"/>
      <c r="AN266" s="303"/>
      <c r="AO266" s="303"/>
      <c r="AP266" s="303"/>
      <c r="AQ266" s="303"/>
      <c r="AR266" s="303"/>
      <c r="AS266" s="303"/>
      <c r="AT266" s="303"/>
      <c r="AU266" s="303"/>
      <c r="AV266" s="303"/>
      <c r="AW266" s="303"/>
      <c r="AX266" s="303"/>
      <c r="AY266" s="304"/>
    </row>
    <row r="267" spans="1:51" ht="20.100000000000001" hidden="1" customHeight="1">
      <c r="A267" s="311"/>
      <c r="B267" s="305"/>
      <c r="C267" s="305"/>
      <c r="D267" s="305"/>
      <c r="E267" s="305"/>
      <c r="F267" s="305"/>
      <c r="G267" s="305"/>
      <c r="H267" s="305"/>
      <c r="I267" s="305"/>
      <c r="J267" s="305"/>
      <c r="K267" s="305"/>
      <c r="L267" s="305"/>
      <c r="M267" s="305"/>
      <c r="N267" s="305"/>
      <c r="O267" s="305"/>
      <c r="P267" s="305"/>
      <c r="Q267" s="305"/>
      <c r="R267" s="305"/>
      <c r="S267" s="305"/>
      <c r="T267" s="305"/>
      <c r="U267" s="305"/>
      <c r="V267" s="305"/>
      <c r="W267" s="305"/>
      <c r="X267" s="305"/>
      <c r="Y267" s="305"/>
      <c r="Z267" s="305"/>
      <c r="AA267" s="305"/>
      <c r="AB267" s="305"/>
      <c r="AC267" s="305"/>
      <c r="AD267" s="305"/>
      <c r="AE267" s="305"/>
      <c r="AF267" s="305"/>
      <c r="AG267" s="305"/>
      <c r="AH267" s="305"/>
      <c r="AI267" s="305"/>
      <c r="AJ267" s="305"/>
      <c r="AK267" s="305"/>
      <c r="AL267" s="305"/>
      <c r="AM267" s="305"/>
      <c r="AN267" s="305"/>
      <c r="AO267" s="305"/>
      <c r="AP267" s="305"/>
      <c r="AQ267" s="305"/>
      <c r="AR267" s="305"/>
      <c r="AS267" s="305"/>
      <c r="AT267" s="305"/>
      <c r="AU267" s="305"/>
      <c r="AV267" s="305"/>
      <c r="AW267" s="305"/>
      <c r="AX267" s="305"/>
      <c r="AY267" s="306"/>
    </row>
    <row r="268" spans="1:51" ht="20.100000000000001" hidden="1" customHeight="1"/>
    <row r="269" spans="1:51" ht="20.100000000000001" hidden="1" customHeight="1"/>
    <row r="270" spans="1:51" ht="20.100000000000001" hidden="1" customHeight="1"/>
    <row r="271" spans="1:51" ht="20.100000000000001" hidden="1" customHeight="1"/>
    <row r="272" spans="1:51" ht="20.100000000000001" hidden="1" customHeight="1"/>
    <row r="273" ht="20.100000000000001" hidden="1" customHeight="1"/>
    <row r="274" ht="20.100000000000001" hidden="1" customHeight="1"/>
    <row r="275" ht="20.100000000000001" hidden="1" customHeight="1"/>
    <row r="276" ht="20.100000000000001" hidden="1" customHeight="1"/>
    <row r="277" ht="20.100000000000001" hidden="1" customHeight="1"/>
    <row r="278" ht="20.100000000000001" hidden="1" customHeight="1"/>
    <row r="279" ht="20.100000000000001" hidden="1" customHeight="1"/>
    <row r="280" ht="20.100000000000001" hidden="1" customHeight="1"/>
    <row r="281" ht="20.100000000000001" hidden="1" customHeight="1"/>
    <row r="282" ht="20.100000000000001" hidden="1" customHeight="1"/>
    <row r="283" ht="20.100000000000001" hidden="1" customHeight="1"/>
    <row r="284" ht="20.100000000000001" hidden="1" customHeight="1"/>
    <row r="285" ht="20.100000000000001" hidden="1" customHeight="1"/>
    <row r="286" ht="20.100000000000001" hidden="1" customHeight="1"/>
    <row r="287" ht="20.100000000000001" hidden="1" customHeight="1"/>
    <row r="288" ht="20.100000000000001" hidden="1" customHeight="1"/>
    <row r="289" ht="20.100000000000001" hidden="1" customHeight="1"/>
    <row r="290" ht="20.100000000000001" hidden="1" customHeight="1"/>
    <row r="291" ht="20.100000000000001" hidden="1" customHeight="1"/>
    <row r="292" ht="20.100000000000001" hidden="1" customHeight="1"/>
    <row r="293" ht="20.100000000000001" hidden="1" customHeight="1"/>
    <row r="294" ht="20.100000000000001" hidden="1" customHeight="1"/>
    <row r="295" ht="20.100000000000001" hidden="1" customHeight="1"/>
    <row r="296" ht="20.100000000000001" hidden="1" customHeight="1"/>
    <row r="297" ht="20.100000000000001" hidden="1" customHeight="1"/>
    <row r="298" ht="20.100000000000001" hidden="1" customHeight="1"/>
    <row r="299" ht="20.100000000000001" hidden="1" customHeight="1"/>
    <row r="300" ht="20.100000000000001" hidden="1" customHeight="1"/>
  </sheetData>
  <sheetProtection formatRows="0" selectLockedCells="1"/>
  <mergeCells count="1051">
    <mergeCell ref="BO2:BU2"/>
    <mergeCell ref="BB14:BR15"/>
    <mergeCell ref="N86:R86"/>
    <mergeCell ref="N85:R85"/>
    <mergeCell ref="N87:R87"/>
    <mergeCell ref="N76:R76"/>
    <mergeCell ref="N81:R81"/>
    <mergeCell ref="N82:R82"/>
    <mergeCell ref="AA70:AK70"/>
    <mergeCell ref="AA71:AK71"/>
    <mergeCell ref="AA72:AK72"/>
    <mergeCell ref="AA73:AK73"/>
    <mergeCell ref="AA74:AK74"/>
    <mergeCell ref="AA75:AK75"/>
    <mergeCell ref="AA76:AK76"/>
    <mergeCell ref="AA77:AK77"/>
    <mergeCell ref="AA78:AK78"/>
    <mergeCell ref="AA79:AK79"/>
    <mergeCell ref="AA80:AK80"/>
    <mergeCell ref="AA81:AK81"/>
    <mergeCell ref="AA82:AK82"/>
    <mergeCell ref="AA83:AK83"/>
    <mergeCell ref="AA84:AK84"/>
    <mergeCell ref="AA85:AK85"/>
    <mergeCell ref="N83:R83"/>
    <mergeCell ref="N84:R84"/>
    <mergeCell ref="N75:R75"/>
    <mergeCell ref="N77:R77"/>
    <mergeCell ref="AH33:AQ33"/>
    <mergeCell ref="AH34:AQ34"/>
    <mergeCell ref="AS33:AT33"/>
    <mergeCell ref="AS34:AT34"/>
    <mergeCell ref="B164:AY165"/>
    <mergeCell ref="AC166:AG166"/>
    <mergeCell ref="AW117:AY117"/>
    <mergeCell ref="B166:F166"/>
    <mergeCell ref="H166:L166"/>
    <mergeCell ref="N166:AA166"/>
    <mergeCell ref="AI166:AL166"/>
    <mergeCell ref="AN166:AR166"/>
    <mergeCell ref="AT166:AU166"/>
    <mergeCell ref="B167:AY168"/>
    <mergeCell ref="AC118:AG118"/>
    <mergeCell ref="AC121:AG121"/>
    <mergeCell ref="AC124:AG124"/>
    <mergeCell ref="AC127:AG127"/>
    <mergeCell ref="AC130:AG130"/>
    <mergeCell ref="AC133:AG133"/>
    <mergeCell ref="AC136:AG136"/>
    <mergeCell ref="AC139:AG139"/>
    <mergeCell ref="AC142:AG142"/>
    <mergeCell ref="AC145:AG145"/>
    <mergeCell ref="AC148:AG148"/>
    <mergeCell ref="AC151:AG151"/>
    <mergeCell ref="AC154:AG154"/>
    <mergeCell ref="AC157:AG157"/>
    <mergeCell ref="AC160:AG160"/>
    <mergeCell ref="B157:F157"/>
    <mergeCell ref="H157:L157"/>
    <mergeCell ref="N157:AA157"/>
    <mergeCell ref="AI157:AL157"/>
    <mergeCell ref="AN157:AR157"/>
    <mergeCell ref="AT157:AU157"/>
    <mergeCell ref="B158:AY159"/>
    <mergeCell ref="AC163:AG163"/>
    <mergeCell ref="B161:AY162"/>
    <mergeCell ref="B163:F163"/>
    <mergeCell ref="H163:L163"/>
    <mergeCell ref="N163:AA163"/>
    <mergeCell ref="AI163:AL163"/>
    <mergeCell ref="AN163:AR163"/>
    <mergeCell ref="AT163:AU163"/>
    <mergeCell ref="B152:AY153"/>
    <mergeCell ref="B154:F154"/>
    <mergeCell ref="H154:L154"/>
    <mergeCell ref="N154:AA154"/>
    <mergeCell ref="AI154:AL154"/>
    <mergeCell ref="AN154:AR154"/>
    <mergeCell ref="AT154:AU154"/>
    <mergeCell ref="B155:AY156"/>
    <mergeCell ref="AW154:AY154"/>
    <mergeCell ref="AW157:AY157"/>
    <mergeCell ref="AW160:AY160"/>
    <mergeCell ref="AW163:AY163"/>
    <mergeCell ref="A130:A132"/>
    <mergeCell ref="A133:A135"/>
    <mergeCell ref="A136:A138"/>
    <mergeCell ref="B130:F130"/>
    <mergeCell ref="H130:L130"/>
    <mergeCell ref="N130:AA130"/>
    <mergeCell ref="AI130:AL130"/>
    <mergeCell ref="AN130:AR130"/>
    <mergeCell ref="AT130:AU130"/>
    <mergeCell ref="N127:AA127"/>
    <mergeCell ref="AI127:AL127"/>
    <mergeCell ref="AN127:AR127"/>
    <mergeCell ref="AT127:AU127"/>
    <mergeCell ref="AN133:AR133"/>
    <mergeCell ref="AT133:AU133"/>
    <mergeCell ref="B160:F160"/>
    <mergeCell ref="H160:L160"/>
    <mergeCell ref="N160:AA160"/>
    <mergeCell ref="AI160:AL160"/>
    <mergeCell ref="AN160:AR160"/>
    <mergeCell ref="AT160:AU160"/>
    <mergeCell ref="B149:AY150"/>
    <mergeCell ref="B151:F151"/>
    <mergeCell ref="N142:AA142"/>
    <mergeCell ref="AI142:AL142"/>
    <mergeCell ref="AN142:AR142"/>
    <mergeCell ref="AT142:AU142"/>
    <mergeCell ref="B148:F148"/>
    <mergeCell ref="H148:L148"/>
    <mergeCell ref="N148:AA148"/>
    <mergeCell ref="AI148:AL148"/>
    <mergeCell ref="AN148:AR148"/>
    <mergeCell ref="B136:F136"/>
    <mergeCell ref="B128:AY129"/>
    <mergeCell ref="B137:AY138"/>
    <mergeCell ref="H127:L127"/>
    <mergeCell ref="AI139:AL139"/>
    <mergeCell ref="AN151:AR151"/>
    <mergeCell ref="AT151:AU151"/>
    <mergeCell ref="AW145:AY145"/>
    <mergeCell ref="AW148:AY148"/>
    <mergeCell ref="AW151:AY151"/>
    <mergeCell ref="AI145:AL145"/>
    <mergeCell ref="AN145:AR145"/>
    <mergeCell ref="AT145:AU145"/>
    <mergeCell ref="B139:F139"/>
    <mergeCell ref="H139:L139"/>
    <mergeCell ref="N139:AA139"/>
    <mergeCell ref="B145:F145"/>
    <mergeCell ref="H145:L145"/>
    <mergeCell ref="N145:AA145"/>
    <mergeCell ref="B127:F127"/>
    <mergeCell ref="B131:AY132"/>
    <mergeCell ref="B133:F133"/>
    <mergeCell ref="H133:L133"/>
    <mergeCell ref="N133:AA133"/>
    <mergeCell ref="AI133:AL133"/>
    <mergeCell ref="AT148:AU148"/>
    <mergeCell ref="A163:A165"/>
    <mergeCell ref="A166:A168"/>
    <mergeCell ref="AN118:AR118"/>
    <mergeCell ref="AT118:AU118"/>
    <mergeCell ref="AT117:AU117"/>
    <mergeCell ref="AI117:AL117"/>
    <mergeCell ref="AC117:AG117"/>
    <mergeCell ref="N117:AA117"/>
    <mergeCell ref="AN117:AR117"/>
    <mergeCell ref="B118:F118"/>
    <mergeCell ref="H118:L118"/>
    <mergeCell ref="B117:F117"/>
    <mergeCell ref="H117:L117"/>
    <mergeCell ref="N118:AA118"/>
    <mergeCell ref="AI118:AL118"/>
    <mergeCell ref="A118:A120"/>
    <mergeCell ref="A121:A123"/>
    <mergeCell ref="A124:A126"/>
    <mergeCell ref="A127:A129"/>
    <mergeCell ref="AT139:AU139"/>
    <mergeCell ref="B140:AY141"/>
    <mergeCell ref="B142:F142"/>
    <mergeCell ref="H142:L142"/>
    <mergeCell ref="H121:L121"/>
    <mergeCell ref="N121:AA121"/>
    <mergeCell ref="AI121:AL121"/>
    <mergeCell ref="AN121:AR121"/>
    <mergeCell ref="AT121:AU121"/>
    <mergeCell ref="B122:AY123"/>
    <mergeCell ref="B124:F124"/>
    <mergeCell ref="B121:F121"/>
    <mergeCell ref="B125:AY126"/>
    <mergeCell ref="B98:S98"/>
    <mergeCell ref="U98:Y98"/>
    <mergeCell ref="AA98:AR98"/>
    <mergeCell ref="AT98:AX98"/>
    <mergeCell ref="B99:S99"/>
    <mergeCell ref="U99:Y99"/>
    <mergeCell ref="AA99:AR99"/>
    <mergeCell ref="AT99:AX99"/>
    <mergeCell ref="B100:S100"/>
    <mergeCell ref="U100:Y100"/>
    <mergeCell ref="AA100:AR100"/>
    <mergeCell ref="AT100:AX100"/>
    <mergeCell ref="B101:S101"/>
    <mergeCell ref="U101:Y101"/>
    <mergeCell ref="A154:A156"/>
    <mergeCell ref="A157:A159"/>
    <mergeCell ref="A160:A162"/>
    <mergeCell ref="U102:Y102"/>
    <mergeCell ref="AA102:AR102"/>
    <mergeCell ref="AT102:AX102"/>
    <mergeCell ref="B103:S103"/>
    <mergeCell ref="H124:L124"/>
    <mergeCell ref="N124:AA124"/>
    <mergeCell ref="AI124:AL124"/>
    <mergeCell ref="AN124:AR124"/>
    <mergeCell ref="AT124:AU124"/>
    <mergeCell ref="B143:AY144"/>
    <mergeCell ref="H136:L136"/>
    <mergeCell ref="N136:AA136"/>
    <mergeCell ref="AI136:AL136"/>
    <mergeCell ref="AN136:AR136"/>
    <mergeCell ref="AT136:AU136"/>
    <mergeCell ref="A108:AY113"/>
    <mergeCell ref="B93:S93"/>
    <mergeCell ref="U93:Y93"/>
    <mergeCell ref="AA93:AR93"/>
    <mergeCell ref="AT93:AX93"/>
    <mergeCell ref="B94:S94"/>
    <mergeCell ref="U94:Y94"/>
    <mergeCell ref="AA101:AR101"/>
    <mergeCell ref="AT101:AX101"/>
    <mergeCell ref="B102:S102"/>
    <mergeCell ref="U103:Y103"/>
    <mergeCell ref="AA103:AR103"/>
    <mergeCell ref="AT103:AX103"/>
    <mergeCell ref="B104:S104"/>
    <mergeCell ref="U104:Y104"/>
    <mergeCell ref="AA104:AR104"/>
    <mergeCell ref="AT104:AX104"/>
    <mergeCell ref="B105:S105"/>
    <mergeCell ref="AA94:AR94"/>
    <mergeCell ref="AT94:AX94"/>
    <mergeCell ref="B95:S95"/>
    <mergeCell ref="U95:Y95"/>
    <mergeCell ref="AA95:AR95"/>
    <mergeCell ref="AT95:AX95"/>
    <mergeCell ref="B96:S96"/>
    <mergeCell ref="U96:Y96"/>
    <mergeCell ref="AA96:AR96"/>
    <mergeCell ref="AT96:AX96"/>
    <mergeCell ref="B97:S97"/>
    <mergeCell ref="U97:Y97"/>
    <mergeCell ref="AA97:AR97"/>
    <mergeCell ref="AT97:AX97"/>
    <mergeCell ref="AW29:AY29"/>
    <mergeCell ref="AS28:AT28"/>
    <mergeCell ref="AS29:AT29"/>
    <mergeCell ref="AS30:AT30"/>
    <mergeCell ref="BG18:BK18"/>
    <mergeCell ref="BG19:BK19"/>
    <mergeCell ref="BG20:BK20"/>
    <mergeCell ref="BG21:BK21"/>
    <mergeCell ref="BG22:BK22"/>
    <mergeCell ref="BG23:BK23"/>
    <mergeCell ref="BG24:BK24"/>
    <mergeCell ref="BG25:BK25"/>
    <mergeCell ref="BG26:BK26"/>
    <mergeCell ref="BK17:BP17"/>
    <mergeCell ref="BA18:BE19"/>
    <mergeCell ref="BA30:BB30"/>
    <mergeCell ref="AA92:AR92"/>
    <mergeCell ref="AA91:AR91"/>
    <mergeCell ref="AT91:AX91"/>
    <mergeCell ref="BG17:BJ17"/>
    <mergeCell ref="BC30:BF30"/>
    <mergeCell ref="AW23:AY23"/>
    <mergeCell ref="AW24:AY24"/>
    <mergeCell ref="AW25:AY25"/>
    <mergeCell ref="AW26:AY26"/>
    <mergeCell ref="AW27:AY27"/>
    <mergeCell ref="AW30:AY30"/>
    <mergeCell ref="AW31:AY31"/>
    <mergeCell ref="AW32:AY32"/>
    <mergeCell ref="AZ31:BK31"/>
    <mergeCell ref="AW17:AY17"/>
    <mergeCell ref="AW18:AY18"/>
    <mergeCell ref="F17:J17"/>
    <mergeCell ref="K27:M27"/>
    <mergeCell ref="K28:M28"/>
    <mergeCell ref="K35:M35"/>
    <mergeCell ref="K36:M36"/>
    <mergeCell ref="K30:M30"/>
    <mergeCell ref="K31:M31"/>
    <mergeCell ref="K32:M32"/>
    <mergeCell ref="K33:M33"/>
    <mergeCell ref="O37:V37"/>
    <mergeCell ref="P35:U36"/>
    <mergeCell ref="AS23:AT23"/>
    <mergeCell ref="AS24:AT24"/>
    <mergeCell ref="AS25:AT25"/>
    <mergeCell ref="AS26:AT26"/>
    <mergeCell ref="AS27:AT27"/>
    <mergeCell ref="AH27:AQ27"/>
    <mergeCell ref="AS32:AT32"/>
    <mergeCell ref="AS31:AT31"/>
    <mergeCell ref="AE32:AF32"/>
    <mergeCell ref="X33:AA33"/>
    <mergeCell ref="X34:AA34"/>
    <mergeCell ref="H18:J18"/>
    <mergeCell ref="F19:J19"/>
    <mergeCell ref="F20:J20"/>
    <mergeCell ref="F21:J21"/>
    <mergeCell ref="K14:M14"/>
    <mergeCell ref="AH28:AQ28"/>
    <mergeCell ref="AH29:AQ29"/>
    <mergeCell ref="AH30:AQ30"/>
    <mergeCell ref="AH31:AQ31"/>
    <mergeCell ref="AH32:AQ32"/>
    <mergeCell ref="V15:AF15"/>
    <mergeCell ref="V16:AF16"/>
    <mergeCell ref="V17:AF17"/>
    <mergeCell ref="V18:AF18"/>
    <mergeCell ref="K15:M15"/>
    <mergeCell ref="K16:M16"/>
    <mergeCell ref="K17:M17"/>
    <mergeCell ref="Y25:AF25"/>
    <mergeCell ref="Z23:AE24"/>
    <mergeCell ref="P26:V26"/>
    <mergeCell ref="AB32:AC32"/>
    <mergeCell ref="P31:U32"/>
    <mergeCell ref="X32:AA32"/>
    <mergeCell ref="P20:T20"/>
    <mergeCell ref="V19:AF19"/>
    <mergeCell ref="V20:AF20"/>
    <mergeCell ref="K22:M22"/>
    <mergeCell ref="AZ12:BC12"/>
    <mergeCell ref="BE12:BG12"/>
    <mergeCell ref="BI10:BL10"/>
    <mergeCell ref="BI11:BL11"/>
    <mergeCell ref="BI12:BL12"/>
    <mergeCell ref="BE10:BG10"/>
    <mergeCell ref="AZ10:BC10"/>
    <mergeCell ref="AZ11:BC11"/>
    <mergeCell ref="BE11:BG11"/>
    <mergeCell ref="AC7:AE7"/>
    <mergeCell ref="AC8:AE8"/>
    <mergeCell ref="AC9:AE9"/>
    <mergeCell ref="AM7:AR7"/>
    <mergeCell ref="AM8:AR8"/>
    <mergeCell ref="AM9:AR9"/>
    <mergeCell ref="F25:J25"/>
    <mergeCell ref="AW13:AY13"/>
    <mergeCell ref="AH13:AQ13"/>
    <mergeCell ref="AH14:AQ14"/>
    <mergeCell ref="AW12:AY12"/>
    <mergeCell ref="AS7:AU7"/>
    <mergeCell ref="AS8:AU8"/>
    <mergeCell ref="AS9:AU9"/>
    <mergeCell ref="AW14:AY14"/>
    <mergeCell ref="K18:M18"/>
    <mergeCell ref="K19:M19"/>
    <mergeCell ref="K20:M20"/>
    <mergeCell ref="K21:M21"/>
    <mergeCell ref="F15:J15"/>
    <mergeCell ref="F16:J16"/>
    <mergeCell ref="F22:J22"/>
    <mergeCell ref="F24:J24"/>
    <mergeCell ref="AG3:AT3"/>
    <mergeCell ref="AH2:AT2"/>
    <mergeCell ref="S2:AC2"/>
    <mergeCell ref="S3:AC3"/>
    <mergeCell ref="AD4:AH4"/>
    <mergeCell ref="V5:Z6"/>
    <mergeCell ref="AN10:AR11"/>
    <mergeCell ref="G9:L9"/>
    <mergeCell ref="V14:AF14"/>
    <mergeCell ref="V10:Z11"/>
    <mergeCell ref="P13:T13"/>
    <mergeCell ref="V13:AF13"/>
    <mergeCell ref="F10:J11"/>
    <mergeCell ref="F14:J14"/>
    <mergeCell ref="AS12:AT12"/>
    <mergeCell ref="AS13:AT13"/>
    <mergeCell ref="AS14:AT14"/>
    <mergeCell ref="V12:AF12"/>
    <mergeCell ref="P12:T12"/>
    <mergeCell ref="M7:O7"/>
    <mergeCell ref="M8:O8"/>
    <mergeCell ref="M9:O9"/>
    <mergeCell ref="W8:AB8"/>
    <mergeCell ref="P2:R2"/>
    <mergeCell ref="P3:R3"/>
    <mergeCell ref="P4:R4"/>
    <mergeCell ref="AD2:AG2"/>
    <mergeCell ref="AD3:AF3"/>
    <mergeCell ref="G7:L7"/>
    <mergeCell ref="G8:L8"/>
    <mergeCell ref="F13:J13"/>
    <mergeCell ref="W9:AB9"/>
    <mergeCell ref="S4:AC4"/>
    <mergeCell ref="P14:T14"/>
    <mergeCell ref="P15:T15"/>
    <mergeCell ref="P16:T16"/>
    <mergeCell ref="P17:T17"/>
    <mergeCell ref="P18:T18"/>
    <mergeCell ref="K13:M13"/>
    <mergeCell ref="W7:AB7"/>
    <mergeCell ref="AH12:AQ12"/>
    <mergeCell ref="AI4:AT4"/>
    <mergeCell ref="AL41:AN41"/>
    <mergeCell ref="V21:AF21"/>
    <mergeCell ref="V22:AF22"/>
    <mergeCell ref="AH20:AQ20"/>
    <mergeCell ref="AH21:AQ21"/>
    <mergeCell ref="AH22:AQ22"/>
    <mergeCell ref="AH23:AQ23"/>
    <mergeCell ref="AH24:AQ24"/>
    <mergeCell ref="AH25:AQ25"/>
    <mergeCell ref="AH26:AQ26"/>
    <mergeCell ref="P25:V25"/>
    <mergeCell ref="P27:V27"/>
    <mergeCell ref="O30:V30"/>
    <mergeCell ref="Y30:AE30"/>
    <mergeCell ref="Z28:AD29"/>
    <mergeCell ref="P28:U29"/>
    <mergeCell ref="K34:M34"/>
    <mergeCell ref="K29:M29"/>
    <mergeCell ref="AB33:AC33"/>
    <mergeCell ref="AE33:AF33"/>
    <mergeCell ref="AB34:AF34"/>
    <mergeCell ref="AA35:AE36"/>
    <mergeCell ref="AW16:AY16"/>
    <mergeCell ref="AH15:AQ15"/>
    <mergeCell ref="AH16:AQ16"/>
    <mergeCell ref="AH17:AQ17"/>
    <mergeCell ref="AH18:AQ18"/>
    <mergeCell ref="AH19:AQ19"/>
    <mergeCell ref="X41:AA41"/>
    <mergeCell ref="R49:W49"/>
    <mergeCell ref="AR41:AX41"/>
    <mergeCell ref="AR42:AX42"/>
    <mergeCell ref="AR43:AX43"/>
    <mergeCell ref="AR44:AX44"/>
    <mergeCell ref="AR45:AX45"/>
    <mergeCell ref="R42:W42"/>
    <mergeCell ref="P19:T19"/>
    <mergeCell ref="AB45:AC45"/>
    <mergeCell ref="AB46:AC46"/>
    <mergeCell ref="AB47:AC47"/>
    <mergeCell ref="AB48:AC48"/>
    <mergeCell ref="AB49:AC49"/>
    <mergeCell ref="R47:W47"/>
    <mergeCell ref="R46:W46"/>
    <mergeCell ref="X44:AA44"/>
    <mergeCell ref="AW33:AY33"/>
    <mergeCell ref="AP35:AW36"/>
    <mergeCell ref="O33:V33"/>
    <mergeCell ref="AW34:AY34"/>
    <mergeCell ref="AW19:AY19"/>
    <mergeCell ref="AW20:AY20"/>
    <mergeCell ref="AW21:AY21"/>
    <mergeCell ref="AW22:AY22"/>
    <mergeCell ref="AW28:AY28"/>
    <mergeCell ref="R43:W43"/>
    <mergeCell ref="K25:M25"/>
    <mergeCell ref="K26:M26"/>
    <mergeCell ref="F26:J26"/>
    <mergeCell ref="F27:J27"/>
    <mergeCell ref="F28:J28"/>
    <mergeCell ref="F29:J29"/>
    <mergeCell ref="F30:J30"/>
    <mergeCell ref="F31:J31"/>
    <mergeCell ref="F32:J32"/>
    <mergeCell ref="F33:J33"/>
    <mergeCell ref="F34:J34"/>
    <mergeCell ref="F35:J35"/>
    <mergeCell ref="X42:AA42"/>
    <mergeCell ref="X43:AA43"/>
    <mergeCell ref="P23:V24"/>
    <mergeCell ref="R41:W41"/>
    <mergeCell ref="K23:M23"/>
    <mergeCell ref="K24:M24"/>
    <mergeCell ref="F36:J36"/>
    <mergeCell ref="F23:J23"/>
    <mergeCell ref="B82:L82"/>
    <mergeCell ref="B83:L83"/>
    <mergeCell ref="B84:L84"/>
    <mergeCell ref="B85:L85"/>
    <mergeCell ref="B86:L86"/>
    <mergeCell ref="B87:L87"/>
    <mergeCell ref="N70:R70"/>
    <mergeCell ref="N71:R71"/>
    <mergeCell ref="N72:R72"/>
    <mergeCell ref="N73:R73"/>
    <mergeCell ref="N74:R74"/>
    <mergeCell ref="N78:R78"/>
    <mergeCell ref="N79:R79"/>
    <mergeCell ref="AS15:AT15"/>
    <mergeCell ref="AS16:AT16"/>
    <mergeCell ref="AS17:AT17"/>
    <mergeCell ref="AS18:AT18"/>
    <mergeCell ref="AS19:AT19"/>
    <mergeCell ref="AS20:AT20"/>
    <mergeCell ref="AS21:AT21"/>
    <mergeCell ref="AS22:AT22"/>
    <mergeCell ref="O41:P41"/>
    <mergeCell ref="AR48:AX48"/>
    <mergeCell ref="AR49:AX49"/>
    <mergeCell ref="R48:W48"/>
    <mergeCell ref="P21:T21"/>
    <mergeCell ref="P22:T22"/>
    <mergeCell ref="Y26:AF26"/>
    <mergeCell ref="AR46:AX46"/>
    <mergeCell ref="AR47:AX47"/>
    <mergeCell ref="AW15:AY15"/>
    <mergeCell ref="B64:L64"/>
    <mergeCell ref="B81:L81"/>
    <mergeCell ref="F37:J37"/>
    <mergeCell ref="F38:J38"/>
    <mergeCell ref="B62:J62"/>
    <mergeCell ref="B53:G53"/>
    <mergeCell ref="B54:G54"/>
    <mergeCell ref="B55:G55"/>
    <mergeCell ref="I53:J53"/>
    <mergeCell ref="I54:J54"/>
    <mergeCell ref="I55:J55"/>
    <mergeCell ref="B70:L70"/>
    <mergeCell ref="B71:L71"/>
    <mergeCell ref="B72:L72"/>
    <mergeCell ref="B73:L73"/>
    <mergeCell ref="B74:L74"/>
    <mergeCell ref="B75:L75"/>
    <mergeCell ref="B76:L76"/>
    <mergeCell ref="B77:L77"/>
    <mergeCell ref="B78:L78"/>
    <mergeCell ref="B79:L79"/>
    <mergeCell ref="K37:M37"/>
    <mergeCell ref="B63:L63"/>
    <mergeCell ref="K38:M38"/>
    <mergeCell ref="E45:I45"/>
    <mergeCell ref="E46:I46"/>
    <mergeCell ref="E47:I47"/>
    <mergeCell ref="E48:I48"/>
    <mergeCell ref="J43:L43"/>
    <mergeCell ref="J44:L44"/>
    <mergeCell ref="J45:L45"/>
    <mergeCell ref="J46:L46"/>
    <mergeCell ref="P52:P53"/>
    <mergeCell ref="R52:R53"/>
    <mergeCell ref="T52:T53"/>
    <mergeCell ref="V54:AA54"/>
    <mergeCell ref="V55:AA55"/>
    <mergeCell ref="AB52:AB53"/>
    <mergeCell ref="AA63:AK63"/>
    <mergeCell ref="AA64:AK64"/>
    <mergeCell ref="AA65:AK65"/>
    <mergeCell ref="AA66:AK66"/>
    <mergeCell ref="AA67:AK67"/>
    <mergeCell ref="AA68:AK68"/>
    <mergeCell ref="T63:Y63"/>
    <mergeCell ref="T64:Y64"/>
    <mergeCell ref="T65:Y65"/>
    <mergeCell ref="X60:AB61"/>
    <mergeCell ref="B80:L80"/>
    <mergeCell ref="AS69:AX69"/>
    <mergeCell ref="AM79:AQ79"/>
    <mergeCell ref="AM62:AQ62"/>
    <mergeCell ref="M52:M53"/>
    <mergeCell ref="L52:L53"/>
    <mergeCell ref="N80:R80"/>
    <mergeCell ref="AA69:AK69"/>
    <mergeCell ref="AM77:AQ77"/>
    <mergeCell ref="AS77:AX77"/>
    <mergeCell ref="N63:R63"/>
    <mergeCell ref="N62:R62"/>
    <mergeCell ref="T62:Y62"/>
    <mergeCell ref="AA62:AI62"/>
    <mergeCell ref="N52:N53"/>
    <mergeCell ref="AS79:AX79"/>
    <mergeCell ref="AM80:AQ80"/>
    <mergeCell ref="AS80:AX80"/>
    <mergeCell ref="AM69:AQ69"/>
    <mergeCell ref="AM66:AQ66"/>
    <mergeCell ref="AS66:AX66"/>
    <mergeCell ref="AM67:AQ67"/>
    <mergeCell ref="AS67:AX67"/>
    <mergeCell ref="AM68:AQ68"/>
    <mergeCell ref="AS68:AX68"/>
    <mergeCell ref="T69:Y69"/>
    <mergeCell ref="B65:L65"/>
    <mergeCell ref="B66:L66"/>
    <mergeCell ref="B67:L67"/>
    <mergeCell ref="B68:L68"/>
    <mergeCell ref="B69:L69"/>
    <mergeCell ref="N67:R67"/>
    <mergeCell ref="N68:R68"/>
    <mergeCell ref="AS71:AX71"/>
    <mergeCell ref="AM72:AQ72"/>
    <mergeCell ref="AS72:AX72"/>
    <mergeCell ref="AS64:AX64"/>
    <mergeCell ref="AM65:AQ65"/>
    <mergeCell ref="AS65:AX65"/>
    <mergeCell ref="T75:Y75"/>
    <mergeCell ref="T76:Y76"/>
    <mergeCell ref="T68:Y68"/>
    <mergeCell ref="T81:Y81"/>
    <mergeCell ref="AM63:AQ63"/>
    <mergeCell ref="AS63:AX63"/>
    <mergeCell ref="N64:R64"/>
    <mergeCell ref="N65:R65"/>
    <mergeCell ref="N66:R66"/>
    <mergeCell ref="AM83:AQ83"/>
    <mergeCell ref="AS83:AX83"/>
    <mergeCell ref="AS82:AX82"/>
    <mergeCell ref="T70:Y70"/>
    <mergeCell ref="T71:Y71"/>
    <mergeCell ref="T72:Y72"/>
    <mergeCell ref="T73:Y73"/>
    <mergeCell ref="T74:Y74"/>
    <mergeCell ref="T66:Y66"/>
    <mergeCell ref="T82:Y82"/>
    <mergeCell ref="T83:Y83"/>
    <mergeCell ref="T77:Y77"/>
    <mergeCell ref="T78:Y78"/>
    <mergeCell ref="T79:Y79"/>
    <mergeCell ref="T80:Y80"/>
    <mergeCell ref="AM78:AQ78"/>
    <mergeCell ref="AS78:AX78"/>
    <mergeCell ref="B179:AY180"/>
    <mergeCell ref="A175:A177"/>
    <mergeCell ref="B175:F175"/>
    <mergeCell ref="H175:L175"/>
    <mergeCell ref="N175:AA175"/>
    <mergeCell ref="AC175:AG175"/>
    <mergeCell ref="AI175:AL175"/>
    <mergeCell ref="AN175:AR175"/>
    <mergeCell ref="AT175:AU175"/>
    <mergeCell ref="B176:AY177"/>
    <mergeCell ref="A148:A150"/>
    <mergeCell ref="A151:A153"/>
    <mergeCell ref="AB42:AC42"/>
    <mergeCell ref="AB41:AC41"/>
    <mergeCell ref="AB43:AC43"/>
    <mergeCell ref="AB44:AC44"/>
    <mergeCell ref="AC169:AG169"/>
    <mergeCell ref="AI169:AL169"/>
    <mergeCell ref="AN169:AR169"/>
    <mergeCell ref="AT169:AU169"/>
    <mergeCell ref="AM87:AQ87"/>
    <mergeCell ref="AS87:AX87"/>
    <mergeCell ref="T85:Y85"/>
    <mergeCell ref="AN139:AR139"/>
    <mergeCell ref="B119:AY120"/>
    <mergeCell ref="U105:Y105"/>
    <mergeCell ref="AA105:AR105"/>
    <mergeCell ref="AT105:AX105"/>
    <mergeCell ref="V115:Z116"/>
    <mergeCell ref="X89:AB90"/>
    <mergeCell ref="U92:Y92"/>
    <mergeCell ref="AM64:AQ64"/>
    <mergeCell ref="A172:A174"/>
    <mergeCell ref="B172:F172"/>
    <mergeCell ref="H172:L172"/>
    <mergeCell ref="N172:AA172"/>
    <mergeCell ref="AC172:AG172"/>
    <mergeCell ref="AI172:AL172"/>
    <mergeCell ref="AN172:AR172"/>
    <mergeCell ref="AT172:AU172"/>
    <mergeCell ref="B173:AY174"/>
    <mergeCell ref="AS84:AX84"/>
    <mergeCell ref="AM85:AQ85"/>
    <mergeCell ref="AS85:AX85"/>
    <mergeCell ref="A169:A171"/>
    <mergeCell ref="B169:F169"/>
    <mergeCell ref="H169:L169"/>
    <mergeCell ref="N169:AA169"/>
    <mergeCell ref="A139:A141"/>
    <mergeCell ref="A142:A144"/>
    <mergeCell ref="A145:A147"/>
    <mergeCell ref="H151:L151"/>
    <mergeCell ref="N151:AA151"/>
    <mergeCell ref="B146:AY147"/>
    <mergeCell ref="AI151:AL151"/>
    <mergeCell ref="AW166:AY166"/>
    <mergeCell ref="AW169:AY169"/>
    <mergeCell ref="AW172:AY172"/>
    <mergeCell ref="AA87:AK87"/>
    <mergeCell ref="AA86:AK86"/>
    <mergeCell ref="B92:S92"/>
    <mergeCell ref="U91:Y91"/>
    <mergeCell ref="B91:S91"/>
    <mergeCell ref="W106:AC107"/>
    <mergeCell ref="A58:A59"/>
    <mergeCell ref="B58:B59"/>
    <mergeCell ref="B56:G56"/>
    <mergeCell ref="I56:J56"/>
    <mergeCell ref="V56:AA56"/>
    <mergeCell ref="J48:L48"/>
    <mergeCell ref="E43:I43"/>
    <mergeCell ref="E44:I44"/>
    <mergeCell ref="A181:A183"/>
    <mergeCell ref="B181:F181"/>
    <mergeCell ref="H181:L181"/>
    <mergeCell ref="N181:AA181"/>
    <mergeCell ref="AC181:AG181"/>
    <mergeCell ref="AI181:AL181"/>
    <mergeCell ref="AN181:AR181"/>
    <mergeCell ref="AT181:AU181"/>
    <mergeCell ref="B182:AY183"/>
    <mergeCell ref="AW181:AY181"/>
    <mergeCell ref="AT92:AX92"/>
    <mergeCell ref="N69:R69"/>
    <mergeCell ref="B170:AY171"/>
    <mergeCell ref="AW118:AY118"/>
    <mergeCell ref="AW121:AY121"/>
    <mergeCell ref="AW124:AY124"/>
    <mergeCell ref="AW127:AY127"/>
    <mergeCell ref="AW130:AY130"/>
    <mergeCell ref="AW133:AY133"/>
    <mergeCell ref="AW136:AY136"/>
    <mergeCell ref="AW139:AY139"/>
    <mergeCell ref="AW142:AY142"/>
    <mergeCell ref="A178:A180"/>
    <mergeCell ref="B178:F178"/>
    <mergeCell ref="H178:L178"/>
    <mergeCell ref="N178:AA178"/>
    <mergeCell ref="AC178:AG178"/>
    <mergeCell ref="T87:Y87"/>
    <mergeCell ref="T86:Y86"/>
    <mergeCell ref="AI178:AL178"/>
    <mergeCell ref="AN178:AR178"/>
    <mergeCell ref="AT178:AU178"/>
    <mergeCell ref="AT190:AU190"/>
    <mergeCell ref="B191:AY192"/>
    <mergeCell ref="AW190:AY190"/>
    <mergeCell ref="A187:A189"/>
    <mergeCell ref="B187:F187"/>
    <mergeCell ref="H187:L187"/>
    <mergeCell ref="N187:AA187"/>
    <mergeCell ref="AC187:AG187"/>
    <mergeCell ref="AI187:AL187"/>
    <mergeCell ref="AN187:AR187"/>
    <mergeCell ref="AT187:AU187"/>
    <mergeCell ref="B188:AY189"/>
    <mergeCell ref="AW187:AY187"/>
    <mergeCell ref="AI184:AL184"/>
    <mergeCell ref="AN184:AR184"/>
    <mergeCell ref="AT184:AU184"/>
    <mergeCell ref="B185:AY186"/>
    <mergeCell ref="AW184:AY184"/>
    <mergeCell ref="A184:A186"/>
    <mergeCell ref="B184:F184"/>
    <mergeCell ref="H184:L184"/>
    <mergeCell ref="N184:AA184"/>
    <mergeCell ref="AC184:AG184"/>
    <mergeCell ref="A190:A192"/>
    <mergeCell ref="B190:F190"/>
    <mergeCell ref="H190:L190"/>
    <mergeCell ref="N190:AA190"/>
    <mergeCell ref="AC190:AG190"/>
    <mergeCell ref="AI190:AL190"/>
    <mergeCell ref="AN190:AR190"/>
    <mergeCell ref="A196:A198"/>
    <mergeCell ref="B196:F196"/>
    <mergeCell ref="H196:L196"/>
    <mergeCell ref="N196:AA196"/>
    <mergeCell ref="AC196:AG196"/>
    <mergeCell ref="AI196:AL196"/>
    <mergeCell ref="AN196:AR196"/>
    <mergeCell ref="AT196:AU196"/>
    <mergeCell ref="B197:AY198"/>
    <mergeCell ref="AW196:AY196"/>
    <mergeCell ref="A193:A195"/>
    <mergeCell ref="B193:F193"/>
    <mergeCell ref="H193:L193"/>
    <mergeCell ref="N193:AA193"/>
    <mergeCell ref="AC193:AG193"/>
    <mergeCell ref="AI193:AL193"/>
    <mergeCell ref="AN193:AR193"/>
    <mergeCell ref="AT193:AU193"/>
    <mergeCell ref="B194:AY195"/>
    <mergeCell ref="AW193:AY193"/>
    <mergeCell ref="A202:A204"/>
    <mergeCell ref="B202:F202"/>
    <mergeCell ref="H202:L202"/>
    <mergeCell ref="N202:AA202"/>
    <mergeCell ref="AC202:AG202"/>
    <mergeCell ref="AI202:AL202"/>
    <mergeCell ref="AN202:AR202"/>
    <mergeCell ref="AT202:AU202"/>
    <mergeCell ref="B203:AY204"/>
    <mergeCell ref="AW202:AY202"/>
    <mergeCell ref="A199:A201"/>
    <mergeCell ref="B199:F199"/>
    <mergeCell ref="H199:L199"/>
    <mergeCell ref="N199:AA199"/>
    <mergeCell ref="AC199:AG199"/>
    <mergeCell ref="AI199:AL199"/>
    <mergeCell ref="AN199:AR199"/>
    <mergeCell ref="AT199:AU199"/>
    <mergeCell ref="B200:AY201"/>
    <mergeCell ref="AW199:AY199"/>
    <mergeCell ref="A208:A210"/>
    <mergeCell ref="B208:F208"/>
    <mergeCell ref="H208:L208"/>
    <mergeCell ref="N208:AA208"/>
    <mergeCell ref="AC208:AG208"/>
    <mergeCell ref="AI208:AL208"/>
    <mergeCell ref="AN208:AR208"/>
    <mergeCell ref="AT208:AU208"/>
    <mergeCell ref="B209:AY210"/>
    <mergeCell ref="AW208:AY208"/>
    <mergeCell ref="A205:A207"/>
    <mergeCell ref="B205:F205"/>
    <mergeCell ref="H205:L205"/>
    <mergeCell ref="N205:AA205"/>
    <mergeCell ref="AC205:AG205"/>
    <mergeCell ref="AI205:AL205"/>
    <mergeCell ref="AN205:AR205"/>
    <mergeCell ref="AT205:AU205"/>
    <mergeCell ref="B206:AY207"/>
    <mergeCell ref="AW205:AY205"/>
    <mergeCell ref="A214:A216"/>
    <mergeCell ref="B214:F214"/>
    <mergeCell ref="H214:L214"/>
    <mergeCell ref="N214:AA214"/>
    <mergeCell ref="AC214:AG214"/>
    <mergeCell ref="AI214:AL214"/>
    <mergeCell ref="AN214:AR214"/>
    <mergeCell ref="AT214:AU214"/>
    <mergeCell ref="B215:AY216"/>
    <mergeCell ref="AW214:AY214"/>
    <mergeCell ref="A211:A213"/>
    <mergeCell ref="B211:F211"/>
    <mergeCell ref="H211:L211"/>
    <mergeCell ref="N211:AA211"/>
    <mergeCell ref="AC211:AG211"/>
    <mergeCell ref="AI211:AL211"/>
    <mergeCell ref="AN211:AR211"/>
    <mergeCell ref="AT211:AU211"/>
    <mergeCell ref="B212:AY213"/>
    <mergeCell ref="AW211:AY211"/>
    <mergeCell ref="A217:A219"/>
    <mergeCell ref="B217:F217"/>
    <mergeCell ref="H217:L217"/>
    <mergeCell ref="N217:AA217"/>
    <mergeCell ref="AC217:AG217"/>
    <mergeCell ref="AI217:AL217"/>
    <mergeCell ref="AN217:AR217"/>
    <mergeCell ref="AT217:AU217"/>
    <mergeCell ref="B218:AY219"/>
    <mergeCell ref="AW217:AY217"/>
    <mergeCell ref="A220:A222"/>
    <mergeCell ref="B220:F220"/>
    <mergeCell ref="H220:L220"/>
    <mergeCell ref="N220:AA220"/>
    <mergeCell ref="AC220:AG220"/>
    <mergeCell ref="AI220:AL220"/>
    <mergeCell ref="AN220:AR220"/>
    <mergeCell ref="AT220:AU220"/>
    <mergeCell ref="B221:AY222"/>
    <mergeCell ref="AW220:AY220"/>
    <mergeCell ref="A226:A228"/>
    <mergeCell ref="B226:F226"/>
    <mergeCell ref="H226:L226"/>
    <mergeCell ref="N226:AA226"/>
    <mergeCell ref="AC226:AG226"/>
    <mergeCell ref="AI226:AL226"/>
    <mergeCell ref="AN226:AR226"/>
    <mergeCell ref="AT226:AU226"/>
    <mergeCell ref="B227:AY228"/>
    <mergeCell ref="AW226:AY226"/>
    <mergeCell ref="A223:A225"/>
    <mergeCell ref="B223:F223"/>
    <mergeCell ref="H223:L223"/>
    <mergeCell ref="N223:AA223"/>
    <mergeCell ref="AC223:AG223"/>
    <mergeCell ref="AI223:AL223"/>
    <mergeCell ref="AN223:AR223"/>
    <mergeCell ref="AT223:AU223"/>
    <mergeCell ref="B224:AY225"/>
    <mergeCell ref="AW223:AY223"/>
    <mergeCell ref="A232:A234"/>
    <mergeCell ref="B232:F232"/>
    <mergeCell ref="H232:L232"/>
    <mergeCell ref="N232:AA232"/>
    <mergeCell ref="AC232:AG232"/>
    <mergeCell ref="AI232:AL232"/>
    <mergeCell ref="AN232:AR232"/>
    <mergeCell ref="AT232:AU232"/>
    <mergeCell ref="B233:AY234"/>
    <mergeCell ref="AW232:AY232"/>
    <mergeCell ref="A229:A231"/>
    <mergeCell ref="B229:F229"/>
    <mergeCell ref="H229:L229"/>
    <mergeCell ref="N229:AA229"/>
    <mergeCell ref="AC229:AG229"/>
    <mergeCell ref="AI229:AL229"/>
    <mergeCell ref="AN229:AR229"/>
    <mergeCell ref="AT229:AU229"/>
    <mergeCell ref="B230:AY231"/>
    <mergeCell ref="AW229:AY229"/>
    <mergeCell ref="AT241:AU241"/>
    <mergeCell ref="B242:AY243"/>
    <mergeCell ref="AW241:AY241"/>
    <mergeCell ref="A238:A240"/>
    <mergeCell ref="B238:F238"/>
    <mergeCell ref="H238:L238"/>
    <mergeCell ref="N238:AA238"/>
    <mergeCell ref="AC238:AG238"/>
    <mergeCell ref="AI238:AL238"/>
    <mergeCell ref="AN238:AR238"/>
    <mergeCell ref="AT238:AU238"/>
    <mergeCell ref="B239:AY240"/>
    <mergeCell ref="AW238:AY238"/>
    <mergeCell ref="A235:A237"/>
    <mergeCell ref="B235:F235"/>
    <mergeCell ref="H235:L235"/>
    <mergeCell ref="N235:AA235"/>
    <mergeCell ref="AC235:AG235"/>
    <mergeCell ref="AI235:AL235"/>
    <mergeCell ref="AN235:AR235"/>
    <mergeCell ref="AT235:AU235"/>
    <mergeCell ref="B236:AY237"/>
    <mergeCell ref="AW235:AY235"/>
    <mergeCell ref="A241:A243"/>
    <mergeCell ref="B241:F241"/>
    <mergeCell ref="H241:L241"/>
    <mergeCell ref="N241:AA241"/>
    <mergeCell ref="AC241:AG241"/>
    <mergeCell ref="AI241:AL241"/>
    <mergeCell ref="AN241:AR241"/>
    <mergeCell ref="A265:A267"/>
    <mergeCell ref="B265:F265"/>
    <mergeCell ref="H265:L265"/>
    <mergeCell ref="N265:AA265"/>
    <mergeCell ref="AC265:AG265"/>
    <mergeCell ref="AI265:AL265"/>
    <mergeCell ref="AN265:AR265"/>
    <mergeCell ref="AT265:AU265"/>
    <mergeCell ref="B266:AY267"/>
    <mergeCell ref="AW265:AY265"/>
    <mergeCell ref="A262:A264"/>
    <mergeCell ref="B262:F262"/>
    <mergeCell ref="H262:L262"/>
    <mergeCell ref="N262:AA262"/>
    <mergeCell ref="AC262:AG262"/>
    <mergeCell ref="AI262:AL262"/>
    <mergeCell ref="AN262:AR262"/>
    <mergeCell ref="AT262:AU262"/>
    <mergeCell ref="B263:AY264"/>
    <mergeCell ref="AW262:AY262"/>
    <mergeCell ref="AW175:AY175"/>
    <mergeCell ref="AW178:AY178"/>
    <mergeCell ref="B134:AY135"/>
    <mergeCell ref="B257:AY258"/>
    <mergeCell ref="AW256:AY256"/>
    <mergeCell ref="B259:F259"/>
    <mergeCell ref="H259:L259"/>
    <mergeCell ref="N259:AA259"/>
    <mergeCell ref="AC259:AG259"/>
    <mergeCell ref="AI259:AL259"/>
    <mergeCell ref="AN259:AR259"/>
    <mergeCell ref="AT259:AU259"/>
    <mergeCell ref="AW259:AY259"/>
    <mergeCell ref="B256:F256"/>
    <mergeCell ref="H256:L256"/>
    <mergeCell ref="N256:AA256"/>
    <mergeCell ref="AT250:AU250"/>
    <mergeCell ref="B251:AY252"/>
    <mergeCell ref="AW250:AY250"/>
    <mergeCell ref="B247:F247"/>
    <mergeCell ref="H247:L247"/>
    <mergeCell ref="N247:AA247"/>
    <mergeCell ref="AC247:AG247"/>
    <mergeCell ref="AI247:AL247"/>
    <mergeCell ref="AN247:AR247"/>
    <mergeCell ref="H244:L244"/>
    <mergeCell ref="N244:AA244"/>
    <mergeCell ref="AC244:AG244"/>
    <mergeCell ref="AI244:AL244"/>
    <mergeCell ref="AN244:AR244"/>
    <mergeCell ref="B245:AY246"/>
    <mergeCell ref="AW244:AY244"/>
    <mergeCell ref="N250:AA250"/>
    <mergeCell ref="AC250:AG250"/>
    <mergeCell ref="AI250:AL250"/>
    <mergeCell ref="AN250:AR250"/>
    <mergeCell ref="A259:A261"/>
    <mergeCell ref="A256:A258"/>
    <mergeCell ref="A250:A252"/>
    <mergeCell ref="A253:A255"/>
    <mergeCell ref="B253:F253"/>
    <mergeCell ref="H253:L253"/>
    <mergeCell ref="N253:AA253"/>
    <mergeCell ref="AC253:AG253"/>
    <mergeCell ref="AI253:AL253"/>
    <mergeCell ref="AN253:AR253"/>
    <mergeCell ref="A244:A246"/>
    <mergeCell ref="A247:A249"/>
    <mergeCell ref="B260:AY261"/>
    <mergeCell ref="AT247:AU247"/>
    <mergeCell ref="AT244:AU244"/>
    <mergeCell ref="AZ53:BH55"/>
    <mergeCell ref="BB32:BF32"/>
    <mergeCell ref="AZ3:BB3"/>
    <mergeCell ref="AZ4:BB4"/>
    <mergeCell ref="AZ5:BB5"/>
    <mergeCell ref="AZ6:BC6"/>
    <mergeCell ref="AZ7:BB7"/>
    <mergeCell ref="BB16:BE16"/>
    <mergeCell ref="BB28:BG28"/>
    <mergeCell ref="AZ40:BT43"/>
    <mergeCell ref="AC256:AG256"/>
    <mergeCell ref="AI256:AL256"/>
    <mergeCell ref="AN256:AR256"/>
    <mergeCell ref="AT256:AU256"/>
    <mergeCell ref="B250:F250"/>
    <mergeCell ref="H250:L250"/>
    <mergeCell ref="B248:AY249"/>
    <mergeCell ref="AW247:AY247"/>
    <mergeCell ref="AT253:AU253"/>
    <mergeCell ref="B254:AY255"/>
    <mergeCell ref="AW253:AY253"/>
    <mergeCell ref="AS74:AX74"/>
    <mergeCell ref="AM81:AQ81"/>
    <mergeCell ref="AM75:AQ75"/>
    <mergeCell ref="T67:Y67"/>
    <mergeCell ref="AM76:AQ76"/>
    <mergeCell ref="AS76:AX76"/>
    <mergeCell ref="T84:Y84"/>
    <mergeCell ref="AM70:AQ70"/>
    <mergeCell ref="AS70:AX70"/>
    <mergeCell ref="BA163:BV165"/>
    <mergeCell ref="B244:F244"/>
    <mergeCell ref="AZ2:BB2"/>
    <mergeCell ref="AZ9:BJ9"/>
    <mergeCell ref="D39:K40"/>
    <mergeCell ref="AD39:AH40"/>
    <mergeCell ref="N42:Q42"/>
    <mergeCell ref="N43:Q43"/>
    <mergeCell ref="N44:Q44"/>
    <mergeCell ref="N45:Q45"/>
    <mergeCell ref="N46:Q46"/>
    <mergeCell ref="N47:Q47"/>
    <mergeCell ref="N48:Q48"/>
    <mergeCell ref="N49:Q49"/>
    <mergeCell ref="AM86:AQ86"/>
    <mergeCell ref="AS86:AX86"/>
    <mergeCell ref="AS81:AX81"/>
    <mergeCell ref="AM82:AQ82"/>
    <mergeCell ref="AM73:AQ73"/>
    <mergeCell ref="AS73:AX73"/>
    <mergeCell ref="AM74:AQ74"/>
    <mergeCell ref="AM84:AQ84"/>
    <mergeCell ref="AS75:AX75"/>
    <mergeCell ref="AM71:AQ71"/>
    <mergeCell ref="AS62:AX62"/>
    <mergeCell ref="J47:L47"/>
    <mergeCell ref="X45:AA45"/>
    <mergeCell ref="X46:AA46"/>
    <mergeCell ref="X47:AA47"/>
    <mergeCell ref="X48:AA48"/>
    <mergeCell ref="X49:AA49"/>
    <mergeCell ref="K52:K53"/>
    <mergeCell ref="R44:W44"/>
    <mergeCell ref="R45:W45"/>
  </mergeCells>
  <conditionalFormatting sqref="AZ3">
    <cfRule type="expression" dxfId="58" priority="49">
      <formula>BC3="ok"</formula>
    </cfRule>
    <cfRule type="expression" dxfId="57" priority="50">
      <formula>BC3&lt;&gt;"ok"</formula>
    </cfRule>
  </conditionalFormatting>
  <conditionalFormatting sqref="AZ5">
    <cfRule type="expression" dxfId="56" priority="47">
      <formula>BC5=S4</formula>
    </cfRule>
    <cfRule type="expression" dxfId="55" priority="48">
      <formula>BC5&lt;&gt;S4</formula>
    </cfRule>
  </conditionalFormatting>
  <conditionalFormatting sqref="AZ4">
    <cfRule type="expression" dxfId="54" priority="45">
      <formula>BC4="ok"</formula>
    </cfRule>
    <cfRule type="expression" dxfId="53" priority="46">
      <formula>BC4&lt;&gt;"ok"</formula>
    </cfRule>
  </conditionalFormatting>
  <conditionalFormatting sqref="AZ6">
    <cfRule type="expression" dxfId="52" priority="43">
      <formula>BD6="ok"</formula>
    </cfRule>
    <cfRule type="expression" dxfId="51" priority="44">
      <formula>BD6&lt;&gt;"ok"</formula>
    </cfRule>
  </conditionalFormatting>
  <conditionalFormatting sqref="AZ7">
    <cfRule type="expression" dxfId="50" priority="41">
      <formula>BC7="ok"</formula>
    </cfRule>
    <cfRule type="expression" dxfId="49" priority="42">
      <formula>BC7&lt;&gt;"ok"</formula>
    </cfRule>
  </conditionalFormatting>
  <conditionalFormatting sqref="AZ10">
    <cfRule type="expression" dxfId="48" priority="39">
      <formula>BI10&lt;&gt;""</formula>
    </cfRule>
    <cfRule type="expression" dxfId="47" priority="40">
      <formula>BC10=""</formula>
    </cfRule>
  </conditionalFormatting>
  <conditionalFormatting sqref="AZ11">
    <cfRule type="expression" dxfId="46" priority="37">
      <formula>BI11&lt;&gt;""</formula>
    </cfRule>
    <cfRule type="expression" dxfId="45" priority="38">
      <formula>BC11=""</formula>
    </cfRule>
  </conditionalFormatting>
  <conditionalFormatting sqref="AZ12">
    <cfRule type="expression" dxfId="44" priority="35">
      <formula>BI12&lt;&gt;""</formula>
    </cfRule>
    <cfRule type="expression" dxfId="43" priority="36">
      <formula>BC12=""</formula>
    </cfRule>
  </conditionalFormatting>
  <conditionalFormatting sqref="BB16">
    <cfRule type="expression" dxfId="42" priority="33">
      <formula>AND(BG16+BG16=0,BI16+BI16=0)</formula>
    </cfRule>
    <cfRule type="expression" dxfId="41" priority="34">
      <formula>OR(BG16&lt;&gt;0,BI16&lt;&gt;0)</formula>
    </cfRule>
  </conditionalFormatting>
  <conditionalFormatting sqref="D13:D38">
    <cfRule type="expression" dxfId="40" priority="28">
      <formula>AND(OR(D13="C",D13="S"),COUNTIF(F13,$BG$18:$BK$26)=0)</formula>
    </cfRule>
  </conditionalFormatting>
  <conditionalFormatting sqref="D13:D38">
    <cfRule type="expression" dxfId="39" priority="27">
      <formula>AND(OR(D13="C",D13="S"),COUNTIF(F13,$BG$18:$BK$26)=0)</formula>
    </cfRule>
  </conditionalFormatting>
  <conditionalFormatting sqref="D15:D25">
    <cfRule type="expression" dxfId="38" priority="26">
      <formula>AND(OR(D15="C",D15="S"),COUNTIF(F15,$BG$18:$BK$26)=0)</formula>
    </cfRule>
  </conditionalFormatting>
  <conditionalFormatting sqref="AW13:AY13">
    <cfRule type="expression" dxfId="37" priority="23">
      <formula>AU13=0</formula>
    </cfRule>
  </conditionalFormatting>
  <conditionalFormatting sqref="AW14:AY34">
    <cfRule type="expression" dxfId="36" priority="22">
      <formula>AU14=0</formula>
    </cfRule>
  </conditionalFormatting>
  <conditionalFormatting sqref="BC30">
    <cfRule type="expression" dxfId="35" priority="20">
      <formula>BA30&lt;&gt;0</formula>
    </cfRule>
    <cfRule type="expression" dxfId="34" priority="21">
      <formula>BA30=0</formula>
    </cfRule>
  </conditionalFormatting>
  <conditionalFormatting sqref="BB32:BF32">
    <cfRule type="expression" dxfId="33" priority="18">
      <formula>BA32=0</formula>
    </cfRule>
    <cfRule type="expression" dxfId="32" priority="19">
      <formula>BA32&lt;&gt;0</formula>
    </cfRule>
  </conditionalFormatting>
  <conditionalFormatting sqref="S4:AC4">
    <cfRule type="containsText" dxfId="31" priority="16" operator="containsText" text=" =">
      <formula>NOT(ISERROR(SEARCH(" =",S4)))</formula>
    </cfRule>
  </conditionalFormatting>
  <conditionalFormatting sqref="D26:D38">
    <cfRule type="expression" dxfId="30" priority="15">
      <formula>AND(OR(D26="C",D26="S"),COUNTIF(F26,$BG$18:$BK$26)=0)</formula>
    </cfRule>
  </conditionalFormatting>
  <conditionalFormatting sqref="C43:C48">
    <cfRule type="expression" dxfId="29" priority="14">
      <formula>AND(OR(C43="C",C43="S"),COUNTIF(E43,$BG$18:$BK$26)=0)</formula>
    </cfRule>
  </conditionalFormatting>
  <conditionalFormatting sqref="D25">
    <cfRule type="expression" dxfId="28" priority="13">
      <formula>AND(OR(D25="C",D25="S"),COUNTIF(F25,$BG$18:$BK$26)=0)</formula>
    </cfRule>
  </conditionalFormatting>
  <conditionalFormatting sqref="F7:F9 V7:V9 AL7:AL9">
    <cfRule type="expression" dxfId="27" priority="7">
      <formula>AND(F7="C",COUNTIF($BG$18:$BK$20,G7)=0)</formula>
    </cfRule>
    <cfRule type="expression" dxfId="26" priority="12">
      <formula>COUNTIF(Exalt_Lunar,$S$4)=1</formula>
    </cfRule>
  </conditionalFormatting>
  <conditionalFormatting sqref="D14">
    <cfRule type="expression" dxfId="25" priority="11">
      <formula>AND(OR(D14="C",D14="S"),COUNTIF(F14,$BG$18:$BK$26)=0)</formula>
    </cfRule>
  </conditionalFormatting>
  <conditionalFormatting sqref="D13">
    <cfRule type="expression" dxfId="24" priority="10">
      <formula>AND(OR(D13="C",D13="S"),COUNTIF(F13,$BG$18:$BK$26)=0)</formula>
    </cfRule>
  </conditionalFormatting>
  <conditionalFormatting sqref="D13">
    <cfRule type="expression" dxfId="23" priority="9">
      <formula>AND(OR(D13="C",D13="S"),COUNTIF(F13,$BG$18:$BK$26)=0)</formula>
    </cfRule>
  </conditionalFormatting>
  <conditionalFormatting sqref="D13">
    <cfRule type="expression" dxfId="22" priority="6">
      <formula>AND(OR(D13="C",D13="S"),COUNTIF(F13,$BG$18:$BK$26)=0)</formula>
    </cfRule>
  </conditionalFormatting>
  <conditionalFormatting sqref="D14">
    <cfRule type="expression" dxfId="21" priority="5">
      <formula>AND(OR(D14="C",D14="S"),COUNTIF(F14,$BG$18:$BK$26)=0)</formula>
    </cfRule>
  </conditionalFormatting>
  <conditionalFormatting sqref="D13">
    <cfRule type="expression" dxfId="20" priority="4">
      <formula>AND(OR(D13="C",D13="S"),COUNTIF(F13,$BG$18:$BK$26)=0)</formula>
    </cfRule>
  </conditionalFormatting>
  <conditionalFormatting sqref="D13">
    <cfRule type="expression" dxfId="19" priority="3">
      <formula>AND(OR(D13="C",D13="S"),COUNTIF(F13,$BG$18:$BK$26)=0)</formula>
    </cfRule>
  </conditionalFormatting>
  <conditionalFormatting sqref="P16:AF16">
    <cfRule type="expression" dxfId="18" priority="2">
      <formula>COUNTIF(Exalt_Lunar,$S$4)=1</formula>
    </cfRule>
  </conditionalFormatting>
  <conditionalFormatting sqref="BB28">
    <cfRule type="expression" dxfId="17" priority="51">
      <formula>BA28=0</formula>
    </cfRule>
    <cfRule type="expression" dxfId="16" priority="52">
      <formula>BA28&lt;&gt;0</formula>
    </cfRule>
  </conditionalFormatting>
  <dataValidations xWindow="1064" yWindow="649" count="9">
    <dataValidation type="list" allowBlank="1" showInputMessage="1" showErrorMessage="1" sqref="AH23:AQ29" xr:uid="{00000000-0002-0000-0100-000001000000}">
      <formula1>list_merits</formula1>
    </dataValidation>
    <dataValidation type="list" allowBlank="1" showInputMessage="1" showErrorMessage="1" sqref="B265:F265 B262:F262 B259:F259 B256:F256 B253:F253 B250:F250 B247:F247 B244:F244 B241:F241 B238:F238 B235:F235 B232:F232 B229:F229 B226:F226 B223:F223 B220:F220 B166:F166 B169:F169 B172:F172 B175:F175 B178:F178 B181:F181 B184:F184 B187:F187 B190:F190 B193:F193 B196:F196 B199:F199 B202:F202 B205:F205 B208:F208 B211:F211 B214:F214 B217:F217" xr:uid="{00000000-0002-0000-0100-000002000000}">
      <formula1>List_abilities</formula1>
    </dataValidation>
    <dataValidation type="list" allowBlank="1" showInputMessage="1" showErrorMessage="1" sqref="N265 N262 N259 N256 N253 N250 N247 N244 N241 N238 N235 N232 N229 N226 N223 N220 N166 N169 N172 N175 N178 N181 N184 N187 N190 N193 N196 N199 N202 N205 N208 N211 N214 N217" xr:uid="{00000000-0002-0000-0100-000003000000}">
      <formula1>INDIRECT("charms_"&amp;$H166)</formula1>
    </dataValidation>
    <dataValidation type="list" allowBlank="1" showInputMessage="1" showErrorMessage="1" sqref="H223:L223 H265:L265 H262:L262 H259:L259 H256:L256 H253:L253 H250:L250 H247:L247 H244:L244 H241:L241 H238:L238 H235:L235 H232:L232 H229:L229 H226:L226 H220:L220 H166:L166 H169:L169 H172:L172 H175:L175 H178:L178 H181:L181 H184:L184 H187:L187 H190:L190 H193:L193 H196:L196 H199:L199 H202:L202 H205:L205 H208:L208 H211:L211 H214:L214 H217:L217" xr:uid="{00000000-0002-0000-0100-000004000000}">
      <formula1>INDIRECT("list_"&amp;$B166)</formula1>
    </dataValidation>
    <dataValidation type="list" errorStyle="warning" allowBlank="1" showInputMessage="1" showErrorMessage="1" errorTitle="Wrong Subtype" sqref="H163:L163" xr:uid="{00000000-0002-0000-0100-000005000000}">
      <formula1>INDIRECT("list_"&amp;INDIRECT("B"&amp;ROW()))</formula1>
    </dataValidation>
    <dataValidation type="list" errorStyle="warning" allowBlank="1" showInputMessage="1" showErrorMessage="1" errorTitle="Are you sure ?" sqref="AH13:AQ22" xr:uid="{00000000-0002-0000-0100-000007000000}">
      <formula1>list_merits</formula1>
    </dataValidation>
    <dataValidation type="list" errorStyle="warning" allowBlank="1" showInputMessage="1" showErrorMessage="1" errorTitle="Wrong Ability" sqref="B163:F163 B160:F160 B154:F154 B121:F121 B148:F148 B151:F151 B124:F124 B127:F127 B130:F130 B133:F133 B136:F136 B139:F139 B142:F142 B145:F145 B157:F157 B118:F118" xr:uid="{00000000-0002-0000-0100-00000A000000}">
      <formula1>List_abilities</formula1>
    </dataValidation>
    <dataValidation type="list" errorStyle="warning" allowBlank="1" showInputMessage="1" sqref="P25:V27" xr:uid="{00000000-0002-0000-0100-00000B000000}">
      <formula1>list_Martial_Arts</formula1>
    </dataValidation>
    <dataValidation type="list" errorStyle="warning" showInputMessage="1" showErrorMessage="1" sqref="C43:C48 D13:D38" xr:uid="{C56FFE6F-6544-49B8-8477-2FB6D278C195}">
      <formula1>spe_abilities</formula1>
    </dataValidation>
  </dataValidations>
  <hyperlinks>
    <hyperlink ref="AZ53:BH55" location="Creation_BP!A1" display="Step 7 : Spend your Bonus Points in &quot;Creation_BP&quot; (Clic here or clic on the tab)" xr:uid="{00000000-0004-0000-0100-000000000000}"/>
  </hyperlinks>
  <printOptions horizontalCentered="1" verticalCentered="1"/>
  <pageMargins left="0.39370078740157483" right="0.39370078740157483" top="0.78740157480314965" bottom="0.78740157480314965" header="0.39370078740157483" footer="0.39370078740157483"/>
  <pageSetup paperSize="9" pageOrder="overThenDown" orientation="portrait" useFirstPageNumber="1" horizontalDpi="360" verticalDpi="360" r:id="rId1"/>
  <headerFooter alignWithMargins="0"/>
  <cellWatches>
    <cellWatch r="AT53"/>
  </cellWatches>
  <ignoredErrors>
    <ignoredError sqref="C43:C48 D14:D16 D26:D27 D17:D24 D29:D38 D13" unlockedFormula="1"/>
    <ignoredError sqref="D25" formula="1" unlockedFormula="1"/>
  </ignoredErrors>
  <drawing r:id="rId2"/>
  <legacyDrawing r:id="rId3"/>
  <mc:AlternateContent xmlns:mc="http://schemas.openxmlformats.org/markup-compatibility/2006">
    <mc:Choice Requires="x14">
      <controls>
        <mc:AlternateContent xmlns:mc="http://schemas.openxmlformats.org/markup-compatibility/2006">
          <mc:Choice Requires="x14">
            <control shapeId="1025" r:id="rId4" name="Spinner 1">
              <controlPr defaultSize="0" autoPict="0">
                <anchor moveWithCells="1" sizeWithCells="1">
                  <from>
                    <xdr:col>4</xdr:col>
                    <xdr:colOff>9525</xdr:colOff>
                    <xdr:row>6</xdr:row>
                    <xdr:rowOff>19050</xdr:rowOff>
                  </from>
                  <to>
                    <xdr:col>4</xdr:col>
                    <xdr:colOff>190500</xdr:colOff>
                    <xdr:row>7</xdr:row>
                    <xdr:rowOff>0</xdr:rowOff>
                  </to>
                </anchor>
              </controlPr>
            </control>
          </mc:Choice>
        </mc:AlternateContent>
        <mc:AlternateContent xmlns:mc="http://schemas.openxmlformats.org/markup-compatibility/2006">
          <mc:Choice Requires="x14">
            <control shapeId="1026" r:id="rId5" name="Spinner 2">
              <controlPr defaultSize="0" autoPict="0">
                <anchor moveWithCells="1" sizeWithCells="1">
                  <from>
                    <xdr:col>4</xdr:col>
                    <xdr:colOff>9525</xdr:colOff>
                    <xdr:row>7</xdr:row>
                    <xdr:rowOff>19050</xdr:rowOff>
                  </from>
                  <to>
                    <xdr:col>4</xdr:col>
                    <xdr:colOff>190500</xdr:colOff>
                    <xdr:row>8</xdr:row>
                    <xdr:rowOff>0</xdr:rowOff>
                  </to>
                </anchor>
              </controlPr>
            </control>
          </mc:Choice>
        </mc:AlternateContent>
        <mc:AlternateContent xmlns:mc="http://schemas.openxmlformats.org/markup-compatibility/2006">
          <mc:Choice Requires="x14">
            <control shapeId="1027" r:id="rId6" name="Spinner 3">
              <controlPr defaultSize="0" autoPict="0">
                <anchor moveWithCells="1" sizeWithCells="1">
                  <from>
                    <xdr:col>4</xdr:col>
                    <xdr:colOff>9525</xdr:colOff>
                    <xdr:row>8</xdr:row>
                    <xdr:rowOff>19050</xdr:rowOff>
                  </from>
                  <to>
                    <xdr:col>4</xdr:col>
                    <xdr:colOff>190500</xdr:colOff>
                    <xdr:row>9</xdr:row>
                    <xdr:rowOff>0</xdr:rowOff>
                  </to>
                </anchor>
              </controlPr>
            </control>
          </mc:Choice>
        </mc:AlternateContent>
        <mc:AlternateContent xmlns:mc="http://schemas.openxmlformats.org/markup-compatibility/2006">
          <mc:Choice Requires="x14">
            <control shapeId="1028" r:id="rId7" name="Spinner 4">
              <controlPr defaultSize="0" autoPict="0">
                <anchor moveWithCells="1" sizeWithCells="1">
                  <from>
                    <xdr:col>20</xdr:col>
                    <xdr:colOff>9525</xdr:colOff>
                    <xdr:row>6</xdr:row>
                    <xdr:rowOff>19050</xdr:rowOff>
                  </from>
                  <to>
                    <xdr:col>20</xdr:col>
                    <xdr:colOff>190500</xdr:colOff>
                    <xdr:row>7</xdr:row>
                    <xdr:rowOff>0</xdr:rowOff>
                  </to>
                </anchor>
              </controlPr>
            </control>
          </mc:Choice>
        </mc:AlternateContent>
        <mc:AlternateContent xmlns:mc="http://schemas.openxmlformats.org/markup-compatibility/2006">
          <mc:Choice Requires="x14">
            <control shapeId="1029" r:id="rId8" name="Spinner 5">
              <controlPr defaultSize="0" autoPict="0">
                <anchor moveWithCells="1" sizeWithCells="1">
                  <from>
                    <xdr:col>20</xdr:col>
                    <xdr:colOff>9525</xdr:colOff>
                    <xdr:row>7</xdr:row>
                    <xdr:rowOff>19050</xdr:rowOff>
                  </from>
                  <to>
                    <xdr:col>20</xdr:col>
                    <xdr:colOff>190500</xdr:colOff>
                    <xdr:row>8</xdr:row>
                    <xdr:rowOff>0</xdr:rowOff>
                  </to>
                </anchor>
              </controlPr>
            </control>
          </mc:Choice>
        </mc:AlternateContent>
        <mc:AlternateContent xmlns:mc="http://schemas.openxmlformats.org/markup-compatibility/2006">
          <mc:Choice Requires="x14">
            <control shapeId="1030" r:id="rId9" name="Spinner 6">
              <controlPr defaultSize="0" autoPict="0">
                <anchor moveWithCells="1" sizeWithCells="1">
                  <from>
                    <xdr:col>20</xdr:col>
                    <xdr:colOff>9525</xdr:colOff>
                    <xdr:row>8</xdr:row>
                    <xdr:rowOff>19050</xdr:rowOff>
                  </from>
                  <to>
                    <xdr:col>20</xdr:col>
                    <xdr:colOff>190500</xdr:colOff>
                    <xdr:row>9</xdr:row>
                    <xdr:rowOff>0</xdr:rowOff>
                  </to>
                </anchor>
              </controlPr>
            </control>
          </mc:Choice>
        </mc:AlternateContent>
        <mc:AlternateContent xmlns:mc="http://schemas.openxmlformats.org/markup-compatibility/2006">
          <mc:Choice Requires="x14">
            <control shapeId="1031" r:id="rId10" name="Spinner 7">
              <controlPr defaultSize="0" autoPict="0">
                <anchor moveWithCells="1" sizeWithCells="1">
                  <from>
                    <xdr:col>36</xdr:col>
                    <xdr:colOff>9525</xdr:colOff>
                    <xdr:row>6</xdr:row>
                    <xdr:rowOff>19050</xdr:rowOff>
                  </from>
                  <to>
                    <xdr:col>36</xdr:col>
                    <xdr:colOff>190500</xdr:colOff>
                    <xdr:row>7</xdr:row>
                    <xdr:rowOff>0</xdr:rowOff>
                  </to>
                </anchor>
              </controlPr>
            </control>
          </mc:Choice>
        </mc:AlternateContent>
        <mc:AlternateContent xmlns:mc="http://schemas.openxmlformats.org/markup-compatibility/2006">
          <mc:Choice Requires="x14">
            <control shapeId="1032" r:id="rId11" name="Spinner 8">
              <controlPr defaultSize="0" autoPict="0">
                <anchor moveWithCells="1" sizeWithCells="1">
                  <from>
                    <xdr:col>36</xdr:col>
                    <xdr:colOff>9525</xdr:colOff>
                    <xdr:row>7</xdr:row>
                    <xdr:rowOff>19050</xdr:rowOff>
                  </from>
                  <to>
                    <xdr:col>36</xdr:col>
                    <xdr:colOff>190500</xdr:colOff>
                    <xdr:row>8</xdr:row>
                    <xdr:rowOff>0</xdr:rowOff>
                  </to>
                </anchor>
              </controlPr>
            </control>
          </mc:Choice>
        </mc:AlternateContent>
        <mc:AlternateContent xmlns:mc="http://schemas.openxmlformats.org/markup-compatibility/2006">
          <mc:Choice Requires="x14">
            <control shapeId="1033" r:id="rId12" name="Spinner 9">
              <controlPr defaultSize="0" autoPict="0">
                <anchor moveWithCells="1" sizeWithCells="1">
                  <from>
                    <xdr:col>36</xdr:col>
                    <xdr:colOff>9525</xdr:colOff>
                    <xdr:row>8</xdr:row>
                    <xdr:rowOff>19050</xdr:rowOff>
                  </from>
                  <to>
                    <xdr:col>36</xdr:col>
                    <xdr:colOff>190500</xdr:colOff>
                    <xdr:row>9</xdr:row>
                    <xdr:rowOff>0</xdr:rowOff>
                  </to>
                </anchor>
              </controlPr>
            </control>
          </mc:Choice>
        </mc:AlternateContent>
        <mc:AlternateContent xmlns:mc="http://schemas.openxmlformats.org/markup-compatibility/2006">
          <mc:Choice Requires="x14">
            <control shapeId="1037" r:id="rId13" name="Spinner 13">
              <controlPr defaultSize="0" autoPict="0">
                <anchor moveWithCells="1" sizeWithCells="1">
                  <from>
                    <xdr:col>1</xdr:col>
                    <xdr:colOff>9525</xdr:colOff>
                    <xdr:row>12</xdr:row>
                    <xdr:rowOff>19050</xdr:rowOff>
                  </from>
                  <to>
                    <xdr:col>1</xdr:col>
                    <xdr:colOff>190500</xdr:colOff>
                    <xdr:row>13</xdr:row>
                    <xdr:rowOff>0</xdr:rowOff>
                  </to>
                </anchor>
              </controlPr>
            </control>
          </mc:Choice>
        </mc:AlternateContent>
        <mc:AlternateContent xmlns:mc="http://schemas.openxmlformats.org/markup-compatibility/2006">
          <mc:Choice Requires="x14">
            <control shapeId="1069" r:id="rId14" name="Spinner 45">
              <controlPr defaultSize="0" autoPict="0">
                <anchor moveWithCells="1" sizeWithCells="1">
                  <from>
                    <xdr:col>1</xdr:col>
                    <xdr:colOff>9525</xdr:colOff>
                    <xdr:row>13</xdr:row>
                    <xdr:rowOff>19050</xdr:rowOff>
                  </from>
                  <to>
                    <xdr:col>1</xdr:col>
                    <xdr:colOff>190500</xdr:colOff>
                    <xdr:row>14</xdr:row>
                    <xdr:rowOff>0</xdr:rowOff>
                  </to>
                </anchor>
              </controlPr>
            </control>
          </mc:Choice>
        </mc:AlternateContent>
        <mc:AlternateContent xmlns:mc="http://schemas.openxmlformats.org/markup-compatibility/2006">
          <mc:Choice Requires="x14">
            <control shapeId="1070" r:id="rId15" name="Spinner 46">
              <controlPr defaultSize="0" autoPict="0">
                <anchor moveWithCells="1" sizeWithCells="1">
                  <from>
                    <xdr:col>1</xdr:col>
                    <xdr:colOff>9525</xdr:colOff>
                    <xdr:row>14</xdr:row>
                    <xdr:rowOff>19050</xdr:rowOff>
                  </from>
                  <to>
                    <xdr:col>1</xdr:col>
                    <xdr:colOff>190500</xdr:colOff>
                    <xdr:row>15</xdr:row>
                    <xdr:rowOff>0</xdr:rowOff>
                  </to>
                </anchor>
              </controlPr>
            </control>
          </mc:Choice>
        </mc:AlternateContent>
        <mc:AlternateContent xmlns:mc="http://schemas.openxmlformats.org/markup-compatibility/2006">
          <mc:Choice Requires="x14">
            <control shapeId="1071" r:id="rId16" name="Spinner 47">
              <controlPr defaultSize="0" autoPict="0">
                <anchor moveWithCells="1" sizeWithCells="1">
                  <from>
                    <xdr:col>1</xdr:col>
                    <xdr:colOff>9525</xdr:colOff>
                    <xdr:row>15</xdr:row>
                    <xdr:rowOff>19050</xdr:rowOff>
                  </from>
                  <to>
                    <xdr:col>1</xdr:col>
                    <xdr:colOff>190500</xdr:colOff>
                    <xdr:row>16</xdr:row>
                    <xdr:rowOff>0</xdr:rowOff>
                  </to>
                </anchor>
              </controlPr>
            </control>
          </mc:Choice>
        </mc:AlternateContent>
        <mc:AlternateContent xmlns:mc="http://schemas.openxmlformats.org/markup-compatibility/2006">
          <mc:Choice Requires="x14">
            <control shapeId="1072" r:id="rId17" name="Spinner 48">
              <controlPr defaultSize="0" autoPict="0">
                <anchor moveWithCells="1" sizeWithCells="1">
                  <from>
                    <xdr:col>1</xdr:col>
                    <xdr:colOff>9525</xdr:colOff>
                    <xdr:row>16</xdr:row>
                    <xdr:rowOff>19050</xdr:rowOff>
                  </from>
                  <to>
                    <xdr:col>1</xdr:col>
                    <xdr:colOff>190500</xdr:colOff>
                    <xdr:row>17</xdr:row>
                    <xdr:rowOff>0</xdr:rowOff>
                  </to>
                </anchor>
              </controlPr>
            </control>
          </mc:Choice>
        </mc:AlternateContent>
        <mc:AlternateContent xmlns:mc="http://schemas.openxmlformats.org/markup-compatibility/2006">
          <mc:Choice Requires="x14">
            <control shapeId="1073" r:id="rId18" name="Spinner 49">
              <controlPr defaultSize="0" autoPict="0">
                <anchor moveWithCells="1" sizeWithCells="1">
                  <from>
                    <xdr:col>1</xdr:col>
                    <xdr:colOff>9525</xdr:colOff>
                    <xdr:row>17</xdr:row>
                    <xdr:rowOff>19050</xdr:rowOff>
                  </from>
                  <to>
                    <xdr:col>1</xdr:col>
                    <xdr:colOff>190500</xdr:colOff>
                    <xdr:row>18</xdr:row>
                    <xdr:rowOff>0</xdr:rowOff>
                  </to>
                </anchor>
              </controlPr>
            </control>
          </mc:Choice>
        </mc:AlternateContent>
        <mc:AlternateContent xmlns:mc="http://schemas.openxmlformats.org/markup-compatibility/2006">
          <mc:Choice Requires="x14">
            <control shapeId="1074" r:id="rId19" name="Spinner 50">
              <controlPr defaultSize="0" autoPict="0">
                <anchor moveWithCells="1" sizeWithCells="1">
                  <from>
                    <xdr:col>1</xdr:col>
                    <xdr:colOff>9525</xdr:colOff>
                    <xdr:row>18</xdr:row>
                    <xdr:rowOff>19050</xdr:rowOff>
                  </from>
                  <to>
                    <xdr:col>1</xdr:col>
                    <xdr:colOff>190500</xdr:colOff>
                    <xdr:row>19</xdr:row>
                    <xdr:rowOff>0</xdr:rowOff>
                  </to>
                </anchor>
              </controlPr>
            </control>
          </mc:Choice>
        </mc:AlternateContent>
        <mc:AlternateContent xmlns:mc="http://schemas.openxmlformats.org/markup-compatibility/2006">
          <mc:Choice Requires="x14">
            <control shapeId="1075" r:id="rId20" name="Spinner 51">
              <controlPr defaultSize="0" autoPict="0">
                <anchor moveWithCells="1" sizeWithCells="1">
                  <from>
                    <xdr:col>1</xdr:col>
                    <xdr:colOff>9525</xdr:colOff>
                    <xdr:row>19</xdr:row>
                    <xdr:rowOff>19050</xdr:rowOff>
                  </from>
                  <to>
                    <xdr:col>1</xdr:col>
                    <xdr:colOff>190500</xdr:colOff>
                    <xdr:row>20</xdr:row>
                    <xdr:rowOff>0</xdr:rowOff>
                  </to>
                </anchor>
              </controlPr>
            </control>
          </mc:Choice>
        </mc:AlternateContent>
        <mc:AlternateContent xmlns:mc="http://schemas.openxmlformats.org/markup-compatibility/2006">
          <mc:Choice Requires="x14">
            <control shapeId="1076" r:id="rId21" name="Spinner 52">
              <controlPr defaultSize="0" autoPict="0">
                <anchor moveWithCells="1" sizeWithCells="1">
                  <from>
                    <xdr:col>1</xdr:col>
                    <xdr:colOff>9525</xdr:colOff>
                    <xdr:row>20</xdr:row>
                    <xdr:rowOff>19050</xdr:rowOff>
                  </from>
                  <to>
                    <xdr:col>1</xdr:col>
                    <xdr:colOff>190500</xdr:colOff>
                    <xdr:row>21</xdr:row>
                    <xdr:rowOff>0</xdr:rowOff>
                  </to>
                </anchor>
              </controlPr>
            </control>
          </mc:Choice>
        </mc:AlternateContent>
        <mc:AlternateContent xmlns:mc="http://schemas.openxmlformats.org/markup-compatibility/2006">
          <mc:Choice Requires="x14">
            <control shapeId="1077" r:id="rId22" name="Spinner 53">
              <controlPr defaultSize="0" autoPict="0">
                <anchor moveWithCells="1" sizeWithCells="1">
                  <from>
                    <xdr:col>1</xdr:col>
                    <xdr:colOff>9525</xdr:colOff>
                    <xdr:row>21</xdr:row>
                    <xdr:rowOff>19050</xdr:rowOff>
                  </from>
                  <to>
                    <xdr:col>1</xdr:col>
                    <xdr:colOff>190500</xdr:colOff>
                    <xdr:row>22</xdr:row>
                    <xdr:rowOff>0</xdr:rowOff>
                  </to>
                </anchor>
              </controlPr>
            </control>
          </mc:Choice>
        </mc:AlternateContent>
        <mc:AlternateContent xmlns:mc="http://schemas.openxmlformats.org/markup-compatibility/2006">
          <mc:Choice Requires="x14">
            <control shapeId="1078" r:id="rId23" name="Spinner 54">
              <controlPr defaultSize="0" autoPict="0">
                <anchor moveWithCells="1" sizeWithCells="1">
                  <from>
                    <xdr:col>1</xdr:col>
                    <xdr:colOff>9525</xdr:colOff>
                    <xdr:row>22</xdr:row>
                    <xdr:rowOff>19050</xdr:rowOff>
                  </from>
                  <to>
                    <xdr:col>1</xdr:col>
                    <xdr:colOff>190500</xdr:colOff>
                    <xdr:row>23</xdr:row>
                    <xdr:rowOff>0</xdr:rowOff>
                  </to>
                </anchor>
              </controlPr>
            </control>
          </mc:Choice>
        </mc:AlternateContent>
        <mc:AlternateContent xmlns:mc="http://schemas.openxmlformats.org/markup-compatibility/2006">
          <mc:Choice Requires="x14">
            <control shapeId="1079" r:id="rId24" name="Spinner 55">
              <controlPr defaultSize="0" autoPict="0">
                <anchor moveWithCells="1" sizeWithCells="1">
                  <from>
                    <xdr:col>1</xdr:col>
                    <xdr:colOff>9525</xdr:colOff>
                    <xdr:row>23</xdr:row>
                    <xdr:rowOff>19050</xdr:rowOff>
                  </from>
                  <to>
                    <xdr:col>1</xdr:col>
                    <xdr:colOff>190500</xdr:colOff>
                    <xdr:row>24</xdr:row>
                    <xdr:rowOff>0</xdr:rowOff>
                  </to>
                </anchor>
              </controlPr>
            </control>
          </mc:Choice>
        </mc:AlternateContent>
        <mc:AlternateContent xmlns:mc="http://schemas.openxmlformats.org/markup-compatibility/2006">
          <mc:Choice Requires="x14">
            <control shapeId="1080" r:id="rId25" name="Spinner 56">
              <controlPr defaultSize="0" autoPict="0">
                <anchor moveWithCells="1" sizeWithCells="1">
                  <from>
                    <xdr:col>1</xdr:col>
                    <xdr:colOff>9525</xdr:colOff>
                    <xdr:row>24</xdr:row>
                    <xdr:rowOff>19050</xdr:rowOff>
                  </from>
                  <to>
                    <xdr:col>1</xdr:col>
                    <xdr:colOff>190500</xdr:colOff>
                    <xdr:row>25</xdr:row>
                    <xdr:rowOff>0</xdr:rowOff>
                  </to>
                </anchor>
              </controlPr>
            </control>
          </mc:Choice>
        </mc:AlternateContent>
        <mc:AlternateContent xmlns:mc="http://schemas.openxmlformats.org/markup-compatibility/2006">
          <mc:Choice Requires="x14">
            <control shapeId="1081" r:id="rId26" name="Spinner 57">
              <controlPr defaultSize="0" autoPict="0">
                <anchor moveWithCells="1" sizeWithCells="1">
                  <from>
                    <xdr:col>1</xdr:col>
                    <xdr:colOff>9525</xdr:colOff>
                    <xdr:row>25</xdr:row>
                    <xdr:rowOff>19050</xdr:rowOff>
                  </from>
                  <to>
                    <xdr:col>1</xdr:col>
                    <xdr:colOff>190500</xdr:colOff>
                    <xdr:row>26</xdr:row>
                    <xdr:rowOff>0</xdr:rowOff>
                  </to>
                </anchor>
              </controlPr>
            </control>
          </mc:Choice>
        </mc:AlternateContent>
        <mc:AlternateContent xmlns:mc="http://schemas.openxmlformats.org/markup-compatibility/2006">
          <mc:Choice Requires="x14">
            <control shapeId="1082" r:id="rId27" name="Spinner 58">
              <controlPr defaultSize="0" autoPict="0">
                <anchor moveWithCells="1" sizeWithCells="1">
                  <from>
                    <xdr:col>1</xdr:col>
                    <xdr:colOff>9525</xdr:colOff>
                    <xdr:row>26</xdr:row>
                    <xdr:rowOff>19050</xdr:rowOff>
                  </from>
                  <to>
                    <xdr:col>1</xdr:col>
                    <xdr:colOff>190500</xdr:colOff>
                    <xdr:row>27</xdr:row>
                    <xdr:rowOff>0</xdr:rowOff>
                  </to>
                </anchor>
              </controlPr>
            </control>
          </mc:Choice>
        </mc:AlternateContent>
        <mc:AlternateContent xmlns:mc="http://schemas.openxmlformats.org/markup-compatibility/2006">
          <mc:Choice Requires="x14">
            <control shapeId="1083" r:id="rId28" name="Spinner 59">
              <controlPr defaultSize="0" autoPict="0">
                <anchor moveWithCells="1" sizeWithCells="1">
                  <from>
                    <xdr:col>1</xdr:col>
                    <xdr:colOff>9525</xdr:colOff>
                    <xdr:row>27</xdr:row>
                    <xdr:rowOff>19050</xdr:rowOff>
                  </from>
                  <to>
                    <xdr:col>1</xdr:col>
                    <xdr:colOff>190500</xdr:colOff>
                    <xdr:row>28</xdr:row>
                    <xdr:rowOff>0</xdr:rowOff>
                  </to>
                </anchor>
              </controlPr>
            </control>
          </mc:Choice>
        </mc:AlternateContent>
        <mc:AlternateContent xmlns:mc="http://schemas.openxmlformats.org/markup-compatibility/2006">
          <mc:Choice Requires="x14">
            <control shapeId="1084" r:id="rId29" name="Spinner 60">
              <controlPr defaultSize="0" autoPict="0">
                <anchor moveWithCells="1" sizeWithCells="1">
                  <from>
                    <xdr:col>1</xdr:col>
                    <xdr:colOff>9525</xdr:colOff>
                    <xdr:row>28</xdr:row>
                    <xdr:rowOff>19050</xdr:rowOff>
                  </from>
                  <to>
                    <xdr:col>1</xdr:col>
                    <xdr:colOff>190500</xdr:colOff>
                    <xdr:row>29</xdr:row>
                    <xdr:rowOff>0</xdr:rowOff>
                  </to>
                </anchor>
              </controlPr>
            </control>
          </mc:Choice>
        </mc:AlternateContent>
        <mc:AlternateContent xmlns:mc="http://schemas.openxmlformats.org/markup-compatibility/2006">
          <mc:Choice Requires="x14">
            <control shapeId="1085" r:id="rId30" name="Spinner 61">
              <controlPr defaultSize="0" autoPict="0">
                <anchor moveWithCells="1" sizeWithCells="1">
                  <from>
                    <xdr:col>1</xdr:col>
                    <xdr:colOff>9525</xdr:colOff>
                    <xdr:row>29</xdr:row>
                    <xdr:rowOff>19050</xdr:rowOff>
                  </from>
                  <to>
                    <xdr:col>1</xdr:col>
                    <xdr:colOff>190500</xdr:colOff>
                    <xdr:row>30</xdr:row>
                    <xdr:rowOff>0</xdr:rowOff>
                  </to>
                </anchor>
              </controlPr>
            </control>
          </mc:Choice>
        </mc:AlternateContent>
        <mc:AlternateContent xmlns:mc="http://schemas.openxmlformats.org/markup-compatibility/2006">
          <mc:Choice Requires="x14">
            <control shapeId="1086" r:id="rId31" name="Spinner 62">
              <controlPr defaultSize="0" autoPict="0">
                <anchor moveWithCells="1" sizeWithCells="1">
                  <from>
                    <xdr:col>1</xdr:col>
                    <xdr:colOff>9525</xdr:colOff>
                    <xdr:row>30</xdr:row>
                    <xdr:rowOff>19050</xdr:rowOff>
                  </from>
                  <to>
                    <xdr:col>1</xdr:col>
                    <xdr:colOff>190500</xdr:colOff>
                    <xdr:row>31</xdr:row>
                    <xdr:rowOff>0</xdr:rowOff>
                  </to>
                </anchor>
              </controlPr>
            </control>
          </mc:Choice>
        </mc:AlternateContent>
        <mc:AlternateContent xmlns:mc="http://schemas.openxmlformats.org/markup-compatibility/2006">
          <mc:Choice Requires="x14">
            <control shapeId="1087" r:id="rId32" name="Spinner 63">
              <controlPr defaultSize="0" autoPict="0">
                <anchor moveWithCells="1" sizeWithCells="1">
                  <from>
                    <xdr:col>1</xdr:col>
                    <xdr:colOff>9525</xdr:colOff>
                    <xdr:row>31</xdr:row>
                    <xdr:rowOff>19050</xdr:rowOff>
                  </from>
                  <to>
                    <xdr:col>1</xdr:col>
                    <xdr:colOff>190500</xdr:colOff>
                    <xdr:row>32</xdr:row>
                    <xdr:rowOff>0</xdr:rowOff>
                  </to>
                </anchor>
              </controlPr>
            </control>
          </mc:Choice>
        </mc:AlternateContent>
        <mc:AlternateContent xmlns:mc="http://schemas.openxmlformats.org/markup-compatibility/2006">
          <mc:Choice Requires="x14">
            <control shapeId="1088" r:id="rId33" name="Spinner 64">
              <controlPr defaultSize="0" autoPict="0">
                <anchor moveWithCells="1" sizeWithCells="1">
                  <from>
                    <xdr:col>1</xdr:col>
                    <xdr:colOff>9525</xdr:colOff>
                    <xdr:row>32</xdr:row>
                    <xdr:rowOff>19050</xdr:rowOff>
                  </from>
                  <to>
                    <xdr:col>1</xdr:col>
                    <xdr:colOff>190500</xdr:colOff>
                    <xdr:row>33</xdr:row>
                    <xdr:rowOff>0</xdr:rowOff>
                  </to>
                </anchor>
              </controlPr>
            </control>
          </mc:Choice>
        </mc:AlternateContent>
        <mc:AlternateContent xmlns:mc="http://schemas.openxmlformats.org/markup-compatibility/2006">
          <mc:Choice Requires="x14">
            <control shapeId="1089" r:id="rId34" name="Spinner 65">
              <controlPr defaultSize="0" autoPict="0">
                <anchor moveWithCells="1" sizeWithCells="1">
                  <from>
                    <xdr:col>1</xdr:col>
                    <xdr:colOff>9525</xdr:colOff>
                    <xdr:row>33</xdr:row>
                    <xdr:rowOff>19050</xdr:rowOff>
                  </from>
                  <to>
                    <xdr:col>1</xdr:col>
                    <xdr:colOff>190500</xdr:colOff>
                    <xdr:row>34</xdr:row>
                    <xdr:rowOff>0</xdr:rowOff>
                  </to>
                </anchor>
              </controlPr>
            </control>
          </mc:Choice>
        </mc:AlternateContent>
        <mc:AlternateContent xmlns:mc="http://schemas.openxmlformats.org/markup-compatibility/2006">
          <mc:Choice Requires="x14">
            <control shapeId="1090" r:id="rId35" name="Spinner 66">
              <controlPr defaultSize="0" autoPict="0">
                <anchor moveWithCells="1" sizeWithCells="1">
                  <from>
                    <xdr:col>1</xdr:col>
                    <xdr:colOff>9525</xdr:colOff>
                    <xdr:row>34</xdr:row>
                    <xdr:rowOff>19050</xdr:rowOff>
                  </from>
                  <to>
                    <xdr:col>1</xdr:col>
                    <xdr:colOff>190500</xdr:colOff>
                    <xdr:row>35</xdr:row>
                    <xdr:rowOff>0</xdr:rowOff>
                  </to>
                </anchor>
              </controlPr>
            </control>
          </mc:Choice>
        </mc:AlternateContent>
        <mc:AlternateContent xmlns:mc="http://schemas.openxmlformats.org/markup-compatibility/2006">
          <mc:Choice Requires="x14">
            <control shapeId="1091" r:id="rId36" name="Spinner 67">
              <controlPr defaultSize="0" autoPict="0">
                <anchor moveWithCells="1" sizeWithCells="1">
                  <from>
                    <xdr:col>1</xdr:col>
                    <xdr:colOff>9525</xdr:colOff>
                    <xdr:row>35</xdr:row>
                    <xdr:rowOff>19050</xdr:rowOff>
                  </from>
                  <to>
                    <xdr:col>1</xdr:col>
                    <xdr:colOff>190500</xdr:colOff>
                    <xdr:row>36</xdr:row>
                    <xdr:rowOff>0</xdr:rowOff>
                  </to>
                </anchor>
              </controlPr>
            </control>
          </mc:Choice>
        </mc:AlternateContent>
        <mc:AlternateContent xmlns:mc="http://schemas.openxmlformats.org/markup-compatibility/2006">
          <mc:Choice Requires="x14">
            <control shapeId="1092" r:id="rId37" name="Spinner 68">
              <controlPr defaultSize="0" autoPict="0">
                <anchor moveWithCells="1" sizeWithCells="1">
                  <from>
                    <xdr:col>1</xdr:col>
                    <xdr:colOff>9525</xdr:colOff>
                    <xdr:row>36</xdr:row>
                    <xdr:rowOff>19050</xdr:rowOff>
                  </from>
                  <to>
                    <xdr:col>1</xdr:col>
                    <xdr:colOff>190500</xdr:colOff>
                    <xdr:row>37</xdr:row>
                    <xdr:rowOff>0</xdr:rowOff>
                  </to>
                </anchor>
              </controlPr>
            </control>
          </mc:Choice>
        </mc:AlternateContent>
        <mc:AlternateContent xmlns:mc="http://schemas.openxmlformats.org/markup-compatibility/2006">
          <mc:Choice Requires="x14">
            <control shapeId="1093" r:id="rId38" name="Spinner 69">
              <controlPr defaultSize="0" autoPict="0">
                <anchor moveWithCells="1" sizeWithCells="1">
                  <from>
                    <xdr:col>1</xdr:col>
                    <xdr:colOff>9525</xdr:colOff>
                    <xdr:row>37</xdr:row>
                    <xdr:rowOff>19050</xdr:rowOff>
                  </from>
                  <to>
                    <xdr:col>1</xdr:col>
                    <xdr:colOff>190500</xdr:colOff>
                    <xdr:row>38</xdr:row>
                    <xdr:rowOff>0</xdr:rowOff>
                  </to>
                </anchor>
              </controlPr>
            </control>
          </mc:Choice>
        </mc:AlternateContent>
        <mc:AlternateContent xmlns:mc="http://schemas.openxmlformats.org/markup-compatibility/2006">
          <mc:Choice Requires="x14">
            <control shapeId="1094" r:id="rId39" name="Spinner 70">
              <controlPr defaultSize="0" autoPict="0">
                <anchor moveWithCells="1" sizeWithCells="1">
                  <from>
                    <xdr:col>0</xdr:col>
                    <xdr:colOff>9525</xdr:colOff>
                    <xdr:row>42</xdr:row>
                    <xdr:rowOff>19050</xdr:rowOff>
                  </from>
                  <to>
                    <xdr:col>0</xdr:col>
                    <xdr:colOff>190500</xdr:colOff>
                    <xdr:row>43</xdr:row>
                    <xdr:rowOff>0</xdr:rowOff>
                  </to>
                </anchor>
              </controlPr>
            </control>
          </mc:Choice>
        </mc:AlternateContent>
        <mc:AlternateContent xmlns:mc="http://schemas.openxmlformats.org/markup-compatibility/2006">
          <mc:Choice Requires="x14">
            <control shapeId="1095" r:id="rId40" name="Spinner 71">
              <controlPr defaultSize="0" autoPict="0">
                <anchor moveWithCells="1" sizeWithCells="1">
                  <from>
                    <xdr:col>0</xdr:col>
                    <xdr:colOff>9525</xdr:colOff>
                    <xdr:row>43</xdr:row>
                    <xdr:rowOff>19050</xdr:rowOff>
                  </from>
                  <to>
                    <xdr:col>0</xdr:col>
                    <xdr:colOff>190500</xdr:colOff>
                    <xdr:row>44</xdr:row>
                    <xdr:rowOff>0</xdr:rowOff>
                  </to>
                </anchor>
              </controlPr>
            </control>
          </mc:Choice>
        </mc:AlternateContent>
        <mc:AlternateContent xmlns:mc="http://schemas.openxmlformats.org/markup-compatibility/2006">
          <mc:Choice Requires="x14">
            <control shapeId="1096" r:id="rId41" name="Spinner 72">
              <controlPr defaultSize="0" autoPict="0">
                <anchor moveWithCells="1" sizeWithCells="1">
                  <from>
                    <xdr:col>0</xdr:col>
                    <xdr:colOff>9525</xdr:colOff>
                    <xdr:row>44</xdr:row>
                    <xdr:rowOff>19050</xdr:rowOff>
                  </from>
                  <to>
                    <xdr:col>0</xdr:col>
                    <xdr:colOff>190500</xdr:colOff>
                    <xdr:row>45</xdr:row>
                    <xdr:rowOff>0</xdr:rowOff>
                  </to>
                </anchor>
              </controlPr>
            </control>
          </mc:Choice>
        </mc:AlternateContent>
        <mc:AlternateContent xmlns:mc="http://schemas.openxmlformats.org/markup-compatibility/2006">
          <mc:Choice Requires="x14">
            <control shapeId="1097" r:id="rId42" name="Spinner 73">
              <controlPr defaultSize="0" autoPict="0">
                <anchor moveWithCells="1" sizeWithCells="1">
                  <from>
                    <xdr:col>0</xdr:col>
                    <xdr:colOff>9525</xdr:colOff>
                    <xdr:row>45</xdr:row>
                    <xdr:rowOff>19050</xdr:rowOff>
                  </from>
                  <to>
                    <xdr:col>0</xdr:col>
                    <xdr:colOff>190500</xdr:colOff>
                    <xdr:row>46</xdr:row>
                    <xdr:rowOff>0</xdr:rowOff>
                  </to>
                </anchor>
              </controlPr>
            </control>
          </mc:Choice>
        </mc:AlternateContent>
        <mc:AlternateContent xmlns:mc="http://schemas.openxmlformats.org/markup-compatibility/2006">
          <mc:Choice Requires="x14">
            <control shapeId="1098" r:id="rId43" name="Spinner 74">
              <controlPr defaultSize="0" autoPict="0">
                <anchor moveWithCells="1" sizeWithCells="1">
                  <from>
                    <xdr:col>0</xdr:col>
                    <xdr:colOff>9525</xdr:colOff>
                    <xdr:row>46</xdr:row>
                    <xdr:rowOff>19050</xdr:rowOff>
                  </from>
                  <to>
                    <xdr:col>0</xdr:col>
                    <xdr:colOff>190500</xdr:colOff>
                    <xdr:row>47</xdr:row>
                    <xdr:rowOff>0</xdr:rowOff>
                  </to>
                </anchor>
              </controlPr>
            </control>
          </mc:Choice>
        </mc:AlternateContent>
        <mc:AlternateContent xmlns:mc="http://schemas.openxmlformats.org/markup-compatibility/2006">
          <mc:Choice Requires="x14">
            <control shapeId="1099" r:id="rId44" name="Spinner 75">
              <controlPr defaultSize="0" autoPict="0">
                <anchor moveWithCells="1" sizeWithCells="1">
                  <from>
                    <xdr:col>0</xdr:col>
                    <xdr:colOff>9525</xdr:colOff>
                    <xdr:row>47</xdr:row>
                    <xdr:rowOff>19050</xdr:rowOff>
                  </from>
                  <to>
                    <xdr:col>0</xdr:col>
                    <xdr:colOff>190500</xdr:colOff>
                    <xdr:row>48</xdr:row>
                    <xdr:rowOff>0</xdr:rowOff>
                  </to>
                </anchor>
              </controlPr>
            </control>
          </mc:Choice>
        </mc:AlternateContent>
        <mc:AlternateContent xmlns:mc="http://schemas.openxmlformats.org/markup-compatibility/2006">
          <mc:Choice Requires="x14">
            <control shapeId="1114" r:id="rId45" name="Check Box 90">
              <controlPr defaultSize="0" autoFill="0" autoLine="0" autoPict="0" altText="">
                <anchor moveWithCells="1">
                  <from>
                    <xdr:col>11</xdr:col>
                    <xdr:colOff>142875</xdr:colOff>
                    <xdr:row>46</xdr:row>
                    <xdr:rowOff>9525</xdr:rowOff>
                  </from>
                  <to>
                    <xdr:col>12</xdr:col>
                    <xdr:colOff>180975</xdr:colOff>
                    <xdr:row>46</xdr:row>
                    <xdr:rowOff>247650</xdr:rowOff>
                  </to>
                </anchor>
              </controlPr>
            </control>
          </mc:Choice>
        </mc:AlternateContent>
        <mc:AlternateContent xmlns:mc="http://schemas.openxmlformats.org/markup-compatibility/2006">
          <mc:Choice Requires="x14">
            <control shapeId="1249" r:id="rId46" name="Spinner 225">
              <controlPr defaultSize="0" autoPict="0">
                <anchor moveWithCells="1" sizeWithCells="1">
                  <from>
                    <xdr:col>47</xdr:col>
                    <xdr:colOff>9525</xdr:colOff>
                    <xdr:row>12</xdr:row>
                    <xdr:rowOff>0</xdr:rowOff>
                  </from>
                  <to>
                    <xdr:col>47</xdr:col>
                    <xdr:colOff>190500</xdr:colOff>
                    <xdr:row>12</xdr:row>
                    <xdr:rowOff>228600</xdr:rowOff>
                  </to>
                </anchor>
              </controlPr>
            </control>
          </mc:Choice>
        </mc:AlternateContent>
        <mc:AlternateContent xmlns:mc="http://schemas.openxmlformats.org/markup-compatibility/2006">
          <mc:Choice Requires="x14">
            <control shapeId="1250" r:id="rId47" name="Spinner 226">
              <controlPr defaultSize="0" autoPict="0">
                <anchor moveWithCells="1" sizeWithCells="1">
                  <from>
                    <xdr:col>47</xdr:col>
                    <xdr:colOff>9525</xdr:colOff>
                    <xdr:row>13</xdr:row>
                    <xdr:rowOff>0</xdr:rowOff>
                  </from>
                  <to>
                    <xdr:col>47</xdr:col>
                    <xdr:colOff>190500</xdr:colOff>
                    <xdr:row>13</xdr:row>
                    <xdr:rowOff>228600</xdr:rowOff>
                  </to>
                </anchor>
              </controlPr>
            </control>
          </mc:Choice>
        </mc:AlternateContent>
        <mc:AlternateContent xmlns:mc="http://schemas.openxmlformats.org/markup-compatibility/2006">
          <mc:Choice Requires="x14">
            <control shapeId="1251" r:id="rId48" name="Spinner 227">
              <controlPr defaultSize="0" autoPict="0">
                <anchor moveWithCells="1" sizeWithCells="1">
                  <from>
                    <xdr:col>47</xdr:col>
                    <xdr:colOff>9525</xdr:colOff>
                    <xdr:row>14</xdr:row>
                    <xdr:rowOff>0</xdr:rowOff>
                  </from>
                  <to>
                    <xdr:col>47</xdr:col>
                    <xdr:colOff>190500</xdr:colOff>
                    <xdr:row>14</xdr:row>
                    <xdr:rowOff>228600</xdr:rowOff>
                  </to>
                </anchor>
              </controlPr>
            </control>
          </mc:Choice>
        </mc:AlternateContent>
        <mc:AlternateContent xmlns:mc="http://schemas.openxmlformats.org/markup-compatibility/2006">
          <mc:Choice Requires="x14">
            <control shapeId="1252" r:id="rId49" name="Spinner 228">
              <controlPr defaultSize="0" autoPict="0">
                <anchor moveWithCells="1" sizeWithCells="1">
                  <from>
                    <xdr:col>47</xdr:col>
                    <xdr:colOff>9525</xdr:colOff>
                    <xdr:row>15</xdr:row>
                    <xdr:rowOff>0</xdr:rowOff>
                  </from>
                  <to>
                    <xdr:col>47</xdr:col>
                    <xdr:colOff>190500</xdr:colOff>
                    <xdr:row>15</xdr:row>
                    <xdr:rowOff>228600</xdr:rowOff>
                  </to>
                </anchor>
              </controlPr>
            </control>
          </mc:Choice>
        </mc:AlternateContent>
        <mc:AlternateContent xmlns:mc="http://schemas.openxmlformats.org/markup-compatibility/2006">
          <mc:Choice Requires="x14">
            <control shapeId="1253" r:id="rId50" name="Spinner 229">
              <controlPr defaultSize="0" autoPict="0">
                <anchor moveWithCells="1" sizeWithCells="1">
                  <from>
                    <xdr:col>47</xdr:col>
                    <xdr:colOff>9525</xdr:colOff>
                    <xdr:row>16</xdr:row>
                    <xdr:rowOff>0</xdr:rowOff>
                  </from>
                  <to>
                    <xdr:col>47</xdr:col>
                    <xdr:colOff>190500</xdr:colOff>
                    <xdr:row>16</xdr:row>
                    <xdr:rowOff>228600</xdr:rowOff>
                  </to>
                </anchor>
              </controlPr>
            </control>
          </mc:Choice>
        </mc:AlternateContent>
        <mc:AlternateContent xmlns:mc="http://schemas.openxmlformats.org/markup-compatibility/2006">
          <mc:Choice Requires="x14">
            <control shapeId="1254" r:id="rId51" name="Spinner 230">
              <controlPr defaultSize="0" autoPict="0">
                <anchor moveWithCells="1" sizeWithCells="1">
                  <from>
                    <xdr:col>47</xdr:col>
                    <xdr:colOff>9525</xdr:colOff>
                    <xdr:row>17</xdr:row>
                    <xdr:rowOff>0</xdr:rowOff>
                  </from>
                  <to>
                    <xdr:col>47</xdr:col>
                    <xdr:colOff>190500</xdr:colOff>
                    <xdr:row>17</xdr:row>
                    <xdr:rowOff>228600</xdr:rowOff>
                  </to>
                </anchor>
              </controlPr>
            </control>
          </mc:Choice>
        </mc:AlternateContent>
        <mc:AlternateContent xmlns:mc="http://schemas.openxmlformats.org/markup-compatibility/2006">
          <mc:Choice Requires="x14">
            <control shapeId="1255" r:id="rId52" name="Spinner 231">
              <controlPr defaultSize="0" autoPict="0">
                <anchor moveWithCells="1" sizeWithCells="1">
                  <from>
                    <xdr:col>47</xdr:col>
                    <xdr:colOff>9525</xdr:colOff>
                    <xdr:row>18</xdr:row>
                    <xdr:rowOff>0</xdr:rowOff>
                  </from>
                  <to>
                    <xdr:col>47</xdr:col>
                    <xdr:colOff>190500</xdr:colOff>
                    <xdr:row>18</xdr:row>
                    <xdr:rowOff>228600</xdr:rowOff>
                  </to>
                </anchor>
              </controlPr>
            </control>
          </mc:Choice>
        </mc:AlternateContent>
        <mc:AlternateContent xmlns:mc="http://schemas.openxmlformats.org/markup-compatibility/2006">
          <mc:Choice Requires="x14">
            <control shapeId="1256" r:id="rId53" name="Spinner 232">
              <controlPr defaultSize="0" autoPict="0">
                <anchor moveWithCells="1" sizeWithCells="1">
                  <from>
                    <xdr:col>47</xdr:col>
                    <xdr:colOff>9525</xdr:colOff>
                    <xdr:row>19</xdr:row>
                    <xdr:rowOff>0</xdr:rowOff>
                  </from>
                  <to>
                    <xdr:col>47</xdr:col>
                    <xdr:colOff>190500</xdr:colOff>
                    <xdr:row>19</xdr:row>
                    <xdr:rowOff>228600</xdr:rowOff>
                  </to>
                </anchor>
              </controlPr>
            </control>
          </mc:Choice>
        </mc:AlternateContent>
        <mc:AlternateContent xmlns:mc="http://schemas.openxmlformats.org/markup-compatibility/2006">
          <mc:Choice Requires="x14">
            <control shapeId="1257" r:id="rId54" name="Spinner 233">
              <controlPr defaultSize="0" autoPict="0">
                <anchor moveWithCells="1" sizeWithCells="1">
                  <from>
                    <xdr:col>47</xdr:col>
                    <xdr:colOff>9525</xdr:colOff>
                    <xdr:row>20</xdr:row>
                    <xdr:rowOff>0</xdr:rowOff>
                  </from>
                  <to>
                    <xdr:col>47</xdr:col>
                    <xdr:colOff>190500</xdr:colOff>
                    <xdr:row>20</xdr:row>
                    <xdr:rowOff>228600</xdr:rowOff>
                  </to>
                </anchor>
              </controlPr>
            </control>
          </mc:Choice>
        </mc:AlternateContent>
        <mc:AlternateContent xmlns:mc="http://schemas.openxmlformats.org/markup-compatibility/2006">
          <mc:Choice Requires="x14">
            <control shapeId="1258" r:id="rId55" name="Spinner 234">
              <controlPr defaultSize="0" autoPict="0">
                <anchor moveWithCells="1" sizeWithCells="1">
                  <from>
                    <xdr:col>47</xdr:col>
                    <xdr:colOff>9525</xdr:colOff>
                    <xdr:row>21</xdr:row>
                    <xdr:rowOff>0</xdr:rowOff>
                  </from>
                  <to>
                    <xdr:col>47</xdr:col>
                    <xdr:colOff>190500</xdr:colOff>
                    <xdr:row>21</xdr:row>
                    <xdr:rowOff>228600</xdr:rowOff>
                  </to>
                </anchor>
              </controlPr>
            </control>
          </mc:Choice>
        </mc:AlternateContent>
        <mc:AlternateContent xmlns:mc="http://schemas.openxmlformats.org/markup-compatibility/2006">
          <mc:Choice Requires="x14">
            <control shapeId="1259" r:id="rId56" name="Spinner 235">
              <controlPr defaultSize="0" autoPict="0">
                <anchor moveWithCells="1" sizeWithCells="1">
                  <from>
                    <xdr:col>47</xdr:col>
                    <xdr:colOff>9525</xdr:colOff>
                    <xdr:row>22</xdr:row>
                    <xdr:rowOff>0</xdr:rowOff>
                  </from>
                  <to>
                    <xdr:col>47</xdr:col>
                    <xdr:colOff>190500</xdr:colOff>
                    <xdr:row>22</xdr:row>
                    <xdr:rowOff>228600</xdr:rowOff>
                  </to>
                </anchor>
              </controlPr>
            </control>
          </mc:Choice>
        </mc:AlternateContent>
        <mc:AlternateContent xmlns:mc="http://schemas.openxmlformats.org/markup-compatibility/2006">
          <mc:Choice Requires="x14">
            <control shapeId="1260" r:id="rId57" name="Spinner 236">
              <controlPr defaultSize="0" autoPict="0">
                <anchor moveWithCells="1" sizeWithCells="1">
                  <from>
                    <xdr:col>47</xdr:col>
                    <xdr:colOff>9525</xdr:colOff>
                    <xdr:row>23</xdr:row>
                    <xdr:rowOff>0</xdr:rowOff>
                  </from>
                  <to>
                    <xdr:col>47</xdr:col>
                    <xdr:colOff>190500</xdr:colOff>
                    <xdr:row>23</xdr:row>
                    <xdr:rowOff>228600</xdr:rowOff>
                  </to>
                </anchor>
              </controlPr>
            </control>
          </mc:Choice>
        </mc:AlternateContent>
        <mc:AlternateContent xmlns:mc="http://schemas.openxmlformats.org/markup-compatibility/2006">
          <mc:Choice Requires="x14">
            <control shapeId="1261" r:id="rId58" name="Spinner 237">
              <controlPr defaultSize="0" autoPict="0">
                <anchor moveWithCells="1" sizeWithCells="1">
                  <from>
                    <xdr:col>47</xdr:col>
                    <xdr:colOff>9525</xdr:colOff>
                    <xdr:row>24</xdr:row>
                    <xdr:rowOff>0</xdr:rowOff>
                  </from>
                  <to>
                    <xdr:col>47</xdr:col>
                    <xdr:colOff>190500</xdr:colOff>
                    <xdr:row>24</xdr:row>
                    <xdr:rowOff>228600</xdr:rowOff>
                  </to>
                </anchor>
              </controlPr>
            </control>
          </mc:Choice>
        </mc:AlternateContent>
        <mc:AlternateContent xmlns:mc="http://schemas.openxmlformats.org/markup-compatibility/2006">
          <mc:Choice Requires="x14">
            <control shapeId="1262" r:id="rId59" name="Spinner 238">
              <controlPr defaultSize="0" autoPict="0">
                <anchor moveWithCells="1" sizeWithCells="1">
                  <from>
                    <xdr:col>47</xdr:col>
                    <xdr:colOff>9525</xdr:colOff>
                    <xdr:row>25</xdr:row>
                    <xdr:rowOff>0</xdr:rowOff>
                  </from>
                  <to>
                    <xdr:col>47</xdr:col>
                    <xdr:colOff>190500</xdr:colOff>
                    <xdr:row>25</xdr:row>
                    <xdr:rowOff>228600</xdr:rowOff>
                  </to>
                </anchor>
              </controlPr>
            </control>
          </mc:Choice>
        </mc:AlternateContent>
        <mc:AlternateContent xmlns:mc="http://schemas.openxmlformats.org/markup-compatibility/2006">
          <mc:Choice Requires="x14">
            <control shapeId="1263" r:id="rId60" name="Spinner 239">
              <controlPr defaultSize="0" autoPict="0">
                <anchor moveWithCells="1" sizeWithCells="1">
                  <from>
                    <xdr:col>47</xdr:col>
                    <xdr:colOff>9525</xdr:colOff>
                    <xdr:row>26</xdr:row>
                    <xdr:rowOff>0</xdr:rowOff>
                  </from>
                  <to>
                    <xdr:col>47</xdr:col>
                    <xdr:colOff>190500</xdr:colOff>
                    <xdr:row>26</xdr:row>
                    <xdr:rowOff>228600</xdr:rowOff>
                  </to>
                </anchor>
              </controlPr>
            </control>
          </mc:Choice>
        </mc:AlternateContent>
        <mc:AlternateContent xmlns:mc="http://schemas.openxmlformats.org/markup-compatibility/2006">
          <mc:Choice Requires="x14">
            <control shapeId="1264" r:id="rId61" name="Spinner 240">
              <controlPr defaultSize="0" autoPict="0">
                <anchor moveWithCells="1" sizeWithCells="1">
                  <from>
                    <xdr:col>47</xdr:col>
                    <xdr:colOff>9525</xdr:colOff>
                    <xdr:row>27</xdr:row>
                    <xdr:rowOff>0</xdr:rowOff>
                  </from>
                  <to>
                    <xdr:col>47</xdr:col>
                    <xdr:colOff>190500</xdr:colOff>
                    <xdr:row>27</xdr:row>
                    <xdr:rowOff>228600</xdr:rowOff>
                  </to>
                </anchor>
              </controlPr>
            </control>
          </mc:Choice>
        </mc:AlternateContent>
        <mc:AlternateContent xmlns:mc="http://schemas.openxmlformats.org/markup-compatibility/2006">
          <mc:Choice Requires="x14">
            <control shapeId="1265" r:id="rId62" name="Spinner 241">
              <controlPr defaultSize="0" autoPict="0">
                <anchor moveWithCells="1" sizeWithCells="1">
                  <from>
                    <xdr:col>47</xdr:col>
                    <xdr:colOff>9525</xdr:colOff>
                    <xdr:row>28</xdr:row>
                    <xdr:rowOff>0</xdr:rowOff>
                  </from>
                  <to>
                    <xdr:col>47</xdr:col>
                    <xdr:colOff>190500</xdr:colOff>
                    <xdr:row>28</xdr:row>
                    <xdr:rowOff>228600</xdr:rowOff>
                  </to>
                </anchor>
              </controlPr>
            </control>
          </mc:Choice>
        </mc:AlternateContent>
        <mc:AlternateContent xmlns:mc="http://schemas.openxmlformats.org/markup-compatibility/2006">
          <mc:Choice Requires="x14">
            <control shapeId="1266" r:id="rId63" name="Spinner 242">
              <controlPr defaultSize="0" autoPict="0">
                <anchor moveWithCells="1" sizeWithCells="1">
                  <from>
                    <xdr:col>47</xdr:col>
                    <xdr:colOff>9525</xdr:colOff>
                    <xdr:row>29</xdr:row>
                    <xdr:rowOff>0</xdr:rowOff>
                  </from>
                  <to>
                    <xdr:col>47</xdr:col>
                    <xdr:colOff>190500</xdr:colOff>
                    <xdr:row>29</xdr:row>
                    <xdr:rowOff>228600</xdr:rowOff>
                  </to>
                </anchor>
              </controlPr>
            </control>
          </mc:Choice>
        </mc:AlternateContent>
        <mc:AlternateContent xmlns:mc="http://schemas.openxmlformats.org/markup-compatibility/2006">
          <mc:Choice Requires="x14">
            <control shapeId="1267" r:id="rId64" name="Spinner 243">
              <controlPr defaultSize="0" autoPict="0">
                <anchor moveWithCells="1" sizeWithCells="1">
                  <from>
                    <xdr:col>47</xdr:col>
                    <xdr:colOff>9525</xdr:colOff>
                    <xdr:row>30</xdr:row>
                    <xdr:rowOff>0</xdr:rowOff>
                  </from>
                  <to>
                    <xdr:col>47</xdr:col>
                    <xdr:colOff>190500</xdr:colOff>
                    <xdr:row>30</xdr:row>
                    <xdr:rowOff>228600</xdr:rowOff>
                  </to>
                </anchor>
              </controlPr>
            </control>
          </mc:Choice>
        </mc:AlternateContent>
        <mc:AlternateContent xmlns:mc="http://schemas.openxmlformats.org/markup-compatibility/2006">
          <mc:Choice Requires="x14">
            <control shapeId="1268" r:id="rId65" name="Spinner 244">
              <controlPr defaultSize="0" autoPict="0">
                <anchor moveWithCells="1" sizeWithCells="1">
                  <from>
                    <xdr:col>47</xdr:col>
                    <xdr:colOff>9525</xdr:colOff>
                    <xdr:row>31</xdr:row>
                    <xdr:rowOff>0</xdr:rowOff>
                  </from>
                  <to>
                    <xdr:col>47</xdr:col>
                    <xdr:colOff>190500</xdr:colOff>
                    <xdr:row>31</xdr:row>
                    <xdr:rowOff>228600</xdr:rowOff>
                  </to>
                </anchor>
              </controlPr>
            </control>
          </mc:Choice>
        </mc:AlternateContent>
        <mc:AlternateContent xmlns:mc="http://schemas.openxmlformats.org/markup-compatibility/2006">
          <mc:Choice Requires="x14">
            <control shapeId="1269" r:id="rId66" name="Spinner 245">
              <controlPr defaultSize="0" autoPict="0">
                <anchor moveWithCells="1" sizeWithCells="1">
                  <from>
                    <xdr:col>47</xdr:col>
                    <xdr:colOff>9525</xdr:colOff>
                    <xdr:row>32</xdr:row>
                    <xdr:rowOff>0</xdr:rowOff>
                  </from>
                  <to>
                    <xdr:col>47</xdr:col>
                    <xdr:colOff>190500</xdr:colOff>
                    <xdr:row>32</xdr:row>
                    <xdr:rowOff>228600</xdr:rowOff>
                  </to>
                </anchor>
              </controlPr>
            </control>
          </mc:Choice>
        </mc:AlternateContent>
        <mc:AlternateContent xmlns:mc="http://schemas.openxmlformats.org/markup-compatibility/2006">
          <mc:Choice Requires="x14">
            <control shapeId="1270" r:id="rId67" name="Spinner 246">
              <controlPr defaultSize="0" autoPict="0">
                <anchor moveWithCells="1" sizeWithCells="1">
                  <from>
                    <xdr:col>47</xdr:col>
                    <xdr:colOff>9525</xdr:colOff>
                    <xdr:row>33</xdr:row>
                    <xdr:rowOff>0</xdr:rowOff>
                  </from>
                  <to>
                    <xdr:col>47</xdr:col>
                    <xdr:colOff>190500</xdr:colOff>
                    <xdr:row>33</xdr:row>
                    <xdr:rowOff>228600</xdr:rowOff>
                  </to>
                </anchor>
              </controlPr>
            </control>
          </mc:Choice>
        </mc:AlternateContent>
        <mc:AlternateContent xmlns:mc="http://schemas.openxmlformats.org/markup-compatibility/2006">
          <mc:Choice Requires="x14">
            <control shapeId="1631" r:id="rId68" name="Check Box 607">
              <controlPr defaultSize="0" autoFill="0" autoLine="0" autoPict="0" altText="">
                <anchor moveWithCells="1">
                  <from>
                    <xdr:col>11</xdr:col>
                    <xdr:colOff>142875</xdr:colOff>
                    <xdr:row>41</xdr:row>
                    <xdr:rowOff>9525</xdr:rowOff>
                  </from>
                  <to>
                    <xdr:col>12</xdr:col>
                    <xdr:colOff>180975</xdr:colOff>
                    <xdr:row>42</xdr:row>
                    <xdr:rowOff>0</xdr:rowOff>
                  </to>
                </anchor>
              </controlPr>
            </control>
          </mc:Choice>
        </mc:AlternateContent>
        <mc:AlternateContent xmlns:mc="http://schemas.openxmlformats.org/markup-compatibility/2006">
          <mc:Choice Requires="x14">
            <control shapeId="1632" r:id="rId69" name="Check Box 608">
              <controlPr defaultSize="0" autoFill="0" autoLine="0" autoPict="0" altText="">
                <anchor moveWithCells="1">
                  <from>
                    <xdr:col>11</xdr:col>
                    <xdr:colOff>142875</xdr:colOff>
                    <xdr:row>42</xdr:row>
                    <xdr:rowOff>0</xdr:rowOff>
                  </from>
                  <to>
                    <xdr:col>12</xdr:col>
                    <xdr:colOff>180975</xdr:colOff>
                    <xdr:row>42</xdr:row>
                    <xdr:rowOff>238125</xdr:rowOff>
                  </to>
                </anchor>
              </controlPr>
            </control>
          </mc:Choice>
        </mc:AlternateContent>
        <mc:AlternateContent xmlns:mc="http://schemas.openxmlformats.org/markup-compatibility/2006">
          <mc:Choice Requires="x14">
            <control shapeId="1633" r:id="rId70" name="Check Box 609">
              <controlPr defaultSize="0" autoFill="0" autoLine="0" autoPict="0" altText="">
                <anchor moveWithCells="1">
                  <from>
                    <xdr:col>11</xdr:col>
                    <xdr:colOff>142875</xdr:colOff>
                    <xdr:row>43</xdr:row>
                    <xdr:rowOff>9525</xdr:rowOff>
                  </from>
                  <to>
                    <xdr:col>12</xdr:col>
                    <xdr:colOff>180975</xdr:colOff>
                    <xdr:row>44</xdr:row>
                    <xdr:rowOff>0</xdr:rowOff>
                  </to>
                </anchor>
              </controlPr>
            </control>
          </mc:Choice>
        </mc:AlternateContent>
        <mc:AlternateContent xmlns:mc="http://schemas.openxmlformats.org/markup-compatibility/2006">
          <mc:Choice Requires="x14">
            <control shapeId="1634" r:id="rId71" name="Check Box 610">
              <controlPr defaultSize="0" autoFill="0" autoLine="0" autoPict="0" altText="">
                <anchor moveWithCells="1">
                  <from>
                    <xdr:col>11</xdr:col>
                    <xdr:colOff>142875</xdr:colOff>
                    <xdr:row>44</xdr:row>
                    <xdr:rowOff>9525</xdr:rowOff>
                  </from>
                  <to>
                    <xdr:col>12</xdr:col>
                    <xdr:colOff>180975</xdr:colOff>
                    <xdr:row>45</xdr:row>
                    <xdr:rowOff>0</xdr:rowOff>
                  </to>
                </anchor>
              </controlPr>
            </control>
          </mc:Choice>
        </mc:AlternateContent>
        <mc:AlternateContent xmlns:mc="http://schemas.openxmlformats.org/markup-compatibility/2006">
          <mc:Choice Requires="x14">
            <control shapeId="1635" r:id="rId72" name="Check Box 611">
              <controlPr defaultSize="0" autoFill="0" autoLine="0" autoPict="0" altText="">
                <anchor moveWithCells="1">
                  <from>
                    <xdr:col>11</xdr:col>
                    <xdr:colOff>142875</xdr:colOff>
                    <xdr:row>45</xdr:row>
                    <xdr:rowOff>9525</xdr:rowOff>
                  </from>
                  <to>
                    <xdr:col>12</xdr:col>
                    <xdr:colOff>180975</xdr:colOff>
                    <xdr:row>46</xdr:row>
                    <xdr:rowOff>0</xdr:rowOff>
                  </to>
                </anchor>
              </controlPr>
            </control>
          </mc:Choice>
        </mc:AlternateContent>
        <mc:AlternateContent xmlns:mc="http://schemas.openxmlformats.org/markup-compatibility/2006">
          <mc:Choice Requires="x14">
            <control shapeId="1636" r:id="rId73" name="Check Box 612">
              <controlPr defaultSize="0" autoFill="0" autoLine="0" autoPict="0" altText="">
                <anchor moveWithCells="1">
                  <from>
                    <xdr:col>11</xdr:col>
                    <xdr:colOff>142875</xdr:colOff>
                    <xdr:row>47</xdr:row>
                    <xdr:rowOff>9525</xdr:rowOff>
                  </from>
                  <to>
                    <xdr:col>12</xdr:col>
                    <xdr:colOff>171450</xdr:colOff>
                    <xdr:row>48</xdr:row>
                    <xdr:rowOff>0</xdr:rowOff>
                  </to>
                </anchor>
              </controlPr>
            </control>
          </mc:Choice>
        </mc:AlternateContent>
        <mc:AlternateContent xmlns:mc="http://schemas.openxmlformats.org/markup-compatibility/2006">
          <mc:Choice Requires="x14">
            <control shapeId="1638" r:id="rId74" name="Check Box 614">
              <controlPr defaultSize="0" autoFill="0" autoLine="0" autoPict="0" altText="">
                <anchor moveWithCells="1">
                  <from>
                    <xdr:col>11</xdr:col>
                    <xdr:colOff>142875</xdr:colOff>
                    <xdr:row>48</xdr:row>
                    <xdr:rowOff>9525</xdr:rowOff>
                  </from>
                  <to>
                    <xdr:col>12</xdr:col>
                    <xdr:colOff>180975</xdr:colOff>
                    <xdr:row>49</xdr:row>
                    <xdr:rowOff>0</xdr:rowOff>
                  </to>
                </anchor>
              </controlPr>
            </control>
          </mc:Choice>
        </mc:AlternateContent>
        <mc:AlternateContent xmlns:mc="http://schemas.openxmlformats.org/markup-compatibility/2006">
          <mc:Choice Requires="x14">
            <control shapeId="16732" r:id="rId75" name="Check Box 1372">
              <controlPr defaultSize="0" autoFill="0" autoLine="0" autoPict="0" altText="">
                <anchor moveWithCells="1">
                  <from>
                    <xdr:col>44</xdr:col>
                    <xdr:colOff>28575</xdr:colOff>
                    <xdr:row>52</xdr:row>
                    <xdr:rowOff>9525</xdr:rowOff>
                  </from>
                  <to>
                    <xdr:col>45</xdr:col>
                    <xdr:colOff>66675</xdr:colOff>
                    <xdr:row>53</xdr:row>
                    <xdr:rowOff>0</xdr:rowOff>
                  </to>
                </anchor>
              </controlPr>
            </control>
          </mc:Choice>
        </mc:AlternateContent>
        <mc:AlternateContent xmlns:mc="http://schemas.openxmlformats.org/markup-compatibility/2006">
          <mc:Choice Requires="x14">
            <control shapeId="16733" r:id="rId76" name="Check Box 1373">
              <controlPr defaultSize="0" autoFill="0" autoLine="0" autoPict="0" altText="">
                <anchor moveWithCells="1">
                  <from>
                    <xdr:col>44</xdr:col>
                    <xdr:colOff>28575</xdr:colOff>
                    <xdr:row>53</xdr:row>
                    <xdr:rowOff>9525</xdr:rowOff>
                  </from>
                  <to>
                    <xdr:col>45</xdr:col>
                    <xdr:colOff>66675</xdr:colOff>
                    <xdr:row>54</xdr:row>
                    <xdr:rowOff>0</xdr:rowOff>
                  </to>
                </anchor>
              </controlPr>
            </control>
          </mc:Choice>
        </mc:AlternateContent>
        <mc:AlternateContent xmlns:mc="http://schemas.openxmlformats.org/markup-compatibility/2006">
          <mc:Choice Requires="x14">
            <control shapeId="16734" r:id="rId77" name="Check Box 1374">
              <controlPr defaultSize="0" autoFill="0" autoLine="0" autoPict="0" altText="">
                <anchor moveWithCells="1">
                  <from>
                    <xdr:col>44</xdr:col>
                    <xdr:colOff>28575</xdr:colOff>
                    <xdr:row>54</xdr:row>
                    <xdr:rowOff>9525</xdr:rowOff>
                  </from>
                  <to>
                    <xdr:col>45</xdr:col>
                    <xdr:colOff>66675</xdr:colOff>
                    <xdr:row>55</xdr:row>
                    <xdr:rowOff>0</xdr:rowOff>
                  </to>
                </anchor>
              </controlPr>
            </control>
          </mc:Choice>
        </mc:AlternateContent>
        <mc:AlternateContent xmlns:mc="http://schemas.openxmlformats.org/markup-compatibility/2006">
          <mc:Choice Requires="x14">
            <control shapeId="16737" r:id="rId78" name="Check Box 1377">
              <controlPr defaultSize="0" autoFill="0" autoLine="0" autoPict="0" altText="">
                <anchor moveWithCells="1">
                  <from>
                    <xdr:col>33</xdr:col>
                    <xdr:colOff>28575</xdr:colOff>
                    <xdr:row>52</xdr:row>
                    <xdr:rowOff>9525</xdr:rowOff>
                  </from>
                  <to>
                    <xdr:col>34</xdr:col>
                    <xdr:colOff>47625</xdr:colOff>
                    <xdr:row>53</xdr:row>
                    <xdr:rowOff>0</xdr:rowOff>
                  </to>
                </anchor>
              </controlPr>
            </control>
          </mc:Choice>
        </mc:AlternateContent>
        <mc:AlternateContent xmlns:mc="http://schemas.openxmlformats.org/markup-compatibility/2006">
          <mc:Choice Requires="x14">
            <control shapeId="16738" r:id="rId79" name="Check Box 1378">
              <controlPr defaultSize="0" autoFill="0" autoLine="0" autoPict="0" altText="">
                <anchor moveWithCells="1">
                  <from>
                    <xdr:col>33</xdr:col>
                    <xdr:colOff>28575</xdr:colOff>
                    <xdr:row>53</xdr:row>
                    <xdr:rowOff>9525</xdr:rowOff>
                  </from>
                  <to>
                    <xdr:col>34</xdr:col>
                    <xdr:colOff>47625</xdr:colOff>
                    <xdr:row>54</xdr:row>
                    <xdr:rowOff>0</xdr:rowOff>
                  </to>
                </anchor>
              </controlPr>
            </control>
          </mc:Choice>
        </mc:AlternateContent>
        <mc:AlternateContent xmlns:mc="http://schemas.openxmlformats.org/markup-compatibility/2006">
          <mc:Choice Requires="x14">
            <control shapeId="16739" r:id="rId80" name="Check Box 1379">
              <controlPr defaultSize="0" autoFill="0" autoLine="0" autoPict="0" altText="">
                <anchor moveWithCells="1">
                  <from>
                    <xdr:col>33</xdr:col>
                    <xdr:colOff>28575</xdr:colOff>
                    <xdr:row>54</xdr:row>
                    <xdr:rowOff>9525</xdr:rowOff>
                  </from>
                  <to>
                    <xdr:col>34</xdr:col>
                    <xdr:colOff>57150</xdr:colOff>
                    <xdr:row>55</xdr:row>
                    <xdr:rowOff>0</xdr:rowOff>
                  </to>
                </anchor>
              </controlPr>
            </control>
          </mc:Choice>
        </mc:AlternateContent>
        <mc:AlternateContent xmlns:mc="http://schemas.openxmlformats.org/markup-compatibility/2006">
          <mc:Choice Requires="x14">
            <control shapeId="16840" r:id="rId81" name="Check Box 1480">
              <controlPr defaultSize="0" autoFill="0" autoLine="0" autoPict="0" altText="">
                <anchor moveWithCells="1">
                  <from>
                    <xdr:col>20</xdr:col>
                    <xdr:colOff>28575</xdr:colOff>
                    <xdr:row>53</xdr:row>
                    <xdr:rowOff>9525</xdr:rowOff>
                  </from>
                  <to>
                    <xdr:col>21</xdr:col>
                    <xdr:colOff>66675</xdr:colOff>
                    <xdr:row>54</xdr:row>
                    <xdr:rowOff>0</xdr:rowOff>
                  </to>
                </anchor>
              </controlPr>
            </control>
          </mc:Choice>
        </mc:AlternateContent>
        <mc:AlternateContent xmlns:mc="http://schemas.openxmlformats.org/markup-compatibility/2006">
          <mc:Choice Requires="x14">
            <control shapeId="16841" r:id="rId82" name="Check Box 1481">
              <controlPr defaultSize="0" autoFill="0" autoLine="0" autoPict="0" altText="">
                <anchor moveWithCells="1">
                  <from>
                    <xdr:col>20</xdr:col>
                    <xdr:colOff>28575</xdr:colOff>
                    <xdr:row>54</xdr:row>
                    <xdr:rowOff>9525</xdr:rowOff>
                  </from>
                  <to>
                    <xdr:col>21</xdr:col>
                    <xdr:colOff>66675</xdr:colOff>
                    <xdr:row>55</xdr:row>
                    <xdr:rowOff>0</xdr:rowOff>
                  </to>
                </anchor>
              </controlPr>
            </control>
          </mc:Choice>
        </mc:AlternateContent>
        <mc:AlternateContent xmlns:mc="http://schemas.openxmlformats.org/markup-compatibility/2006">
          <mc:Choice Requires="x14">
            <control shapeId="31798" r:id="rId83" name="Check Box 2102">
              <controlPr defaultSize="0" autoFill="0" autoLine="0" autoPict="0" altText="">
                <anchor moveWithCells="1">
                  <from>
                    <xdr:col>20</xdr:col>
                    <xdr:colOff>28575</xdr:colOff>
                    <xdr:row>55</xdr:row>
                    <xdr:rowOff>9525</xdr:rowOff>
                  </from>
                  <to>
                    <xdr:col>21</xdr:col>
                    <xdr:colOff>66675</xdr:colOff>
                    <xdr:row>56</xdr:row>
                    <xdr:rowOff>0</xdr:rowOff>
                  </to>
                </anchor>
              </controlPr>
            </control>
          </mc:Choice>
        </mc:AlternateContent>
      </controls>
    </mc:Choice>
  </mc:AlternateContent>
  <extLst>
    <ext xmlns:x14="http://schemas.microsoft.com/office/spreadsheetml/2009/9/main" uri="{78C0D931-6437-407d-A8EE-F0AAD7539E65}">
      <x14:conditionalFormattings>
        <x14:conditionalFormatting xmlns:xm="http://schemas.microsoft.com/office/excel/2006/main">
          <x14:cfRule type="expression" priority="8" id="{651541A1-CB44-4FB2-8B7E-A0968296897E}">
            <xm:f>OR($S$4="Mortal",VLOOKUP($S$4,Castes!$B$2:$D$25,3,FALSE)="Attributes")</xm:f>
            <x14:dxf>
              <fill>
                <patternFill>
                  <bgColor theme="0"/>
                </patternFill>
              </fill>
            </x14:dxf>
          </x14:cfRule>
          <xm:sqref>C43:C48 D13:D38</xm:sqref>
        </x14:conditionalFormatting>
        <x14:conditionalFormatting xmlns:xm="http://schemas.microsoft.com/office/excel/2006/main">
          <x14:cfRule type="expression" priority="1" id="{4A07C171-13FF-401E-9DCB-DD86EE5BA479}">
            <xm:f>AND(COUNTIF($AH$13:$AH$40,"Martial_Artist")=0,Values!$S$37&gt;0)</xm:f>
            <x14:dxf>
              <fill>
                <patternFill>
                  <bgColor rgb="FFFF0000"/>
                </patternFill>
              </fill>
            </x14:dxf>
          </x14:cfRule>
          <xm:sqref>K25:M25</xm:sqref>
        </x14:conditionalFormatting>
      </x14:conditionalFormattings>
    </ext>
    <ext xmlns:x14="http://schemas.microsoft.com/office/spreadsheetml/2009/9/main" uri="{CCE6A557-97BC-4b89-ADB6-D9C93CAAB3DF}">
      <x14:dataValidations xmlns:xm="http://schemas.microsoft.com/office/excel/2006/main" xWindow="1064" yWindow="649" count="11">
        <x14:dataValidation type="list" allowBlank="1" showInputMessage="1" showErrorMessage="1" xr:uid="{00000000-0002-0000-0100-00000C000000}">
          <x14:formula1>
            <xm:f>Intimacies!$A$1:$A$2</xm:f>
          </x14:formula1>
          <xm:sqref>N63:R87 AM63:AQ87</xm:sqref>
        </x14:dataValidation>
        <x14:dataValidation type="list" allowBlank="1" showInputMessage="1" showErrorMessage="1" xr:uid="{00000000-0002-0000-0100-00000D000000}">
          <x14:formula1>
            <xm:f>Armor!$B$2:$B$7</xm:f>
          </x14:formula1>
          <xm:sqref>I54:J56</xm:sqref>
        </x14:dataValidation>
        <x14:dataValidation type="list" allowBlank="1" showInputMessage="1" showErrorMessage="1" xr:uid="{00000000-0002-0000-0100-00000E000000}">
          <x14:formula1>
            <xm:f>Castes!$B$3:$B$25</xm:f>
          </x14:formula1>
          <xm:sqref>S4:AC4</xm:sqref>
        </x14:dataValidation>
        <x14:dataValidation type="list" allowBlank="1" showInputMessage="1" showErrorMessage="1" xr:uid="{00000000-0002-0000-0100-00000F000000}">
          <x14:formula1>
            <xm:f>Values!$B$25:$B$58</xm:f>
          </x14:formula1>
          <xm:sqref>P13:T22</xm:sqref>
        </x14:dataValidation>
        <x14:dataValidation type="list" allowBlank="1" showInputMessage="1" showErrorMessage="1" promptTitle="Ability used for value calcul" prompt="The &quot;0&quot; at the end of Martial Abilities can be changed by entering an additionnal ability on &quot;Creation_1&quot;" xr:uid="{00000000-0002-0000-0100-000010000000}">
          <x14:formula1>
            <xm:f>Weapons!$A$101:$A$134</xm:f>
          </x14:formula1>
          <xm:sqref>X42:AA49</xm:sqref>
        </x14:dataValidation>
        <x14:dataValidation type="list" allowBlank="1" showInputMessage="1" showErrorMessage="1" promptTitle="Attribute used for value calcul" prompt="If empty, default attribute used is DEX" xr:uid="{00000000-0002-0000-0100-000011000000}">
          <x14:formula1>
            <xm:f>Weapons!$A$142:$A$150</xm:f>
          </x14:formula1>
          <xm:sqref>AB42:AC49</xm:sqref>
        </x14:dataValidation>
        <x14:dataValidation type="list" allowBlank="1" showInputMessage="1" showErrorMessage="1" promptTitle="Choose Weapon Type" prompt="M/A = Mortal/Artefact_x000a_M/T/A = Melee/Thrown/Archery_x000a_L/M/H = Light/Melee/Heavy" xr:uid="{00000000-0002-0000-0100-000012000000}">
          <x14:formula1>
            <xm:f>Weapons!$B$2:$B$98</xm:f>
          </x14:formula1>
          <xm:sqref>N42:Q49</xm:sqref>
        </x14:dataValidation>
        <x14:dataValidation type="list" errorStyle="warning" allowBlank="1" showInputMessage="1" showErrorMessage="1" xr:uid="{00000000-0002-0000-0100-000013000000}">
          <x14:formula1>
            <xm:f>Intimacies!$D$3:$D$5</xm:f>
          </x14:formula1>
          <xm:sqref>AS63:AX87 T63:Y87</xm:sqref>
        </x14:dataValidation>
        <x14:dataValidation type="list" errorStyle="warning" allowBlank="1" showInputMessage="1" showErrorMessage="1" errorTitle="It's not a recognized value" xr:uid="{3566939D-87DD-4C24-966C-4FCA3E9C1F11}">
          <x14:formula1>
            <xm:f>Cast_Spe!$A$14:$A$16</xm:f>
          </x14:formula1>
          <xm:sqref>F7:F9 V7:V9 AL7:AL9</xm:sqref>
        </x14:dataValidation>
        <x14:dataValidation type="list" errorStyle="warning" allowBlank="1" showInputMessage="1" showErrorMessage="1" errorTitle="Wrong Subtype" error="Continue ?" xr:uid="{00000000-0002-0000-0100-000009000000}">
          <x14:formula1>
            <xm:f>INDIRECT("CharmAb!C"&amp;MATCH(B118,CharmAb!B:B,0)&amp;":C"&amp;(MATCH(B118,CharmAb!B:B,0)+COUNTIF(CharmAb!B:B,B118)-1))</xm:f>
          </x14:formula1>
          <xm:sqref>H154:L154 H121:L121 H157:L157 H145:L145 H142:L142 H139:L139 H136:L136 H133:L133 H127:L127 H124:L124 H151:L151 H130:L130 H160:L160 H148:L148 H118:L118</xm:sqref>
        </x14:dataValidation>
        <x14:dataValidation type="list" allowBlank="1" showInputMessage="1" xr:uid="{00000000-0002-0000-0100-000006000000}">
          <x14:formula1>
            <xm:f>INDIRECT("CharmPrerequisites!M"&amp;MATCH(H118,CharmPrerequisites!A:A,0)&amp;":M"&amp;(MATCH(H118,CharmPrerequisites!A:A,0)+COUNTIF(CharmPrerequisites!A:A,H118)-1))</xm:f>
          </x14:formula1>
          <xm:sqref>N163:AA163 N160:AA160 N154:AA154 N148:AA148 N121:AA121 N130:AA130 N151:AA151 N124:AA124 N127:AA127 N133:AA133 N136:AA136 N139:AA139 N142:AA142 N145:AA145 N157:AA157 N118:AA118</xm:sqref>
        </x14:dataValidation>
      </x14:dataValidations>
    </ext>
  </extLs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Feuil1">
    <tabColor theme="7" tint="0.79998168889431442"/>
    <pageSetUpPr fitToPage="1"/>
  </sheetPr>
  <dimension ref="A1:CC300"/>
  <sheetViews>
    <sheetView zoomScaleNormal="100" workbookViewId="0">
      <selection activeCell="AH31" sqref="AH31:AQ31"/>
    </sheetView>
  </sheetViews>
  <sheetFormatPr baseColWidth="10" defaultColWidth="0" defaultRowHeight="0" customHeight="1" zeroHeight="1"/>
  <cols>
    <col min="1" max="1" width="3.875" style="4" bestFit="1" customWidth="1"/>
    <col min="2" max="12" width="2.625" style="4" customWidth="1"/>
    <col min="13" max="14" width="2.75" style="4" customWidth="1"/>
    <col min="15" max="15" width="2.625" style="4" customWidth="1"/>
    <col min="16" max="16" width="2.75" style="4" customWidth="1"/>
    <col min="17" max="33" width="2.625" style="4" customWidth="1"/>
    <col min="34" max="34" width="2.75" style="4" customWidth="1"/>
    <col min="35" max="52" width="2.625" style="4" customWidth="1"/>
    <col min="53" max="53" width="2.75" style="4" bestFit="1" customWidth="1"/>
    <col min="54" max="59" width="2.625" style="4" customWidth="1"/>
    <col min="60" max="60" width="3" style="4" bestFit="1" customWidth="1"/>
    <col min="61" max="64" width="2.625" style="4" customWidth="1"/>
    <col min="65" max="65" width="2.875" style="4" customWidth="1"/>
    <col min="66" max="71" width="2.625" style="4" customWidth="1"/>
    <col min="72" max="80" width="2.625" style="4" hidden="1" customWidth="1"/>
    <col min="81" max="81" width="3.5" style="4" hidden="1" customWidth="1"/>
    <col min="82" max="16384" width="2.625" style="4" hidden="1"/>
  </cols>
  <sheetData>
    <row r="1" spans="1:72" ht="20.100000000000001" customHeight="1" thickBot="1">
      <c r="A1" s="5"/>
      <c r="B1" s="5"/>
      <c r="C1" s="5"/>
      <c r="D1" s="5"/>
      <c r="E1" s="5"/>
      <c r="F1" s="5"/>
      <c r="G1" s="5"/>
      <c r="H1" s="5"/>
      <c r="I1" s="5"/>
      <c r="J1" s="5"/>
      <c r="K1" s="5"/>
      <c r="L1" s="5"/>
      <c r="M1" s="5"/>
      <c r="N1" s="5"/>
      <c r="O1" s="5"/>
      <c r="P1" s="5"/>
      <c r="Q1" s="5"/>
      <c r="R1" s="5"/>
      <c r="S1" s="5"/>
      <c r="T1" s="5"/>
      <c r="U1" s="5"/>
      <c r="V1" s="5"/>
      <c r="W1" s="5"/>
      <c r="X1" s="5"/>
      <c r="Y1" s="5"/>
      <c r="Z1" s="5"/>
      <c r="AA1" s="5"/>
      <c r="AB1" s="5"/>
      <c r="AC1" s="5"/>
      <c r="AD1" s="5"/>
      <c r="AE1" s="5"/>
      <c r="AF1" s="5"/>
      <c r="AG1" s="5"/>
      <c r="AH1" s="5"/>
      <c r="AI1" s="5"/>
      <c r="AJ1" s="5"/>
      <c r="AK1" s="5"/>
      <c r="AL1" s="5"/>
      <c r="AM1" s="5"/>
      <c r="AO1" s="5"/>
      <c r="AP1" s="5"/>
      <c r="AQ1" s="5"/>
      <c r="AR1" s="5"/>
      <c r="AS1" s="5"/>
      <c r="AT1" s="5"/>
      <c r="AU1" s="5"/>
      <c r="AV1" s="5"/>
      <c r="AW1" s="5"/>
      <c r="AY1" s="40"/>
      <c r="AZ1" s="5"/>
      <c r="BA1" s="85" t="s">
        <v>3448</v>
      </c>
      <c r="BB1" s="5"/>
      <c r="BC1" s="5"/>
      <c r="BD1" s="5"/>
      <c r="BE1" s="5"/>
      <c r="BF1" s="5"/>
      <c r="BG1" s="5"/>
      <c r="BH1" s="5"/>
      <c r="BI1" s="5"/>
      <c r="BJ1" s="5"/>
      <c r="BK1" s="5"/>
      <c r="BL1" s="5"/>
      <c r="BM1" s="5"/>
      <c r="BN1" s="5"/>
      <c r="BO1" s="5"/>
      <c r="BP1" s="5"/>
      <c r="BQ1" s="5"/>
      <c r="BR1" s="5"/>
      <c r="BS1" s="5"/>
      <c r="BT1" s="5"/>
    </row>
    <row r="2" spans="1:72" ht="20.100000000000001" customHeight="1">
      <c r="A2" s="5"/>
      <c r="B2" s="5"/>
      <c r="C2" s="5"/>
      <c r="D2" s="5"/>
      <c r="E2" s="5"/>
      <c r="F2" s="5"/>
      <c r="G2" s="5"/>
      <c r="H2" s="5"/>
      <c r="I2" s="5"/>
      <c r="J2" s="5"/>
      <c r="K2" s="5"/>
      <c r="L2" s="5"/>
      <c r="M2" s="5"/>
      <c r="N2" s="5"/>
      <c r="O2" s="5"/>
      <c r="P2" s="455" t="s">
        <v>0</v>
      </c>
      <c r="Q2" s="455"/>
      <c r="R2" s="455"/>
      <c r="S2" s="455" t="str">
        <f>IF(Creation_1!S2=0,"N/A",Creation_1!S2)</f>
        <v>N/A</v>
      </c>
      <c r="T2" s="455"/>
      <c r="U2" s="455"/>
      <c r="V2" s="455"/>
      <c r="W2" s="455"/>
      <c r="X2" s="455"/>
      <c r="Y2" s="455"/>
      <c r="Z2" s="455"/>
      <c r="AA2" s="455"/>
      <c r="AB2" s="455"/>
      <c r="AC2" s="455"/>
      <c r="AD2" s="455" t="s">
        <v>1</v>
      </c>
      <c r="AE2" s="455"/>
      <c r="AF2" s="455"/>
      <c r="AG2" s="455"/>
      <c r="AH2" s="455" t="str">
        <f>IF(Creation_1!AH2=0,"N/A",Creation_1!AH2)</f>
        <v>N/A</v>
      </c>
      <c r="AI2" s="455"/>
      <c r="AJ2" s="455"/>
      <c r="AK2" s="455"/>
      <c r="AL2" s="455"/>
      <c r="AM2" s="455"/>
      <c r="AN2" s="455"/>
      <c r="AO2" s="455"/>
      <c r="AP2" s="455"/>
      <c r="AQ2" s="455"/>
      <c r="AR2" s="455"/>
      <c r="AS2" s="455"/>
      <c r="AT2" s="455"/>
      <c r="AU2" s="5"/>
      <c r="AV2" s="5"/>
      <c r="AW2" s="5"/>
      <c r="AX2" s="5"/>
      <c r="AY2" s="7"/>
      <c r="AZ2" s="5"/>
      <c r="BA2" s="51" t="s">
        <v>3442</v>
      </c>
      <c r="BB2" s="52"/>
      <c r="BC2" s="52"/>
      <c r="BD2" s="52"/>
      <c r="BE2" s="52"/>
      <c r="BF2" s="52"/>
      <c r="BG2" s="52"/>
      <c r="BH2" s="52"/>
      <c r="BI2" s="52"/>
      <c r="BJ2" s="53"/>
      <c r="BK2" s="5"/>
      <c r="BL2" s="5"/>
      <c r="BM2" s="5"/>
      <c r="BN2" s="5"/>
      <c r="BO2" s="5"/>
      <c r="BP2" s="5"/>
      <c r="BQ2" s="5"/>
      <c r="BR2" s="5"/>
      <c r="BS2" s="5"/>
      <c r="BT2" s="5"/>
    </row>
    <row r="3" spans="1:72" ht="20.100000000000001" customHeight="1">
      <c r="A3" s="5"/>
      <c r="B3" s="5"/>
      <c r="C3" s="5"/>
      <c r="D3" s="5"/>
      <c r="E3" s="5"/>
      <c r="F3" s="5"/>
      <c r="G3" s="5"/>
      <c r="H3" s="5"/>
      <c r="I3" s="5"/>
      <c r="J3" s="5"/>
      <c r="K3" s="5"/>
      <c r="L3" s="5"/>
      <c r="M3" s="5"/>
      <c r="N3" s="5"/>
      <c r="O3" s="5"/>
      <c r="P3" s="455" t="s">
        <v>2</v>
      </c>
      <c r="Q3" s="455"/>
      <c r="R3" s="455"/>
      <c r="S3" s="455" t="str">
        <f>IF(Creation_1!S3=0,"N/A",Creation_1!S3)</f>
        <v>N/A</v>
      </c>
      <c r="T3" s="455"/>
      <c r="U3" s="455"/>
      <c r="V3" s="455"/>
      <c r="W3" s="455"/>
      <c r="X3" s="455"/>
      <c r="Y3" s="455"/>
      <c r="Z3" s="455"/>
      <c r="AA3" s="455"/>
      <c r="AB3" s="455"/>
      <c r="AC3" s="455"/>
      <c r="AD3" s="455" t="s">
        <v>3</v>
      </c>
      <c r="AE3" s="455"/>
      <c r="AF3" s="455"/>
      <c r="AG3" s="455" t="str">
        <f>IF(Creation_1!AG3=0,"N/A",Creation_1!AG3)</f>
        <v>N/A</v>
      </c>
      <c r="AH3" s="455"/>
      <c r="AI3" s="455"/>
      <c r="AJ3" s="455"/>
      <c r="AK3" s="455"/>
      <c r="AL3" s="455"/>
      <c r="AM3" s="455"/>
      <c r="AN3" s="455"/>
      <c r="AO3" s="455"/>
      <c r="AP3" s="455"/>
      <c r="AQ3" s="455"/>
      <c r="AR3" s="455"/>
      <c r="AS3" s="455"/>
      <c r="AT3" s="455"/>
      <c r="AU3" s="5"/>
      <c r="AV3" s="5"/>
      <c r="AW3" s="5"/>
      <c r="AX3" s="5"/>
      <c r="AY3" s="7"/>
      <c r="AZ3" s="5"/>
      <c r="BA3" s="422" t="str">
        <f>Values!AA3</f>
        <v>Some attributes points needs to be adjusted in creation_1 before you can proceed &gt;:-(</v>
      </c>
      <c r="BB3" s="423"/>
      <c r="BC3" s="423"/>
      <c r="BD3" s="423"/>
      <c r="BE3" s="423"/>
      <c r="BF3" s="423"/>
      <c r="BG3" s="423"/>
      <c r="BH3" s="423"/>
      <c r="BI3" s="423"/>
      <c r="BJ3" s="424"/>
      <c r="BK3" s="5"/>
      <c r="BL3" s="5"/>
      <c r="BM3" s="5"/>
      <c r="BN3" s="5"/>
      <c r="BO3" s="5"/>
      <c r="BP3" s="5"/>
      <c r="BQ3" s="5"/>
      <c r="BR3" s="5"/>
      <c r="BS3" s="5"/>
      <c r="BT3" s="5"/>
    </row>
    <row r="4" spans="1:72" ht="19.5" customHeight="1">
      <c r="A4" s="5"/>
      <c r="B4" s="5"/>
      <c r="C4" s="5"/>
      <c r="D4" s="5"/>
      <c r="E4" s="5"/>
      <c r="F4" s="5"/>
      <c r="G4" s="5"/>
      <c r="H4" s="5"/>
      <c r="I4" s="5"/>
      <c r="J4" s="5"/>
      <c r="K4" s="5"/>
      <c r="L4" s="5"/>
      <c r="M4" s="5"/>
      <c r="N4" s="5"/>
      <c r="O4" s="5"/>
      <c r="P4" s="455" t="s">
        <v>4</v>
      </c>
      <c r="Q4" s="455"/>
      <c r="R4" s="455"/>
      <c r="S4" s="416" t="str">
        <f>IF(Creation_1!S4&lt;&gt;0,Creation_1!S4,"N/A")</f>
        <v>N/A</v>
      </c>
      <c r="T4" s="417"/>
      <c r="U4" s="417"/>
      <c r="V4" s="417"/>
      <c r="W4" s="417"/>
      <c r="X4" s="417"/>
      <c r="Y4" s="417"/>
      <c r="Z4" s="417"/>
      <c r="AA4" s="417"/>
      <c r="AB4" s="417"/>
      <c r="AC4" s="418"/>
      <c r="AD4" s="455" t="s">
        <v>1424</v>
      </c>
      <c r="AE4" s="455"/>
      <c r="AF4" s="455"/>
      <c r="AG4" s="455"/>
      <c r="AH4" s="455"/>
      <c r="AI4" s="456" t="str">
        <f>IF(S4="Mortal","-",IFERROR(VLOOKUP("S",D13:F47,3,0),"Please choose a Supernal Ability"))</f>
        <v>Please choose a Supernal Ability</v>
      </c>
      <c r="AJ4" s="456"/>
      <c r="AK4" s="456"/>
      <c r="AL4" s="456"/>
      <c r="AM4" s="456"/>
      <c r="AN4" s="456"/>
      <c r="AO4" s="456"/>
      <c r="AP4" s="456"/>
      <c r="AQ4" s="456"/>
      <c r="AR4" s="456"/>
      <c r="AS4" s="456"/>
      <c r="AT4" s="456"/>
      <c r="AU4" s="5"/>
      <c r="AV4" s="5"/>
      <c r="AW4" s="5"/>
      <c r="AX4" s="5"/>
      <c r="AY4" s="7"/>
      <c r="AZ4" s="5"/>
      <c r="BA4" s="422"/>
      <c r="BB4" s="423"/>
      <c r="BC4" s="423"/>
      <c r="BD4" s="423"/>
      <c r="BE4" s="423"/>
      <c r="BF4" s="423"/>
      <c r="BG4" s="423"/>
      <c r="BH4" s="423"/>
      <c r="BI4" s="423"/>
      <c r="BJ4" s="424"/>
      <c r="BK4" s="5"/>
      <c r="BL4" s="5"/>
      <c r="BM4" s="5"/>
      <c r="BN4" s="5"/>
      <c r="BO4" s="5"/>
      <c r="BP4" s="5"/>
      <c r="BQ4" s="5"/>
      <c r="BR4" s="5"/>
      <c r="BS4" s="5"/>
      <c r="BT4" s="5"/>
    </row>
    <row r="5" spans="1:72" ht="20.100000000000001" customHeight="1" thickBot="1">
      <c r="A5" s="5"/>
      <c r="B5" s="5"/>
      <c r="C5" s="5"/>
      <c r="D5" s="5"/>
      <c r="E5" s="5"/>
      <c r="F5" s="5"/>
      <c r="G5" s="5"/>
      <c r="H5" s="5"/>
      <c r="I5" s="5"/>
      <c r="J5" s="5"/>
      <c r="K5" s="5"/>
      <c r="L5" s="5"/>
      <c r="M5" s="5"/>
      <c r="N5" s="5"/>
      <c r="O5" s="5"/>
      <c r="P5" s="5"/>
      <c r="R5" s="5"/>
      <c r="S5" s="5"/>
      <c r="T5" s="5"/>
      <c r="U5" s="5"/>
      <c r="V5" s="383" t="s">
        <v>5</v>
      </c>
      <c r="W5" s="383"/>
      <c r="X5" s="383"/>
      <c r="Y5" s="383"/>
      <c r="Z5" s="383"/>
      <c r="AA5" s="5"/>
      <c r="AB5" s="5"/>
      <c r="AC5" s="5"/>
      <c r="AD5" s="5"/>
      <c r="AE5" s="5"/>
      <c r="AF5" s="5"/>
      <c r="AG5" s="5"/>
      <c r="AH5" s="5"/>
      <c r="AI5" s="6"/>
      <c r="AJ5" s="5"/>
      <c r="AK5" s="5"/>
      <c r="AL5" s="5"/>
      <c r="AM5" s="5"/>
      <c r="AN5" s="5"/>
      <c r="AO5" s="5"/>
      <c r="AP5" s="5"/>
      <c r="AQ5" s="5"/>
      <c r="AR5" s="5"/>
      <c r="AS5" s="5"/>
      <c r="AT5" s="5"/>
      <c r="AU5" s="5"/>
      <c r="AV5" s="5"/>
      <c r="AW5" s="5"/>
      <c r="AX5" s="5"/>
      <c r="AY5" s="7"/>
      <c r="AZ5" s="5"/>
      <c r="BA5" s="425"/>
      <c r="BB5" s="426"/>
      <c r="BC5" s="426"/>
      <c r="BD5" s="426"/>
      <c r="BE5" s="426"/>
      <c r="BF5" s="426"/>
      <c r="BG5" s="426"/>
      <c r="BH5" s="426"/>
      <c r="BI5" s="426"/>
      <c r="BJ5" s="427"/>
      <c r="BK5" s="5"/>
      <c r="BL5" s="5"/>
      <c r="BM5" s="5"/>
      <c r="BN5" s="5"/>
      <c r="BO5" s="5"/>
      <c r="BP5" s="5"/>
      <c r="BQ5" s="5"/>
      <c r="BR5" s="5"/>
      <c r="BS5" s="5"/>
      <c r="BT5" s="5"/>
    </row>
    <row r="6" spans="1:72" ht="19.5" customHeight="1" thickBot="1">
      <c r="A6" s="5"/>
      <c r="B6" s="5"/>
      <c r="C6" s="5"/>
      <c r="D6" s="5"/>
      <c r="E6" s="5"/>
      <c r="F6" s="5"/>
      <c r="G6" s="5"/>
      <c r="H6" s="5"/>
      <c r="I6" s="5"/>
      <c r="J6" s="5"/>
      <c r="K6" s="5"/>
      <c r="L6" s="5" t="str">
        <f>Creation_1!E6</f>
        <v>Equality, add or remove points</v>
      </c>
      <c r="M6" s="5"/>
      <c r="N6" s="5"/>
      <c r="O6" s="5"/>
      <c r="P6" s="5"/>
      <c r="Q6" s="5"/>
      <c r="R6" s="5"/>
      <c r="S6" s="5"/>
      <c r="T6" s="5"/>
      <c r="U6" s="5"/>
      <c r="V6" s="383"/>
      <c r="W6" s="383"/>
      <c r="X6" s="383"/>
      <c r="Y6" s="383"/>
      <c r="Z6" s="383"/>
      <c r="AA6" s="5"/>
      <c r="AB6" s="5" t="str">
        <f>Creation_1!AA6</f>
        <v>Equality, add or remove points</v>
      </c>
      <c r="AC6" s="5"/>
      <c r="AD6" s="5"/>
      <c r="AE6" s="5"/>
      <c r="AF6" s="5"/>
      <c r="AG6" s="5"/>
      <c r="AH6" s="5"/>
      <c r="AI6" s="5"/>
      <c r="AJ6" s="5"/>
      <c r="AK6" s="5"/>
      <c r="AL6" s="5"/>
      <c r="AM6" s="5"/>
      <c r="AN6" s="5"/>
      <c r="AO6" s="5"/>
      <c r="AP6" s="5"/>
      <c r="AQ6" s="5"/>
      <c r="AR6" s="5" t="str">
        <f>Creation_1!AK6</f>
        <v>Equality, add or remove points</v>
      </c>
      <c r="AS6" s="5"/>
      <c r="AT6" s="5"/>
      <c r="AU6" s="5"/>
      <c r="AV6" s="5"/>
      <c r="AW6" s="5"/>
      <c r="AX6" s="5"/>
      <c r="AY6" s="7"/>
      <c r="AZ6" s="5"/>
      <c r="BA6" s="41"/>
      <c r="BB6" s="5"/>
      <c r="BC6" s="5"/>
      <c r="BD6" s="5"/>
      <c r="BE6" s="5"/>
      <c r="BF6" s="5"/>
      <c r="BG6" s="5"/>
      <c r="BH6" s="5"/>
      <c r="BI6" s="5"/>
      <c r="BJ6" s="5"/>
      <c r="BK6" s="5"/>
      <c r="BL6" s="5"/>
      <c r="BM6" s="5"/>
      <c r="BN6" s="5"/>
      <c r="BO6" s="5"/>
      <c r="BP6" s="5"/>
      <c r="BQ6" s="5"/>
      <c r="BR6" s="5"/>
      <c r="BS6" s="5"/>
      <c r="BT6" s="5"/>
    </row>
    <row r="7" spans="1:72" ht="20.100000000000001" customHeight="1" thickBot="1">
      <c r="A7" s="5"/>
      <c r="B7" s="5"/>
      <c r="C7" s="5"/>
      <c r="D7" s="5"/>
      <c r="E7" s="5"/>
      <c r="F7" s="5" t="str">
        <f>IF(Creation_1!F7&lt;&gt;0,Creation_1!F7,"")</f>
        <v/>
      </c>
      <c r="G7" s="405" t="s">
        <v>6</v>
      </c>
      <c r="H7" s="405"/>
      <c r="I7" s="405"/>
      <c r="J7" s="405"/>
      <c r="K7" s="405"/>
      <c r="L7" s="405"/>
      <c r="M7" s="401" t="str">
        <f>VLOOKUP(Values!$S11,Points!$A$1:$B$11,2,0)</f>
        <v>●○○○○</v>
      </c>
      <c r="N7" s="401"/>
      <c r="O7" s="401"/>
      <c r="P7" s="5"/>
      <c r="Q7" s="5"/>
      <c r="R7" s="5"/>
      <c r="S7" s="5"/>
      <c r="T7" s="5"/>
      <c r="U7" s="5"/>
      <c r="V7" s="5" t="str">
        <f>IF(Creation_1!V7&lt;&gt;0,Creation_1!V7,"")</f>
        <v/>
      </c>
      <c r="W7" s="405" t="s">
        <v>8</v>
      </c>
      <c r="X7" s="405"/>
      <c r="Y7" s="405"/>
      <c r="Z7" s="405"/>
      <c r="AA7" s="405"/>
      <c r="AB7" s="405"/>
      <c r="AC7" s="401" t="str">
        <f>VLOOKUP(Values!$S15,Points!$A$1:$B$11,2,0)</f>
        <v>●○○○○</v>
      </c>
      <c r="AD7" s="401"/>
      <c r="AE7" s="401"/>
      <c r="AF7" s="5"/>
      <c r="AG7" s="5"/>
      <c r="AH7" s="5"/>
      <c r="AI7" s="5"/>
      <c r="AJ7" s="5"/>
      <c r="AK7" s="5"/>
      <c r="AL7" s="5" t="str">
        <f>IF(Creation_1!AL7&lt;&gt;0,Creation_1!AL7,"")</f>
        <v/>
      </c>
      <c r="AM7" s="405" t="s">
        <v>9</v>
      </c>
      <c r="AN7" s="405"/>
      <c r="AO7" s="405"/>
      <c r="AP7" s="405"/>
      <c r="AQ7" s="405"/>
      <c r="AR7" s="405"/>
      <c r="AS7" s="401" t="str">
        <f>VLOOKUP(Values!$S19,Points!$A$1:$B$11,2,0)</f>
        <v>●○○○○</v>
      </c>
      <c r="AT7" s="401"/>
      <c r="AU7" s="401"/>
      <c r="AV7" s="5"/>
      <c r="AW7" s="5"/>
      <c r="AX7" s="5"/>
      <c r="AY7" s="7"/>
      <c r="AZ7" s="5"/>
      <c r="BA7" s="51" t="s">
        <v>3463</v>
      </c>
      <c r="BB7" s="52"/>
      <c r="BC7" s="52"/>
      <c r="BD7" s="52"/>
      <c r="BE7" s="52"/>
      <c r="BF7" s="52"/>
      <c r="BG7" s="52"/>
      <c r="BH7" s="370" t="e">
        <f>HLOOKUP(VLOOKUP(S4,Exalt_Type_Table,2,FALSE),Exalt_Base_Values,12,0)</f>
        <v>#N/A</v>
      </c>
      <c r="BI7" s="370"/>
      <c r="BJ7" s="370"/>
      <c r="BK7" s="370"/>
      <c r="BL7" s="370"/>
      <c r="BM7" s="370"/>
      <c r="BN7" s="371"/>
      <c r="BO7" s="5"/>
      <c r="BP7" s="5"/>
      <c r="BQ7" s="5"/>
      <c r="BR7" s="5"/>
      <c r="BS7" s="5"/>
      <c r="BT7" s="5"/>
    </row>
    <row r="8" spans="1:72" ht="20.100000000000001" customHeight="1">
      <c r="A8" s="5"/>
      <c r="B8" s="5"/>
      <c r="C8" s="5"/>
      <c r="D8" s="5"/>
      <c r="E8" s="5"/>
      <c r="F8" s="5" t="str">
        <f>IF(Creation_1!F8&lt;&gt;0,Creation_1!F8,"")</f>
        <v/>
      </c>
      <c r="G8" s="405" t="s">
        <v>10</v>
      </c>
      <c r="H8" s="405"/>
      <c r="I8" s="405"/>
      <c r="J8" s="405"/>
      <c r="K8" s="405"/>
      <c r="L8" s="405"/>
      <c r="M8" s="401" t="str">
        <f>VLOOKUP(Values!$S12,Points!$A$1:$B$11,2,0)</f>
        <v>●○○○○</v>
      </c>
      <c r="N8" s="401"/>
      <c r="O8" s="401"/>
      <c r="P8" s="5"/>
      <c r="Q8" s="5"/>
      <c r="R8" s="5"/>
      <c r="S8" s="5"/>
      <c r="T8" s="5"/>
      <c r="U8" s="5"/>
      <c r="V8" s="5" t="str">
        <f>IF(Creation_1!V8&lt;&gt;0,Creation_1!V8,"")</f>
        <v/>
      </c>
      <c r="W8" s="405" t="s">
        <v>11</v>
      </c>
      <c r="X8" s="405"/>
      <c r="Y8" s="405"/>
      <c r="Z8" s="405"/>
      <c r="AA8" s="405"/>
      <c r="AB8" s="405"/>
      <c r="AC8" s="401" t="str">
        <f>VLOOKUP(Values!$S16,Points!$A$1:$B$11,2,0)</f>
        <v>●○○○○</v>
      </c>
      <c r="AD8" s="401"/>
      <c r="AE8" s="401"/>
      <c r="AF8" s="5"/>
      <c r="AG8" s="5"/>
      <c r="AH8" s="5"/>
      <c r="AI8" s="5"/>
      <c r="AJ8" s="5"/>
      <c r="AK8" s="5"/>
      <c r="AL8" s="5" t="str">
        <f>IF(Creation_1!AL8&lt;&gt;0,Creation_1!AL8,"")</f>
        <v/>
      </c>
      <c r="AM8" s="405" t="s">
        <v>12</v>
      </c>
      <c r="AN8" s="405"/>
      <c r="AO8" s="405"/>
      <c r="AP8" s="405"/>
      <c r="AQ8" s="405"/>
      <c r="AR8" s="405"/>
      <c r="AS8" s="401" t="str">
        <f>VLOOKUP(Values!$S20,Points!$A$1:$B$11,2,0)</f>
        <v>●○○○○</v>
      </c>
      <c r="AT8" s="401"/>
      <c r="AU8" s="401"/>
      <c r="AV8" s="5"/>
      <c r="AW8" s="5"/>
      <c r="AX8" s="5"/>
      <c r="AY8" s="7"/>
      <c r="AZ8" s="5"/>
      <c r="BA8" s="428" t="str">
        <f>IFERROR(IF($BH$7-$BA$3=0,"All Done ! Please go to Creation_XP","")&amp;IF($BH$7-$BA$3&gt;0,($BH$7-$BA$3)&amp;" Bonus Points Left. Clic here when you're done to get to the Final Sheet","")&amp;IF($BH$7-$BA$3&lt;0,"Hey ! You overspent "&amp;($BA$3-$BH$7)&amp;" BP. Try to get to exactly ""0""",""),"You must go back to Creation_1 to spend your Attributes points properly")</f>
        <v>You must go back to Creation_1 to spend your Attributes points properly</v>
      </c>
      <c r="BB8" s="429"/>
      <c r="BC8" s="429"/>
      <c r="BD8" s="429"/>
      <c r="BE8" s="429"/>
      <c r="BF8" s="429"/>
      <c r="BG8" s="429"/>
      <c r="BH8" s="429"/>
      <c r="BI8" s="429"/>
      <c r="BJ8" s="429"/>
      <c r="BK8" s="429"/>
      <c r="BL8" s="429"/>
      <c r="BM8" s="429"/>
      <c r="BN8" s="430"/>
      <c r="BO8" s="5"/>
      <c r="BP8" s="5"/>
      <c r="BQ8" s="5"/>
      <c r="BR8" s="5"/>
      <c r="BS8" s="5"/>
      <c r="BT8" s="5"/>
    </row>
    <row r="9" spans="1:72" ht="20.100000000000001" customHeight="1" thickBot="1">
      <c r="A9" s="5"/>
      <c r="B9" s="5"/>
      <c r="C9" s="5"/>
      <c r="D9" s="5"/>
      <c r="E9" s="5"/>
      <c r="F9" s="5" t="str">
        <f>IF(Creation_1!F9&lt;&gt;0,Creation_1!F9,"")</f>
        <v/>
      </c>
      <c r="G9" s="405" t="s">
        <v>13</v>
      </c>
      <c r="H9" s="405"/>
      <c r="I9" s="405"/>
      <c r="J9" s="405"/>
      <c r="K9" s="405"/>
      <c r="L9" s="405"/>
      <c r="M9" s="401" t="str">
        <f>VLOOKUP(Values!$S13,Points!$A$1:$B$11,2,0)</f>
        <v>●○○○○</v>
      </c>
      <c r="N9" s="401"/>
      <c r="O9" s="401"/>
      <c r="P9" s="5"/>
      <c r="Q9" s="5"/>
      <c r="R9" s="5"/>
      <c r="S9" s="5"/>
      <c r="T9" s="5"/>
      <c r="U9" s="5"/>
      <c r="V9" s="5" t="str">
        <f>IF(Creation_1!V9&lt;&gt;0,Creation_1!V9,"")</f>
        <v/>
      </c>
      <c r="W9" s="405" t="s">
        <v>14</v>
      </c>
      <c r="X9" s="405"/>
      <c r="Y9" s="405"/>
      <c r="Z9" s="405"/>
      <c r="AA9" s="405"/>
      <c r="AB9" s="405"/>
      <c r="AC9" s="401" t="str">
        <f>VLOOKUP(Values!$S17,Points!$A$1:$B$11,2,0)</f>
        <v>●○○○○</v>
      </c>
      <c r="AD9" s="401"/>
      <c r="AE9" s="401"/>
      <c r="AF9" s="5"/>
      <c r="AG9" s="5"/>
      <c r="AH9" s="5"/>
      <c r="AI9" s="5"/>
      <c r="AJ9" s="5"/>
      <c r="AK9" s="5"/>
      <c r="AL9" s="5" t="str">
        <f>IF(Creation_1!AL9&lt;&gt;0,Creation_1!AL9,"")</f>
        <v/>
      </c>
      <c r="AM9" s="405" t="s">
        <v>15</v>
      </c>
      <c r="AN9" s="405"/>
      <c r="AO9" s="405"/>
      <c r="AP9" s="405"/>
      <c r="AQ9" s="405"/>
      <c r="AR9" s="405"/>
      <c r="AS9" s="401" t="str">
        <f>VLOOKUP(Values!$S21,Points!$A$1:$B$11,2,0)</f>
        <v>●○○○○</v>
      </c>
      <c r="AT9" s="401"/>
      <c r="AU9" s="401"/>
      <c r="AV9" s="5"/>
      <c r="AW9" s="5"/>
      <c r="AX9" s="5"/>
      <c r="AY9" s="7"/>
      <c r="AZ9" s="5"/>
      <c r="BA9" s="431"/>
      <c r="BB9" s="432"/>
      <c r="BC9" s="432"/>
      <c r="BD9" s="432"/>
      <c r="BE9" s="432"/>
      <c r="BF9" s="432"/>
      <c r="BG9" s="432"/>
      <c r="BH9" s="432"/>
      <c r="BI9" s="432"/>
      <c r="BJ9" s="432"/>
      <c r="BK9" s="432"/>
      <c r="BL9" s="432"/>
      <c r="BM9" s="432"/>
      <c r="BN9" s="433"/>
      <c r="BO9" s="5"/>
      <c r="BP9" s="5"/>
      <c r="BQ9" s="5"/>
      <c r="BR9" s="5"/>
      <c r="BS9" s="5"/>
      <c r="BT9" s="5"/>
    </row>
    <row r="10" spans="1:72" ht="20.100000000000001" customHeight="1">
      <c r="A10" s="5"/>
      <c r="B10" s="5"/>
      <c r="C10" s="5"/>
      <c r="D10" s="5"/>
      <c r="E10" s="5"/>
      <c r="F10" s="385" t="s">
        <v>17</v>
      </c>
      <c r="G10" s="385"/>
      <c r="H10" s="385"/>
      <c r="I10" s="385"/>
      <c r="J10" s="385"/>
      <c r="K10" s="6"/>
      <c r="L10" s="6"/>
      <c r="M10" s="5"/>
      <c r="N10" s="5"/>
      <c r="O10" s="5"/>
      <c r="P10" s="5"/>
      <c r="Q10" s="5"/>
      <c r="R10" s="5"/>
      <c r="S10" s="5"/>
      <c r="T10" s="5"/>
      <c r="U10" s="5"/>
      <c r="V10" s="385" t="s">
        <v>18</v>
      </c>
      <c r="W10" s="385"/>
      <c r="X10" s="385"/>
      <c r="Y10" s="385"/>
      <c r="Z10" s="385"/>
      <c r="AA10" s="34"/>
      <c r="AB10" s="5"/>
      <c r="AC10" s="5"/>
      <c r="AD10" s="5"/>
      <c r="AE10" s="5"/>
      <c r="AF10" s="5"/>
      <c r="AG10" s="5"/>
      <c r="AH10" s="5"/>
      <c r="AI10" s="5"/>
      <c r="AJ10" s="5"/>
      <c r="AK10" s="5"/>
      <c r="AL10" s="5"/>
      <c r="AM10" s="5"/>
      <c r="AN10" s="385" t="s">
        <v>19</v>
      </c>
      <c r="AO10" s="385"/>
      <c r="AP10" s="385"/>
      <c r="AQ10" s="385"/>
      <c r="AR10" s="385"/>
      <c r="AS10" s="5"/>
      <c r="AT10" s="5"/>
      <c r="AU10" s="5"/>
      <c r="AV10" s="5"/>
      <c r="AW10" s="5"/>
      <c r="AX10" s="5"/>
      <c r="AY10" s="8"/>
      <c r="AZ10" s="5"/>
      <c r="BA10" s="59" t="s">
        <v>7360</v>
      </c>
      <c r="BB10" s="52"/>
      <c r="BC10" s="52"/>
      <c r="BD10" s="52"/>
      <c r="BE10" s="52"/>
      <c r="BF10" s="52"/>
      <c r="BG10" s="52"/>
      <c r="BH10" s="52"/>
      <c r="BI10" s="52"/>
      <c r="BJ10" s="52"/>
      <c r="BK10" s="52"/>
      <c r="BL10" s="52"/>
      <c r="BM10" s="52"/>
      <c r="BN10" s="53"/>
      <c r="BO10" s="5"/>
      <c r="BP10" s="5"/>
      <c r="BQ10" s="5"/>
      <c r="BR10" s="5"/>
      <c r="BS10" s="5"/>
      <c r="BT10" s="5"/>
    </row>
    <row r="11" spans="1:72" ht="20.100000000000001" customHeight="1">
      <c r="A11" s="5"/>
      <c r="B11" s="5"/>
      <c r="C11" s="5"/>
      <c r="D11" s="5"/>
      <c r="E11" s="5"/>
      <c r="F11" s="385"/>
      <c r="G11" s="385"/>
      <c r="H11" s="385"/>
      <c r="I11" s="385"/>
      <c r="J11" s="385"/>
      <c r="K11" s="6"/>
      <c r="L11" s="6"/>
      <c r="M11" s="5"/>
      <c r="N11" s="5"/>
      <c r="O11" s="5"/>
      <c r="P11" s="5"/>
      <c r="Q11" s="5"/>
      <c r="R11" s="5"/>
      <c r="S11" s="5"/>
      <c r="T11" s="5"/>
      <c r="U11" s="5"/>
      <c r="V11" s="385"/>
      <c r="W11" s="385"/>
      <c r="X11" s="385"/>
      <c r="Y11" s="385"/>
      <c r="Z11" s="385"/>
      <c r="AA11" s="34"/>
      <c r="AB11" s="5"/>
      <c r="AC11" s="5"/>
      <c r="AD11" s="5"/>
      <c r="AE11" s="5"/>
      <c r="AF11" s="5"/>
      <c r="AG11" s="5"/>
      <c r="AH11" s="5"/>
      <c r="AI11" s="5"/>
      <c r="AJ11" s="5"/>
      <c r="AK11" s="5"/>
      <c r="AL11" s="5"/>
      <c r="AM11" s="5"/>
      <c r="AN11" s="385"/>
      <c r="AO11" s="385"/>
      <c r="AP11" s="385"/>
      <c r="AQ11" s="385"/>
      <c r="AR11" s="385"/>
      <c r="AS11" s="5"/>
      <c r="AT11" s="5"/>
      <c r="AU11" s="5"/>
      <c r="AV11" s="5"/>
      <c r="AW11" s="5"/>
      <c r="AX11" s="5"/>
      <c r="AY11" s="8"/>
      <c r="AZ11" s="5"/>
      <c r="BA11" s="54"/>
      <c r="BB11" s="446" t="e">
        <f>IF(VLOOKUP(Values!S6,Castes!B2:E25,4,0)="Lunar","Lunar :
Caste or Favored Attribute 3 per dot
Non-Caste, Non-Favored Attribute 5 per dot; 4 per dot if Casteless
Ability 2 per dot
Specialty 1
Merits 1 per dot"&amp;"
Caste or Favored Charm 4
Non-Caste, non-Favored Charm 5
Spell (Intelligence Caste or Favored) 4
Spell (Intelligence non-Caste, non-Favored) 5
Evocation 4
Animal Latent Ability 3
Willpower 2 per dot",IF(VLOOKUP(Values!S6,Castes!B2:E25,4,0)="Dragon Blooded","Dragon Blooded :
Primary or Secondary Attribute 4 per dot
Tertiary Attribute 3 per dot
Aspect or Favored Ability 1 per dot
Non-Aspect,non-Favored Ability 2 per dot
Specialty 1
Merit 1 per dot"&amp;"
Aspect or Favored Charm 4
Non-Aspect,non-Favored Charm 5
Spell (Occult Aspect or Favored) 4
Spell (Occult non-Aspect, non-Favored) 5
Evocation 4
Willpower 2 per dot","Solar &amp; Mortals :
Primary or Secondary Attribute 4 per dot
Tertiary Attribute 3 per dot
Caste/Favored Ability 1 per dot
Non-Caste/Favored Ability 2 per dot
Specialty 1"&amp;"
Merits 1 per dot
Caste/Favored Charm 4
Non-Caste/Favored Charm 5
Spell (Occult Caste/Favored) 4
Spell (Occult non-Caste/Favored) 5
Evocation 4
Willpower 2 per dot"))</f>
        <v>#N/A</v>
      </c>
      <c r="BC11" s="447"/>
      <c r="BD11" s="447"/>
      <c r="BE11" s="447"/>
      <c r="BF11" s="447"/>
      <c r="BG11" s="447"/>
      <c r="BH11" s="447"/>
      <c r="BI11" s="447"/>
      <c r="BJ11" s="447"/>
      <c r="BK11" s="447"/>
      <c r="BL11" s="447"/>
      <c r="BM11" s="447"/>
      <c r="BN11" s="448"/>
      <c r="BO11" s="5"/>
      <c r="BP11" s="5"/>
      <c r="BQ11" s="5"/>
      <c r="BR11" s="5"/>
      <c r="BS11" s="5"/>
      <c r="BT11" s="5"/>
    </row>
    <row r="12" spans="1:72" ht="20.100000000000001" customHeight="1">
      <c r="B12" s="37" t="s">
        <v>3077</v>
      </c>
      <c r="C12" s="5"/>
      <c r="D12" s="37" t="s">
        <v>16</v>
      </c>
      <c r="F12" s="5"/>
      <c r="G12" s="5"/>
      <c r="H12" s="5"/>
      <c r="I12" s="5"/>
      <c r="J12" s="5"/>
      <c r="K12" s="5"/>
      <c r="L12" s="5"/>
      <c r="M12" s="5"/>
      <c r="N12" s="5"/>
      <c r="O12" s="5"/>
      <c r="P12" s="419" t="s">
        <v>252</v>
      </c>
      <c r="Q12" s="419"/>
      <c r="R12" s="419"/>
      <c r="S12" s="419"/>
      <c r="T12" s="419"/>
      <c r="U12" s="5"/>
      <c r="V12" s="419" t="s">
        <v>1433</v>
      </c>
      <c r="W12" s="419"/>
      <c r="X12" s="419"/>
      <c r="Y12" s="419"/>
      <c r="Z12" s="419"/>
      <c r="AA12" s="419"/>
      <c r="AB12" s="419"/>
      <c r="AC12" s="419"/>
      <c r="AD12" s="419"/>
      <c r="AE12" s="419"/>
      <c r="AF12" s="419"/>
      <c r="AG12" s="5"/>
      <c r="AH12" s="382" t="s">
        <v>80</v>
      </c>
      <c r="AI12" s="382"/>
      <c r="AJ12" s="382"/>
      <c r="AK12" s="382"/>
      <c r="AL12" s="382"/>
      <c r="AM12" s="382"/>
      <c r="AN12" s="382"/>
      <c r="AO12" s="382"/>
      <c r="AP12" s="382"/>
      <c r="AQ12" s="382"/>
      <c r="AR12" s="5"/>
      <c r="AS12" s="382" t="s">
        <v>3078</v>
      </c>
      <c r="AT12" s="382"/>
      <c r="AU12" s="5"/>
      <c r="AV12" s="5"/>
      <c r="AW12" s="382" t="s">
        <v>3077</v>
      </c>
      <c r="AX12" s="382"/>
      <c r="AY12" s="420"/>
      <c r="AZ12" s="5"/>
      <c r="BA12" s="54"/>
      <c r="BB12" s="449"/>
      <c r="BC12" s="450"/>
      <c r="BD12" s="450"/>
      <c r="BE12" s="450"/>
      <c r="BF12" s="450"/>
      <c r="BG12" s="450"/>
      <c r="BH12" s="450"/>
      <c r="BI12" s="450"/>
      <c r="BJ12" s="450"/>
      <c r="BK12" s="450"/>
      <c r="BL12" s="450"/>
      <c r="BM12" s="450"/>
      <c r="BN12" s="451"/>
      <c r="BO12" s="5"/>
      <c r="BP12" s="5"/>
      <c r="BQ12" s="5"/>
      <c r="BR12" s="5"/>
      <c r="BS12" s="5"/>
      <c r="BT12" s="5"/>
    </row>
    <row r="13" spans="1:72" ht="20.100000000000001" customHeight="1">
      <c r="A13" s="5"/>
      <c r="B13" s="5"/>
      <c r="C13" s="5"/>
      <c r="D13" s="45" t="str">
        <f>IF(Values!E25&lt;&gt;0,Values!E25,"")</f>
        <v/>
      </c>
      <c r="E13" s="5"/>
      <c r="F13" s="405" t="str">
        <f>Values!B25</f>
        <v>Archery</v>
      </c>
      <c r="G13" s="405"/>
      <c r="H13" s="405"/>
      <c r="I13" s="405"/>
      <c r="J13" s="405"/>
      <c r="K13" s="401" t="str">
        <f>VLOOKUP(Values!$S25,Points!$A$1:$B$11,2,0)</f>
        <v>○○○○○</v>
      </c>
      <c r="L13" s="401"/>
      <c r="M13" s="401"/>
      <c r="N13" s="5"/>
      <c r="O13" s="62"/>
      <c r="P13" s="414" t="str">
        <f>IF(ISBLANK(O13),IF(Values!F61&lt;&gt;0,Values!F61,""),O13)</f>
        <v/>
      </c>
      <c r="Q13" s="414"/>
      <c r="R13" s="414"/>
      <c r="S13" s="414"/>
      <c r="T13" s="414"/>
      <c r="U13" s="63"/>
      <c r="V13" s="414" t="str">
        <f>IF(ISBLANK(U13),IF(Creation_1!V13&lt;&gt;0,Creation_1!V13,""),U13)</f>
        <v/>
      </c>
      <c r="W13" s="414"/>
      <c r="X13" s="414"/>
      <c r="Y13" s="414"/>
      <c r="Z13" s="414"/>
      <c r="AA13" s="414"/>
      <c r="AB13" s="414"/>
      <c r="AC13" s="414"/>
      <c r="AD13" s="414"/>
      <c r="AE13" s="414"/>
      <c r="AF13" s="414"/>
      <c r="AG13" s="5"/>
      <c r="AH13" s="409" t="str">
        <f>IF(Creation_1!AH13&lt;&gt;0,Creation_1!AH13,"")</f>
        <v/>
      </c>
      <c r="AI13" s="409"/>
      <c r="AJ13" s="409"/>
      <c r="AK13" s="409"/>
      <c r="AL13" s="409"/>
      <c r="AM13" s="409"/>
      <c r="AN13" s="409"/>
      <c r="AO13" s="409"/>
      <c r="AP13" s="409"/>
      <c r="AQ13" s="409"/>
      <c r="AR13" s="63"/>
      <c r="AS13" s="384" t="str">
        <f>IF(ISBLANK(AR13),IF(Creation_1!AS13&lt;&gt;0,Creation_1!AS13,""),AR13)</f>
        <v/>
      </c>
      <c r="AT13" s="384"/>
      <c r="AU13" s="84">
        <f ca="1">IFERROR(IF(AND(SUM(INDIRECT("Merits!A"&amp;MATCH(AH13,Merits!A:A,0)&amp;":F"&amp;MATCH(AH13,Merits!A:A,0)))=0,Values!G73=0),1,COUNTIF(INDIRECT("Merits!A"&amp;MATCH(AH13,Merits!A:A,0)&amp;":F"&amp;MATCH(AH13,Merits!A:A,0)),Values!S73)),1)</f>
        <v>1</v>
      </c>
      <c r="AV13" s="5"/>
      <c r="AW13" s="401" t="str">
        <f>VLOOKUP(Values!$S73,Points!$A$1:$B$11,2,0)</f>
        <v>○○○○○</v>
      </c>
      <c r="AX13" s="401"/>
      <c r="AY13" s="408"/>
      <c r="AZ13" s="5"/>
      <c r="BA13" s="54"/>
      <c r="BB13" s="449"/>
      <c r="BC13" s="450"/>
      <c r="BD13" s="450"/>
      <c r="BE13" s="450"/>
      <c r="BF13" s="450"/>
      <c r="BG13" s="450"/>
      <c r="BH13" s="450"/>
      <c r="BI13" s="450"/>
      <c r="BJ13" s="450"/>
      <c r="BK13" s="450"/>
      <c r="BL13" s="450"/>
      <c r="BM13" s="450"/>
      <c r="BN13" s="451"/>
      <c r="BO13" s="5"/>
      <c r="BP13" s="5"/>
      <c r="BQ13" s="5"/>
      <c r="BR13" s="5"/>
      <c r="BS13" s="5"/>
      <c r="BT13" s="5"/>
    </row>
    <row r="14" spans="1:72" ht="20.100000000000001" customHeight="1">
      <c r="A14" s="5"/>
      <c r="B14" s="5"/>
      <c r="C14" s="5"/>
      <c r="D14" s="45" t="str">
        <f>IF(Values!E26&lt;&gt;0,Values!E26,"")</f>
        <v/>
      </c>
      <c r="E14" s="5"/>
      <c r="F14" s="405" t="str">
        <f>Values!B26</f>
        <v>Athletics</v>
      </c>
      <c r="G14" s="405"/>
      <c r="H14" s="405"/>
      <c r="I14" s="405"/>
      <c r="J14" s="405"/>
      <c r="K14" s="401" t="str">
        <f>VLOOKUP(Values!$S26,Points!$A$1:$B$11,2,0)</f>
        <v>○○○○○</v>
      </c>
      <c r="L14" s="401"/>
      <c r="M14" s="401"/>
      <c r="N14" s="5"/>
      <c r="O14" s="63"/>
      <c r="P14" s="414" t="str">
        <f>IF(ISBLANK(O14),IF(Values!F62&lt;&gt;0,Values!F62,""),O14)</f>
        <v/>
      </c>
      <c r="Q14" s="414"/>
      <c r="R14" s="414"/>
      <c r="S14" s="414"/>
      <c r="T14" s="414"/>
      <c r="U14" s="63"/>
      <c r="V14" s="414" t="str">
        <f>IF(ISBLANK(U14),IF(Creation_1!V14&lt;&gt;0,Creation_1!V14,""),U14)</f>
        <v/>
      </c>
      <c r="W14" s="414"/>
      <c r="X14" s="414"/>
      <c r="Y14" s="414"/>
      <c r="Z14" s="414"/>
      <c r="AA14" s="414"/>
      <c r="AB14" s="414"/>
      <c r="AC14" s="414"/>
      <c r="AD14" s="414"/>
      <c r="AE14" s="414"/>
      <c r="AF14" s="414"/>
      <c r="AG14" s="5"/>
      <c r="AH14" s="409" t="str">
        <f>IF(Creation_1!AH14&lt;&gt;0,Creation_1!AH14,"")</f>
        <v/>
      </c>
      <c r="AI14" s="409"/>
      <c r="AJ14" s="409"/>
      <c r="AK14" s="409"/>
      <c r="AL14" s="409"/>
      <c r="AM14" s="409"/>
      <c r="AN14" s="409"/>
      <c r="AO14" s="409"/>
      <c r="AP14" s="409"/>
      <c r="AQ14" s="409"/>
      <c r="AR14" s="63"/>
      <c r="AS14" s="384" t="str">
        <f>IF(ISBLANK(AR14),IF(Creation_1!AS14&lt;&gt;0,Creation_1!AS14,""),AR14)</f>
        <v/>
      </c>
      <c r="AT14" s="384"/>
      <c r="AU14" s="84">
        <f ca="1">IFERROR(IF(AND(SUM(INDIRECT("Merits!A"&amp;MATCH(AH14,Merits!A:A,0)&amp;":F"&amp;MATCH(AH14,Merits!A:A,0)))=0,Values!G74=0),1,COUNTIF(INDIRECT("Merits!A"&amp;MATCH(AH14,Merits!A:A,0)&amp;":F"&amp;MATCH(AH14,Merits!A:A,0)),Values!S74)),1)</f>
        <v>1</v>
      </c>
      <c r="AV14" s="5"/>
      <c r="AW14" s="401" t="str">
        <f>VLOOKUP(Values!$S74,Points!$A$1:$B$11,2,0)</f>
        <v>○○○○○</v>
      </c>
      <c r="AX14" s="401"/>
      <c r="AY14" s="408"/>
      <c r="AZ14" s="5"/>
      <c r="BA14" s="54"/>
      <c r="BB14" s="449"/>
      <c r="BC14" s="450"/>
      <c r="BD14" s="450"/>
      <c r="BE14" s="450"/>
      <c r="BF14" s="450"/>
      <c r="BG14" s="450"/>
      <c r="BH14" s="450"/>
      <c r="BI14" s="450"/>
      <c r="BJ14" s="450"/>
      <c r="BK14" s="450"/>
      <c r="BL14" s="450"/>
      <c r="BM14" s="450"/>
      <c r="BN14" s="451"/>
      <c r="BO14" s="5"/>
      <c r="BP14" s="5"/>
      <c r="BQ14" s="5"/>
      <c r="BR14" s="5"/>
      <c r="BS14" s="5"/>
      <c r="BT14" s="5"/>
    </row>
    <row r="15" spans="1:72" ht="20.100000000000001" customHeight="1">
      <c r="A15" s="5"/>
      <c r="B15" s="5"/>
      <c r="C15" s="5"/>
      <c r="D15" s="45" t="str">
        <f>IF(Values!E27&lt;&gt;0,Values!E27,"")</f>
        <v/>
      </c>
      <c r="E15" s="5"/>
      <c r="F15" s="405" t="str">
        <f>Values!B27</f>
        <v>Awareness</v>
      </c>
      <c r="G15" s="405"/>
      <c r="H15" s="405"/>
      <c r="I15" s="405"/>
      <c r="J15" s="405"/>
      <c r="K15" s="401" t="str">
        <f>VLOOKUP(Values!$S27,Points!$A$1:$B$11,2,0)</f>
        <v>○○○○○</v>
      </c>
      <c r="L15" s="401"/>
      <c r="M15" s="401"/>
      <c r="N15" s="5"/>
      <c r="O15" s="63"/>
      <c r="P15" s="414" t="str">
        <f>IF(ISBLANK(O15),IF(Values!F63&lt;&gt;0,Values!F63,""),O15)</f>
        <v/>
      </c>
      <c r="Q15" s="414"/>
      <c r="R15" s="414"/>
      <c r="S15" s="414"/>
      <c r="T15" s="414"/>
      <c r="U15" s="63"/>
      <c r="V15" s="414" t="str">
        <f>IF(ISBLANK(U15),IF(Creation_1!V15&lt;&gt;0,Creation_1!V15,""),U15)</f>
        <v/>
      </c>
      <c r="W15" s="414"/>
      <c r="X15" s="414"/>
      <c r="Y15" s="414"/>
      <c r="Z15" s="414"/>
      <c r="AA15" s="414"/>
      <c r="AB15" s="414"/>
      <c r="AC15" s="414"/>
      <c r="AD15" s="414"/>
      <c r="AE15" s="414"/>
      <c r="AF15" s="414"/>
      <c r="AG15" s="5"/>
      <c r="AH15" s="409" t="str">
        <f>IF(Creation_1!AH15&lt;&gt;0,Creation_1!AH15,"")</f>
        <v/>
      </c>
      <c r="AI15" s="409"/>
      <c r="AJ15" s="409"/>
      <c r="AK15" s="409"/>
      <c r="AL15" s="409"/>
      <c r="AM15" s="409"/>
      <c r="AN15" s="409"/>
      <c r="AO15" s="409"/>
      <c r="AP15" s="409"/>
      <c r="AQ15" s="409"/>
      <c r="AR15" s="63"/>
      <c r="AS15" s="384" t="str">
        <f>IF(ISBLANK(AR15),IF(Creation_1!AS15&lt;&gt;0,Creation_1!AS15,""),AR15)</f>
        <v/>
      </c>
      <c r="AT15" s="384"/>
      <c r="AU15" s="84">
        <f ca="1">IFERROR(IF(AND(SUM(INDIRECT("Merits!A"&amp;MATCH(AH15,Merits!A:A,0)&amp;":F"&amp;MATCH(AH15,Merits!A:A,0)))=0,Values!G75=0),1,COUNTIF(INDIRECT("Merits!A"&amp;MATCH(AH15,Merits!A:A,0)&amp;":F"&amp;MATCH(AH15,Merits!A:A,0)),Values!S75)),1)</f>
        <v>1</v>
      </c>
      <c r="AV15" s="5"/>
      <c r="AW15" s="401" t="str">
        <f>VLOOKUP(Values!$S75,Points!$A$1:$B$11,2,0)</f>
        <v>○○○○○</v>
      </c>
      <c r="AX15" s="401"/>
      <c r="AY15" s="408"/>
      <c r="AZ15" s="5"/>
      <c r="BA15" s="54"/>
      <c r="BB15" s="449"/>
      <c r="BC15" s="450"/>
      <c r="BD15" s="450"/>
      <c r="BE15" s="450"/>
      <c r="BF15" s="450"/>
      <c r="BG15" s="450"/>
      <c r="BH15" s="450"/>
      <c r="BI15" s="450"/>
      <c r="BJ15" s="450"/>
      <c r="BK15" s="450"/>
      <c r="BL15" s="450"/>
      <c r="BM15" s="450"/>
      <c r="BN15" s="451"/>
      <c r="BO15" s="5"/>
      <c r="BP15" s="5"/>
      <c r="BQ15" s="5"/>
      <c r="BR15" s="5"/>
      <c r="BS15" s="5"/>
      <c r="BT15" s="5"/>
    </row>
    <row r="16" spans="1:72" ht="20.100000000000001" customHeight="1">
      <c r="A16" s="5"/>
      <c r="B16" s="5"/>
      <c r="C16" s="5"/>
      <c r="D16" s="45" t="str">
        <f>IF(Values!E28&lt;&gt;0,Values!E28,"")</f>
        <v/>
      </c>
      <c r="E16" s="5"/>
      <c r="F16" s="405" t="str">
        <f>Values!B28</f>
        <v>Brawl</v>
      </c>
      <c r="G16" s="405"/>
      <c r="H16" s="405"/>
      <c r="I16" s="405"/>
      <c r="J16" s="405"/>
      <c r="K16" s="401" t="str">
        <f>VLOOKUP(Values!$S28,Points!$A$1:$B$11,2,0)</f>
        <v>○○○○○</v>
      </c>
      <c r="L16" s="401"/>
      <c r="M16" s="401"/>
      <c r="N16" s="5"/>
      <c r="O16" s="63"/>
      <c r="P16" s="414" t="str">
        <f>IF(ISBLANK(O16),IF(Values!F64&lt;&gt;0,Values!F64,""),O16)</f>
        <v/>
      </c>
      <c r="Q16" s="414"/>
      <c r="R16" s="414"/>
      <c r="S16" s="414"/>
      <c r="T16" s="414"/>
      <c r="U16" s="63"/>
      <c r="V16" s="414" t="str">
        <f>IF(ISBLANK(U16),IF(Creation_1!V16&lt;&gt;0,Creation_1!V16,""),U16)</f>
        <v/>
      </c>
      <c r="W16" s="414"/>
      <c r="X16" s="414"/>
      <c r="Y16" s="414"/>
      <c r="Z16" s="414"/>
      <c r="AA16" s="414"/>
      <c r="AB16" s="414"/>
      <c r="AC16" s="414"/>
      <c r="AD16" s="414"/>
      <c r="AE16" s="414"/>
      <c r="AF16" s="414"/>
      <c r="AG16" s="5"/>
      <c r="AH16" s="409" t="str">
        <f>IF(Creation_1!AH16&lt;&gt;0,Creation_1!AH16,"")</f>
        <v/>
      </c>
      <c r="AI16" s="409"/>
      <c r="AJ16" s="409"/>
      <c r="AK16" s="409"/>
      <c r="AL16" s="409"/>
      <c r="AM16" s="409"/>
      <c r="AN16" s="409"/>
      <c r="AO16" s="409"/>
      <c r="AP16" s="409"/>
      <c r="AQ16" s="409"/>
      <c r="AR16" s="63"/>
      <c r="AS16" s="384" t="str">
        <f>IF(ISBLANK(AR16),IF(Creation_1!AS16&lt;&gt;0,Creation_1!AS16,""),AR16)</f>
        <v/>
      </c>
      <c r="AT16" s="384"/>
      <c r="AU16" s="84">
        <f ca="1">IFERROR(IF(AND(SUM(INDIRECT("Merits!A"&amp;MATCH(AH16,Merits!A:A,0)&amp;":F"&amp;MATCH(AH16,Merits!A:A,0)))=0,Values!G76=0),1,COUNTIF(INDIRECT("Merits!A"&amp;MATCH(AH16,Merits!A:A,0)&amp;":F"&amp;MATCH(AH16,Merits!A:A,0)),Values!S76)),1)</f>
        <v>1</v>
      </c>
      <c r="AV16" s="5"/>
      <c r="AW16" s="401" t="str">
        <f>VLOOKUP(Values!$S76,Points!$A$1:$B$11,2,0)</f>
        <v>○○○○○</v>
      </c>
      <c r="AX16" s="401"/>
      <c r="AY16" s="408"/>
      <c r="AZ16" s="5"/>
      <c r="BA16" s="54"/>
      <c r="BB16" s="449"/>
      <c r="BC16" s="450"/>
      <c r="BD16" s="450"/>
      <c r="BE16" s="450"/>
      <c r="BF16" s="450"/>
      <c r="BG16" s="450"/>
      <c r="BH16" s="450"/>
      <c r="BI16" s="450"/>
      <c r="BJ16" s="450"/>
      <c r="BK16" s="450"/>
      <c r="BL16" s="450"/>
      <c r="BM16" s="450"/>
      <c r="BN16" s="451"/>
      <c r="BO16" s="5"/>
      <c r="BP16" s="5"/>
      <c r="BQ16" s="5"/>
      <c r="BR16" s="5"/>
      <c r="BS16" s="5"/>
      <c r="BT16" s="5"/>
    </row>
    <row r="17" spans="1:72" ht="20.100000000000001" customHeight="1">
      <c r="A17" s="5"/>
      <c r="B17" s="5"/>
      <c r="C17" s="5"/>
      <c r="D17" s="45" t="str">
        <f>IF(Values!E29&lt;&gt;0,Values!E29,"")</f>
        <v/>
      </c>
      <c r="E17" s="5"/>
      <c r="F17" s="405" t="str">
        <f>Values!B29</f>
        <v>Bureaucracy</v>
      </c>
      <c r="G17" s="405"/>
      <c r="H17" s="405"/>
      <c r="I17" s="405"/>
      <c r="J17" s="405"/>
      <c r="K17" s="401" t="str">
        <f>VLOOKUP(Values!$S29,Points!$A$1:$B$11,2,0)</f>
        <v>○○○○○</v>
      </c>
      <c r="L17" s="401"/>
      <c r="M17" s="401"/>
      <c r="N17" s="5"/>
      <c r="O17" s="63"/>
      <c r="P17" s="414" t="str">
        <f>IF(ISBLANK(O17),IF(Values!F65&lt;&gt;0,Values!F65,""),O17)</f>
        <v/>
      </c>
      <c r="Q17" s="414"/>
      <c r="R17" s="414"/>
      <c r="S17" s="414"/>
      <c r="T17" s="414"/>
      <c r="U17" s="63"/>
      <c r="V17" s="414" t="str">
        <f>IF(ISBLANK(U17),IF(Creation_1!V17&lt;&gt;0,Creation_1!V17,""),U17)</f>
        <v/>
      </c>
      <c r="W17" s="414"/>
      <c r="X17" s="414"/>
      <c r="Y17" s="414"/>
      <c r="Z17" s="414"/>
      <c r="AA17" s="414"/>
      <c r="AB17" s="414"/>
      <c r="AC17" s="414"/>
      <c r="AD17" s="414"/>
      <c r="AE17" s="414"/>
      <c r="AF17" s="414"/>
      <c r="AG17" s="5"/>
      <c r="AH17" s="409" t="str">
        <f>IF(Creation_1!AH17&lt;&gt;0,Creation_1!AH17,"")</f>
        <v/>
      </c>
      <c r="AI17" s="409"/>
      <c r="AJ17" s="409"/>
      <c r="AK17" s="409"/>
      <c r="AL17" s="409"/>
      <c r="AM17" s="409"/>
      <c r="AN17" s="409"/>
      <c r="AO17" s="409"/>
      <c r="AP17" s="409"/>
      <c r="AQ17" s="409"/>
      <c r="AR17" s="63"/>
      <c r="AS17" s="384" t="str">
        <f>IF(ISBLANK(AR17),IF(Creation_1!AS17&lt;&gt;0,Creation_1!AS17,""),AR17)</f>
        <v/>
      </c>
      <c r="AT17" s="384"/>
      <c r="AU17" s="84">
        <f ca="1">IFERROR(IF(AND(SUM(INDIRECT("Merits!A"&amp;MATCH(AH17,Merits!A:A,0)&amp;":F"&amp;MATCH(AH17,Merits!A:A,0)))=0,Values!G77=0),1,COUNTIF(INDIRECT("Merits!A"&amp;MATCH(AH17,Merits!A:A,0)&amp;":F"&amp;MATCH(AH17,Merits!A:A,0)),Values!S77)),1)</f>
        <v>1</v>
      </c>
      <c r="AV17" s="5"/>
      <c r="AW17" s="401" t="str">
        <f>VLOOKUP(Values!$S77,Points!$A$1:$B$11,2,0)</f>
        <v>○○○○○</v>
      </c>
      <c r="AX17" s="401"/>
      <c r="AY17" s="408"/>
      <c r="AZ17" s="5"/>
      <c r="BA17" s="54"/>
      <c r="BB17" s="449"/>
      <c r="BC17" s="450"/>
      <c r="BD17" s="450"/>
      <c r="BE17" s="450"/>
      <c r="BF17" s="450"/>
      <c r="BG17" s="450"/>
      <c r="BH17" s="450"/>
      <c r="BI17" s="450"/>
      <c r="BJ17" s="450"/>
      <c r="BK17" s="450"/>
      <c r="BL17" s="450"/>
      <c r="BM17" s="450"/>
      <c r="BN17" s="451"/>
      <c r="BO17" s="5"/>
      <c r="BP17" s="5"/>
      <c r="BQ17" s="5"/>
      <c r="BR17" s="5"/>
      <c r="BS17" s="5"/>
      <c r="BT17" s="5"/>
    </row>
    <row r="18" spans="1:72" ht="20.100000000000001" customHeight="1">
      <c r="A18" s="5"/>
      <c r="B18" s="5"/>
      <c r="C18" s="5"/>
      <c r="D18" s="45" t="str">
        <f>IF(Values!E30&lt;&gt;0,Values!E30,"")</f>
        <v/>
      </c>
      <c r="E18" s="5"/>
      <c r="F18" s="5" t="str">
        <f>Values!B30</f>
        <v>Craft</v>
      </c>
      <c r="G18" s="5"/>
      <c r="H18" s="382" t="str">
        <f>IF(ISBLANK(Creation_1!H18),"",Creation_1!H18)</f>
        <v/>
      </c>
      <c r="I18" s="382"/>
      <c r="J18" s="382"/>
      <c r="K18" s="401" t="str">
        <f>VLOOKUP(Values!$S30,Points!$A$1:$B$11,2,0)</f>
        <v>○○○○○</v>
      </c>
      <c r="L18" s="401"/>
      <c r="M18" s="401"/>
      <c r="N18" s="5"/>
      <c r="O18" s="63"/>
      <c r="P18" s="414" t="str">
        <f>IF(ISBLANK(O18),IF(Values!F66&lt;&gt;0,Values!F66,""),O18)</f>
        <v/>
      </c>
      <c r="Q18" s="414"/>
      <c r="R18" s="414"/>
      <c r="S18" s="414"/>
      <c r="T18" s="414"/>
      <c r="U18" s="63"/>
      <c r="V18" s="414" t="str">
        <f>IF(ISBLANK(U18),IF(Creation_1!V18&lt;&gt;0,Creation_1!V18,""),U18)</f>
        <v/>
      </c>
      <c r="W18" s="414"/>
      <c r="X18" s="414"/>
      <c r="Y18" s="414"/>
      <c r="Z18" s="414"/>
      <c r="AA18" s="414"/>
      <c r="AB18" s="414"/>
      <c r="AC18" s="414"/>
      <c r="AD18" s="414"/>
      <c r="AE18" s="414"/>
      <c r="AF18" s="414"/>
      <c r="AG18" s="5"/>
      <c r="AH18" s="409" t="str">
        <f>IF(Creation_1!AH18&lt;&gt;0,Creation_1!AH18,"")</f>
        <v/>
      </c>
      <c r="AI18" s="409"/>
      <c r="AJ18" s="409"/>
      <c r="AK18" s="409"/>
      <c r="AL18" s="409"/>
      <c r="AM18" s="409"/>
      <c r="AN18" s="409"/>
      <c r="AO18" s="409"/>
      <c r="AP18" s="409"/>
      <c r="AQ18" s="409"/>
      <c r="AR18" s="63"/>
      <c r="AS18" s="384" t="str">
        <f>IF(ISBLANK(AR18),IF(Creation_1!AS18&lt;&gt;0,Creation_1!AS18,""),AR18)</f>
        <v/>
      </c>
      <c r="AT18" s="384"/>
      <c r="AU18" s="84">
        <f ca="1">IFERROR(IF(AND(SUM(INDIRECT("Merits!A"&amp;MATCH(AH18,Merits!A:A,0)&amp;":F"&amp;MATCH(AH18,Merits!A:A,0)))=0,Values!G78=0),1,COUNTIF(INDIRECT("Merits!A"&amp;MATCH(AH18,Merits!A:A,0)&amp;":F"&amp;MATCH(AH18,Merits!A:A,0)),Values!S78)),1)</f>
        <v>1</v>
      </c>
      <c r="AV18" s="5"/>
      <c r="AW18" s="401" t="str">
        <f>VLOOKUP(Values!$S78,Points!$A$1:$B$11,2,0)</f>
        <v>○○○○○</v>
      </c>
      <c r="AX18" s="401"/>
      <c r="AY18" s="408"/>
      <c r="AZ18" s="5"/>
      <c r="BA18" s="54"/>
      <c r="BB18" s="449"/>
      <c r="BC18" s="450"/>
      <c r="BD18" s="450"/>
      <c r="BE18" s="450"/>
      <c r="BF18" s="450"/>
      <c r="BG18" s="450"/>
      <c r="BH18" s="450"/>
      <c r="BI18" s="450"/>
      <c r="BJ18" s="450"/>
      <c r="BK18" s="450"/>
      <c r="BL18" s="450"/>
      <c r="BM18" s="450"/>
      <c r="BN18" s="451"/>
      <c r="BO18" s="5"/>
      <c r="BP18" s="5"/>
      <c r="BQ18" s="5"/>
      <c r="BR18" s="5"/>
      <c r="BS18" s="5"/>
      <c r="BT18" s="5"/>
    </row>
    <row r="19" spans="1:72" ht="20.100000000000001" customHeight="1">
      <c r="A19" s="5"/>
      <c r="B19" s="5"/>
      <c r="C19" s="5"/>
      <c r="D19" s="45" t="str">
        <f>IF(Values!E31&lt;&gt;0,Values!E31,"")</f>
        <v/>
      </c>
      <c r="E19" s="5"/>
      <c r="F19" s="405" t="str">
        <f>Values!B31</f>
        <v>Dodge</v>
      </c>
      <c r="G19" s="405"/>
      <c r="H19" s="405"/>
      <c r="I19" s="405"/>
      <c r="J19" s="405"/>
      <c r="K19" s="401" t="str">
        <f>VLOOKUP(Values!$S31,Points!$A$1:$B$11,2,0)</f>
        <v>○○○○○</v>
      </c>
      <c r="L19" s="401"/>
      <c r="M19" s="401"/>
      <c r="N19" s="5"/>
      <c r="O19" s="63"/>
      <c r="P19" s="414" t="str">
        <f>IF(ISBLANK(O19),IF(Values!F67&lt;&gt;0,Values!F67,""),O19)</f>
        <v/>
      </c>
      <c r="Q19" s="414"/>
      <c r="R19" s="414"/>
      <c r="S19" s="414"/>
      <c r="T19" s="414"/>
      <c r="U19" s="63"/>
      <c r="V19" s="414" t="str">
        <f>IF(ISBLANK(U19),IF(Creation_1!V19&lt;&gt;0,Creation_1!V19,""),U19)</f>
        <v/>
      </c>
      <c r="W19" s="414"/>
      <c r="X19" s="414"/>
      <c r="Y19" s="414"/>
      <c r="Z19" s="414"/>
      <c r="AA19" s="414"/>
      <c r="AB19" s="414"/>
      <c r="AC19" s="414"/>
      <c r="AD19" s="414"/>
      <c r="AE19" s="414"/>
      <c r="AF19" s="414"/>
      <c r="AG19" s="5"/>
      <c r="AH19" s="409" t="str">
        <f>IF(Creation_1!AH19&lt;&gt;0,Creation_1!AH19,"")</f>
        <v/>
      </c>
      <c r="AI19" s="409"/>
      <c r="AJ19" s="409"/>
      <c r="AK19" s="409"/>
      <c r="AL19" s="409"/>
      <c r="AM19" s="409"/>
      <c r="AN19" s="409"/>
      <c r="AO19" s="409"/>
      <c r="AP19" s="409"/>
      <c r="AQ19" s="409"/>
      <c r="AR19" s="63"/>
      <c r="AS19" s="384" t="str">
        <f>IF(ISBLANK(AR19),IF(Creation_1!AS19&lt;&gt;0,Creation_1!AS19,""),AR19)</f>
        <v/>
      </c>
      <c r="AT19" s="384"/>
      <c r="AU19" s="84">
        <f ca="1">IFERROR(IF(AND(SUM(INDIRECT("Merits!A"&amp;MATCH(AH19,Merits!A:A,0)&amp;":F"&amp;MATCH(AH19,Merits!A:A,0)))=0,Values!G79=0),1,COUNTIF(INDIRECT("Merits!A"&amp;MATCH(AH19,Merits!A:A,0)&amp;":F"&amp;MATCH(AH19,Merits!A:A,0)),Values!S79)),1)</f>
        <v>1</v>
      </c>
      <c r="AV19" s="5"/>
      <c r="AW19" s="401" t="str">
        <f>VLOOKUP(Values!$S79,Points!$A$1:$B$11,2,0)</f>
        <v>○○○○○</v>
      </c>
      <c r="AX19" s="401"/>
      <c r="AY19" s="408"/>
      <c r="AZ19" s="5"/>
      <c r="BA19" s="54"/>
      <c r="BB19" s="449"/>
      <c r="BC19" s="450"/>
      <c r="BD19" s="450"/>
      <c r="BE19" s="450"/>
      <c r="BF19" s="450"/>
      <c r="BG19" s="450"/>
      <c r="BH19" s="450"/>
      <c r="BI19" s="450"/>
      <c r="BJ19" s="450"/>
      <c r="BK19" s="450"/>
      <c r="BL19" s="450"/>
      <c r="BM19" s="450"/>
      <c r="BN19" s="451"/>
      <c r="BO19" s="5"/>
      <c r="BP19" s="5"/>
      <c r="BQ19" s="5"/>
      <c r="BR19" s="5"/>
      <c r="BS19" s="5"/>
      <c r="BT19" s="5"/>
    </row>
    <row r="20" spans="1:72" ht="20.100000000000001" customHeight="1">
      <c r="A20" s="5"/>
      <c r="B20" s="5"/>
      <c r="C20" s="5"/>
      <c r="D20" s="45" t="str">
        <f>IF(Values!E32&lt;&gt;0,Values!E32,"")</f>
        <v/>
      </c>
      <c r="E20" s="5"/>
      <c r="F20" s="405" t="str">
        <f>Values!B32</f>
        <v>Integrity</v>
      </c>
      <c r="G20" s="405"/>
      <c r="H20" s="405"/>
      <c r="I20" s="405"/>
      <c r="J20" s="405"/>
      <c r="K20" s="401" t="str">
        <f>VLOOKUP(Values!$S32,Points!$A$1:$B$11,2,0)</f>
        <v>○○○○○</v>
      </c>
      <c r="L20" s="401"/>
      <c r="M20" s="401"/>
      <c r="N20" s="5"/>
      <c r="O20" s="63"/>
      <c r="P20" s="414" t="str">
        <f>IF(ISBLANK(O20),IF(Values!F68&lt;&gt;0,Values!F68,""),O20)</f>
        <v/>
      </c>
      <c r="Q20" s="414"/>
      <c r="R20" s="414"/>
      <c r="S20" s="414"/>
      <c r="T20" s="414"/>
      <c r="U20" s="63"/>
      <c r="V20" s="414" t="str">
        <f>IF(ISBLANK(U20),IF(Creation_1!V20&lt;&gt;0,Creation_1!V20,""),U20)</f>
        <v/>
      </c>
      <c r="W20" s="414"/>
      <c r="X20" s="414"/>
      <c r="Y20" s="414"/>
      <c r="Z20" s="414"/>
      <c r="AA20" s="414"/>
      <c r="AB20" s="414"/>
      <c r="AC20" s="414"/>
      <c r="AD20" s="414"/>
      <c r="AE20" s="414"/>
      <c r="AF20" s="414"/>
      <c r="AG20" s="5"/>
      <c r="AH20" s="409" t="str">
        <f>IF(Creation_1!AH20&lt;&gt;0,Creation_1!AH20,"")</f>
        <v/>
      </c>
      <c r="AI20" s="409"/>
      <c r="AJ20" s="409"/>
      <c r="AK20" s="409"/>
      <c r="AL20" s="409"/>
      <c r="AM20" s="409"/>
      <c r="AN20" s="409"/>
      <c r="AO20" s="409"/>
      <c r="AP20" s="409"/>
      <c r="AQ20" s="409"/>
      <c r="AR20" s="63"/>
      <c r="AS20" s="384" t="str">
        <f>IF(ISBLANK(AR20),IF(Creation_1!AS20&lt;&gt;0,Creation_1!AS20,""),AR20)</f>
        <v/>
      </c>
      <c r="AT20" s="384"/>
      <c r="AU20" s="84">
        <f ca="1">IFERROR(IF(AND(SUM(INDIRECT("Merits!A"&amp;MATCH(AH20,Merits!A:A,0)&amp;":F"&amp;MATCH(AH20,Merits!A:A,0)))=0,Values!G80=0),1,COUNTIF(INDIRECT("Merits!A"&amp;MATCH(AH20,Merits!A:A,0)&amp;":F"&amp;MATCH(AH20,Merits!A:A,0)),Values!S80)),1)</f>
        <v>1</v>
      </c>
      <c r="AV20" s="5"/>
      <c r="AW20" s="401" t="str">
        <f>VLOOKUP(Values!$S80,Points!$A$1:$B$11,2,0)</f>
        <v>○○○○○</v>
      </c>
      <c r="AX20" s="401"/>
      <c r="AY20" s="408"/>
      <c r="AZ20" s="5"/>
      <c r="BA20" s="54"/>
      <c r="BB20" s="449"/>
      <c r="BC20" s="450"/>
      <c r="BD20" s="450"/>
      <c r="BE20" s="450"/>
      <c r="BF20" s="450"/>
      <c r="BG20" s="450"/>
      <c r="BH20" s="450"/>
      <c r="BI20" s="450"/>
      <c r="BJ20" s="450"/>
      <c r="BK20" s="450"/>
      <c r="BL20" s="450"/>
      <c r="BM20" s="450"/>
      <c r="BN20" s="451"/>
      <c r="BO20" s="5"/>
      <c r="BP20" s="5"/>
      <c r="BQ20" s="5"/>
      <c r="BR20" s="5"/>
      <c r="BS20" s="5"/>
      <c r="BT20" s="5"/>
    </row>
    <row r="21" spans="1:72" ht="20.100000000000001" customHeight="1">
      <c r="A21" s="5"/>
      <c r="B21" s="5"/>
      <c r="C21" s="5"/>
      <c r="D21" s="45" t="str">
        <f>IF(Values!E33&lt;&gt;0,Values!E33,"")</f>
        <v/>
      </c>
      <c r="E21" s="5"/>
      <c r="F21" s="405" t="str">
        <f>Values!B33</f>
        <v>Investigation</v>
      </c>
      <c r="G21" s="405"/>
      <c r="H21" s="405"/>
      <c r="I21" s="405"/>
      <c r="J21" s="405"/>
      <c r="K21" s="401" t="str">
        <f>VLOOKUP(Values!$S33,Points!$A$1:$B$11,2,0)</f>
        <v>○○○○○</v>
      </c>
      <c r="L21" s="401"/>
      <c r="M21" s="401"/>
      <c r="N21" s="5"/>
      <c r="O21" s="63"/>
      <c r="P21" s="414" t="str">
        <f>IF(ISBLANK(O21),IF(Values!F69&lt;&gt;0,Values!F69,""),O21)</f>
        <v/>
      </c>
      <c r="Q21" s="414"/>
      <c r="R21" s="414"/>
      <c r="S21" s="414"/>
      <c r="T21" s="414"/>
      <c r="U21" s="63"/>
      <c r="V21" s="414" t="str">
        <f>IF(ISBLANK(U21),IF(Creation_1!V21&lt;&gt;0,Creation_1!V21,""),U21)</f>
        <v/>
      </c>
      <c r="W21" s="414"/>
      <c r="X21" s="414"/>
      <c r="Y21" s="414"/>
      <c r="Z21" s="414"/>
      <c r="AA21" s="414"/>
      <c r="AB21" s="414"/>
      <c r="AC21" s="414"/>
      <c r="AD21" s="414"/>
      <c r="AE21" s="414"/>
      <c r="AF21" s="414"/>
      <c r="AG21" s="5"/>
      <c r="AH21" s="409" t="str">
        <f>IF(Creation_1!AH21&lt;&gt;0,Creation_1!AH21,"")</f>
        <v/>
      </c>
      <c r="AI21" s="409"/>
      <c r="AJ21" s="409"/>
      <c r="AK21" s="409"/>
      <c r="AL21" s="409"/>
      <c r="AM21" s="409"/>
      <c r="AN21" s="409"/>
      <c r="AO21" s="409"/>
      <c r="AP21" s="409"/>
      <c r="AQ21" s="409"/>
      <c r="AR21" s="63"/>
      <c r="AS21" s="384" t="str">
        <f>IF(ISBLANK(AR21),IF(Creation_1!AS21&lt;&gt;0,Creation_1!AS21,""),AR21)</f>
        <v/>
      </c>
      <c r="AT21" s="384"/>
      <c r="AU21" s="84">
        <f ca="1">IFERROR(IF(AND(SUM(INDIRECT("Merits!A"&amp;MATCH(AH21,Merits!A:A,0)&amp;":F"&amp;MATCH(AH21,Merits!A:A,0)))=0,Values!G81=0),1,COUNTIF(INDIRECT("Merits!A"&amp;MATCH(AH21,Merits!A:A,0)&amp;":F"&amp;MATCH(AH21,Merits!A:A,0)),Values!S81)),1)</f>
        <v>1</v>
      </c>
      <c r="AV21" s="5"/>
      <c r="AW21" s="401" t="str">
        <f>VLOOKUP(Values!$S81,Points!$A$1:$B$11,2,0)</f>
        <v>○○○○○</v>
      </c>
      <c r="AX21" s="401"/>
      <c r="AY21" s="408"/>
      <c r="AZ21" s="5"/>
      <c r="BA21" s="54"/>
      <c r="BB21" s="449"/>
      <c r="BC21" s="450"/>
      <c r="BD21" s="450"/>
      <c r="BE21" s="450"/>
      <c r="BF21" s="450"/>
      <c r="BG21" s="450"/>
      <c r="BH21" s="450"/>
      <c r="BI21" s="450"/>
      <c r="BJ21" s="450"/>
      <c r="BK21" s="450"/>
      <c r="BL21" s="450"/>
      <c r="BM21" s="450"/>
      <c r="BN21" s="451"/>
      <c r="BO21" s="5"/>
      <c r="BP21" s="5"/>
      <c r="BQ21" s="5"/>
      <c r="BR21" s="5"/>
      <c r="BS21" s="5"/>
      <c r="BT21" s="5"/>
    </row>
    <row r="22" spans="1:72" ht="20.100000000000001" customHeight="1">
      <c r="A22" s="5"/>
      <c r="B22" s="5"/>
      <c r="C22" s="5"/>
      <c r="D22" s="45" t="str">
        <f>IF(Values!E34&lt;&gt;0,Values!E34,"")</f>
        <v/>
      </c>
      <c r="E22" s="5"/>
      <c r="F22" s="405" t="str">
        <f>Values!B34</f>
        <v>Larceny</v>
      </c>
      <c r="G22" s="405"/>
      <c r="H22" s="405"/>
      <c r="I22" s="405"/>
      <c r="J22" s="405"/>
      <c r="K22" s="401" t="str">
        <f>VLOOKUP(Values!$S34,Points!$A$1:$B$11,2,0)</f>
        <v>○○○○○</v>
      </c>
      <c r="L22" s="401"/>
      <c r="M22" s="401"/>
      <c r="N22" s="5"/>
      <c r="O22" s="63"/>
      <c r="P22" s="414" t="str">
        <f>IF(ISBLANK(O22),IF(Values!F70&lt;&gt;0,Values!F70,""),O22)</f>
        <v/>
      </c>
      <c r="Q22" s="414"/>
      <c r="R22" s="414"/>
      <c r="S22" s="414"/>
      <c r="T22" s="414"/>
      <c r="U22" s="63"/>
      <c r="V22" s="414" t="str">
        <f>IF(ISBLANK(U22),IF(Creation_1!V22&lt;&gt;0,Creation_1!V22,""),U22)</f>
        <v/>
      </c>
      <c r="W22" s="414"/>
      <c r="X22" s="414"/>
      <c r="Y22" s="414"/>
      <c r="Z22" s="414"/>
      <c r="AA22" s="414"/>
      <c r="AB22" s="414"/>
      <c r="AC22" s="414"/>
      <c r="AD22" s="414"/>
      <c r="AE22" s="414"/>
      <c r="AF22" s="414"/>
      <c r="AG22" s="5"/>
      <c r="AH22" s="409" t="str">
        <f>IF(Creation_1!AH22&lt;&gt;0,Creation_1!AH22,"")</f>
        <v/>
      </c>
      <c r="AI22" s="409"/>
      <c r="AJ22" s="409"/>
      <c r="AK22" s="409"/>
      <c r="AL22" s="409"/>
      <c r="AM22" s="409"/>
      <c r="AN22" s="409"/>
      <c r="AO22" s="409"/>
      <c r="AP22" s="409"/>
      <c r="AQ22" s="409"/>
      <c r="AR22" s="63"/>
      <c r="AS22" s="384" t="str">
        <f>IF(ISBLANK(AR22),IF(Creation_1!AS22&lt;&gt;0,Creation_1!AS22,""),AR22)</f>
        <v/>
      </c>
      <c r="AT22" s="384"/>
      <c r="AU22" s="84">
        <f ca="1">IFERROR(IF(AND(SUM(INDIRECT("Merits!A"&amp;MATCH(AH22,Merits!A:A,0)&amp;":F"&amp;MATCH(AH22,Merits!A:A,0)))=0,Values!G82=0),1,COUNTIF(INDIRECT("Merits!A"&amp;MATCH(AH22,Merits!A:A,0)&amp;":F"&amp;MATCH(AH22,Merits!A:A,0)),Values!S82)),1)</f>
        <v>1</v>
      </c>
      <c r="AV22" s="5"/>
      <c r="AW22" s="401" t="str">
        <f>VLOOKUP(Values!$S82,Points!$A$1:$B$11,2,0)</f>
        <v>○○○○○</v>
      </c>
      <c r="AX22" s="401"/>
      <c r="AY22" s="408"/>
      <c r="AZ22" s="5"/>
      <c r="BA22" s="54"/>
      <c r="BB22" s="452"/>
      <c r="BC22" s="453"/>
      <c r="BD22" s="453"/>
      <c r="BE22" s="453"/>
      <c r="BF22" s="453"/>
      <c r="BG22" s="453"/>
      <c r="BH22" s="453"/>
      <c r="BI22" s="453"/>
      <c r="BJ22" s="453"/>
      <c r="BK22" s="453"/>
      <c r="BL22" s="453"/>
      <c r="BM22" s="453"/>
      <c r="BN22" s="454"/>
      <c r="BO22" s="5"/>
      <c r="BP22" s="5"/>
      <c r="BQ22" s="5"/>
      <c r="BR22" s="5"/>
      <c r="BS22" s="5"/>
      <c r="BT22" s="5"/>
    </row>
    <row r="23" spans="1:72" ht="20.100000000000001" customHeight="1" thickBot="1">
      <c r="A23" s="5"/>
      <c r="B23" s="5"/>
      <c r="C23" s="5"/>
      <c r="D23" s="45" t="str">
        <f>IF(Values!E35&lt;&gt;0,Values!E35,"")</f>
        <v/>
      </c>
      <c r="E23" s="5"/>
      <c r="F23" s="405" t="str">
        <f>Values!B35</f>
        <v>Linguistics</v>
      </c>
      <c r="G23" s="405"/>
      <c r="H23" s="405"/>
      <c r="I23" s="405"/>
      <c r="J23" s="405"/>
      <c r="K23" s="401" t="str">
        <f>VLOOKUP(Values!$S35,Points!$A$1:$B$11,2,0)</f>
        <v>○○○○○</v>
      </c>
      <c r="L23" s="401"/>
      <c r="M23" s="401"/>
      <c r="N23" s="5"/>
      <c r="O23" s="5"/>
      <c r="P23" s="415" t="s">
        <v>3511</v>
      </c>
      <c r="Q23" s="385"/>
      <c r="R23" s="385"/>
      <c r="S23" s="385"/>
      <c r="T23" s="385"/>
      <c r="U23" s="385"/>
      <c r="V23" s="385"/>
      <c r="W23" s="37"/>
      <c r="X23" s="5"/>
      <c r="Y23" s="5"/>
      <c r="Z23" s="413" t="s">
        <v>32</v>
      </c>
      <c r="AA23" s="413"/>
      <c r="AB23" s="413"/>
      <c r="AC23" s="413"/>
      <c r="AD23" s="413"/>
      <c r="AE23" s="413"/>
      <c r="AF23" s="5"/>
      <c r="AG23" s="5"/>
      <c r="AH23" s="409" t="str">
        <f>IF(Creation_1!AH23&lt;&gt;0,Creation_1!AH23,"")</f>
        <v/>
      </c>
      <c r="AI23" s="409"/>
      <c r="AJ23" s="409"/>
      <c r="AK23" s="409"/>
      <c r="AL23" s="409"/>
      <c r="AM23" s="409"/>
      <c r="AN23" s="409"/>
      <c r="AO23" s="409"/>
      <c r="AP23" s="409"/>
      <c r="AQ23" s="409"/>
      <c r="AR23" s="63"/>
      <c r="AS23" s="384" t="str">
        <f>IF(ISBLANK(AR23),IF(Creation_1!AS23&lt;&gt;0,Creation_1!AS23,""),AR23)</f>
        <v/>
      </c>
      <c r="AT23" s="384"/>
      <c r="AU23" s="84">
        <f ca="1">IFERROR(IF(AND(SUM(INDIRECT("Merits!A"&amp;MATCH(AH23,Merits!A:A,0)&amp;":F"&amp;MATCH(AH23,Merits!A:A,0)))=0,Values!G83=0),1,COUNTIF(INDIRECT("Merits!A"&amp;MATCH(AH23,Merits!A:A,0)&amp;":F"&amp;MATCH(AH23,Merits!A:A,0)),Values!S83)),1)</f>
        <v>1</v>
      </c>
      <c r="AV23" s="5"/>
      <c r="AW23" s="401" t="str">
        <f>VLOOKUP(Values!$S83,Points!$A$1:$B$11,2,0)</f>
        <v>○○○○○</v>
      </c>
      <c r="AX23" s="401"/>
      <c r="AY23" s="408"/>
      <c r="AZ23" s="5"/>
      <c r="BA23" s="56"/>
      <c r="BB23" s="57"/>
      <c r="BC23" s="57"/>
      <c r="BD23" s="57"/>
      <c r="BE23" s="57"/>
      <c r="BF23" s="57"/>
      <c r="BG23" s="57"/>
      <c r="BH23" s="57"/>
      <c r="BI23" s="57"/>
      <c r="BJ23" s="57"/>
      <c r="BK23" s="57"/>
      <c r="BL23" s="57"/>
      <c r="BM23" s="57"/>
      <c r="BN23" s="58"/>
      <c r="BO23" s="5"/>
      <c r="BP23" s="5"/>
      <c r="BQ23" s="5"/>
      <c r="BR23" s="5"/>
      <c r="BS23" s="5"/>
      <c r="BT23" s="5"/>
    </row>
    <row r="24" spans="1:72" ht="20.100000000000001" customHeight="1">
      <c r="A24" s="5"/>
      <c r="B24" s="5"/>
      <c r="C24" s="5"/>
      <c r="D24" s="45" t="str">
        <f>IF(Values!E36&lt;&gt;0,Values!E36,"")</f>
        <v/>
      </c>
      <c r="E24" s="5"/>
      <c r="F24" s="405" t="str">
        <f>Values!B36</f>
        <v>Lore</v>
      </c>
      <c r="G24" s="405"/>
      <c r="H24" s="405"/>
      <c r="I24" s="405"/>
      <c r="J24" s="405"/>
      <c r="K24" s="401" t="str">
        <f>VLOOKUP(Values!$S36,Points!$A$1:$B$11,2,0)</f>
        <v>○○○○○</v>
      </c>
      <c r="L24" s="401"/>
      <c r="M24" s="401"/>
      <c r="N24" s="5"/>
      <c r="O24" s="5"/>
      <c r="P24" s="385"/>
      <c r="Q24" s="385"/>
      <c r="R24" s="385"/>
      <c r="S24" s="385"/>
      <c r="T24" s="385"/>
      <c r="U24" s="385"/>
      <c r="V24" s="385"/>
      <c r="W24" s="37"/>
      <c r="X24" s="34"/>
      <c r="Y24" s="5"/>
      <c r="Z24" s="385"/>
      <c r="AA24" s="385"/>
      <c r="AB24" s="385"/>
      <c r="AC24" s="385"/>
      <c r="AD24" s="385"/>
      <c r="AE24" s="385"/>
      <c r="AF24" s="5"/>
      <c r="AG24" s="5"/>
      <c r="AH24" s="409" t="str">
        <f>IF(Creation_1!AH24&lt;&gt;0,Creation_1!AH24,"")</f>
        <v/>
      </c>
      <c r="AI24" s="409"/>
      <c r="AJ24" s="409"/>
      <c r="AK24" s="409"/>
      <c r="AL24" s="409"/>
      <c r="AM24" s="409"/>
      <c r="AN24" s="409"/>
      <c r="AO24" s="409"/>
      <c r="AP24" s="409"/>
      <c r="AQ24" s="409"/>
      <c r="AR24" s="63"/>
      <c r="AS24" s="384" t="str">
        <f>IF(ISBLANK(AR24),IF(Creation_1!AS24&lt;&gt;0,Creation_1!AS24,""),AR24)</f>
        <v/>
      </c>
      <c r="AT24" s="384"/>
      <c r="AU24" s="84">
        <f ca="1">IFERROR(IF(AND(SUM(INDIRECT("Merits!A"&amp;MATCH(AH24,Merits!A:A,0)&amp;":F"&amp;MATCH(AH24,Merits!A:A,0)))=0,Values!G84=0),1,COUNTIF(INDIRECT("Merits!A"&amp;MATCH(AH24,Merits!A:A,0)&amp;":F"&amp;MATCH(AH24,Merits!A:A,0)),Values!S84)),1)</f>
        <v>1</v>
      </c>
      <c r="AV24" s="5"/>
      <c r="AW24" s="401" t="str">
        <f>VLOOKUP(Values!$S84,Points!$A$1:$B$11,2,0)</f>
        <v>○○○○○</v>
      </c>
      <c r="AX24" s="401"/>
      <c r="AY24" s="408"/>
      <c r="AZ24" s="5"/>
      <c r="BA24" s="434" t="str">
        <f>$BA$8</f>
        <v>You must go back to Creation_1 to spend your Attributes points properly</v>
      </c>
      <c r="BB24" s="435"/>
      <c r="BC24" s="435"/>
      <c r="BD24" s="435"/>
      <c r="BE24" s="435"/>
      <c r="BF24" s="435"/>
      <c r="BG24" s="435"/>
      <c r="BH24" s="435"/>
      <c r="BI24" s="435"/>
      <c r="BJ24" s="435"/>
      <c r="BK24" s="435"/>
      <c r="BL24" s="435"/>
      <c r="BM24" s="435"/>
      <c r="BN24" s="436"/>
      <c r="BO24" s="5"/>
      <c r="BP24" s="5"/>
      <c r="BQ24" s="5"/>
      <c r="BR24" s="5"/>
      <c r="BS24" s="5"/>
      <c r="BT24" s="5"/>
    </row>
    <row r="25" spans="1:72" ht="20.100000000000001" customHeight="1" thickBot="1">
      <c r="A25" s="5"/>
      <c r="B25" s="5"/>
      <c r="C25" s="5"/>
      <c r="D25" s="45" t="str">
        <f>IF(Values!E37&lt;&gt;0,Values!E37,"")</f>
        <v/>
      </c>
      <c r="E25" s="5"/>
      <c r="F25" s="405" t="str">
        <f>Values!B37</f>
        <v>Martial Arts</v>
      </c>
      <c r="G25" s="405"/>
      <c r="H25" s="405"/>
      <c r="I25" s="405"/>
      <c r="J25" s="405"/>
      <c r="K25" s="401" t="str">
        <f>VLOOKUP(Values!$S37,Points!$A$1:$B$11,2,0)</f>
        <v>○○○○○</v>
      </c>
      <c r="L25" s="401"/>
      <c r="M25" s="401"/>
      <c r="N25" s="5"/>
      <c r="O25" s="5"/>
      <c r="P25" s="389" t="str">
        <f>IF(Creation_1!P25&lt;&gt;0,Creation_1!P25,"")</f>
        <v/>
      </c>
      <c r="Q25" s="389"/>
      <c r="R25" s="389"/>
      <c r="S25" s="389"/>
      <c r="T25" s="389"/>
      <c r="U25" s="389"/>
      <c r="V25" s="389"/>
      <c r="W25" s="5"/>
      <c r="X25" s="5"/>
      <c r="Y25" s="412" t="str">
        <f>VLOOKUP(Values!$S97,Points!$A$13:$B$23,2,0)</f>
        <v>● ● ● ● ● ○ ○ ○ ○ ○</v>
      </c>
      <c r="Z25" s="412"/>
      <c r="AA25" s="412"/>
      <c r="AB25" s="412"/>
      <c r="AC25" s="412"/>
      <c r="AD25" s="412"/>
      <c r="AE25" s="412"/>
      <c r="AF25" s="412"/>
      <c r="AG25" s="5"/>
      <c r="AH25" s="409" t="str">
        <f>IF(Creation_1!AH25&lt;&gt;0,Creation_1!AH25,"")</f>
        <v/>
      </c>
      <c r="AI25" s="409"/>
      <c r="AJ25" s="409"/>
      <c r="AK25" s="409"/>
      <c r="AL25" s="409"/>
      <c r="AM25" s="409"/>
      <c r="AN25" s="409"/>
      <c r="AO25" s="409"/>
      <c r="AP25" s="409"/>
      <c r="AQ25" s="409"/>
      <c r="AR25" s="63"/>
      <c r="AS25" s="384" t="str">
        <f>IF(ISBLANK(AR25),IF(Creation_1!AS25&lt;&gt;0,Creation_1!AS25,""),AR25)</f>
        <v/>
      </c>
      <c r="AT25" s="384"/>
      <c r="AU25" s="84">
        <f ca="1">IFERROR(IF(AND(SUM(INDIRECT("Merits!A"&amp;MATCH(AH25,Merits!A:A,0)&amp;":F"&amp;MATCH(AH25,Merits!A:A,0)))=0,Values!G85=0),1,COUNTIF(INDIRECT("Merits!A"&amp;MATCH(AH25,Merits!A:A,0)&amp;":F"&amp;MATCH(AH25,Merits!A:A,0)),Values!S85)),1)</f>
        <v>1</v>
      </c>
      <c r="AV25" s="5"/>
      <c r="AW25" s="401" t="str">
        <f>VLOOKUP(Values!$S85,Points!$A$1:$B$11,2,0)</f>
        <v>○○○○○</v>
      </c>
      <c r="AX25" s="401"/>
      <c r="AY25" s="408"/>
      <c r="AZ25" s="5"/>
      <c r="BA25" s="437"/>
      <c r="BB25" s="438"/>
      <c r="BC25" s="438"/>
      <c r="BD25" s="438"/>
      <c r="BE25" s="438"/>
      <c r="BF25" s="438"/>
      <c r="BG25" s="438"/>
      <c r="BH25" s="438"/>
      <c r="BI25" s="438"/>
      <c r="BJ25" s="438"/>
      <c r="BK25" s="438"/>
      <c r="BL25" s="438"/>
      <c r="BM25" s="438"/>
      <c r="BN25" s="439"/>
      <c r="BO25" s="5"/>
      <c r="BP25" s="5"/>
      <c r="BQ25" s="5"/>
      <c r="BR25" s="5"/>
      <c r="BS25" s="5"/>
      <c r="BT25" s="5"/>
    </row>
    <row r="26" spans="1:72" ht="20.100000000000001" customHeight="1" thickBot="1">
      <c r="A26" s="5"/>
      <c r="B26" s="5"/>
      <c r="C26" s="5"/>
      <c r="D26" s="45" t="str">
        <f>IF(Values!E38&lt;&gt;0,Values!E38,"")</f>
        <v/>
      </c>
      <c r="E26" s="5"/>
      <c r="F26" s="405" t="str">
        <f>Values!B38</f>
        <v>Medicine</v>
      </c>
      <c r="G26" s="405"/>
      <c r="H26" s="405"/>
      <c r="I26" s="405"/>
      <c r="J26" s="405"/>
      <c r="K26" s="401" t="str">
        <f>VLOOKUP(Values!$S38,Points!$A$1:$B$11,2,0)</f>
        <v>○○○○○</v>
      </c>
      <c r="L26" s="401"/>
      <c r="M26" s="401"/>
      <c r="N26" s="5"/>
      <c r="O26" s="5"/>
      <c r="P26" s="389" t="str">
        <f>IF(Creation_1!P26&lt;&gt;0,Creation_1!P26,"")</f>
        <v/>
      </c>
      <c r="Q26" s="389"/>
      <c r="R26" s="389"/>
      <c r="S26" s="389"/>
      <c r="T26" s="389"/>
      <c r="U26" s="389"/>
      <c r="V26" s="389"/>
      <c r="W26" s="5"/>
      <c r="X26" s="5"/>
      <c r="Y26" s="410" t="s">
        <v>36</v>
      </c>
      <c r="Z26" s="410"/>
      <c r="AA26" s="410"/>
      <c r="AB26" s="410"/>
      <c r="AC26" s="410"/>
      <c r="AD26" s="410"/>
      <c r="AE26" s="410"/>
      <c r="AF26" s="410"/>
      <c r="AG26" s="5"/>
      <c r="AH26" s="409" t="str">
        <f>IF(Creation_1!AH26&lt;&gt;0,Creation_1!AH26,"")</f>
        <v/>
      </c>
      <c r="AI26" s="409"/>
      <c r="AJ26" s="409"/>
      <c r="AK26" s="409"/>
      <c r="AL26" s="409"/>
      <c r="AM26" s="409"/>
      <c r="AN26" s="409"/>
      <c r="AO26" s="409"/>
      <c r="AP26" s="409"/>
      <c r="AQ26" s="409"/>
      <c r="AR26" s="63"/>
      <c r="AS26" s="384" t="str">
        <f>IF(ISBLANK(AR26),IF(Creation_1!AS26&lt;&gt;0,Creation_1!AS26,""),AR26)</f>
        <v/>
      </c>
      <c r="AT26" s="384"/>
      <c r="AU26" s="84">
        <f ca="1">IFERROR(IF(AND(SUM(INDIRECT("Merits!A"&amp;MATCH(AH26,Merits!A:A,0)&amp;":F"&amp;MATCH(AH26,Merits!A:A,0)))=0,Values!G86=0),1,COUNTIF(INDIRECT("Merits!A"&amp;MATCH(AH26,Merits!A:A,0)&amp;":F"&amp;MATCH(AH26,Merits!A:A,0)),Values!S86)),1)</f>
        <v>1</v>
      </c>
      <c r="AV26" s="5"/>
      <c r="AW26" s="401" t="str">
        <f>VLOOKUP(Values!$S86,Points!$A$1:$B$11,2,0)</f>
        <v>○○○○○</v>
      </c>
      <c r="AX26" s="401"/>
      <c r="AY26" s="408"/>
      <c r="AZ26" s="5"/>
      <c r="BA26" s="5"/>
      <c r="BB26" s="5"/>
      <c r="BC26" s="5"/>
      <c r="BD26" s="5"/>
      <c r="BE26" s="5"/>
      <c r="BF26" s="5"/>
      <c r="BG26" s="5"/>
      <c r="BH26" s="5"/>
      <c r="BI26" s="5"/>
      <c r="BJ26" s="5"/>
      <c r="BK26" s="5"/>
      <c r="BL26" s="5"/>
      <c r="BM26" s="5"/>
      <c r="BN26" s="5"/>
      <c r="BO26" s="5"/>
      <c r="BP26" s="5"/>
      <c r="BQ26" s="5"/>
      <c r="BR26" s="5"/>
      <c r="BS26" s="5"/>
      <c r="BT26" s="5"/>
    </row>
    <row r="27" spans="1:72" ht="20.100000000000001" customHeight="1">
      <c r="A27" s="5"/>
      <c r="B27" s="5"/>
      <c r="C27" s="5"/>
      <c r="D27" s="45" t="str">
        <f>IF(Values!E39&lt;&gt;0,Values!E39,"")</f>
        <v/>
      </c>
      <c r="E27" s="5"/>
      <c r="F27" s="405" t="str">
        <f>Values!B39</f>
        <v>Melee</v>
      </c>
      <c r="G27" s="405"/>
      <c r="H27" s="405"/>
      <c r="I27" s="405"/>
      <c r="J27" s="405"/>
      <c r="K27" s="401" t="str">
        <f>VLOOKUP(Values!$S39,Points!$A$1:$B$11,2,0)</f>
        <v>○○○○○</v>
      </c>
      <c r="L27" s="401"/>
      <c r="M27" s="401"/>
      <c r="N27" s="5"/>
      <c r="O27" s="5"/>
      <c r="P27" s="389" t="str">
        <f>IF(Creation_1!P27&lt;&gt;0,Creation_1!P27,"")</f>
        <v/>
      </c>
      <c r="Q27" s="389"/>
      <c r="R27" s="389"/>
      <c r="S27" s="389"/>
      <c r="T27" s="389"/>
      <c r="U27" s="389"/>
      <c r="V27" s="389"/>
      <c r="W27" s="5"/>
      <c r="X27" s="5"/>
      <c r="Y27" s="5"/>
      <c r="Z27" s="5"/>
      <c r="AA27" s="5"/>
      <c r="AB27" s="5"/>
      <c r="AC27" s="5"/>
      <c r="AD27" s="5"/>
      <c r="AE27" s="5"/>
      <c r="AF27" s="5"/>
      <c r="AG27" s="5"/>
      <c r="AH27" s="409" t="str">
        <f>IF(Creation_1!AH27&lt;&gt;0,Creation_1!AH27,"")</f>
        <v/>
      </c>
      <c r="AI27" s="409"/>
      <c r="AJ27" s="409"/>
      <c r="AK27" s="409"/>
      <c r="AL27" s="409"/>
      <c r="AM27" s="409"/>
      <c r="AN27" s="409"/>
      <c r="AO27" s="409"/>
      <c r="AP27" s="409"/>
      <c r="AQ27" s="409"/>
      <c r="AR27" s="63"/>
      <c r="AS27" s="384" t="str">
        <f>IF(ISBLANK(AR27),IF(Creation_1!AS27&lt;&gt;0,Creation_1!AS27,""),AR27)</f>
        <v/>
      </c>
      <c r="AT27" s="384"/>
      <c r="AU27" s="84">
        <f ca="1">IFERROR(IF(AND(SUM(INDIRECT("Merits!A"&amp;MATCH(AH27,Merits!A:A,0)&amp;":F"&amp;MATCH(AH27,Merits!A:A,0)))=0,Values!G87=0),1,COUNTIF(INDIRECT("Merits!A"&amp;MATCH(AH27,Merits!A:A,0)&amp;":F"&amp;MATCH(AH27,Merits!A:A,0)),Values!S87)),1)</f>
        <v>1</v>
      </c>
      <c r="AV27" s="5"/>
      <c r="AW27" s="401" t="str">
        <f>VLOOKUP(Values!$S87,Points!$A$1:$B$11,2,0)</f>
        <v>○○○○○</v>
      </c>
      <c r="AX27" s="401"/>
      <c r="AY27" s="408"/>
      <c r="AZ27" s="5"/>
      <c r="BA27" s="69" t="s">
        <v>3445</v>
      </c>
      <c r="BB27" s="52"/>
      <c r="BC27" s="52"/>
      <c r="BD27" s="52"/>
      <c r="BE27" s="52"/>
      <c r="BF27" s="52"/>
      <c r="BG27" s="52"/>
      <c r="BH27" s="52"/>
      <c r="BI27" s="52"/>
      <c r="BJ27" s="52"/>
      <c r="BK27" s="52"/>
      <c r="BL27" s="53"/>
      <c r="BM27" s="5"/>
      <c r="BN27" s="5"/>
      <c r="BO27" s="5"/>
      <c r="BP27" s="5"/>
      <c r="BQ27" s="5"/>
      <c r="BR27" s="5"/>
      <c r="BS27" s="5"/>
      <c r="BT27" s="5"/>
    </row>
    <row r="28" spans="1:72" ht="20.100000000000001" customHeight="1" thickBot="1">
      <c r="A28" s="5"/>
      <c r="B28" s="5"/>
      <c r="C28" s="5"/>
      <c r="D28" s="45" t="str">
        <f>IF(Values!E40&lt;&gt;0,Values!E40,"")</f>
        <v/>
      </c>
      <c r="E28" s="5"/>
      <c r="F28" s="405" t="str">
        <f>Values!B40</f>
        <v>Occult</v>
      </c>
      <c r="G28" s="405"/>
      <c r="H28" s="405"/>
      <c r="I28" s="405"/>
      <c r="J28" s="405"/>
      <c r="K28" s="401" t="str">
        <f>VLOOKUP(Values!$S40,Points!$A$1:$B$11,2,0)</f>
        <v>○○○○○</v>
      </c>
      <c r="L28" s="401"/>
      <c r="M28" s="401"/>
      <c r="N28" s="5"/>
      <c r="O28" s="5"/>
      <c r="P28" s="385" t="s">
        <v>33</v>
      </c>
      <c r="Q28" s="385"/>
      <c r="R28" s="385"/>
      <c r="S28" s="385"/>
      <c r="T28" s="385"/>
      <c r="U28" s="385"/>
      <c r="V28" s="5"/>
      <c r="W28" s="5"/>
      <c r="X28" s="5"/>
      <c r="Y28" s="5"/>
      <c r="Z28" s="385" t="s">
        <v>40</v>
      </c>
      <c r="AA28" s="385"/>
      <c r="AB28" s="385"/>
      <c r="AC28" s="385"/>
      <c r="AD28" s="385"/>
      <c r="AE28" s="34"/>
      <c r="AF28" s="5"/>
      <c r="AH28" s="409" t="str">
        <f>IF(Creation_1!AH28&lt;&gt;0,Creation_1!AH28,"")</f>
        <v/>
      </c>
      <c r="AI28" s="409"/>
      <c r="AJ28" s="409"/>
      <c r="AK28" s="409"/>
      <c r="AL28" s="409"/>
      <c r="AM28" s="409"/>
      <c r="AN28" s="409"/>
      <c r="AO28" s="409"/>
      <c r="AP28" s="409"/>
      <c r="AQ28" s="409"/>
      <c r="AR28" s="63"/>
      <c r="AS28" s="384" t="str">
        <f>IF(ISBLANK(AR28),IF(Creation_1!AS28&lt;&gt;0,Creation_1!AS28,""),AR28)</f>
        <v/>
      </c>
      <c r="AT28" s="384"/>
      <c r="AU28" s="84">
        <f ca="1">IFERROR(IF(AND(SUM(INDIRECT("Merits!A"&amp;MATCH(AH28,Merits!A:A,0)&amp;":F"&amp;MATCH(AH28,Merits!A:A,0)))=0,Values!G88=0),1,COUNTIF(INDIRECT("Merits!A"&amp;MATCH(AH28,Merits!A:A,0)&amp;":F"&amp;MATCH(AH28,Merits!A:A,0)),Values!S88)),1)</f>
        <v>1</v>
      </c>
      <c r="AV28" s="5"/>
      <c r="AW28" s="401" t="str">
        <f>VLOOKUP(Values!$S88,Points!$A$1:$B$11,2,0)</f>
        <v>○○○○○</v>
      </c>
      <c r="AX28" s="401"/>
      <c r="AY28" s="408"/>
      <c r="AZ28" s="5"/>
      <c r="BA28" s="127"/>
      <c r="BB28" s="421" t="str">
        <f>IF(ISBLANK(BA28),"To fill me fill my left blue box","well done you wrote :"&amp;BA28)</f>
        <v>To fill me fill my left blue box</v>
      </c>
      <c r="BC28" s="421"/>
      <c r="BD28" s="421"/>
      <c r="BE28" s="421"/>
      <c r="BF28" s="421"/>
      <c r="BG28" s="421"/>
      <c r="BH28" s="421"/>
      <c r="BI28" s="421"/>
      <c r="BJ28" s="421"/>
      <c r="BK28" s="421"/>
      <c r="BL28" s="58"/>
      <c r="BM28" s="5"/>
      <c r="BN28" s="5"/>
      <c r="BO28" s="5"/>
      <c r="BP28" s="5"/>
      <c r="BQ28" s="5"/>
      <c r="BR28" s="5"/>
      <c r="BS28" s="5"/>
      <c r="BT28" s="5"/>
    </row>
    <row r="29" spans="1:72" ht="20.100000000000001" customHeight="1">
      <c r="A29" s="5"/>
      <c r="B29" s="5"/>
      <c r="C29" s="5"/>
      <c r="D29" s="45" t="str">
        <f>IF(Values!E41&lt;&gt;0,Values!E41,"")</f>
        <v/>
      </c>
      <c r="E29" s="5"/>
      <c r="F29" s="405" t="str">
        <f>Values!B41</f>
        <v>Performance</v>
      </c>
      <c r="G29" s="405"/>
      <c r="H29" s="405"/>
      <c r="I29" s="405"/>
      <c r="J29" s="405"/>
      <c r="K29" s="401" t="str">
        <f>VLOOKUP(Values!$S41,Points!$A$1:$B$11,2,0)</f>
        <v>○○○○○</v>
      </c>
      <c r="L29" s="401"/>
      <c r="M29" s="401"/>
      <c r="N29" s="34"/>
      <c r="O29" s="5"/>
      <c r="P29" s="385"/>
      <c r="Q29" s="385"/>
      <c r="R29" s="385"/>
      <c r="S29" s="385"/>
      <c r="T29" s="385"/>
      <c r="U29" s="385"/>
      <c r="V29" s="5"/>
      <c r="W29" s="5"/>
      <c r="X29" s="5"/>
      <c r="Y29" s="34"/>
      <c r="Z29" s="385"/>
      <c r="AA29" s="385"/>
      <c r="AB29" s="385"/>
      <c r="AC29" s="385"/>
      <c r="AD29" s="385"/>
      <c r="AE29" s="34"/>
      <c r="AF29" s="5"/>
      <c r="AG29" s="5"/>
      <c r="AH29" s="409" t="str">
        <f>IF(Creation_1!AH29&lt;&gt;0,Creation_1!AH29,"")</f>
        <v/>
      </c>
      <c r="AI29" s="409"/>
      <c r="AJ29" s="409"/>
      <c r="AK29" s="409"/>
      <c r="AL29" s="409"/>
      <c r="AM29" s="409"/>
      <c r="AN29" s="409"/>
      <c r="AO29" s="409"/>
      <c r="AP29" s="409"/>
      <c r="AQ29" s="409"/>
      <c r="AR29" s="63"/>
      <c r="AS29" s="384" t="str">
        <f>IF(ISBLANK(AR29),IF(Creation_1!AS29&lt;&gt;0,Creation_1!AS29,""),AR29)</f>
        <v/>
      </c>
      <c r="AT29" s="384"/>
      <c r="AU29" s="84">
        <f ca="1">IFERROR(IF(AND(SUM(INDIRECT("Merits!A"&amp;MATCH(AH29,Merits!A:A,0)&amp;":F"&amp;MATCH(AH29,Merits!A:A,0)))=0,Values!G89=0),1,COUNTIF(INDIRECT("Merits!A"&amp;MATCH(AH29,Merits!A:A,0)&amp;":F"&amp;MATCH(AH29,Merits!A:A,0)),Values!S89)),1)</f>
        <v>1</v>
      </c>
      <c r="AV29" s="5"/>
      <c r="AW29" s="401" t="str">
        <f>VLOOKUP(Values!$S89,Points!$A$1:$B$11,2,0)</f>
        <v>○○○○○</v>
      </c>
      <c r="AX29" s="401"/>
      <c r="AY29" s="408"/>
      <c r="AZ29" s="5"/>
      <c r="BA29" s="5"/>
      <c r="BB29" s="5"/>
      <c r="BC29" s="5"/>
      <c r="BD29" s="5"/>
      <c r="BE29" s="5"/>
      <c r="BF29" s="5"/>
      <c r="BG29" s="5"/>
      <c r="BH29" s="5"/>
      <c r="BI29" s="5"/>
      <c r="BJ29" s="5"/>
      <c r="BK29" s="5"/>
      <c r="BL29" s="5"/>
      <c r="BM29" s="5"/>
      <c r="BN29" s="5"/>
      <c r="BO29" s="5"/>
      <c r="BP29" s="5"/>
      <c r="BQ29" s="5"/>
      <c r="BR29" s="5"/>
      <c r="BS29" s="5"/>
      <c r="BT29" s="5"/>
    </row>
    <row r="30" spans="1:72" ht="20.100000000000001" customHeight="1">
      <c r="A30" s="5"/>
      <c r="B30" s="5"/>
      <c r="C30" s="5"/>
      <c r="D30" s="45" t="str">
        <f>IF(Values!E42&lt;&gt;0,Values!E42,"")</f>
        <v/>
      </c>
      <c r="E30" s="5"/>
      <c r="F30" s="405" t="str">
        <f>Values!B42</f>
        <v>Presence</v>
      </c>
      <c r="G30" s="405"/>
      <c r="H30" s="405"/>
      <c r="I30" s="405"/>
      <c r="J30" s="405"/>
      <c r="K30" s="401" t="str">
        <f>VLOOKUP(Values!$S42,Points!$A$1:$B$11,2,0)</f>
        <v>○○○○○</v>
      </c>
      <c r="L30" s="401"/>
      <c r="M30" s="401"/>
      <c r="N30" s="5"/>
      <c r="O30" s="410" t="s">
        <v>36</v>
      </c>
      <c r="P30" s="410"/>
      <c r="Q30" s="410"/>
      <c r="R30" s="410"/>
      <c r="S30" s="410"/>
      <c r="T30" s="410"/>
      <c r="U30" s="410"/>
      <c r="V30" s="410"/>
      <c r="W30" s="5"/>
      <c r="X30" s="5"/>
      <c r="Y30" s="411" t="str">
        <f>VLOOKUP(Values!S98,Points!$A$13:$C$23,3,0)</f>
        <v>●</v>
      </c>
      <c r="Z30" s="411"/>
      <c r="AA30" s="411"/>
      <c r="AB30" s="411"/>
      <c r="AC30" s="411"/>
      <c r="AD30" s="411"/>
      <c r="AE30" s="411"/>
      <c r="AF30" s="5"/>
      <c r="AG30" s="73"/>
      <c r="AH30" s="400" t="str">
        <f>IF(ISBLANK(AG30),IF(Creation_1!AH30&lt;&gt;0,Creation_1!AH30,""),AG30)</f>
        <v/>
      </c>
      <c r="AI30" s="400"/>
      <c r="AJ30" s="400"/>
      <c r="AK30" s="400"/>
      <c r="AL30" s="400"/>
      <c r="AM30" s="400"/>
      <c r="AN30" s="400"/>
      <c r="AO30" s="400"/>
      <c r="AP30" s="400"/>
      <c r="AQ30" s="400"/>
      <c r="AR30" s="63"/>
      <c r="AS30" s="384" t="str">
        <f>IF(ISBLANK(AR30),IF(Creation_1!AS30&lt;&gt;0,Creation_1!AS30,""),AR30)</f>
        <v/>
      </c>
      <c r="AT30" s="384"/>
      <c r="AU30" s="84">
        <f ca="1">IFERROR(IF(AND(SUM(INDIRECT("Merits!A"&amp;MATCH(AH30,Merits!A:A,0)&amp;":F"&amp;MATCH(AH30,Merits!A:A,0)))=0,Values!G90=0),1,COUNTIF(INDIRECT("Merits!A"&amp;MATCH(AH30,Merits!A:A,0)&amp;":F"&amp;MATCH(AH30,Merits!A:A,0)),Values!S90)),1)</f>
        <v>1</v>
      </c>
      <c r="AV30" s="5"/>
      <c r="AW30" s="401" t="str">
        <f>VLOOKUP(Values!$S90,Points!$A$1:$B$11,2,0)</f>
        <v>○○○○○</v>
      </c>
      <c r="AX30" s="401"/>
      <c r="AY30" s="408"/>
      <c r="AZ30" s="5"/>
      <c r="BA30" s="5"/>
      <c r="BB30" s="5"/>
      <c r="BC30" s="5"/>
      <c r="BD30" s="5"/>
      <c r="BE30" s="5"/>
      <c r="BF30" s="5"/>
      <c r="BG30" s="5"/>
      <c r="BH30" s="5"/>
      <c r="BI30" s="5"/>
      <c r="BJ30" s="5"/>
      <c r="BK30" s="5"/>
      <c r="BL30" s="5"/>
      <c r="BM30" s="5"/>
      <c r="BN30" s="5"/>
      <c r="BO30" s="5"/>
      <c r="BP30" s="5"/>
      <c r="BQ30" s="5"/>
      <c r="BR30" s="5"/>
      <c r="BS30" s="5"/>
      <c r="BT30" s="5"/>
    </row>
    <row r="31" spans="1:72" ht="20.100000000000001" customHeight="1">
      <c r="A31" s="5"/>
      <c r="B31" s="5"/>
      <c r="C31" s="5"/>
      <c r="D31" s="45" t="str">
        <f>IF(Values!E43&lt;&gt;0,Values!E43,"")</f>
        <v/>
      </c>
      <c r="E31" s="5"/>
      <c r="F31" s="405" t="str">
        <f>Values!B43</f>
        <v>Resistance</v>
      </c>
      <c r="G31" s="405"/>
      <c r="H31" s="405"/>
      <c r="I31" s="405"/>
      <c r="J31" s="405"/>
      <c r="K31" s="401" t="str">
        <f>VLOOKUP(Values!$S43,Points!$A$1:$B$11,2,0)</f>
        <v>○○○○○</v>
      </c>
      <c r="L31" s="401"/>
      <c r="M31" s="401"/>
      <c r="N31" s="5"/>
      <c r="O31" s="5"/>
      <c r="P31" s="385" t="s">
        <v>41</v>
      </c>
      <c r="Q31" s="385"/>
      <c r="R31" s="385"/>
      <c r="S31" s="385"/>
      <c r="T31" s="385"/>
      <c r="U31" s="385"/>
      <c r="V31" s="5"/>
      <c r="W31" s="5"/>
      <c r="X31" s="5"/>
      <c r="Y31" s="5"/>
      <c r="Z31" s="5"/>
      <c r="AA31" s="5"/>
      <c r="AB31" s="5"/>
      <c r="AC31" s="5"/>
      <c r="AD31" s="5"/>
      <c r="AE31" s="5"/>
      <c r="AF31" s="5"/>
      <c r="AG31" s="73"/>
      <c r="AH31" s="400" t="str">
        <f>IF(ISBLANK(AG31),IF(Creation_1!AH31&lt;&gt;0,Creation_1!AH31,""),AG31)</f>
        <v/>
      </c>
      <c r="AI31" s="400"/>
      <c r="AJ31" s="400"/>
      <c r="AK31" s="400"/>
      <c r="AL31" s="400"/>
      <c r="AM31" s="400"/>
      <c r="AN31" s="400"/>
      <c r="AO31" s="400"/>
      <c r="AP31" s="400"/>
      <c r="AQ31" s="400"/>
      <c r="AR31" s="63"/>
      <c r="AS31" s="384" t="str">
        <f>IF(ISBLANK(AR31),IF(Creation_1!AS31&lt;&gt;0,Creation_1!AS31,""),AR31)</f>
        <v/>
      </c>
      <c r="AT31" s="384"/>
      <c r="AU31" s="84">
        <f ca="1">IFERROR(IF(AND(SUM(INDIRECT("Merits!A"&amp;MATCH(AH31,Merits!A:A,0)&amp;":F"&amp;MATCH(AH31,Merits!A:A,0)))=0,Values!G91=0),1,COUNTIF(INDIRECT("Merits!A"&amp;MATCH(AH31,Merits!A:A,0)&amp;":F"&amp;MATCH(AH31,Merits!A:A,0)),Values!S91)),1)</f>
        <v>1</v>
      </c>
      <c r="AV31" s="5"/>
      <c r="AW31" s="401" t="str">
        <f>VLOOKUP(Values!$S91,Points!$A$1:$B$11,2,0)</f>
        <v>○○○○○</v>
      </c>
      <c r="AX31" s="401"/>
      <c r="AY31" s="408"/>
      <c r="AZ31" s="5"/>
      <c r="BA31" s="5"/>
      <c r="BB31" s="5"/>
      <c r="BC31" s="5"/>
      <c r="BD31" s="5"/>
      <c r="BE31" s="5"/>
      <c r="BF31" s="5"/>
      <c r="BG31" s="5"/>
      <c r="BH31" s="5"/>
      <c r="BI31" s="5"/>
      <c r="BJ31" s="5"/>
      <c r="BK31" s="5"/>
      <c r="BL31" s="5"/>
      <c r="BM31" s="5"/>
      <c r="BN31" s="5"/>
      <c r="BO31" s="5"/>
      <c r="BP31" s="5"/>
      <c r="BQ31" s="5"/>
      <c r="BR31" s="5"/>
      <c r="BS31" s="5"/>
      <c r="BT31" s="5"/>
    </row>
    <row r="32" spans="1:72" ht="20.100000000000001" customHeight="1">
      <c r="A32" s="5"/>
      <c r="B32" s="5"/>
      <c r="C32" s="5"/>
      <c r="D32" s="45" t="str">
        <f>IF(Values!E44&lt;&gt;0,Values!E44,"")</f>
        <v/>
      </c>
      <c r="E32" s="5"/>
      <c r="F32" s="405" t="str">
        <f>Values!B44</f>
        <v>Ride</v>
      </c>
      <c r="G32" s="405"/>
      <c r="H32" s="405"/>
      <c r="I32" s="405"/>
      <c r="J32" s="405"/>
      <c r="K32" s="401" t="str">
        <f>VLOOKUP(Values!$S44,Points!$A$1:$B$11,2,0)</f>
        <v>○○○○○</v>
      </c>
      <c r="L32" s="401"/>
      <c r="M32" s="401"/>
      <c r="N32" s="5"/>
      <c r="O32" s="5"/>
      <c r="P32" s="385"/>
      <c r="Q32" s="385"/>
      <c r="R32" s="385"/>
      <c r="S32" s="385"/>
      <c r="T32" s="385"/>
      <c r="U32" s="385"/>
      <c r="V32" s="5"/>
      <c r="W32" s="5"/>
      <c r="X32" s="405" t="s">
        <v>1434</v>
      </c>
      <c r="Y32" s="405"/>
      <c r="Z32" s="405"/>
      <c r="AA32" s="405"/>
      <c r="AB32" s="384"/>
      <c r="AC32" s="384"/>
      <c r="AD32" s="5"/>
      <c r="AE32" s="407">
        <f>IF(Values!$S$6&lt;&gt;Castes!$B$3,Values!$S$98*3+10,0)</f>
        <v>13</v>
      </c>
      <c r="AF32" s="384"/>
      <c r="AG32" s="73"/>
      <c r="AH32" s="400" t="str">
        <f>IF(ISBLANK(AG32),IF(Creation_1!AH32&lt;&gt;0,Creation_1!AH32,""),AG32)</f>
        <v/>
      </c>
      <c r="AI32" s="400"/>
      <c r="AJ32" s="400"/>
      <c r="AK32" s="400"/>
      <c r="AL32" s="400"/>
      <c r="AM32" s="400"/>
      <c r="AN32" s="400"/>
      <c r="AO32" s="400"/>
      <c r="AP32" s="400"/>
      <c r="AQ32" s="400"/>
      <c r="AR32" s="63"/>
      <c r="AS32" s="384" t="str">
        <f>IF(ISBLANK(AR32),IF(Creation_1!AS32&lt;&gt;0,Creation_1!AS32,""),AR32)</f>
        <v/>
      </c>
      <c r="AT32" s="384"/>
      <c r="AU32" s="84">
        <f ca="1">IFERROR(IF(AND(SUM(INDIRECT("Merits!A"&amp;MATCH(AH32,Merits!A:A,0)&amp;":F"&amp;MATCH(AH32,Merits!A:A,0)))=0,Values!G92=0),1,COUNTIF(INDIRECT("Merits!A"&amp;MATCH(AH32,Merits!A:A,0)&amp;":F"&amp;MATCH(AH32,Merits!A:A,0)),Values!S92)),1)</f>
        <v>1</v>
      </c>
      <c r="AV32" s="5"/>
      <c r="AW32" s="401" t="str">
        <f>VLOOKUP(Values!$S92,Points!$A$1:$B$11,2,0)</f>
        <v>○○○○○</v>
      </c>
      <c r="AX32" s="401"/>
      <c r="AY32" s="408"/>
      <c r="AZ32" s="5"/>
      <c r="BA32" s="5"/>
      <c r="BB32" s="5"/>
      <c r="BC32" s="5"/>
      <c r="BD32" s="5"/>
      <c r="BE32" s="5"/>
      <c r="BF32" s="5"/>
      <c r="BG32" s="5"/>
      <c r="BH32" s="5"/>
      <c r="BI32" s="5"/>
      <c r="BJ32" s="5"/>
      <c r="BK32" s="5"/>
      <c r="BL32" s="5"/>
      <c r="BM32" s="5"/>
      <c r="BN32" s="5"/>
      <c r="BO32" s="5"/>
      <c r="BP32" s="5"/>
      <c r="BQ32" s="5"/>
      <c r="BR32" s="5"/>
      <c r="BS32" s="5"/>
      <c r="BT32" s="5"/>
    </row>
    <row r="33" spans="1:72" ht="20.100000000000001" customHeight="1">
      <c r="A33" s="5"/>
      <c r="B33" s="5"/>
      <c r="C33" s="5"/>
      <c r="D33" s="45" t="str">
        <f>IF(Values!E45&lt;&gt;0,Values!E45,"")</f>
        <v/>
      </c>
      <c r="E33" s="5"/>
      <c r="F33" s="405" t="str">
        <f>Values!B45</f>
        <v>Sail</v>
      </c>
      <c r="G33" s="405"/>
      <c r="H33" s="405"/>
      <c r="I33" s="405"/>
      <c r="J33" s="405"/>
      <c r="K33" s="401" t="str">
        <f>VLOOKUP(Values!$S45,Points!$A$1:$B$11,2,0)</f>
        <v>○○○○○</v>
      </c>
      <c r="L33" s="401"/>
      <c r="M33" s="401"/>
      <c r="N33" s="63"/>
      <c r="O33" s="384" t="str">
        <f>IF(ISBLANK(N33),IF(Creation_1!O33&lt;&gt;0,Creation_1!O33,""),N33)</f>
        <v/>
      </c>
      <c r="P33" s="384"/>
      <c r="Q33" s="384"/>
      <c r="R33" s="384"/>
      <c r="S33" s="384"/>
      <c r="T33" s="384"/>
      <c r="U33" s="384"/>
      <c r="V33" s="384"/>
      <c r="W33" s="5"/>
      <c r="X33" s="405" t="s">
        <v>1435</v>
      </c>
      <c r="Y33" s="405"/>
      <c r="Z33" s="405"/>
      <c r="AA33" s="405"/>
      <c r="AB33" s="384"/>
      <c r="AC33" s="384"/>
      <c r="AD33" s="5"/>
      <c r="AE33" s="407">
        <f>IF(Values!$S$6&lt;&gt;Castes!$B$3,Values!$S$98*7+26-AB34,0)</f>
        <v>33</v>
      </c>
      <c r="AF33" s="384"/>
      <c r="AG33" s="73"/>
      <c r="AH33" s="400" t="str">
        <f>IF(ISBLANK(AG33),IF(Creation_1!AH33&lt;&gt;0,Creation_1!AH33,""),AG33)</f>
        <v/>
      </c>
      <c r="AI33" s="400"/>
      <c r="AJ33" s="400"/>
      <c r="AK33" s="400"/>
      <c r="AL33" s="400"/>
      <c r="AM33" s="400"/>
      <c r="AN33" s="400"/>
      <c r="AO33" s="400"/>
      <c r="AP33" s="400"/>
      <c r="AQ33" s="400"/>
      <c r="AR33" s="63"/>
      <c r="AS33" s="384" t="str">
        <f>IF(ISBLANK(AR33),IF(Creation_1!AS33&lt;&gt;0,Creation_1!AS33,""),AR33)</f>
        <v/>
      </c>
      <c r="AT33" s="384"/>
      <c r="AU33" s="84">
        <f ca="1">IFERROR(IF(AND(SUM(INDIRECT("Merits!A"&amp;MATCH(AH33,Merits!A:A,0)&amp;":F"&amp;MATCH(AH33,Merits!A:A,0)))=0,Values!G93=0),1,COUNTIF(INDIRECT("Merits!A"&amp;MATCH(AH33,Merits!A:A,0)&amp;":F"&amp;MATCH(AH33,Merits!A:A,0)),Values!S93)),1)</f>
        <v>1</v>
      </c>
      <c r="AV33" s="5"/>
      <c r="AW33" s="401" t="str">
        <f>VLOOKUP(Values!$S93,Points!$A$1:$B$11,2,0)</f>
        <v>○○○○○</v>
      </c>
      <c r="AX33" s="401"/>
      <c r="AY33" s="408"/>
      <c r="AZ33" s="5"/>
      <c r="BA33" s="5"/>
      <c r="BB33" s="5"/>
      <c r="BC33" s="5"/>
      <c r="BD33" s="5"/>
      <c r="BE33" s="5"/>
      <c r="BF33" s="5"/>
      <c r="BG33" s="5"/>
      <c r="BH33" s="5"/>
      <c r="BI33" s="5"/>
      <c r="BJ33" s="5"/>
      <c r="BK33" s="5"/>
      <c r="BL33" s="5"/>
      <c r="BM33" s="5"/>
      <c r="BN33" s="5"/>
      <c r="BO33" s="5"/>
      <c r="BP33" s="5"/>
      <c r="BQ33" s="5"/>
      <c r="BR33" s="5"/>
      <c r="BS33" s="5"/>
      <c r="BT33" s="5"/>
    </row>
    <row r="34" spans="1:72" ht="20.100000000000001" customHeight="1">
      <c r="A34" s="5"/>
      <c r="B34" s="5"/>
      <c r="C34" s="5"/>
      <c r="D34" s="45" t="str">
        <f>IF(Values!E46&lt;&gt;0,Values!E46,"")</f>
        <v/>
      </c>
      <c r="E34" s="5"/>
      <c r="F34" s="405" t="str">
        <f>Values!B46</f>
        <v>Socialize</v>
      </c>
      <c r="G34" s="405"/>
      <c r="H34" s="405"/>
      <c r="I34" s="405"/>
      <c r="J34" s="405"/>
      <c r="K34" s="401" t="str">
        <f>VLOOKUP(Values!$S46,Points!$A$1:$B$11,2,0)</f>
        <v>○○○○○</v>
      </c>
      <c r="L34" s="401"/>
      <c r="M34" s="401"/>
      <c r="N34" s="5"/>
      <c r="O34" s="5"/>
      <c r="Q34" s="38"/>
      <c r="R34" s="38"/>
      <c r="S34" s="38"/>
      <c r="T34" s="38"/>
      <c r="U34" s="38"/>
      <c r="V34" s="5"/>
      <c r="W34" s="5"/>
      <c r="X34" s="353" t="s">
        <v>3582</v>
      </c>
      <c r="Y34" s="405"/>
      <c r="Z34" s="405"/>
      <c r="AA34" s="405"/>
      <c r="AB34" s="384">
        <f>SUM(AY42:AY49,AB54:AB56)</f>
        <v>0</v>
      </c>
      <c r="AC34" s="384"/>
      <c r="AD34" s="384"/>
      <c r="AE34" s="384"/>
      <c r="AF34" s="384"/>
      <c r="AG34" s="73"/>
      <c r="AH34" s="400" t="str">
        <f>IF(ISBLANK(AG34),IF(Creation_1!AH34&lt;&gt;0,Creation_1!AH34,""),AG34)</f>
        <v/>
      </c>
      <c r="AI34" s="400"/>
      <c r="AJ34" s="400"/>
      <c r="AK34" s="400"/>
      <c r="AL34" s="400"/>
      <c r="AM34" s="400"/>
      <c r="AN34" s="400"/>
      <c r="AO34" s="400"/>
      <c r="AP34" s="400"/>
      <c r="AQ34" s="400"/>
      <c r="AR34" s="63"/>
      <c r="AS34" s="384" t="str">
        <f>IF(ISBLANK(AR34),IF(Creation_1!AS34&lt;&gt;0,Creation_1!AS34,""),AR34)</f>
        <v/>
      </c>
      <c r="AT34" s="384"/>
      <c r="AU34" s="84">
        <f ca="1">IFERROR(IF(AND(SUM(INDIRECT("Merits!A"&amp;MATCH(AH34,Merits!A:A,0)&amp;":F"&amp;MATCH(AH34,Merits!A:A,0)))=0,Values!G94=0),1,COUNTIF(INDIRECT("Merits!A"&amp;MATCH(AH34,Merits!A:A,0)&amp;":F"&amp;MATCH(AH34,Merits!A:A,0)),Values!S94)),1)</f>
        <v>1</v>
      </c>
      <c r="AV34" s="5"/>
      <c r="AW34" s="401" t="str">
        <f>VLOOKUP(Values!$S94,Points!$A$1:$B$11,2,0)</f>
        <v>○○○○○</v>
      </c>
      <c r="AX34" s="401"/>
      <c r="AY34" s="408"/>
      <c r="AZ34" s="5"/>
      <c r="BA34" s="5"/>
      <c r="BB34" s="5"/>
      <c r="BC34" s="5"/>
      <c r="BD34" s="5"/>
      <c r="BE34" s="5"/>
      <c r="BF34" s="5"/>
      <c r="BG34" s="5"/>
      <c r="BH34" s="5"/>
      <c r="BI34" s="5"/>
      <c r="BJ34" s="5"/>
      <c r="BK34" s="5"/>
      <c r="BL34" s="5"/>
      <c r="BM34" s="5"/>
      <c r="BN34" s="5"/>
      <c r="BO34" s="5"/>
      <c r="BP34" s="5"/>
      <c r="BQ34" s="5"/>
      <c r="BR34" s="5"/>
      <c r="BS34" s="5"/>
      <c r="BT34" s="5"/>
    </row>
    <row r="35" spans="1:72" ht="20.100000000000001" customHeight="1">
      <c r="A35" s="5"/>
      <c r="B35" s="5"/>
      <c r="C35" s="5"/>
      <c r="D35" s="45" t="str">
        <f>IF(Values!E47&lt;&gt;0,Values!E47,"")</f>
        <v/>
      </c>
      <c r="E35" s="5"/>
      <c r="F35" s="405" t="str">
        <f>Values!B47</f>
        <v>Stealth</v>
      </c>
      <c r="G35" s="405"/>
      <c r="H35" s="405"/>
      <c r="I35" s="405"/>
      <c r="J35" s="405"/>
      <c r="K35" s="401" t="str">
        <f>VLOOKUP(Values!$S47,Points!$A$1:$B$11,2,0)</f>
        <v>○○○○○</v>
      </c>
      <c r="L35" s="401"/>
      <c r="M35" s="401"/>
      <c r="N35" s="5"/>
      <c r="O35" s="5"/>
      <c r="P35" s="385" t="s">
        <v>3094</v>
      </c>
      <c r="Q35" s="385"/>
      <c r="R35" s="385"/>
      <c r="S35" s="385"/>
      <c r="T35" s="385"/>
      <c r="U35" s="385"/>
      <c r="V35" s="5"/>
      <c r="W35" s="5"/>
      <c r="X35" s="5"/>
      <c r="Y35" s="5"/>
      <c r="Z35" s="5"/>
      <c r="AA35" s="385" t="s">
        <v>48</v>
      </c>
      <c r="AB35" s="385"/>
      <c r="AC35" s="385"/>
      <c r="AD35" s="385"/>
      <c r="AE35" s="385"/>
      <c r="AF35" s="5"/>
      <c r="AG35" s="5"/>
      <c r="AH35" s="5"/>
      <c r="AI35" s="5"/>
      <c r="AJ35" s="5"/>
      <c r="AK35" s="5"/>
      <c r="AL35" s="5"/>
      <c r="AM35" s="5"/>
      <c r="AN35" s="5"/>
      <c r="AO35" s="5"/>
      <c r="AP35" s="385" t="s">
        <v>49</v>
      </c>
      <c r="AQ35" s="385"/>
      <c r="AR35" s="385"/>
      <c r="AS35" s="385"/>
      <c r="AT35" s="385"/>
      <c r="AU35" s="385"/>
      <c r="AV35" s="385"/>
      <c r="AW35" s="385"/>
      <c r="AX35" s="5"/>
      <c r="AY35" s="7"/>
      <c r="AZ35" s="5"/>
      <c r="BA35" s="5"/>
      <c r="BB35" s="5"/>
      <c r="BC35" s="5"/>
      <c r="BD35" s="5"/>
      <c r="BE35" s="5"/>
      <c r="BF35" s="5"/>
      <c r="BG35" s="5"/>
      <c r="BH35" s="5"/>
      <c r="BI35" s="5"/>
      <c r="BJ35" s="5"/>
      <c r="BK35" s="5"/>
      <c r="BL35" s="5"/>
      <c r="BM35" s="5"/>
      <c r="BN35" s="5"/>
      <c r="BO35" s="5"/>
      <c r="BP35" s="5"/>
      <c r="BQ35" s="5"/>
      <c r="BR35" s="5"/>
      <c r="BS35" s="5"/>
      <c r="BT35" s="5"/>
    </row>
    <row r="36" spans="1:72" ht="20.100000000000001" customHeight="1">
      <c r="A36" s="5"/>
      <c r="B36" s="5"/>
      <c r="C36" s="5"/>
      <c r="D36" s="45" t="str">
        <f>IF(Values!E48&lt;&gt;0,Values!E48,"")</f>
        <v/>
      </c>
      <c r="E36" s="5"/>
      <c r="F36" s="405" t="str">
        <f>Values!B48</f>
        <v>Survival</v>
      </c>
      <c r="G36" s="405"/>
      <c r="H36" s="405"/>
      <c r="I36" s="405"/>
      <c r="J36" s="405"/>
      <c r="K36" s="401" t="str">
        <f>VLOOKUP(Values!$S48,Points!$A$1:$B$11,2,0)</f>
        <v>○○○○○</v>
      </c>
      <c r="L36" s="401"/>
      <c r="M36" s="401"/>
      <c r="N36" s="5"/>
      <c r="O36" s="5"/>
      <c r="P36" s="385"/>
      <c r="Q36" s="385"/>
      <c r="R36" s="385"/>
      <c r="S36" s="385"/>
      <c r="T36" s="385"/>
      <c r="U36" s="385"/>
      <c r="W36" s="5"/>
      <c r="X36" s="5"/>
      <c r="Y36" s="5"/>
      <c r="Z36" s="5"/>
      <c r="AA36" s="385"/>
      <c r="AB36" s="385"/>
      <c r="AC36" s="385"/>
      <c r="AD36" s="385"/>
      <c r="AE36" s="385"/>
      <c r="AF36" s="5"/>
      <c r="AG36" s="5"/>
      <c r="AH36" s="5"/>
      <c r="AI36" s="5"/>
      <c r="AJ36" s="5"/>
      <c r="AK36" s="5"/>
      <c r="AL36" s="5"/>
      <c r="AM36" s="5"/>
      <c r="AN36" s="5"/>
      <c r="AO36" s="5"/>
      <c r="AP36" s="385"/>
      <c r="AQ36" s="385"/>
      <c r="AR36" s="385"/>
      <c r="AS36" s="385"/>
      <c r="AT36" s="385"/>
      <c r="AU36" s="385"/>
      <c r="AV36" s="385"/>
      <c r="AW36" s="385"/>
      <c r="AX36" s="5"/>
      <c r="AY36" s="7"/>
      <c r="AZ36" s="5"/>
      <c r="BA36" s="5"/>
      <c r="BB36" s="5"/>
      <c r="BC36" s="5"/>
      <c r="BD36" s="5"/>
      <c r="BE36" s="5"/>
      <c r="BF36" s="5"/>
      <c r="BG36" s="5"/>
      <c r="BH36" s="5"/>
      <c r="BI36" s="5"/>
      <c r="BJ36" s="5"/>
      <c r="BK36" s="5"/>
      <c r="BL36" s="5"/>
      <c r="BM36" s="5"/>
      <c r="BN36" s="5"/>
      <c r="BO36" s="5"/>
      <c r="BP36" s="5"/>
      <c r="BQ36" s="5"/>
      <c r="BR36" s="5"/>
      <c r="BS36" s="5"/>
      <c r="BT36" s="5"/>
    </row>
    <row r="37" spans="1:72" ht="20.100000000000001" customHeight="1">
      <c r="A37" s="5"/>
      <c r="B37" s="5"/>
      <c r="C37" s="5"/>
      <c r="D37" s="45" t="str">
        <f>IF(Values!E49&lt;&gt;0,Values!E49,"")</f>
        <v/>
      </c>
      <c r="E37" s="5"/>
      <c r="F37" s="405" t="str">
        <f>Values!B49</f>
        <v>Thrown</v>
      </c>
      <c r="G37" s="405"/>
      <c r="H37" s="405"/>
      <c r="I37" s="405"/>
      <c r="J37" s="405"/>
      <c r="K37" s="401" t="str">
        <f>VLOOKUP(Values!$S49,Points!$A$1:$B$11,2,0)</f>
        <v>○○○○○</v>
      </c>
      <c r="L37" s="401"/>
      <c r="M37" s="401"/>
      <c r="N37" s="63"/>
      <c r="O37" s="384" t="str">
        <f>IF(ISBLANK(N37),IF(Creation_1!O37&lt;&gt;0,Creation_1!O37,""),N37)</f>
        <v/>
      </c>
      <c r="P37" s="384"/>
      <c r="Q37" s="384"/>
      <c r="R37" s="384"/>
      <c r="S37" s="384"/>
      <c r="T37" s="384"/>
      <c r="U37" s="384"/>
      <c r="V37" s="384"/>
      <c r="W37" s="5"/>
      <c r="X37" s="5"/>
      <c r="Z37" s="5" t="s">
        <v>52</v>
      </c>
      <c r="AA37" s="5"/>
      <c r="AB37" s="5"/>
      <c r="AC37" s="5"/>
      <c r="AD37" s="5"/>
      <c r="AE37" s="5" t="s">
        <v>53</v>
      </c>
      <c r="AF37" s="5"/>
      <c r="AG37" s="5"/>
      <c r="AH37" s="5"/>
      <c r="AI37" s="5"/>
      <c r="AJ37" s="5"/>
      <c r="AK37" s="5"/>
      <c r="AL37" s="5"/>
      <c r="AM37" s="5"/>
      <c r="AN37" s="5" t="s">
        <v>54</v>
      </c>
      <c r="AO37" s="5"/>
      <c r="AP37" s="5"/>
      <c r="AQ37" s="5"/>
      <c r="AR37" s="5"/>
      <c r="AS37" s="5"/>
      <c r="AT37" s="5" t="s">
        <v>55</v>
      </c>
      <c r="AU37" s="5"/>
      <c r="AV37" s="5"/>
      <c r="AW37" s="5"/>
      <c r="AX37" s="5"/>
      <c r="AY37" s="7"/>
      <c r="AZ37" s="5"/>
      <c r="BA37" s="5"/>
      <c r="BB37" s="5"/>
      <c r="BC37" s="5"/>
      <c r="BD37" s="5"/>
      <c r="BE37" s="5"/>
      <c r="BF37" s="5"/>
      <c r="BG37" s="5"/>
      <c r="BH37" s="5"/>
      <c r="BI37" s="5"/>
      <c r="BJ37" s="5"/>
      <c r="BK37" s="5"/>
      <c r="BL37" s="5"/>
      <c r="BM37" s="5"/>
      <c r="BN37" s="5"/>
      <c r="BO37" s="5"/>
      <c r="BP37" s="5"/>
      <c r="BQ37" s="5"/>
      <c r="BR37" s="5"/>
      <c r="BS37" s="5"/>
      <c r="BT37" s="5"/>
    </row>
    <row r="38" spans="1:72" ht="20.100000000000001" customHeight="1">
      <c r="A38" s="5"/>
      <c r="B38" s="5"/>
      <c r="C38" s="5"/>
      <c r="D38" s="45" t="str">
        <f>IF(Values!E50&lt;&gt;0,Values!E50,"")</f>
        <v/>
      </c>
      <c r="E38" s="5"/>
      <c r="F38" s="405" t="str">
        <f>Values!B50</f>
        <v>War</v>
      </c>
      <c r="G38" s="405"/>
      <c r="H38" s="405"/>
      <c r="I38" s="405"/>
      <c r="J38" s="405"/>
      <c r="K38" s="401" t="str">
        <f>VLOOKUP(Values!$S50,Points!$A$1:$B$11,2,0)</f>
        <v>○○○○○</v>
      </c>
      <c r="L38" s="401"/>
      <c r="M38" s="401"/>
      <c r="N38" s="5"/>
      <c r="O38" s="5"/>
      <c r="P38" s="5"/>
      <c r="Q38" s="5"/>
      <c r="R38" s="5"/>
      <c r="S38" s="5"/>
      <c r="T38" s="5"/>
      <c r="U38" s="5"/>
      <c r="W38" s="5"/>
      <c r="X38" s="5"/>
      <c r="Y38" s="5"/>
      <c r="Z38" s="5"/>
      <c r="AA38" s="5"/>
      <c r="AB38" s="5"/>
      <c r="AC38" s="5"/>
      <c r="AD38" s="5"/>
      <c r="AE38" s="5"/>
      <c r="AF38" s="5"/>
      <c r="AG38" s="5"/>
      <c r="AH38" s="5"/>
      <c r="AI38" s="5"/>
      <c r="AJ38" s="5"/>
      <c r="AK38" s="5"/>
      <c r="AL38" s="5"/>
      <c r="AM38" s="5"/>
      <c r="AN38" s="5"/>
      <c r="AO38" s="5"/>
      <c r="AP38" s="5"/>
      <c r="AQ38" s="5"/>
      <c r="AR38" s="5"/>
      <c r="AS38" s="5"/>
      <c r="AT38" s="5"/>
      <c r="AU38" s="5"/>
      <c r="AV38" s="5"/>
      <c r="AW38" s="5"/>
      <c r="AX38" s="5"/>
      <c r="AY38" s="7"/>
      <c r="AZ38" s="5"/>
      <c r="BA38" s="5"/>
      <c r="BB38" s="5"/>
      <c r="BC38" s="5"/>
      <c r="BD38" s="5"/>
      <c r="BE38" s="5"/>
      <c r="BF38" s="5"/>
      <c r="BG38" s="5"/>
      <c r="BH38" s="5"/>
      <c r="BI38" s="5"/>
      <c r="BJ38" s="5"/>
      <c r="BK38" s="5"/>
      <c r="BL38" s="5"/>
      <c r="BM38" s="5"/>
      <c r="BN38" s="5"/>
      <c r="BO38" s="5"/>
      <c r="BP38" s="5"/>
      <c r="BQ38" s="5"/>
      <c r="BR38" s="5"/>
      <c r="BS38" s="5"/>
      <c r="BT38" s="5"/>
    </row>
    <row r="39" spans="1:72" ht="20.100000000000001" customHeight="1">
      <c r="A39" s="5"/>
      <c r="B39" s="5"/>
      <c r="C39" s="5"/>
      <c r="D39" s="385" t="s">
        <v>1430</v>
      </c>
      <c r="E39" s="385"/>
      <c r="F39" s="385"/>
      <c r="G39" s="385"/>
      <c r="H39" s="385"/>
      <c r="I39" s="385"/>
      <c r="J39" s="385"/>
      <c r="K39" s="385"/>
      <c r="L39" s="5"/>
      <c r="M39" s="5"/>
      <c r="N39" s="5"/>
      <c r="O39" s="5"/>
      <c r="P39" s="5"/>
      <c r="Q39" s="5"/>
      <c r="R39" s="5"/>
      <c r="S39" s="5"/>
      <c r="T39" s="5"/>
      <c r="U39" s="5"/>
      <c r="V39" s="5"/>
      <c r="W39" s="5"/>
      <c r="X39" s="5"/>
      <c r="Y39" s="5"/>
      <c r="Z39" s="5"/>
      <c r="AA39" s="5"/>
      <c r="AB39" s="5"/>
      <c r="AC39" s="5"/>
      <c r="AD39" s="385" t="s">
        <v>58</v>
      </c>
      <c r="AE39" s="385"/>
      <c r="AF39" s="385"/>
      <c r="AG39" s="385"/>
      <c r="AH39" s="385"/>
      <c r="AI39" s="5"/>
      <c r="AJ39" s="5"/>
      <c r="AK39" s="5"/>
      <c r="AL39" s="5"/>
      <c r="AM39" s="5"/>
      <c r="AN39" s="5"/>
      <c r="AO39" s="5"/>
      <c r="AP39" s="5"/>
      <c r="AQ39" s="5"/>
      <c r="AR39" s="5"/>
      <c r="AS39" s="5"/>
      <c r="AT39" s="5"/>
      <c r="AU39" s="5"/>
      <c r="AV39" s="5"/>
      <c r="AW39" s="5"/>
      <c r="AX39" s="5"/>
      <c r="AY39" s="7"/>
      <c r="AZ39" s="5"/>
      <c r="BA39" s="5"/>
      <c r="BB39" s="5"/>
      <c r="BC39" s="5"/>
      <c r="BD39" s="5"/>
      <c r="BE39" s="5"/>
      <c r="BF39" s="5"/>
      <c r="BG39" s="5"/>
      <c r="BH39" s="5"/>
      <c r="BI39" s="5"/>
      <c r="BJ39" s="5"/>
      <c r="BK39" s="5"/>
      <c r="BL39" s="5"/>
      <c r="BM39" s="5"/>
      <c r="BN39" s="5"/>
      <c r="BO39" s="5"/>
      <c r="BP39" s="5"/>
      <c r="BQ39" s="5"/>
      <c r="BR39" s="5"/>
      <c r="BS39" s="5"/>
      <c r="BT39" s="5"/>
    </row>
    <row r="40" spans="1:72" ht="20.100000000000001" customHeight="1" thickBot="1">
      <c r="A40" s="5"/>
      <c r="B40" s="5"/>
      <c r="C40" s="5"/>
      <c r="D40" s="385"/>
      <c r="E40" s="385"/>
      <c r="F40" s="385"/>
      <c r="G40" s="385"/>
      <c r="H40" s="385"/>
      <c r="I40" s="385"/>
      <c r="J40" s="385"/>
      <c r="K40" s="385"/>
      <c r="L40" s="5"/>
      <c r="M40" s="5"/>
      <c r="N40" s="5"/>
      <c r="O40" s="5"/>
      <c r="P40" s="5"/>
      <c r="Q40" s="5"/>
      <c r="R40" s="5"/>
      <c r="S40" s="5"/>
      <c r="T40" s="5"/>
      <c r="U40" s="5"/>
      <c r="V40" s="5"/>
      <c r="W40" s="5"/>
      <c r="X40" s="5"/>
      <c r="Y40" s="5"/>
      <c r="Z40" s="5"/>
      <c r="AA40" s="5"/>
      <c r="AB40" s="5"/>
      <c r="AC40" s="5"/>
      <c r="AD40" s="385"/>
      <c r="AE40" s="385"/>
      <c r="AF40" s="385"/>
      <c r="AG40" s="385"/>
      <c r="AH40" s="385"/>
      <c r="AI40" s="5"/>
      <c r="AJ40" s="5"/>
      <c r="AK40" s="5"/>
      <c r="AL40" s="5"/>
      <c r="AM40" s="5"/>
      <c r="AN40" s="5"/>
      <c r="AO40" s="5"/>
      <c r="AP40" s="5"/>
      <c r="AQ40" s="5"/>
      <c r="AR40" s="5"/>
      <c r="AS40" s="5"/>
      <c r="AT40" s="5"/>
      <c r="AU40" s="5"/>
      <c r="AV40" s="5"/>
      <c r="AW40" s="5"/>
      <c r="AX40" s="5"/>
      <c r="AY40" s="7"/>
      <c r="AZ40" s="5"/>
      <c r="BA40" s="5"/>
      <c r="BB40" s="5"/>
      <c r="BC40" s="5"/>
      <c r="BD40" s="5"/>
      <c r="BE40" s="5"/>
      <c r="BF40" s="5"/>
      <c r="BG40" s="5"/>
      <c r="BH40" s="5"/>
      <c r="BI40" s="5"/>
      <c r="BJ40" s="5"/>
      <c r="BK40" s="5"/>
      <c r="BL40" s="5"/>
      <c r="BM40" s="5"/>
      <c r="BN40" s="5"/>
      <c r="BO40" s="5"/>
      <c r="BP40" s="5"/>
      <c r="BQ40" s="5"/>
      <c r="BR40" s="5"/>
      <c r="BS40" s="5"/>
      <c r="BT40" s="5"/>
    </row>
    <row r="41" spans="1:72" ht="20.100000000000001" customHeight="1">
      <c r="B41" s="37" t="s">
        <v>3077</v>
      </c>
      <c r="C41" s="34"/>
      <c r="D41" s="37" t="s">
        <v>16</v>
      </c>
      <c r="F41" s="34"/>
      <c r="G41" s="34"/>
      <c r="H41" s="34"/>
      <c r="I41" s="34"/>
      <c r="J41" s="34"/>
      <c r="K41" s="34"/>
      <c r="L41" s="5"/>
      <c r="M41" s="5"/>
      <c r="N41" s="36" t="s">
        <v>16</v>
      </c>
      <c r="P41" s="406" t="s">
        <v>81</v>
      </c>
      <c r="Q41" s="406"/>
      <c r="S41" s="406" t="s">
        <v>80</v>
      </c>
      <c r="T41" s="406"/>
      <c r="U41" s="406"/>
      <c r="V41" s="406"/>
      <c r="W41" s="406"/>
      <c r="X41" s="406" t="s">
        <v>252</v>
      </c>
      <c r="Y41" s="406"/>
      <c r="Z41" s="406"/>
      <c r="AA41" s="406"/>
      <c r="AB41" s="382" t="s">
        <v>3462</v>
      </c>
      <c r="AC41" s="382"/>
      <c r="AD41" s="35"/>
      <c r="AE41" s="36" t="s">
        <v>3157</v>
      </c>
      <c r="AF41" s="36" t="s">
        <v>3158</v>
      </c>
      <c r="AG41" s="36" t="s">
        <v>3159</v>
      </c>
      <c r="AH41" s="36" t="s">
        <v>3160</v>
      </c>
      <c r="AI41" s="36" t="s">
        <v>3161</v>
      </c>
      <c r="AJ41" s="24" t="s">
        <v>3162</v>
      </c>
      <c r="AK41" s="5"/>
      <c r="AL41" s="406" t="s">
        <v>3163</v>
      </c>
      <c r="AM41" s="406"/>
      <c r="AN41" s="406"/>
      <c r="AO41" s="36"/>
      <c r="AP41" s="36" t="s">
        <v>3153</v>
      </c>
      <c r="AQ41" s="36"/>
      <c r="AR41" s="406" t="s">
        <v>60</v>
      </c>
      <c r="AS41" s="406"/>
      <c r="AT41" s="406"/>
      <c r="AU41" s="406"/>
      <c r="AV41" s="406"/>
      <c r="AW41" s="406"/>
      <c r="AX41" s="406"/>
      <c r="AY41" s="43" t="s">
        <v>3154</v>
      </c>
      <c r="AZ41" s="5"/>
      <c r="BA41" s="434" t="str">
        <f>$BA$8</f>
        <v>You must go back to Creation_1 to spend your Attributes points properly</v>
      </c>
      <c r="BB41" s="435"/>
      <c r="BC41" s="435"/>
      <c r="BD41" s="435"/>
      <c r="BE41" s="435"/>
      <c r="BF41" s="435"/>
      <c r="BG41" s="435"/>
      <c r="BH41" s="435"/>
      <c r="BI41" s="435"/>
      <c r="BJ41" s="435"/>
      <c r="BK41" s="435"/>
      <c r="BL41" s="435"/>
      <c r="BM41" s="435"/>
      <c r="BN41" s="436"/>
      <c r="BO41" s="5"/>
      <c r="BP41" s="5"/>
      <c r="BQ41" s="5"/>
      <c r="BR41" s="5"/>
      <c r="BS41" s="5"/>
      <c r="BT41" s="5"/>
    </row>
    <row r="42" spans="1:72" ht="20.100000000000001" customHeight="1" thickBot="1">
      <c r="A42" s="5"/>
      <c r="B42" s="5"/>
      <c r="C42" s="5"/>
      <c r="D42" s="60" t="str">
        <f>IF(Values!E53&lt;&gt;0,Values!E53,"")</f>
        <v/>
      </c>
      <c r="E42" s="63"/>
      <c r="F42" s="400" t="str">
        <f>IF(ISBLANK(E42),IF(Values!F53&lt;&gt;0,Values!F53,""),E42)</f>
        <v/>
      </c>
      <c r="G42" s="400"/>
      <c r="H42" s="400"/>
      <c r="I42" s="400"/>
      <c r="J42" s="400"/>
      <c r="K42" s="401" t="str">
        <f>VLOOKUP(Values!$S53,Points!$A$1:$B$11,2,0)</f>
        <v>○○○○○</v>
      </c>
      <c r="L42" s="401"/>
      <c r="M42" s="401"/>
      <c r="N42" s="5"/>
      <c r="O42" s="389" t="str">
        <f>IF(Creation_1!N42&lt;&gt;0,Creation_1!N42,"")</f>
        <v>Unarmed</v>
      </c>
      <c r="P42" s="389"/>
      <c r="Q42" s="389"/>
      <c r="R42" s="63"/>
      <c r="S42" s="407" t="str">
        <f>IF(ISBLANK(R42),IF(Creation_1!R42&lt;&gt;0,Creation_1!R42,""),R42)</f>
        <v>Unarmed</v>
      </c>
      <c r="T42" s="407"/>
      <c r="U42" s="407"/>
      <c r="V42" s="407"/>
      <c r="W42" s="407"/>
      <c r="X42" s="389" t="str">
        <f>IF(Creation_1!X42&lt;&gt;0,Creation_1!X42,"")</f>
        <v>Brawl</v>
      </c>
      <c r="Y42" s="389"/>
      <c r="Z42" s="389"/>
      <c r="AA42" s="389"/>
      <c r="AB42" s="404" t="str">
        <f>IF(Creation_1!AB42&lt;&gt;0,Creation_1!AB42,"")</f>
        <v/>
      </c>
      <c r="AC42" s="404"/>
      <c r="AD42" s="5"/>
      <c r="AE42" s="20">
        <f ca="1">IFERROR((VLOOKUP($O42,Weapons!$B$2:$L$98,COLUMN(G$1),0)+$AJ42),"")</f>
        <v>5</v>
      </c>
      <c r="AF42" s="20" t="str">
        <f ca="1">IFERROR((VLOOKUP($O42,Weapons!$B$2:$L$98,COLUMN(H$1),0)+$AJ42),"")</f>
        <v/>
      </c>
      <c r="AG42" s="20" t="str">
        <f ca="1">IFERROR((VLOOKUP($O42,Weapons!$B$2:$L$98,COLUMN(I$1),0)+$AJ42),"")</f>
        <v/>
      </c>
      <c r="AH42" s="20" t="str">
        <f ca="1">IFERROR((VLOOKUP($O42,Weapons!$B$2:$L$98,COLUMN(J$1),0)+$AJ42),"")</f>
        <v/>
      </c>
      <c r="AI42" s="20" t="str">
        <f ca="1">IFERROR((VLOOKUP($O42,Weapons!$B$2:$L$98,COLUMN(K$1),0)+$AJ42),"")</f>
        <v/>
      </c>
      <c r="AJ42" s="25">
        <f ca="1">IFERROR(VLOOKUP($X42,Values!$A$24:$V$58,19,0)+IF($AB42="",Values!$S$12,VLOOKUP($AB42,Values!$B$11:$V$21,18,0))+INDIRECT("Values!$F"&amp;120+ROWS($AK$42:AK42)*2),"")</f>
        <v>1</v>
      </c>
      <c r="AK42" s="21"/>
      <c r="AL42" s="20">
        <f>IFERROR(Values!$S$11*(IF(OR($O42=Weapons!$B$11,$O42=Weapons!$B$20),0,1))+VLOOKUP($O42,Weapons!$B$2:$L$98,COLUMN(B$1),0),"")</f>
        <v>8</v>
      </c>
      <c r="AM42" s="22" t="s">
        <v>3076</v>
      </c>
      <c r="AN42" s="20">
        <f>IFERROR(VLOOKUP($O42,Weapons!$B$2:$L$98,COLUMN(D$1),0),"")</f>
        <v>1</v>
      </c>
      <c r="AO42" s="5"/>
      <c r="AP42" s="20">
        <f ca="1">IFERROR(ROUNDUP(AJ42/2,0)+VLOOKUP(O42,Weapons!$B$2:$L$98,3,0),"")</f>
        <v>1</v>
      </c>
      <c r="AQ42" s="70"/>
      <c r="AR42" s="384" t="str">
        <f>IF(ISBLANK(AQ42),IF(Creation_1!AR42&lt;&gt;0,Creation_1!AR42,""),AQ42)</f>
        <v>Bashing</v>
      </c>
      <c r="AS42" s="384"/>
      <c r="AT42" s="384"/>
      <c r="AU42" s="384"/>
      <c r="AV42" s="384"/>
      <c r="AW42" s="384"/>
      <c r="AX42" s="384"/>
      <c r="AY42" s="7" t="str">
        <f>IFERROR(VLOOKUP($O42,Weapons!$B$2:$L$98,5,0),"")</f>
        <v/>
      </c>
      <c r="AZ42" s="5"/>
      <c r="BA42" s="437"/>
      <c r="BB42" s="438"/>
      <c r="BC42" s="438"/>
      <c r="BD42" s="438"/>
      <c r="BE42" s="438"/>
      <c r="BF42" s="438"/>
      <c r="BG42" s="438"/>
      <c r="BH42" s="438"/>
      <c r="BI42" s="438"/>
      <c r="BJ42" s="438"/>
      <c r="BK42" s="438"/>
      <c r="BL42" s="438"/>
      <c r="BM42" s="438"/>
      <c r="BN42" s="439"/>
      <c r="BO42" s="5"/>
      <c r="BP42" s="5"/>
      <c r="BQ42" s="5"/>
      <c r="BR42" s="5"/>
      <c r="BS42" s="5"/>
      <c r="BT42" s="5"/>
    </row>
    <row r="43" spans="1:72" ht="20.100000000000001" customHeight="1">
      <c r="A43" s="5"/>
      <c r="B43" s="5"/>
      <c r="C43" s="5"/>
      <c r="D43" s="60" t="str">
        <f>IF(Values!E54&lt;&gt;0,Values!E54,"")</f>
        <v/>
      </c>
      <c r="E43" s="63"/>
      <c r="F43" s="400" t="str">
        <f>IF(ISBLANK(E43),IF(Values!F54&lt;&gt;0,Values!F54,""),E43)</f>
        <v/>
      </c>
      <c r="G43" s="400"/>
      <c r="H43" s="400"/>
      <c r="I43" s="400"/>
      <c r="J43" s="400"/>
      <c r="K43" s="401" t="str">
        <f>VLOOKUP(Values!$S54,Points!$A$1:$B$11,2,0)</f>
        <v>○○○○○</v>
      </c>
      <c r="L43" s="401"/>
      <c r="M43" s="401"/>
      <c r="N43" s="5"/>
      <c r="O43" s="402" t="str">
        <f>IF(Creation_1!N43&lt;&gt;0,Creation_1!N43,"")</f>
        <v/>
      </c>
      <c r="P43" s="402"/>
      <c r="Q43" s="402"/>
      <c r="R43" s="63"/>
      <c r="S43" s="403" t="str">
        <f>IF(ISBLANK(R43),IF(Creation_1!R43&lt;&gt;0,Creation_1!R43,""),R43)</f>
        <v/>
      </c>
      <c r="T43" s="403"/>
      <c r="U43" s="403"/>
      <c r="V43" s="403"/>
      <c r="W43" s="403"/>
      <c r="X43" s="402" t="str">
        <f>IF(Creation_1!X43&lt;&gt;0,Creation_1!X43,"")</f>
        <v/>
      </c>
      <c r="Y43" s="402"/>
      <c r="Z43" s="402"/>
      <c r="AA43" s="402"/>
      <c r="AB43" s="404" t="str">
        <f>IF(Creation_1!AB43&lt;&gt;0,Creation_1!AB43,"")</f>
        <v/>
      </c>
      <c r="AC43" s="404"/>
      <c r="AD43" s="5"/>
      <c r="AE43" s="20" t="str">
        <f ca="1">IFERROR((VLOOKUP($O43,Weapons!$B$2:$L$98,COLUMN(G$1),0)+$AJ43),"")</f>
        <v/>
      </c>
      <c r="AF43" s="20" t="str">
        <f ca="1">IFERROR((VLOOKUP($O43,Weapons!$B$2:$L$98,COLUMN(H$1),0)+$AJ43),"")</f>
        <v/>
      </c>
      <c r="AG43" s="20" t="str">
        <f ca="1">IFERROR((VLOOKUP($O43,Weapons!$B$2:$L$98,COLUMN(I$1),0)+$AJ43),"")</f>
        <v/>
      </c>
      <c r="AH43" s="20" t="str">
        <f ca="1">IFERROR((VLOOKUP($O43,Weapons!$B$2:$L$98,COLUMN(J$1),0)+$AJ43),"")</f>
        <v/>
      </c>
      <c r="AI43" s="20" t="str">
        <f ca="1">IFERROR((VLOOKUP($O43,Weapons!$B$2:$L$98,COLUMN(K$1),0)+$AJ43),"")</f>
        <v/>
      </c>
      <c r="AJ43" s="25" t="str">
        <f ca="1">IFERROR(VLOOKUP($X43,Values!$A$24:$V$58,19,0)+IF($AB43="",Values!$S$12,VLOOKUP($AB43,Values!$B$11:$V$21,18,0))+INDIRECT("Values!$F"&amp;120+ROWS($AK$42:AK43)*2),"")</f>
        <v/>
      </c>
      <c r="AK43" s="21"/>
      <c r="AL43" s="20" t="str">
        <f>IFERROR(Values!$S$11*(IF(OR($O43=Weapons!$B$11,$O43=Weapons!$B$20),0,1))+VLOOKUP($O43,Weapons!$B$2:$L$98,COLUMN(B$1),0),"")</f>
        <v/>
      </c>
      <c r="AM43" s="22" t="s">
        <v>3076</v>
      </c>
      <c r="AN43" s="20" t="str">
        <f>IFERROR(VLOOKUP($O43,Weapons!$B$2:$L$98,COLUMN(D$1),0),"")</f>
        <v/>
      </c>
      <c r="AO43" s="5"/>
      <c r="AP43" s="20" t="str">
        <f ca="1">IFERROR(ROUNDUP(AJ43/2,0)+VLOOKUP(O43,Weapons!$B$2:$L$98,3,0),"")</f>
        <v/>
      </c>
      <c r="AQ43" s="70"/>
      <c r="AR43" s="384" t="str">
        <f>IF(ISBLANK(AQ43),IF(Creation_1!AR43&lt;&gt;0,Creation_1!AR43,""),AQ43)</f>
        <v/>
      </c>
      <c r="AS43" s="384"/>
      <c r="AT43" s="384"/>
      <c r="AU43" s="384"/>
      <c r="AV43" s="384"/>
      <c r="AW43" s="384"/>
      <c r="AX43" s="384"/>
      <c r="AY43" s="7" t="str">
        <f>IF(COUNTIF($S$42:S42,IF(S43="",,S43))&gt;0,"",IFERROR(VLOOKUP($O43,Weapons!$B$2:$L$98,5,0),""))</f>
        <v/>
      </c>
      <c r="AZ43" s="5"/>
      <c r="BA43" s="5"/>
      <c r="BB43" s="5"/>
      <c r="BC43" s="5"/>
      <c r="BD43" s="5"/>
      <c r="BE43" s="5"/>
      <c r="BF43" s="5"/>
      <c r="BG43" s="5"/>
      <c r="BH43" s="5"/>
      <c r="BI43" s="5"/>
      <c r="BJ43" s="5"/>
      <c r="BK43" s="5"/>
      <c r="BL43" s="5"/>
      <c r="BM43" s="5"/>
      <c r="BN43" s="5"/>
      <c r="BO43" s="5"/>
      <c r="BP43" s="5"/>
      <c r="BQ43" s="5"/>
      <c r="BR43" s="5"/>
      <c r="BS43" s="5"/>
      <c r="BT43" s="5"/>
    </row>
    <row r="44" spans="1:72" ht="20.100000000000001" customHeight="1">
      <c r="A44" s="5"/>
      <c r="B44" s="5"/>
      <c r="C44" s="5"/>
      <c r="D44" s="60" t="str">
        <f>IF(Values!E55&lt;&gt;0,Values!E55,"")</f>
        <v/>
      </c>
      <c r="E44" s="63"/>
      <c r="F44" s="400" t="str">
        <f>IF(ISBLANK(E44),IF(Values!F55&lt;&gt;0,Values!F55,""),E44)</f>
        <v/>
      </c>
      <c r="G44" s="400"/>
      <c r="H44" s="400"/>
      <c r="I44" s="400"/>
      <c r="J44" s="400"/>
      <c r="K44" s="401" t="str">
        <f>VLOOKUP(Values!$S55,Points!$A$1:$B$11,2,0)</f>
        <v>○○○○○</v>
      </c>
      <c r="L44" s="401"/>
      <c r="M44" s="401"/>
      <c r="N44" s="5"/>
      <c r="O44" s="402" t="str">
        <f>IF(Creation_1!N44&lt;&gt;0,Creation_1!N44,"")</f>
        <v/>
      </c>
      <c r="P44" s="402"/>
      <c r="Q44" s="402"/>
      <c r="R44" s="63"/>
      <c r="S44" s="403" t="str">
        <f>IF(ISBLANK(R44),IF(Creation_1!R44&lt;&gt;0,Creation_1!R44,""),R44)</f>
        <v/>
      </c>
      <c r="T44" s="403"/>
      <c r="U44" s="403"/>
      <c r="V44" s="403"/>
      <c r="W44" s="403"/>
      <c r="X44" s="402" t="str">
        <f>IF(Creation_1!X44&lt;&gt;0,Creation_1!X44,"")</f>
        <v/>
      </c>
      <c r="Y44" s="402"/>
      <c r="Z44" s="402"/>
      <c r="AA44" s="402"/>
      <c r="AB44" s="404" t="str">
        <f>IF(Creation_1!AB44&lt;&gt;0,Creation_1!AB44,"")</f>
        <v/>
      </c>
      <c r="AC44" s="404"/>
      <c r="AD44" s="5"/>
      <c r="AE44" s="20" t="str">
        <f ca="1">IFERROR((VLOOKUP($O44,Weapons!$B$2:$L$98,COLUMN(G$1),0)+$AJ44),"")</f>
        <v/>
      </c>
      <c r="AF44" s="20" t="str">
        <f ca="1">IFERROR((VLOOKUP($O44,Weapons!$B$2:$L$98,COLUMN(H$1),0)+$AJ44),"")</f>
        <v/>
      </c>
      <c r="AG44" s="20" t="str">
        <f ca="1">IFERROR((VLOOKUP($O44,Weapons!$B$2:$L$98,COLUMN(I$1),0)+$AJ44),"")</f>
        <v/>
      </c>
      <c r="AH44" s="20" t="str">
        <f ca="1">IFERROR((VLOOKUP($O44,Weapons!$B$2:$L$98,COLUMN(J$1),0)+$AJ44),"")</f>
        <v/>
      </c>
      <c r="AI44" s="20" t="str">
        <f ca="1">IFERROR((VLOOKUP($O44,Weapons!$B$2:$L$98,COLUMN(K$1),0)+$AJ44),"")</f>
        <v/>
      </c>
      <c r="AJ44" s="25" t="str">
        <f ca="1">IFERROR(VLOOKUP($X44,Values!$A$24:$V$58,19,0)+IF($AB44="",Values!$S$12,VLOOKUP($AB44,Values!$B$11:$V$21,18,0))+INDIRECT("Values!$F"&amp;120+ROWS($AK$42:AK44)*2),"")</f>
        <v/>
      </c>
      <c r="AK44" s="21"/>
      <c r="AL44" s="20" t="str">
        <f>IFERROR(Values!$S$11*(IF(OR($O44=Weapons!$B$11,$O44=Weapons!$B$20),0,1))+VLOOKUP($O44,Weapons!$B$2:$L$98,COLUMN(B$1),0),"")</f>
        <v/>
      </c>
      <c r="AM44" s="22" t="s">
        <v>3076</v>
      </c>
      <c r="AN44" s="20" t="str">
        <f>IFERROR(VLOOKUP($O44,Weapons!$B$2:$L$98,COLUMN(D$1),0),"")</f>
        <v/>
      </c>
      <c r="AO44" s="5"/>
      <c r="AP44" s="20" t="str">
        <f ca="1">IFERROR(ROUNDUP(AJ44/2,0)+VLOOKUP(O44,Weapons!$B$2:$L$98,3,0),"")</f>
        <v/>
      </c>
      <c r="AQ44" s="70"/>
      <c r="AR44" s="384" t="str">
        <f>IF(ISBLANK(AQ44),IF(Creation_1!AR44&lt;&gt;0,Creation_1!AR44,""),AQ44)</f>
        <v/>
      </c>
      <c r="AS44" s="384"/>
      <c r="AT44" s="384"/>
      <c r="AU44" s="384"/>
      <c r="AV44" s="384"/>
      <c r="AW44" s="384"/>
      <c r="AX44" s="384"/>
      <c r="AY44" s="7" t="str">
        <f>IF(COUNTIF($S$42:S43,IF(S44="",,S44))&gt;0,"",IFERROR(VLOOKUP($O44,Weapons!$B$2:$L$98,5,0),""))</f>
        <v/>
      </c>
      <c r="AZ44" s="299" t="s">
        <v>3509</v>
      </c>
      <c r="BA44" s="380"/>
      <c r="BB44" s="380"/>
      <c r="BC44" s="380"/>
      <c r="BD44" s="380"/>
      <c r="BE44" s="380"/>
      <c r="BF44" s="380"/>
      <c r="BG44" s="380"/>
      <c r="BH44" s="380"/>
      <c r="BI44" s="380"/>
      <c r="BJ44" s="380"/>
      <c r="BK44" s="380"/>
      <c r="BL44" s="380"/>
      <c r="BM44" s="380"/>
      <c r="BN44" s="380"/>
      <c r="BO44" s="380"/>
      <c r="BP44" s="380"/>
      <c r="BQ44" s="380"/>
      <c r="BR44" s="380"/>
      <c r="BS44" s="380"/>
      <c r="BT44" s="380"/>
    </row>
    <row r="45" spans="1:72" ht="20.100000000000001" customHeight="1">
      <c r="A45" s="5"/>
      <c r="B45" s="5"/>
      <c r="C45" s="5"/>
      <c r="D45" s="60" t="str">
        <f>IF(Values!E56&lt;&gt;0,Values!E56,"")</f>
        <v/>
      </c>
      <c r="E45" s="63"/>
      <c r="F45" s="400" t="str">
        <f>IF(ISBLANK(E45),IF(Values!F56&lt;&gt;0,Values!F56,""),E45)</f>
        <v/>
      </c>
      <c r="G45" s="400"/>
      <c r="H45" s="400"/>
      <c r="I45" s="400"/>
      <c r="J45" s="400"/>
      <c r="K45" s="401" t="str">
        <f>VLOOKUP(Values!$S56,Points!$A$1:$B$11,2,0)</f>
        <v>○○○○○</v>
      </c>
      <c r="L45" s="401"/>
      <c r="M45" s="401"/>
      <c r="N45" s="5"/>
      <c r="O45" s="402" t="str">
        <f>IF(Creation_1!N45&lt;&gt;0,Creation_1!N45,"")</f>
        <v/>
      </c>
      <c r="P45" s="402"/>
      <c r="Q45" s="402"/>
      <c r="R45" s="63"/>
      <c r="S45" s="403" t="str">
        <f>IF(ISBLANK(R45),IF(Creation_1!R45&lt;&gt;0,Creation_1!R45,""),R45)</f>
        <v/>
      </c>
      <c r="T45" s="403"/>
      <c r="U45" s="403"/>
      <c r="V45" s="403"/>
      <c r="W45" s="403"/>
      <c r="X45" s="402" t="str">
        <f>IF(Creation_1!X45&lt;&gt;0,Creation_1!X45,"")</f>
        <v/>
      </c>
      <c r="Y45" s="402"/>
      <c r="Z45" s="402"/>
      <c r="AA45" s="402"/>
      <c r="AB45" s="404" t="str">
        <f>IF(Creation_1!AB45&lt;&gt;0,Creation_1!AB45,"")</f>
        <v/>
      </c>
      <c r="AC45" s="404"/>
      <c r="AD45" s="5"/>
      <c r="AE45" s="20" t="str">
        <f ca="1">IFERROR((VLOOKUP($O45,Weapons!$B$2:$L$98,COLUMN(G$1),0)+$AJ45),"")</f>
        <v/>
      </c>
      <c r="AF45" s="20" t="str">
        <f ca="1">IFERROR((VLOOKUP($O45,Weapons!$B$2:$L$98,COLUMN(H$1),0)+$AJ45),"")</f>
        <v/>
      </c>
      <c r="AG45" s="20" t="str">
        <f ca="1">IFERROR((VLOOKUP($O45,Weapons!$B$2:$L$98,COLUMN(I$1),0)+$AJ45),"")</f>
        <v/>
      </c>
      <c r="AH45" s="20" t="str">
        <f ca="1">IFERROR((VLOOKUP($O45,Weapons!$B$2:$L$98,COLUMN(J$1),0)+$AJ45),"")</f>
        <v/>
      </c>
      <c r="AI45" s="20" t="str">
        <f ca="1">IFERROR((VLOOKUP($O45,Weapons!$B$2:$L$98,COLUMN(K$1),0)+$AJ45),"")</f>
        <v/>
      </c>
      <c r="AJ45" s="25" t="str">
        <f ca="1">IFERROR(VLOOKUP($X45,Values!$A$24:$V$58,19,0)+IF($AB45="",Values!$S$12,VLOOKUP($AB45,Values!$B$11:$V$21,18,0))+INDIRECT("Values!$F"&amp;120+ROWS($AK$42:AK45)*2),"")</f>
        <v/>
      </c>
      <c r="AK45" s="21"/>
      <c r="AL45" s="20" t="str">
        <f>IFERROR(Values!$S$11*(IF(OR($O45=Weapons!$B$11,$O45=Weapons!$B$20),0,1))+VLOOKUP($O45,Weapons!$B$2:$L$98,COLUMN(B$1),0),"")</f>
        <v/>
      </c>
      <c r="AM45" s="22" t="s">
        <v>3076</v>
      </c>
      <c r="AN45" s="20" t="str">
        <f>IFERROR(VLOOKUP($O45,Weapons!$B$2:$L$98,COLUMN(D$1),0),"")</f>
        <v/>
      </c>
      <c r="AO45" s="5"/>
      <c r="AP45" s="20" t="str">
        <f ca="1">IFERROR(ROUNDUP(AJ45/2,0)+VLOOKUP(O45,Weapons!$B$2:$L$98,3,0),"")</f>
        <v/>
      </c>
      <c r="AQ45" s="70"/>
      <c r="AR45" s="384" t="str">
        <f>IF(ISBLANK(AQ45),IF(Creation_1!AR45&lt;&gt;0,Creation_1!AR45,""),AQ45)</f>
        <v/>
      </c>
      <c r="AS45" s="384"/>
      <c r="AT45" s="384"/>
      <c r="AU45" s="384"/>
      <c r="AV45" s="384"/>
      <c r="AW45" s="384"/>
      <c r="AX45" s="384"/>
      <c r="AY45" s="7" t="str">
        <f>IF(COUNTIF($S$42:S44,IF(S45="",,S45))&gt;0,"",IFERROR(VLOOKUP($O45,Weapons!$B$2:$L$98,5,0),""))</f>
        <v/>
      </c>
      <c r="AZ45" s="381"/>
      <c r="BA45" s="380"/>
      <c r="BB45" s="380"/>
      <c r="BC45" s="380"/>
      <c r="BD45" s="380"/>
      <c r="BE45" s="380"/>
      <c r="BF45" s="380"/>
      <c r="BG45" s="380"/>
      <c r="BH45" s="380"/>
      <c r="BI45" s="380"/>
      <c r="BJ45" s="380"/>
      <c r="BK45" s="380"/>
      <c r="BL45" s="380"/>
      <c r="BM45" s="380"/>
      <c r="BN45" s="380"/>
      <c r="BO45" s="380"/>
      <c r="BP45" s="380"/>
      <c r="BQ45" s="380"/>
      <c r="BR45" s="380"/>
      <c r="BS45" s="380"/>
      <c r="BT45" s="380"/>
    </row>
    <row r="46" spans="1:72" ht="20.100000000000001" customHeight="1">
      <c r="A46" s="5"/>
      <c r="B46" s="5"/>
      <c r="C46" s="5"/>
      <c r="D46" s="60" t="str">
        <f>IF(Values!E57&lt;&gt;0,Values!E57,"")</f>
        <v/>
      </c>
      <c r="E46" s="63"/>
      <c r="F46" s="400" t="str">
        <f>IF(ISBLANK(E46),IF(Values!F57&lt;&gt;0,Values!F57,""),E46)</f>
        <v/>
      </c>
      <c r="G46" s="400"/>
      <c r="H46" s="400"/>
      <c r="I46" s="400"/>
      <c r="J46" s="400"/>
      <c r="K46" s="401" t="str">
        <f>VLOOKUP(Values!$S57,Points!$A$1:$B$11,2,0)</f>
        <v>○○○○○</v>
      </c>
      <c r="L46" s="401"/>
      <c r="M46" s="401"/>
      <c r="N46" s="5"/>
      <c r="O46" s="402" t="str">
        <f>IF(Creation_1!N46&lt;&gt;0,Creation_1!N46,"")</f>
        <v/>
      </c>
      <c r="P46" s="402"/>
      <c r="Q46" s="402"/>
      <c r="R46" s="63"/>
      <c r="S46" s="403" t="str">
        <f>IF(ISBLANK(R46),IF(Creation_1!R46&lt;&gt;0,Creation_1!R46,""),R46)</f>
        <v/>
      </c>
      <c r="T46" s="403"/>
      <c r="U46" s="403"/>
      <c r="V46" s="403"/>
      <c r="W46" s="403"/>
      <c r="X46" s="402" t="str">
        <f>IF(Creation_1!X46&lt;&gt;0,Creation_1!X46,"")</f>
        <v/>
      </c>
      <c r="Y46" s="402"/>
      <c r="Z46" s="402"/>
      <c r="AA46" s="402"/>
      <c r="AB46" s="404" t="str">
        <f>IF(Creation_1!AB46&lt;&gt;0,Creation_1!AB46,"")</f>
        <v/>
      </c>
      <c r="AC46" s="404"/>
      <c r="AD46" s="5"/>
      <c r="AE46" s="20" t="str">
        <f ca="1">IFERROR((VLOOKUP($O46,Weapons!$B$2:$L$98,COLUMN(G$1),0)+$AJ46),"")</f>
        <v/>
      </c>
      <c r="AF46" s="20" t="str">
        <f ca="1">IFERROR((VLOOKUP($O46,Weapons!$B$2:$L$98,COLUMN(H$1),0)+$AJ46),"")</f>
        <v/>
      </c>
      <c r="AG46" s="20" t="str">
        <f ca="1">IFERROR((VLOOKUP($O46,Weapons!$B$2:$L$98,COLUMN(I$1),0)+$AJ46),"")</f>
        <v/>
      </c>
      <c r="AH46" s="20" t="str">
        <f ca="1">IFERROR((VLOOKUP($O46,Weapons!$B$2:$L$98,COLUMN(J$1),0)+$AJ46),"")</f>
        <v/>
      </c>
      <c r="AI46" s="20" t="str">
        <f ca="1">IFERROR((VLOOKUP($O46,Weapons!$B$2:$L$98,COLUMN(K$1),0)+$AJ46),"")</f>
        <v/>
      </c>
      <c r="AJ46" s="25" t="str">
        <f ca="1">IFERROR(VLOOKUP($X46,Values!$A$24:$V$58,19,0)+IF($AB46="",Values!$S$12,VLOOKUP($AB46,Values!$B$11:$V$21,18,0))+INDIRECT("Values!$F"&amp;120+ROWS($AK$42:AK46)*2),"")</f>
        <v/>
      </c>
      <c r="AK46" s="21"/>
      <c r="AL46" s="20" t="str">
        <f>IFERROR(Values!$S$11*(IF(OR($O46=Weapons!$B$11,$O46=Weapons!$B$20),0,1))+VLOOKUP($O46,Weapons!$B$2:$L$98,COLUMN(B$1),0),"")</f>
        <v/>
      </c>
      <c r="AM46" s="22" t="s">
        <v>3076</v>
      </c>
      <c r="AN46" s="20" t="str">
        <f>IFERROR(VLOOKUP($O46,Weapons!$B$2:$L$98,COLUMN(D$1),0),"")</f>
        <v/>
      </c>
      <c r="AO46" s="5"/>
      <c r="AP46" s="20" t="str">
        <f ca="1">IFERROR(ROUNDUP(AJ46/2,0)+VLOOKUP(O46,Weapons!$B$2:$L$98,3,0),"")</f>
        <v/>
      </c>
      <c r="AQ46" s="70"/>
      <c r="AR46" s="384" t="str">
        <f>IF(ISBLANK(AQ46),IF(Creation_1!AR46&lt;&gt;0,Creation_1!AR46,""),AQ46)</f>
        <v/>
      </c>
      <c r="AS46" s="384"/>
      <c r="AT46" s="384"/>
      <c r="AU46" s="384"/>
      <c r="AV46" s="384"/>
      <c r="AW46" s="384"/>
      <c r="AX46" s="384"/>
      <c r="AY46" s="7" t="str">
        <f>IF(COUNTIF($S$42:S45,IF(S46="",,S46))&gt;0,"",IFERROR(VLOOKUP($O46,Weapons!$B$2:$L$98,5,0),""))</f>
        <v/>
      </c>
      <c r="AZ46" s="381"/>
      <c r="BA46" s="380"/>
      <c r="BB46" s="380"/>
      <c r="BC46" s="380"/>
      <c r="BD46" s="380"/>
      <c r="BE46" s="380"/>
      <c r="BF46" s="380"/>
      <c r="BG46" s="380"/>
      <c r="BH46" s="380"/>
      <c r="BI46" s="380"/>
      <c r="BJ46" s="380"/>
      <c r="BK46" s="380"/>
      <c r="BL46" s="380"/>
      <c r="BM46" s="380"/>
      <c r="BN46" s="380"/>
      <c r="BO46" s="380"/>
      <c r="BP46" s="380"/>
      <c r="BQ46" s="380"/>
      <c r="BR46" s="380"/>
      <c r="BS46" s="380"/>
      <c r="BT46" s="380"/>
    </row>
    <row r="47" spans="1:72" ht="20.100000000000001" customHeight="1">
      <c r="A47" s="5"/>
      <c r="B47" s="5"/>
      <c r="C47" s="5"/>
      <c r="D47" s="60" t="str">
        <f>IF(Values!E58&lt;&gt;0,Values!E58,"")</f>
        <v/>
      </c>
      <c r="E47" s="63"/>
      <c r="F47" s="400" t="str">
        <f>IF(ISBLANK(E47),IF(Values!F58&lt;&gt;0,Values!F58,""),E47)</f>
        <v/>
      </c>
      <c r="G47" s="400"/>
      <c r="H47" s="400"/>
      <c r="I47" s="400"/>
      <c r="J47" s="400"/>
      <c r="K47" s="401" t="str">
        <f>VLOOKUP(Values!$S58,Points!$A$1:$B$11,2,0)</f>
        <v>○○○○○</v>
      </c>
      <c r="L47" s="401"/>
      <c r="M47" s="401"/>
      <c r="N47" s="5"/>
      <c r="O47" s="402" t="str">
        <f>IF(Creation_1!N47&lt;&gt;0,Creation_1!N47,"")</f>
        <v/>
      </c>
      <c r="P47" s="402"/>
      <c r="Q47" s="402"/>
      <c r="R47" s="63"/>
      <c r="S47" s="403" t="str">
        <f>IF(ISBLANK(R47),IF(Creation_1!R47&lt;&gt;0,Creation_1!R47,""),R47)</f>
        <v/>
      </c>
      <c r="T47" s="403"/>
      <c r="U47" s="403"/>
      <c r="V47" s="403"/>
      <c r="W47" s="403"/>
      <c r="X47" s="402" t="str">
        <f>IF(Creation_1!X47&lt;&gt;0,Creation_1!X47,"")</f>
        <v/>
      </c>
      <c r="Y47" s="402"/>
      <c r="Z47" s="402"/>
      <c r="AA47" s="402"/>
      <c r="AB47" s="404" t="str">
        <f>IF(Creation_1!AB47&lt;&gt;0,Creation_1!AB47,"")</f>
        <v/>
      </c>
      <c r="AC47" s="404"/>
      <c r="AD47" s="5"/>
      <c r="AE47" s="20" t="str">
        <f ca="1">IFERROR((VLOOKUP($O47,Weapons!$B$2:$L$98,COLUMN(G$1),0)+$AJ47),"")</f>
        <v/>
      </c>
      <c r="AF47" s="20" t="str">
        <f ca="1">IFERROR((VLOOKUP($O47,Weapons!$B$2:$L$98,COLUMN(H$1),0)+$AJ47),"")</f>
        <v/>
      </c>
      <c r="AG47" s="20" t="str">
        <f ca="1">IFERROR((VLOOKUP($O47,Weapons!$B$2:$L$98,COLUMN(I$1),0)+$AJ47),"")</f>
        <v/>
      </c>
      <c r="AH47" s="20" t="str">
        <f ca="1">IFERROR((VLOOKUP($O47,Weapons!$B$2:$L$98,COLUMN(J$1),0)+$AJ47),"")</f>
        <v/>
      </c>
      <c r="AI47" s="20" t="str">
        <f ca="1">IFERROR((VLOOKUP($O47,Weapons!$B$2:$L$98,COLUMN(K$1),0)+$AJ47),"")</f>
        <v/>
      </c>
      <c r="AJ47" s="25" t="str">
        <f ca="1">IFERROR(VLOOKUP($X47,Values!$A$24:$V$58,19,0)+IF($AB47="",Values!$S$12,VLOOKUP($AB47,Values!$B$11:$V$21,18,0))+INDIRECT("Values!$F"&amp;120+ROWS($AK$42:AK47)*2),"")</f>
        <v/>
      </c>
      <c r="AK47" s="21"/>
      <c r="AL47" s="20" t="str">
        <f>IFERROR(Values!$S$11*(IF(OR($O47=Weapons!$B$11,$O47=Weapons!$B$20),0,1))+VLOOKUP($O47,Weapons!$B$2:$L$98,COLUMN(B$1),0),"")</f>
        <v/>
      </c>
      <c r="AM47" s="22" t="s">
        <v>3076</v>
      </c>
      <c r="AN47" s="20" t="str">
        <f>IFERROR(VLOOKUP($O47,Weapons!$B$2:$L$98,COLUMN(D$1),0),"")</f>
        <v/>
      </c>
      <c r="AO47" s="5"/>
      <c r="AP47" s="20" t="str">
        <f ca="1">IFERROR(ROUNDUP(AJ47/2,0)+VLOOKUP(O47,Weapons!$B$2:$L$98,3,0),"")</f>
        <v/>
      </c>
      <c r="AQ47" s="70"/>
      <c r="AR47" s="384" t="str">
        <f>IF(ISBLANK(AQ47),IF(Creation_1!AR47&lt;&gt;0,Creation_1!AR47,""),AQ47)</f>
        <v/>
      </c>
      <c r="AS47" s="384"/>
      <c r="AT47" s="384"/>
      <c r="AU47" s="384"/>
      <c r="AV47" s="384"/>
      <c r="AW47" s="384"/>
      <c r="AX47" s="384"/>
      <c r="AY47" s="7" t="str">
        <f>IF(COUNTIF($S$42:S46,IF(S47="",,S47))&gt;0,"",IFERROR(VLOOKUP($O47,Weapons!$B$2:$L$98,5,0),""))</f>
        <v/>
      </c>
      <c r="AZ47" s="381"/>
      <c r="BA47" s="380"/>
      <c r="BB47" s="380"/>
      <c r="BC47" s="380"/>
      <c r="BD47" s="380"/>
      <c r="BE47" s="380"/>
      <c r="BF47" s="380"/>
      <c r="BG47" s="380"/>
      <c r="BH47" s="380"/>
      <c r="BI47" s="380"/>
      <c r="BJ47" s="380"/>
      <c r="BK47" s="380"/>
      <c r="BL47" s="380"/>
      <c r="BM47" s="380"/>
      <c r="BN47" s="380"/>
      <c r="BO47" s="380"/>
      <c r="BP47" s="380"/>
      <c r="BQ47" s="380"/>
      <c r="BR47" s="380"/>
      <c r="BS47" s="380"/>
      <c r="BT47" s="380"/>
    </row>
    <row r="48" spans="1:72" ht="20.100000000000001" customHeight="1">
      <c r="A48" s="5"/>
      <c r="B48" s="5"/>
      <c r="C48" s="5"/>
      <c r="D48" s="5"/>
      <c r="E48" s="5"/>
      <c r="F48" s="5"/>
      <c r="G48" s="5"/>
      <c r="H48" s="5"/>
      <c r="I48" s="5"/>
      <c r="J48" s="5"/>
      <c r="K48" s="5"/>
      <c r="L48" s="5"/>
      <c r="M48" s="5"/>
      <c r="N48" s="5"/>
      <c r="O48" s="402" t="str">
        <f>IF(Creation_1!N48&lt;&gt;0,Creation_1!N48,"")</f>
        <v/>
      </c>
      <c r="P48" s="402"/>
      <c r="Q48" s="402"/>
      <c r="R48" s="63"/>
      <c r="S48" s="403" t="str">
        <f>IF(ISBLANK(R48),IF(Creation_1!R48&lt;&gt;0,Creation_1!R48,""),R48)</f>
        <v/>
      </c>
      <c r="T48" s="403"/>
      <c r="U48" s="403"/>
      <c r="V48" s="403"/>
      <c r="W48" s="403"/>
      <c r="X48" s="402" t="str">
        <f>IF(Creation_1!X48&lt;&gt;0,Creation_1!X48,"")</f>
        <v/>
      </c>
      <c r="Y48" s="402"/>
      <c r="Z48" s="402"/>
      <c r="AA48" s="402"/>
      <c r="AB48" s="404" t="str">
        <f>IF(Creation_1!AB48&lt;&gt;0,Creation_1!AB48,"")</f>
        <v/>
      </c>
      <c r="AC48" s="404"/>
      <c r="AD48" s="5"/>
      <c r="AE48" s="20" t="str">
        <f ca="1">IFERROR((VLOOKUP($O48,Weapons!$B$2:$L$98,COLUMN(G$1),0)+$AJ48),"")</f>
        <v/>
      </c>
      <c r="AF48" s="20" t="str">
        <f ca="1">IFERROR((VLOOKUP($O48,Weapons!$B$2:$L$98,COLUMN(H$1),0)+$AJ48),"")</f>
        <v/>
      </c>
      <c r="AG48" s="20" t="str">
        <f ca="1">IFERROR((VLOOKUP($O48,Weapons!$B$2:$L$98,COLUMN(I$1),0)+$AJ48),"")</f>
        <v/>
      </c>
      <c r="AH48" s="20" t="str">
        <f ca="1">IFERROR((VLOOKUP($O48,Weapons!$B$2:$L$98,COLUMN(J$1),0)+$AJ48),"")</f>
        <v/>
      </c>
      <c r="AI48" s="20" t="str">
        <f ca="1">IFERROR((VLOOKUP($O48,Weapons!$B$2:$L$98,COLUMN(K$1),0)+$AJ48),"")</f>
        <v/>
      </c>
      <c r="AJ48" s="25" t="str">
        <f ca="1">IFERROR(VLOOKUP($X48,Values!$A$24:$V$58,19,0)+IF($AB48="",Values!$S$12,VLOOKUP($AB48,Values!$B$11:$V$21,18,0))+INDIRECT("Values!$F"&amp;120+ROWS($AK$42:AK48)*2),"")</f>
        <v/>
      </c>
      <c r="AK48" s="21"/>
      <c r="AL48" s="20" t="str">
        <f>IFERROR(Values!$S$11*(IF(OR($O48=Weapons!$B$11,$O48=Weapons!$B$20),0,1))+VLOOKUP($O48,Weapons!$B$2:$L$98,COLUMN(B$1),0),"")</f>
        <v/>
      </c>
      <c r="AM48" s="22" t="s">
        <v>3076</v>
      </c>
      <c r="AN48" s="20" t="str">
        <f>IFERROR(VLOOKUP($O48,Weapons!$B$2:$L$98,COLUMN(D$1),0),"")</f>
        <v/>
      </c>
      <c r="AO48" s="5"/>
      <c r="AP48" s="20" t="str">
        <f ca="1">IFERROR(ROUNDUP(AJ48/2,0)+VLOOKUP(O48,Weapons!$B$2:$L$98,3,0),"")</f>
        <v/>
      </c>
      <c r="AQ48" s="70"/>
      <c r="AR48" s="384" t="str">
        <f>IF(ISBLANK(AQ48),IF(Creation_1!AR48&lt;&gt;0,Creation_1!AR48,""),AQ48)</f>
        <v/>
      </c>
      <c r="AS48" s="384"/>
      <c r="AT48" s="384"/>
      <c r="AU48" s="384"/>
      <c r="AV48" s="384"/>
      <c r="AW48" s="384"/>
      <c r="AX48" s="384"/>
      <c r="AY48" s="7" t="str">
        <f>IF(COUNTIF($S$42:S47,IF(S48="",,S48))&gt;0,"",IFERROR(VLOOKUP($O48,Weapons!$B$2:$L$98,5,0),""))</f>
        <v/>
      </c>
      <c r="AZ48" s="5"/>
      <c r="BA48" s="5"/>
      <c r="BB48" s="5"/>
      <c r="BC48" s="5"/>
      <c r="BD48" s="5"/>
      <c r="BE48" s="5"/>
      <c r="BF48" s="5"/>
      <c r="BG48" s="5"/>
      <c r="BH48" s="5"/>
      <c r="BI48" s="5"/>
      <c r="BJ48" s="5"/>
      <c r="BK48" s="5"/>
      <c r="BL48" s="5"/>
      <c r="BM48" s="5"/>
      <c r="BN48" s="5"/>
      <c r="BO48" s="5"/>
      <c r="BP48" s="5"/>
      <c r="BQ48" s="5"/>
      <c r="BR48" s="5"/>
      <c r="BS48" s="5"/>
      <c r="BT48" s="5"/>
    </row>
    <row r="49" spans="1:72" ht="20.100000000000001" customHeight="1">
      <c r="A49" s="5"/>
      <c r="B49" s="5"/>
      <c r="C49" s="5"/>
      <c r="D49" s="5"/>
      <c r="E49" s="5"/>
      <c r="F49" s="5"/>
      <c r="G49" s="5"/>
      <c r="H49" s="5"/>
      <c r="I49" s="5"/>
      <c r="J49" s="5"/>
      <c r="K49" s="5"/>
      <c r="L49" s="5"/>
      <c r="M49" s="5"/>
      <c r="N49" s="5"/>
      <c r="O49" s="402" t="str">
        <f>IF(Creation_1!N49&lt;&gt;0,Creation_1!N49,"")</f>
        <v/>
      </c>
      <c r="P49" s="402"/>
      <c r="Q49" s="402"/>
      <c r="R49" s="63"/>
      <c r="S49" s="403" t="str">
        <f>IF(ISBLANK(R49),IF(Creation_1!R49&lt;&gt;0,Creation_1!R49,""),R49)</f>
        <v/>
      </c>
      <c r="T49" s="403"/>
      <c r="U49" s="403"/>
      <c r="V49" s="403"/>
      <c r="W49" s="403"/>
      <c r="X49" s="402" t="str">
        <f>IF(Creation_1!X49&lt;&gt;0,Creation_1!X49,"")</f>
        <v/>
      </c>
      <c r="Y49" s="402"/>
      <c r="Z49" s="402"/>
      <c r="AA49" s="402"/>
      <c r="AB49" s="404" t="str">
        <f>IF(Creation_1!AB49&lt;&gt;0,Creation_1!AB49,"")</f>
        <v/>
      </c>
      <c r="AC49" s="404"/>
      <c r="AD49" s="5"/>
      <c r="AE49" s="20" t="str">
        <f ca="1">IFERROR((VLOOKUP($O49,Weapons!$B$2:$L$98,COLUMN(G$1),0)+$AJ49),"")</f>
        <v/>
      </c>
      <c r="AF49" s="20" t="str">
        <f ca="1">IFERROR((VLOOKUP($O49,Weapons!$B$2:$L$98,COLUMN(H$1),0)+$AJ49),"")</f>
        <v/>
      </c>
      <c r="AG49" s="20" t="str">
        <f ca="1">IFERROR((VLOOKUP($O49,Weapons!$B$2:$L$98,COLUMN(I$1),0)+$AJ49),"")</f>
        <v/>
      </c>
      <c r="AH49" s="20" t="str">
        <f ca="1">IFERROR((VLOOKUP($O49,Weapons!$B$2:$L$98,COLUMN(J$1),0)+$AJ49),"")</f>
        <v/>
      </c>
      <c r="AI49" s="20" t="str">
        <f ca="1">IFERROR((VLOOKUP($O49,Weapons!$B$2:$L$98,COLUMN(K$1),0)+$AJ49),"")</f>
        <v/>
      </c>
      <c r="AJ49" s="25" t="str">
        <f ca="1">IFERROR(VLOOKUP($X49,Values!$A$24:$V$58,19,0)+IF($AB49="",Values!$S$12,VLOOKUP($AB49,Values!$B$11:$V$21,18,0))+INDIRECT("Values!$F"&amp;120+ROWS($AK$42:AK49)*2),"")</f>
        <v/>
      </c>
      <c r="AK49" s="21"/>
      <c r="AL49" s="20" t="str">
        <f>IFERROR(Values!$S$11*(IF(OR($O49=Weapons!$B$11,$O49=Weapons!$B$20),0,1))+VLOOKUP($O49,Weapons!$B$2:$L$98,COLUMN(B$1),0),"")</f>
        <v/>
      </c>
      <c r="AM49" s="22" t="s">
        <v>3076</v>
      </c>
      <c r="AN49" s="20" t="str">
        <f>IFERROR(VLOOKUP($O49,Weapons!$B$2:$L$98,COLUMN(D$1),0),"")</f>
        <v/>
      </c>
      <c r="AO49" s="5"/>
      <c r="AP49" s="20" t="str">
        <f ca="1">IFERROR(ROUNDUP(AJ49/2,0)+VLOOKUP(O49,Weapons!$B$2:$L$98,3,0),"")</f>
        <v/>
      </c>
      <c r="AQ49" s="70"/>
      <c r="AR49" s="384" t="str">
        <f>IF(ISBLANK(AQ49),IF(Creation_1!AR49&lt;&gt;0,Creation_1!AR49,""),AQ49)</f>
        <v/>
      </c>
      <c r="AS49" s="384"/>
      <c r="AT49" s="384"/>
      <c r="AU49" s="384"/>
      <c r="AV49" s="384"/>
      <c r="AW49" s="384"/>
      <c r="AX49" s="384"/>
      <c r="AY49" s="7" t="str">
        <f>IF(COUNTIF($S$42:S48,IF(S49="",,S49))&gt;0,"",IFERROR(VLOOKUP($O49,Weapons!$B$2:$L$98,5,0),""))</f>
        <v/>
      </c>
      <c r="AZ49" s="5"/>
      <c r="BA49" s="5"/>
      <c r="BB49" s="5"/>
      <c r="BC49" s="5"/>
      <c r="BD49" s="5"/>
      <c r="BE49" s="5"/>
      <c r="BF49" s="5"/>
      <c r="BG49" s="5"/>
      <c r="BH49" s="5"/>
      <c r="BI49" s="5"/>
      <c r="BJ49" s="5"/>
      <c r="BK49" s="5"/>
      <c r="BL49" s="5"/>
      <c r="BM49" s="5"/>
      <c r="BN49" s="5"/>
      <c r="BO49" s="5"/>
      <c r="BP49" s="5"/>
      <c r="BQ49" s="5"/>
      <c r="BR49" s="5"/>
      <c r="BS49" s="5"/>
      <c r="BT49" s="5"/>
    </row>
    <row r="50" spans="1:72" ht="20.100000000000001" customHeight="1">
      <c r="A50" s="5"/>
      <c r="B50" s="5"/>
      <c r="C50" s="5"/>
      <c r="D50" s="5"/>
      <c r="E50" s="5"/>
      <c r="F50" s="5"/>
      <c r="G50" s="5"/>
      <c r="H50" s="5"/>
      <c r="I50" s="5"/>
      <c r="J50" s="5"/>
      <c r="K50" s="5"/>
      <c r="L50" s="5"/>
      <c r="M50" s="5"/>
      <c r="N50" s="5"/>
      <c r="O50" s="5"/>
      <c r="P50" s="5"/>
      <c r="Q50" s="34"/>
      <c r="R50" s="34"/>
      <c r="S50" s="34"/>
      <c r="T50" s="34"/>
      <c r="U50" s="34"/>
      <c r="V50" s="34"/>
      <c r="W50" s="34"/>
      <c r="X50" s="34"/>
      <c r="Y50" s="34"/>
      <c r="Z50" s="34"/>
      <c r="AA50" s="5"/>
      <c r="AB50" s="5"/>
      <c r="AC50" s="5"/>
      <c r="AD50" s="5"/>
      <c r="AE50" s="5"/>
      <c r="AF50" s="5"/>
      <c r="AG50" s="5"/>
      <c r="AH50" s="5"/>
      <c r="AI50" s="5"/>
      <c r="AJ50" s="5"/>
      <c r="AK50" s="5"/>
      <c r="AL50" s="5"/>
      <c r="AM50" s="5"/>
      <c r="AN50" s="5"/>
      <c r="AO50" s="5"/>
      <c r="AP50" s="5"/>
      <c r="AQ50" s="5"/>
      <c r="AR50" s="5"/>
      <c r="AS50" s="5"/>
      <c r="AT50" s="5"/>
      <c r="AU50" s="5"/>
      <c r="AV50" s="5"/>
      <c r="AW50" s="5"/>
      <c r="AX50" s="5"/>
      <c r="AY50" s="7"/>
      <c r="AZ50" s="5"/>
      <c r="BA50" s="5"/>
      <c r="BB50" s="5"/>
      <c r="BC50" s="5"/>
      <c r="BD50" s="5"/>
      <c r="BE50" s="5"/>
      <c r="BF50" s="5"/>
      <c r="BG50" s="5"/>
      <c r="BH50" s="5"/>
      <c r="BI50" s="5"/>
      <c r="BJ50" s="5"/>
      <c r="BK50" s="5"/>
      <c r="BL50" s="5"/>
      <c r="BM50" s="5"/>
      <c r="BN50" s="5"/>
      <c r="BO50" s="5"/>
      <c r="BP50" s="5"/>
      <c r="BQ50" s="5"/>
      <c r="BR50" s="5"/>
      <c r="BS50" s="5"/>
      <c r="BT50" s="5"/>
    </row>
    <row r="51" spans="1:72" ht="20.100000000000001" customHeight="1">
      <c r="A51" s="5"/>
      <c r="B51" s="5"/>
      <c r="C51" s="5"/>
      <c r="D51" s="5"/>
      <c r="E51" s="5"/>
      <c r="F51" s="5"/>
      <c r="G51" s="5"/>
      <c r="H51" s="5"/>
      <c r="I51" s="5"/>
      <c r="J51" s="5"/>
      <c r="K51" s="5"/>
      <c r="L51" s="5"/>
      <c r="M51" s="5"/>
      <c r="N51" s="5"/>
      <c r="O51" s="5"/>
      <c r="P51" s="34"/>
      <c r="Q51" s="34"/>
      <c r="R51" s="34"/>
      <c r="S51" s="34"/>
      <c r="T51" s="34"/>
      <c r="U51" s="34"/>
      <c r="V51" s="34"/>
      <c r="W51" s="34"/>
      <c r="X51" s="34"/>
      <c r="Y51" s="34"/>
      <c r="Z51" s="34" t="s">
        <v>3199</v>
      </c>
      <c r="AA51" s="5"/>
      <c r="AB51" s="5"/>
      <c r="AC51" s="5"/>
      <c r="AD51" s="5"/>
      <c r="AE51" s="5"/>
      <c r="AF51" s="5"/>
      <c r="AG51" s="5"/>
      <c r="AH51" s="5"/>
      <c r="AI51" s="5"/>
      <c r="AJ51" s="5"/>
      <c r="AK51" s="5"/>
      <c r="AL51" s="5"/>
      <c r="AM51" s="5"/>
      <c r="AN51" s="5"/>
      <c r="AO51" s="5"/>
      <c r="AP51" s="5"/>
      <c r="AQ51" s="5"/>
      <c r="AR51" s="5"/>
      <c r="AS51" s="5"/>
      <c r="AT51" s="5"/>
      <c r="AU51" s="5"/>
      <c r="AV51" s="5"/>
      <c r="AW51" s="5"/>
      <c r="AX51" s="5"/>
      <c r="AY51" s="7"/>
      <c r="AZ51" s="5"/>
      <c r="BA51" s="5"/>
      <c r="BB51" s="5"/>
      <c r="BC51" s="5"/>
      <c r="BD51" s="5"/>
      <c r="BE51" s="5"/>
      <c r="BF51" s="5"/>
      <c r="BG51" s="5"/>
      <c r="BH51" s="5"/>
      <c r="BI51" s="5"/>
      <c r="BJ51" s="5"/>
      <c r="BK51" s="5"/>
      <c r="BL51" s="5"/>
      <c r="BM51" s="5"/>
      <c r="BN51" s="5"/>
      <c r="BO51" s="5"/>
      <c r="BP51" s="5"/>
      <c r="BQ51" s="5"/>
      <c r="BR51" s="5"/>
      <c r="BS51" s="5"/>
      <c r="BT51" s="5"/>
    </row>
    <row r="52" spans="1:72" ht="20.100000000000001" customHeight="1">
      <c r="A52" s="5"/>
      <c r="B52" s="5"/>
      <c r="C52" s="5"/>
      <c r="D52" s="5"/>
      <c r="E52" s="5"/>
      <c r="F52" s="5"/>
      <c r="G52" s="5"/>
      <c r="H52" s="5"/>
      <c r="I52" s="5"/>
      <c r="J52" s="5"/>
      <c r="K52" s="390"/>
      <c r="L52" s="396" t="s">
        <v>3214</v>
      </c>
      <c r="M52" s="396" t="s">
        <v>68</v>
      </c>
      <c r="N52" s="399" t="s">
        <v>55</v>
      </c>
      <c r="O52" s="5"/>
      <c r="P52" s="391" t="s">
        <v>70</v>
      </c>
      <c r="Q52" s="5"/>
      <c r="R52" s="391" t="s">
        <v>71</v>
      </c>
      <c r="S52" s="5"/>
      <c r="T52" s="396" t="s">
        <v>73</v>
      </c>
      <c r="U52" s="5"/>
      <c r="V52" s="5"/>
      <c r="W52" s="5"/>
      <c r="X52" s="5"/>
      <c r="Y52" s="5"/>
      <c r="Z52" s="5"/>
      <c r="AA52" s="5"/>
      <c r="AB52" s="397" t="s">
        <v>3239</v>
      </c>
      <c r="AC52" s="5"/>
      <c r="AD52" s="5"/>
      <c r="AE52" s="41" t="s">
        <v>3201</v>
      </c>
      <c r="AF52" s="42"/>
      <c r="AG52" s="5"/>
      <c r="AH52" s="41" t="s">
        <v>16</v>
      </c>
      <c r="AI52" s="5"/>
      <c r="AJ52" s="5"/>
      <c r="AK52" s="5"/>
      <c r="AL52" s="5"/>
      <c r="AM52" s="5"/>
      <c r="AN52" s="5"/>
      <c r="AO52" s="5"/>
      <c r="AP52" s="41" t="s">
        <v>1422</v>
      </c>
      <c r="AQ52" s="5"/>
      <c r="AR52" s="5"/>
      <c r="AS52" s="65" t="s">
        <v>16</v>
      </c>
      <c r="AT52" s="5"/>
      <c r="AU52" s="26" t="s">
        <v>3205</v>
      </c>
      <c r="AV52" s="27"/>
      <c r="AW52" s="27"/>
      <c r="AX52" s="27"/>
      <c r="AY52" s="7"/>
      <c r="AZ52" s="5"/>
      <c r="BA52" s="5"/>
      <c r="BB52" s="5"/>
      <c r="BC52" s="5"/>
      <c r="BD52" s="5"/>
      <c r="BE52" s="5"/>
      <c r="BF52" s="5"/>
      <c r="BG52" s="5"/>
      <c r="BH52" s="5"/>
      <c r="BI52" s="5"/>
      <c r="BJ52" s="5"/>
      <c r="BK52" s="5"/>
      <c r="BL52" s="5"/>
      <c r="BM52" s="5"/>
      <c r="BN52" s="5"/>
      <c r="BO52" s="5"/>
      <c r="BP52" s="5"/>
      <c r="BQ52" s="5"/>
      <c r="BR52" s="5"/>
      <c r="BS52" s="5"/>
      <c r="BT52" s="5"/>
    </row>
    <row r="53" spans="1:72" ht="20.100000000000001" customHeight="1">
      <c r="A53" s="5"/>
      <c r="B53" s="398" t="s">
        <v>3207</v>
      </c>
      <c r="C53" s="398"/>
      <c r="D53" s="398"/>
      <c r="E53" s="398"/>
      <c r="F53" s="398"/>
      <c r="G53" s="398"/>
      <c r="H53" s="5"/>
      <c r="I53" s="398" t="s">
        <v>81</v>
      </c>
      <c r="J53" s="382"/>
      <c r="K53" s="390"/>
      <c r="L53" s="396"/>
      <c r="M53" s="396"/>
      <c r="N53" s="399"/>
      <c r="O53" s="5"/>
      <c r="P53" s="391"/>
      <c r="Q53" s="5"/>
      <c r="R53" s="391"/>
      <c r="S53" s="5"/>
      <c r="T53" s="396"/>
      <c r="U53" s="41" t="s">
        <v>16</v>
      </c>
      <c r="V53" s="5" t="s">
        <v>60</v>
      </c>
      <c r="W53" s="5"/>
      <c r="X53" s="5"/>
      <c r="Y53" s="41"/>
      <c r="Z53" s="5"/>
      <c r="AA53" s="5"/>
      <c r="AB53" s="397"/>
      <c r="AC53" s="5"/>
      <c r="AD53" s="5"/>
      <c r="AE53" s="5"/>
      <c r="AF53" s="5"/>
      <c r="AG53" s="42" t="s">
        <v>75</v>
      </c>
      <c r="AH53" s="5"/>
      <c r="AI53" s="5">
        <f>Values!S12+Values!S26+Values!S108</f>
        <v>1</v>
      </c>
      <c r="AJ53" s="5"/>
      <c r="AK53" s="5"/>
      <c r="AL53" s="5"/>
      <c r="AM53" s="5"/>
      <c r="AN53" s="5"/>
      <c r="AO53" s="5"/>
      <c r="AP53" s="5"/>
      <c r="AQ53" s="5"/>
      <c r="AR53" s="66" t="s">
        <v>3203</v>
      </c>
      <c r="AS53" s="5"/>
      <c r="AT53" s="27">
        <f>Creation_1!AT53</f>
        <v>1</v>
      </c>
      <c r="AU53" s="26" t="s">
        <v>3206</v>
      </c>
      <c r="AV53" s="27"/>
      <c r="AW53" s="27"/>
      <c r="AX53" s="27"/>
      <c r="AY53" s="7"/>
      <c r="AZ53" s="5"/>
      <c r="BA53" s="5"/>
      <c r="BB53" s="5"/>
      <c r="BC53" s="5"/>
      <c r="BD53" s="5"/>
      <c r="BE53" s="5"/>
      <c r="BF53" s="5"/>
      <c r="BG53" s="5"/>
      <c r="BH53" s="5"/>
      <c r="BI53" s="5"/>
      <c r="BJ53" s="5"/>
      <c r="BK53" s="5"/>
      <c r="BL53" s="5"/>
      <c r="BM53" s="5"/>
      <c r="BN53" s="5"/>
      <c r="BO53" s="5"/>
      <c r="BP53" s="5"/>
      <c r="BQ53" s="5"/>
      <c r="BR53" s="5"/>
      <c r="BS53" s="5"/>
      <c r="BT53" s="5"/>
    </row>
    <row r="54" spans="1:72" ht="20.100000000000001" customHeight="1">
      <c r="A54" s="63"/>
      <c r="B54" s="393" t="str">
        <f>IF(ISBLANK(A54),IF(Creation_1!B54&lt;&gt;0,Creation_1!B54,""),A54)</f>
        <v>None</v>
      </c>
      <c r="C54" s="394"/>
      <c r="D54" s="394"/>
      <c r="E54" s="394"/>
      <c r="F54" s="394"/>
      <c r="G54" s="394"/>
      <c r="H54" s="5"/>
      <c r="I54" s="395" t="str">
        <f>IF(Creation_1!I54&lt;&gt;0,Creation_1!I54,"")</f>
        <v/>
      </c>
      <c r="J54" s="389"/>
      <c r="K54" s="5"/>
      <c r="L54" s="5">
        <f>IFERROR(Values!$S$13,"")</f>
        <v>1</v>
      </c>
      <c r="M54" s="5">
        <f>IFERROR(VLOOKUP($I54,Armor!$B$1:$F$7,2,0),0)</f>
        <v>0</v>
      </c>
      <c r="N54" s="27">
        <f>L54+M54</f>
        <v>1</v>
      </c>
      <c r="O54" s="5"/>
      <c r="P54" s="5" t="str">
        <f>IFERROR(IF(VLOOKUP($I54,Armor!$B$1:$F$7,4,0)&lt;&gt;0,VLOOKUP($I54,Armor!$B$1:$F$7,4,0),""),"")</f>
        <v/>
      </c>
      <c r="Q54" s="5"/>
      <c r="R54" s="5">
        <f>IFERROR(VLOOKUP($I54,Armor!$B$1:$F$7,3,0),0)</f>
        <v>0</v>
      </c>
      <c r="S54" s="5"/>
      <c r="T54" s="5">
        <f>IF(ROUNDUP((Values!$S$12+Values!$S$31+Values!F113)/2,0)+R54&lt;0,0,ROUNDUP((Values!$S$12+Values!$S$31+Values!F113)/2,0)+R54)</f>
        <v>1</v>
      </c>
      <c r="U54" s="63"/>
      <c r="V54" s="394" t="str">
        <f>IF(ISBLANK(U54),IF(Creation_1!V54&lt;&gt;0,Creation_1!V54,""),U54)</f>
        <v/>
      </c>
      <c r="W54" s="394"/>
      <c r="X54" s="394"/>
      <c r="Y54" s="394"/>
      <c r="Z54" s="394"/>
      <c r="AA54" s="394"/>
      <c r="AB54" s="5" t="str">
        <f>IFERROR(IF(VLOOKUP($I54,Armor!$B$1:$F$7,5,0)&lt;&gt;0,VLOOKUP($I54,Armor!$B$1:$F$7,5,0),""),"")</f>
        <v/>
      </c>
      <c r="AC54" s="5"/>
      <c r="AD54" s="5"/>
      <c r="AE54" s="5"/>
      <c r="AF54" s="5"/>
      <c r="AG54" s="42" t="s">
        <v>76</v>
      </c>
      <c r="AH54" s="5"/>
      <c r="AI54" s="5">
        <f>Values!S12+Values!S31+Values!S109</f>
        <v>1</v>
      </c>
      <c r="AJ54" s="5"/>
      <c r="AK54" s="5"/>
      <c r="AL54" s="5"/>
      <c r="AM54" s="5"/>
      <c r="AN54" s="5"/>
      <c r="AO54" s="5"/>
      <c r="AP54" s="5"/>
      <c r="AQ54" s="5"/>
      <c r="AR54" s="66" t="s">
        <v>3204</v>
      </c>
      <c r="AS54" s="5"/>
      <c r="AT54" s="5">
        <f>Creation_1!AT54</f>
        <v>1</v>
      </c>
      <c r="AU54" s="5"/>
      <c r="AV54" s="5"/>
      <c r="AW54" s="5"/>
      <c r="AX54" s="5"/>
      <c r="AY54" s="7"/>
      <c r="AZ54" s="5"/>
      <c r="BA54" s="5"/>
      <c r="BB54" s="5"/>
      <c r="BC54" s="5"/>
      <c r="BD54" s="5"/>
      <c r="BE54" s="5"/>
      <c r="BF54" s="5"/>
      <c r="BG54" s="5"/>
      <c r="BH54" s="5"/>
      <c r="BI54" s="5"/>
      <c r="BJ54" s="5"/>
      <c r="BK54" s="5"/>
      <c r="BL54" s="5"/>
      <c r="BM54" s="5"/>
      <c r="BN54" s="5"/>
      <c r="BO54" s="5"/>
      <c r="BP54" s="5"/>
      <c r="BQ54" s="5"/>
      <c r="BR54" s="5"/>
      <c r="BS54" s="5"/>
      <c r="BT54" s="5"/>
    </row>
    <row r="55" spans="1:72" ht="20.100000000000001" customHeight="1">
      <c r="A55" s="63"/>
      <c r="B55" s="393" t="str">
        <f>IF(ISBLANK(A55),IF(Creation_1!B55&lt;&gt;0,Creation_1!B55,""),A55)</f>
        <v/>
      </c>
      <c r="C55" s="394"/>
      <c r="D55" s="394"/>
      <c r="E55" s="394"/>
      <c r="F55" s="394"/>
      <c r="G55" s="394"/>
      <c r="H55" s="5"/>
      <c r="I55" s="395" t="str">
        <f>IF(Creation_1!I55&lt;&gt;0,Creation_1!I55,"")</f>
        <v/>
      </c>
      <c r="J55" s="389"/>
      <c r="K55" s="5"/>
      <c r="L55" s="5">
        <f>IFERROR(Values!$S$13,"")</f>
        <v>1</v>
      </c>
      <c r="M55" s="5">
        <f>IFERROR(VLOOKUP($I55,Armor!$B$1:$F$7,2,0),0)</f>
        <v>0</v>
      </c>
      <c r="N55" s="27">
        <f>L55+M55</f>
        <v>1</v>
      </c>
      <c r="O55" s="5"/>
      <c r="P55" s="5" t="str">
        <f>IFERROR(IF(VLOOKUP($I55,Armor!$B$1:$F$7,4,0)&lt;&gt;0,VLOOKUP($I55,Armor!$B$1:$F$7,4,0),""),"")</f>
        <v/>
      </c>
      <c r="Q55" s="5"/>
      <c r="R55" s="5">
        <f>IFERROR(VLOOKUP($I55,Armor!$B$1:$F$7,3,0),0)</f>
        <v>0</v>
      </c>
      <c r="S55" s="5"/>
      <c r="T55" s="5">
        <f>IF(ROUNDUP((Values!$S$12+Values!$S$31+Values!F115)/2,0)+R55&lt;0,0,ROUNDUP((Values!$S$12+Values!$S$31+Values!F115)/2,0)+R55)</f>
        <v>1</v>
      </c>
      <c r="U55" s="63"/>
      <c r="V55" s="394" t="str">
        <f>IF(ISBLANK(U55),IF(Creation_1!V55&lt;&gt;0,Creation_1!V55,""),U55)</f>
        <v/>
      </c>
      <c r="W55" s="394"/>
      <c r="X55" s="394"/>
      <c r="Y55" s="394"/>
      <c r="Z55" s="394"/>
      <c r="AA55" s="394"/>
      <c r="AB55" s="5" t="str">
        <f>IFERROR(IF(VLOOKUP($I55,Armor!$B$1:$F$7,5,0)&lt;&gt;0,VLOOKUP($I55,Armor!$B$1:$F$7,5,0),""),"")</f>
        <v/>
      </c>
      <c r="AC55" s="5"/>
      <c r="AD55" s="5"/>
      <c r="AE55" s="5"/>
      <c r="AF55" s="5"/>
      <c r="AG55" s="42" t="s">
        <v>77</v>
      </c>
      <c r="AH55" s="5"/>
      <c r="AI55" s="5">
        <f>Values!S21+Values!S27+Values!S107</f>
        <v>1</v>
      </c>
      <c r="AJ55" s="5"/>
      <c r="AK55" s="5"/>
      <c r="AL55" s="5"/>
      <c r="AM55" s="5"/>
      <c r="AN55" s="5"/>
      <c r="AO55" s="5"/>
      <c r="AP55" s="5"/>
      <c r="AQ55" s="5"/>
      <c r="AR55" s="66" t="s">
        <v>3200</v>
      </c>
      <c r="AS55" s="5"/>
      <c r="AT55" s="5">
        <f>Values!S19+Values!S46+Values!S104</f>
        <v>1</v>
      </c>
      <c r="AU55" s="5"/>
      <c r="AV55" s="5"/>
      <c r="AW55" s="5"/>
      <c r="AX55" s="5"/>
      <c r="AY55" s="7"/>
      <c r="AZ55" s="5"/>
      <c r="BA55" s="5"/>
      <c r="BB55" s="5"/>
      <c r="BC55" s="5"/>
      <c r="BD55" s="5"/>
      <c r="BE55" s="5"/>
      <c r="BF55" s="5"/>
      <c r="BG55" s="5"/>
      <c r="BH55" s="5"/>
      <c r="BI55" s="5"/>
      <c r="BJ55" s="5"/>
      <c r="BK55" s="5"/>
      <c r="BL55" s="5"/>
      <c r="BM55" s="5"/>
      <c r="BN55" s="5"/>
      <c r="BO55" s="5"/>
      <c r="BP55" s="5"/>
      <c r="BQ55" s="5"/>
      <c r="BR55" s="5"/>
      <c r="BS55" s="5"/>
      <c r="BT55" s="5"/>
    </row>
    <row r="56" spans="1:72" ht="20.100000000000001" customHeight="1">
      <c r="A56" s="63"/>
      <c r="B56" s="393" t="str">
        <f>IF(ISBLANK(A56),IF(Creation_1!B56&lt;&gt;0,Creation_1!B56,""),A56)</f>
        <v/>
      </c>
      <c r="C56" s="394"/>
      <c r="D56" s="394"/>
      <c r="E56" s="394"/>
      <c r="F56" s="394"/>
      <c r="G56" s="394"/>
      <c r="H56" s="5"/>
      <c r="I56" s="395" t="str">
        <f>IF(Creation_1!I56&lt;&gt;0,Creation_1!I56,"")</f>
        <v/>
      </c>
      <c r="J56" s="389"/>
      <c r="K56" s="5"/>
      <c r="L56" s="5">
        <f>IFERROR(Values!$S$13,"")</f>
        <v>1</v>
      </c>
      <c r="M56" s="5">
        <f>IFERROR(VLOOKUP($I56,Armor!$B$1:$F$7,2,0),0)</f>
        <v>0</v>
      </c>
      <c r="N56" s="27">
        <f>L56+M56</f>
        <v>1</v>
      </c>
      <c r="O56" s="5"/>
      <c r="P56" s="5" t="str">
        <f>IFERROR(IF(VLOOKUP($I56,Armor!$B$1:$F$7,4,0)&lt;&gt;0,VLOOKUP($I56,Armor!$B$1:$F$7,4,0),""),"")</f>
        <v/>
      </c>
      <c r="Q56" s="5"/>
      <c r="R56" s="5">
        <f>IFERROR(VLOOKUP($I56,Armor!$B$1:$F$7,3,0),0)</f>
        <v>0</v>
      </c>
      <c r="S56" s="5"/>
      <c r="T56" s="5">
        <f>IF(ROUNDUP((Values!$S$12+Values!$S$31+Values!F117)/2,0)+R56&lt;0,0,ROUNDUP((Values!$S$12+Values!$S$31+Values!F117)/2,0)+R56)</f>
        <v>1</v>
      </c>
      <c r="U56" s="63"/>
      <c r="V56" s="394" t="str">
        <f>IF(ISBLANK(U56),IF(Creation_1!V56&lt;&gt;0,Creation_1!V56,""),U56)</f>
        <v/>
      </c>
      <c r="W56" s="394"/>
      <c r="X56" s="394"/>
      <c r="Y56" s="394"/>
      <c r="Z56" s="394"/>
      <c r="AA56" s="394"/>
      <c r="AB56" s="5" t="str">
        <f>IFERROR(IF(VLOOKUP($I56,Armor!$B$1:$F$7,5,0)&lt;&gt;0,VLOOKUP($I56,Armor!$B$1:$F$7,5,0),""),"")</f>
        <v/>
      </c>
      <c r="AC56" s="5"/>
      <c r="AD56" s="5"/>
      <c r="AE56" s="5"/>
      <c r="AF56" s="5"/>
      <c r="AG56" s="5"/>
      <c r="AH56" s="5"/>
      <c r="AI56" s="5"/>
      <c r="AJ56" s="5"/>
      <c r="AK56" s="5"/>
      <c r="AL56" s="5"/>
      <c r="AM56" s="5"/>
      <c r="AN56" s="5"/>
      <c r="AO56" s="5"/>
      <c r="AP56" s="5"/>
      <c r="AQ56" s="5"/>
      <c r="AR56" s="5"/>
      <c r="AS56" s="5"/>
      <c r="AT56" s="5"/>
      <c r="AU56" s="5"/>
      <c r="AV56" s="5"/>
      <c r="AW56" s="5"/>
      <c r="AX56" s="5"/>
      <c r="AY56" s="7"/>
      <c r="AZ56" s="5"/>
      <c r="BA56" s="5"/>
      <c r="BB56" s="5"/>
      <c r="BC56" s="5"/>
      <c r="BD56" s="5"/>
      <c r="BE56" s="5"/>
      <c r="BF56" s="5"/>
      <c r="BG56" s="5"/>
      <c r="BH56" s="5"/>
      <c r="BI56" s="5"/>
      <c r="BJ56" s="5"/>
      <c r="BK56" s="5"/>
      <c r="BL56" s="5"/>
      <c r="BM56" s="5"/>
      <c r="BN56" s="5"/>
      <c r="BO56" s="5"/>
      <c r="BP56" s="5"/>
      <c r="BQ56" s="5"/>
      <c r="BR56" s="5"/>
      <c r="BS56" s="5"/>
      <c r="BT56" s="5"/>
    </row>
    <row r="57" spans="1:72" ht="20.100000000000001" customHeight="1" thickBot="1">
      <c r="A57" s="5"/>
      <c r="B57" s="5"/>
      <c r="C57" s="5"/>
      <c r="D57" s="5"/>
      <c r="E57" s="5"/>
      <c r="F57" s="5"/>
      <c r="G57" s="5"/>
      <c r="H57" s="5"/>
      <c r="I57" s="5"/>
      <c r="J57" s="5"/>
      <c r="K57" s="5"/>
      <c r="L57" s="5"/>
      <c r="M57" s="5"/>
      <c r="N57" s="5"/>
      <c r="O57" s="5"/>
      <c r="P57" s="5"/>
      <c r="Q57" s="5"/>
      <c r="R57" s="5"/>
      <c r="S57" s="5"/>
      <c r="T57" s="5"/>
      <c r="U57" s="5"/>
      <c r="V57" s="5"/>
      <c r="W57" s="5"/>
      <c r="X57" s="5"/>
      <c r="Y57" s="5"/>
      <c r="Z57" s="5"/>
      <c r="AA57" s="5"/>
      <c r="AB57" s="5"/>
      <c r="AC57" s="5"/>
      <c r="AD57" s="5"/>
      <c r="AE57" s="5"/>
      <c r="AF57" s="5"/>
      <c r="AG57" s="5"/>
      <c r="AH57" s="5"/>
      <c r="AI57" s="5"/>
      <c r="AJ57" s="5"/>
      <c r="AK57" s="5"/>
      <c r="AL57" s="5"/>
      <c r="AM57" s="5"/>
      <c r="AN57" s="5"/>
      <c r="AO57" s="5"/>
      <c r="AP57" s="5"/>
      <c r="AQ57" s="5"/>
      <c r="AR57" s="5"/>
      <c r="AS57" s="5"/>
      <c r="AT57" s="5"/>
      <c r="AU57" s="5"/>
      <c r="AV57" s="5"/>
      <c r="AW57" s="5"/>
      <c r="AX57" s="64"/>
      <c r="AY57" s="67"/>
      <c r="AZ57" s="5"/>
      <c r="BA57" s="5"/>
      <c r="BB57" s="5"/>
      <c r="BC57" s="5"/>
      <c r="BD57" s="5"/>
      <c r="BE57" s="5"/>
      <c r="BF57" s="5"/>
      <c r="BG57" s="5"/>
      <c r="BH57" s="5"/>
      <c r="BI57" s="5"/>
      <c r="BJ57" s="5"/>
      <c r="BK57" s="5"/>
      <c r="BL57" s="5"/>
      <c r="BM57" s="5"/>
      <c r="BN57" s="5"/>
      <c r="BO57" s="5"/>
      <c r="BP57" s="5"/>
      <c r="BQ57" s="5"/>
      <c r="BR57" s="5"/>
      <c r="BS57" s="5"/>
      <c r="BT57" s="5"/>
    </row>
    <row r="58" spans="1:72" ht="20.100000000000001" customHeight="1">
      <c r="A58" s="390" t="s">
        <v>3222</v>
      </c>
      <c r="B58" s="392" t="s">
        <v>3223</v>
      </c>
      <c r="C58" s="64" t="s">
        <v>78</v>
      </c>
      <c r="D58" s="64" t="s">
        <v>78</v>
      </c>
      <c r="E58" s="64" t="s">
        <v>78</v>
      </c>
      <c r="F58" s="64" t="s">
        <v>78</v>
      </c>
      <c r="G58" s="64" t="s">
        <v>78</v>
      </c>
      <c r="H58" s="64" t="s">
        <v>78</v>
      </c>
      <c r="I58" s="64" t="s">
        <v>78</v>
      </c>
      <c r="J58" s="64" t="s">
        <v>78</v>
      </c>
      <c r="K58" s="64" t="s">
        <v>78</v>
      </c>
      <c r="L58" s="64" t="s">
        <v>78</v>
      </c>
      <c r="M58" s="64" t="s">
        <v>78</v>
      </c>
      <c r="N58" s="64" t="s">
        <v>78</v>
      </c>
      <c r="O58" s="64" t="s">
        <v>78</v>
      </c>
      <c r="P58" s="64" t="s">
        <v>78</v>
      </c>
      <c r="Q58" s="64" t="s">
        <v>78</v>
      </c>
      <c r="R58" s="64" t="s">
        <v>78</v>
      </c>
      <c r="S58" s="64" t="s">
        <v>78</v>
      </c>
      <c r="T58" s="64" t="s">
        <v>78</v>
      </c>
      <c r="U58" s="64" t="s">
        <v>78</v>
      </c>
      <c r="V58" s="64" t="s">
        <v>78</v>
      </c>
      <c r="W58" s="64" t="s">
        <v>78</v>
      </c>
      <c r="X58" s="64" t="s">
        <v>78</v>
      </c>
      <c r="Y58" s="64" t="s">
        <v>78</v>
      </c>
      <c r="Z58" s="64" t="s">
        <v>78</v>
      </c>
      <c r="AA58" s="64" t="s">
        <v>78</v>
      </c>
      <c r="AB58" s="64" t="s">
        <v>78</v>
      </c>
      <c r="AC58" s="64" t="s">
        <v>78</v>
      </c>
      <c r="AD58" s="64" t="s">
        <v>78</v>
      </c>
      <c r="AE58" s="64" t="s">
        <v>78</v>
      </c>
      <c r="AF58" s="64" t="s">
        <v>78</v>
      </c>
      <c r="AG58" s="64" t="s">
        <v>78</v>
      </c>
      <c r="AH58" s="64" t="s">
        <v>78</v>
      </c>
      <c r="AI58" s="64" t="s">
        <v>78</v>
      </c>
      <c r="AJ58" s="64" t="s">
        <v>78</v>
      </c>
      <c r="AK58" s="64" t="s">
        <v>78</v>
      </c>
      <c r="AL58" s="64" t="s">
        <v>78</v>
      </c>
      <c r="AM58" s="64" t="s">
        <v>78</v>
      </c>
      <c r="AN58" s="64" t="s">
        <v>78</v>
      </c>
      <c r="AO58" s="64" t="s">
        <v>78</v>
      </c>
      <c r="AP58" s="64" t="s">
        <v>78</v>
      </c>
      <c r="AQ58" s="64" t="s">
        <v>78</v>
      </c>
      <c r="AR58" s="64" t="s">
        <v>78</v>
      </c>
      <c r="AS58" s="64" t="s">
        <v>78</v>
      </c>
      <c r="AT58" s="64" t="s">
        <v>78</v>
      </c>
      <c r="AU58" s="64" t="s">
        <v>78</v>
      </c>
      <c r="AV58" s="64" t="s">
        <v>78</v>
      </c>
      <c r="AW58" s="64" t="s">
        <v>78</v>
      </c>
      <c r="AX58" s="37"/>
      <c r="AY58" s="68"/>
      <c r="AZ58" s="5"/>
      <c r="BA58" s="434" t="str">
        <f>$BA$8</f>
        <v>You must go back to Creation_1 to spend your Attributes points properly</v>
      </c>
      <c r="BB58" s="435"/>
      <c r="BC58" s="435"/>
      <c r="BD58" s="435"/>
      <c r="BE58" s="435"/>
      <c r="BF58" s="435"/>
      <c r="BG58" s="435"/>
      <c r="BH58" s="435"/>
      <c r="BI58" s="435"/>
      <c r="BJ58" s="435"/>
      <c r="BK58" s="435"/>
      <c r="BL58" s="435"/>
      <c r="BM58" s="435"/>
      <c r="BN58" s="436"/>
      <c r="BO58" s="5"/>
      <c r="BP58" s="5"/>
      <c r="BQ58" s="5"/>
      <c r="BR58" s="5"/>
      <c r="BS58" s="5"/>
      <c r="BT58" s="5"/>
    </row>
    <row r="59" spans="1:72" ht="20.100000000000001" customHeight="1" thickBot="1">
      <c r="A59" s="391"/>
      <c r="B59" s="392"/>
      <c r="C59" s="37" t="str">
        <f>VLOOKUP(COLUMN()-2,Health!$F$14:$G$19,2,1)</f>
        <v>-0</v>
      </c>
      <c r="D59" s="37" t="str">
        <f>VLOOKUP(COLUMN()-2,Health!$F$14:$G$19,2,1)</f>
        <v>-0</v>
      </c>
      <c r="E59" s="37" t="str">
        <f>VLOOKUP(COLUMN()-2,Health!$F$14:$G$19,2,1)</f>
        <v>-0</v>
      </c>
      <c r="F59" s="37" t="str">
        <f>VLOOKUP(COLUMN()-2,Health!$F$14:$G$19,2,1)</f>
        <v>-0</v>
      </c>
      <c r="G59" s="37" t="str">
        <f>VLOOKUP(COLUMN()-2,Health!$F$14:$G$19,2,1)</f>
        <v>-0</v>
      </c>
      <c r="H59" s="37" t="str">
        <f>VLOOKUP(COLUMN()-2,Health!$F$14:$G$19,2,1)</f>
        <v>-0</v>
      </c>
      <c r="I59" s="37" t="str">
        <f>VLOOKUP(COLUMN()-2,Health!$F$14:$G$19,2,1)</f>
        <v>-0</v>
      </c>
      <c r="J59" s="37" t="str">
        <f>VLOOKUP(COLUMN()-2,Health!$F$14:$G$19,2,1)</f>
        <v>-0</v>
      </c>
      <c r="K59" s="37" t="str">
        <f>VLOOKUP(COLUMN()-2,Health!$F$14:$G$19,2,1)</f>
        <v>-0</v>
      </c>
      <c r="L59" s="37" t="str">
        <f>VLOOKUP(COLUMN()-2,Health!$F$14:$G$19,2,1)</f>
        <v>-0</v>
      </c>
      <c r="M59" s="37" t="str">
        <f>VLOOKUP(COLUMN()-2,Health!$F$14:$G$19,2,1)</f>
        <v>-0</v>
      </c>
      <c r="N59" s="37" t="str">
        <f>VLOOKUP(COLUMN()-2,Health!$F$14:$G$19,2,1)</f>
        <v>-0</v>
      </c>
      <c r="O59" s="37" t="str">
        <f>VLOOKUP(COLUMN()-2,Health!$F$14:$G$19,2,1)</f>
        <v>-0</v>
      </c>
      <c r="P59" s="37" t="str">
        <f>VLOOKUP(COLUMN()-2,Health!$F$14:$G$19,2,1)</f>
        <v>-0</v>
      </c>
      <c r="Q59" s="37" t="str">
        <f>VLOOKUP(COLUMN()-2,Health!$F$14:$G$19,2,1)</f>
        <v>-0</v>
      </c>
      <c r="R59" s="37" t="str">
        <f>VLOOKUP(COLUMN()-2,Health!$F$14:$G$19,2,1)</f>
        <v>-0</v>
      </c>
      <c r="S59" s="37" t="str">
        <f>VLOOKUP(COLUMN()-2,Health!$F$14:$G$19,2,1)</f>
        <v>-0</v>
      </c>
      <c r="T59" s="37" t="str">
        <f>VLOOKUP(COLUMN()-2,Health!$F$14:$G$19,2,1)</f>
        <v>-0</v>
      </c>
      <c r="U59" s="37" t="str">
        <f>VLOOKUP(COLUMN()-2,Health!$F$14:$G$19,2,1)</f>
        <v>-0</v>
      </c>
      <c r="V59" s="37" t="str">
        <f>VLOOKUP(COLUMN()-2,Health!$F$14:$G$19,2,1)</f>
        <v>-0</v>
      </c>
      <c r="W59" s="37" t="str">
        <f>VLOOKUP(COLUMN()-2,Health!$F$14:$G$19,2,1)</f>
        <v>-0</v>
      </c>
      <c r="X59" s="37" t="str">
        <f>VLOOKUP(COLUMN()-2,Health!$F$14:$G$19,2,1)</f>
        <v>-0</v>
      </c>
      <c r="Y59" s="37" t="str">
        <f>VLOOKUP(COLUMN()-2,Health!$F$14:$G$19,2,1)</f>
        <v>-0</v>
      </c>
      <c r="Z59" s="37" t="str">
        <f>VLOOKUP(COLUMN()-2,Health!$F$14:$G$19,2,1)</f>
        <v>-0</v>
      </c>
      <c r="AA59" s="37" t="str">
        <f>VLOOKUP(COLUMN()-2,Health!$F$14:$G$19,2,1)</f>
        <v>-0</v>
      </c>
      <c r="AB59" s="37" t="str">
        <f>VLOOKUP(COLUMN()-2,Health!$F$14:$G$19,2,1)</f>
        <v>-0</v>
      </c>
      <c r="AC59" s="37" t="str">
        <f>VLOOKUP(COLUMN()-2,Health!$F$14:$G$19,2,1)</f>
        <v>-0</v>
      </c>
      <c r="AD59" s="37" t="str">
        <f>VLOOKUP(COLUMN()-2,Health!$F$14:$G$19,2,1)</f>
        <v>-0</v>
      </c>
      <c r="AE59" s="37" t="str">
        <f>VLOOKUP(COLUMN()-2,Health!$F$14:$G$19,2,1)</f>
        <v>-0</v>
      </c>
      <c r="AF59" s="37" t="str">
        <f>VLOOKUP(COLUMN()-2,Health!$F$14:$G$19,2,1)</f>
        <v>-0</v>
      </c>
      <c r="AG59" s="37" t="str">
        <f>VLOOKUP(COLUMN()-2,Health!$F$14:$G$19,2,1)</f>
        <v>-0</v>
      </c>
      <c r="AH59" s="37" t="str">
        <f>VLOOKUP(COLUMN()-2,Health!$F$14:$G$19,2,1)</f>
        <v>-0</v>
      </c>
      <c r="AI59" s="37" t="str">
        <f>VLOOKUP(COLUMN()-2,Health!$F$14:$G$19,2,1)</f>
        <v>-0</v>
      </c>
      <c r="AJ59" s="37" t="str">
        <f>VLOOKUP(COLUMN()-2,Health!$F$14:$G$19,2,1)</f>
        <v>-0</v>
      </c>
      <c r="AK59" s="37" t="str">
        <f>VLOOKUP(COLUMN()-2,Health!$F$14:$G$19,2,1)</f>
        <v>-0</v>
      </c>
      <c r="AL59" s="37" t="str">
        <f>VLOOKUP(COLUMN()-2,Health!$F$14:$G$19,2,1)</f>
        <v>-0</v>
      </c>
      <c r="AM59" s="37" t="str">
        <f>VLOOKUP(COLUMN()-2,Health!$F$14:$G$19,2,1)</f>
        <v>-0</v>
      </c>
      <c r="AN59" s="37" t="str">
        <f>VLOOKUP(COLUMN()-2,Health!$F$14:$G$19,2,1)</f>
        <v>-0</v>
      </c>
      <c r="AO59" s="37" t="str">
        <f>VLOOKUP(COLUMN()-2,Health!$F$14:$G$19,2,1)</f>
        <v>-0</v>
      </c>
      <c r="AP59" s="37" t="str">
        <f>VLOOKUP(COLUMN()-2,Health!$F$14:$G$19,2,1)</f>
        <v>-0</v>
      </c>
      <c r="AQ59" s="37" t="str">
        <f>VLOOKUP(COLUMN()-2,Health!$F$14:$G$19,2,1)</f>
        <v>-0</v>
      </c>
      <c r="AR59" s="37" t="str">
        <f>VLOOKUP(COLUMN()-2,Health!$F$14:$G$19,2,1)</f>
        <v>-0</v>
      </c>
      <c r="AS59" s="37" t="str">
        <f>VLOOKUP(COLUMN()-2,Health!$F$14:$G$19,2,1)</f>
        <v>-0</v>
      </c>
      <c r="AT59" s="37" t="str">
        <f>VLOOKUP(COLUMN()-2,Health!$F$14:$G$19,2,1)</f>
        <v>-0</v>
      </c>
      <c r="AU59" s="37" t="str">
        <f>VLOOKUP(COLUMN()-2,Health!$F$14:$G$19,2,1)</f>
        <v>-0</v>
      </c>
      <c r="AV59" s="37" t="str">
        <f>VLOOKUP(COLUMN()-2,Health!$F$14:$G$19,2,1)</f>
        <v>-0</v>
      </c>
      <c r="AW59" s="37" t="str">
        <f>VLOOKUP(COLUMN()-2,Health!$F$14:$G$19,2,1)</f>
        <v>-0</v>
      </c>
      <c r="AX59" s="5"/>
      <c r="AY59" s="7"/>
      <c r="AZ59" s="5"/>
      <c r="BA59" s="437"/>
      <c r="BB59" s="438"/>
      <c r="BC59" s="438"/>
      <c r="BD59" s="438"/>
      <c r="BE59" s="438"/>
      <c r="BF59" s="438"/>
      <c r="BG59" s="438"/>
      <c r="BH59" s="438"/>
      <c r="BI59" s="438"/>
      <c r="BJ59" s="438"/>
      <c r="BK59" s="438"/>
      <c r="BL59" s="438"/>
      <c r="BM59" s="438"/>
      <c r="BN59" s="439"/>
      <c r="BO59" s="5"/>
      <c r="BP59" s="5"/>
      <c r="BQ59" s="5"/>
      <c r="BR59" s="5"/>
      <c r="BS59" s="5"/>
      <c r="BT59" s="5"/>
    </row>
    <row r="60" spans="1:72" ht="20.100000000000001" customHeight="1">
      <c r="A60" s="5"/>
      <c r="B60" s="5"/>
      <c r="C60" s="5"/>
      <c r="D60" s="5"/>
      <c r="E60" s="5"/>
      <c r="F60" s="5"/>
      <c r="G60" s="5"/>
      <c r="H60" s="5"/>
      <c r="I60" s="5"/>
      <c r="J60" s="5"/>
      <c r="K60" s="5"/>
      <c r="L60" s="5"/>
      <c r="M60" s="5"/>
      <c r="N60" s="5"/>
      <c r="O60" s="5"/>
      <c r="P60" s="5"/>
      <c r="R60" s="5"/>
      <c r="S60" s="5"/>
      <c r="T60" s="5"/>
      <c r="U60" s="5"/>
      <c r="W60" s="5"/>
      <c r="X60" s="383" t="s">
        <v>79</v>
      </c>
      <c r="Y60" s="383"/>
      <c r="Z60" s="383"/>
      <c r="AA60" s="383"/>
      <c r="AB60" s="383"/>
      <c r="AC60" s="5"/>
      <c r="AD60" s="5"/>
      <c r="AE60" s="5"/>
      <c r="AF60" s="5"/>
      <c r="AG60" s="5"/>
      <c r="AH60" s="5"/>
      <c r="AI60" s="6"/>
      <c r="AJ60" s="5"/>
      <c r="AK60" s="5"/>
      <c r="AL60" s="5"/>
      <c r="AM60" s="5"/>
      <c r="AN60" s="5"/>
      <c r="AO60" s="5"/>
      <c r="AP60" s="5"/>
      <c r="AQ60" s="5"/>
      <c r="AR60" s="5"/>
      <c r="AS60" s="5"/>
      <c r="AT60" s="5"/>
      <c r="AU60" s="5"/>
      <c r="AV60" s="5"/>
      <c r="AW60" s="5"/>
      <c r="AX60" s="5"/>
      <c r="AY60" s="7"/>
      <c r="AZ60" s="5"/>
      <c r="BA60" s="5"/>
      <c r="BB60" s="5"/>
      <c r="BC60" s="5"/>
      <c r="BD60" s="5"/>
      <c r="BE60" s="5"/>
      <c r="BF60" s="5"/>
      <c r="BG60" s="5"/>
      <c r="BH60" s="5"/>
      <c r="BI60" s="5"/>
      <c r="BJ60" s="5"/>
      <c r="BK60" s="5"/>
      <c r="BL60" s="5"/>
      <c r="BM60" s="5"/>
      <c r="BN60" s="5"/>
      <c r="BO60" s="5"/>
      <c r="BP60" s="5"/>
      <c r="BQ60" s="5"/>
      <c r="BR60" s="5"/>
      <c r="BS60" s="5"/>
      <c r="BT60" s="5"/>
    </row>
    <row r="61" spans="1:72" ht="20.100000000000001" customHeight="1">
      <c r="A61" s="5"/>
      <c r="B61" s="5"/>
      <c r="C61" s="5"/>
      <c r="D61" s="5"/>
      <c r="E61" s="5"/>
      <c r="F61" s="5"/>
      <c r="G61" s="5"/>
      <c r="H61" s="5"/>
      <c r="I61" s="5"/>
      <c r="J61" s="5"/>
      <c r="K61" s="5"/>
      <c r="L61" s="5"/>
      <c r="M61" s="5"/>
      <c r="N61" s="5"/>
      <c r="O61" s="5"/>
      <c r="P61" s="5"/>
      <c r="Q61" s="5"/>
      <c r="R61" s="5"/>
      <c r="S61" s="5"/>
      <c r="T61" s="5"/>
      <c r="U61" s="5"/>
      <c r="W61" s="5"/>
      <c r="X61" s="383"/>
      <c r="Y61" s="383"/>
      <c r="Z61" s="383"/>
      <c r="AA61" s="383"/>
      <c r="AB61" s="383"/>
      <c r="AC61" s="5"/>
      <c r="AD61" s="5"/>
      <c r="AE61" s="5"/>
      <c r="AF61" s="5"/>
      <c r="AG61" s="5"/>
      <c r="AH61" s="5"/>
      <c r="AI61" s="5"/>
      <c r="AJ61" s="5"/>
      <c r="AK61" s="5"/>
      <c r="AL61" s="5"/>
      <c r="AM61" s="5"/>
      <c r="AN61" s="5"/>
      <c r="AO61" s="5"/>
      <c r="AP61" s="5"/>
      <c r="AQ61" s="5"/>
      <c r="AR61" s="5"/>
      <c r="AS61" s="5"/>
      <c r="AT61" s="5"/>
      <c r="AU61" s="5"/>
      <c r="AV61" s="5"/>
      <c r="AW61" s="5"/>
      <c r="AX61" s="5"/>
      <c r="AY61" s="7"/>
      <c r="AZ61" s="5"/>
      <c r="BA61" s="5"/>
      <c r="BB61" s="5"/>
      <c r="BC61" s="5"/>
      <c r="BD61" s="5"/>
      <c r="BE61" s="5"/>
      <c r="BF61" s="5"/>
      <c r="BG61" s="5"/>
      <c r="BH61" s="5"/>
      <c r="BI61" s="5"/>
      <c r="BJ61" s="5"/>
      <c r="BK61" s="5"/>
      <c r="BL61" s="5"/>
      <c r="BM61" s="5"/>
      <c r="BN61" s="5"/>
      <c r="BO61" s="5"/>
      <c r="BP61" s="5"/>
      <c r="BQ61" s="5"/>
      <c r="BR61" s="5"/>
      <c r="BS61" s="5"/>
      <c r="BT61" s="5"/>
    </row>
    <row r="62" spans="1:72" ht="20.100000000000001" customHeight="1">
      <c r="A62" s="5"/>
      <c r="B62" s="382" t="s">
        <v>3152</v>
      </c>
      <c r="C62" s="382"/>
      <c r="D62" s="382"/>
      <c r="E62" s="382"/>
      <c r="F62" s="382"/>
      <c r="G62" s="382"/>
      <c r="H62" s="382"/>
      <c r="I62" s="382"/>
      <c r="J62" s="382"/>
      <c r="K62" s="5"/>
      <c r="M62" s="5"/>
      <c r="N62" s="382" t="s">
        <v>81</v>
      </c>
      <c r="O62" s="382"/>
      <c r="P62" s="382"/>
      <c r="Q62" s="382"/>
      <c r="R62" s="382"/>
      <c r="S62" s="5"/>
      <c r="T62" s="382" t="s">
        <v>3096</v>
      </c>
      <c r="U62" s="382"/>
      <c r="V62" s="382"/>
      <c r="W62" s="382"/>
      <c r="X62" s="382"/>
      <c r="Y62" s="382"/>
      <c r="Z62" s="5"/>
      <c r="AA62" s="382" t="s">
        <v>3152</v>
      </c>
      <c r="AB62" s="382"/>
      <c r="AC62" s="382"/>
      <c r="AD62" s="382"/>
      <c r="AE62" s="382"/>
      <c r="AF62" s="382"/>
      <c r="AG62" s="382"/>
      <c r="AH62" s="382"/>
      <c r="AI62" s="382"/>
      <c r="AJ62" s="5"/>
      <c r="AL62" s="5"/>
      <c r="AM62" s="382" t="s">
        <v>81</v>
      </c>
      <c r="AN62" s="382"/>
      <c r="AO62" s="382"/>
      <c r="AP62" s="382"/>
      <c r="AQ62" s="382"/>
      <c r="AR62" s="5"/>
      <c r="AS62" s="382" t="s">
        <v>3096</v>
      </c>
      <c r="AT62" s="382"/>
      <c r="AU62" s="382"/>
      <c r="AV62" s="382"/>
      <c r="AW62" s="382"/>
      <c r="AX62" s="382"/>
      <c r="AY62" s="10"/>
      <c r="AZ62" s="5"/>
      <c r="BA62" s="5"/>
      <c r="BB62" s="5"/>
      <c r="BC62" s="5"/>
      <c r="BD62" s="5"/>
      <c r="BE62" s="5"/>
      <c r="BF62" s="5"/>
      <c r="BG62" s="5"/>
      <c r="BH62" s="5"/>
      <c r="BI62" s="5"/>
      <c r="BJ62" s="5"/>
      <c r="BK62" s="5"/>
      <c r="BL62" s="5"/>
      <c r="BM62" s="5"/>
      <c r="BN62" s="5"/>
      <c r="BO62" s="5"/>
      <c r="BP62" s="5"/>
      <c r="BQ62" s="5"/>
      <c r="BR62" s="5"/>
      <c r="BS62" s="5"/>
      <c r="BT62" s="5"/>
    </row>
    <row r="63" spans="1:72" ht="20.100000000000001" customHeight="1">
      <c r="A63" s="63"/>
      <c r="B63" s="384" t="str">
        <f>IF(ISBLANK(A63),IF(Values!D243&lt;&gt;0,Values!D243,""),A63)</f>
        <v/>
      </c>
      <c r="C63" s="384"/>
      <c r="D63" s="384"/>
      <c r="E63" s="384"/>
      <c r="F63" s="384"/>
      <c r="G63" s="384"/>
      <c r="H63" s="384"/>
      <c r="I63" s="384"/>
      <c r="J63" s="384"/>
      <c r="K63" s="384"/>
      <c r="L63" s="384"/>
      <c r="M63" s="5"/>
      <c r="N63" s="389" t="str">
        <f>IF(Values!E243&lt;&gt;0,Values!E243,"")</f>
        <v/>
      </c>
      <c r="O63" s="389"/>
      <c r="P63" s="389"/>
      <c r="Q63" s="389"/>
      <c r="R63" s="389"/>
      <c r="S63" s="5"/>
      <c r="T63" s="389" t="str">
        <f>IF(Values!F243&lt;&gt;0,Values!F243,"")</f>
        <v/>
      </c>
      <c r="U63" s="389"/>
      <c r="V63" s="389"/>
      <c r="W63" s="389"/>
      <c r="X63" s="389"/>
      <c r="Y63" s="389"/>
      <c r="Z63" s="63"/>
      <c r="AA63" s="384" t="str">
        <f>IF(ISBLANK(Z63),IF(Values!D268&lt;&gt;0,Values!D268,""),Z63)</f>
        <v/>
      </c>
      <c r="AB63" s="384"/>
      <c r="AC63" s="384"/>
      <c r="AD63" s="384"/>
      <c r="AE63" s="384"/>
      <c r="AF63" s="384"/>
      <c r="AG63" s="384"/>
      <c r="AH63" s="384"/>
      <c r="AI63" s="384"/>
      <c r="AJ63" s="384"/>
      <c r="AK63" s="384"/>
      <c r="AL63" s="5"/>
      <c r="AM63" s="389" t="str">
        <f>IF(Values!E268&lt;&gt;0,Values!E268,"")</f>
        <v/>
      </c>
      <c r="AN63" s="389"/>
      <c r="AO63" s="389"/>
      <c r="AP63" s="389"/>
      <c r="AQ63" s="389"/>
      <c r="AR63" s="5"/>
      <c r="AS63" s="389" t="str">
        <f>IF(Values!F268&lt;&gt;0,Values!F268,"")</f>
        <v/>
      </c>
      <c r="AT63" s="389"/>
      <c r="AU63" s="389"/>
      <c r="AV63" s="389"/>
      <c r="AW63" s="389"/>
      <c r="AX63" s="389"/>
      <c r="AY63" s="7"/>
      <c r="AZ63" s="5"/>
      <c r="BA63" s="5"/>
      <c r="BB63" s="5"/>
      <c r="BC63" s="5"/>
      <c r="BD63" s="5"/>
      <c r="BE63" s="5"/>
      <c r="BF63" s="5"/>
      <c r="BG63" s="5"/>
      <c r="BH63" s="5"/>
      <c r="BI63" s="5"/>
      <c r="BJ63" s="5"/>
      <c r="BK63" s="5"/>
      <c r="BL63" s="5"/>
      <c r="BM63" s="5"/>
      <c r="BN63" s="5"/>
      <c r="BO63" s="5"/>
      <c r="BP63" s="5"/>
      <c r="BQ63" s="5"/>
      <c r="BR63" s="5"/>
      <c r="BS63" s="5"/>
      <c r="BT63" s="5"/>
    </row>
    <row r="64" spans="1:72" ht="20.100000000000001" customHeight="1">
      <c r="A64" s="63"/>
      <c r="B64" s="384" t="str">
        <f>IF(ISBLANK(A64),IF(Values!D244&lt;&gt;0,Values!D244,""),A64)</f>
        <v/>
      </c>
      <c r="C64" s="384"/>
      <c r="D64" s="384"/>
      <c r="E64" s="384"/>
      <c r="F64" s="384"/>
      <c r="G64" s="384"/>
      <c r="H64" s="384"/>
      <c r="I64" s="384"/>
      <c r="J64" s="384"/>
      <c r="K64" s="384"/>
      <c r="L64" s="384"/>
      <c r="M64" s="5"/>
      <c r="N64" s="389" t="str">
        <f>IF(Values!E244&lt;&gt;0,Values!E244,"")</f>
        <v/>
      </c>
      <c r="O64" s="389"/>
      <c r="P64" s="389"/>
      <c r="Q64" s="389"/>
      <c r="R64" s="389"/>
      <c r="S64" s="5"/>
      <c r="T64" s="389" t="str">
        <f>IF(Values!F244&lt;&gt;0,Values!F244,"")</f>
        <v/>
      </c>
      <c r="U64" s="389"/>
      <c r="V64" s="389"/>
      <c r="W64" s="389"/>
      <c r="X64" s="389"/>
      <c r="Y64" s="389"/>
      <c r="Z64" s="63"/>
      <c r="AA64" s="384" t="str">
        <f>IF(ISBLANK(Z64),IF(Values!D269&lt;&gt;0,Values!D269,""),Z64)</f>
        <v/>
      </c>
      <c r="AB64" s="384"/>
      <c r="AC64" s="384"/>
      <c r="AD64" s="384"/>
      <c r="AE64" s="384"/>
      <c r="AF64" s="384"/>
      <c r="AG64" s="384"/>
      <c r="AH64" s="384"/>
      <c r="AI64" s="384"/>
      <c r="AJ64" s="384"/>
      <c r="AK64" s="384"/>
      <c r="AL64" s="5"/>
      <c r="AM64" s="389" t="str">
        <f>IF(Values!E269&lt;&gt;0,Values!E269,"")</f>
        <v/>
      </c>
      <c r="AN64" s="389"/>
      <c r="AO64" s="389"/>
      <c r="AP64" s="389"/>
      <c r="AQ64" s="389"/>
      <c r="AR64" s="5"/>
      <c r="AS64" s="389" t="str">
        <f>IF(Values!F269&lt;&gt;0,Values!F269,"")</f>
        <v/>
      </c>
      <c r="AT64" s="389"/>
      <c r="AU64" s="389"/>
      <c r="AV64" s="389"/>
      <c r="AW64" s="389"/>
      <c r="AX64" s="389"/>
      <c r="AY64" s="7"/>
      <c r="AZ64" s="5"/>
      <c r="BA64" s="5"/>
      <c r="BB64" s="5"/>
      <c r="BC64" s="5"/>
      <c r="BD64" s="5"/>
      <c r="BE64" s="5"/>
      <c r="BF64" s="5"/>
      <c r="BG64" s="5"/>
      <c r="BH64" s="5"/>
      <c r="BI64" s="5"/>
      <c r="BJ64" s="5"/>
      <c r="BK64" s="5"/>
      <c r="BL64" s="5"/>
      <c r="BM64" s="5"/>
      <c r="BN64" s="5"/>
      <c r="BO64" s="5"/>
      <c r="BP64" s="5"/>
      <c r="BQ64" s="5"/>
      <c r="BR64" s="5"/>
      <c r="BS64" s="5"/>
      <c r="BT64" s="5"/>
    </row>
    <row r="65" spans="1:72" ht="20.100000000000001" customHeight="1">
      <c r="A65" s="63"/>
      <c r="B65" s="384" t="str">
        <f>IF(ISBLANK(A65),IF(Values!D245&lt;&gt;0,Values!D245,""),A65)</f>
        <v/>
      </c>
      <c r="C65" s="384"/>
      <c r="D65" s="384"/>
      <c r="E65" s="384"/>
      <c r="F65" s="384"/>
      <c r="G65" s="384"/>
      <c r="H65" s="384"/>
      <c r="I65" s="384"/>
      <c r="J65" s="384"/>
      <c r="K65" s="384"/>
      <c r="L65" s="384"/>
      <c r="M65" s="5"/>
      <c r="N65" s="389" t="str">
        <f>IF(Values!E245&lt;&gt;0,Values!E245,"")</f>
        <v/>
      </c>
      <c r="O65" s="389"/>
      <c r="P65" s="389"/>
      <c r="Q65" s="389"/>
      <c r="R65" s="389"/>
      <c r="S65" s="5"/>
      <c r="T65" s="389" t="str">
        <f>IF(Values!F245&lt;&gt;0,Values!F245,"")</f>
        <v/>
      </c>
      <c r="U65" s="389"/>
      <c r="V65" s="389"/>
      <c r="W65" s="389"/>
      <c r="X65" s="389"/>
      <c r="Y65" s="389"/>
      <c r="Z65" s="63"/>
      <c r="AA65" s="384" t="str">
        <f>IF(ISBLANK(Z65),IF(Values!D270&lt;&gt;0,Values!D270,""),Z65)</f>
        <v/>
      </c>
      <c r="AB65" s="384"/>
      <c r="AC65" s="384"/>
      <c r="AD65" s="384"/>
      <c r="AE65" s="384"/>
      <c r="AF65" s="384"/>
      <c r="AG65" s="384"/>
      <c r="AH65" s="384"/>
      <c r="AI65" s="384"/>
      <c r="AJ65" s="384"/>
      <c r="AK65" s="384"/>
      <c r="AL65" s="5"/>
      <c r="AM65" s="389" t="str">
        <f>IF(Values!E270&lt;&gt;0,Values!E270,"")</f>
        <v/>
      </c>
      <c r="AN65" s="389"/>
      <c r="AO65" s="389"/>
      <c r="AP65" s="389"/>
      <c r="AQ65" s="389"/>
      <c r="AR65" s="5"/>
      <c r="AS65" s="389" t="str">
        <f>IF(Values!F270&lt;&gt;0,Values!F270,"")</f>
        <v/>
      </c>
      <c r="AT65" s="389"/>
      <c r="AU65" s="389"/>
      <c r="AV65" s="389"/>
      <c r="AW65" s="389"/>
      <c r="AX65" s="389"/>
      <c r="AY65" s="7"/>
      <c r="AZ65" s="5"/>
      <c r="BA65" s="5"/>
      <c r="BB65" s="5"/>
      <c r="BC65" s="5"/>
      <c r="BD65" s="5"/>
      <c r="BE65" s="5"/>
      <c r="BF65" s="5"/>
      <c r="BG65" s="5"/>
      <c r="BH65" s="5"/>
      <c r="BI65" s="5"/>
      <c r="BJ65" s="5"/>
      <c r="BK65" s="5"/>
      <c r="BL65" s="5"/>
      <c r="BM65" s="5"/>
      <c r="BN65" s="5"/>
      <c r="BO65" s="5"/>
      <c r="BP65" s="5"/>
      <c r="BQ65" s="5"/>
      <c r="BR65" s="5"/>
      <c r="BS65" s="5"/>
      <c r="BT65" s="5"/>
    </row>
    <row r="66" spans="1:72" ht="20.100000000000001" customHeight="1">
      <c r="A66" s="63"/>
      <c r="B66" s="384" t="str">
        <f>IF(ISBLANK(A66),IF(Values!D246&lt;&gt;0,Values!D246,""),A66)</f>
        <v/>
      </c>
      <c r="C66" s="384"/>
      <c r="D66" s="384"/>
      <c r="E66" s="384"/>
      <c r="F66" s="384"/>
      <c r="G66" s="384"/>
      <c r="H66" s="384"/>
      <c r="I66" s="384"/>
      <c r="J66" s="384"/>
      <c r="K66" s="384"/>
      <c r="L66" s="384"/>
      <c r="M66" s="5"/>
      <c r="N66" s="389" t="str">
        <f>IF(Values!E246&lt;&gt;0,Values!E246,"")</f>
        <v/>
      </c>
      <c r="O66" s="389"/>
      <c r="P66" s="389"/>
      <c r="Q66" s="389"/>
      <c r="R66" s="389"/>
      <c r="S66" s="5"/>
      <c r="T66" s="389" t="str">
        <f>IF(Values!F246&lt;&gt;0,Values!F246,"")</f>
        <v/>
      </c>
      <c r="U66" s="389"/>
      <c r="V66" s="389"/>
      <c r="W66" s="389"/>
      <c r="X66" s="389"/>
      <c r="Y66" s="389"/>
      <c r="Z66" s="63"/>
      <c r="AA66" s="384" t="str">
        <f>IF(ISBLANK(Z66),IF(Values!D271&lt;&gt;0,Values!D271,""),Z66)</f>
        <v/>
      </c>
      <c r="AB66" s="384"/>
      <c r="AC66" s="384"/>
      <c r="AD66" s="384"/>
      <c r="AE66" s="384"/>
      <c r="AF66" s="384"/>
      <c r="AG66" s="384"/>
      <c r="AH66" s="384"/>
      <c r="AI66" s="384"/>
      <c r="AJ66" s="384"/>
      <c r="AK66" s="384"/>
      <c r="AL66" s="5"/>
      <c r="AM66" s="389" t="str">
        <f>IF(Values!E271&lt;&gt;0,Values!E271,"")</f>
        <v/>
      </c>
      <c r="AN66" s="389"/>
      <c r="AO66" s="389"/>
      <c r="AP66" s="389"/>
      <c r="AQ66" s="389"/>
      <c r="AR66" s="5"/>
      <c r="AS66" s="389" t="str">
        <f>IF(Values!F271&lt;&gt;0,Values!F271,"")</f>
        <v/>
      </c>
      <c r="AT66" s="389"/>
      <c r="AU66" s="389"/>
      <c r="AV66" s="389"/>
      <c r="AW66" s="389"/>
      <c r="AX66" s="389"/>
      <c r="AY66" s="7"/>
      <c r="AZ66" s="5"/>
      <c r="BA66" s="5"/>
      <c r="BB66" s="5"/>
      <c r="BC66" s="5"/>
      <c r="BD66" s="5"/>
      <c r="BE66" s="5"/>
      <c r="BF66" s="5"/>
      <c r="BG66" s="5"/>
      <c r="BH66" s="5"/>
      <c r="BI66" s="5"/>
      <c r="BJ66" s="5"/>
      <c r="BK66" s="5"/>
      <c r="BL66" s="5"/>
      <c r="BM66" s="5"/>
      <c r="BN66" s="5"/>
      <c r="BO66" s="5"/>
      <c r="BP66" s="5"/>
      <c r="BQ66" s="5"/>
      <c r="BR66" s="5"/>
      <c r="BS66" s="5"/>
      <c r="BT66" s="5"/>
    </row>
    <row r="67" spans="1:72" ht="20.100000000000001" customHeight="1">
      <c r="A67" s="63"/>
      <c r="B67" s="384" t="str">
        <f>IF(ISBLANK(A67),IF(Values!D247&lt;&gt;0,Values!D247,""),A67)</f>
        <v/>
      </c>
      <c r="C67" s="384"/>
      <c r="D67" s="384"/>
      <c r="E67" s="384"/>
      <c r="F67" s="384"/>
      <c r="G67" s="384"/>
      <c r="H67" s="384"/>
      <c r="I67" s="384"/>
      <c r="J67" s="384"/>
      <c r="K67" s="384"/>
      <c r="L67" s="384"/>
      <c r="M67" s="5"/>
      <c r="N67" s="389" t="str">
        <f>IF(Values!E247&lt;&gt;0,Values!E247,"")</f>
        <v/>
      </c>
      <c r="O67" s="389"/>
      <c r="P67" s="389"/>
      <c r="Q67" s="389"/>
      <c r="R67" s="389"/>
      <c r="S67" s="5"/>
      <c r="T67" s="389" t="str">
        <f>IF(Values!F247&lt;&gt;0,Values!F247,"")</f>
        <v/>
      </c>
      <c r="U67" s="389"/>
      <c r="V67" s="389"/>
      <c r="W67" s="389"/>
      <c r="X67" s="389"/>
      <c r="Y67" s="389"/>
      <c r="Z67" s="63"/>
      <c r="AA67" s="384" t="str">
        <f>IF(ISBLANK(Z67),IF(Values!D272&lt;&gt;0,Values!D272,""),Z67)</f>
        <v/>
      </c>
      <c r="AB67" s="384"/>
      <c r="AC67" s="384"/>
      <c r="AD67" s="384"/>
      <c r="AE67" s="384"/>
      <c r="AF67" s="384"/>
      <c r="AG67" s="384"/>
      <c r="AH67" s="384"/>
      <c r="AI67" s="384"/>
      <c r="AJ67" s="384"/>
      <c r="AK67" s="384"/>
      <c r="AL67" s="5"/>
      <c r="AM67" s="389" t="str">
        <f>IF(Values!E272&lt;&gt;0,Values!E272,"")</f>
        <v/>
      </c>
      <c r="AN67" s="389"/>
      <c r="AO67" s="389"/>
      <c r="AP67" s="389"/>
      <c r="AQ67" s="389"/>
      <c r="AR67" s="5"/>
      <c r="AS67" s="389" t="str">
        <f>IF(Values!F272&lt;&gt;0,Values!F272,"")</f>
        <v/>
      </c>
      <c r="AT67" s="389"/>
      <c r="AU67" s="389"/>
      <c r="AV67" s="389"/>
      <c r="AW67" s="389"/>
      <c r="AX67" s="389"/>
      <c r="AY67" s="7"/>
      <c r="AZ67" s="5"/>
      <c r="BA67" s="5"/>
      <c r="BB67" s="5"/>
      <c r="BC67" s="5"/>
      <c r="BD67" s="5"/>
      <c r="BE67" s="5"/>
      <c r="BF67" s="5"/>
      <c r="BG67" s="5"/>
      <c r="BH67" s="5"/>
      <c r="BI67" s="5"/>
      <c r="BJ67" s="5"/>
      <c r="BK67" s="5"/>
      <c r="BL67" s="5"/>
      <c r="BM67" s="5"/>
      <c r="BN67" s="5"/>
      <c r="BO67" s="5"/>
      <c r="BP67" s="5"/>
      <c r="BQ67" s="5"/>
      <c r="BR67" s="5"/>
      <c r="BS67" s="5"/>
      <c r="BT67" s="5"/>
    </row>
    <row r="68" spans="1:72" ht="20.100000000000001" customHeight="1">
      <c r="A68" s="63"/>
      <c r="B68" s="384" t="str">
        <f>IF(ISBLANK(A68),IF(Values!D248&lt;&gt;0,Values!D248,""),A68)</f>
        <v/>
      </c>
      <c r="C68" s="384"/>
      <c r="D68" s="384"/>
      <c r="E68" s="384"/>
      <c r="F68" s="384"/>
      <c r="G68" s="384"/>
      <c r="H68" s="384"/>
      <c r="I68" s="384"/>
      <c r="J68" s="384"/>
      <c r="K68" s="384"/>
      <c r="L68" s="384"/>
      <c r="M68" s="5"/>
      <c r="N68" s="389" t="str">
        <f>IF(Values!E248&lt;&gt;0,Values!E248,"")</f>
        <v/>
      </c>
      <c r="O68" s="389"/>
      <c r="P68" s="389"/>
      <c r="Q68" s="389"/>
      <c r="R68" s="389"/>
      <c r="S68" s="5"/>
      <c r="T68" s="389" t="str">
        <f>IF(Values!F248&lt;&gt;0,Values!F248,"")</f>
        <v/>
      </c>
      <c r="U68" s="389"/>
      <c r="V68" s="389"/>
      <c r="W68" s="389"/>
      <c r="X68" s="389"/>
      <c r="Y68" s="389"/>
      <c r="Z68" s="63"/>
      <c r="AA68" s="384" t="str">
        <f>IF(ISBLANK(Z68),IF(Values!D273&lt;&gt;0,Values!D273,""),Z68)</f>
        <v/>
      </c>
      <c r="AB68" s="384"/>
      <c r="AC68" s="384"/>
      <c r="AD68" s="384"/>
      <c r="AE68" s="384"/>
      <c r="AF68" s="384"/>
      <c r="AG68" s="384"/>
      <c r="AH68" s="384"/>
      <c r="AI68" s="384"/>
      <c r="AJ68" s="384"/>
      <c r="AK68" s="384"/>
      <c r="AL68" s="5"/>
      <c r="AM68" s="389" t="str">
        <f>IF(Values!E273&lt;&gt;0,Values!E273,"")</f>
        <v/>
      </c>
      <c r="AN68" s="389"/>
      <c r="AO68" s="389"/>
      <c r="AP68" s="389"/>
      <c r="AQ68" s="389"/>
      <c r="AR68" s="5"/>
      <c r="AS68" s="389" t="str">
        <f>IF(Values!F273&lt;&gt;0,Values!F273,"")</f>
        <v/>
      </c>
      <c r="AT68" s="389"/>
      <c r="AU68" s="389"/>
      <c r="AV68" s="389"/>
      <c r="AW68" s="389"/>
      <c r="AX68" s="389"/>
      <c r="AY68" s="7"/>
      <c r="AZ68" s="5"/>
      <c r="BA68" s="5"/>
      <c r="BB68" s="5"/>
      <c r="BC68" s="5"/>
      <c r="BD68" s="5"/>
      <c r="BE68" s="5"/>
      <c r="BF68" s="5"/>
      <c r="BG68" s="5"/>
      <c r="BH68" s="5"/>
      <c r="BI68" s="5"/>
      <c r="BJ68" s="5"/>
      <c r="BK68" s="5"/>
      <c r="BL68" s="5"/>
      <c r="BM68" s="5"/>
      <c r="BN68" s="5"/>
      <c r="BO68" s="5"/>
      <c r="BP68" s="5"/>
      <c r="BQ68" s="5"/>
      <c r="BR68" s="5"/>
      <c r="BS68" s="5"/>
      <c r="BT68" s="5"/>
    </row>
    <row r="69" spans="1:72" ht="20.100000000000001" hidden="1" customHeight="1" thickBot="1">
      <c r="A69" s="63"/>
      <c r="B69" s="384" t="str">
        <f>IF(ISBLANK(A69),IF(Values!D249&lt;&gt;0,Values!D249,""),A69)</f>
        <v/>
      </c>
      <c r="C69" s="384"/>
      <c r="D69" s="384"/>
      <c r="E69" s="384"/>
      <c r="F69" s="384"/>
      <c r="G69" s="384"/>
      <c r="H69" s="384"/>
      <c r="I69" s="384"/>
      <c r="J69" s="384"/>
      <c r="K69" s="384"/>
      <c r="L69" s="384"/>
      <c r="M69" s="5"/>
      <c r="N69" s="389" t="str">
        <f>IF(Values!E249&lt;&gt;0,Values!E249,"")</f>
        <v/>
      </c>
      <c r="O69" s="389"/>
      <c r="P69" s="389"/>
      <c r="Q69" s="389"/>
      <c r="R69" s="389"/>
      <c r="S69" s="5"/>
      <c r="T69" s="389" t="str">
        <f>IF(Values!F249&lt;&gt;0,Values!F249,"")</f>
        <v/>
      </c>
      <c r="U69" s="389"/>
      <c r="V69" s="389"/>
      <c r="W69" s="389"/>
      <c r="X69" s="389"/>
      <c r="Y69" s="389"/>
      <c r="Z69" s="63"/>
      <c r="AA69" s="384" t="str">
        <f>IF(ISBLANK(Z69),IF(Values!D274&lt;&gt;0,Values!D274,""),Z69)</f>
        <v/>
      </c>
      <c r="AB69" s="384"/>
      <c r="AC69" s="384"/>
      <c r="AD69" s="384"/>
      <c r="AE69" s="384"/>
      <c r="AF69" s="384"/>
      <c r="AG69" s="384"/>
      <c r="AH69" s="384"/>
      <c r="AI69" s="384"/>
      <c r="AJ69" s="384"/>
      <c r="AK69" s="384"/>
      <c r="AL69" s="5"/>
      <c r="AM69" s="389" t="str">
        <f>IF(Values!E274&lt;&gt;0,Values!E274,"")</f>
        <v/>
      </c>
      <c r="AN69" s="389"/>
      <c r="AO69" s="389"/>
      <c r="AP69" s="389"/>
      <c r="AQ69" s="389"/>
      <c r="AR69" s="5"/>
      <c r="AS69" s="389" t="str">
        <f>IF(Values!F274&lt;&gt;0,Values!F274,"")</f>
        <v/>
      </c>
      <c r="AT69" s="389"/>
      <c r="AU69" s="389"/>
      <c r="AV69" s="389"/>
      <c r="AW69" s="389"/>
      <c r="AX69" s="389"/>
      <c r="AY69" s="7"/>
      <c r="AZ69" s="5"/>
      <c r="BA69" s="5"/>
      <c r="BB69" s="5"/>
      <c r="BC69" s="5"/>
      <c r="BD69" s="5"/>
      <c r="BE69" s="5"/>
      <c r="BF69" s="5"/>
      <c r="BG69" s="5"/>
      <c r="BH69" s="5"/>
      <c r="BI69" s="5"/>
      <c r="BJ69" s="5"/>
      <c r="BK69" s="5"/>
      <c r="BL69" s="5"/>
      <c r="BM69" s="5"/>
      <c r="BN69" s="5"/>
      <c r="BO69" s="5"/>
      <c r="BP69" s="5"/>
      <c r="BQ69" s="5"/>
      <c r="BR69" s="5"/>
      <c r="BS69" s="5"/>
      <c r="BT69" s="5"/>
    </row>
    <row r="70" spans="1:72" ht="20.100000000000001" hidden="1" customHeight="1">
      <c r="A70" s="63"/>
      <c r="B70" s="384" t="str">
        <f>IF(ISBLANK(A70),IF(Values!D250&lt;&gt;0,Values!D250,""),A70)</f>
        <v/>
      </c>
      <c r="C70" s="384"/>
      <c r="D70" s="384"/>
      <c r="E70" s="384"/>
      <c r="F70" s="384"/>
      <c r="G70" s="384"/>
      <c r="H70" s="384"/>
      <c r="I70" s="384"/>
      <c r="J70" s="384"/>
      <c r="K70" s="384"/>
      <c r="L70" s="384"/>
      <c r="M70" s="5"/>
      <c r="N70" s="389" t="str">
        <f>IF(Values!E250&lt;&gt;0,Values!E250,"")</f>
        <v/>
      </c>
      <c r="O70" s="389"/>
      <c r="P70" s="389"/>
      <c r="Q70" s="389"/>
      <c r="R70" s="389"/>
      <c r="S70" s="5"/>
      <c r="T70" s="389" t="str">
        <f>IF(Values!F250&lt;&gt;0,Values!F250,"")</f>
        <v/>
      </c>
      <c r="U70" s="389"/>
      <c r="V70" s="389"/>
      <c r="W70" s="389"/>
      <c r="X70" s="389"/>
      <c r="Y70" s="389"/>
      <c r="Z70" s="63"/>
      <c r="AA70" s="384" t="str">
        <f>IF(ISBLANK(Z70),IF(Values!D275&lt;&gt;0,Values!D275,""),Z70)</f>
        <v/>
      </c>
      <c r="AB70" s="384"/>
      <c r="AC70" s="384"/>
      <c r="AD70" s="384"/>
      <c r="AE70" s="384"/>
      <c r="AF70" s="384"/>
      <c r="AG70" s="384"/>
      <c r="AH70" s="384"/>
      <c r="AI70" s="384"/>
      <c r="AJ70" s="384"/>
      <c r="AK70" s="384"/>
      <c r="AL70" s="5"/>
      <c r="AM70" s="389" t="str">
        <f>IF(Values!E275&lt;&gt;0,Values!E275,"")</f>
        <v/>
      </c>
      <c r="AN70" s="389"/>
      <c r="AO70" s="389"/>
      <c r="AP70" s="389"/>
      <c r="AQ70" s="389"/>
      <c r="AR70" s="5"/>
      <c r="AS70" s="389" t="str">
        <f>IF(Values!F275&lt;&gt;0,Values!F275,"")</f>
        <v/>
      </c>
      <c r="AT70" s="389"/>
      <c r="AU70" s="389"/>
      <c r="AV70" s="389"/>
      <c r="AW70" s="389"/>
      <c r="AX70" s="389"/>
      <c r="AY70" s="7"/>
      <c r="AZ70" s="5"/>
      <c r="BA70" s="440" t="str">
        <f>$BA$8</f>
        <v>You must go back to Creation_1 to spend your Attributes points properly</v>
      </c>
      <c r="BB70" s="441"/>
      <c r="BC70" s="441"/>
      <c r="BD70" s="441"/>
      <c r="BE70" s="441"/>
      <c r="BF70" s="441"/>
      <c r="BG70" s="441"/>
      <c r="BH70" s="441"/>
      <c r="BI70" s="441"/>
      <c r="BJ70" s="441"/>
      <c r="BK70" s="441"/>
      <c r="BL70" s="441"/>
      <c r="BM70" s="441"/>
      <c r="BN70" s="442"/>
      <c r="BO70" s="5"/>
      <c r="BP70" s="5"/>
      <c r="BQ70" s="5"/>
      <c r="BR70" s="5"/>
      <c r="BS70" s="5"/>
      <c r="BT70" s="5"/>
    </row>
    <row r="71" spans="1:72" ht="20.100000000000001" hidden="1" customHeight="1" thickBot="1">
      <c r="A71" s="63"/>
      <c r="B71" s="384" t="str">
        <f>IF(ISBLANK(A71),IF(Values!D251&lt;&gt;0,Values!D251,""),A71)</f>
        <v/>
      </c>
      <c r="C71" s="384"/>
      <c r="D71" s="384"/>
      <c r="E71" s="384"/>
      <c r="F71" s="384"/>
      <c r="G71" s="384"/>
      <c r="H71" s="384"/>
      <c r="I71" s="384"/>
      <c r="J71" s="384"/>
      <c r="K71" s="384"/>
      <c r="L71" s="384"/>
      <c r="M71" s="5"/>
      <c r="N71" s="389" t="str">
        <f>IF(Values!E251&lt;&gt;0,Values!E251,"")</f>
        <v/>
      </c>
      <c r="O71" s="389"/>
      <c r="P71" s="389"/>
      <c r="Q71" s="389"/>
      <c r="R71" s="389"/>
      <c r="S71" s="5"/>
      <c r="T71" s="389" t="str">
        <f>IF(Values!F251&lt;&gt;0,Values!F251,"")</f>
        <v/>
      </c>
      <c r="U71" s="389"/>
      <c r="V71" s="389"/>
      <c r="W71" s="389"/>
      <c r="X71" s="389"/>
      <c r="Y71" s="389"/>
      <c r="Z71" s="63"/>
      <c r="AA71" s="384" t="str">
        <f>IF(ISBLANK(Z71),IF(Values!D276&lt;&gt;0,Values!D276,""),Z71)</f>
        <v/>
      </c>
      <c r="AB71" s="384"/>
      <c r="AC71" s="384"/>
      <c r="AD71" s="384"/>
      <c r="AE71" s="384"/>
      <c r="AF71" s="384"/>
      <c r="AG71" s="384"/>
      <c r="AH71" s="384"/>
      <c r="AI71" s="384"/>
      <c r="AJ71" s="384"/>
      <c r="AK71" s="384"/>
      <c r="AL71" s="5"/>
      <c r="AM71" s="389" t="str">
        <f>IF(Values!E276&lt;&gt;0,Values!E276,"")</f>
        <v/>
      </c>
      <c r="AN71" s="389"/>
      <c r="AO71" s="389"/>
      <c r="AP71" s="389"/>
      <c r="AQ71" s="389"/>
      <c r="AR71" s="5"/>
      <c r="AS71" s="389" t="str">
        <f>IF(Values!F276&lt;&gt;0,Values!F276,"")</f>
        <v/>
      </c>
      <c r="AT71" s="389"/>
      <c r="AU71" s="389"/>
      <c r="AV71" s="389"/>
      <c r="AW71" s="389"/>
      <c r="AX71" s="389"/>
      <c r="AY71" s="7"/>
      <c r="AZ71" s="5"/>
      <c r="BA71" s="443"/>
      <c r="BB71" s="444"/>
      <c r="BC71" s="444"/>
      <c r="BD71" s="444"/>
      <c r="BE71" s="444"/>
      <c r="BF71" s="444"/>
      <c r="BG71" s="444"/>
      <c r="BH71" s="444"/>
      <c r="BI71" s="444"/>
      <c r="BJ71" s="444"/>
      <c r="BK71" s="444"/>
      <c r="BL71" s="444"/>
      <c r="BM71" s="444"/>
      <c r="BN71" s="445"/>
      <c r="BO71" s="5"/>
      <c r="BP71" s="5"/>
      <c r="BQ71" s="5"/>
      <c r="BR71" s="5"/>
      <c r="BS71" s="5"/>
      <c r="BT71" s="5"/>
    </row>
    <row r="72" spans="1:72" ht="20.100000000000001" hidden="1" customHeight="1">
      <c r="A72" s="63"/>
      <c r="B72" s="384" t="str">
        <f>IF(ISBLANK(A72),IF(Values!D252&lt;&gt;0,Values!D252,""),A72)</f>
        <v/>
      </c>
      <c r="C72" s="384"/>
      <c r="D72" s="384"/>
      <c r="E72" s="384"/>
      <c r="F72" s="384"/>
      <c r="G72" s="384"/>
      <c r="H72" s="384"/>
      <c r="I72" s="384"/>
      <c r="J72" s="384"/>
      <c r="K72" s="384"/>
      <c r="L72" s="384"/>
      <c r="M72" s="5"/>
      <c r="N72" s="389" t="str">
        <f>IF(Values!E252&lt;&gt;0,Values!E252,"")</f>
        <v/>
      </c>
      <c r="O72" s="389"/>
      <c r="P72" s="389"/>
      <c r="Q72" s="389"/>
      <c r="R72" s="389"/>
      <c r="S72" s="5"/>
      <c r="T72" s="389" t="str">
        <f>IF(Values!F252&lt;&gt;0,Values!F252,"")</f>
        <v/>
      </c>
      <c r="U72" s="389"/>
      <c r="V72" s="389"/>
      <c r="W72" s="389"/>
      <c r="X72" s="389"/>
      <c r="Y72" s="389"/>
      <c r="Z72" s="63"/>
      <c r="AA72" s="384" t="str">
        <f>IF(ISBLANK(Z72),IF(Values!D277&lt;&gt;0,Values!D277,""),Z72)</f>
        <v/>
      </c>
      <c r="AB72" s="384"/>
      <c r="AC72" s="384"/>
      <c r="AD72" s="384"/>
      <c r="AE72" s="384"/>
      <c r="AF72" s="384"/>
      <c r="AG72" s="384"/>
      <c r="AH72" s="384"/>
      <c r="AI72" s="384"/>
      <c r="AJ72" s="384"/>
      <c r="AK72" s="384"/>
      <c r="AL72" s="5"/>
      <c r="AM72" s="389" t="str">
        <f>IF(Values!E277&lt;&gt;0,Values!E277,"")</f>
        <v/>
      </c>
      <c r="AN72" s="389"/>
      <c r="AO72" s="389"/>
      <c r="AP72" s="389"/>
      <c r="AQ72" s="389"/>
      <c r="AR72" s="5"/>
      <c r="AS72" s="389" t="str">
        <f>IF(Values!F277&lt;&gt;0,Values!F277,"")</f>
        <v/>
      </c>
      <c r="AT72" s="389"/>
      <c r="AU72" s="389"/>
      <c r="AV72" s="389"/>
      <c r="AW72" s="389"/>
      <c r="AX72" s="389"/>
      <c r="AY72" s="7"/>
      <c r="AZ72" s="5"/>
      <c r="BA72" s="5"/>
      <c r="BB72" s="5"/>
      <c r="BC72" s="5"/>
      <c r="BD72" s="5"/>
      <c r="BE72" s="5"/>
      <c r="BF72" s="5"/>
      <c r="BG72" s="5"/>
      <c r="BH72" s="5"/>
      <c r="BI72" s="5"/>
      <c r="BJ72" s="5"/>
      <c r="BK72" s="5"/>
      <c r="BL72" s="5"/>
      <c r="BM72" s="5"/>
      <c r="BN72" s="5"/>
      <c r="BO72" s="5"/>
      <c r="BP72" s="5"/>
      <c r="BQ72" s="5"/>
      <c r="BR72" s="5"/>
      <c r="BS72" s="5"/>
      <c r="BT72" s="5"/>
    </row>
    <row r="73" spans="1:72" ht="20.100000000000001" hidden="1" customHeight="1">
      <c r="A73" s="63"/>
      <c r="B73" s="384" t="str">
        <f>IF(ISBLANK(A73),IF(Values!D253&lt;&gt;0,Values!D253,""),A73)</f>
        <v/>
      </c>
      <c r="C73" s="384"/>
      <c r="D73" s="384"/>
      <c r="E73" s="384"/>
      <c r="F73" s="384"/>
      <c r="G73" s="384"/>
      <c r="H73" s="384"/>
      <c r="I73" s="384"/>
      <c r="J73" s="384"/>
      <c r="K73" s="384"/>
      <c r="L73" s="384"/>
      <c r="M73" s="5"/>
      <c r="N73" s="389" t="str">
        <f>IF(Values!E253&lt;&gt;0,Values!E253,"")</f>
        <v/>
      </c>
      <c r="O73" s="389"/>
      <c r="P73" s="389"/>
      <c r="Q73" s="389"/>
      <c r="R73" s="389"/>
      <c r="S73" s="5"/>
      <c r="T73" s="389" t="str">
        <f>IF(Values!F253&lt;&gt;0,Values!F253,"")</f>
        <v/>
      </c>
      <c r="U73" s="389"/>
      <c r="V73" s="389"/>
      <c r="W73" s="389"/>
      <c r="X73" s="389"/>
      <c r="Y73" s="389"/>
      <c r="Z73" s="63"/>
      <c r="AA73" s="384" t="str">
        <f>IF(ISBLANK(Z73),IF(Values!D278&lt;&gt;0,Values!D278,""),Z73)</f>
        <v/>
      </c>
      <c r="AB73" s="384"/>
      <c r="AC73" s="384"/>
      <c r="AD73" s="384"/>
      <c r="AE73" s="384"/>
      <c r="AF73" s="384"/>
      <c r="AG73" s="384"/>
      <c r="AH73" s="384"/>
      <c r="AI73" s="384"/>
      <c r="AJ73" s="384"/>
      <c r="AK73" s="384"/>
      <c r="AL73" s="5"/>
      <c r="AM73" s="389" t="str">
        <f>IF(Values!E278&lt;&gt;0,Values!E278,"")</f>
        <v/>
      </c>
      <c r="AN73" s="389"/>
      <c r="AO73" s="389"/>
      <c r="AP73" s="389"/>
      <c r="AQ73" s="389"/>
      <c r="AR73" s="5"/>
      <c r="AS73" s="389" t="str">
        <f>IF(Values!F278&lt;&gt;0,Values!F278,"")</f>
        <v/>
      </c>
      <c r="AT73" s="389"/>
      <c r="AU73" s="389"/>
      <c r="AV73" s="389"/>
      <c r="AW73" s="389"/>
      <c r="AX73" s="389"/>
      <c r="AY73" s="7"/>
      <c r="AZ73" s="5"/>
      <c r="BA73" s="5"/>
      <c r="BB73" s="5"/>
      <c r="BC73" s="5"/>
      <c r="BD73" s="5"/>
      <c r="BE73" s="5"/>
      <c r="BF73" s="5"/>
      <c r="BG73" s="5"/>
      <c r="BH73" s="5"/>
      <c r="BI73" s="5"/>
      <c r="BJ73" s="5"/>
      <c r="BK73" s="5"/>
      <c r="BL73" s="5"/>
      <c r="BM73" s="5"/>
      <c r="BN73" s="5"/>
      <c r="BO73" s="5"/>
      <c r="BP73" s="5"/>
      <c r="BQ73" s="5"/>
      <c r="BR73" s="5"/>
      <c r="BS73" s="5"/>
      <c r="BT73" s="5"/>
    </row>
    <row r="74" spans="1:72" ht="20.100000000000001" hidden="1" customHeight="1">
      <c r="A74" s="63"/>
      <c r="B74" s="384" t="str">
        <f>IF(ISBLANK(A74),IF(Values!D254&lt;&gt;0,Values!D254,""),A74)</f>
        <v/>
      </c>
      <c r="C74" s="384"/>
      <c r="D74" s="384"/>
      <c r="E74" s="384"/>
      <c r="F74" s="384"/>
      <c r="G74" s="384"/>
      <c r="H74" s="384"/>
      <c r="I74" s="384"/>
      <c r="J74" s="384"/>
      <c r="K74" s="384"/>
      <c r="L74" s="384"/>
      <c r="M74" s="5"/>
      <c r="N74" s="389" t="str">
        <f>IF(Values!E254&lt;&gt;0,Values!E254,"")</f>
        <v/>
      </c>
      <c r="O74" s="389"/>
      <c r="P74" s="389"/>
      <c r="Q74" s="389"/>
      <c r="R74" s="389"/>
      <c r="S74" s="5"/>
      <c r="T74" s="389" t="str">
        <f>IF(Values!F254&lt;&gt;0,Values!F254,"")</f>
        <v/>
      </c>
      <c r="U74" s="389"/>
      <c r="V74" s="389"/>
      <c r="W74" s="389"/>
      <c r="X74" s="389"/>
      <c r="Y74" s="389"/>
      <c r="Z74" s="63"/>
      <c r="AA74" s="384" t="str">
        <f>IF(ISBLANK(Z74),IF(Values!D279&lt;&gt;0,Values!D279,""),Z74)</f>
        <v/>
      </c>
      <c r="AB74" s="384"/>
      <c r="AC74" s="384"/>
      <c r="AD74" s="384"/>
      <c r="AE74" s="384"/>
      <c r="AF74" s="384"/>
      <c r="AG74" s="384"/>
      <c r="AH74" s="384"/>
      <c r="AI74" s="384"/>
      <c r="AJ74" s="384"/>
      <c r="AK74" s="384"/>
      <c r="AL74" s="5"/>
      <c r="AM74" s="389" t="str">
        <f>IF(Values!E279&lt;&gt;0,Values!E279,"")</f>
        <v/>
      </c>
      <c r="AN74" s="389"/>
      <c r="AO74" s="389"/>
      <c r="AP74" s="389"/>
      <c r="AQ74" s="389"/>
      <c r="AR74" s="5"/>
      <c r="AS74" s="389" t="str">
        <f>IF(Values!F279&lt;&gt;0,Values!F279,"")</f>
        <v/>
      </c>
      <c r="AT74" s="389"/>
      <c r="AU74" s="389"/>
      <c r="AV74" s="389"/>
      <c r="AW74" s="389"/>
      <c r="AX74" s="389"/>
      <c r="AY74" s="7"/>
      <c r="AZ74" s="5"/>
      <c r="BA74" s="5"/>
      <c r="BB74" s="5"/>
      <c r="BC74" s="5"/>
      <c r="BD74" s="5"/>
      <c r="BE74" s="5"/>
      <c r="BF74" s="5"/>
      <c r="BG74" s="5"/>
      <c r="BH74" s="5"/>
      <c r="BI74" s="5"/>
      <c r="BJ74" s="5"/>
      <c r="BK74" s="5"/>
      <c r="BL74" s="5"/>
      <c r="BM74" s="5"/>
      <c r="BN74" s="5"/>
      <c r="BO74" s="5"/>
      <c r="BP74" s="5"/>
      <c r="BQ74" s="5"/>
      <c r="BR74" s="5"/>
      <c r="BS74" s="5"/>
      <c r="BT74" s="5"/>
    </row>
    <row r="75" spans="1:72" ht="20.100000000000001" hidden="1" customHeight="1">
      <c r="A75" s="63"/>
      <c r="B75" s="384" t="str">
        <f>IF(ISBLANK(A75),IF(Values!D255&lt;&gt;0,Values!D255,""),A75)</f>
        <v/>
      </c>
      <c r="C75" s="384"/>
      <c r="D75" s="384"/>
      <c r="E75" s="384"/>
      <c r="F75" s="384"/>
      <c r="G75" s="384"/>
      <c r="H75" s="384"/>
      <c r="I75" s="384"/>
      <c r="J75" s="384"/>
      <c r="K75" s="384"/>
      <c r="L75" s="384"/>
      <c r="M75" s="5"/>
      <c r="N75" s="389" t="str">
        <f>IF(Values!E255&lt;&gt;0,Values!E255,"")</f>
        <v/>
      </c>
      <c r="O75" s="389"/>
      <c r="P75" s="389"/>
      <c r="Q75" s="389"/>
      <c r="R75" s="389"/>
      <c r="S75" s="5"/>
      <c r="T75" s="389" t="str">
        <f>IF(Values!F255&lt;&gt;0,Values!F255,"")</f>
        <v/>
      </c>
      <c r="U75" s="389"/>
      <c r="V75" s="389"/>
      <c r="W75" s="389"/>
      <c r="X75" s="389"/>
      <c r="Y75" s="389"/>
      <c r="Z75" s="63"/>
      <c r="AA75" s="384" t="str">
        <f>IF(ISBLANK(Z75),IF(Values!D280&lt;&gt;0,Values!D280,""),Z75)</f>
        <v/>
      </c>
      <c r="AB75" s="384"/>
      <c r="AC75" s="384"/>
      <c r="AD75" s="384"/>
      <c r="AE75" s="384"/>
      <c r="AF75" s="384"/>
      <c r="AG75" s="384"/>
      <c r="AH75" s="384"/>
      <c r="AI75" s="384"/>
      <c r="AJ75" s="384"/>
      <c r="AK75" s="384"/>
      <c r="AL75" s="5"/>
      <c r="AM75" s="389" t="str">
        <f>IF(Values!E280&lt;&gt;0,Values!E280,"")</f>
        <v/>
      </c>
      <c r="AN75" s="389"/>
      <c r="AO75" s="389"/>
      <c r="AP75" s="389"/>
      <c r="AQ75" s="389"/>
      <c r="AR75" s="5"/>
      <c r="AS75" s="389" t="str">
        <f>IF(Values!F280&lt;&gt;0,Values!F280,"")</f>
        <v/>
      </c>
      <c r="AT75" s="389"/>
      <c r="AU75" s="389"/>
      <c r="AV75" s="389"/>
      <c r="AW75" s="389"/>
      <c r="AX75" s="389"/>
      <c r="AY75" s="7"/>
      <c r="AZ75" s="5"/>
      <c r="BA75" s="5"/>
      <c r="BB75" s="5"/>
      <c r="BC75" s="5"/>
      <c r="BD75" s="5"/>
      <c r="BE75" s="5"/>
      <c r="BF75" s="5"/>
      <c r="BG75" s="5"/>
      <c r="BH75" s="5"/>
      <c r="BI75" s="5"/>
      <c r="BJ75" s="5"/>
      <c r="BK75" s="5"/>
      <c r="BL75" s="5"/>
      <c r="BM75" s="5"/>
      <c r="BN75" s="5"/>
      <c r="BO75" s="5"/>
      <c r="BP75" s="5"/>
      <c r="BQ75" s="5"/>
      <c r="BR75" s="5"/>
      <c r="BS75" s="5"/>
      <c r="BT75" s="5"/>
    </row>
    <row r="76" spans="1:72" ht="20.100000000000001" hidden="1" customHeight="1">
      <c r="A76" s="63"/>
      <c r="B76" s="384" t="str">
        <f>IF(ISBLANK(A76),IF(Values!D256&lt;&gt;0,Values!D256,""),A76)</f>
        <v/>
      </c>
      <c r="C76" s="384"/>
      <c r="D76" s="384"/>
      <c r="E76" s="384"/>
      <c r="F76" s="384"/>
      <c r="G76" s="384"/>
      <c r="H76" s="384"/>
      <c r="I76" s="384"/>
      <c r="J76" s="384"/>
      <c r="K76" s="384"/>
      <c r="L76" s="384"/>
      <c r="M76" s="5"/>
      <c r="N76" s="389" t="str">
        <f>IF(Values!E256&lt;&gt;0,Values!E256,"")</f>
        <v/>
      </c>
      <c r="O76" s="389"/>
      <c r="P76" s="389"/>
      <c r="Q76" s="389"/>
      <c r="R76" s="389"/>
      <c r="S76" s="5"/>
      <c r="T76" s="389" t="str">
        <f>IF(Values!F256&lt;&gt;0,Values!F256,"")</f>
        <v/>
      </c>
      <c r="U76" s="389"/>
      <c r="V76" s="389"/>
      <c r="W76" s="389"/>
      <c r="X76" s="389"/>
      <c r="Y76" s="389"/>
      <c r="Z76" s="63"/>
      <c r="AA76" s="384" t="str">
        <f>IF(ISBLANK(Z76),IF(Values!D281&lt;&gt;0,Values!D281,""),Z76)</f>
        <v/>
      </c>
      <c r="AB76" s="384"/>
      <c r="AC76" s="384"/>
      <c r="AD76" s="384"/>
      <c r="AE76" s="384"/>
      <c r="AF76" s="384"/>
      <c r="AG76" s="384"/>
      <c r="AH76" s="384"/>
      <c r="AI76" s="384"/>
      <c r="AJ76" s="384"/>
      <c r="AK76" s="384"/>
      <c r="AL76" s="5"/>
      <c r="AM76" s="389" t="str">
        <f>IF(Values!E281&lt;&gt;0,Values!E281,"")</f>
        <v/>
      </c>
      <c r="AN76" s="389"/>
      <c r="AO76" s="389"/>
      <c r="AP76" s="389"/>
      <c r="AQ76" s="389"/>
      <c r="AR76" s="5"/>
      <c r="AS76" s="389" t="str">
        <f>IF(Values!F281&lt;&gt;0,Values!F281,"")</f>
        <v/>
      </c>
      <c r="AT76" s="389"/>
      <c r="AU76" s="389"/>
      <c r="AV76" s="389"/>
      <c r="AW76" s="389"/>
      <c r="AX76" s="389"/>
      <c r="AY76" s="7"/>
      <c r="AZ76" s="5"/>
      <c r="BA76" s="5"/>
      <c r="BB76" s="5"/>
      <c r="BC76" s="5"/>
      <c r="BD76" s="5"/>
      <c r="BE76" s="5"/>
      <c r="BF76" s="5"/>
      <c r="BG76" s="5"/>
      <c r="BH76" s="5"/>
      <c r="BI76" s="5"/>
      <c r="BJ76" s="5"/>
      <c r="BK76" s="5"/>
      <c r="BL76" s="5"/>
      <c r="BM76" s="5"/>
      <c r="BN76" s="5"/>
      <c r="BO76" s="5"/>
      <c r="BP76" s="5"/>
      <c r="BQ76" s="5"/>
      <c r="BR76" s="5"/>
      <c r="BS76" s="5"/>
      <c r="BT76" s="5"/>
    </row>
    <row r="77" spans="1:72" ht="20.100000000000001" hidden="1" customHeight="1">
      <c r="A77" s="63"/>
      <c r="B77" s="384" t="str">
        <f>IF(ISBLANK(A77),IF(Values!D257&lt;&gt;0,Values!D257,""),A77)</f>
        <v/>
      </c>
      <c r="C77" s="384"/>
      <c r="D77" s="384"/>
      <c r="E77" s="384"/>
      <c r="F77" s="384"/>
      <c r="G77" s="384"/>
      <c r="H77" s="384"/>
      <c r="I77" s="384"/>
      <c r="J77" s="384"/>
      <c r="K77" s="384"/>
      <c r="L77" s="384"/>
      <c r="M77" s="5"/>
      <c r="N77" s="389" t="str">
        <f>IF(Values!E257&lt;&gt;0,Values!E257,"")</f>
        <v/>
      </c>
      <c r="O77" s="389"/>
      <c r="P77" s="389"/>
      <c r="Q77" s="389"/>
      <c r="R77" s="389"/>
      <c r="S77" s="5"/>
      <c r="T77" s="389" t="str">
        <f>IF(Values!F257&lt;&gt;0,Values!F257,"")</f>
        <v/>
      </c>
      <c r="U77" s="389"/>
      <c r="V77" s="389"/>
      <c r="W77" s="389"/>
      <c r="X77" s="389"/>
      <c r="Y77" s="389"/>
      <c r="Z77" s="63"/>
      <c r="AA77" s="384" t="str">
        <f>IF(ISBLANK(Z77),IF(Values!D282&lt;&gt;0,Values!D282,""),Z77)</f>
        <v/>
      </c>
      <c r="AB77" s="384"/>
      <c r="AC77" s="384"/>
      <c r="AD77" s="384"/>
      <c r="AE77" s="384"/>
      <c r="AF77" s="384"/>
      <c r="AG77" s="384"/>
      <c r="AH77" s="384"/>
      <c r="AI77" s="384"/>
      <c r="AJ77" s="384"/>
      <c r="AK77" s="384"/>
      <c r="AL77" s="5"/>
      <c r="AM77" s="389" t="str">
        <f>IF(Values!E282&lt;&gt;0,Values!E282,"")</f>
        <v/>
      </c>
      <c r="AN77" s="389"/>
      <c r="AO77" s="389"/>
      <c r="AP77" s="389"/>
      <c r="AQ77" s="389"/>
      <c r="AR77" s="5"/>
      <c r="AS77" s="389" t="str">
        <f>IF(Values!F282&lt;&gt;0,Values!F282,"")</f>
        <v/>
      </c>
      <c r="AT77" s="389"/>
      <c r="AU77" s="389"/>
      <c r="AV77" s="389"/>
      <c r="AW77" s="389"/>
      <c r="AX77" s="389"/>
      <c r="AY77" s="7"/>
      <c r="AZ77" s="5"/>
      <c r="BA77" s="5"/>
      <c r="BB77" s="5"/>
      <c r="BC77" s="5"/>
      <c r="BD77" s="5"/>
      <c r="BE77" s="5"/>
      <c r="BF77" s="5"/>
      <c r="BG77" s="5"/>
      <c r="BH77" s="5"/>
      <c r="BI77" s="5"/>
      <c r="BJ77" s="5"/>
      <c r="BK77" s="5"/>
      <c r="BL77" s="5"/>
      <c r="BM77" s="5"/>
      <c r="BN77" s="5"/>
      <c r="BO77" s="5"/>
      <c r="BP77" s="5"/>
      <c r="BQ77" s="5"/>
      <c r="BR77" s="5"/>
      <c r="BS77" s="5"/>
      <c r="BT77" s="5"/>
    </row>
    <row r="78" spans="1:72" ht="20.100000000000001" hidden="1" customHeight="1">
      <c r="A78" s="63"/>
      <c r="B78" s="384" t="str">
        <f>IF(ISBLANK(A78),IF(Values!D258&lt;&gt;0,Values!D258,""),A78)</f>
        <v/>
      </c>
      <c r="C78" s="384"/>
      <c r="D78" s="384"/>
      <c r="E78" s="384"/>
      <c r="F78" s="384"/>
      <c r="G78" s="384"/>
      <c r="H78" s="384"/>
      <c r="I78" s="384"/>
      <c r="J78" s="384"/>
      <c r="K78" s="384"/>
      <c r="L78" s="384"/>
      <c r="M78" s="5"/>
      <c r="N78" s="389" t="str">
        <f>IF(Values!E258&lt;&gt;0,Values!E258,"")</f>
        <v/>
      </c>
      <c r="O78" s="389"/>
      <c r="P78" s="389"/>
      <c r="Q78" s="389"/>
      <c r="R78" s="389"/>
      <c r="S78" s="5"/>
      <c r="T78" s="389" t="str">
        <f>IF(Values!F258&lt;&gt;0,Values!F258,"")</f>
        <v/>
      </c>
      <c r="U78" s="389"/>
      <c r="V78" s="389"/>
      <c r="W78" s="389"/>
      <c r="X78" s="389"/>
      <c r="Y78" s="389"/>
      <c r="Z78" s="63"/>
      <c r="AA78" s="384" t="str">
        <f>IF(ISBLANK(Z78),IF(Values!D283&lt;&gt;0,Values!D283,""),Z78)</f>
        <v/>
      </c>
      <c r="AB78" s="384"/>
      <c r="AC78" s="384"/>
      <c r="AD78" s="384"/>
      <c r="AE78" s="384"/>
      <c r="AF78" s="384"/>
      <c r="AG78" s="384"/>
      <c r="AH78" s="384"/>
      <c r="AI78" s="384"/>
      <c r="AJ78" s="384"/>
      <c r="AK78" s="384"/>
      <c r="AL78" s="5"/>
      <c r="AM78" s="389" t="str">
        <f>IF(Values!E283&lt;&gt;0,Values!E283,"")</f>
        <v/>
      </c>
      <c r="AN78" s="389"/>
      <c r="AO78" s="389"/>
      <c r="AP78" s="389"/>
      <c r="AQ78" s="389"/>
      <c r="AR78" s="5"/>
      <c r="AS78" s="389" t="str">
        <f>IF(Values!F283&lt;&gt;0,Values!F283,"")</f>
        <v/>
      </c>
      <c r="AT78" s="389"/>
      <c r="AU78" s="389"/>
      <c r="AV78" s="389"/>
      <c r="AW78" s="389"/>
      <c r="AX78" s="389"/>
      <c r="AY78" s="7"/>
      <c r="AZ78" s="5"/>
      <c r="BA78" s="5"/>
      <c r="BB78" s="5"/>
      <c r="BC78" s="5"/>
      <c r="BD78" s="5"/>
      <c r="BE78" s="5"/>
      <c r="BF78" s="5"/>
      <c r="BG78" s="5"/>
      <c r="BH78" s="5"/>
      <c r="BI78" s="5"/>
      <c r="BJ78" s="5"/>
      <c r="BK78" s="5"/>
      <c r="BL78" s="5"/>
      <c r="BM78" s="5"/>
      <c r="BN78" s="5"/>
      <c r="BO78" s="5"/>
      <c r="BP78" s="5"/>
      <c r="BQ78" s="5"/>
      <c r="BR78" s="5"/>
      <c r="BS78" s="5"/>
      <c r="BT78" s="5"/>
    </row>
    <row r="79" spans="1:72" ht="20.100000000000001" hidden="1" customHeight="1">
      <c r="A79" s="63"/>
      <c r="B79" s="384" t="str">
        <f>IF(ISBLANK(A79),IF(Values!D259&lt;&gt;0,Values!D259,""),A79)</f>
        <v/>
      </c>
      <c r="C79" s="384"/>
      <c r="D79" s="384"/>
      <c r="E79" s="384"/>
      <c r="F79" s="384"/>
      <c r="G79" s="384"/>
      <c r="H79" s="384"/>
      <c r="I79" s="384"/>
      <c r="J79" s="384"/>
      <c r="K79" s="384"/>
      <c r="L79" s="384"/>
      <c r="M79" s="5"/>
      <c r="N79" s="389" t="str">
        <f>IF(Values!E259&lt;&gt;0,Values!E259,"")</f>
        <v/>
      </c>
      <c r="O79" s="389"/>
      <c r="P79" s="389"/>
      <c r="Q79" s="389"/>
      <c r="R79" s="389"/>
      <c r="S79" s="5"/>
      <c r="T79" s="389" t="str">
        <f>IF(Values!F259&lt;&gt;0,Values!F259,"")</f>
        <v/>
      </c>
      <c r="U79" s="389"/>
      <c r="V79" s="389"/>
      <c r="W79" s="389"/>
      <c r="X79" s="389"/>
      <c r="Y79" s="389"/>
      <c r="Z79" s="63"/>
      <c r="AA79" s="384" t="str">
        <f>IF(ISBLANK(Z79),IF(Values!D284&lt;&gt;0,Values!D284,""),Z79)</f>
        <v/>
      </c>
      <c r="AB79" s="384"/>
      <c r="AC79" s="384"/>
      <c r="AD79" s="384"/>
      <c r="AE79" s="384"/>
      <c r="AF79" s="384"/>
      <c r="AG79" s="384"/>
      <c r="AH79" s="384"/>
      <c r="AI79" s="384"/>
      <c r="AJ79" s="384"/>
      <c r="AK79" s="384"/>
      <c r="AL79" s="5"/>
      <c r="AM79" s="389" t="str">
        <f>IF(Values!E284&lt;&gt;0,Values!E284,"")</f>
        <v/>
      </c>
      <c r="AN79" s="389"/>
      <c r="AO79" s="389"/>
      <c r="AP79" s="389"/>
      <c r="AQ79" s="389"/>
      <c r="AR79" s="5"/>
      <c r="AS79" s="389" t="str">
        <f>IF(Values!F284&lt;&gt;0,Values!F284,"")</f>
        <v/>
      </c>
      <c r="AT79" s="389"/>
      <c r="AU79" s="389"/>
      <c r="AV79" s="389"/>
      <c r="AW79" s="389"/>
      <c r="AX79" s="389"/>
      <c r="AY79" s="7"/>
      <c r="AZ79" s="5"/>
      <c r="BA79" s="5"/>
      <c r="BB79" s="5"/>
      <c r="BC79" s="5"/>
      <c r="BD79" s="5"/>
      <c r="BE79" s="5"/>
      <c r="BF79" s="5"/>
      <c r="BG79" s="5"/>
      <c r="BH79" s="5"/>
      <c r="BI79" s="5"/>
      <c r="BJ79" s="5"/>
      <c r="BK79" s="5"/>
      <c r="BL79" s="5"/>
      <c r="BM79" s="5"/>
      <c r="BN79" s="5"/>
      <c r="BO79" s="5"/>
      <c r="BP79" s="5"/>
      <c r="BQ79" s="5"/>
      <c r="BR79" s="5"/>
      <c r="BS79" s="5"/>
      <c r="BT79" s="5"/>
    </row>
    <row r="80" spans="1:72" ht="20.100000000000001" hidden="1" customHeight="1">
      <c r="A80" s="63"/>
      <c r="B80" s="384" t="str">
        <f>IF(ISBLANK(A80),IF(Values!D260&lt;&gt;0,Values!D260,""),A80)</f>
        <v/>
      </c>
      <c r="C80" s="384"/>
      <c r="D80" s="384"/>
      <c r="E80" s="384"/>
      <c r="F80" s="384"/>
      <c r="G80" s="384"/>
      <c r="H80" s="384"/>
      <c r="I80" s="384"/>
      <c r="J80" s="384"/>
      <c r="K80" s="384"/>
      <c r="L80" s="384"/>
      <c r="M80" s="5"/>
      <c r="N80" s="389" t="str">
        <f>IF(Values!E260&lt;&gt;0,Values!E260,"")</f>
        <v/>
      </c>
      <c r="O80" s="389"/>
      <c r="P80" s="389"/>
      <c r="Q80" s="389"/>
      <c r="R80" s="389"/>
      <c r="S80" s="5"/>
      <c r="T80" s="389" t="str">
        <f>IF(Values!F260&lt;&gt;0,Values!F260,"")</f>
        <v/>
      </c>
      <c r="U80" s="389"/>
      <c r="V80" s="389"/>
      <c r="W80" s="389"/>
      <c r="X80" s="389"/>
      <c r="Y80" s="389"/>
      <c r="Z80" s="63"/>
      <c r="AA80" s="384" t="str">
        <f>IF(ISBLANK(Z80),IF(Values!D285&lt;&gt;0,Values!D285,""),Z80)</f>
        <v/>
      </c>
      <c r="AB80" s="384"/>
      <c r="AC80" s="384"/>
      <c r="AD80" s="384"/>
      <c r="AE80" s="384"/>
      <c r="AF80" s="384"/>
      <c r="AG80" s="384"/>
      <c r="AH80" s="384"/>
      <c r="AI80" s="384"/>
      <c r="AJ80" s="384"/>
      <c r="AK80" s="384"/>
      <c r="AL80" s="5"/>
      <c r="AM80" s="389" t="str">
        <f>IF(Values!E285&lt;&gt;0,Values!E285,"")</f>
        <v/>
      </c>
      <c r="AN80" s="389"/>
      <c r="AO80" s="389"/>
      <c r="AP80" s="389"/>
      <c r="AQ80" s="389"/>
      <c r="AR80" s="5"/>
      <c r="AS80" s="389" t="str">
        <f>IF(Values!F285&lt;&gt;0,Values!F285,"")</f>
        <v/>
      </c>
      <c r="AT80" s="389"/>
      <c r="AU80" s="389"/>
      <c r="AV80" s="389"/>
      <c r="AW80" s="389"/>
      <c r="AX80" s="389"/>
      <c r="AY80" s="7"/>
      <c r="AZ80" s="5"/>
      <c r="BA80" s="5"/>
      <c r="BB80" s="5"/>
      <c r="BC80" s="5"/>
      <c r="BD80" s="5"/>
      <c r="BE80" s="5"/>
      <c r="BF80" s="5"/>
      <c r="BG80" s="5"/>
      <c r="BH80" s="5"/>
      <c r="BI80" s="5"/>
      <c r="BJ80" s="5"/>
      <c r="BK80" s="5"/>
      <c r="BL80" s="5"/>
      <c r="BM80" s="5"/>
      <c r="BN80" s="5"/>
      <c r="BO80" s="5"/>
      <c r="BP80" s="5"/>
      <c r="BQ80" s="5"/>
      <c r="BR80" s="5"/>
      <c r="BS80" s="5"/>
      <c r="BT80" s="5"/>
    </row>
    <row r="81" spans="1:72" ht="20.100000000000001" hidden="1" customHeight="1">
      <c r="A81" s="63"/>
      <c r="B81" s="384" t="str">
        <f>IF(ISBLANK(A81),IF(Values!D261&lt;&gt;0,Values!D261,""),A81)</f>
        <v/>
      </c>
      <c r="C81" s="384"/>
      <c r="D81" s="384"/>
      <c r="E81" s="384"/>
      <c r="F81" s="384"/>
      <c r="G81" s="384"/>
      <c r="H81" s="384"/>
      <c r="I81" s="384"/>
      <c r="J81" s="384"/>
      <c r="K81" s="384"/>
      <c r="L81" s="384"/>
      <c r="M81" s="5"/>
      <c r="N81" s="389" t="str">
        <f>IF(Values!E261&lt;&gt;0,Values!E261,"")</f>
        <v/>
      </c>
      <c r="O81" s="389"/>
      <c r="P81" s="389"/>
      <c r="Q81" s="389"/>
      <c r="R81" s="389"/>
      <c r="S81" s="5"/>
      <c r="T81" s="389" t="str">
        <f>IF(Values!F261&lt;&gt;0,Values!F261,"")</f>
        <v/>
      </c>
      <c r="U81" s="389"/>
      <c r="V81" s="389"/>
      <c r="W81" s="389"/>
      <c r="X81" s="389"/>
      <c r="Y81" s="389"/>
      <c r="Z81" s="63"/>
      <c r="AA81" s="384" t="str">
        <f>IF(ISBLANK(Z81),IF(Values!D286&lt;&gt;0,Values!D286,""),Z81)</f>
        <v/>
      </c>
      <c r="AB81" s="384"/>
      <c r="AC81" s="384"/>
      <c r="AD81" s="384"/>
      <c r="AE81" s="384"/>
      <c r="AF81" s="384"/>
      <c r="AG81" s="384"/>
      <c r="AH81" s="384"/>
      <c r="AI81" s="384"/>
      <c r="AJ81" s="384"/>
      <c r="AK81" s="384"/>
      <c r="AL81" s="5"/>
      <c r="AM81" s="389" t="str">
        <f>IF(Values!E286&lt;&gt;0,Values!E286,"")</f>
        <v/>
      </c>
      <c r="AN81" s="389"/>
      <c r="AO81" s="389"/>
      <c r="AP81" s="389"/>
      <c r="AQ81" s="389"/>
      <c r="AR81" s="5"/>
      <c r="AS81" s="389" t="str">
        <f>IF(Values!F286&lt;&gt;0,Values!F286,"")</f>
        <v/>
      </c>
      <c r="AT81" s="389"/>
      <c r="AU81" s="389"/>
      <c r="AV81" s="389"/>
      <c r="AW81" s="389"/>
      <c r="AX81" s="389"/>
      <c r="AY81" s="7"/>
      <c r="AZ81" s="5"/>
      <c r="BA81" s="5"/>
      <c r="BB81" s="5"/>
      <c r="BC81" s="5"/>
      <c r="BD81" s="5"/>
      <c r="BE81" s="5"/>
      <c r="BF81" s="5"/>
      <c r="BG81" s="5"/>
      <c r="BH81" s="5"/>
      <c r="BI81" s="5"/>
      <c r="BJ81" s="5"/>
      <c r="BK81" s="5"/>
      <c r="BL81" s="5"/>
      <c r="BM81" s="5"/>
      <c r="BN81" s="5"/>
      <c r="BO81" s="5"/>
      <c r="BP81" s="5"/>
      <c r="BQ81" s="5"/>
      <c r="BR81" s="5"/>
      <c r="BS81" s="5"/>
      <c r="BT81" s="5"/>
    </row>
    <row r="82" spans="1:72" ht="20.100000000000001" hidden="1" customHeight="1">
      <c r="A82" s="63"/>
      <c r="B82" s="384" t="str">
        <f>IF(ISBLANK(A82),IF(Values!D262&lt;&gt;0,Values!D262,""),A82)</f>
        <v/>
      </c>
      <c r="C82" s="384"/>
      <c r="D82" s="384"/>
      <c r="E82" s="384"/>
      <c r="F82" s="384"/>
      <c r="G82" s="384"/>
      <c r="H82" s="384"/>
      <c r="I82" s="384"/>
      <c r="J82" s="384"/>
      <c r="K82" s="384"/>
      <c r="L82" s="384"/>
      <c r="M82" s="5"/>
      <c r="N82" s="389" t="str">
        <f>IF(Values!E262&lt;&gt;0,Values!E262,"")</f>
        <v/>
      </c>
      <c r="O82" s="389"/>
      <c r="P82" s="389"/>
      <c r="Q82" s="389"/>
      <c r="R82" s="389"/>
      <c r="S82" s="5"/>
      <c r="T82" s="389" t="str">
        <f>IF(Values!F262&lt;&gt;0,Values!F262,"")</f>
        <v/>
      </c>
      <c r="U82" s="389"/>
      <c r="V82" s="389"/>
      <c r="W82" s="389"/>
      <c r="X82" s="389"/>
      <c r="Y82" s="389"/>
      <c r="Z82" s="63"/>
      <c r="AA82" s="384" t="str">
        <f>IF(ISBLANK(Z82),IF(Values!D287&lt;&gt;0,Values!D287,""),Z82)</f>
        <v/>
      </c>
      <c r="AB82" s="384"/>
      <c r="AC82" s="384"/>
      <c r="AD82" s="384"/>
      <c r="AE82" s="384"/>
      <c r="AF82" s="384"/>
      <c r="AG82" s="384"/>
      <c r="AH82" s="384"/>
      <c r="AI82" s="384"/>
      <c r="AJ82" s="384"/>
      <c r="AK82" s="384"/>
      <c r="AL82" s="5"/>
      <c r="AM82" s="389" t="str">
        <f>IF(Values!E287&lt;&gt;0,Values!E287,"")</f>
        <v/>
      </c>
      <c r="AN82" s="389"/>
      <c r="AO82" s="389"/>
      <c r="AP82" s="389"/>
      <c r="AQ82" s="389"/>
      <c r="AR82" s="5"/>
      <c r="AS82" s="389" t="str">
        <f>IF(Values!F287&lt;&gt;0,Values!F287,"")</f>
        <v/>
      </c>
      <c r="AT82" s="389"/>
      <c r="AU82" s="389"/>
      <c r="AV82" s="389"/>
      <c r="AW82" s="389"/>
      <c r="AX82" s="389"/>
      <c r="AY82" s="7"/>
      <c r="AZ82" s="5"/>
      <c r="BA82" s="5"/>
      <c r="BB82" s="5"/>
      <c r="BC82" s="5"/>
      <c r="BD82" s="5"/>
      <c r="BE82" s="5"/>
      <c r="BF82" s="5"/>
      <c r="BG82" s="5"/>
      <c r="BH82" s="5"/>
      <c r="BI82" s="5"/>
      <c r="BJ82" s="5"/>
      <c r="BK82" s="5"/>
      <c r="BL82" s="5"/>
      <c r="BM82" s="5"/>
      <c r="BN82" s="5"/>
      <c r="BO82" s="5"/>
      <c r="BP82" s="5"/>
      <c r="BQ82" s="5"/>
      <c r="BR82" s="5"/>
      <c r="BS82" s="5"/>
      <c r="BT82" s="5"/>
    </row>
    <row r="83" spans="1:72" ht="20.100000000000001" hidden="1" customHeight="1">
      <c r="A83" s="63"/>
      <c r="B83" s="384" t="str">
        <f>IF(ISBLANK(A83),IF(Values!D263&lt;&gt;0,Values!D263,""),A83)</f>
        <v/>
      </c>
      <c r="C83" s="384"/>
      <c r="D83" s="384"/>
      <c r="E83" s="384"/>
      <c r="F83" s="384"/>
      <c r="G83" s="384"/>
      <c r="H83" s="384"/>
      <c r="I83" s="384"/>
      <c r="J83" s="384"/>
      <c r="K83" s="384"/>
      <c r="L83" s="384"/>
      <c r="M83" s="5"/>
      <c r="N83" s="389" t="str">
        <f>IF(Values!E263&lt;&gt;0,Values!E263,"")</f>
        <v/>
      </c>
      <c r="O83" s="389"/>
      <c r="P83" s="389"/>
      <c r="Q83" s="389"/>
      <c r="R83" s="389"/>
      <c r="S83" s="5"/>
      <c r="T83" s="389" t="str">
        <f>IF(Values!F263&lt;&gt;0,Values!F263,"")</f>
        <v/>
      </c>
      <c r="U83" s="389"/>
      <c r="V83" s="389"/>
      <c r="W83" s="389"/>
      <c r="X83" s="389"/>
      <c r="Y83" s="389"/>
      <c r="Z83" s="63"/>
      <c r="AA83" s="384" t="str">
        <f>IF(ISBLANK(Z83),IF(Values!D288&lt;&gt;0,Values!D288,""),Z83)</f>
        <v/>
      </c>
      <c r="AB83" s="384"/>
      <c r="AC83" s="384"/>
      <c r="AD83" s="384"/>
      <c r="AE83" s="384"/>
      <c r="AF83" s="384"/>
      <c r="AG83" s="384"/>
      <c r="AH83" s="384"/>
      <c r="AI83" s="384"/>
      <c r="AJ83" s="384"/>
      <c r="AK83" s="384"/>
      <c r="AL83" s="5"/>
      <c r="AM83" s="389" t="str">
        <f>IF(Values!E288&lt;&gt;0,Values!E288,"")</f>
        <v/>
      </c>
      <c r="AN83" s="389"/>
      <c r="AO83" s="389"/>
      <c r="AP83" s="389"/>
      <c r="AQ83" s="389"/>
      <c r="AR83" s="5"/>
      <c r="AS83" s="389" t="str">
        <f>IF(Values!F288&lt;&gt;0,Values!F288,"")</f>
        <v/>
      </c>
      <c r="AT83" s="389"/>
      <c r="AU83" s="389"/>
      <c r="AV83" s="389"/>
      <c r="AW83" s="389"/>
      <c r="AX83" s="389"/>
      <c r="AY83" s="7"/>
      <c r="AZ83" s="5"/>
      <c r="BA83" s="5"/>
      <c r="BB83" s="5"/>
      <c r="BC83" s="5"/>
      <c r="BD83" s="5"/>
      <c r="BE83" s="5"/>
      <c r="BF83" s="5"/>
      <c r="BG83" s="5"/>
      <c r="BH83" s="5"/>
      <c r="BI83" s="5"/>
      <c r="BJ83" s="5"/>
      <c r="BK83" s="5"/>
      <c r="BL83" s="5"/>
      <c r="BM83" s="5"/>
      <c r="BN83" s="5"/>
      <c r="BO83" s="5"/>
      <c r="BP83" s="5"/>
      <c r="BQ83" s="5"/>
      <c r="BR83" s="5"/>
      <c r="BS83" s="5"/>
      <c r="BT83" s="5"/>
    </row>
    <row r="84" spans="1:72" ht="20.100000000000001" hidden="1" customHeight="1">
      <c r="A84" s="63"/>
      <c r="B84" s="384" t="str">
        <f>IF(ISBLANK(A84),IF(Values!D264&lt;&gt;0,Values!D264,""),A84)</f>
        <v/>
      </c>
      <c r="C84" s="384"/>
      <c r="D84" s="384"/>
      <c r="E84" s="384"/>
      <c r="F84" s="384"/>
      <c r="G84" s="384"/>
      <c r="H84" s="384"/>
      <c r="I84" s="384"/>
      <c r="J84" s="384"/>
      <c r="K84" s="384"/>
      <c r="L84" s="384"/>
      <c r="M84" s="5"/>
      <c r="N84" s="389" t="str">
        <f>IF(Values!E264&lt;&gt;0,Values!E264,"")</f>
        <v/>
      </c>
      <c r="O84" s="389"/>
      <c r="P84" s="389"/>
      <c r="Q84" s="389"/>
      <c r="R84" s="389"/>
      <c r="S84" s="5"/>
      <c r="T84" s="389" t="str">
        <f>IF(Values!F264&lt;&gt;0,Values!F264,"")</f>
        <v/>
      </c>
      <c r="U84" s="389"/>
      <c r="V84" s="389"/>
      <c r="W84" s="389"/>
      <c r="X84" s="389"/>
      <c r="Y84" s="389"/>
      <c r="Z84" s="63"/>
      <c r="AA84" s="384" t="str">
        <f>IF(ISBLANK(Z84),IF(Values!D289&lt;&gt;0,Values!D289,""),Z84)</f>
        <v/>
      </c>
      <c r="AB84" s="384"/>
      <c r="AC84" s="384"/>
      <c r="AD84" s="384"/>
      <c r="AE84" s="384"/>
      <c r="AF84" s="384"/>
      <c r="AG84" s="384"/>
      <c r="AH84" s="384"/>
      <c r="AI84" s="384"/>
      <c r="AJ84" s="384"/>
      <c r="AK84" s="384"/>
      <c r="AL84" s="5"/>
      <c r="AM84" s="389" t="str">
        <f>IF(Values!E289&lt;&gt;0,Values!E289,"")</f>
        <v/>
      </c>
      <c r="AN84" s="389"/>
      <c r="AO84" s="389"/>
      <c r="AP84" s="389"/>
      <c r="AQ84" s="389"/>
      <c r="AR84" s="5"/>
      <c r="AS84" s="389" t="str">
        <f>IF(Values!F289&lt;&gt;0,Values!F289,"")</f>
        <v/>
      </c>
      <c r="AT84" s="389"/>
      <c r="AU84" s="389"/>
      <c r="AV84" s="389"/>
      <c r="AW84" s="389"/>
      <c r="AX84" s="389"/>
      <c r="AY84" s="7"/>
      <c r="AZ84" s="5"/>
      <c r="BA84" s="5"/>
      <c r="BB84" s="5"/>
      <c r="BC84" s="5"/>
      <c r="BD84" s="5"/>
      <c r="BE84" s="5"/>
      <c r="BF84" s="5"/>
      <c r="BG84" s="5"/>
      <c r="BH84" s="5"/>
      <c r="BI84" s="5"/>
      <c r="BJ84" s="5"/>
      <c r="BK84" s="5"/>
      <c r="BL84" s="5"/>
      <c r="BM84" s="5"/>
      <c r="BN84" s="5"/>
      <c r="BO84" s="5"/>
      <c r="BP84" s="5"/>
      <c r="BQ84" s="5"/>
      <c r="BR84" s="5"/>
      <c r="BS84" s="5"/>
      <c r="BT84" s="5"/>
    </row>
    <row r="85" spans="1:72" ht="20.100000000000001" hidden="1" customHeight="1">
      <c r="A85" s="63"/>
      <c r="B85" s="384" t="str">
        <f>IF(ISBLANK(A85),IF(Values!D265&lt;&gt;0,Values!D265,""),A85)</f>
        <v/>
      </c>
      <c r="C85" s="384"/>
      <c r="D85" s="384"/>
      <c r="E85" s="384"/>
      <c r="F85" s="384"/>
      <c r="G85" s="384"/>
      <c r="H85" s="384"/>
      <c r="I85" s="384"/>
      <c r="J85" s="384"/>
      <c r="K85" s="384"/>
      <c r="L85" s="384"/>
      <c r="M85" s="5"/>
      <c r="N85" s="389" t="str">
        <f>IF(Values!E265&lt;&gt;0,Values!E265,"")</f>
        <v/>
      </c>
      <c r="O85" s="389"/>
      <c r="P85" s="389"/>
      <c r="Q85" s="389"/>
      <c r="R85" s="389"/>
      <c r="S85" s="5"/>
      <c r="T85" s="389" t="str">
        <f>IF(Values!F265&lt;&gt;0,Values!F265,"")</f>
        <v/>
      </c>
      <c r="U85" s="389"/>
      <c r="V85" s="389"/>
      <c r="W85" s="389"/>
      <c r="X85" s="389"/>
      <c r="Y85" s="389"/>
      <c r="Z85" s="63"/>
      <c r="AA85" s="384" t="str">
        <f>IF(ISBLANK(Z85),IF(Values!D290&lt;&gt;0,Values!D290,""),Z85)</f>
        <v/>
      </c>
      <c r="AB85" s="384"/>
      <c r="AC85" s="384"/>
      <c r="AD85" s="384"/>
      <c r="AE85" s="384"/>
      <c r="AF85" s="384"/>
      <c r="AG85" s="384"/>
      <c r="AH85" s="384"/>
      <c r="AI85" s="384"/>
      <c r="AJ85" s="384"/>
      <c r="AK85" s="384"/>
      <c r="AL85" s="5"/>
      <c r="AM85" s="389" t="str">
        <f>IF(Values!E290&lt;&gt;0,Values!E290,"")</f>
        <v/>
      </c>
      <c r="AN85" s="389"/>
      <c r="AO85" s="389"/>
      <c r="AP85" s="389"/>
      <c r="AQ85" s="389"/>
      <c r="AR85" s="5"/>
      <c r="AS85" s="389" t="str">
        <f>IF(Values!F290&lt;&gt;0,Values!F290,"")</f>
        <v/>
      </c>
      <c r="AT85" s="389"/>
      <c r="AU85" s="389"/>
      <c r="AV85" s="389"/>
      <c r="AW85" s="389"/>
      <c r="AX85" s="389"/>
      <c r="AY85" s="7"/>
      <c r="AZ85" s="5"/>
      <c r="BA85" s="5"/>
      <c r="BB85" s="5"/>
      <c r="BC85" s="5"/>
      <c r="BD85" s="5"/>
      <c r="BE85" s="5"/>
      <c r="BF85" s="5"/>
      <c r="BG85" s="5"/>
      <c r="BH85" s="5"/>
      <c r="BI85" s="5"/>
      <c r="BJ85" s="5"/>
      <c r="BK85" s="5"/>
      <c r="BL85" s="5"/>
      <c r="BM85" s="5"/>
      <c r="BN85" s="5"/>
      <c r="BO85" s="5"/>
      <c r="BP85" s="5"/>
      <c r="BQ85" s="5"/>
      <c r="BR85" s="5"/>
      <c r="BS85" s="5"/>
      <c r="BT85" s="5"/>
    </row>
    <row r="86" spans="1:72" ht="20.100000000000001" hidden="1" customHeight="1">
      <c r="A86" s="63"/>
      <c r="B86" s="384" t="str">
        <f>IF(ISBLANK(A86),IF(Values!D266&lt;&gt;0,Values!D266,""),A86)</f>
        <v/>
      </c>
      <c r="C86" s="384"/>
      <c r="D86" s="384"/>
      <c r="E86" s="384"/>
      <c r="F86" s="384"/>
      <c r="G86" s="384"/>
      <c r="H86" s="384"/>
      <c r="I86" s="384"/>
      <c r="J86" s="384"/>
      <c r="K86" s="384"/>
      <c r="L86" s="384"/>
      <c r="M86" s="5"/>
      <c r="N86" s="389" t="str">
        <f>IF(Values!E266&lt;&gt;0,Values!E266,"")</f>
        <v/>
      </c>
      <c r="O86" s="389"/>
      <c r="P86" s="389"/>
      <c r="Q86" s="389"/>
      <c r="R86" s="389"/>
      <c r="S86" s="5"/>
      <c r="T86" s="389" t="str">
        <f>IF(Values!F266&lt;&gt;0,Values!F266,"")</f>
        <v/>
      </c>
      <c r="U86" s="389"/>
      <c r="V86" s="389"/>
      <c r="W86" s="389"/>
      <c r="X86" s="389"/>
      <c r="Y86" s="389"/>
      <c r="Z86" s="63"/>
      <c r="AA86" s="384" t="str">
        <f>IF(ISBLANK(Z86),IF(Values!D291&lt;&gt;0,Values!D291,""),Z86)</f>
        <v/>
      </c>
      <c r="AB86" s="384"/>
      <c r="AC86" s="384"/>
      <c r="AD86" s="384"/>
      <c r="AE86" s="384"/>
      <c r="AF86" s="384"/>
      <c r="AG86" s="384"/>
      <c r="AH86" s="384"/>
      <c r="AI86" s="384"/>
      <c r="AJ86" s="384"/>
      <c r="AK86" s="384"/>
      <c r="AL86" s="5"/>
      <c r="AM86" s="389" t="str">
        <f>IF(Values!E291&lt;&gt;0,Values!E291,"")</f>
        <v/>
      </c>
      <c r="AN86" s="389"/>
      <c r="AO86" s="389"/>
      <c r="AP86" s="389"/>
      <c r="AQ86" s="389"/>
      <c r="AR86" s="5"/>
      <c r="AS86" s="389" t="str">
        <f>IF(Values!F291&lt;&gt;0,Values!F291,"")</f>
        <v/>
      </c>
      <c r="AT86" s="389"/>
      <c r="AU86" s="389"/>
      <c r="AV86" s="389"/>
      <c r="AW86" s="389"/>
      <c r="AX86" s="389"/>
      <c r="AY86" s="7"/>
      <c r="AZ86" s="5"/>
      <c r="BA86" s="5"/>
      <c r="BB86" s="5"/>
      <c r="BC86" s="5"/>
      <c r="BD86" s="5"/>
      <c r="BE86" s="5"/>
      <c r="BF86" s="5"/>
      <c r="BG86" s="5"/>
      <c r="BH86" s="5"/>
      <c r="BI86" s="5"/>
      <c r="BJ86" s="5"/>
      <c r="BK86" s="5"/>
      <c r="BL86" s="5"/>
      <c r="BM86" s="5"/>
      <c r="BN86" s="5"/>
      <c r="BO86" s="5"/>
      <c r="BP86" s="5"/>
      <c r="BQ86" s="5"/>
      <c r="BR86" s="5"/>
      <c r="BS86" s="5"/>
      <c r="BT86" s="5"/>
    </row>
    <row r="87" spans="1:72" ht="20.100000000000001" hidden="1" customHeight="1">
      <c r="A87" s="63"/>
      <c r="B87" s="384" t="str">
        <f>IF(ISBLANK(A87),IF(Values!D267&lt;&gt;0,Values!D267,""),A87)</f>
        <v/>
      </c>
      <c r="C87" s="384"/>
      <c r="D87" s="384"/>
      <c r="E87" s="384"/>
      <c r="F87" s="384"/>
      <c r="G87" s="384"/>
      <c r="H87" s="384"/>
      <c r="I87" s="384"/>
      <c r="J87" s="384"/>
      <c r="K87" s="384"/>
      <c r="L87" s="384"/>
      <c r="M87" s="5"/>
      <c r="N87" s="389" t="str">
        <f>IF(Values!E267&lt;&gt;0,Values!E267,"")</f>
        <v/>
      </c>
      <c r="O87" s="389"/>
      <c r="P87" s="389"/>
      <c r="Q87" s="389"/>
      <c r="R87" s="389"/>
      <c r="S87" s="5"/>
      <c r="T87" s="389" t="str">
        <f>IF(Values!F267&lt;&gt;0,Values!F267,"")</f>
        <v/>
      </c>
      <c r="U87" s="389"/>
      <c r="V87" s="389"/>
      <c r="W87" s="389"/>
      <c r="X87" s="389"/>
      <c r="Y87" s="389"/>
      <c r="Z87" s="63"/>
      <c r="AA87" s="384" t="str">
        <f>IF(ISBLANK(Z87),IF(Values!D292&lt;&gt;0,Values!D292,""),Z87)</f>
        <v/>
      </c>
      <c r="AB87" s="384"/>
      <c r="AC87" s="384"/>
      <c r="AD87" s="384"/>
      <c r="AE87" s="384"/>
      <c r="AF87" s="384"/>
      <c r="AG87" s="384"/>
      <c r="AH87" s="384"/>
      <c r="AI87" s="384"/>
      <c r="AJ87" s="384"/>
      <c r="AK87" s="384"/>
      <c r="AL87" s="5"/>
      <c r="AM87" s="389" t="str">
        <f>IF(Values!E292&lt;&gt;0,Values!E292,"")</f>
        <v/>
      </c>
      <c r="AN87" s="389"/>
      <c r="AO87" s="389"/>
      <c r="AP87" s="389"/>
      <c r="AQ87" s="389"/>
      <c r="AR87" s="5"/>
      <c r="AS87" s="389" t="str">
        <f>IF(Values!F292&lt;&gt;0,Values!F292,"")</f>
        <v/>
      </c>
      <c r="AT87" s="389"/>
      <c r="AU87" s="389"/>
      <c r="AV87" s="389"/>
      <c r="AW87" s="389"/>
      <c r="AX87" s="389"/>
      <c r="AY87" s="7"/>
      <c r="AZ87" s="5"/>
      <c r="BA87" s="5"/>
      <c r="BB87" s="5"/>
      <c r="BC87" s="5"/>
      <c r="BD87" s="5"/>
      <c r="BE87" s="5"/>
      <c r="BF87" s="5"/>
      <c r="BG87" s="5"/>
      <c r="BH87" s="5"/>
      <c r="BI87" s="5"/>
      <c r="BJ87" s="5"/>
      <c r="BK87" s="5"/>
      <c r="BL87" s="5"/>
      <c r="BM87" s="5"/>
      <c r="BN87" s="5"/>
      <c r="BO87" s="5"/>
      <c r="BP87" s="5"/>
      <c r="BQ87" s="5"/>
      <c r="BR87" s="5"/>
      <c r="BS87" s="5"/>
      <c r="BT87" s="5"/>
    </row>
    <row r="88" spans="1:72" ht="20.100000000000001" customHeight="1" thickBot="1">
      <c r="A88" s="5"/>
      <c r="B88" s="37"/>
      <c r="C88" s="37"/>
      <c r="D88" s="37"/>
      <c r="E88" s="37"/>
      <c r="F88" s="37"/>
      <c r="G88" s="37"/>
      <c r="H88" s="37"/>
      <c r="I88" s="37"/>
      <c r="J88" s="37"/>
      <c r="K88" s="5"/>
      <c r="L88" s="5"/>
      <c r="M88" s="5"/>
      <c r="N88" s="5"/>
      <c r="O88" s="5"/>
      <c r="P88" s="5"/>
      <c r="Q88" s="5"/>
      <c r="R88" s="5"/>
      <c r="S88" s="5"/>
      <c r="T88" s="5"/>
      <c r="U88" s="5"/>
      <c r="V88" s="5"/>
      <c r="W88" s="5"/>
      <c r="X88" s="5"/>
      <c r="Y88" s="5"/>
      <c r="Z88" s="5"/>
      <c r="AA88" s="5"/>
      <c r="AB88" s="5"/>
      <c r="AC88" s="5"/>
      <c r="AD88" s="5"/>
      <c r="AE88" s="5"/>
      <c r="AF88" s="5"/>
      <c r="AG88" s="5"/>
      <c r="AH88" s="5"/>
      <c r="AI88" s="5"/>
      <c r="AJ88" s="5"/>
      <c r="AK88" s="5"/>
      <c r="AL88" s="5"/>
      <c r="AM88" s="5"/>
      <c r="AN88" s="5"/>
      <c r="AO88" s="5"/>
      <c r="AP88" s="5"/>
      <c r="AQ88" s="5"/>
      <c r="AR88" s="5"/>
      <c r="AS88" s="5"/>
      <c r="AT88" s="5"/>
      <c r="AU88" s="5"/>
      <c r="AV88" s="5"/>
      <c r="AW88" s="5"/>
      <c r="AX88" s="5"/>
      <c r="AY88" s="7"/>
      <c r="AZ88" s="5"/>
      <c r="BA88" s="5"/>
      <c r="BB88" s="5"/>
      <c r="BC88" s="5"/>
      <c r="BD88" s="5"/>
      <c r="BE88" s="5"/>
      <c r="BF88" s="5"/>
      <c r="BG88" s="5"/>
      <c r="BH88" s="5"/>
      <c r="BI88" s="5"/>
      <c r="BJ88" s="5"/>
      <c r="BK88" s="5"/>
      <c r="BL88" s="5"/>
      <c r="BM88" s="5"/>
      <c r="BN88" s="5"/>
      <c r="BO88" s="5"/>
      <c r="BP88" s="5"/>
      <c r="BQ88" s="5"/>
      <c r="BR88" s="5"/>
      <c r="BS88" s="5"/>
      <c r="BT88" s="5"/>
    </row>
    <row r="89" spans="1:72" ht="20.100000000000001" customHeight="1">
      <c r="A89" s="5"/>
      <c r="B89" s="5"/>
      <c r="C89" s="5"/>
      <c r="D89" s="5"/>
      <c r="E89" s="5"/>
      <c r="F89" s="5"/>
      <c r="G89" s="5"/>
      <c r="H89" s="5"/>
      <c r="I89" s="5"/>
      <c r="J89" s="5"/>
      <c r="K89" s="5"/>
      <c r="L89" s="5"/>
      <c r="M89" s="5"/>
      <c r="N89" s="5"/>
      <c r="O89" s="5"/>
      <c r="P89" s="5"/>
      <c r="Q89" s="5"/>
      <c r="R89" s="5"/>
      <c r="S89" s="5"/>
      <c r="T89" s="5"/>
      <c r="U89" s="5"/>
      <c r="V89" s="5"/>
      <c r="W89" s="5"/>
      <c r="X89" s="385" t="s">
        <v>86</v>
      </c>
      <c r="Y89" s="385"/>
      <c r="Z89" s="385"/>
      <c r="AA89" s="385"/>
      <c r="AB89" s="385"/>
      <c r="AC89" s="5"/>
      <c r="AD89" s="5"/>
      <c r="AE89" s="5"/>
      <c r="AF89" s="5"/>
      <c r="AG89" s="5"/>
      <c r="AH89" s="5"/>
      <c r="AI89" s="6"/>
      <c r="AJ89" s="5"/>
      <c r="AK89" s="5"/>
      <c r="AL89" s="5"/>
      <c r="AM89" s="5"/>
      <c r="AN89" s="5"/>
      <c r="AO89" s="5"/>
      <c r="AP89" s="5"/>
      <c r="AQ89" s="5"/>
      <c r="AR89" s="5"/>
      <c r="AS89" s="5"/>
      <c r="AT89" s="5"/>
      <c r="AU89" s="5"/>
      <c r="AV89" s="5"/>
      <c r="AW89" s="5"/>
      <c r="AX89" s="5"/>
      <c r="AY89" s="7"/>
      <c r="AZ89" s="5"/>
      <c r="BA89" s="434" t="str">
        <f>$BA$8</f>
        <v>You must go back to Creation_1 to spend your Attributes points properly</v>
      </c>
      <c r="BB89" s="435"/>
      <c r="BC89" s="435"/>
      <c r="BD89" s="435"/>
      <c r="BE89" s="435"/>
      <c r="BF89" s="435"/>
      <c r="BG89" s="435"/>
      <c r="BH89" s="435"/>
      <c r="BI89" s="435"/>
      <c r="BJ89" s="435"/>
      <c r="BK89" s="435"/>
      <c r="BL89" s="435"/>
      <c r="BM89" s="435"/>
      <c r="BN89" s="436"/>
      <c r="BO89" s="5"/>
      <c r="BP89" s="5"/>
      <c r="BQ89" s="5"/>
      <c r="BR89" s="5"/>
      <c r="BS89" s="5"/>
      <c r="BT89" s="5"/>
    </row>
    <row r="90" spans="1:72" ht="20.100000000000001" customHeight="1" thickBot="1">
      <c r="A90" s="5"/>
      <c r="B90" s="5"/>
      <c r="C90" s="5"/>
      <c r="D90" s="5"/>
      <c r="E90" s="5"/>
      <c r="F90" s="5"/>
      <c r="G90" s="5"/>
      <c r="H90" s="5"/>
      <c r="I90" s="5"/>
      <c r="J90" s="5"/>
      <c r="K90" s="5"/>
      <c r="L90" s="5"/>
      <c r="M90" s="5"/>
      <c r="N90" s="5"/>
      <c r="O90" s="5"/>
      <c r="P90" s="5"/>
      <c r="Q90" s="5"/>
      <c r="R90" s="5"/>
      <c r="S90" s="5"/>
      <c r="T90" s="5"/>
      <c r="U90" s="5"/>
      <c r="V90" s="5"/>
      <c r="W90" s="5"/>
      <c r="X90" s="385"/>
      <c r="Y90" s="385"/>
      <c r="Z90" s="385"/>
      <c r="AA90" s="385"/>
      <c r="AB90" s="385"/>
      <c r="AC90" s="5"/>
      <c r="AD90" s="5"/>
      <c r="AE90" s="5"/>
      <c r="AF90" s="5"/>
      <c r="AG90" s="5"/>
      <c r="AH90" s="5"/>
      <c r="AI90" s="5"/>
      <c r="AJ90" s="5"/>
      <c r="AK90" s="5"/>
      <c r="AL90" s="5"/>
      <c r="AM90" s="5"/>
      <c r="AN90" s="5"/>
      <c r="AO90" s="5"/>
      <c r="AP90" s="5"/>
      <c r="AQ90" s="5"/>
      <c r="AR90" s="5"/>
      <c r="AS90" s="5"/>
      <c r="AT90" s="5"/>
      <c r="AU90" s="5"/>
      <c r="AV90" s="5"/>
      <c r="AW90" s="5"/>
      <c r="AX90" s="5"/>
      <c r="AY90" s="7"/>
      <c r="AZ90" s="5"/>
      <c r="BA90" s="437"/>
      <c r="BB90" s="438"/>
      <c r="BC90" s="438"/>
      <c r="BD90" s="438"/>
      <c r="BE90" s="438"/>
      <c r="BF90" s="438"/>
      <c r="BG90" s="438"/>
      <c r="BH90" s="438"/>
      <c r="BI90" s="438"/>
      <c r="BJ90" s="438"/>
      <c r="BK90" s="438"/>
      <c r="BL90" s="438"/>
      <c r="BM90" s="438"/>
      <c r="BN90" s="439"/>
      <c r="BO90" s="5"/>
      <c r="BP90" s="5"/>
      <c r="BQ90" s="5"/>
      <c r="BR90" s="5"/>
      <c r="BS90" s="5"/>
      <c r="BT90" s="5"/>
    </row>
    <row r="91" spans="1:72" ht="20.100000000000001" customHeight="1">
      <c r="A91" s="5"/>
      <c r="B91" s="382" t="s">
        <v>80</v>
      </c>
      <c r="C91" s="382"/>
      <c r="D91" s="382"/>
      <c r="E91" s="382"/>
      <c r="F91" s="382"/>
      <c r="G91" s="382"/>
      <c r="H91" s="382"/>
      <c r="I91" s="382"/>
      <c r="J91" s="382"/>
      <c r="K91" s="382"/>
      <c r="L91" s="382"/>
      <c r="M91" s="382"/>
      <c r="N91" s="382"/>
      <c r="O91" s="382"/>
      <c r="P91" s="382"/>
      <c r="Q91" s="382"/>
      <c r="R91" s="382"/>
      <c r="S91" s="382"/>
      <c r="T91" s="5"/>
      <c r="U91" s="382" t="s">
        <v>3165</v>
      </c>
      <c r="V91" s="382"/>
      <c r="W91" s="382"/>
      <c r="X91" s="382"/>
      <c r="Y91" s="382"/>
      <c r="Z91" s="5"/>
      <c r="AA91" s="382" t="s">
        <v>80</v>
      </c>
      <c r="AB91" s="382"/>
      <c r="AC91" s="382"/>
      <c r="AD91" s="382"/>
      <c r="AE91" s="382"/>
      <c r="AF91" s="382"/>
      <c r="AG91" s="382"/>
      <c r="AH91" s="382"/>
      <c r="AI91" s="382"/>
      <c r="AJ91" s="382"/>
      <c r="AK91" s="382"/>
      <c r="AL91" s="382"/>
      <c r="AM91" s="382"/>
      <c r="AN91" s="382"/>
      <c r="AO91" s="382"/>
      <c r="AP91" s="382"/>
      <c r="AQ91" s="382"/>
      <c r="AR91" s="382"/>
      <c r="AS91" s="5"/>
      <c r="AT91" s="382" t="s">
        <v>3165</v>
      </c>
      <c r="AU91" s="382"/>
      <c r="AV91" s="382"/>
      <c r="AW91" s="382"/>
      <c r="AX91" s="382"/>
      <c r="AY91" s="7"/>
      <c r="AZ91" s="5"/>
      <c r="BA91" s="5"/>
      <c r="BB91" s="5"/>
      <c r="BC91" s="5"/>
      <c r="BD91" s="5"/>
      <c r="BE91" s="5"/>
      <c r="BF91" s="5"/>
      <c r="BG91" s="5"/>
      <c r="BH91" s="5"/>
      <c r="BI91" s="5"/>
      <c r="BJ91" s="5"/>
      <c r="BK91" s="5"/>
      <c r="BL91" s="5"/>
      <c r="BM91" s="5"/>
      <c r="BN91" s="5"/>
      <c r="BO91" s="5"/>
      <c r="BP91" s="5"/>
      <c r="BQ91" s="5"/>
      <c r="BR91" s="5"/>
      <c r="BS91" s="5"/>
      <c r="BT91" s="5"/>
    </row>
    <row r="92" spans="1:72" ht="20.100000000000001" customHeight="1">
      <c r="A92" s="63"/>
      <c r="B92" s="384" t="str">
        <f>IF(ISBLANK(A92),IF(Values!D295&lt;&gt;0,Values!D295,""),A92)</f>
        <v/>
      </c>
      <c r="C92" s="384"/>
      <c r="D92" s="384"/>
      <c r="E92" s="384"/>
      <c r="F92" s="384"/>
      <c r="G92" s="384"/>
      <c r="H92" s="384"/>
      <c r="I92" s="384"/>
      <c r="J92" s="384"/>
      <c r="K92" s="384"/>
      <c r="L92" s="384"/>
      <c r="M92" s="384"/>
      <c r="N92" s="384"/>
      <c r="O92" s="384"/>
      <c r="P92" s="384"/>
      <c r="Q92" s="384"/>
      <c r="R92" s="384"/>
      <c r="S92" s="384"/>
      <c r="T92" s="63"/>
      <c r="U92" s="384" t="str">
        <f>IF(ISBLANK(T92),IF(Values!E295&lt;&gt;0,Values!E295,""),T92)</f>
        <v/>
      </c>
      <c r="V92" s="384"/>
      <c r="W92" s="384"/>
      <c r="X92" s="384"/>
      <c r="Y92" s="384"/>
      <c r="Z92" s="63"/>
      <c r="AA92" s="384" t="str">
        <f>IF(ISBLANK(Z92),IF(Values!D309&lt;&gt;0,Values!D309,""),Z92)</f>
        <v/>
      </c>
      <c r="AB92" s="384"/>
      <c r="AC92" s="384"/>
      <c r="AD92" s="384"/>
      <c r="AE92" s="384"/>
      <c r="AF92" s="384"/>
      <c r="AG92" s="384"/>
      <c r="AH92" s="384"/>
      <c r="AI92" s="384"/>
      <c r="AJ92" s="384"/>
      <c r="AK92" s="384"/>
      <c r="AL92" s="384"/>
      <c r="AM92" s="384"/>
      <c r="AN92" s="384"/>
      <c r="AO92" s="384"/>
      <c r="AP92" s="384"/>
      <c r="AQ92" s="384"/>
      <c r="AR92" s="384"/>
      <c r="AS92" s="63"/>
      <c r="AT92" s="384" t="str">
        <f>IF(ISBLANK(AS92),IF(Values!E309&lt;&gt;0,Values!E309,""),AS92)</f>
        <v/>
      </c>
      <c r="AU92" s="384"/>
      <c r="AV92" s="384"/>
      <c r="AW92" s="384"/>
      <c r="AX92" s="384"/>
      <c r="AY92" s="10"/>
      <c r="AZ92" s="5"/>
      <c r="BA92" s="5"/>
      <c r="BB92" s="5"/>
      <c r="BC92" s="5"/>
      <c r="BD92" s="5"/>
      <c r="BE92" s="5"/>
      <c r="BF92" s="5"/>
      <c r="BG92" s="5"/>
      <c r="BH92" s="5"/>
      <c r="BI92" s="5"/>
      <c r="BJ92" s="5"/>
      <c r="BK92" s="5"/>
      <c r="BL92" s="5"/>
      <c r="BM92" s="5"/>
      <c r="BN92" s="5"/>
      <c r="BO92" s="5"/>
      <c r="BP92" s="5"/>
      <c r="BQ92" s="5"/>
      <c r="BR92" s="5"/>
      <c r="BS92" s="5"/>
      <c r="BT92" s="5"/>
    </row>
    <row r="93" spans="1:72" ht="20.100000000000001" customHeight="1">
      <c r="A93" s="63"/>
      <c r="B93" s="384" t="str">
        <f>IF(ISBLANK(A93),IF(Values!D296&lt;&gt;0,Values!D296,""),A93)</f>
        <v/>
      </c>
      <c r="C93" s="384"/>
      <c r="D93" s="384"/>
      <c r="E93" s="384"/>
      <c r="F93" s="384"/>
      <c r="G93" s="384"/>
      <c r="H93" s="384"/>
      <c r="I93" s="384"/>
      <c r="J93" s="384"/>
      <c r="K93" s="384"/>
      <c r="L93" s="384"/>
      <c r="M93" s="384"/>
      <c r="N93" s="384"/>
      <c r="O93" s="384"/>
      <c r="P93" s="384"/>
      <c r="Q93" s="384"/>
      <c r="R93" s="384"/>
      <c r="S93" s="384"/>
      <c r="T93" s="63"/>
      <c r="U93" s="384" t="str">
        <f>IF(ISBLANK(T93),IF(Values!E296&lt;&gt;0,Values!E296,""),T93)</f>
        <v/>
      </c>
      <c r="V93" s="384"/>
      <c r="W93" s="384"/>
      <c r="X93" s="384"/>
      <c r="Y93" s="384"/>
      <c r="Z93" s="63"/>
      <c r="AA93" s="384" t="str">
        <f>IF(ISBLANK(Z93),IF(Values!D310&lt;&gt;0,Values!D310,""),Z93)</f>
        <v/>
      </c>
      <c r="AB93" s="384"/>
      <c r="AC93" s="384"/>
      <c r="AD93" s="384"/>
      <c r="AE93" s="384"/>
      <c r="AF93" s="384"/>
      <c r="AG93" s="384"/>
      <c r="AH93" s="384"/>
      <c r="AI93" s="384"/>
      <c r="AJ93" s="384"/>
      <c r="AK93" s="384"/>
      <c r="AL93" s="384"/>
      <c r="AM93" s="384"/>
      <c r="AN93" s="384"/>
      <c r="AO93" s="384"/>
      <c r="AP93" s="384"/>
      <c r="AQ93" s="384"/>
      <c r="AR93" s="384"/>
      <c r="AS93" s="63"/>
      <c r="AT93" s="384" t="str">
        <f>IF(ISBLANK(AS93),IF(Values!E310&lt;&gt;0,Values!E310,""),AS93)</f>
        <v/>
      </c>
      <c r="AU93" s="384"/>
      <c r="AV93" s="384"/>
      <c r="AW93" s="384"/>
      <c r="AX93" s="384"/>
      <c r="AY93" s="10"/>
      <c r="AZ93" s="5"/>
      <c r="BA93" s="5"/>
      <c r="BB93" s="5"/>
      <c r="BC93" s="5"/>
      <c r="BD93" s="5"/>
      <c r="BE93" s="5"/>
      <c r="BF93" s="5"/>
      <c r="BG93" s="5"/>
      <c r="BH93" s="5"/>
      <c r="BI93" s="5"/>
      <c r="BJ93" s="5"/>
      <c r="BK93" s="5"/>
      <c r="BL93" s="5"/>
      <c r="BM93" s="5"/>
      <c r="BN93" s="5"/>
      <c r="BO93" s="5"/>
      <c r="BP93" s="5"/>
      <c r="BQ93" s="5"/>
      <c r="BR93" s="5"/>
      <c r="BS93" s="5"/>
      <c r="BT93" s="5"/>
    </row>
    <row r="94" spans="1:72" ht="20.100000000000001" customHeight="1">
      <c r="A94" s="63"/>
      <c r="B94" s="384" t="str">
        <f>IF(ISBLANK(A94),IF(Values!D297&lt;&gt;0,Values!D297,""),A94)</f>
        <v/>
      </c>
      <c r="C94" s="384"/>
      <c r="D94" s="384"/>
      <c r="E94" s="384"/>
      <c r="F94" s="384"/>
      <c r="G94" s="384"/>
      <c r="H94" s="384"/>
      <c r="I94" s="384"/>
      <c r="J94" s="384"/>
      <c r="K94" s="384"/>
      <c r="L94" s="384"/>
      <c r="M94" s="384"/>
      <c r="N94" s="384"/>
      <c r="O94" s="384"/>
      <c r="P94" s="384"/>
      <c r="Q94" s="384"/>
      <c r="R94" s="384"/>
      <c r="S94" s="384"/>
      <c r="T94" s="63"/>
      <c r="U94" s="384" t="str">
        <f>IF(ISBLANK(T94),IF(Values!E297&lt;&gt;0,Values!E297,""),T94)</f>
        <v/>
      </c>
      <c r="V94" s="384"/>
      <c r="W94" s="384"/>
      <c r="X94" s="384"/>
      <c r="Y94" s="384"/>
      <c r="Z94" s="63"/>
      <c r="AA94" s="384" t="str">
        <f>IF(ISBLANK(Z94),IF(Values!D311&lt;&gt;0,Values!D311,""),Z94)</f>
        <v/>
      </c>
      <c r="AB94" s="384"/>
      <c r="AC94" s="384"/>
      <c r="AD94" s="384"/>
      <c r="AE94" s="384"/>
      <c r="AF94" s="384"/>
      <c r="AG94" s="384"/>
      <c r="AH94" s="384"/>
      <c r="AI94" s="384"/>
      <c r="AJ94" s="384"/>
      <c r="AK94" s="384"/>
      <c r="AL94" s="384"/>
      <c r="AM94" s="384"/>
      <c r="AN94" s="384"/>
      <c r="AO94" s="384"/>
      <c r="AP94" s="384"/>
      <c r="AQ94" s="384"/>
      <c r="AR94" s="384"/>
      <c r="AS94" s="63"/>
      <c r="AT94" s="384" t="str">
        <f>IF(ISBLANK(AS94),IF(Values!E311&lt;&gt;0,Values!E311,""),AS94)</f>
        <v/>
      </c>
      <c r="AU94" s="384"/>
      <c r="AV94" s="384"/>
      <c r="AW94" s="384"/>
      <c r="AX94" s="384"/>
      <c r="AY94" s="10"/>
      <c r="AZ94" s="5"/>
      <c r="BA94" s="5"/>
      <c r="BB94" s="5"/>
      <c r="BC94" s="5"/>
      <c r="BD94" s="5"/>
      <c r="BE94" s="5"/>
      <c r="BF94" s="5"/>
      <c r="BG94" s="5"/>
      <c r="BH94" s="5"/>
      <c r="BI94" s="5"/>
      <c r="BJ94" s="5"/>
      <c r="BK94" s="5"/>
      <c r="BL94" s="5"/>
      <c r="BM94" s="5"/>
      <c r="BN94" s="5"/>
      <c r="BO94" s="5"/>
      <c r="BP94" s="5"/>
      <c r="BQ94" s="5"/>
      <c r="BR94" s="5"/>
      <c r="BS94" s="5"/>
      <c r="BT94" s="5"/>
    </row>
    <row r="95" spans="1:72" ht="20.100000000000001" hidden="1" customHeight="1">
      <c r="A95" s="63"/>
      <c r="B95" s="384" t="str">
        <f>IF(ISBLANK(A95),IF(Values!D298&lt;&gt;0,Values!D298,""),A95)</f>
        <v/>
      </c>
      <c r="C95" s="384"/>
      <c r="D95" s="384"/>
      <c r="E95" s="384"/>
      <c r="F95" s="384"/>
      <c r="G95" s="384"/>
      <c r="H95" s="384"/>
      <c r="I95" s="384"/>
      <c r="J95" s="384"/>
      <c r="K95" s="384"/>
      <c r="L95" s="384"/>
      <c r="M95" s="384"/>
      <c r="N95" s="384"/>
      <c r="O95" s="384"/>
      <c r="P95" s="384"/>
      <c r="Q95" s="384"/>
      <c r="R95" s="384"/>
      <c r="S95" s="384"/>
      <c r="T95" s="63"/>
      <c r="U95" s="384" t="str">
        <f>IF(ISBLANK(T95),IF(Values!E298&lt;&gt;0,Values!E298,""),T95)</f>
        <v/>
      </c>
      <c r="V95" s="384"/>
      <c r="W95" s="384"/>
      <c r="X95" s="384"/>
      <c r="Y95" s="384"/>
      <c r="Z95" s="63"/>
      <c r="AA95" s="384" t="str">
        <f>IF(ISBLANK(Z95),IF(Values!D312&lt;&gt;0,Values!D312,""),Z95)</f>
        <v/>
      </c>
      <c r="AB95" s="384"/>
      <c r="AC95" s="384"/>
      <c r="AD95" s="384"/>
      <c r="AE95" s="384"/>
      <c r="AF95" s="384"/>
      <c r="AG95" s="384"/>
      <c r="AH95" s="384"/>
      <c r="AI95" s="384"/>
      <c r="AJ95" s="384"/>
      <c r="AK95" s="384"/>
      <c r="AL95" s="384"/>
      <c r="AM95" s="384"/>
      <c r="AN95" s="384"/>
      <c r="AO95" s="384"/>
      <c r="AP95" s="384"/>
      <c r="AQ95" s="384"/>
      <c r="AR95" s="384"/>
      <c r="AS95" s="63"/>
      <c r="AT95" s="384" t="str">
        <f>IF(ISBLANK(AS95),IF(Values!E312&lt;&gt;0,Values!E312,""),AS95)</f>
        <v/>
      </c>
      <c r="AU95" s="384"/>
      <c r="AV95" s="384"/>
      <c r="AW95" s="384"/>
      <c r="AX95" s="384"/>
      <c r="AY95" s="10"/>
      <c r="AZ95" s="5"/>
      <c r="BA95" s="5"/>
      <c r="BB95" s="5"/>
      <c r="BC95" s="5"/>
      <c r="BD95" s="5"/>
      <c r="BE95" s="5"/>
      <c r="BF95" s="5"/>
      <c r="BG95" s="5"/>
      <c r="BH95" s="5"/>
      <c r="BI95" s="5"/>
      <c r="BJ95" s="5"/>
      <c r="BK95" s="5"/>
      <c r="BL95" s="5"/>
      <c r="BM95" s="5"/>
      <c r="BN95" s="5"/>
      <c r="BO95" s="5"/>
      <c r="BP95" s="5"/>
      <c r="BQ95" s="5"/>
      <c r="BR95" s="5"/>
      <c r="BS95" s="5"/>
      <c r="BT95" s="5"/>
    </row>
    <row r="96" spans="1:72" ht="20.100000000000001" hidden="1" customHeight="1">
      <c r="A96" s="63"/>
      <c r="B96" s="384" t="str">
        <f>IF(ISBLANK(A96),IF(Values!D299&lt;&gt;0,Values!D299,""),A96)</f>
        <v/>
      </c>
      <c r="C96" s="384"/>
      <c r="D96" s="384"/>
      <c r="E96" s="384"/>
      <c r="F96" s="384"/>
      <c r="G96" s="384"/>
      <c r="H96" s="384"/>
      <c r="I96" s="384"/>
      <c r="J96" s="384"/>
      <c r="K96" s="384"/>
      <c r="L96" s="384"/>
      <c r="M96" s="384"/>
      <c r="N96" s="384"/>
      <c r="O96" s="384"/>
      <c r="P96" s="384"/>
      <c r="Q96" s="384"/>
      <c r="R96" s="384"/>
      <c r="S96" s="384"/>
      <c r="T96" s="63"/>
      <c r="U96" s="384" t="str">
        <f>IF(ISBLANK(T96),IF(Values!E299&lt;&gt;0,Values!E299,""),T96)</f>
        <v/>
      </c>
      <c r="V96" s="384"/>
      <c r="W96" s="384"/>
      <c r="X96" s="384"/>
      <c r="Y96" s="384"/>
      <c r="Z96" s="63"/>
      <c r="AA96" s="384" t="str">
        <f>IF(ISBLANK(Z96),IF(Values!D313&lt;&gt;0,Values!D313,""),Z96)</f>
        <v/>
      </c>
      <c r="AB96" s="384"/>
      <c r="AC96" s="384"/>
      <c r="AD96" s="384"/>
      <c r="AE96" s="384"/>
      <c r="AF96" s="384"/>
      <c r="AG96" s="384"/>
      <c r="AH96" s="384"/>
      <c r="AI96" s="384"/>
      <c r="AJ96" s="384"/>
      <c r="AK96" s="384"/>
      <c r="AL96" s="384"/>
      <c r="AM96" s="384"/>
      <c r="AN96" s="384"/>
      <c r="AO96" s="384"/>
      <c r="AP96" s="384"/>
      <c r="AQ96" s="384"/>
      <c r="AR96" s="384"/>
      <c r="AS96" s="63"/>
      <c r="AT96" s="384" t="str">
        <f>IF(ISBLANK(AS96),IF(Values!E313&lt;&gt;0,Values!E313,""),AS96)</f>
        <v/>
      </c>
      <c r="AU96" s="384"/>
      <c r="AV96" s="384"/>
      <c r="AW96" s="384"/>
      <c r="AX96" s="384"/>
      <c r="AY96" s="10"/>
      <c r="AZ96" s="5"/>
      <c r="BA96" s="5"/>
      <c r="BB96" s="5"/>
      <c r="BC96" s="5"/>
      <c r="BD96" s="5"/>
      <c r="BE96" s="5"/>
      <c r="BF96" s="5"/>
      <c r="BG96" s="5"/>
      <c r="BH96" s="5"/>
      <c r="BI96" s="5"/>
      <c r="BJ96" s="5"/>
      <c r="BK96" s="5"/>
      <c r="BL96" s="5"/>
      <c r="BM96" s="5"/>
      <c r="BN96" s="5"/>
      <c r="BO96" s="5"/>
      <c r="BP96" s="5"/>
      <c r="BQ96" s="5"/>
      <c r="BR96" s="5"/>
      <c r="BS96" s="5"/>
      <c r="BT96" s="5"/>
    </row>
    <row r="97" spans="1:72" ht="20.100000000000001" hidden="1" customHeight="1">
      <c r="A97" s="63"/>
      <c r="B97" s="384" t="str">
        <f>IF(ISBLANK(A97),IF(Values!D300&lt;&gt;0,Values!D300,""),A97)</f>
        <v/>
      </c>
      <c r="C97" s="384"/>
      <c r="D97" s="384"/>
      <c r="E97" s="384"/>
      <c r="F97" s="384"/>
      <c r="G97" s="384"/>
      <c r="H97" s="384"/>
      <c r="I97" s="384"/>
      <c r="J97" s="384"/>
      <c r="K97" s="384"/>
      <c r="L97" s="384"/>
      <c r="M97" s="384"/>
      <c r="N97" s="384"/>
      <c r="O97" s="384"/>
      <c r="P97" s="384"/>
      <c r="Q97" s="384"/>
      <c r="R97" s="384"/>
      <c r="S97" s="384"/>
      <c r="T97" s="63"/>
      <c r="U97" s="384" t="str">
        <f>IF(ISBLANK(T97),IF(Values!E300&lt;&gt;0,Values!E300,""),T97)</f>
        <v/>
      </c>
      <c r="V97" s="384"/>
      <c r="W97" s="384"/>
      <c r="X97" s="384"/>
      <c r="Y97" s="384"/>
      <c r="Z97" s="63"/>
      <c r="AA97" s="384" t="str">
        <f>IF(ISBLANK(Z97),IF(Values!D314&lt;&gt;0,Values!D314,""),Z97)</f>
        <v/>
      </c>
      <c r="AB97" s="384"/>
      <c r="AC97" s="384"/>
      <c r="AD97" s="384"/>
      <c r="AE97" s="384"/>
      <c r="AF97" s="384"/>
      <c r="AG97" s="384"/>
      <c r="AH97" s="384"/>
      <c r="AI97" s="384"/>
      <c r="AJ97" s="384"/>
      <c r="AK97" s="384"/>
      <c r="AL97" s="384"/>
      <c r="AM97" s="384"/>
      <c r="AN97" s="384"/>
      <c r="AO97" s="384"/>
      <c r="AP97" s="384"/>
      <c r="AQ97" s="384"/>
      <c r="AR97" s="384"/>
      <c r="AS97" s="63"/>
      <c r="AT97" s="384" t="str">
        <f>IF(ISBLANK(AS97),IF(Values!E314&lt;&gt;0,Values!E314,""),AS97)</f>
        <v/>
      </c>
      <c r="AU97" s="384"/>
      <c r="AV97" s="384"/>
      <c r="AW97" s="384"/>
      <c r="AX97" s="384"/>
      <c r="AY97" s="10"/>
      <c r="AZ97" s="5"/>
      <c r="BA97" s="5"/>
      <c r="BB97" s="5"/>
      <c r="BC97" s="5"/>
      <c r="BD97" s="5"/>
      <c r="BE97" s="5"/>
      <c r="BF97" s="5"/>
      <c r="BG97" s="5"/>
      <c r="BH97" s="5"/>
      <c r="BI97" s="5"/>
      <c r="BJ97" s="5"/>
      <c r="BK97" s="5"/>
      <c r="BL97" s="5"/>
      <c r="BM97" s="5"/>
      <c r="BN97" s="5"/>
      <c r="BO97" s="5"/>
      <c r="BP97" s="5"/>
      <c r="BQ97" s="5"/>
      <c r="BR97" s="5"/>
      <c r="BS97" s="5"/>
      <c r="BT97" s="5"/>
    </row>
    <row r="98" spans="1:72" ht="20.100000000000001" hidden="1" customHeight="1">
      <c r="A98" s="63"/>
      <c r="B98" s="384" t="str">
        <f>IF(ISBLANK(A98),IF(Values!D301&lt;&gt;0,Values!D301,""),A98)</f>
        <v/>
      </c>
      <c r="C98" s="384"/>
      <c r="D98" s="384"/>
      <c r="E98" s="384"/>
      <c r="F98" s="384"/>
      <c r="G98" s="384"/>
      <c r="H98" s="384"/>
      <c r="I98" s="384"/>
      <c r="J98" s="384"/>
      <c r="K98" s="384"/>
      <c r="L98" s="384"/>
      <c r="M98" s="384"/>
      <c r="N98" s="384"/>
      <c r="O98" s="384"/>
      <c r="P98" s="384"/>
      <c r="Q98" s="384"/>
      <c r="R98" s="384"/>
      <c r="S98" s="384"/>
      <c r="T98" s="63"/>
      <c r="U98" s="384" t="str">
        <f>IF(ISBLANK(T98),IF(Values!E301&lt;&gt;0,Values!E301,""),T98)</f>
        <v/>
      </c>
      <c r="V98" s="384"/>
      <c r="W98" s="384"/>
      <c r="X98" s="384"/>
      <c r="Y98" s="384"/>
      <c r="Z98" s="63"/>
      <c r="AA98" s="384" t="str">
        <f>IF(ISBLANK(Z98),IF(Values!D315&lt;&gt;0,Values!D315,""),Z98)</f>
        <v/>
      </c>
      <c r="AB98" s="384"/>
      <c r="AC98" s="384"/>
      <c r="AD98" s="384"/>
      <c r="AE98" s="384"/>
      <c r="AF98" s="384"/>
      <c r="AG98" s="384"/>
      <c r="AH98" s="384"/>
      <c r="AI98" s="384"/>
      <c r="AJ98" s="384"/>
      <c r="AK98" s="384"/>
      <c r="AL98" s="384"/>
      <c r="AM98" s="384"/>
      <c r="AN98" s="384"/>
      <c r="AO98" s="384"/>
      <c r="AP98" s="384"/>
      <c r="AQ98" s="384"/>
      <c r="AR98" s="384"/>
      <c r="AS98" s="63"/>
      <c r="AT98" s="384" t="str">
        <f>IF(ISBLANK(AS98),IF(Values!E315&lt;&gt;0,Values!E315,""),AS98)</f>
        <v/>
      </c>
      <c r="AU98" s="384"/>
      <c r="AV98" s="384"/>
      <c r="AW98" s="384"/>
      <c r="AX98" s="384"/>
      <c r="AY98" s="10"/>
      <c r="AZ98" s="5"/>
      <c r="BA98" s="5"/>
      <c r="BB98" s="5"/>
      <c r="BC98" s="5"/>
      <c r="BD98" s="5"/>
      <c r="BE98" s="5"/>
      <c r="BF98" s="5"/>
      <c r="BG98" s="5"/>
      <c r="BH98" s="5"/>
      <c r="BI98" s="5"/>
      <c r="BJ98" s="5"/>
      <c r="BK98" s="5"/>
      <c r="BL98" s="5"/>
      <c r="BM98" s="5"/>
      <c r="BN98" s="5"/>
      <c r="BO98" s="5"/>
      <c r="BP98" s="5"/>
      <c r="BQ98" s="5"/>
      <c r="BR98" s="5"/>
      <c r="BS98" s="5"/>
      <c r="BT98" s="5"/>
    </row>
    <row r="99" spans="1:72" ht="20.100000000000001" hidden="1" customHeight="1">
      <c r="A99" s="63"/>
      <c r="B99" s="384" t="str">
        <f>IF(ISBLANK(A99),IF(Values!D302&lt;&gt;0,Values!D302,""),A99)</f>
        <v/>
      </c>
      <c r="C99" s="384"/>
      <c r="D99" s="384"/>
      <c r="E99" s="384"/>
      <c r="F99" s="384"/>
      <c r="G99" s="384"/>
      <c r="H99" s="384"/>
      <c r="I99" s="384"/>
      <c r="J99" s="384"/>
      <c r="K99" s="384"/>
      <c r="L99" s="384"/>
      <c r="M99" s="384"/>
      <c r="N99" s="384"/>
      <c r="O99" s="384"/>
      <c r="P99" s="384"/>
      <c r="Q99" s="384"/>
      <c r="R99" s="384"/>
      <c r="S99" s="384"/>
      <c r="T99" s="63"/>
      <c r="U99" s="384" t="str">
        <f>IF(ISBLANK(T99),IF(Values!E302&lt;&gt;0,Values!E302,""),T99)</f>
        <v/>
      </c>
      <c r="V99" s="384"/>
      <c r="W99" s="384"/>
      <c r="X99" s="384"/>
      <c r="Y99" s="384"/>
      <c r="Z99" s="63"/>
      <c r="AA99" s="384" t="str">
        <f>IF(ISBLANK(Z99),IF(Values!D316&lt;&gt;0,Values!D316,""),Z99)</f>
        <v/>
      </c>
      <c r="AB99" s="384"/>
      <c r="AC99" s="384"/>
      <c r="AD99" s="384"/>
      <c r="AE99" s="384"/>
      <c r="AF99" s="384"/>
      <c r="AG99" s="384"/>
      <c r="AH99" s="384"/>
      <c r="AI99" s="384"/>
      <c r="AJ99" s="384"/>
      <c r="AK99" s="384"/>
      <c r="AL99" s="384"/>
      <c r="AM99" s="384"/>
      <c r="AN99" s="384"/>
      <c r="AO99" s="384"/>
      <c r="AP99" s="384"/>
      <c r="AQ99" s="384"/>
      <c r="AR99" s="384"/>
      <c r="AS99" s="63"/>
      <c r="AT99" s="384" t="str">
        <f>IF(ISBLANK(AS99),IF(Values!E316&lt;&gt;0,Values!E316,""),AS99)</f>
        <v/>
      </c>
      <c r="AU99" s="384"/>
      <c r="AV99" s="384"/>
      <c r="AW99" s="384"/>
      <c r="AX99" s="384"/>
      <c r="AY99" s="10"/>
      <c r="AZ99" s="5"/>
      <c r="BA99" s="5"/>
      <c r="BB99" s="5"/>
      <c r="BC99" s="5"/>
      <c r="BD99" s="5"/>
      <c r="BE99" s="5"/>
      <c r="BF99" s="5"/>
      <c r="BG99" s="5"/>
      <c r="BH99" s="5"/>
      <c r="BI99" s="5"/>
      <c r="BJ99" s="5"/>
      <c r="BK99" s="5"/>
      <c r="BL99" s="5"/>
      <c r="BM99" s="5"/>
      <c r="BN99" s="5"/>
      <c r="BO99" s="5"/>
      <c r="BP99" s="5"/>
      <c r="BQ99" s="5"/>
      <c r="BR99" s="5"/>
      <c r="BS99" s="5"/>
      <c r="BT99" s="5"/>
    </row>
    <row r="100" spans="1:72" ht="20.100000000000001" hidden="1" customHeight="1">
      <c r="A100" s="63"/>
      <c r="B100" s="384" t="str">
        <f>IF(ISBLANK(A100),IF(Values!D303&lt;&gt;0,Values!D303,""),A100)</f>
        <v/>
      </c>
      <c r="C100" s="384"/>
      <c r="D100" s="384"/>
      <c r="E100" s="384"/>
      <c r="F100" s="384"/>
      <c r="G100" s="384"/>
      <c r="H100" s="384"/>
      <c r="I100" s="384"/>
      <c r="J100" s="384"/>
      <c r="K100" s="384"/>
      <c r="L100" s="384"/>
      <c r="M100" s="384"/>
      <c r="N100" s="384"/>
      <c r="O100" s="384"/>
      <c r="P100" s="384"/>
      <c r="Q100" s="384"/>
      <c r="R100" s="384"/>
      <c r="S100" s="384"/>
      <c r="T100" s="63"/>
      <c r="U100" s="384" t="str">
        <f>IF(ISBLANK(T100),IF(Values!E303&lt;&gt;0,Values!E303,""),T100)</f>
        <v/>
      </c>
      <c r="V100" s="384"/>
      <c r="W100" s="384"/>
      <c r="X100" s="384"/>
      <c r="Y100" s="384"/>
      <c r="Z100" s="63"/>
      <c r="AA100" s="384" t="str">
        <f>IF(ISBLANK(Z100),IF(Values!D317&lt;&gt;0,Values!D317,""),Z100)</f>
        <v/>
      </c>
      <c r="AB100" s="384"/>
      <c r="AC100" s="384"/>
      <c r="AD100" s="384"/>
      <c r="AE100" s="384"/>
      <c r="AF100" s="384"/>
      <c r="AG100" s="384"/>
      <c r="AH100" s="384"/>
      <c r="AI100" s="384"/>
      <c r="AJ100" s="384"/>
      <c r="AK100" s="384"/>
      <c r="AL100" s="384"/>
      <c r="AM100" s="384"/>
      <c r="AN100" s="384"/>
      <c r="AO100" s="384"/>
      <c r="AP100" s="384"/>
      <c r="AQ100" s="384"/>
      <c r="AR100" s="384"/>
      <c r="AS100" s="63"/>
      <c r="AT100" s="384" t="str">
        <f>IF(ISBLANK(AS100),IF(Values!E317&lt;&gt;0,Values!E317,""),AS100)</f>
        <v/>
      </c>
      <c r="AU100" s="384"/>
      <c r="AV100" s="384"/>
      <c r="AW100" s="384"/>
      <c r="AX100" s="384"/>
      <c r="AY100" s="10"/>
      <c r="AZ100" s="5"/>
      <c r="BA100" s="5"/>
      <c r="BB100" s="5"/>
      <c r="BC100" s="5"/>
      <c r="BD100" s="5"/>
      <c r="BE100" s="5"/>
      <c r="BF100" s="5"/>
      <c r="BG100" s="5"/>
      <c r="BH100" s="5"/>
      <c r="BI100" s="5"/>
      <c r="BJ100" s="5"/>
      <c r="BK100" s="5"/>
      <c r="BL100" s="5"/>
      <c r="BM100" s="5"/>
      <c r="BN100" s="5"/>
      <c r="BO100" s="5"/>
      <c r="BP100" s="5"/>
      <c r="BQ100" s="5"/>
      <c r="BR100" s="5"/>
      <c r="BS100" s="5"/>
      <c r="BT100" s="5"/>
    </row>
    <row r="101" spans="1:72" ht="20.100000000000001" hidden="1" customHeight="1">
      <c r="A101" s="63"/>
      <c r="B101" s="384" t="str">
        <f>IF(ISBLANK(A101),IF(Values!D304&lt;&gt;0,Values!D304,""),A101)</f>
        <v/>
      </c>
      <c r="C101" s="384"/>
      <c r="D101" s="384"/>
      <c r="E101" s="384"/>
      <c r="F101" s="384"/>
      <c r="G101" s="384"/>
      <c r="H101" s="384"/>
      <c r="I101" s="384"/>
      <c r="J101" s="384"/>
      <c r="K101" s="384"/>
      <c r="L101" s="384"/>
      <c r="M101" s="384"/>
      <c r="N101" s="384"/>
      <c r="O101" s="384"/>
      <c r="P101" s="384"/>
      <c r="Q101" s="384"/>
      <c r="R101" s="384"/>
      <c r="S101" s="384"/>
      <c r="T101" s="63"/>
      <c r="U101" s="384" t="str">
        <f>IF(ISBLANK(T101),IF(Values!E304&lt;&gt;0,Values!E304,""),T101)</f>
        <v/>
      </c>
      <c r="V101" s="384"/>
      <c r="W101" s="384"/>
      <c r="X101" s="384"/>
      <c r="Y101" s="384"/>
      <c r="Z101" s="63"/>
      <c r="AA101" s="384" t="str">
        <f>IF(ISBLANK(Z101),IF(Values!D318&lt;&gt;0,Values!D318,""),Z101)</f>
        <v/>
      </c>
      <c r="AB101" s="384"/>
      <c r="AC101" s="384"/>
      <c r="AD101" s="384"/>
      <c r="AE101" s="384"/>
      <c r="AF101" s="384"/>
      <c r="AG101" s="384"/>
      <c r="AH101" s="384"/>
      <c r="AI101" s="384"/>
      <c r="AJ101" s="384"/>
      <c r="AK101" s="384"/>
      <c r="AL101" s="384"/>
      <c r="AM101" s="384"/>
      <c r="AN101" s="384"/>
      <c r="AO101" s="384"/>
      <c r="AP101" s="384"/>
      <c r="AQ101" s="384"/>
      <c r="AR101" s="384"/>
      <c r="AS101" s="63"/>
      <c r="AT101" s="384" t="str">
        <f>IF(ISBLANK(AS101),IF(Values!E318&lt;&gt;0,Values!E318,""),AS101)</f>
        <v/>
      </c>
      <c r="AU101" s="384"/>
      <c r="AV101" s="384"/>
      <c r="AW101" s="384"/>
      <c r="AX101" s="384"/>
      <c r="AY101" s="10"/>
      <c r="AZ101" s="5"/>
      <c r="BA101" s="5"/>
      <c r="BB101" s="5"/>
      <c r="BC101" s="5"/>
      <c r="BD101" s="5"/>
      <c r="BE101" s="5"/>
      <c r="BF101" s="5"/>
      <c r="BG101" s="5"/>
      <c r="BH101" s="5"/>
      <c r="BI101" s="5"/>
      <c r="BJ101" s="5"/>
      <c r="BK101" s="5"/>
      <c r="BL101" s="5"/>
      <c r="BM101" s="5"/>
      <c r="BN101" s="5"/>
      <c r="BO101" s="5"/>
      <c r="BP101" s="5"/>
      <c r="BQ101" s="5"/>
      <c r="BR101" s="5"/>
      <c r="BS101" s="5"/>
      <c r="BT101" s="5"/>
    </row>
    <row r="102" spans="1:72" ht="20.100000000000001" hidden="1" customHeight="1">
      <c r="A102" s="63"/>
      <c r="B102" s="384" t="str">
        <f>IF(ISBLANK(A102),IF(Values!D305&lt;&gt;0,Values!D305,""),A102)</f>
        <v/>
      </c>
      <c r="C102" s="384"/>
      <c r="D102" s="384"/>
      <c r="E102" s="384"/>
      <c r="F102" s="384"/>
      <c r="G102" s="384"/>
      <c r="H102" s="384"/>
      <c r="I102" s="384"/>
      <c r="J102" s="384"/>
      <c r="K102" s="384"/>
      <c r="L102" s="384"/>
      <c r="M102" s="384"/>
      <c r="N102" s="384"/>
      <c r="O102" s="384"/>
      <c r="P102" s="384"/>
      <c r="Q102" s="384"/>
      <c r="R102" s="384"/>
      <c r="S102" s="384"/>
      <c r="T102" s="63"/>
      <c r="U102" s="384" t="str">
        <f>IF(ISBLANK(T102),IF(Values!E305&lt;&gt;0,Values!E305,""),T102)</f>
        <v/>
      </c>
      <c r="V102" s="384"/>
      <c r="W102" s="384"/>
      <c r="X102" s="384"/>
      <c r="Y102" s="384"/>
      <c r="Z102" s="63"/>
      <c r="AA102" s="384" t="str">
        <f>IF(ISBLANK(Z102),IF(Values!D319&lt;&gt;0,Values!D319,""),Z102)</f>
        <v/>
      </c>
      <c r="AB102" s="384"/>
      <c r="AC102" s="384"/>
      <c r="AD102" s="384"/>
      <c r="AE102" s="384"/>
      <c r="AF102" s="384"/>
      <c r="AG102" s="384"/>
      <c r="AH102" s="384"/>
      <c r="AI102" s="384"/>
      <c r="AJ102" s="384"/>
      <c r="AK102" s="384"/>
      <c r="AL102" s="384"/>
      <c r="AM102" s="384"/>
      <c r="AN102" s="384"/>
      <c r="AO102" s="384"/>
      <c r="AP102" s="384"/>
      <c r="AQ102" s="384"/>
      <c r="AR102" s="384"/>
      <c r="AS102" s="63"/>
      <c r="AT102" s="384" t="str">
        <f>IF(ISBLANK(AS102),IF(Values!E319&lt;&gt;0,Values!E319,""),AS102)</f>
        <v/>
      </c>
      <c r="AU102" s="384"/>
      <c r="AV102" s="384"/>
      <c r="AW102" s="384"/>
      <c r="AX102" s="384"/>
      <c r="AY102" s="10"/>
      <c r="AZ102" s="5"/>
      <c r="BA102" s="5"/>
      <c r="BB102" s="5"/>
      <c r="BC102" s="5"/>
      <c r="BD102" s="5"/>
      <c r="BE102" s="5"/>
      <c r="BF102" s="5"/>
      <c r="BG102" s="5"/>
      <c r="BH102" s="5"/>
      <c r="BI102" s="5"/>
      <c r="BJ102" s="5"/>
      <c r="BK102" s="5"/>
      <c r="BL102" s="5"/>
      <c r="BM102" s="5"/>
      <c r="BN102" s="5"/>
      <c r="BO102" s="5"/>
      <c r="BP102" s="5"/>
      <c r="BQ102" s="5"/>
      <c r="BR102" s="5"/>
      <c r="BS102" s="5"/>
      <c r="BT102" s="5"/>
    </row>
    <row r="103" spans="1:72" ht="20.100000000000001" hidden="1" customHeight="1" thickBot="1">
      <c r="A103" s="63"/>
      <c r="B103" s="384" t="str">
        <f>IF(ISBLANK(A103),IF(Values!D306&lt;&gt;0,Values!D306,""),A103)</f>
        <v/>
      </c>
      <c r="C103" s="384"/>
      <c r="D103" s="384"/>
      <c r="E103" s="384"/>
      <c r="F103" s="384"/>
      <c r="G103" s="384"/>
      <c r="H103" s="384"/>
      <c r="I103" s="384"/>
      <c r="J103" s="384"/>
      <c r="K103" s="384"/>
      <c r="L103" s="384"/>
      <c r="M103" s="384"/>
      <c r="N103" s="384"/>
      <c r="O103" s="384"/>
      <c r="P103" s="384"/>
      <c r="Q103" s="384"/>
      <c r="R103" s="384"/>
      <c r="S103" s="384"/>
      <c r="T103" s="63"/>
      <c r="U103" s="384" t="str">
        <f>IF(ISBLANK(T103),IF(Values!E306&lt;&gt;0,Values!E306,""),T103)</f>
        <v/>
      </c>
      <c r="V103" s="384"/>
      <c r="W103" s="384"/>
      <c r="X103" s="384"/>
      <c r="Y103" s="384"/>
      <c r="Z103" s="63"/>
      <c r="AA103" s="384" t="str">
        <f>IF(ISBLANK(Z103),IF(Values!D320&lt;&gt;0,Values!D320,""),Z103)</f>
        <v/>
      </c>
      <c r="AB103" s="384"/>
      <c r="AC103" s="384"/>
      <c r="AD103" s="384"/>
      <c r="AE103" s="384"/>
      <c r="AF103" s="384"/>
      <c r="AG103" s="384"/>
      <c r="AH103" s="384"/>
      <c r="AI103" s="384"/>
      <c r="AJ103" s="384"/>
      <c r="AK103" s="384"/>
      <c r="AL103" s="384"/>
      <c r="AM103" s="384"/>
      <c r="AN103" s="384"/>
      <c r="AO103" s="384"/>
      <c r="AP103" s="384"/>
      <c r="AQ103" s="384"/>
      <c r="AR103" s="384"/>
      <c r="AS103" s="63"/>
      <c r="AT103" s="384" t="str">
        <f>IF(ISBLANK(AS103),IF(Values!E320&lt;&gt;0,Values!E320,""),AS103)</f>
        <v/>
      </c>
      <c r="AU103" s="384"/>
      <c r="AV103" s="384"/>
      <c r="AW103" s="384"/>
      <c r="AX103" s="384"/>
      <c r="AY103" s="10"/>
      <c r="AZ103" s="5"/>
      <c r="BA103" s="5"/>
      <c r="BB103" s="5"/>
      <c r="BC103" s="5"/>
      <c r="BD103" s="5"/>
      <c r="BE103" s="5"/>
      <c r="BF103" s="5"/>
      <c r="BG103" s="5"/>
      <c r="BH103" s="5"/>
      <c r="BI103" s="5"/>
      <c r="BJ103" s="5"/>
      <c r="BK103" s="5"/>
      <c r="BL103" s="5"/>
      <c r="BM103" s="5"/>
      <c r="BN103" s="5"/>
      <c r="BO103" s="5"/>
      <c r="BP103" s="5"/>
      <c r="BQ103" s="5"/>
      <c r="BR103" s="5"/>
      <c r="BS103" s="5"/>
      <c r="BT103" s="5"/>
    </row>
    <row r="104" spans="1:72" ht="20.100000000000001" hidden="1" customHeight="1">
      <c r="A104" s="63"/>
      <c r="B104" s="384" t="str">
        <f>IF(ISBLANK(A104),IF(Values!D307&lt;&gt;0,Values!D307,""),A104)</f>
        <v/>
      </c>
      <c r="C104" s="384"/>
      <c r="D104" s="384"/>
      <c r="E104" s="384"/>
      <c r="F104" s="384"/>
      <c r="G104" s="384"/>
      <c r="H104" s="384"/>
      <c r="I104" s="384"/>
      <c r="J104" s="384"/>
      <c r="K104" s="384"/>
      <c r="L104" s="384"/>
      <c r="M104" s="384"/>
      <c r="N104" s="384"/>
      <c r="O104" s="384"/>
      <c r="P104" s="384"/>
      <c r="Q104" s="384"/>
      <c r="R104" s="384"/>
      <c r="S104" s="384"/>
      <c r="T104" s="63"/>
      <c r="U104" s="384" t="str">
        <f>IF(ISBLANK(T104),IF(Values!E307&lt;&gt;0,Values!E307,""),T104)</f>
        <v/>
      </c>
      <c r="V104" s="384"/>
      <c r="W104" s="384"/>
      <c r="X104" s="384"/>
      <c r="Y104" s="384"/>
      <c r="Z104" s="63"/>
      <c r="AA104" s="384" t="str">
        <f>IF(ISBLANK(Z104),IF(Values!D321&lt;&gt;0,Values!D321,""),Z104)</f>
        <v/>
      </c>
      <c r="AB104" s="384"/>
      <c r="AC104" s="384"/>
      <c r="AD104" s="384"/>
      <c r="AE104" s="384"/>
      <c r="AF104" s="384"/>
      <c r="AG104" s="384"/>
      <c r="AH104" s="384"/>
      <c r="AI104" s="384"/>
      <c r="AJ104" s="384"/>
      <c r="AK104" s="384"/>
      <c r="AL104" s="384"/>
      <c r="AM104" s="384"/>
      <c r="AN104" s="384"/>
      <c r="AO104" s="384"/>
      <c r="AP104" s="384"/>
      <c r="AQ104" s="384"/>
      <c r="AR104" s="384"/>
      <c r="AS104" s="63"/>
      <c r="AT104" s="384" t="str">
        <f>IF(ISBLANK(AS104),IF(Values!E321&lt;&gt;0,Values!E321,""),AS104)</f>
        <v/>
      </c>
      <c r="AU104" s="384"/>
      <c r="AV104" s="384"/>
      <c r="AW104" s="384"/>
      <c r="AX104" s="384"/>
      <c r="AY104" s="10"/>
      <c r="AZ104" s="5"/>
      <c r="BA104" s="87" t="str">
        <f>$BA$8</f>
        <v>You must go back to Creation_1 to spend your Attributes points properly</v>
      </c>
      <c r="BB104" s="88"/>
      <c r="BC104" s="88"/>
      <c r="BD104" s="88"/>
      <c r="BE104" s="88"/>
      <c r="BF104" s="88"/>
      <c r="BG104" s="88"/>
      <c r="BH104" s="88"/>
      <c r="BI104" s="88"/>
      <c r="BJ104" s="88"/>
      <c r="BK104" s="88"/>
      <c r="BL104" s="88"/>
      <c r="BM104" s="88"/>
      <c r="BN104" s="89"/>
      <c r="BO104" s="5"/>
      <c r="BP104" s="5"/>
      <c r="BQ104" s="5"/>
      <c r="BR104" s="5"/>
      <c r="BS104" s="5"/>
      <c r="BT104" s="5"/>
    </row>
    <row r="105" spans="1:72" ht="20.100000000000001" hidden="1" customHeight="1" thickBot="1">
      <c r="A105" s="63"/>
      <c r="B105" s="384" t="str">
        <f>IF(ISBLANK(A105),IF(Values!D308&lt;&gt;0,Values!D308,""),A105)</f>
        <v/>
      </c>
      <c r="C105" s="384"/>
      <c r="D105" s="384"/>
      <c r="E105" s="384"/>
      <c r="F105" s="384"/>
      <c r="G105" s="384"/>
      <c r="H105" s="384"/>
      <c r="I105" s="384"/>
      <c r="J105" s="384"/>
      <c r="K105" s="384"/>
      <c r="L105" s="384"/>
      <c r="M105" s="384"/>
      <c r="N105" s="384"/>
      <c r="O105" s="384"/>
      <c r="P105" s="384"/>
      <c r="Q105" s="384"/>
      <c r="R105" s="384"/>
      <c r="S105" s="384"/>
      <c r="T105" s="63"/>
      <c r="U105" s="384" t="str">
        <f>IF(ISBLANK(T105),IF(Values!E308&lt;&gt;0,Values!E308,""),T105)</f>
        <v/>
      </c>
      <c r="V105" s="384"/>
      <c r="W105" s="384"/>
      <c r="X105" s="384"/>
      <c r="Y105" s="384"/>
      <c r="Z105" s="63"/>
      <c r="AA105" s="384" t="str">
        <f>IF(ISBLANK(Z105),IF(Values!D322&lt;&gt;0,Values!D322,""),Z105)</f>
        <v/>
      </c>
      <c r="AB105" s="384"/>
      <c r="AC105" s="384"/>
      <c r="AD105" s="384"/>
      <c r="AE105" s="384"/>
      <c r="AF105" s="384"/>
      <c r="AG105" s="384"/>
      <c r="AH105" s="384"/>
      <c r="AI105" s="384"/>
      <c r="AJ105" s="384"/>
      <c r="AK105" s="384"/>
      <c r="AL105" s="384"/>
      <c r="AM105" s="384"/>
      <c r="AN105" s="384"/>
      <c r="AO105" s="384"/>
      <c r="AP105" s="384"/>
      <c r="AQ105" s="384"/>
      <c r="AR105" s="384"/>
      <c r="AS105" s="63"/>
      <c r="AT105" s="384" t="str">
        <f>IF(ISBLANK(AS105),IF(Values!E322&lt;&gt;0,Values!E322,""),AS105)</f>
        <v/>
      </c>
      <c r="AU105" s="384"/>
      <c r="AV105" s="384"/>
      <c r="AW105" s="384"/>
      <c r="AX105" s="384"/>
      <c r="AY105" s="10"/>
      <c r="AZ105" s="5"/>
      <c r="BA105" s="90"/>
      <c r="BB105" s="91"/>
      <c r="BC105" s="91"/>
      <c r="BD105" s="91"/>
      <c r="BE105" s="91"/>
      <c r="BF105" s="91"/>
      <c r="BG105" s="91"/>
      <c r="BH105" s="91"/>
      <c r="BI105" s="91"/>
      <c r="BJ105" s="91"/>
      <c r="BK105" s="91"/>
      <c r="BL105" s="91"/>
      <c r="BM105" s="91"/>
      <c r="BN105" s="92"/>
      <c r="BO105" s="5"/>
      <c r="BP105" s="5"/>
      <c r="BQ105" s="5"/>
      <c r="BR105" s="5"/>
      <c r="BS105" s="5"/>
      <c r="BT105" s="5"/>
    </row>
    <row r="106" spans="1:72" ht="20.100000000000001" customHeight="1">
      <c r="A106" s="5"/>
      <c r="B106" s="5"/>
      <c r="C106" s="5"/>
      <c r="D106" s="5"/>
      <c r="E106" s="5"/>
      <c r="F106" s="5"/>
      <c r="G106" s="5"/>
      <c r="H106" s="5"/>
      <c r="I106" s="5"/>
      <c r="J106" s="5"/>
      <c r="K106" s="5"/>
      <c r="L106" s="5"/>
      <c r="M106" s="5"/>
      <c r="N106" s="5"/>
      <c r="O106" s="5"/>
      <c r="P106" s="5"/>
      <c r="Q106" s="5"/>
      <c r="R106" s="5"/>
      <c r="S106" s="5"/>
      <c r="T106" s="5"/>
      <c r="U106" s="5"/>
      <c r="V106" s="5"/>
      <c r="W106" s="385" t="s">
        <v>3166</v>
      </c>
      <c r="X106" s="385"/>
      <c r="Y106" s="385"/>
      <c r="Z106" s="385"/>
      <c r="AA106" s="385"/>
      <c r="AB106" s="385"/>
      <c r="AC106" s="385"/>
      <c r="AD106" s="5"/>
      <c r="AE106" s="5"/>
      <c r="AF106" s="5"/>
      <c r="AG106" s="5"/>
      <c r="AH106" s="5"/>
      <c r="AI106" s="6"/>
      <c r="AJ106" s="5"/>
      <c r="AK106" s="5"/>
      <c r="AL106" s="5"/>
      <c r="AM106" s="5"/>
      <c r="AN106" s="5"/>
      <c r="AO106" s="5"/>
      <c r="AP106" s="5"/>
      <c r="AQ106" s="5"/>
      <c r="AR106" s="5"/>
      <c r="AS106" s="5"/>
      <c r="AT106" s="5"/>
      <c r="AU106" s="5"/>
      <c r="AV106" s="5"/>
      <c r="AW106" s="5"/>
      <c r="AX106" s="5"/>
      <c r="AY106" s="7"/>
      <c r="AZ106" s="5"/>
      <c r="BA106" s="5"/>
      <c r="BB106" s="5"/>
      <c r="BC106" s="5"/>
      <c r="BD106" s="5"/>
      <c r="BE106" s="5"/>
      <c r="BF106" s="5"/>
      <c r="BG106" s="5"/>
      <c r="BH106" s="5"/>
      <c r="BI106" s="5"/>
      <c r="BJ106" s="5"/>
      <c r="BK106" s="5"/>
      <c r="BL106" s="5"/>
      <c r="BM106" s="5"/>
      <c r="BN106" s="5"/>
      <c r="BO106" s="5"/>
      <c r="BP106" s="5"/>
      <c r="BQ106" s="5"/>
      <c r="BR106" s="5"/>
      <c r="BS106" s="5"/>
      <c r="BT106" s="5"/>
    </row>
    <row r="107" spans="1:72" ht="20.100000000000001" customHeight="1">
      <c r="A107" s="63"/>
      <c r="B107" s="5"/>
      <c r="C107" s="5"/>
      <c r="D107" s="5"/>
      <c r="E107" s="5"/>
      <c r="F107" s="5"/>
      <c r="G107" s="5"/>
      <c r="H107" s="5"/>
      <c r="I107" s="5"/>
      <c r="J107" s="5"/>
      <c r="K107" s="5"/>
      <c r="L107" s="5"/>
      <c r="M107" s="5"/>
      <c r="N107" s="5"/>
      <c r="O107" s="5"/>
      <c r="P107" s="5"/>
      <c r="Q107" s="5"/>
      <c r="R107" s="5"/>
      <c r="S107" s="5"/>
      <c r="T107" s="5"/>
      <c r="U107" s="5"/>
      <c r="V107" s="5"/>
      <c r="W107" s="385"/>
      <c r="X107" s="385"/>
      <c r="Y107" s="385"/>
      <c r="Z107" s="385"/>
      <c r="AA107" s="385"/>
      <c r="AB107" s="385"/>
      <c r="AC107" s="385"/>
      <c r="AD107" s="5"/>
      <c r="AE107" s="5"/>
      <c r="AF107" s="5"/>
      <c r="AG107" s="5"/>
      <c r="AH107" s="5"/>
      <c r="AI107" s="5"/>
      <c r="AJ107" s="5"/>
      <c r="AK107" s="5"/>
      <c r="AL107" s="5"/>
      <c r="AM107" s="5"/>
      <c r="AN107" s="5"/>
      <c r="AO107" s="5"/>
      <c r="AP107" s="5"/>
      <c r="AQ107" s="5"/>
      <c r="AR107" s="5"/>
      <c r="AS107" s="5"/>
      <c r="AT107" s="5"/>
      <c r="AU107" s="5"/>
      <c r="AV107" s="5"/>
      <c r="AW107" s="5"/>
      <c r="AX107" s="5"/>
      <c r="AY107" s="7"/>
      <c r="AZ107" s="5"/>
      <c r="BA107" s="5"/>
      <c r="BB107" s="5"/>
      <c r="BC107" s="5"/>
      <c r="BD107" s="5"/>
      <c r="BE107" s="5"/>
      <c r="BF107" s="5"/>
      <c r="BG107" s="5"/>
      <c r="BH107" s="5"/>
      <c r="BI107" s="5"/>
      <c r="BJ107" s="5"/>
      <c r="BK107" s="5"/>
      <c r="BL107" s="5"/>
      <c r="BM107" s="5"/>
      <c r="BN107" s="5"/>
      <c r="BO107" s="5"/>
      <c r="BP107" s="5"/>
      <c r="BQ107" s="5"/>
      <c r="BR107" s="5"/>
      <c r="BS107" s="5"/>
      <c r="BT107" s="5"/>
    </row>
    <row r="108" spans="1:72" ht="20.100000000000001" customHeight="1">
      <c r="A108" s="386" t="str">
        <f>IF(ISBLANK(A107),IF(Values!D325&lt;&gt;0,Values!D325,""),A107)</f>
        <v/>
      </c>
      <c r="B108" s="386"/>
      <c r="C108" s="386"/>
      <c r="D108" s="386"/>
      <c r="E108" s="386"/>
      <c r="F108" s="386"/>
      <c r="G108" s="386"/>
      <c r="H108" s="386"/>
      <c r="I108" s="386"/>
      <c r="J108" s="386"/>
      <c r="K108" s="386"/>
      <c r="L108" s="386"/>
      <c r="M108" s="386"/>
      <c r="N108" s="386"/>
      <c r="O108" s="386"/>
      <c r="P108" s="386"/>
      <c r="Q108" s="386"/>
      <c r="R108" s="386"/>
      <c r="S108" s="386"/>
      <c r="T108" s="386"/>
      <c r="U108" s="386"/>
      <c r="V108" s="386"/>
      <c r="W108" s="386"/>
      <c r="X108" s="386"/>
      <c r="Y108" s="386"/>
      <c r="Z108" s="386"/>
      <c r="AA108" s="386"/>
      <c r="AB108" s="386"/>
      <c r="AC108" s="386"/>
      <c r="AD108" s="386"/>
      <c r="AE108" s="386"/>
      <c r="AF108" s="386"/>
      <c r="AG108" s="386"/>
      <c r="AH108" s="386"/>
      <c r="AI108" s="386"/>
      <c r="AJ108" s="386"/>
      <c r="AK108" s="386"/>
      <c r="AL108" s="386"/>
      <c r="AM108" s="386"/>
      <c r="AN108" s="386"/>
      <c r="AO108" s="386"/>
      <c r="AP108" s="386"/>
      <c r="AQ108" s="386"/>
      <c r="AR108" s="386"/>
      <c r="AS108" s="386"/>
      <c r="AT108" s="386"/>
      <c r="AU108" s="386"/>
      <c r="AV108" s="386"/>
      <c r="AW108" s="386"/>
      <c r="AX108" s="386"/>
      <c r="AY108" s="387"/>
      <c r="AZ108" s="5"/>
      <c r="BA108" s="5"/>
      <c r="BB108" s="5"/>
      <c r="BC108" s="5"/>
      <c r="BD108" s="5"/>
      <c r="BE108" s="5"/>
      <c r="BF108" s="5"/>
      <c r="BG108" s="5"/>
      <c r="BH108" s="5"/>
      <c r="BI108" s="5"/>
      <c r="BJ108" s="5"/>
      <c r="BK108" s="5"/>
      <c r="BL108" s="5"/>
      <c r="BM108" s="5"/>
      <c r="BN108" s="5"/>
      <c r="BO108" s="5"/>
      <c r="BP108" s="5"/>
      <c r="BQ108" s="5"/>
      <c r="BR108" s="5"/>
      <c r="BS108" s="5"/>
      <c r="BT108" s="5"/>
    </row>
    <row r="109" spans="1:72" ht="20.100000000000001" customHeight="1">
      <c r="A109" s="386"/>
      <c r="B109" s="386"/>
      <c r="C109" s="386"/>
      <c r="D109" s="386"/>
      <c r="E109" s="386"/>
      <c r="F109" s="386"/>
      <c r="G109" s="386"/>
      <c r="H109" s="386"/>
      <c r="I109" s="386"/>
      <c r="J109" s="386"/>
      <c r="K109" s="386"/>
      <c r="L109" s="386"/>
      <c r="M109" s="386"/>
      <c r="N109" s="386"/>
      <c r="O109" s="386"/>
      <c r="P109" s="386"/>
      <c r="Q109" s="386"/>
      <c r="R109" s="386"/>
      <c r="S109" s="386"/>
      <c r="T109" s="386"/>
      <c r="U109" s="386"/>
      <c r="V109" s="386"/>
      <c r="W109" s="386"/>
      <c r="X109" s="386"/>
      <c r="Y109" s="386"/>
      <c r="Z109" s="386"/>
      <c r="AA109" s="386"/>
      <c r="AB109" s="386"/>
      <c r="AC109" s="386"/>
      <c r="AD109" s="386"/>
      <c r="AE109" s="386"/>
      <c r="AF109" s="386"/>
      <c r="AG109" s="386"/>
      <c r="AH109" s="386"/>
      <c r="AI109" s="386"/>
      <c r="AJ109" s="386"/>
      <c r="AK109" s="386"/>
      <c r="AL109" s="386"/>
      <c r="AM109" s="386"/>
      <c r="AN109" s="386"/>
      <c r="AO109" s="386"/>
      <c r="AP109" s="386"/>
      <c r="AQ109" s="386"/>
      <c r="AR109" s="386"/>
      <c r="AS109" s="386"/>
      <c r="AT109" s="386"/>
      <c r="AU109" s="386"/>
      <c r="AV109" s="386"/>
      <c r="AW109" s="386"/>
      <c r="AX109" s="386"/>
      <c r="AY109" s="387"/>
      <c r="AZ109" s="5"/>
      <c r="BA109" s="5"/>
      <c r="BB109" s="5"/>
      <c r="BC109" s="5"/>
      <c r="BD109" s="5"/>
      <c r="BE109" s="5"/>
      <c r="BF109" s="5"/>
      <c r="BG109" s="5"/>
      <c r="BH109" s="5"/>
      <c r="BI109" s="5"/>
      <c r="BJ109" s="5"/>
      <c r="BK109" s="5"/>
      <c r="BL109" s="5"/>
      <c r="BM109" s="5"/>
      <c r="BN109" s="5"/>
      <c r="BO109" s="5"/>
      <c r="BP109" s="5"/>
      <c r="BQ109" s="5"/>
      <c r="BR109" s="5"/>
      <c r="BS109" s="5"/>
      <c r="BT109" s="5"/>
    </row>
    <row r="110" spans="1:72" ht="20.100000000000001" customHeight="1">
      <c r="A110" s="386"/>
      <c r="B110" s="386"/>
      <c r="C110" s="386"/>
      <c r="D110" s="386"/>
      <c r="E110" s="386"/>
      <c r="F110" s="386"/>
      <c r="G110" s="386"/>
      <c r="H110" s="386"/>
      <c r="I110" s="386"/>
      <c r="J110" s="386"/>
      <c r="K110" s="386"/>
      <c r="L110" s="386"/>
      <c r="M110" s="386"/>
      <c r="N110" s="386"/>
      <c r="O110" s="386"/>
      <c r="P110" s="386"/>
      <c r="Q110" s="386"/>
      <c r="R110" s="386"/>
      <c r="S110" s="386"/>
      <c r="T110" s="386"/>
      <c r="U110" s="386"/>
      <c r="V110" s="386"/>
      <c r="W110" s="386"/>
      <c r="X110" s="386"/>
      <c r="Y110" s="386"/>
      <c r="Z110" s="386"/>
      <c r="AA110" s="386"/>
      <c r="AB110" s="386"/>
      <c r="AC110" s="386"/>
      <c r="AD110" s="386"/>
      <c r="AE110" s="386"/>
      <c r="AF110" s="386"/>
      <c r="AG110" s="386"/>
      <c r="AH110" s="386"/>
      <c r="AI110" s="386"/>
      <c r="AJ110" s="386"/>
      <c r="AK110" s="386"/>
      <c r="AL110" s="386"/>
      <c r="AM110" s="386"/>
      <c r="AN110" s="386"/>
      <c r="AO110" s="386"/>
      <c r="AP110" s="386"/>
      <c r="AQ110" s="386"/>
      <c r="AR110" s="386"/>
      <c r="AS110" s="386"/>
      <c r="AT110" s="386"/>
      <c r="AU110" s="386"/>
      <c r="AV110" s="386"/>
      <c r="AW110" s="386"/>
      <c r="AX110" s="386"/>
      <c r="AY110" s="387"/>
      <c r="AZ110" s="5"/>
      <c r="BA110" s="5"/>
      <c r="BB110" s="5"/>
      <c r="BC110" s="5"/>
      <c r="BD110" s="5"/>
      <c r="BE110" s="5"/>
      <c r="BF110" s="5"/>
      <c r="BG110" s="5"/>
      <c r="BH110" s="5"/>
      <c r="BI110" s="5"/>
      <c r="BJ110" s="5"/>
      <c r="BK110" s="5"/>
      <c r="BL110" s="5"/>
      <c r="BM110" s="5"/>
      <c r="BN110" s="5"/>
      <c r="BO110" s="5"/>
      <c r="BP110" s="5"/>
      <c r="BQ110" s="5"/>
      <c r="BR110" s="5"/>
      <c r="BS110" s="5"/>
      <c r="BT110" s="5"/>
    </row>
    <row r="111" spans="1:72" ht="20.100000000000001" customHeight="1">
      <c r="A111" s="386"/>
      <c r="B111" s="386"/>
      <c r="C111" s="386"/>
      <c r="D111" s="386"/>
      <c r="E111" s="386"/>
      <c r="F111" s="386"/>
      <c r="G111" s="386"/>
      <c r="H111" s="386"/>
      <c r="I111" s="386"/>
      <c r="J111" s="386"/>
      <c r="K111" s="386"/>
      <c r="L111" s="386"/>
      <c r="M111" s="386"/>
      <c r="N111" s="386"/>
      <c r="O111" s="386"/>
      <c r="P111" s="386"/>
      <c r="Q111" s="386"/>
      <c r="R111" s="386"/>
      <c r="S111" s="386"/>
      <c r="T111" s="386"/>
      <c r="U111" s="386"/>
      <c r="V111" s="386"/>
      <c r="W111" s="386"/>
      <c r="X111" s="386"/>
      <c r="Y111" s="386"/>
      <c r="Z111" s="386"/>
      <c r="AA111" s="386"/>
      <c r="AB111" s="386"/>
      <c r="AC111" s="386"/>
      <c r="AD111" s="386"/>
      <c r="AE111" s="386"/>
      <c r="AF111" s="386"/>
      <c r="AG111" s="386"/>
      <c r="AH111" s="386"/>
      <c r="AI111" s="386"/>
      <c r="AJ111" s="386"/>
      <c r="AK111" s="386"/>
      <c r="AL111" s="386"/>
      <c r="AM111" s="386"/>
      <c r="AN111" s="386"/>
      <c r="AO111" s="386"/>
      <c r="AP111" s="386"/>
      <c r="AQ111" s="386"/>
      <c r="AR111" s="386"/>
      <c r="AS111" s="386"/>
      <c r="AT111" s="386"/>
      <c r="AU111" s="386"/>
      <c r="AV111" s="386"/>
      <c r="AW111" s="386"/>
      <c r="AX111" s="386"/>
      <c r="AY111" s="387"/>
      <c r="AZ111" s="5"/>
      <c r="BA111" s="5"/>
      <c r="BB111" s="5"/>
      <c r="BC111" s="5"/>
      <c r="BD111" s="5"/>
      <c r="BE111" s="5"/>
      <c r="BF111" s="5"/>
      <c r="BG111" s="5"/>
      <c r="BH111" s="5"/>
      <c r="BI111" s="5"/>
      <c r="BJ111" s="5"/>
      <c r="BK111" s="5"/>
      <c r="BL111" s="5"/>
      <c r="BM111" s="5"/>
      <c r="BN111" s="5"/>
      <c r="BO111" s="5"/>
      <c r="BP111" s="5"/>
      <c r="BQ111" s="5"/>
      <c r="BR111" s="5"/>
      <c r="BS111" s="5"/>
      <c r="BT111" s="5"/>
    </row>
    <row r="112" spans="1:72" ht="20.100000000000001" customHeight="1">
      <c r="A112" s="386"/>
      <c r="B112" s="386"/>
      <c r="C112" s="386"/>
      <c r="D112" s="386"/>
      <c r="E112" s="386"/>
      <c r="F112" s="386"/>
      <c r="G112" s="386"/>
      <c r="H112" s="386"/>
      <c r="I112" s="386"/>
      <c r="J112" s="386"/>
      <c r="K112" s="386"/>
      <c r="L112" s="386"/>
      <c r="M112" s="386"/>
      <c r="N112" s="386"/>
      <c r="O112" s="386"/>
      <c r="P112" s="386"/>
      <c r="Q112" s="386"/>
      <c r="R112" s="386"/>
      <c r="S112" s="386"/>
      <c r="T112" s="386"/>
      <c r="U112" s="386"/>
      <c r="V112" s="386"/>
      <c r="W112" s="386"/>
      <c r="X112" s="386"/>
      <c r="Y112" s="386"/>
      <c r="Z112" s="386"/>
      <c r="AA112" s="386"/>
      <c r="AB112" s="386"/>
      <c r="AC112" s="386"/>
      <c r="AD112" s="386"/>
      <c r="AE112" s="386"/>
      <c r="AF112" s="386"/>
      <c r="AG112" s="386"/>
      <c r="AH112" s="386"/>
      <c r="AI112" s="386"/>
      <c r="AJ112" s="386"/>
      <c r="AK112" s="386"/>
      <c r="AL112" s="386"/>
      <c r="AM112" s="386"/>
      <c r="AN112" s="386"/>
      <c r="AO112" s="386"/>
      <c r="AP112" s="386"/>
      <c r="AQ112" s="386"/>
      <c r="AR112" s="386"/>
      <c r="AS112" s="386"/>
      <c r="AT112" s="386"/>
      <c r="AU112" s="386"/>
      <c r="AV112" s="386"/>
      <c r="AW112" s="386"/>
      <c r="AX112" s="386"/>
      <c r="AY112" s="387"/>
      <c r="AZ112" s="5"/>
      <c r="BA112" s="5"/>
      <c r="BB112" s="5"/>
      <c r="BC112" s="5"/>
      <c r="BD112" s="5"/>
      <c r="BE112" s="5"/>
      <c r="BF112" s="5"/>
      <c r="BG112" s="5"/>
      <c r="BH112" s="5"/>
      <c r="BI112" s="5"/>
      <c r="BJ112" s="5"/>
      <c r="BK112" s="5"/>
      <c r="BL112" s="5"/>
      <c r="BM112" s="5"/>
      <c r="BN112" s="5"/>
      <c r="BO112" s="5"/>
      <c r="BP112" s="5"/>
      <c r="BQ112" s="5"/>
      <c r="BR112" s="5"/>
      <c r="BS112" s="5"/>
      <c r="BT112" s="5"/>
    </row>
    <row r="113" spans="1:72" ht="20.100000000000001" customHeight="1">
      <c r="A113" s="386"/>
      <c r="B113" s="386"/>
      <c r="C113" s="386"/>
      <c r="D113" s="386"/>
      <c r="E113" s="386"/>
      <c r="F113" s="386"/>
      <c r="G113" s="386"/>
      <c r="H113" s="386"/>
      <c r="I113" s="386"/>
      <c r="J113" s="386"/>
      <c r="K113" s="386"/>
      <c r="L113" s="386"/>
      <c r="M113" s="386"/>
      <c r="N113" s="386"/>
      <c r="O113" s="386"/>
      <c r="P113" s="386"/>
      <c r="Q113" s="386"/>
      <c r="R113" s="386"/>
      <c r="S113" s="386"/>
      <c r="T113" s="386"/>
      <c r="U113" s="386"/>
      <c r="V113" s="386"/>
      <c r="W113" s="386"/>
      <c r="X113" s="386"/>
      <c r="Y113" s="386"/>
      <c r="Z113" s="386"/>
      <c r="AA113" s="386"/>
      <c r="AB113" s="386"/>
      <c r="AC113" s="386"/>
      <c r="AD113" s="386"/>
      <c r="AE113" s="386"/>
      <c r="AF113" s="386"/>
      <c r="AG113" s="386"/>
      <c r="AH113" s="386"/>
      <c r="AI113" s="386"/>
      <c r="AJ113" s="386"/>
      <c r="AK113" s="386"/>
      <c r="AL113" s="386"/>
      <c r="AM113" s="386"/>
      <c r="AN113" s="386"/>
      <c r="AO113" s="386"/>
      <c r="AP113" s="386"/>
      <c r="AQ113" s="386"/>
      <c r="AR113" s="386"/>
      <c r="AS113" s="386"/>
      <c r="AT113" s="386"/>
      <c r="AU113" s="386"/>
      <c r="AV113" s="386"/>
      <c r="AW113" s="386"/>
      <c r="AX113" s="386"/>
      <c r="AY113" s="387"/>
      <c r="AZ113" s="5"/>
      <c r="BA113" s="5"/>
      <c r="BB113" s="5"/>
      <c r="BC113" s="5"/>
      <c r="BD113" s="5"/>
      <c r="BE113" s="5"/>
      <c r="BF113" s="5"/>
      <c r="BG113" s="5"/>
      <c r="BH113" s="5"/>
      <c r="BI113" s="5"/>
      <c r="BJ113" s="5"/>
      <c r="BK113" s="5"/>
      <c r="BL113" s="5"/>
      <c r="BM113" s="5"/>
      <c r="BN113" s="5"/>
      <c r="BO113" s="5"/>
      <c r="BP113" s="5"/>
      <c r="BQ113" s="5"/>
      <c r="BR113" s="5"/>
      <c r="BS113" s="5"/>
      <c r="BT113" s="5"/>
    </row>
    <row r="114" spans="1:72" ht="20.100000000000001" customHeight="1">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c r="AY114" s="7"/>
      <c r="AZ114" s="5"/>
      <c r="BA114" s="5"/>
      <c r="BB114" s="5"/>
      <c r="BC114" s="5"/>
      <c r="BD114" s="5"/>
      <c r="BE114" s="5"/>
      <c r="BF114" s="5"/>
      <c r="BG114" s="5"/>
      <c r="BH114" s="5"/>
      <c r="BI114" s="5"/>
      <c r="BJ114" s="5"/>
      <c r="BK114" s="5"/>
      <c r="BL114" s="5"/>
      <c r="BM114" s="5"/>
      <c r="BN114" s="5"/>
      <c r="BO114" s="5"/>
      <c r="BP114" s="5"/>
      <c r="BQ114" s="5"/>
      <c r="BR114" s="5"/>
      <c r="BS114" s="5"/>
      <c r="BT114" s="5"/>
    </row>
    <row r="115" spans="1:72" ht="20.100000000000001" customHeight="1" thickBot="1">
      <c r="A115" s="5"/>
      <c r="B115" s="5"/>
      <c r="C115" s="5"/>
      <c r="D115" s="5"/>
      <c r="E115" s="5"/>
      <c r="F115" s="5"/>
      <c r="G115" s="5"/>
      <c r="H115" s="5"/>
      <c r="I115" s="5"/>
      <c r="J115" s="5"/>
      <c r="K115" s="5"/>
      <c r="L115" s="5"/>
      <c r="M115" s="5"/>
      <c r="N115" s="5"/>
      <c r="O115" s="5"/>
      <c r="P115" s="5"/>
      <c r="R115" s="5"/>
      <c r="S115" s="5"/>
      <c r="T115" s="5"/>
      <c r="U115" s="5"/>
      <c r="V115" s="383" t="s">
        <v>3470</v>
      </c>
      <c r="W115" s="383"/>
      <c r="X115" s="383"/>
      <c r="Y115" s="383"/>
      <c r="Z115" s="383"/>
      <c r="AA115" s="5"/>
      <c r="AB115" s="5"/>
      <c r="AC115" s="5"/>
      <c r="AD115" s="5"/>
      <c r="AE115" s="5"/>
      <c r="AF115" s="5"/>
      <c r="AG115" s="5"/>
      <c r="AH115" s="5"/>
      <c r="AI115" s="6"/>
      <c r="AJ115" s="5"/>
      <c r="AK115" s="5"/>
      <c r="AL115" s="5"/>
      <c r="AM115" s="5"/>
      <c r="AN115" s="5"/>
      <c r="AO115" s="5"/>
      <c r="AP115" s="5"/>
      <c r="AQ115" s="5"/>
      <c r="AR115" s="5"/>
      <c r="AS115" s="5"/>
      <c r="AT115" s="5"/>
      <c r="AU115" s="5"/>
      <c r="AV115" s="5"/>
      <c r="AW115" s="5"/>
      <c r="AX115" s="5"/>
      <c r="AY115" s="7"/>
      <c r="AZ115" s="5"/>
      <c r="BA115" s="5"/>
      <c r="BB115" s="5"/>
      <c r="BC115" s="5"/>
      <c r="BD115" s="5"/>
      <c r="BE115" s="5"/>
      <c r="BF115" s="5"/>
      <c r="BG115" s="5"/>
      <c r="BH115" s="5"/>
      <c r="BI115" s="5"/>
      <c r="BJ115" s="5"/>
      <c r="BK115" s="5"/>
      <c r="BL115" s="5"/>
      <c r="BM115" s="5"/>
      <c r="BN115" s="5"/>
      <c r="BO115" s="5"/>
      <c r="BP115" s="5"/>
      <c r="BQ115" s="5"/>
      <c r="BR115" s="5"/>
      <c r="BS115" s="5"/>
      <c r="BT115" s="5"/>
    </row>
    <row r="116" spans="1:72" ht="20.100000000000001" customHeight="1">
      <c r="A116" s="5"/>
      <c r="B116" s="5"/>
      <c r="C116" s="5"/>
      <c r="D116" s="5"/>
      <c r="E116" s="5"/>
      <c r="F116" s="5"/>
      <c r="G116" s="5"/>
      <c r="H116" s="5"/>
      <c r="I116" s="5"/>
      <c r="J116" s="5"/>
      <c r="K116" s="5"/>
      <c r="L116" s="5"/>
      <c r="M116" s="5"/>
      <c r="N116" s="5"/>
      <c r="O116" s="5"/>
      <c r="P116" s="5"/>
      <c r="Q116" s="5"/>
      <c r="R116" s="5"/>
      <c r="S116" s="5"/>
      <c r="T116" s="5"/>
      <c r="U116" s="5"/>
      <c r="V116" s="383"/>
      <c r="W116" s="383"/>
      <c r="X116" s="383"/>
      <c r="Y116" s="383"/>
      <c r="Z116" s="383"/>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c r="AY116" s="7"/>
      <c r="AZ116" s="5"/>
      <c r="BA116" s="434" t="str">
        <f>$BA$8</f>
        <v>You must go back to Creation_1 to spend your Attributes points properly</v>
      </c>
      <c r="BB116" s="435"/>
      <c r="BC116" s="435"/>
      <c r="BD116" s="435"/>
      <c r="BE116" s="435"/>
      <c r="BF116" s="435"/>
      <c r="BG116" s="435"/>
      <c r="BH116" s="435"/>
      <c r="BI116" s="435"/>
      <c r="BJ116" s="435"/>
      <c r="BK116" s="435"/>
      <c r="BL116" s="435"/>
      <c r="BM116" s="435"/>
      <c r="BN116" s="436"/>
      <c r="BO116" s="5"/>
      <c r="BP116" s="5"/>
      <c r="BQ116" s="5"/>
      <c r="BR116" s="5"/>
      <c r="BS116" s="5"/>
      <c r="BT116" s="5"/>
    </row>
    <row r="117" spans="1:72" ht="20.100000000000001" customHeight="1" thickBot="1">
      <c r="A117" s="5"/>
      <c r="B117" s="382" t="s">
        <v>252</v>
      </c>
      <c r="C117" s="382"/>
      <c r="D117" s="382"/>
      <c r="E117" s="382"/>
      <c r="F117" s="382"/>
      <c r="G117" s="5"/>
      <c r="H117" s="382" t="s">
        <v>3164</v>
      </c>
      <c r="I117" s="382"/>
      <c r="J117" s="382"/>
      <c r="K117" s="382"/>
      <c r="L117" s="382"/>
      <c r="M117" s="5"/>
      <c r="N117" s="382" t="s">
        <v>80</v>
      </c>
      <c r="O117" s="382"/>
      <c r="P117" s="382"/>
      <c r="Q117" s="382"/>
      <c r="R117" s="382"/>
      <c r="S117" s="382"/>
      <c r="T117" s="382"/>
      <c r="U117" s="382"/>
      <c r="V117" s="382"/>
      <c r="W117" s="382"/>
      <c r="X117" s="382"/>
      <c r="Y117" s="382"/>
      <c r="Z117" s="382"/>
      <c r="AA117" s="382"/>
      <c r="AB117" s="5"/>
      <c r="AC117" s="382" t="s">
        <v>81</v>
      </c>
      <c r="AD117" s="382"/>
      <c r="AE117" s="382"/>
      <c r="AF117" s="382"/>
      <c r="AG117" s="382"/>
      <c r="AH117" s="5"/>
      <c r="AI117" s="382" t="s">
        <v>82</v>
      </c>
      <c r="AJ117" s="382"/>
      <c r="AK117" s="382"/>
      <c r="AL117" s="382"/>
      <c r="AM117" s="5"/>
      <c r="AN117" s="382" t="s">
        <v>83</v>
      </c>
      <c r="AO117" s="382"/>
      <c r="AP117" s="382"/>
      <c r="AQ117" s="382"/>
      <c r="AR117" s="382"/>
      <c r="AS117" s="5"/>
      <c r="AT117" s="382" t="s">
        <v>84</v>
      </c>
      <c r="AU117" s="382"/>
      <c r="AV117" s="5"/>
      <c r="AW117" s="384" t="s">
        <v>85</v>
      </c>
      <c r="AX117" s="384"/>
      <c r="AY117" s="388"/>
      <c r="AZ117" s="5"/>
      <c r="BA117" s="437"/>
      <c r="BB117" s="438"/>
      <c r="BC117" s="438"/>
      <c r="BD117" s="438"/>
      <c r="BE117" s="438"/>
      <c r="BF117" s="438"/>
      <c r="BG117" s="438"/>
      <c r="BH117" s="438"/>
      <c r="BI117" s="438"/>
      <c r="BJ117" s="438"/>
      <c r="BK117" s="438"/>
      <c r="BL117" s="438"/>
      <c r="BM117" s="438"/>
      <c r="BN117" s="439"/>
      <c r="BO117" s="5"/>
      <c r="BP117" s="5"/>
      <c r="BQ117" s="5"/>
      <c r="BR117" s="5"/>
      <c r="BS117" s="5"/>
      <c r="BT117" s="5"/>
    </row>
    <row r="118" spans="1:72" ht="20.100000000000001" customHeight="1">
      <c r="A118" s="376">
        <v>1</v>
      </c>
      <c r="B118" s="378" t="str">
        <f>IF(Creation_1!B118&lt;&gt;0,Creation_1!B118,IFERROR(INDEX(Database_Charms,MATCH($N118,Database_Charms_Names,0),MATCH(B$117,Database_Charms_Values,0)),""))</f>
        <v/>
      </c>
      <c r="C118" s="378"/>
      <c r="D118" s="378"/>
      <c r="E118" s="378"/>
      <c r="F118" s="378"/>
      <c r="G118" s="33"/>
      <c r="H118" s="378" t="str">
        <f>IF(Creation_1!H118&lt;&gt;"",Creation_1!H118,IF(B118&lt;&gt;0,B118,IFERROR(INDEX(Database_Charms,MATCH($N118,Database_Charms_Names,0),MATCH("Ability_Subtype",Database_Charms_Values,0)),"")))</f>
        <v/>
      </c>
      <c r="I118" s="378"/>
      <c r="J118" s="378"/>
      <c r="K118" s="378"/>
      <c r="L118" s="378"/>
      <c r="M118" s="23"/>
      <c r="N118" s="378" t="str">
        <f>IF(Creation_1!N118&lt;&gt;0,Creation_1!N118,"")</f>
        <v/>
      </c>
      <c r="O118" s="378"/>
      <c r="P118" s="378"/>
      <c r="Q118" s="378"/>
      <c r="R118" s="378"/>
      <c r="S118" s="378"/>
      <c r="T118" s="378"/>
      <c r="U118" s="378"/>
      <c r="V118" s="378"/>
      <c r="W118" s="378"/>
      <c r="X118" s="378"/>
      <c r="Y118" s="378"/>
      <c r="Z118" s="378"/>
      <c r="AA118" s="378"/>
      <c r="AB118" s="23"/>
      <c r="AC118" s="302" t="str">
        <f>IFERROR(INDEX(Database_Charms,MATCH($N118,Database_Charms_Names,0),MATCH(AC$117,Database_Charms_Values,0)),"")</f>
        <v/>
      </c>
      <c r="AD118" s="302"/>
      <c r="AE118" s="302"/>
      <c r="AF118" s="302"/>
      <c r="AG118" s="302"/>
      <c r="AH118" s="125"/>
      <c r="AI118" s="302" t="str">
        <f>IFERROR(INDEX(Database_Charms,MATCH($N118,Database_Charms_Names,0),MATCH(AI$117,Database_Charms_Values,0)),"")</f>
        <v/>
      </c>
      <c r="AJ118" s="302"/>
      <c r="AK118" s="302"/>
      <c r="AL118" s="302"/>
      <c r="AM118" s="125"/>
      <c r="AN118" s="302" t="str">
        <f>IFERROR(INDEX(Database_Charms,MATCH($N118,Database_Charms_Names,0),MATCH(AN$117,Database_Charms_Values,0)),"")</f>
        <v/>
      </c>
      <c r="AO118" s="302"/>
      <c r="AP118" s="302"/>
      <c r="AQ118" s="302"/>
      <c r="AR118" s="302"/>
      <c r="AS118" s="125"/>
      <c r="AT118" s="302" t="str">
        <f>IFERROR(INDEX(Database_Charms,MATCH($N118,Database_Charms_Names,0),MATCH(AT$117,Database_Charms_Values,0)),"")</f>
        <v/>
      </c>
      <c r="AU118" s="302"/>
      <c r="AV118" s="125"/>
      <c r="AW118" s="302" t="str">
        <f>IFERROR(INDEX(Database_Charms,MATCH($N118,Database_Charms_Names,0),MATCH(AW$117,Database_Charms_Values,0)),"")</f>
        <v/>
      </c>
      <c r="AX118" s="302"/>
      <c r="AY118" s="307"/>
      <c r="AZ118" s="5"/>
      <c r="BA118" s="5"/>
      <c r="BB118" s="5"/>
      <c r="BC118" s="5"/>
      <c r="BD118" s="5"/>
      <c r="BE118" s="5"/>
      <c r="BF118" s="5"/>
      <c r="BG118" s="5"/>
      <c r="BH118" s="5"/>
      <c r="BI118" s="5"/>
      <c r="BJ118" s="5"/>
      <c r="BK118" s="5"/>
      <c r="BL118" s="5"/>
      <c r="BM118" s="5"/>
      <c r="BN118" s="5"/>
      <c r="BO118" s="5"/>
      <c r="BP118" s="5"/>
      <c r="BQ118" s="5"/>
      <c r="BR118" s="5"/>
      <c r="BS118" s="5"/>
      <c r="BT118" s="5"/>
    </row>
    <row r="119" spans="1:72" ht="20.100000000000001" customHeight="1">
      <c r="A119" s="377"/>
      <c r="B119" s="372" t="str">
        <f>IF(Creation_1!B119="",IFERROR(INDEX(Database_Charms,MATCH($N118,Database_Charms_Names,0),MATCH(Charms!$S$1,Database_Charms_Values,0)),""),Creation_1!B119)</f>
        <v/>
      </c>
      <c r="C119" s="372"/>
      <c r="D119" s="372"/>
      <c r="E119" s="372"/>
      <c r="F119" s="372"/>
      <c r="G119" s="372"/>
      <c r="H119" s="372"/>
      <c r="I119" s="372"/>
      <c r="J119" s="372"/>
      <c r="K119" s="372"/>
      <c r="L119" s="372"/>
      <c r="M119" s="372"/>
      <c r="N119" s="372"/>
      <c r="O119" s="372"/>
      <c r="P119" s="372"/>
      <c r="Q119" s="372"/>
      <c r="R119" s="372"/>
      <c r="S119" s="372"/>
      <c r="T119" s="372"/>
      <c r="U119" s="372"/>
      <c r="V119" s="372"/>
      <c r="W119" s="372"/>
      <c r="X119" s="372"/>
      <c r="Y119" s="372"/>
      <c r="Z119" s="372"/>
      <c r="AA119" s="372"/>
      <c r="AB119" s="372"/>
      <c r="AC119" s="372"/>
      <c r="AD119" s="372"/>
      <c r="AE119" s="372"/>
      <c r="AF119" s="372"/>
      <c r="AG119" s="372"/>
      <c r="AH119" s="372"/>
      <c r="AI119" s="372"/>
      <c r="AJ119" s="372"/>
      <c r="AK119" s="372"/>
      <c r="AL119" s="372"/>
      <c r="AM119" s="372"/>
      <c r="AN119" s="372"/>
      <c r="AO119" s="372"/>
      <c r="AP119" s="372"/>
      <c r="AQ119" s="372"/>
      <c r="AR119" s="372"/>
      <c r="AS119" s="372"/>
      <c r="AT119" s="372"/>
      <c r="AU119" s="372"/>
      <c r="AV119" s="372"/>
      <c r="AW119" s="372"/>
      <c r="AX119" s="372"/>
      <c r="AY119" s="373"/>
      <c r="AZ119" s="5"/>
      <c r="BA119" s="5"/>
      <c r="BB119" s="5"/>
      <c r="BC119" s="5"/>
      <c r="BD119" s="5"/>
      <c r="BE119" s="5"/>
      <c r="BF119" s="5"/>
      <c r="BG119" s="5"/>
      <c r="BH119" s="5"/>
      <c r="BI119" s="5"/>
      <c r="BJ119" s="5"/>
      <c r="BK119" s="5"/>
      <c r="BL119" s="5"/>
      <c r="BM119" s="5"/>
      <c r="BN119" s="5"/>
      <c r="BO119" s="5"/>
      <c r="BP119" s="5"/>
      <c r="BQ119" s="5"/>
      <c r="BR119" s="5"/>
      <c r="BS119" s="5"/>
      <c r="BT119" s="5"/>
    </row>
    <row r="120" spans="1:72" ht="20.100000000000001" customHeight="1">
      <c r="A120" s="379"/>
      <c r="B120" s="374"/>
      <c r="C120" s="374"/>
      <c r="D120" s="374"/>
      <c r="E120" s="374"/>
      <c r="F120" s="374"/>
      <c r="G120" s="374"/>
      <c r="H120" s="374"/>
      <c r="I120" s="374"/>
      <c r="J120" s="374"/>
      <c r="K120" s="374"/>
      <c r="L120" s="374"/>
      <c r="M120" s="374"/>
      <c r="N120" s="374"/>
      <c r="O120" s="374"/>
      <c r="P120" s="374"/>
      <c r="Q120" s="374"/>
      <c r="R120" s="374"/>
      <c r="S120" s="374"/>
      <c r="T120" s="374"/>
      <c r="U120" s="374"/>
      <c r="V120" s="374"/>
      <c r="W120" s="374"/>
      <c r="X120" s="374"/>
      <c r="Y120" s="374"/>
      <c r="Z120" s="374"/>
      <c r="AA120" s="374"/>
      <c r="AB120" s="374"/>
      <c r="AC120" s="374"/>
      <c r="AD120" s="374"/>
      <c r="AE120" s="374"/>
      <c r="AF120" s="374"/>
      <c r="AG120" s="374"/>
      <c r="AH120" s="374"/>
      <c r="AI120" s="374"/>
      <c r="AJ120" s="374"/>
      <c r="AK120" s="374"/>
      <c r="AL120" s="374"/>
      <c r="AM120" s="374"/>
      <c r="AN120" s="374"/>
      <c r="AO120" s="374"/>
      <c r="AP120" s="374"/>
      <c r="AQ120" s="374"/>
      <c r="AR120" s="374"/>
      <c r="AS120" s="374"/>
      <c r="AT120" s="374"/>
      <c r="AU120" s="374"/>
      <c r="AV120" s="374"/>
      <c r="AW120" s="374"/>
      <c r="AX120" s="374"/>
      <c r="AY120" s="375"/>
      <c r="AZ120" s="5"/>
      <c r="BA120" s="5"/>
      <c r="BB120" s="5"/>
      <c r="BC120" s="5"/>
      <c r="BD120" s="5"/>
      <c r="BE120" s="5"/>
      <c r="BF120" s="5"/>
      <c r="BG120" s="5"/>
      <c r="BH120" s="5"/>
      <c r="BI120" s="5"/>
      <c r="BJ120" s="5"/>
      <c r="BK120" s="5"/>
      <c r="BL120" s="5"/>
      <c r="BM120" s="5"/>
      <c r="BN120" s="5"/>
      <c r="BO120" s="5"/>
      <c r="BP120" s="5"/>
      <c r="BQ120" s="5"/>
      <c r="BR120" s="5"/>
      <c r="BS120" s="5"/>
      <c r="BT120" s="5"/>
    </row>
    <row r="121" spans="1:72" ht="20.100000000000001" customHeight="1">
      <c r="A121" s="382">
        <v>2</v>
      </c>
      <c r="B121" s="378" t="str">
        <f>IF(Creation_1!B121&lt;&gt;0,Creation_1!B121,IFERROR(INDEX(Database_Charms,MATCH($N121,Database_Charms_Names,0),MATCH(B$117,Database_Charms_Values,0)),""))</f>
        <v/>
      </c>
      <c r="C121" s="378"/>
      <c r="D121" s="378"/>
      <c r="E121" s="378"/>
      <c r="F121" s="378"/>
      <c r="G121" s="33"/>
      <c r="H121" s="378" t="str">
        <f>IF(Creation_1!H121&lt;&gt;"",Creation_1!H121,IF(B121&lt;&gt;0,B121,IFERROR(INDEX(Database_Charms,MATCH($N121,Database_Charms_Names,0),MATCH("Ability_Subtype",Database_Charms_Values,0)),"")))</f>
        <v/>
      </c>
      <c r="I121" s="378"/>
      <c r="J121" s="378"/>
      <c r="K121" s="378"/>
      <c r="L121" s="378"/>
      <c r="M121" s="23"/>
      <c r="N121" s="378" t="str">
        <f>IF(Creation_1!N121&lt;&gt;0,Creation_1!N121,"")</f>
        <v/>
      </c>
      <c r="O121" s="378"/>
      <c r="P121" s="378"/>
      <c r="Q121" s="378"/>
      <c r="R121" s="378"/>
      <c r="S121" s="378"/>
      <c r="T121" s="378"/>
      <c r="U121" s="378"/>
      <c r="V121" s="378"/>
      <c r="W121" s="378"/>
      <c r="X121" s="378"/>
      <c r="Y121" s="378"/>
      <c r="Z121" s="378"/>
      <c r="AA121" s="378"/>
      <c r="AB121" s="23"/>
      <c r="AC121" s="302" t="str">
        <f>IFERROR(INDEX(Database_Charms,MATCH($N121,Database_Charms_Names,0),MATCH(AC$117,Database_Charms_Values,0)),"")</f>
        <v/>
      </c>
      <c r="AD121" s="302"/>
      <c r="AE121" s="302"/>
      <c r="AF121" s="302"/>
      <c r="AG121" s="302"/>
      <c r="AH121" s="125"/>
      <c r="AI121" s="302" t="str">
        <f>IFERROR(INDEX(Database_Charms,MATCH($N121,Database_Charms_Names,0),MATCH(AI$117,Database_Charms_Values,0)),"")</f>
        <v/>
      </c>
      <c r="AJ121" s="302"/>
      <c r="AK121" s="302"/>
      <c r="AL121" s="302"/>
      <c r="AM121" s="125"/>
      <c r="AN121" s="302" t="str">
        <f>IFERROR(INDEX(Database_Charms,MATCH($N121,Database_Charms_Names,0),MATCH(AN$117,Database_Charms_Values,0)),"")</f>
        <v/>
      </c>
      <c r="AO121" s="302"/>
      <c r="AP121" s="302"/>
      <c r="AQ121" s="302"/>
      <c r="AR121" s="302"/>
      <c r="AS121" s="125"/>
      <c r="AT121" s="302" t="str">
        <f>IFERROR(INDEX(Database_Charms,MATCH($N121,Database_Charms_Names,0),MATCH(AT$117,Database_Charms_Values,0)),"")</f>
        <v/>
      </c>
      <c r="AU121" s="302"/>
      <c r="AV121" s="125"/>
      <c r="AW121" s="302" t="str">
        <f>IFERROR(INDEX(Database_Charms,MATCH($N121,Database_Charms_Names,0),MATCH(AW$117,Database_Charms_Values,0)),"")</f>
        <v/>
      </c>
      <c r="AX121" s="302"/>
      <c r="AY121" s="307"/>
      <c r="AZ121" s="5"/>
      <c r="BA121" s="5"/>
      <c r="BB121" s="5"/>
      <c r="BC121" s="5"/>
      <c r="BD121" s="5"/>
      <c r="BE121" s="5"/>
      <c r="BF121" s="5"/>
      <c r="BG121" s="5"/>
      <c r="BH121" s="5"/>
      <c r="BI121" s="5"/>
      <c r="BJ121" s="5"/>
      <c r="BK121" s="5"/>
      <c r="BL121" s="5"/>
      <c r="BM121" s="5"/>
      <c r="BN121" s="5"/>
      <c r="BO121" s="5"/>
      <c r="BP121" s="5"/>
      <c r="BQ121" s="5"/>
      <c r="BR121" s="5"/>
      <c r="BS121" s="5"/>
      <c r="BT121" s="5"/>
    </row>
    <row r="122" spans="1:72" ht="20.100000000000001" customHeight="1">
      <c r="A122" s="382"/>
      <c r="B122" s="372" t="str">
        <f>IF(Creation_1!B122="",IFERROR(INDEX(Database_Charms,MATCH($N121,Database_Charms_Names,0),MATCH(Charms!$S$1,Database_Charms_Values,0)),""),Creation_1!B122)</f>
        <v/>
      </c>
      <c r="C122" s="372"/>
      <c r="D122" s="372"/>
      <c r="E122" s="372"/>
      <c r="F122" s="372"/>
      <c r="G122" s="372"/>
      <c r="H122" s="372"/>
      <c r="I122" s="372"/>
      <c r="J122" s="372"/>
      <c r="K122" s="372"/>
      <c r="L122" s="372"/>
      <c r="M122" s="372"/>
      <c r="N122" s="372"/>
      <c r="O122" s="372"/>
      <c r="P122" s="372"/>
      <c r="Q122" s="372"/>
      <c r="R122" s="372"/>
      <c r="S122" s="372"/>
      <c r="T122" s="372"/>
      <c r="U122" s="372"/>
      <c r="V122" s="372"/>
      <c r="W122" s="372"/>
      <c r="X122" s="372"/>
      <c r="Y122" s="372"/>
      <c r="Z122" s="372"/>
      <c r="AA122" s="372"/>
      <c r="AB122" s="372"/>
      <c r="AC122" s="372"/>
      <c r="AD122" s="372"/>
      <c r="AE122" s="372"/>
      <c r="AF122" s="372"/>
      <c r="AG122" s="372"/>
      <c r="AH122" s="372"/>
      <c r="AI122" s="372"/>
      <c r="AJ122" s="372"/>
      <c r="AK122" s="372"/>
      <c r="AL122" s="372"/>
      <c r="AM122" s="372"/>
      <c r="AN122" s="372"/>
      <c r="AO122" s="372"/>
      <c r="AP122" s="372"/>
      <c r="AQ122" s="372"/>
      <c r="AR122" s="372"/>
      <c r="AS122" s="372"/>
      <c r="AT122" s="372"/>
      <c r="AU122" s="372"/>
      <c r="AV122" s="372"/>
      <c r="AW122" s="372"/>
      <c r="AX122" s="372"/>
      <c r="AY122" s="373"/>
      <c r="AZ122" s="5"/>
      <c r="BA122" s="5"/>
      <c r="BB122" s="5"/>
      <c r="BC122" s="5"/>
      <c r="BD122" s="5"/>
      <c r="BE122" s="5"/>
      <c r="BF122" s="5"/>
      <c r="BG122" s="5"/>
      <c r="BH122" s="5"/>
      <c r="BI122" s="5"/>
      <c r="BJ122" s="5"/>
      <c r="BK122" s="5"/>
      <c r="BL122" s="5"/>
      <c r="BM122" s="5"/>
      <c r="BN122" s="5"/>
      <c r="BO122" s="5"/>
      <c r="BP122" s="5"/>
      <c r="BQ122" s="5"/>
      <c r="BR122" s="5"/>
      <c r="BS122" s="5"/>
      <c r="BT122" s="5"/>
    </row>
    <row r="123" spans="1:72" ht="20.100000000000001" customHeight="1">
      <c r="A123" s="382"/>
      <c r="B123" s="374"/>
      <c r="C123" s="374"/>
      <c r="D123" s="374"/>
      <c r="E123" s="374"/>
      <c r="F123" s="374"/>
      <c r="G123" s="374"/>
      <c r="H123" s="374"/>
      <c r="I123" s="374"/>
      <c r="J123" s="374"/>
      <c r="K123" s="374"/>
      <c r="L123" s="374"/>
      <c r="M123" s="374"/>
      <c r="N123" s="374"/>
      <c r="O123" s="374"/>
      <c r="P123" s="374"/>
      <c r="Q123" s="374"/>
      <c r="R123" s="374"/>
      <c r="S123" s="374"/>
      <c r="T123" s="374"/>
      <c r="U123" s="374"/>
      <c r="V123" s="374"/>
      <c r="W123" s="374"/>
      <c r="X123" s="374"/>
      <c r="Y123" s="374"/>
      <c r="Z123" s="374"/>
      <c r="AA123" s="374"/>
      <c r="AB123" s="374"/>
      <c r="AC123" s="374"/>
      <c r="AD123" s="374"/>
      <c r="AE123" s="374"/>
      <c r="AF123" s="374"/>
      <c r="AG123" s="374"/>
      <c r="AH123" s="374"/>
      <c r="AI123" s="374"/>
      <c r="AJ123" s="374"/>
      <c r="AK123" s="374"/>
      <c r="AL123" s="374"/>
      <c r="AM123" s="374"/>
      <c r="AN123" s="374"/>
      <c r="AO123" s="374"/>
      <c r="AP123" s="374"/>
      <c r="AQ123" s="374"/>
      <c r="AR123" s="374"/>
      <c r="AS123" s="374"/>
      <c r="AT123" s="374"/>
      <c r="AU123" s="374"/>
      <c r="AV123" s="374"/>
      <c r="AW123" s="374"/>
      <c r="AX123" s="374"/>
      <c r="AY123" s="375"/>
      <c r="AZ123" s="5"/>
      <c r="BA123" s="5"/>
      <c r="BB123" s="5"/>
      <c r="BC123" s="5"/>
      <c r="BD123" s="5"/>
      <c r="BE123" s="5"/>
      <c r="BF123" s="5"/>
      <c r="BG123" s="5"/>
      <c r="BH123" s="5"/>
      <c r="BI123" s="5"/>
      <c r="BJ123" s="5"/>
      <c r="BK123" s="5"/>
      <c r="BL123" s="5"/>
      <c r="BM123" s="5"/>
      <c r="BN123" s="5"/>
      <c r="BO123" s="5"/>
      <c r="BP123" s="5"/>
      <c r="BQ123" s="5"/>
      <c r="BR123" s="5"/>
      <c r="BS123" s="5"/>
      <c r="BT123" s="5"/>
    </row>
    <row r="124" spans="1:72" ht="20.100000000000001" customHeight="1">
      <c r="A124" s="382">
        <v>3</v>
      </c>
      <c r="B124" s="378" t="str">
        <f>IF(Creation_1!B124&lt;&gt;0,Creation_1!B124,IFERROR(INDEX(Database_Charms,MATCH($N124,Database_Charms_Names,0),MATCH(B$117,Database_Charms_Values,0)),""))</f>
        <v/>
      </c>
      <c r="C124" s="378"/>
      <c r="D124" s="378"/>
      <c r="E124" s="378"/>
      <c r="F124" s="378"/>
      <c r="G124" s="33"/>
      <c r="H124" s="378" t="str">
        <f>IF(Creation_1!H124&lt;&gt;"",Creation_1!H124,IF(B124&lt;&gt;0,B124,IFERROR(INDEX(Database_Charms,MATCH($N124,Database_Charms_Names,0),MATCH("Ability_Subtype",Database_Charms_Values,0)),"")))</f>
        <v/>
      </c>
      <c r="I124" s="378"/>
      <c r="J124" s="378"/>
      <c r="K124" s="378"/>
      <c r="L124" s="378"/>
      <c r="M124" s="23"/>
      <c r="N124" s="378" t="str">
        <f>IF(Creation_1!N124&lt;&gt;0,Creation_1!N124,"")</f>
        <v/>
      </c>
      <c r="O124" s="378"/>
      <c r="P124" s="378"/>
      <c r="Q124" s="378"/>
      <c r="R124" s="378"/>
      <c r="S124" s="378"/>
      <c r="T124" s="378"/>
      <c r="U124" s="378"/>
      <c r="V124" s="378"/>
      <c r="W124" s="378"/>
      <c r="X124" s="378"/>
      <c r="Y124" s="378"/>
      <c r="Z124" s="378"/>
      <c r="AA124" s="378"/>
      <c r="AB124" s="23"/>
      <c r="AC124" s="302" t="str">
        <f>IFERROR(INDEX(Database_Charms,MATCH($N124,Database_Charms_Names,0),MATCH(AC$117,Database_Charms_Values,0)),"")</f>
        <v/>
      </c>
      <c r="AD124" s="302"/>
      <c r="AE124" s="302"/>
      <c r="AF124" s="302"/>
      <c r="AG124" s="302"/>
      <c r="AH124" s="125"/>
      <c r="AI124" s="302" t="str">
        <f>IFERROR(INDEX(Database_Charms,MATCH($N124,Database_Charms_Names,0),MATCH(AI$117,Database_Charms_Values,0)),"")</f>
        <v/>
      </c>
      <c r="AJ124" s="302"/>
      <c r="AK124" s="302"/>
      <c r="AL124" s="302"/>
      <c r="AM124" s="125"/>
      <c r="AN124" s="302" t="str">
        <f>IFERROR(INDEX(Database_Charms,MATCH($N124,Database_Charms_Names,0),MATCH(AN$117,Database_Charms_Values,0)),"")</f>
        <v/>
      </c>
      <c r="AO124" s="302"/>
      <c r="AP124" s="302"/>
      <c r="AQ124" s="302"/>
      <c r="AR124" s="302"/>
      <c r="AS124" s="125"/>
      <c r="AT124" s="302" t="str">
        <f>IFERROR(INDEX(Database_Charms,MATCH($N124,Database_Charms_Names,0),MATCH(AT$117,Database_Charms_Values,0)),"")</f>
        <v/>
      </c>
      <c r="AU124" s="302"/>
      <c r="AV124" s="125"/>
      <c r="AW124" s="302" t="str">
        <f>IFERROR(INDEX(Database_Charms,MATCH($N124,Database_Charms_Names,0),MATCH(AW$117,Database_Charms_Values,0)),"")</f>
        <v/>
      </c>
      <c r="AX124" s="302"/>
      <c r="AY124" s="307"/>
      <c r="AZ124" s="5"/>
      <c r="BA124" s="5"/>
      <c r="BB124" s="5"/>
      <c r="BC124" s="5"/>
      <c r="BD124" s="5"/>
      <c r="BE124" s="5"/>
      <c r="BF124" s="5"/>
      <c r="BG124" s="5"/>
      <c r="BH124" s="5"/>
      <c r="BI124" s="5"/>
      <c r="BJ124" s="5"/>
      <c r="BK124" s="5"/>
      <c r="BL124" s="5"/>
      <c r="BM124" s="5"/>
      <c r="BN124" s="5"/>
      <c r="BO124" s="5"/>
      <c r="BP124" s="5"/>
      <c r="BQ124" s="5"/>
      <c r="BR124" s="5"/>
      <c r="BS124" s="5"/>
      <c r="BT124" s="5"/>
    </row>
    <row r="125" spans="1:72" ht="20.100000000000001" customHeight="1">
      <c r="A125" s="382"/>
      <c r="B125" s="372" t="str">
        <f>IF(Creation_1!B125="",IFERROR(INDEX(Database_Charms,MATCH($N124,Database_Charms_Names,0),MATCH(Charms!$S$1,Database_Charms_Values,0)),""),Creation_1!B125)</f>
        <v/>
      </c>
      <c r="C125" s="372"/>
      <c r="D125" s="372"/>
      <c r="E125" s="372"/>
      <c r="F125" s="372"/>
      <c r="G125" s="372"/>
      <c r="H125" s="372"/>
      <c r="I125" s="372"/>
      <c r="J125" s="372"/>
      <c r="K125" s="372"/>
      <c r="L125" s="372"/>
      <c r="M125" s="372"/>
      <c r="N125" s="372"/>
      <c r="O125" s="372"/>
      <c r="P125" s="372"/>
      <c r="Q125" s="372"/>
      <c r="R125" s="372"/>
      <c r="S125" s="372"/>
      <c r="T125" s="372"/>
      <c r="U125" s="372"/>
      <c r="V125" s="372"/>
      <c r="W125" s="372"/>
      <c r="X125" s="372"/>
      <c r="Y125" s="372"/>
      <c r="Z125" s="372"/>
      <c r="AA125" s="372"/>
      <c r="AB125" s="372"/>
      <c r="AC125" s="372"/>
      <c r="AD125" s="372"/>
      <c r="AE125" s="372"/>
      <c r="AF125" s="372"/>
      <c r="AG125" s="372"/>
      <c r="AH125" s="372"/>
      <c r="AI125" s="372"/>
      <c r="AJ125" s="372"/>
      <c r="AK125" s="372"/>
      <c r="AL125" s="372"/>
      <c r="AM125" s="372"/>
      <c r="AN125" s="372"/>
      <c r="AO125" s="372"/>
      <c r="AP125" s="372"/>
      <c r="AQ125" s="372"/>
      <c r="AR125" s="372"/>
      <c r="AS125" s="372"/>
      <c r="AT125" s="372"/>
      <c r="AU125" s="372"/>
      <c r="AV125" s="372"/>
      <c r="AW125" s="372"/>
      <c r="AX125" s="372"/>
      <c r="AY125" s="373"/>
      <c r="AZ125" s="5"/>
      <c r="BA125" s="5"/>
      <c r="BB125" s="5"/>
      <c r="BC125" s="5"/>
      <c r="BD125" s="5"/>
      <c r="BE125" s="5"/>
      <c r="BF125" s="5"/>
      <c r="BG125" s="5"/>
      <c r="BH125" s="5"/>
      <c r="BI125" s="5"/>
      <c r="BJ125" s="5"/>
      <c r="BK125" s="5"/>
      <c r="BL125" s="5"/>
      <c r="BM125" s="5"/>
      <c r="BN125" s="5"/>
      <c r="BO125" s="5"/>
      <c r="BP125" s="5"/>
      <c r="BQ125" s="5"/>
      <c r="BR125" s="5"/>
      <c r="BS125" s="5"/>
      <c r="BT125" s="5"/>
    </row>
    <row r="126" spans="1:72" ht="20.100000000000001" customHeight="1">
      <c r="A126" s="382"/>
      <c r="B126" s="374"/>
      <c r="C126" s="374"/>
      <c r="D126" s="374"/>
      <c r="E126" s="374"/>
      <c r="F126" s="374"/>
      <c r="G126" s="374"/>
      <c r="H126" s="374"/>
      <c r="I126" s="374"/>
      <c r="J126" s="374"/>
      <c r="K126" s="374"/>
      <c r="L126" s="374"/>
      <c r="M126" s="374"/>
      <c r="N126" s="374"/>
      <c r="O126" s="374"/>
      <c r="P126" s="374"/>
      <c r="Q126" s="374"/>
      <c r="R126" s="374"/>
      <c r="S126" s="374"/>
      <c r="T126" s="374"/>
      <c r="U126" s="374"/>
      <c r="V126" s="374"/>
      <c r="W126" s="374"/>
      <c r="X126" s="374"/>
      <c r="Y126" s="374"/>
      <c r="Z126" s="374"/>
      <c r="AA126" s="374"/>
      <c r="AB126" s="374"/>
      <c r="AC126" s="374"/>
      <c r="AD126" s="374"/>
      <c r="AE126" s="374"/>
      <c r="AF126" s="374"/>
      <c r="AG126" s="374"/>
      <c r="AH126" s="374"/>
      <c r="AI126" s="374"/>
      <c r="AJ126" s="374"/>
      <c r="AK126" s="374"/>
      <c r="AL126" s="374"/>
      <c r="AM126" s="374"/>
      <c r="AN126" s="374"/>
      <c r="AO126" s="374"/>
      <c r="AP126" s="374"/>
      <c r="AQ126" s="374"/>
      <c r="AR126" s="374"/>
      <c r="AS126" s="374"/>
      <c r="AT126" s="374"/>
      <c r="AU126" s="374"/>
      <c r="AV126" s="374"/>
      <c r="AW126" s="374"/>
      <c r="AX126" s="374"/>
      <c r="AY126" s="375"/>
      <c r="AZ126" s="5"/>
      <c r="BA126" s="5"/>
      <c r="BB126" s="5"/>
      <c r="BC126" s="5"/>
      <c r="BD126" s="5"/>
      <c r="BE126" s="5"/>
      <c r="BF126" s="5"/>
      <c r="BG126" s="5"/>
      <c r="BH126" s="5"/>
      <c r="BI126" s="5"/>
      <c r="BJ126" s="5"/>
      <c r="BK126" s="5"/>
      <c r="BL126" s="5"/>
      <c r="BM126" s="5"/>
      <c r="BN126" s="5"/>
      <c r="BO126" s="5"/>
      <c r="BP126" s="5"/>
      <c r="BQ126" s="5"/>
      <c r="BR126" s="5"/>
      <c r="BS126" s="5"/>
      <c r="BT126" s="5"/>
    </row>
    <row r="127" spans="1:72" ht="20.100000000000001" customHeight="1">
      <c r="A127" s="382">
        <v>4</v>
      </c>
      <c r="B127" s="378" t="str">
        <f>IF(Creation_1!B127&lt;&gt;0,Creation_1!B127,IFERROR(INDEX(Database_Charms,MATCH($N127,Database_Charms_Names,0),MATCH(B$117,Database_Charms_Values,0)),""))</f>
        <v/>
      </c>
      <c r="C127" s="378"/>
      <c r="D127" s="378"/>
      <c r="E127" s="378"/>
      <c r="F127" s="378"/>
      <c r="G127" s="33"/>
      <c r="H127" s="378" t="str">
        <f>IF(Creation_1!H127&lt;&gt;"",Creation_1!H127,IF(B127&lt;&gt;0,B127,IFERROR(INDEX(Database_Charms,MATCH($N127,Database_Charms_Names,0),MATCH("Ability_Subtype",Database_Charms_Values,0)),"")))</f>
        <v/>
      </c>
      <c r="I127" s="378"/>
      <c r="J127" s="378"/>
      <c r="K127" s="378"/>
      <c r="L127" s="378"/>
      <c r="M127" s="23"/>
      <c r="N127" s="378" t="str">
        <f>IF(Creation_1!N127&lt;&gt;0,Creation_1!N127,"")</f>
        <v/>
      </c>
      <c r="O127" s="378"/>
      <c r="P127" s="378"/>
      <c r="Q127" s="378"/>
      <c r="R127" s="378"/>
      <c r="S127" s="378"/>
      <c r="T127" s="378"/>
      <c r="U127" s="378"/>
      <c r="V127" s="378"/>
      <c r="W127" s="378"/>
      <c r="X127" s="378"/>
      <c r="Y127" s="378"/>
      <c r="Z127" s="378"/>
      <c r="AA127" s="378"/>
      <c r="AB127" s="23"/>
      <c r="AC127" s="302" t="str">
        <f>IFERROR(INDEX(Database_Charms,MATCH($N127,Database_Charms_Names,0),MATCH(AC$117,Database_Charms_Values,0)),"")</f>
        <v/>
      </c>
      <c r="AD127" s="302"/>
      <c r="AE127" s="302"/>
      <c r="AF127" s="302"/>
      <c r="AG127" s="302"/>
      <c r="AH127" s="125"/>
      <c r="AI127" s="302" t="str">
        <f>IFERROR(INDEX(Database_Charms,MATCH($N127,Database_Charms_Names,0),MATCH(AI$117,Database_Charms_Values,0)),"")</f>
        <v/>
      </c>
      <c r="AJ127" s="302"/>
      <c r="AK127" s="302"/>
      <c r="AL127" s="302"/>
      <c r="AM127" s="125"/>
      <c r="AN127" s="302" t="str">
        <f>IFERROR(INDEX(Database_Charms,MATCH($N127,Database_Charms_Names,0),MATCH(AN$117,Database_Charms_Values,0)),"")</f>
        <v/>
      </c>
      <c r="AO127" s="302"/>
      <c r="AP127" s="302"/>
      <c r="AQ127" s="302"/>
      <c r="AR127" s="302"/>
      <c r="AS127" s="125"/>
      <c r="AT127" s="302" t="str">
        <f>IFERROR(INDEX(Database_Charms,MATCH($N127,Database_Charms_Names,0),MATCH(AT$117,Database_Charms_Values,0)),"")</f>
        <v/>
      </c>
      <c r="AU127" s="302"/>
      <c r="AV127" s="125"/>
      <c r="AW127" s="302" t="str">
        <f>IFERROR(INDEX(Database_Charms,MATCH($N127,Database_Charms_Names,0),MATCH(AW$117,Database_Charms_Values,0)),"")</f>
        <v/>
      </c>
      <c r="AX127" s="302"/>
      <c r="AY127" s="307"/>
      <c r="AZ127" s="5"/>
      <c r="BA127" s="5"/>
      <c r="BB127" s="5"/>
      <c r="BC127" s="5"/>
      <c r="BD127" s="5"/>
      <c r="BE127" s="5"/>
      <c r="BF127" s="5"/>
      <c r="BG127" s="5"/>
      <c r="BH127" s="5"/>
      <c r="BI127" s="5"/>
      <c r="BJ127" s="5"/>
      <c r="BK127" s="5"/>
      <c r="BL127" s="5"/>
      <c r="BM127" s="5"/>
      <c r="BN127" s="5"/>
      <c r="BO127" s="5"/>
      <c r="BP127" s="5"/>
      <c r="BQ127" s="5"/>
      <c r="BR127" s="5"/>
      <c r="BS127" s="5"/>
      <c r="BT127" s="5"/>
    </row>
    <row r="128" spans="1:72" ht="20.100000000000001" customHeight="1">
      <c r="A128" s="382"/>
      <c r="B128" s="372" t="str">
        <f>IF(Creation_1!B128="",IFERROR(INDEX(Database_Charms,MATCH($N127,Database_Charms_Names,0),MATCH(Charms!$S$1,Database_Charms_Values,0)),""),Creation_1!B128)</f>
        <v/>
      </c>
      <c r="C128" s="372"/>
      <c r="D128" s="372"/>
      <c r="E128" s="372"/>
      <c r="F128" s="372"/>
      <c r="G128" s="372"/>
      <c r="H128" s="372"/>
      <c r="I128" s="372"/>
      <c r="J128" s="372"/>
      <c r="K128" s="372"/>
      <c r="L128" s="372"/>
      <c r="M128" s="372"/>
      <c r="N128" s="372"/>
      <c r="O128" s="372"/>
      <c r="P128" s="372"/>
      <c r="Q128" s="372"/>
      <c r="R128" s="372"/>
      <c r="S128" s="372"/>
      <c r="T128" s="372"/>
      <c r="U128" s="372"/>
      <c r="V128" s="372"/>
      <c r="W128" s="372"/>
      <c r="X128" s="372"/>
      <c r="Y128" s="372"/>
      <c r="Z128" s="372"/>
      <c r="AA128" s="372"/>
      <c r="AB128" s="372"/>
      <c r="AC128" s="372"/>
      <c r="AD128" s="372"/>
      <c r="AE128" s="372"/>
      <c r="AF128" s="372"/>
      <c r="AG128" s="372"/>
      <c r="AH128" s="372"/>
      <c r="AI128" s="372"/>
      <c r="AJ128" s="372"/>
      <c r="AK128" s="372"/>
      <c r="AL128" s="372"/>
      <c r="AM128" s="372"/>
      <c r="AN128" s="372"/>
      <c r="AO128" s="372"/>
      <c r="AP128" s="372"/>
      <c r="AQ128" s="372"/>
      <c r="AR128" s="372"/>
      <c r="AS128" s="372"/>
      <c r="AT128" s="372"/>
      <c r="AU128" s="372"/>
      <c r="AV128" s="372"/>
      <c r="AW128" s="372"/>
      <c r="AX128" s="372"/>
      <c r="AY128" s="373"/>
      <c r="AZ128" s="5"/>
      <c r="BA128" s="5"/>
      <c r="BB128" s="5"/>
      <c r="BC128" s="5"/>
      <c r="BD128" s="5"/>
      <c r="BE128" s="5"/>
      <c r="BF128" s="5"/>
      <c r="BG128" s="5"/>
      <c r="BH128" s="5"/>
      <c r="BI128" s="5"/>
      <c r="BJ128" s="5"/>
      <c r="BK128" s="5"/>
      <c r="BL128" s="5"/>
      <c r="BM128" s="5"/>
      <c r="BN128" s="5"/>
      <c r="BO128" s="5"/>
      <c r="BP128" s="5"/>
      <c r="BQ128" s="5"/>
      <c r="BR128" s="5"/>
      <c r="BS128" s="5"/>
      <c r="BT128" s="5"/>
    </row>
    <row r="129" spans="1:72" ht="20.100000000000001" customHeight="1">
      <c r="A129" s="382"/>
      <c r="B129" s="374"/>
      <c r="C129" s="374"/>
      <c r="D129" s="374"/>
      <c r="E129" s="374"/>
      <c r="F129" s="374"/>
      <c r="G129" s="374"/>
      <c r="H129" s="374"/>
      <c r="I129" s="374"/>
      <c r="J129" s="374"/>
      <c r="K129" s="374"/>
      <c r="L129" s="374"/>
      <c r="M129" s="374"/>
      <c r="N129" s="374"/>
      <c r="O129" s="374"/>
      <c r="P129" s="374"/>
      <c r="Q129" s="374"/>
      <c r="R129" s="374"/>
      <c r="S129" s="374"/>
      <c r="T129" s="374"/>
      <c r="U129" s="374"/>
      <c r="V129" s="374"/>
      <c r="W129" s="374"/>
      <c r="X129" s="374"/>
      <c r="Y129" s="374"/>
      <c r="Z129" s="374"/>
      <c r="AA129" s="374"/>
      <c r="AB129" s="374"/>
      <c r="AC129" s="374"/>
      <c r="AD129" s="374"/>
      <c r="AE129" s="374"/>
      <c r="AF129" s="374"/>
      <c r="AG129" s="374"/>
      <c r="AH129" s="374"/>
      <c r="AI129" s="374"/>
      <c r="AJ129" s="374"/>
      <c r="AK129" s="374"/>
      <c r="AL129" s="374"/>
      <c r="AM129" s="374"/>
      <c r="AN129" s="374"/>
      <c r="AO129" s="374"/>
      <c r="AP129" s="374"/>
      <c r="AQ129" s="374"/>
      <c r="AR129" s="374"/>
      <c r="AS129" s="374"/>
      <c r="AT129" s="374"/>
      <c r="AU129" s="374"/>
      <c r="AV129" s="374"/>
      <c r="AW129" s="374"/>
      <c r="AX129" s="374"/>
      <c r="AY129" s="375"/>
      <c r="AZ129" s="5"/>
      <c r="BA129" s="5"/>
      <c r="BB129" s="5"/>
      <c r="BC129" s="5"/>
      <c r="BD129" s="5"/>
      <c r="BE129" s="5"/>
      <c r="BF129" s="5"/>
      <c r="BG129" s="5"/>
      <c r="BH129" s="5"/>
      <c r="BI129" s="5"/>
      <c r="BJ129" s="5"/>
      <c r="BK129" s="5"/>
      <c r="BL129" s="5"/>
      <c r="BM129" s="5"/>
      <c r="BN129" s="5"/>
      <c r="BO129" s="5"/>
      <c r="BP129" s="5"/>
      <c r="BQ129" s="5"/>
      <c r="BR129" s="5"/>
      <c r="BS129" s="5"/>
      <c r="BT129" s="5"/>
    </row>
    <row r="130" spans="1:72" ht="20.100000000000001" customHeight="1">
      <c r="A130" s="382">
        <v>5</v>
      </c>
      <c r="B130" s="378" t="str">
        <f>IF(Creation_1!B130&lt;&gt;0,Creation_1!B130,IFERROR(INDEX(Database_Charms,MATCH($N130,Database_Charms_Names,0),MATCH(B$117,Database_Charms_Values,0)),""))</f>
        <v/>
      </c>
      <c r="C130" s="378"/>
      <c r="D130" s="378"/>
      <c r="E130" s="378"/>
      <c r="F130" s="378"/>
      <c r="G130" s="33"/>
      <c r="H130" s="378" t="str">
        <f>IF(Creation_1!H130&lt;&gt;"",Creation_1!H130,IF(B130&lt;&gt;0,B130,IFERROR(INDEX(Database_Charms,MATCH($N130,Database_Charms_Names,0),MATCH("Ability_Subtype",Database_Charms_Values,0)),"")))</f>
        <v/>
      </c>
      <c r="I130" s="378"/>
      <c r="J130" s="378"/>
      <c r="K130" s="378"/>
      <c r="L130" s="378"/>
      <c r="M130" s="23"/>
      <c r="N130" s="378" t="str">
        <f>IF(Creation_1!N130&lt;&gt;0,Creation_1!N130,"")</f>
        <v/>
      </c>
      <c r="O130" s="378"/>
      <c r="P130" s="378"/>
      <c r="Q130" s="378"/>
      <c r="R130" s="378"/>
      <c r="S130" s="378"/>
      <c r="T130" s="378"/>
      <c r="U130" s="378"/>
      <c r="V130" s="378"/>
      <c r="W130" s="378"/>
      <c r="X130" s="378"/>
      <c r="Y130" s="378"/>
      <c r="Z130" s="378"/>
      <c r="AA130" s="378"/>
      <c r="AB130" s="23"/>
      <c r="AC130" s="302" t="str">
        <f>IFERROR(INDEX(Database_Charms,MATCH($N130,Database_Charms_Names,0),MATCH(AC$117,Database_Charms_Values,0)),"")</f>
        <v/>
      </c>
      <c r="AD130" s="302"/>
      <c r="AE130" s="302"/>
      <c r="AF130" s="302"/>
      <c r="AG130" s="302"/>
      <c r="AH130" s="125"/>
      <c r="AI130" s="302" t="str">
        <f>IFERROR(INDEX(Database_Charms,MATCH($N130,Database_Charms_Names,0),MATCH(AI$117,Database_Charms_Values,0)),"")</f>
        <v/>
      </c>
      <c r="AJ130" s="302"/>
      <c r="AK130" s="302"/>
      <c r="AL130" s="302"/>
      <c r="AM130" s="125"/>
      <c r="AN130" s="302" t="str">
        <f>IFERROR(INDEX(Database_Charms,MATCH($N130,Database_Charms_Names,0),MATCH(AN$117,Database_Charms_Values,0)),"")</f>
        <v/>
      </c>
      <c r="AO130" s="302"/>
      <c r="AP130" s="302"/>
      <c r="AQ130" s="302"/>
      <c r="AR130" s="302"/>
      <c r="AS130" s="125"/>
      <c r="AT130" s="302" t="str">
        <f>IFERROR(INDEX(Database_Charms,MATCH($N130,Database_Charms_Names,0),MATCH(AT$117,Database_Charms_Values,0)),"")</f>
        <v/>
      </c>
      <c r="AU130" s="302"/>
      <c r="AV130" s="125"/>
      <c r="AW130" s="302" t="str">
        <f>IFERROR(INDEX(Database_Charms,MATCH($N130,Database_Charms_Names,0),MATCH(AW$117,Database_Charms_Values,0)),"")</f>
        <v/>
      </c>
      <c r="AX130" s="302"/>
      <c r="AY130" s="307"/>
      <c r="AZ130" s="5"/>
      <c r="BA130" s="5"/>
      <c r="BB130" s="5"/>
      <c r="BC130" s="5"/>
      <c r="BD130" s="5"/>
      <c r="BE130" s="5"/>
      <c r="BF130" s="5"/>
      <c r="BG130" s="5"/>
      <c r="BH130" s="5"/>
      <c r="BI130" s="5"/>
      <c r="BJ130" s="5"/>
      <c r="BK130" s="5"/>
      <c r="BL130" s="5"/>
      <c r="BM130" s="5"/>
      <c r="BN130" s="5"/>
      <c r="BO130" s="5"/>
      <c r="BP130" s="5"/>
      <c r="BQ130" s="5"/>
      <c r="BR130" s="5"/>
      <c r="BS130" s="5"/>
      <c r="BT130" s="5"/>
    </row>
    <row r="131" spans="1:72" ht="20.100000000000001" customHeight="1">
      <c r="A131" s="382"/>
      <c r="B131" s="372" t="str">
        <f>IF(Creation_1!B131="",IFERROR(INDEX(Database_Charms,MATCH($N130,Database_Charms_Names,0),MATCH(Charms!$S$1,Database_Charms_Values,0)),""),Creation_1!B131)</f>
        <v/>
      </c>
      <c r="C131" s="372"/>
      <c r="D131" s="372"/>
      <c r="E131" s="372"/>
      <c r="F131" s="372"/>
      <c r="G131" s="372"/>
      <c r="H131" s="372"/>
      <c r="I131" s="372"/>
      <c r="J131" s="372"/>
      <c r="K131" s="372"/>
      <c r="L131" s="372"/>
      <c r="M131" s="372"/>
      <c r="N131" s="372"/>
      <c r="O131" s="372"/>
      <c r="P131" s="372"/>
      <c r="Q131" s="372"/>
      <c r="R131" s="372"/>
      <c r="S131" s="372"/>
      <c r="T131" s="372"/>
      <c r="U131" s="372"/>
      <c r="V131" s="372"/>
      <c r="W131" s="372"/>
      <c r="X131" s="372"/>
      <c r="Y131" s="372"/>
      <c r="Z131" s="372"/>
      <c r="AA131" s="372"/>
      <c r="AB131" s="372"/>
      <c r="AC131" s="372"/>
      <c r="AD131" s="372"/>
      <c r="AE131" s="372"/>
      <c r="AF131" s="372"/>
      <c r="AG131" s="372"/>
      <c r="AH131" s="372"/>
      <c r="AI131" s="372"/>
      <c r="AJ131" s="372"/>
      <c r="AK131" s="372"/>
      <c r="AL131" s="372"/>
      <c r="AM131" s="372"/>
      <c r="AN131" s="372"/>
      <c r="AO131" s="372"/>
      <c r="AP131" s="372"/>
      <c r="AQ131" s="372"/>
      <c r="AR131" s="372"/>
      <c r="AS131" s="372"/>
      <c r="AT131" s="372"/>
      <c r="AU131" s="372"/>
      <c r="AV131" s="372"/>
      <c r="AW131" s="372"/>
      <c r="AX131" s="372"/>
      <c r="AY131" s="373"/>
      <c r="AZ131" s="5"/>
      <c r="BA131" s="5"/>
      <c r="BB131" s="5"/>
      <c r="BC131" s="5"/>
      <c r="BD131" s="5"/>
      <c r="BE131" s="5"/>
      <c r="BF131" s="5"/>
      <c r="BG131" s="5"/>
      <c r="BH131" s="5"/>
      <c r="BI131" s="5"/>
      <c r="BJ131" s="5"/>
      <c r="BK131" s="5"/>
      <c r="BL131" s="5"/>
      <c r="BM131" s="5"/>
      <c r="BN131" s="5"/>
      <c r="BO131" s="5"/>
      <c r="BP131" s="5"/>
      <c r="BQ131" s="5"/>
      <c r="BR131" s="5"/>
      <c r="BS131" s="5"/>
      <c r="BT131" s="5"/>
    </row>
    <row r="132" spans="1:72" ht="20.100000000000001" customHeight="1">
      <c r="A132" s="382"/>
      <c r="B132" s="374"/>
      <c r="C132" s="374"/>
      <c r="D132" s="374"/>
      <c r="E132" s="374"/>
      <c r="F132" s="374"/>
      <c r="G132" s="374"/>
      <c r="H132" s="374"/>
      <c r="I132" s="374"/>
      <c r="J132" s="374"/>
      <c r="K132" s="374"/>
      <c r="L132" s="374"/>
      <c r="M132" s="374"/>
      <c r="N132" s="374"/>
      <c r="O132" s="374"/>
      <c r="P132" s="374"/>
      <c r="Q132" s="374"/>
      <c r="R132" s="374"/>
      <c r="S132" s="374"/>
      <c r="T132" s="374"/>
      <c r="U132" s="374"/>
      <c r="V132" s="374"/>
      <c r="W132" s="374"/>
      <c r="X132" s="374"/>
      <c r="Y132" s="374"/>
      <c r="Z132" s="374"/>
      <c r="AA132" s="374"/>
      <c r="AB132" s="374"/>
      <c r="AC132" s="374"/>
      <c r="AD132" s="374"/>
      <c r="AE132" s="374"/>
      <c r="AF132" s="374"/>
      <c r="AG132" s="374"/>
      <c r="AH132" s="374"/>
      <c r="AI132" s="374"/>
      <c r="AJ132" s="374"/>
      <c r="AK132" s="374"/>
      <c r="AL132" s="374"/>
      <c r="AM132" s="374"/>
      <c r="AN132" s="374"/>
      <c r="AO132" s="374"/>
      <c r="AP132" s="374"/>
      <c r="AQ132" s="374"/>
      <c r="AR132" s="374"/>
      <c r="AS132" s="374"/>
      <c r="AT132" s="374"/>
      <c r="AU132" s="374"/>
      <c r="AV132" s="374"/>
      <c r="AW132" s="374"/>
      <c r="AX132" s="374"/>
      <c r="AY132" s="375"/>
      <c r="AZ132" s="5"/>
      <c r="BA132" s="5"/>
      <c r="BB132" s="5"/>
      <c r="BC132" s="5"/>
      <c r="BD132" s="5"/>
      <c r="BE132" s="5"/>
      <c r="BF132" s="5"/>
      <c r="BG132" s="5"/>
      <c r="BH132" s="5"/>
      <c r="BI132" s="5"/>
      <c r="BJ132" s="5"/>
      <c r="BK132" s="5"/>
      <c r="BL132" s="5"/>
      <c r="BM132" s="5"/>
      <c r="BN132" s="5"/>
      <c r="BO132" s="5"/>
      <c r="BP132" s="5"/>
      <c r="BQ132" s="5"/>
      <c r="BR132" s="5"/>
      <c r="BS132" s="5"/>
      <c r="BT132" s="5"/>
    </row>
    <row r="133" spans="1:72" ht="20.100000000000001" customHeight="1">
      <c r="A133" s="382">
        <v>6</v>
      </c>
      <c r="B133" s="378" t="str">
        <f>IF(Creation_1!B133&lt;&gt;0,Creation_1!B133,IFERROR(INDEX(Database_Charms,MATCH($N133,Database_Charms_Names,0),MATCH(B$117,Database_Charms_Values,0)),""))</f>
        <v/>
      </c>
      <c r="C133" s="378"/>
      <c r="D133" s="378"/>
      <c r="E133" s="378"/>
      <c r="F133" s="378"/>
      <c r="G133" s="33"/>
      <c r="H133" s="378" t="str">
        <f>IF(Creation_1!H133&lt;&gt;"",Creation_1!H133,IF(B133&lt;&gt;0,B133,IFERROR(INDEX(Database_Charms,MATCH($N133,Database_Charms_Names,0),MATCH("Ability_Subtype",Database_Charms_Values,0)),"")))</f>
        <v/>
      </c>
      <c r="I133" s="378"/>
      <c r="J133" s="378"/>
      <c r="K133" s="378"/>
      <c r="L133" s="378"/>
      <c r="M133" s="23"/>
      <c r="N133" s="378" t="str">
        <f>IF(Creation_1!N133&lt;&gt;0,Creation_1!N133,"")</f>
        <v/>
      </c>
      <c r="O133" s="378"/>
      <c r="P133" s="378"/>
      <c r="Q133" s="378"/>
      <c r="R133" s="378"/>
      <c r="S133" s="378"/>
      <c r="T133" s="378"/>
      <c r="U133" s="378"/>
      <c r="V133" s="378"/>
      <c r="W133" s="378"/>
      <c r="X133" s="378"/>
      <c r="Y133" s="378"/>
      <c r="Z133" s="378"/>
      <c r="AA133" s="378"/>
      <c r="AB133" s="23"/>
      <c r="AC133" s="302" t="str">
        <f>IFERROR(INDEX(Database_Charms,MATCH($N133,Database_Charms_Names,0),MATCH(AC$117,Database_Charms_Values,0)),"")</f>
        <v/>
      </c>
      <c r="AD133" s="302"/>
      <c r="AE133" s="302"/>
      <c r="AF133" s="302"/>
      <c r="AG133" s="302"/>
      <c r="AH133" s="125"/>
      <c r="AI133" s="302" t="str">
        <f>IFERROR(INDEX(Database_Charms,MATCH($N133,Database_Charms_Names,0),MATCH(AI$117,Database_Charms_Values,0)),"")</f>
        <v/>
      </c>
      <c r="AJ133" s="302"/>
      <c r="AK133" s="302"/>
      <c r="AL133" s="302"/>
      <c r="AM133" s="125"/>
      <c r="AN133" s="302" t="str">
        <f>IFERROR(INDEX(Database_Charms,MATCH($N133,Database_Charms_Names,0),MATCH(AN$117,Database_Charms_Values,0)),"")</f>
        <v/>
      </c>
      <c r="AO133" s="302"/>
      <c r="AP133" s="302"/>
      <c r="AQ133" s="302"/>
      <c r="AR133" s="302"/>
      <c r="AS133" s="125"/>
      <c r="AT133" s="302" t="str">
        <f>IFERROR(INDEX(Database_Charms,MATCH($N133,Database_Charms_Names,0),MATCH(AT$117,Database_Charms_Values,0)),"")</f>
        <v/>
      </c>
      <c r="AU133" s="302"/>
      <c r="AV133" s="125"/>
      <c r="AW133" s="302" t="str">
        <f>IFERROR(INDEX(Database_Charms,MATCH($N133,Database_Charms_Names,0),MATCH(AW$117,Database_Charms_Values,0)),"")</f>
        <v/>
      </c>
      <c r="AX133" s="302"/>
      <c r="AY133" s="307"/>
      <c r="AZ133" s="5"/>
      <c r="BA133" s="5"/>
      <c r="BB133" s="5"/>
      <c r="BC133" s="5"/>
      <c r="BD133" s="5"/>
      <c r="BE133" s="5"/>
      <c r="BF133" s="5"/>
      <c r="BG133" s="5"/>
      <c r="BH133" s="5"/>
      <c r="BI133" s="5"/>
      <c r="BJ133" s="5"/>
      <c r="BK133" s="5"/>
      <c r="BL133" s="5"/>
      <c r="BM133" s="5"/>
      <c r="BN133" s="5"/>
      <c r="BO133" s="5"/>
      <c r="BP133" s="5"/>
      <c r="BQ133" s="5"/>
      <c r="BR133" s="5"/>
      <c r="BS133" s="5"/>
      <c r="BT133" s="5"/>
    </row>
    <row r="134" spans="1:72" ht="20.100000000000001" customHeight="1" thickBot="1">
      <c r="A134" s="382"/>
      <c r="B134" s="372" t="str">
        <f>IF(Creation_1!B134="",IFERROR(INDEX(Database_Charms,MATCH($N133,Database_Charms_Names,0),MATCH(Charms!$S$1,Database_Charms_Values,0)),""),Creation_1!B134)</f>
        <v/>
      </c>
      <c r="C134" s="372"/>
      <c r="D134" s="372"/>
      <c r="E134" s="372"/>
      <c r="F134" s="372"/>
      <c r="G134" s="372"/>
      <c r="H134" s="372"/>
      <c r="I134" s="372"/>
      <c r="J134" s="372"/>
      <c r="K134" s="372"/>
      <c r="L134" s="372"/>
      <c r="M134" s="372"/>
      <c r="N134" s="372"/>
      <c r="O134" s="372"/>
      <c r="P134" s="372"/>
      <c r="Q134" s="372"/>
      <c r="R134" s="372"/>
      <c r="S134" s="372"/>
      <c r="T134" s="372"/>
      <c r="U134" s="372"/>
      <c r="V134" s="372"/>
      <c r="W134" s="372"/>
      <c r="X134" s="372"/>
      <c r="Y134" s="372"/>
      <c r="Z134" s="372"/>
      <c r="AA134" s="372"/>
      <c r="AB134" s="372"/>
      <c r="AC134" s="372"/>
      <c r="AD134" s="372"/>
      <c r="AE134" s="372"/>
      <c r="AF134" s="372"/>
      <c r="AG134" s="372"/>
      <c r="AH134" s="372"/>
      <c r="AI134" s="372"/>
      <c r="AJ134" s="372"/>
      <c r="AK134" s="372"/>
      <c r="AL134" s="372"/>
      <c r="AM134" s="372"/>
      <c r="AN134" s="372"/>
      <c r="AO134" s="372"/>
      <c r="AP134" s="372"/>
      <c r="AQ134" s="372"/>
      <c r="AR134" s="372"/>
      <c r="AS134" s="372"/>
      <c r="AT134" s="372"/>
      <c r="AU134" s="372"/>
      <c r="AV134" s="372"/>
      <c r="AW134" s="372"/>
      <c r="AX134" s="372"/>
      <c r="AY134" s="373"/>
      <c r="AZ134" s="5"/>
      <c r="BA134" s="5"/>
      <c r="BB134" s="5"/>
      <c r="BC134" s="5"/>
      <c r="BD134" s="5"/>
      <c r="BE134" s="5"/>
      <c r="BF134" s="5"/>
      <c r="BG134" s="5"/>
      <c r="BH134" s="5"/>
      <c r="BI134" s="5"/>
      <c r="BJ134" s="5"/>
      <c r="BK134" s="5"/>
      <c r="BL134" s="5"/>
      <c r="BM134" s="5"/>
      <c r="BN134" s="5"/>
      <c r="BO134" s="5"/>
      <c r="BP134" s="5"/>
      <c r="BQ134" s="5"/>
      <c r="BR134" s="5"/>
      <c r="BS134" s="5"/>
      <c r="BT134" s="5"/>
    </row>
    <row r="135" spans="1:72" ht="20.100000000000001" customHeight="1">
      <c r="A135" s="382"/>
      <c r="B135" s="374"/>
      <c r="C135" s="374"/>
      <c r="D135" s="374"/>
      <c r="E135" s="374"/>
      <c r="F135" s="374"/>
      <c r="G135" s="374"/>
      <c r="H135" s="374"/>
      <c r="I135" s="374"/>
      <c r="J135" s="374"/>
      <c r="K135" s="374"/>
      <c r="L135" s="374"/>
      <c r="M135" s="374"/>
      <c r="N135" s="374"/>
      <c r="O135" s="374"/>
      <c r="P135" s="374"/>
      <c r="Q135" s="374"/>
      <c r="R135" s="374"/>
      <c r="S135" s="374"/>
      <c r="T135" s="374"/>
      <c r="U135" s="374"/>
      <c r="V135" s="374"/>
      <c r="W135" s="374"/>
      <c r="X135" s="374"/>
      <c r="Y135" s="374"/>
      <c r="Z135" s="374"/>
      <c r="AA135" s="374"/>
      <c r="AB135" s="374"/>
      <c r="AC135" s="374"/>
      <c r="AD135" s="374"/>
      <c r="AE135" s="374"/>
      <c r="AF135" s="374"/>
      <c r="AG135" s="374"/>
      <c r="AH135" s="374"/>
      <c r="AI135" s="374"/>
      <c r="AJ135" s="374"/>
      <c r="AK135" s="374"/>
      <c r="AL135" s="374"/>
      <c r="AM135" s="374"/>
      <c r="AN135" s="374"/>
      <c r="AO135" s="374"/>
      <c r="AP135" s="374"/>
      <c r="AQ135" s="374"/>
      <c r="AR135" s="374"/>
      <c r="AS135" s="374"/>
      <c r="AT135" s="374"/>
      <c r="AU135" s="374"/>
      <c r="AV135" s="374"/>
      <c r="AW135" s="374"/>
      <c r="AX135" s="374"/>
      <c r="AY135" s="375"/>
      <c r="AZ135" s="5"/>
      <c r="BA135" s="434" t="str">
        <f>$BA$8</f>
        <v>You must go back to Creation_1 to spend your Attributes points properly</v>
      </c>
      <c r="BB135" s="435"/>
      <c r="BC135" s="435"/>
      <c r="BD135" s="435"/>
      <c r="BE135" s="435"/>
      <c r="BF135" s="435"/>
      <c r="BG135" s="435"/>
      <c r="BH135" s="435"/>
      <c r="BI135" s="435"/>
      <c r="BJ135" s="435"/>
      <c r="BK135" s="435"/>
      <c r="BL135" s="435"/>
      <c r="BM135" s="435"/>
      <c r="BN135" s="436"/>
      <c r="BO135" s="5"/>
      <c r="BP135" s="5"/>
      <c r="BQ135" s="5"/>
      <c r="BR135" s="5"/>
      <c r="BS135" s="5"/>
      <c r="BT135" s="5"/>
    </row>
    <row r="136" spans="1:72" ht="20.100000000000001" customHeight="1" thickBot="1">
      <c r="A136" s="382">
        <v>7</v>
      </c>
      <c r="B136" s="378" t="str">
        <f>IF(Creation_1!B136&lt;&gt;0,Creation_1!B136,IFERROR(INDEX(Database_Charms,MATCH($N136,Database_Charms_Names,0),MATCH(B$117,Database_Charms_Values,0)),""))</f>
        <v/>
      </c>
      <c r="C136" s="378"/>
      <c r="D136" s="378"/>
      <c r="E136" s="378"/>
      <c r="F136" s="378"/>
      <c r="G136" s="33"/>
      <c r="H136" s="378" t="str">
        <f>IF(Creation_1!H136&lt;&gt;"",Creation_1!H136,IF(B136&lt;&gt;0,B136,IFERROR(INDEX(Database_Charms,MATCH($N136,Database_Charms_Names,0),MATCH("Ability_Subtype",Database_Charms_Values,0)),"")))</f>
        <v/>
      </c>
      <c r="I136" s="378"/>
      <c r="J136" s="378"/>
      <c r="K136" s="378"/>
      <c r="L136" s="378"/>
      <c r="M136" s="23"/>
      <c r="N136" s="378" t="str">
        <f>IF(Creation_1!N136&lt;&gt;0,Creation_1!N136,"")</f>
        <v/>
      </c>
      <c r="O136" s="378"/>
      <c r="P136" s="378"/>
      <c r="Q136" s="378"/>
      <c r="R136" s="378"/>
      <c r="S136" s="378"/>
      <c r="T136" s="378"/>
      <c r="U136" s="378"/>
      <c r="V136" s="378"/>
      <c r="W136" s="378"/>
      <c r="X136" s="378"/>
      <c r="Y136" s="378"/>
      <c r="Z136" s="378"/>
      <c r="AA136" s="378"/>
      <c r="AB136" s="23"/>
      <c r="AC136" s="302" t="str">
        <f>IFERROR(INDEX(Database_Charms,MATCH($N136,Database_Charms_Names,0),MATCH(AC$117,Database_Charms_Values,0)),"")</f>
        <v/>
      </c>
      <c r="AD136" s="302"/>
      <c r="AE136" s="302"/>
      <c r="AF136" s="302"/>
      <c r="AG136" s="302"/>
      <c r="AH136" s="125"/>
      <c r="AI136" s="302" t="str">
        <f>IFERROR(INDEX(Database_Charms,MATCH($N136,Database_Charms_Names,0),MATCH(AI$117,Database_Charms_Values,0)),"")</f>
        <v/>
      </c>
      <c r="AJ136" s="302"/>
      <c r="AK136" s="302"/>
      <c r="AL136" s="302"/>
      <c r="AM136" s="125"/>
      <c r="AN136" s="302" t="str">
        <f>IFERROR(INDEX(Database_Charms,MATCH($N136,Database_Charms_Names,0),MATCH(AN$117,Database_Charms_Values,0)),"")</f>
        <v/>
      </c>
      <c r="AO136" s="302"/>
      <c r="AP136" s="302"/>
      <c r="AQ136" s="302"/>
      <c r="AR136" s="302"/>
      <c r="AS136" s="125"/>
      <c r="AT136" s="302" t="str">
        <f>IFERROR(INDEX(Database_Charms,MATCH($N136,Database_Charms_Names,0),MATCH(AT$117,Database_Charms_Values,0)),"")</f>
        <v/>
      </c>
      <c r="AU136" s="302"/>
      <c r="AV136" s="125"/>
      <c r="AW136" s="302" t="str">
        <f>IFERROR(INDEX(Database_Charms,MATCH($N136,Database_Charms_Names,0),MATCH(AW$117,Database_Charms_Values,0)),"")</f>
        <v/>
      </c>
      <c r="AX136" s="302"/>
      <c r="AY136" s="307"/>
      <c r="AZ136" s="5"/>
      <c r="BA136" s="437"/>
      <c r="BB136" s="438"/>
      <c r="BC136" s="438"/>
      <c r="BD136" s="438"/>
      <c r="BE136" s="438"/>
      <c r="BF136" s="438"/>
      <c r="BG136" s="438"/>
      <c r="BH136" s="438"/>
      <c r="BI136" s="438"/>
      <c r="BJ136" s="438"/>
      <c r="BK136" s="438"/>
      <c r="BL136" s="438"/>
      <c r="BM136" s="438"/>
      <c r="BN136" s="439"/>
      <c r="BO136" s="5"/>
      <c r="BP136" s="5"/>
      <c r="BQ136" s="5"/>
      <c r="BR136" s="5"/>
      <c r="BS136" s="5"/>
      <c r="BT136" s="5"/>
    </row>
    <row r="137" spans="1:72" ht="20.100000000000001" customHeight="1">
      <c r="A137" s="382"/>
      <c r="B137" s="372" t="str">
        <f>IF(Creation_1!B137="",IFERROR(INDEX(Database_Charms,MATCH($N136,Database_Charms_Names,0),MATCH(Charms!$S$1,Database_Charms_Values,0)),""),Creation_1!B137)</f>
        <v/>
      </c>
      <c r="C137" s="372"/>
      <c r="D137" s="372"/>
      <c r="E137" s="372"/>
      <c r="F137" s="372"/>
      <c r="G137" s="372"/>
      <c r="H137" s="372"/>
      <c r="I137" s="372"/>
      <c r="J137" s="372"/>
      <c r="K137" s="372"/>
      <c r="L137" s="372"/>
      <c r="M137" s="372"/>
      <c r="N137" s="372"/>
      <c r="O137" s="372"/>
      <c r="P137" s="372"/>
      <c r="Q137" s="372"/>
      <c r="R137" s="372"/>
      <c r="S137" s="372"/>
      <c r="T137" s="372"/>
      <c r="U137" s="372"/>
      <c r="V137" s="372"/>
      <c r="W137" s="372"/>
      <c r="X137" s="372"/>
      <c r="Y137" s="372"/>
      <c r="Z137" s="372"/>
      <c r="AA137" s="372"/>
      <c r="AB137" s="372"/>
      <c r="AC137" s="372"/>
      <c r="AD137" s="372"/>
      <c r="AE137" s="372"/>
      <c r="AF137" s="372"/>
      <c r="AG137" s="372"/>
      <c r="AH137" s="372"/>
      <c r="AI137" s="372"/>
      <c r="AJ137" s="372"/>
      <c r="AK137" s="372"/>
      <c r="AL137" s="372"/>
      <c r="AM137" s="372"/>
      <c r="AN137" s="372"/>
      <c r="AO137" s="372"/>
      <c r="AP137" s="372"/>
      <c r="AQ137" s="372"/>
      <c r="AR137" s="372"/>
      <c r="AS137" s="372"/>
      <c r="AT137" s="372"/>
      <c r="AU137" s="372"/>
      <c r="AV137" s="372"/>
      <c r="AW137" s="372"/>
      <c r="AX137" s="372"/>
      <c r="AY137" s="373"/>
      <c r="AZ137" s="5"/>
      <c r="BA137" s="5"/>
      <c r="BB137" s="5"/>
      <c r="BC137" s="5"/>
      <c r="BD137" s="5"/>
      <c r="BE137" s="5"/>
      <c r="BF137" s="5"/>
      <c r="BG137" s="5"/>
      <c r="BH137" s="5"/>
      <c r="BI137" s="5"/>
      <c r="BJ137" s="5"/>
      <c r="BK137" s="5"/>
      <c r="BL137" s="5"/>
      <c r="BM137" s="5"/>
      <c r="BN137" s="5"/>
      <c r="BO137" s="5"/>
      <c r="BP137" s="5"/>
      <c r="BQ137" s="5"/>
      <c r="BR137" s="5"/>
      <c r="BS137" s="5"/>
      <c r="BT137" s="5"/>
    </row>
    <row r="138" spans="1:72" ht="20.100000000000001" customHeight="1">
      <c r="A138" s="382"/>
      <c r="B138" s="374"/>
      <c r="C138" s="374"/>
      <c r="D138" s="374"/>
      <c r="E138" s="374"/>
      <c r="F138" s="374"/>
      <c r="G138" s="374"/>
      <c r="H138" s="374"/>
      <c r="I138" s="374"/>
      <c r="J138" s="374"/>
      <c r="K138" s="374"/>
      <c r="L138" s="374"/>
      <c r="M138" s="374"/>
      <c r="N138" s="374"/>
      <c r="O138" s="374"/>
      <c r="P138" s="374"/>
      <c r="Q138" s="374"/>
      <c r="R138" s="374"/>
      <c r="S138" s="374"/>
      <c r="T138" s="374"/>
      <c r="U138" s="374"/>
      <c r="V138" s="374"/>
      <c r="W138" s="374"/>
      <c r="X138" s="374"/>
      <c r="Y138" s="374"/>
      <c r="Z138" s="374"/>
      <c r="AA138" s="374"/>
      <c r="AB138" s="374"/>
      <c r="AC138" s="374"/>
      <c r="AD138" s="374"/>
      <c r="AE138" s="374"/>
      <c r="AF138" s="374"/>
      <c r="AG138" s="374"/>
      <c r="AH138" s="374"/>
      <c r="AI138" s="374"/>
      <c r="AJ138" s="374"/>
      <c r="AK138" s="374"/>
      <c r="AL138" s="374"/>
      <c r="AM138" s="374"/>
      <c r="AN138" s="374"/>
      <c r="AO138" s="374"/>
      <c r="AP138" s="374"/>
      <c r="AQ138" s="374"/>
      <c r="AR138" s="374"/>
      <c r="AS138" s="374"/>
      <c r="AT138" s="374"/>
      <c r="AU138" s="374"/>
      <c r="AV138" s="374"/>
      <c r="AW138" s="374"/>
      <c r="AX138" s="374"/>
      <c r="AY138" s="375"/>
      <c r="AZ138" s="5"/>
      <c r="BA138" s="5"/>
      <c r="BB138" s="5"/>
      <c r="BC138" s="5"/>
      <c r="BD138" s="5"/>
      <c r="BE138" s="5"/>
      <c r="BF138" s="5"/>
      <c r="BG138" s="5"/>
      <c r="BH138" s="5"/>
      <c r="BI138" s="5"/>
      <c r="BJ138" s="5"/>
      <c r="BK138" s="5"/>
      <c r="BL138" s="5"/>
      <c r="BM138" s="5"/>
      <c r="BN138" s="5"/>
      <c r="BO138" s="5"/>
      <c r="BP138" s="5"/>
      <c r="BQ138" s="5"/>
      <c r="BR138" s="5"/>
      <c r="BS138" s="5"/>
      <c r="BT138" s="5"/>
    </row>
    <row r="139" spans="1:72" ht="20.100000000000001" customHeight="1">
      <c r="A139" s="382">
        <v>8</v>
      </c>
      <c r="B139" s="378" t="str">
        <f>IF(Creation_1!B139&lt;&gt;0,Creation_1!B139,IFERROR(INDEX(Database_Charms,MATCH($N139,Database_Charms_Names,0),MATCH(B$117,Database_Charms_Values,0)),""))</f>
        <v/>
      </c>
      <c r="C139" s="378"/>
      <c r="D139" s="378"/>
      <c r="E139" s="378"/>
      <c r="F139" s="378"/>
      <c r="G139" s="33"/>
      <c r="H139" s="378" t="str">
        <f>IF(Creation_1!H139&lt;&gt;"",Creation_1!H139,IF(B139&lt;&gt;0,B139,IFERROR(INDEX(Database_Charms,MATCH($N139,Database_Charms_Names,0),MATCH("Ability_Subtype",Database_Charms_Values,0)),"")))</f>
        <v/>
      </c>
      <c r="I139" s="378"/>
      <c r="J139" s="378"/>
      <c r="K139" s="378"/>
      <c r="L139" s="378"/>
      <c r="M139" s="23"/>
      <c r="N139" s="378" t="str">
        <f>IF(Creation_1!N139&lt;&gt;0,Creation_1!N139,"")</f>
        <v/>
      </c>
      <c r="O139" s="378"/>
      <c r="P139" s="378"/>
      <c r="Q139" s="378"/>
      <c r="R139" s="378"/>
      <c r="S139" s="378"/>
      <c r="T139" s="378"/>
      <c r="U139" s="378"/>
      <c r="V139" s="378"/>
      <c r="W139" s="378"/>
      <c r="X139" s="378"/>
      <c r="Y139" s="378"/>
      <c r="Z139" s="378"/>
      <c r="AA139" s="378"/>
      <c r="AB139" s="23"/>
      <c r="AC139" s="302" t="str">
        <f>IFERROR(INDEX(Database_Charms,MATCH($N139,Database_Charms_Names,0),MATCH(AC$117,Database_Charms_Values,0)),"")</f>
        <v/>
      </c>
      <c r="AD139" s="302"/>
      <c r="AE139" s="302"/>
      <c r="AF139" s="302"/>
      <c r="AG139" s="302"/>
      <c r="AH139" s="125"/>
      <c r="AI139" s="302" t="str">
        <f>IFERROR(INDEX(Database_Charms,MATCH($N139,Database_Charms_Names,0),MATCH(AI$117,Database_Charms_Values,0)),"")</f>
        <v/>
      </c>
      <c r="AJ139" s="302"/>
      <c r="AK139" s="302"/>
      <c r="AL139" s="302"/>
      <c r="AM139" s="125"/>
      <c r="AN139" s="302" t="str">
        <f>IFERROR(INDEX(Database_Charms,MATCH($N139,Database_Charms_Names,0),MATCH(AN$117,Database_Charms_Values,0)),"")</f>
        <v/>
      </c>
      <c r="AO139" s="302"/>
      <c r="AP139" s="302"/>
      <c r="AQ139" s="302"/>
      <c r="AR139" s="302"/>
      <c r="AS139" s="125"/>
      <c r="AT139" s="302" t="str">
        <f>IFERROR(INDEX(Database_Charms,MATCH($N139,Database_Charms_Names,0),MATCH(AT$117,Database_Charms_Values,0)),"")</f>
        <v/>
      </c>
      <c r="AU139" s="302"/>
      <c r="AV139" s="125"/>
      <c r="AW139" s="302" t="str">
        <f>IFERROR(INDEX(Database_Charms,MATCH($N139,Database_Charms_Names,0),MATCH(AW$117,Database_Charms_Values,0)),"")</f>
        <v/>
      </c>
      <c r="AX139" s="302"/>
      <c r="AY139" s="307"/>
      <c r="AZ139" s="5"/>
      <c r="BA139" s="5"/>
      <c r="BB139" s="5"/>
      <c r="BC139" s="5"/>
      <c r="BD139" s="5"/>
      <c r="BE139" s="5"/>
      <c r="BF139" s="5"/>
      <c r="BG139" s="5"/>
      <c r="BH139" s="5"/>
      <c r="BI139" s="5"/>
      <c r="BJ139" s="5"/>
      <c r="BK139" s="5"/>
      <c r="BL139" s="5"/>
      <c r="BM139" s="5"/>
      <c r="BN139" s="5"/>
      <c r="BO139" s="5"/>
      <c r="BP139" s="5"/>
      <c r="BQ139" s="5"/>
      <c r="BR139" s="5"/>
      <c r="BS139" s="5"/>
      <c r="BT139" s="5"/>
    </row>
    <row r="140" spans="1:72" ht="20.100000000000001" customHeight="1">
      <c r="A140" s="382"/>
      <c r="B140" s="372" t="str">
        <f>IF(Creation_1!B140="",IFERROR(INDEX(Database_Charms,MATCH($N139,Database_Charms_Names,0),MATCH(Charms!$S$1,Database_Charms_Values,0)),""),Creation_1!B140)</f>
        <v/>
      </c>
      <c r="C140" s="372"/>
      <c r="D140" s="372"/>
      <c r="E140" s="372"/>
      <c r="F140" s="372"/>
      <c r="G140" s="372"/>
      <c r="H140" s="372"/>
      <c r="I140" s="372"/>
      <c r="J140" s="372"/>
      <c r="K140" s="372"/>
      <c r="L140" s="372"/>
      <c r="M140" s="372"/>
      <c r="N140" s="372"/>
      <c r="O140" s="372"/>
      <c r="P140" s="372"/>
      <c r="Q140" s="372"/>
      <c r="R140" s="372"/>
      <c r="S140" s="372"/>
      <c r="T140" s="372"/>
      <c r="U140" s="372"/>
      <c r="V140" s="372"/>
      <c r="W140" s="372"/>
      <c r="X140" s="372"/>
      <c r="Y140" s="372"/>
      <c r="Z140" s="372"/>
      <c r="AA140" s="372"/>
      <c r="AB140" s="372"/>
      <c r="AC140" s="372"/>
      <c r="AD140" s="372"/>
      <c r="AE140" s="372"/>
      <c r="AF140" s="372"/>
      <c r="AG140" s="372"/>
      <c r="AH140" s="372"/>
      <c r="AI140" s="372"/>
      <c r="AJ140" s="372"/>
      <c r="AK140" s="372"/>
      <c r="AL140" s="372"/>
      <c r="AM140" s="372"/>
      <c r="AN140" s="372"/>
      <c r="AO140" s="372"/>
      <c r="AP140" s="372"/>
      <c r="AQ140" s="372"/>
      <c r="AR140" s="372"/>
      <c r="AS140" s="372"/>
      <c r="AT140" s="372"/>
      <c r="AU140" s="372"/>
      <c r="AV140" s="372"/>
      <c r="AW140" s="372"/>
      <c r="AX140" s="372"/>
      <c r="AY140" s="373"/>
      <c r="AZ140" s="5"/>
      <c r="BA140" s="5"/>
      <c r="BB140" s="5"/>
      <c r="BC140" s="5"/>
      <c r="BD140" s="5"/>
      <c r="BE140" s="5"/>
      <c r="BF140" s="5"/>
      <c r="BG140" s="5"/>
      <c r="BH140" s="5"/>
      <c r="BI140" s="5"/>
      <c r="BJ140" s="5"/>
      <c r="BK140" s="5"/>
      <c r="BL140" s="5"/>
      <c r="BM140" s="5"/>
      <c r="BN140" s="5"/>
      <c r="BO140" s="5"/>
      <c r="BP140" s="5"/>
      <c r="BQ140" s="5"/>
      <c r="BR140" s="5"/>
      <c r="BS140" s="5"/>
      <c r="BT140" s="5"/>
    </row>
    <row r="141" spans="1:72" ht="20.100000000000001" customHeight="1">
      <c r="A141" s="382"/>
      <c r="B141" s="374"/>
      <c r="C141" s="374"/>
      <c r="D141" s="374"/>
      <c r="E141" s="374"/>
      <c r="F141" s="374"/>
      <c r="G141" s="374"/>
      <c r="H141" s="374"/>
      <c r="I141" s="374"/>
      <c r="J141" s="374"/>
      <c r="K141" s="374"/>
      <c r="L141" s="374"/>
      <c r="M141" s="374"/>
      <c r="N141" s="374"/>
      <c r="O141" s="374"/>
      <c r="P141" s="374"/>
      <c r="Q141" s="374"/>
      <c r="R141" s="374"/>
      <c r="S141" s="374"/>
      <c r="T141" s="374"/>
      <c r="U141" s="374"/>
      <c r="V141" s="374"/>
      <c r="W141" s="374"/>
      <c r="X141" s="374"/>
      <c r="Y141" s="374"/>
      <c r="Z141" s="374"/>
      <c r="AA141" s="374"/>
      <c r="AB141" s="374"/>
      <c r="AC141" s="374"/>
      <c r="AD141" s="374"/>
      <c r="AE141" s="374"/>
      <c r="AF141" s="374"/>
      <c r="AG141" s="374"/>
      <c r="AH141" s="374"/>
      <c r="AI141" s="374"/>
      <c r="AJ141" s="374"/>
      <c r="AK141" s="374"/>
      <c r="AL141" s="374"/>
      <c r="AM141" s="374"/>
      <c r="AN141" s="374"/>
      <c r="AO141" s="374"/>
      <c r="AP141" s="374"/>
      <c r="AQ141" s="374"/>
      <c r="AR141" s="374"/>
      <c r="AS141" s="374"/>
      <c r="AT141" s="374"/>
      <c r="AU141" s="374"/>
      <c r="AV141" s="374"/>
      <c r="AW141" s="374"/>
      <c r="AX141" s="374"/>
      <c r="AY141" s="375"/>
      <c r="AZ141" s="5"/>
      <c r="BA141" s="5"/>
      <c r="BB141" s="5"/>
      <c r="BC141" s="5"/>
      <c r="BD141" s="5"/>
      <c r="BE141" s="5"/>
      <c r="BF141" s="5"/>
      <c r="BG141" s="5"/>
      <c r="BH141" s="5"/>
      <c r="BI141" s="5"/>
      <c r="BJ141" s="5"/>
      <c r="BK141" s="5"/>
      <c r="BL141" s="5"/>
      <c r="BM141" s="5"/>
      <c r="BN141" s="5"/>
      <c r="BO141" s="5"/>
      <c r="BP141" s="5"/>
      <c r="BQ141" s="5"/>
      <c r="BR141" s="5"/>
      <c r="BS141" s="5"/>
      <c r="BT141" s="5"/>
    </row>
    <row r="142" spans="1:72" ht="20.100000000000001" customHeight="1">
      <c r="A142" s="382">
        <v>9</v>
      </c>
      <c r="B142" s="378" t="str">
        <f>IF(Creation_1!B142&lt;&gt;0,Creation_1!B142,IFERROR(INDEX(Database_Charms,MATCH($N142,Database_Charms_Names,0),MATCH(B$117,Database_Charms_Values,0)),""))</f>
        <v/>
      </c>
      <c r="C142" s="378"/>
      <c r="D142" s="378"/>
      <c r="E142" s="378"/>
      <c r="F142" s="378"/>
      <c r="G142" s="33"/>
      <c r="H142" s="378" t="str">
        <f>IF(Creation_1!H142&lt;&gt;"",Creation_1!H142,IF(B142&lt;&gt;0,B142,IFERROR(INDEX(Database_Charms,MATCH($N142,Database_Charms_Names,0),MATCH("Ability_Subtype",Database_Charms_Values,0)),"")))</f>
        <v/>
      </c>
      <c r="I142" s="378"/>
      <c r="J142" s="378"/>
      <c r="K142" s="378"/>
      <c r="L142" s="378"/>
      <c r="M142" s="23"/>
      <c r="N142" s="378" t="str">
        <f>IF(Creation_1!N142&lt;&gt;0,Creation_1!N142,"")</f>
        <v/>
      </c>
      <c r="O142" s="378"/>
      <c r="P142" s="378"/>
      <c r="Q142" s="378"/>
      <c r="R142" s="378"/>
      <c r="S142" s="378"/>
      <c r="T142" s="378"/>
      <c r="U142" s="378"/>
      <c r="V142" s="378"/>
      <c r="W142" s="378"/>
      <c r="X142" s="378"/>
      <c r="Y142" s="378"/>
      <c r="Z142" s="378"/>
      <c r="AA142" s="378"/>
      <c r="AB142" s="23"/>
      <c r="AC142" s="302" t="str">
        <f>IFERROR(INDEX(Database_Charms,MATCH($N142,Database_Charms_Names,0),MATCH(AC$117,Database_Charms_Values,0)),"")</f>
        <v/>
      </c>
      <c r="AD142" s="302"/>
      <c r="AE142" s="302"/>
      <c r="AF142" s="302"/>
      <c r="AG142" s="302"/>
      <c r="AH142" s="125"/>
      <c r="AI142" s="302" t="str">
        <f>IFERROR(INDEX(Database_Charms,MATCH($N142,Database_Charms_Names,0),MATCH(AI$117,Database_Charms_Values,0)),"")</f>
        <v/>
      </c>
      <c r="AJ142" s="302"/>
      <c r="AK142" s="302"/>
      <c r="AL142" s="302"/>
      <c r="AM142" s="125"/>
      <c r="AN142" s="302" t="str">
        <f>IFERROR(INDEX(Database_Charms,MATCH($N142,Database_Charms_Names,0),MATCH(AN$117,Database_Charms_Values,0)),"")</f>
        <v/>
      </c>
      <c r="AO142" s="302"/>
      <c r="AP142" s="302"/>
      <c r="AQ142" s="302"/>
      <c r="AR142" s="302"/>
      <c r="AS142" s="125"/>
      <c r="AT142" s="302" t="str">
        <f>IFERROR(INDEX(Database_Charms,MATCH($N142,Database_Charms_Names,0),MATCH(AT$117,Database_Charms_Values,0)),"")</f>
        <v/>
      </c>
      <c r="AU142" s="302"/>
      <c r="AV142" s="125"/>
      <c r="AW142" s="302" t="str">
        <f>IFERROR(INDEX(Database_Charms,MATCH($N142,Database_Charms_Names,0),MATCH(AW$117,Database_Charms_Values,0)),"")</f>
        <v/>
      </c>
      <c r="AX142" s="302"/>
      <c r="AY142" s="307"/>
      <c r="AZ142" s="5"/>
      <c r="BA142" s="5"/>
      <c r="BB142" s="5"/>
      <c r="BC142" s="5"/>
      <c r="BD142" s="5"/>
      <c r="BE142" s="5"/>
      <c r="BF142" s="5"/>
      <c r="BG142" s="5"/>
      <c r="BH142" s="5"/>
      <c r="BI142" s="5"/>
      <c r="BJ142" s="5"/>
      <c r="BK142" s="5"/>
      <c r="BL142" s="5"/>
      <c r="BM142" s="5"/>
      <c r="BN142" s="5"/>
      <c r="BO142" s="5"/>
      <c r="BP142" s="5"/>
      <c r="BQ142" s="5"/>
      <c r="BR142" s="5"/>
      <c r="BS142" s="5"/>
      <c r="BT142" s="5"/>
    </row>
    <row r="143" spans="1:72" ht="20.100000000000001" customHeight="1">
      <c r="A143" s="382"/>
      <c r="B143" s="372" t="str">
        <f>IF(Creation_1!B143="",IFERROR(INDEX(Database_Charms,MATCH($N142,Database_Charms_Names,0),MATCH(Charms!$S$1,Database_Charms_Values,0)),""),Creation_1!B143)</f>
        <v/>
      </c>
      <c r="C143" s="372"/>
      <c r="D143" s="372"/>
      <c r="E143" s="372"/>
      <c r="F143" s="372"/>
      <c r="G143" s="372"/>
      <c r="H143" s="372"/>
      <c r="I143" s="372"/>
      <c r="J143" s="372"/>
      <c r="K143" s="372"/>
      <c r="L143" s="372"/>
      <c r="M143" s="372"/>
      <c r="N143" s="372"/>
      <c r="O143" s="372"/>
      <c r="P143" s="372"/>
      <c r="Q143" s="372"/>
      <c r="R143" s="372"/>
      <c r="S143" s="372"/>
      <c r="T143" s="372"/>
      <c r="U143" s="372"/>
      <c r="V143" s="372"/>
      <c r="W143" s="372"/>
      <c r="X143" s="372"/>
      <c r="Y143" s="372"/>
      <c r="Z143" s="372"/>
      <c r="AA143" s="372"/>
      <c r="AB143" s="372"/>
      <c r="AC143" s="372"/>
      <c r="AD143" s="372"/>
      <c r="AE143" s="372"/>
      <c r="AF143" s="372"/>
      <c r="AG143" s="372"/>
      <c r="AH143" s="372"/>
      <c r="AI143" s="372"/>
      <c r="AJ143" s="372"/>
      <c r="AK143" s="372"/>
      <c r="AL143" s="372"/>
      <c r="AM143" s="372"/>
      <c r="AN143" s="372"/>
      <c r="AO143" s="372"/>
      <c r="AP143" s="372"/>
      <c r="AQ143" s="372"/>
      <c r="AR143" s="372"/>
      <c r="AS143" s="372"/>
      <c r="AT143" s="372"/>
      <c r="AU143" s="372"/>
      <c r="AV143" s="372"/>
      <c r="AW143" s="372"/>
      <c r="AX143" s="372"/>
      <c r="AY143" s="373"/>
      <c r="AZ143" s="5"/>
      <c r="BA143" s="5"/>
      <c r="BB143" s="5"/>
      <c r="BC143" s="5"/>
      <c r="BD143" s="5"/>
      <c r="BE143" s="5"/>
      <c r="BF143" s="5"/>
      <c r="BG143" s="5"/>
      <c r="BH143" s="5"/>
      <c r="BI143" s="5"/>
      <c r="BJ143" s="5"/>
      <c r="BK143" s="5"/>
      <c r="BL143" s="5"/>
      <c r="BM143" s="5"/>
      <c r="BN143" s="5"/>
      <c r="BO143" s="5"/>
      <c r="BP143" s="5"/>
      <c r="BQ143" s="5"/>
      <c r="BR143" s="5"/>
      <c r="BS143" s="5"/>
      <c r="BT143" s="5"/>
    </row>
    <row r="144" spans="1:72" ht="20.100000000000001" customHeight="1">
      <c r="A144" s="382"/>
      <c r="B144" s="374"/>
      <c r="C144" s="374"/>
      <c r="D144" s="374"/>
      <c r="E144" s="374"/>
      <c r="F144" s="374"/>
      <c r="G144" s="374"/>
      <c r="H144" s="374"/>
      <c r="I144" s="374"/>
      <c r="J144" s="374"/>
      <c r="K144" s="374"/>
      <c r="L144" s="374"/>
      <c r="M144" s="374"/>
      <c r="N144" s="374"/>
      <c r="O144" s="374"/>
      <c r="P144" s="374"/>
      <c r="Q144" s="374"/>
      <c r="R144" s="374"/>
      <c r="S144" s="374"/>
      <c r="T144" s="374"/>
      <c r="U144" s="374"/>
      <c r="V144" s="374"/>
      <c r="W144" s="374"/>
      <c r="X144" s="374"/>
      <c r="Y144" s="374"/>
      <c r="Z144" s="374"/>
      <c r="AA144" s="374"/>
      <c r="AB144" s="374"/>
      <c r="AC144" s="374"/>
      <c r="AD144" s="374"/>
      <c r="AE144" s="374"/>
      <c r="AF144" s="374"/>
      <c r="AG144" s="374"/>
      <c r="AH144" s="374"/>
      <c r="AI144" s="374"/>
      <c r="AJ144" s="374"/>
      <c r="AK144" s="374"/>
      <c r="AL144" s="374"/>
      <c r="AM144" s="374"/>
      <c r="AN144" s="374"/>
      <c r="AO144" s="374"/>
      <c r="AP144" s="374"/>
      <c r="AQ144" s="374"/>
      <c r="AR144" s="374"/>
      <c r="AS144" s="374"/>
      <c r="AT144" s="374"/>
      <c r="AU144" s="374"/>
      <c r="AV144" s="374"/>
      <c r="AW144" s="374"/>
      <c r="AX144" s="374"/>
      <c r="AY144" s="375"/>
      <c r="AZ144" s="5"/>
      <c r="BA144" s="5"/>
      <c r="BB144" s="5"/>
      <c r="BC144" s="5"/>
      <c r="BD144" s="5"/>
      <c r="BE144" s="5"/>
      <c r="BF144" s="5"/>
      <c r="BG144" s="5"/>
      <c r="BH144" s="5"/>
      <c r="BI144" s="5"/>
      <c r="BJ144" s="5"/>
      <c r="BK144" s="5"/>
      <c r="BL144" s="5"/>
      <c r="BM144" s="5"/>
      <c r="BN144" s="5"/>
      <c r="BO144" s="5"/>
      <c r="BP144" s="5"/>
      <c r="BQ144" s="5"/>
      <c r="BR144" s="5"/>
      <c r="BS144" s="5"/>
      <c r="BT144" s="5"/>
    </row>
    <row r="145" spans="1:72" ht="20.100000000000001" customHeight="1">
      <c r="A145" s="382">
        <v>10</v>
      </c>
      <c r="B145" s="378" t="str">
        <f>IF(Creation_1!B145&lt;&gt;0,Creation_1!B145,IFERROR(INDEX(Database_Charms,MATCH($N145,Database_Charms_Names,0),MATCH(B$117,Database_Charms_Values,0)),""))</f>
        <v/>
      </c>
      <c r="C145" s="378"/>
      <c r="D145" s="378"/>
      <c r="E145" s="378"/>
      <c r="F145" s="378"/>
      <c r="G145" s="33"/>
      <c r="H145" s="378" t="str">
        <f>IF(Creation_1!H145&lt;&gt;"",Creation_1!H145,IF(B145&lt;&gt;0,B145,IFERROR(INDEX(Database_Charms,MATCH($N145,Database_Charms_Names,0),MATCH("Ability_Subtype",Database_Charms_Values,0)),"")))</f>
        <v/>
      </c>
      <c r="I145" s="378"/>
      <c r="J145" s="378"/>
      <c r="K145" s="378"/>
      <c r="L145" s="378"/>
      <c r="M145" s="23"/>
      <c r="N145" s="378" t="str">
        <f>IF(Creation_1!N145&lt;&gt;0,Creation_1!N145,"")</f>
        <v/>
      </c>
      <c r="O145" s="378"/>
      <c r="P145" s="378"/>
      <c r="Q145" s="378"/>
      <c r="R145" s="378"/>
      <c r="S145" s="378"/>
      <c r="T145" s="378"/>
      <c r="U145" s="378"/>
      <c r="V145" s="378"/>
      <c r="W145" s="378"/>
      <c r="X145" s="378"/>
      <c r="Y145" s="378"/>
      <c r="Z145" s="378"/>
      <c r="AA145" s="378"/>
      <c r="AB145" s="23"/>
      <c r="AC145" s="302" t="str">
        <f>IFERROR(INDEX(Database_Charms,MATCH($N145,Database_Charms_Names,0),MATCH(AC$117,Database_Charms_Values,0)),"")</f>
        <v/>
      </c>
      <c r="AD145" s="302"/>
      <c r="AE145" s="302"/>
      <c r="AF145" s="302"/>
      <c r="AG145" s="302"/>
      <c r="AH145" s="125"/>
      <c r="AI145" s="302" t="str">
        <f>IFERROR(INDEX(Database_Charms,MATCH($N145,Database_Charms_Names,0),MATCH(AI$117,Database_Charms_Values,0)),"")</f>
        <v/>
      </c>
      <c r="AJ145" s="302"/>
      <c r="AK145" s="302"/>
      <c r="AL145" s="302"/>
      <c r="AM145" s="125"/>
      <c r="AN145" s="302" t="str">
        <f>IFERROR(INDEX(Database_Charms,MATCH($N145,Database_Charms_Names,0),MATCH(AN$117,Database_Charms_Values,0)),"")</f>
        <v/>
      </c>
      <c r="AO145" s="302"/>
      <c r="AP145" s="302"/>
      <c r="AQ145" s="302"/>
      <c r="AR145" s="302"/>
      <c r="AS145" s="125"/>
      <c r="AT145" s="302" t="str">
        <f>IFERROR(INDEX(Database_Charms,MATCH($N145,Database_Charms_Names,0),MATCH(AT$117,Database_Charms_Values,0)),"")</f>
        <v/>
      </c>
      <c r="AU145" s="302"/>
      <c r="AV145" s="125"/>
      <c r="AW145" s="302" t="str">
        <f>IFERROR(INDEX(Database_Charms,MATCH($N145,Database_Charms_Names,0),MATCH(AW$117,Database_Charms_Values,0)),"")</f>
        <v/>
      </c>
      <c r="AX145" s="302"/>
      <c r="AY145" s="307"/>
      <c r="AZ145" s="5"/>
      <c r="BA145" s="5"/>
      <c r="BB145" s="5"/>
      <c r="BC145" s="5"/>
      <c r="BD145" s="5"/>
      <c r="BE145" s="5"/>
      <c r="BF145" s="5"/>
      <c r="BG145" s="5"/>
      <c r="BH145" s="5"/>
      <c r="BI145" s="5"/>
      <c r="BJ145" s="5"/>
      <c r="BK145" s="5"/>
      <c r="BL145" s="5"/>
      <c r="BM145" s="5"/>
      <c r="BN145" s="5"/>
      <c r="BO145" s="5"/>
      <c r="BP145" s="5"/>
      <c r="BQ145" s="5"/>
      <c r="BR145" s="5"/>
      <c r="BS145" s="5"/>
      <c r="BT145" s="5"/>
    </row>
    <row r="146" spans="1:72" ht="20.100000000000001" customHeight="1">
      <c r="A146" s="382"/>
      <c r="B146" s="372" t="str">
        <f>IF(Creation_1!B146="",IFERROR(INDEX(Database_Charms,MATCH($N145,Database_Charms_Names,0),MATCH(Charms!$S$1,Database_Charms_Values,0)),""),Creation_1!B146)</f>
        <v/>
      </c>
      <c r="C146" s="372"/>
      <c r="D146" s="372"/>
      <c r="E146" s="372"/>
      <c r="F146" s="372"/>
      <c r="G146" s="372"/>
      <c r="H146" s="372"/>
      <c r="I146" s="372"/>
      <c r="J146" s="372"/>
      <c r="K146" s="372"/>
      <c r="L146" s="372"/>
      <c r="M146" s="372"/>
      <c r="N146" s="372"/>
      <c r="O146" s="372"/>
      <c r="P146" s="372"/>
      <c r="Q146" s="372"/>
      <c r="R146" s="372"/>
      <c r="S146" s="372"/>
      <c r="T146" s="372"/>
      <c r="U146" s="372"/>
      <c r="V146" s="372"/>
      <c r="W146" s="372"/>
      <c r="X146" s="372"/>
      <c r="Y146" s="372"/>
      <c r="Z146" s="372"/>
      <c r="AA146" s="372"/>
      <c r="AB146" s="372"/>
      <c r="AC146" s="372"/>
      <c r="AD146" s="372"/>
      <c r="AE146" s="372"/>
      <c r="AF146" s="372"/>
      <c r="AG146" s="372"/>
      <c r="AH146" s="372"/>
      <c r="AI146" s="372"/>
      <c r="AJ146" s="372"/>
      <c r="AK146" s="372"/>
      <c r="AL146" s="372"/>
      <c r="AM146" s="372"/>
      <c r="AN146" s="372"/>
      <c r="AO146" s="372"/>
      <c r="AP146" s="372"/>
      <c r="AQ146" s="372"/>
      <c r="AR146" s="372"/>
      <c r="AS146" s="372"/>
      <c r="AT146" s="372"/>
      <c r="AU146" s="372"/>
      <c r="AV146" s="372"/>
      <c r="AW146" s="372"/>
      <c r="AX146" s="372"/>
      <c r="AY146" s="373"/>
      <c r="AZ146" s="5"/>
      <c r="BA146" s="5"/>
      <c r="BB146" s="5"/>
      <c r="BC146" s="5"/>
      <c r="BD146" s="5"/>
      <c r="BE146" s="5"/>
      <c r="BF146" s="5"/>
      <c r="BG146" s="5"/>
      <c r="BH146" s="5"/>
      <c r="BI146" s="5"/>
      <c r="BJ146" s="5"/>
      <c r="BK146" s="5"/>
      <c r="BL146" s="5"/>
      <c r="BM146" s="5"/>
      <c r="BN146" s="5"/>
      <c r="BO146" s="5"/>
      <c r="BP146" s="5"/>
      <c r="BQ146" s="5"/>
      <c r="BR146" s="5"/>
      <c r="BS146" s="5"/>
      <c r="BT146" s="5"/>
    </row>
    <row r="147" spans="1:72" ht="20.100000000000001" customHeight="1">
      <c r="A147" s="382"/>
      <c r="B147" s="374"/>
      <c r="C147" s="374"/>
      <c r="D147" s="374"/>
      <c r="E147" s="374"/>
      <c r="F147" s="374"/>
      <c r="G147" s="374"/>
      <c r="H147" s="374"/>
      <c r="I147" s="374"/>
      <c r="J147" s="374"/>
      <c r="K147" s="374"/>
      <c r="L147" s="374"/>
      <c r="M147" s="374"/>
      <c r="N147" s="374"/>
      <c r="O147" s="374"/>
      <c r="P147" s="374"/>
      <c r="Q147" s="374"/>
      <c r="R147" s="374"/>
      <c r="S147" s="374"/>
      <c r="T147" s="374"/>
      <c r="U147" s="374"/>
      <c r="V147" s="374"/>
      <c r="W147" s="374"/>
      <c r="X147" s="374"/>
      <c r="Y147" s="374"/>
      <c r="Z147" s="374"/>
      <c r="AA147" s="374"/>
      <c r="AB147" s="374"/>
      <c r="AC147" s="374"/>
      <c r="AD147" s="374"/>
      <c r="AE147" s="374"/>
      <c r="AF147" s="374"/>
      <c r="AG147" s="374"/>
      <c r="AH147" s="374"/>
      <c r="AI147" s="374"/>
      <c r="AJ147" s="374"/>
      <c r="AK147" s="374"/>
      <c r="AL147" s="374"/>
      <c r="AM147" s="374"/>
      <c r="AN147" s="374"/>
      <c r="AO147" s="374"/>
      <c r="AP147" s="374"/>
      <c r="AQ147" s="374"/>
      <c r="AR147" s="374"/>
      <c r="AS147" s="374"/>
      <c r="AT147" s="374"/>
      <c r="AU147" s="374"/>
      <c r="AV147" s="374"/>
      <c r="AW147" s="374"/>
      <c r="AX147" s="374"/>
      <c r="AY147" s="375"/>
      <c r="AZ147" s="5"/>
      <c r="BA147" s="5"/>
      <c r="BB147" s="5"/>
      <c r="BC147" s="5"/>
      <c r="BD147" s="5"/>
      <c r="BE147" s="5"/>
      <c r="BF147" s="5"/>
      <c r="BG147" s="5"/>
      <c r="BH147" s="5"/>
      <c r="BI147" s="5"/>
      <c r="BJ147" s="5"/>
      <c r="BK147" s="5"/>
      <c r="BL147" s="5"/>
      <c r="BM147" s="5"/>
      <c r="BN147" s="5"/>
      <c r="BO147" s="5"/>
      <c r="BP147" s="5"/>
      <c r="BQ147" s="5"/>
      <c r="BR147" s="5"/>
      <c r="BS147" s="5"/>
      <c r="BT147" s="5"/>
    </row>
    <row r="148" spans="1:72" ht="20.100000000000001" customHeight="1">
      <c r="A148" s="382">
        <v>11</v>
      </c>
      <c r="B148" s="378" t="str">
        <f>IF(Creation_1!B148&lt;&gt;0,Creation_1!B148,IFERROR(INDEX(Database_Charms,MATCH($N148,Database_Charms_Names,0),MATCH(B$117,Database_Charms_Values,0)),""))</f>
        <v/>
      </c>
      <c r="C148" s="378"/>
      <c r="D148" s="378"/>
      <c r="E148" s="378"/>
      <c r="F148" s="378"/>
      <c r="G148" s="33"/>
      <c r="H148" s="378" t="str">
        <f>IF(Creation_1!H148&lt;&gt;"",Creation_1!H148,IF(B148&lt;&gt;0,B148,IFERROR(INDEX(Database_Charms,MATCH($N148,Database_Charms_Names,0),MATCH("Ability_Subtype",Database_Charms_Values,0)),"")))</f>
        <v/>
      </c>
      <c r="I148" s="378"/>
      <c r="J148" s="378"/>
      <c r="K148" s="378"/>
      <c r="L148" s="378"/>
      <c r="M148" s="23"/>
      <c r="N148" s="378" t="str">
        <f>IF(Creation_1!N148&lt;&gt;0,Creation_1!N148,"")</f>
        <v/>
      </c>
      <c r="O148" s="378"/>
      <c r="P148" s="378"/>
      <c r="Q148" s="378"/>
      <c r="R148" s="378"/>
      <c r="S148" s="378"/>
      <c r="T148" s="378"/>
      <c r="U148" s="378"/>
      <c r="V148" s="378"/>
      <c r="W148" s="378"/>
      <c r="X148" s="378"/>
      <c r="Y148" s="378"/>
      <c r="Z148" s="378"/>
      <c r="AA148" s="378"/>
      <c r="AB148" s="23"/>
      <c r="AC148" s="302" t="str">
        <f>IFERROR(INDEX(Database_Charms,MATCH($N148,Database_Charms_Names,0),MATCH(AC$117,Database_Charms_Values,0)),"")</f>
        <v/>
      </c>
      <c r="AD148" s="302"/>
      <c r="AE148" s="302"/>
      <c r="AF148" s="302"/>
      <c r="AG148" s="302"/>
      <c r="AH148" s="125"/>
      <c r="AI148" s="302" t="str">
        <f>IFERROR(INDEX(Database_Charms,MATCH($N148,Database_Charms_Names,0),MATCH(AI$117,Database_Charms_Values,0)),"")</f>
        <v/>
      </c>
      <c r="AJ148" s="302"/>
      <c r="AK148" s="302"/>
      <c r="AL148" s="302"/>
      <c r="AM148" s="125"/>
      <c r="AN148" s="302" t="str">
        <f>IFERROR(INDEX(Database_Charms,MATCH($N148,Database_Charms_Names,0),MATCH(AN$117,Database_Charms_Values,0)),"")</f>
        <v/>
      </c>
      <c r="AO148" s="302"/>
      <c r="AP148" s="302"/>
      <c r="AQ148" s="302"/>
      <c r="AR148" s="302"/>
      <c r="AS148" s="125"/>
      <c r="AT148" s="302" t="str">
        <f>IFERROR(INDEX(Database_Charms,MATCH($N148,Database_Charms_Names,0),MATCH(AT$117,Database_Charms_Values,0)),"")</f>
        <v/>
      </c>
      <c r="AU148" s="302"/>
      <c r="AV148" s="125"/>
      <c r="AW148" s="302" t="str">
        <f>IFERROR(INDEX(Database_Charms,MATCH($N148,Database_Charms_Names,0),MATCH(AW$117,Database_Charms_Values,0)),"")</f>
        <v/>
      </c>
      <c r="AX148" s="302"/>
      <c r="AY148" s="307"/>
      <c r="AZ148" s="5"/>
      <c r="BA148" s="5"/>
      <c r="BB148" s="5"/>
      <c r="BC148" s="5"/>
      <c r="BD148" s="5"/>
      <c r="BE148" s="5"/>
      <c r="BF148" s="5"/>
      <c r="BG148" s="5"/>
      <c r="BH148" s="5"/>
      <c r="BI148" s="5"/>
      <c r="BJ148" s="5"/>
      <c r="BK148" s="5"/>
      <c r="BL148" s="5"/>
      <c r="BM148" s="5"/>
      <c r="BN148" s="5"/>
      <c r="BO148" s="5"/>
      <c r="BP148" s="5"/>
      <c r="BQ148" s="5"/>
      <c r="BR148" s="5"/>
      <c r="BS148" s="5"/>
      <c r="BT148" s="5"/>
    </row>
    <row r="149" spans="1:72" ht="20.100000000000001" customHeight="1">
      <c r="A149" s="382"/>
      <c r="B149" s="372" t="str">
        <f>IF(Creation_1!B149="",IFERROR(INDEX(Database_Charms,MATCH($N148,Database_Charms_Names,0),MATCH(Charms!$S$1,Database_Charms_Values,0)),""),Creation_1!B149)</f>
        <v/>
      </c>
      <c r="C149" s="372"/>
      <c r="D149" s="372"/>
      <c r="E149" s="372"/>
      <c r="F149" s="372"/>
      <c r="G149" s="372"/>
      <c r="H149" s="372"/>
      <c r="I149" s="372"/>
      <c r="J149" s="372"/>
      <c r="K149" s="372"/>
      <c r="L149" s="372"/>
      <c r="M149" s="372"/>
      <c r="N149" s="372"/>
      <c r="O149" s="372"/>
      <c r="P149" s="372"/>
      <c r="Q149" s="372"/>
      <c r="R149" s="372"/>
      <c r="S149" s="372"/>
      <c r="T149" s="372"/>
      <c r="U149" s="372"/>
      <c r="V149" s="372"/>
      <c r="W149" s="372"/>
      <c r="X149" s="372"/>
      <c r="Y149" s="372"/>
      <c r="Z149" s="372"/>
      <c r="AA149" s="372"/>
      <c r="AB149" s="372"/>
      <c r="AC149" s="372"/>
      <c r="AD149" s="372"/>
      <c r="AE149" s="372"/>
      <c r="AF149" s="372"/>
      <c r="AG149" s="372"/>
      <c r="AH149" s="372"/>
      <c r="AI149" s="372"/>
      <c r="AJ149" s="372"/>
      <c r="AK149" s="372"/>
      <c r="AL149" s="372"/>
      <c r="AM149" s="372"/>
      <c r="AN149" s="372"/>
      <c r="AO149" s="372"/>
      <c r="AP149" s="372"/>
      <c r="AQ149" s="372"/>
      <c r="AR149" s="372"/>
      <c r="AS149" s="372"/>
      <c r="AT149" s="372"/>
      <c r="AU149" s="372"/>
      <c r="AV149" s="372"/>
      <c r="AW149" s="372"/>
      <c r="AX149" s="372"/>
      <c r="AY149" s="373"/>
      <c r="AZ149" s="5"/>
      <c r="BA149" s="5"/>
      <c r="BB149" s="5"/>
      <c r="BC149" s="5"/>
      <c r="BD149" s="5"/>
      <c r="BE149" s="5"/>
      <c r="BF149" s="5"/>
      <c r="BG149" s="5"/>
      <c r="BH149" s="5"/>
      <c r="BI149" s="5"/>
      <c r="BJ149" s="5"/>
      <c r="BK149" s="5"/>
      <c r="BL149" s="5"/>
      <c r="BM149" s="5"/>
      <c r="BN149" s="5"/>
      <c r="BO149" s="5"/>
      <c r="BP149" s="5"/>
      <c r="BQ149" s="5"/>
      <c r="BR149" s="5"/>
      <c r="BS149" s="5"/>
      <c r="BT149" s="5"/>
    </row>
    <row r="150" spans="1:72" ht="20.100000000000001" customHeight="1">
      <c r="A150" s="382"/>
      <c r="B150" s="374"/>
      <c r="C150" s="374"/>
      <c r="D150" s="374"/>
      <c r="E150" s="374"/>
      <c r="F150" s="374"/>
      <c r="G150" s="374"/>
      <c r="H150" s="374"/>
      <c r="I150" s="374"/>
      <c r="J150" s="374"/>
      <c r="K150" s="374"/>
      <c r="L150" s="374"/>
      <c r="M150" s="374"/>
      <c r="N150" s="374"/>
      <c r="O150" s="374"/>
      <c r="P150" s="374"/>
      <c r="Q150" s="374"/>
      <c r="R150" s="374"/>
      <c r="S150" s="374"/>
      <c r="T150" s="374"/>
      <c r="U150" s="374"/>
      <c r="V150" s="374"/>
      <c r="W150" s="374"/>
      <c r="X150" s="374"/>
      <c r="Y150" s="374"/>
      <c r="Z150" s="374"/>
      <c r="AA150" s="374"/>
      <c r="AB150" s="374"/>
      <c r="AC150" s="374"/>
      <c r="AD150" s="374"/>
      <c r="AE150" s="374"/>
      <c r="AF150" s="374"/>
      <c r="AG150" s="374"/>
      <c r="AH150" s="374"/>
      <c r="AI150" s="374"/>
      <c r="AJ150" s="374"/>
      <c r="AK150" s="374"/>
      <c r="AL150" s="374"/>
      <c r="AM150" s="374"/>
      <c r="AN150" s="374"/>
      <c r="AO150" s="374"/>
      <c r="AP150" s="374"/>
      <c r="AQ150" s="374"/>
      <c r="AR150" s="374"/>
      <c r="AS150" s="374"/>
      <c r="AT150" s="374"/>
      <c r="AU150" s="374"/>
      <c r="AV150" s="374"/>
      <c r="AW150" s="374"/>
      <c r="AX150" s="374"/>
      <c r="AY150" s="375"/>
      <c r="AZ150" s="5"/>
      <c r="BA150" s="5"/>
      <c r="BB150" s="5"/>
      <c r="BC150" s="5"/>
      <c r="BD150" s="5"/>
      <c r="BE150" s="5"/>
      <c r="BF150" s="5"/>
      <c r="BG150" s="5"/>
      <c r="BH150" s="5"/>
      <c r="BI150" s="5"/>
      <c r="BJ150" s="5"/>
      <c r="BK150" s="5"/>
      <c r="BL150" s="5"/>
      <c r="BM150" s="5"/>
      <c r="BN150" s="5"/>
      <c r="BO150" s="5"/>
      <c r="BP150" s="5"/>
      <c r="BQ150" s="5"/>
      <c r="BR150" s="5"/>
      <c r="BS150" s="5"/>
      <c r="BT150" s="5"/>
    </row>
    <row r="151" spans="1:72" ht="20.100000000000001" customHeight="1" thickBot="1">
      <c r="A151" s="382">
        <v>12</v>
      </c>
      <c r="B151" s="378" t="str">
        <f>IF(Creation_1!B151&lt;&gt;0,Creation_1!B151,IFERROR(INDEX(Database_Charms,MATCH($N151,Database_Charms_Names,0),MATCH(B$117,Database_Charms_Values,0)),""))</f>
        <v/>
      </c>
      <c r="C151" s="378"/>
      <c r="D151" s="378"/>
      <c r="E151" s="378"/>
      <c r="F151" s="378"/>
      <c r="G151" s="33"/>
      <c r="H151" s="378" t="str">
        <f>IF(Creation_1!H151&lt;&gt;"",Creation_1!H151,IF(B151&lt;&gt;0,B151,IFERROR(INDEX(Database_Charms,MATCH($N151,Database_Charms_Names,0),MATCH("Ability_Subtype",Database_Charms_Values,0)),"")))</f>
        <v/>
      </c>
      <c r="I151" s="378"/>
      <c r="J151" s="378"/>
      <c r="K151" s="378"/>
      <c r="L151" s="378"/>
      <c r="M151" s="23"/>
      <c r="N151" s="378" t="str">
        <f>IF(Creation_1!N151&lt;&gt;0,Creation_1!N151,"")</f>
        <v/>
      </c>
      <c r="O151" s="378"/>
      <c r="P151" s="378"/>
      <c r="Q151" s="378"/>
      <c r="R151" s="378"/>
      <c r="S151" s="378"/>
      <c r="T151" s="378"/>
      <c r="U151" s="378"/>
      <c r="V151" s="378"/>
      <c r="W151" s="378"/>
      <c r="X151" s="378"/>
      <c r="Y151" s="378"/>
      <c r="Z151" s="378"/>
      <c r="AA151" s="378"/>
      <c r="AB151" s="23"/>
      <c r="AC151" s="302" t="str">
        <f>IFERROR(INDEX(Database_Charms,MATCH($N151,Database_Charms_Names,0),MATCH(AC$117,Database_Charms_Values,0)),"")</f>
        <v/>
      </c>
      <c r="AD151" s="302"/>
      <c r="AE151" s="302"/>
      <c r="AF151" s="302"/>
      <c r="AG151" s="302"/>
      <c r="AH151" s="125"/>
      <c r="AI151" s="302" t="str">
        <f>IFERROR(INDEX(Database_Charms,MATCH($N151,Database_Charms_Names,0),MATCH(AI$117,Database_Charms_Values,0)),"")</f>
        <v/>
      </c>
      <c r="AJ151" s="302"/>
      <c r="AK151" s="302"/>
      <c r="AL151" s="302"/>
      <c r="AM151" s="125"/>
      <c r="AN151" s="302" t="str">
        <f>IFERROR(INDEX(Database_Charms,MATCH($N151,Database_Charms_Names,0),MATCH(AN$117,Database_Charms_Values,0)),"")</f>
        <v/>
      </c>
      <c r="AO151" s="302"/>
      <c r="AP151" s="302"/>
      <c r="AQ151" s="302"/>
      <c r="AR151" s="302"/>
      <c r="AS151" s="125"/>
      <c r="AT151" s="302" t="str">
        <f>IFERROR(INDEX(Database_Charms,MATCH($N151,Database_Charms_Names,0),MATCH(AT$117,Database_Charms_Values,0)),"")</f>
        <v/>
      </c>
      <c r="AU151" s="302"/>
      <c r="AV151" s="125"/>
      <c r="AW151" s="302" t="str">
        <f>IFERROR(INDEX(Database_Charms,MATCH($N151,Database_Charms_Names,0),MATCH(AW$117,Database_Charms_Values,0)),"")</f>
        <v/>
      </c>
      <c r="AX151" s="302"/>
      <c r="AY151" s="307"/>
      <c r="AZ151" s="5"/>
      <c r="BA151" s="5"/>
      <c r="BB151" s="5"/>
      <c r="BC151" s="5"/>
      <c r="BD151" s="5"/>
      <c r="BE151" s="5"/>
      <c r="BF151" s="5"/>
      <c r="BG151" s="5"/>
      <c r="BH151" s="5"/>
      <c r="BI151" s="5"/>
      <c r="BJ151" s="5"/>
      <c r="BK151" s="5"/>
      <c r="BL151" s="5"/>
      <c r="BM151" s="5"/>
      <c r="BN151" s="5"/>
      <c r="BO151" s="5"/>
      <c r="BP151" s="5"/>
      <c r="BQ151" s="5"/>
      <c r="BR151" s="5"/>
      <c r="BS151" s="5"/>
      <c r="BT151" s="5"/>
    </row>
    <row r="152" spans="1:72" ht="20.100000000000001" customHeight="1">
      <c r="A152" s="382"/>
      <c r="B152" s="372" t="str">
        <f>IF(Creation_1!B152="",IFERROR(INDEX(Database_Charms,MATCH($N151,Database_Charms_Names,0),MATCH(Charms!$S$1,Database_Charms_Values,0)),""),Creation_1!B152)</f>
        <v/>
      </c>
      <c r="C152" s="372"/>
      <c r="D152" s="372"/>
      <c r="E152" s="372"/>
      <c r="F152" s="372"/>
      <c r="G152" s="372"/>
      <c r="H152" s="372"/>
      <c r="I152" s="372"/>
      <c r="J152" s="372"/>
      <c r="K152" s="372"/>
      <c r="L152" s="372"/>
      <c r="M152" s="372"/>
      <c r="N152" s="372"/>
      <c r="O152" s="372"/>
      <c r="P152" s="372"/>
      <c r="Q152" s="372"/>
      <c r="R152" s="372"/>
      <c r="S152" s="372"/>
      <c r="T152" s="372"/>
      <c r="U152" s="372"/>
      <c r="V152" s="372"/>
      <c r="W152" s="372"/>
      <c r="X152" s="372"/>
      <c r="Y152" s="372"/>
      <c r="Z152" s="372"/>
      <c r="AA152" s="372"/>
      <c r="AB152" s="372"/>
      <c r="AC152" s="372"/>
      <c r="AD152" s="372"/>
      <c r="AE152" s="372"/>
      <c r="AF152" s="372"/>
      <c r="AG152" s="372"/>
      <c r="AH152" s="372"/>
      <c r="AI152" s="372"/>
      <c r="AJ152" s="372"/>
      <c r="AK152" s="372"/>
      <c r="AL152" s="372"/>
      <c r="AM152" s="372"/>
      <c r="AN152" s="372"/>
      <c r="AO152" s="372"/>
      <c r="AP152" s="372"/>
      <c r="AQ152" s="372"/>
      <c r="AR152" s="372"/>
      <c r="AS152" s="372"/>
      <c r="AT152" s="372"/>
      <c r="AU152" s="372"/>
      <c r="AV152" s="372"/>
      <c r="AW152" s="372"/>
      <c r="AX152" s="372"/>
      <c r="AY152" s="373"/>
      <c r="AZ152" s="5"/>
      <c r="BA152" s="434" t="str">
        <f>$BA$8</f>
        <v>You must go back to Creation_1 to spend your Attributes points properly</v>
      </c>
      <c r="BB152" s="435"/>
      <c r="BC152" s="435"/>
      <c r="BD152" s="435"/>
      <c r="BE152" s="435"/>
      <c r="BF152" s="435"/>
      <c r="BG152" s="435"/>
      <c r="BH152" s="435"/>
      <c r="BI152" s="435"/>
      <c r="BJ152" s="435"/>
      <c r="BK152" s="435"/>
      <c r="BL152" s="435"/>
      <c r="BM152" s="435"/>
      <c r="BN152" s="436"/>
      <c r="BO152" s="5"/>
      <c r="BP152" s="5"/>
      <c r="BQ152" s="5"/>
      <c r="BR152" s="5"/>
      <c r="BS152" s="5"/>
      <c r="BT152" s="5"/>
    </row>
    <row r="153" spans="1:72" ht="20.100000000000001" customHeight="1" thickBot="1">
      <c r="A153" s="382"/>
      <c r="B153" s="374"/>
      <c r="C153" s="374"/>
      <c r="D153" s="374"/>
      <c r="E153" s="374"/>
      <c r="F153" s="374"/>
      <c r="G153" s="374"/>
      <c r="H153" s="374"/>
      <c r="I153" s="374"/>
      <c r="J153" s="374"/>
      <c r="K153" s="374"/>
      <c r="L153" s="374"/>
      <c r="M153" s="374"/>
      <c r="N153" s="374"/>
      <c r="O153" s="374"/>
      <c r="P153" s="374"/>
      <c r="Q153" s="374"/>
      <c r="R153" s="374"/>
      <c r="S153" s="374"/>
      <c r="T153" s="374"/>
      <c r="U153" s="374"/>
      <c r="V153" s="374"/>
      <c r="W153" s="374"/>
      <c r="X153" s="374"/>
      <c r="Y153" s="374"/>
      <c r="Z153" s="374"/>
      <c r="AA153" s="374"/>
      <c r="AB153" s="374"/>
      <c r="AC153" s="374"/>
      <c r="AD153" s="374"/>
      <c r="AE153" s="374"/>
      <c r="AF153" s="374"/>
      <c r="AG153" s="374"/>
      <c r="AH153" s="374"/>
      <c r="AI153" s="374"/>
      <c r="AJ153" s="374"/>
      <c r="AK153" s="374"/>
      <c r="AL153" s="374"/>
      <c r="AM153" s="374"/>
      <c r="AN153" s="374"/>
      <c r="AO153" s="374"/>
      <c r="AP153" s="374"/>
      <c r="AQ153" s="374"/>
      <c r="AR153" s="374"/>
      <c r="AS153" s="374"/>
      <c r="AT153" s="374"/>
      <c r="AU153" s="374"/>
      <c r="AV153" s="374"/>
      <c r="AW153" s="374"/>
      <c r="AX153" s="374"/>
      <c r="AY153" s="375"/>
      <c r="AZ153" s="5"/>
      <c r="BA153" s="437"/>
      <c r="BB153" s="438"/>
      <c r="BC153" s="438"/>
      <c r="BD153" s="438"/>
      <c r="BE153" s="438"/>
      <c r="BF153" s="438"/>
      <c r="BG153" s="438"/>
      <c r="BH153" s="438"/>
      <c r="BI153" s="438"/>
      <c r="BJ153" s="438"/>
      <c r="BK153" s="438"/>
      <c r="BL153" s="438"/>
      <c r="BM153" s="438"/>
      <c r="BN153" s="439"/>
      <c r="BO153" s="5"/>
      <c r="BP153" s="5"/>
      <c r="BQ153" s="5"/>
      <c r="BR153" s="5"/>
      <c r="BS153" s="5"/>
      <c r="BT153" s="5"/>
    </row>
    <row r="154" spans="1:72" ht="20.100000000000001" customHeight="1">
      <c r="A154" s="382">
        <v>13</v>
      </c>
      <c r="B154" s="378" t="str">
        <f>IF(Creation_1!B154&lt;&gt;0,Creation_1!B154,IFERROR(INDEX(Database_Charms,MATCH($N154,Database_Charms_Names,0),MATCH(B$117,Database_Charms_Values,0)),""))</f>
        <v/>
      </c>
      <c r="C154" s="378"/>
      <c r="D154" s="378"/>
      <c r="E154" s="378"/>
      <c r="F154" s="378"/>
      <c r="G154" s="33"/>
      <c r="H154" s="378" t="str">
        <f>IF(Creation_1!H154&lt;&gt;"",Creation_1!H154,IF(B154&lt;&gt;0,B154,IFERROR(INDEX(Database_Charms,MATCH($N154,Database_Charms_Names,0),MATCH("Ability_Subtype",Database_Charms_Values,0)),"")))</f>
        <v/>
      </c>
      <c r="I154" s="378"/>
      <c r="J154" s="378"/>
      <c r="K154" s="378"/>
      <c r="L154" s="378"/>
      <c r="M154" s="23"/>
      <c r="N154" s="378" t="str">
        <f>IF(Creation_1!N154&lt;&gt;0,Creation_1!N154,"")</f>
        <v/>
      </c>
      <c r="O154" s="378"/>
      <c r="P154" s="378"/>
      <c r="Q154" s="378"/>
      <c r="R154" s="378"/>
      <c r="S154" s="378"/>
      <c r="T154" s="378"/>
      <c r="U154" s="378"/>
      <c r="V154" s="378"/>
      <c r="W154" s="378"/>
      <c r="X154" s="378"/>
      <c r="Y154" s="378"/>
      <c r="Z154" s="378"/>
      <c r="AA154" s="378"/>
      <c r="AB154" s="23"/>
      <c r="AC154" s="302" t="str">
        <f>IFERROR(INDEX(Database_Charms,MATCH($N154,Database_Charms_Names,0),MATCH(AC$117,Database_Charms_Values,0)),"")</f>
        <v/>
      </c>
      <c r="AD154" s="302"/>
      <c r="AE154" s="302"/>
      <c r="AF154" s="302"/>
      <c r="AG154" s="302"/>
      <c r="AH154" s="125"/>
      <c r="AI154" s="302" t="str">
        <f>IFERROR(INDEX(Database_Charms,MATCH($N154,Database_Charms_Names,0),MATCH(AI$117,Database_Charms_Values,0)),"")</f>
        <v/>
      </c>
      <c r="AJ154" s="302"/>
      <c r="AK154" s="302"/>
      <c r="AL154" s="302"/>
      <c r="AM154" s="125"/>
      <c r="AN154" s="302" t="str">
        <f>IFERROR(INDEX(Database_Charms,MATCH($N154,Database_Charms_Names,0),MATCH(AN$117,Database_Charms_Values,0)),"")</f>
        <v/>
      </c>
      <c r="AO154" s="302"/>
      <c r="AP154" s="302"/>
      <c r="AQ154" s="302"/>
      <c r="AR154" s="302"/>
      <c r="AS154" s="125"/>
      <c r="AT154" s="302" t="str">
        <f>IFERROR(INDEX(Database_Charms,MATCH($N154,Database_Charms_Names,0),MATCH(AT$117,Database_Charms_Values,0)),"")</f>
        <v/>
      </c>
      <c r="AU154" s="302"/>
      <c r="AV154" s="125"/>
      <c r="AW154" s="302" t="str">
        <f>IFERROR(INDEX(Database_Charms,MATCH($N154,Database_Charms_Names,0),MATCH(AW$117,Database_Charms_Values,0)),"")</f>
        <v/>
      </c>
      <c r="AX154" s="302"/>
      <c r="AY154" s="307"/>
      <c r="AZ154" s="5"/>
      <c r="BA154" s="5"/>
      <c r="BB154" s="5"/>
      <c r="BC154" s="5"/>
      <c r="BD154" s="5"/>
      <c r="BE154" s="5"/>
      <c r="BF154" s="5"/>
      <c r="BG154" s="5"/>
      <c r="BH154" s="5"/>
      <c r="BI154" s="5"/>
      <c r="BJ154" s="5"/>
      <c r="BK154" s="5"/>
      <c r="BL154" s="5"/>
      <c r="BM154" s="5"/>
      <c r="BN154" s="5"/>
      <c r="BO154" s="5"/>
      <c r="BP154" s="5"/>
      <c r="BQ154" s="5"/>
      <c r="BR154" s="5"/>
      <c r="BS154" s="5"/>
      <c r="BT154" s="5"/>
    </row>
    <row r="155" spans="1:72" ht="20.100000000000001" customHeight="1">
      <c r="A155" s="382"/>
      <c r="B155" s="372" t="str">
        <f>IF(Creation_1!B155="",IFERROR(INDEX(Database_Charms,MATCH($N154,Database_Charms_Names,0),MATCH(Charms!$S$1,Database_Charms_Values,0)),""),Creation_1!B155)</f>
        <v/>
      </c>
      <c r="C155" s="372"/>
      <c r="D155" s="372"/>
      <c r="E155" s="372"/>
      <c r="F155" s="372"/>
      <c r="G155" s="372"/>
      <c r="H155" s="372"/>
      <c r="I155" s="372"/>
      <c r="J155" s="372"/>
      <c r="K155" s="372"/>
      <c r="L155" s="372"/>
      <c r="M155" s="372"/>
      <c r="N155" s="372"/>
      <c r="O155" s="372"/>
      <c r="P155" s="372"/>
      <c r="Q155" s="372"/>
      <c r="R155" s="372"/>
      <c r="S155" s="372"/>
      <c r="T155" s="372"/>
      <c r="U155" s="372"/>
      <c r="V155" s="372"/>
      <c r="W155" s="372"/>
      <c r="X155" s="372"/>
      <c r="Y155" s="372"/>
      <c r="Z155" s="372"/>
      <c r="AA155" s="372"/>
      <c r="AB155" s="372"/>
      <c r="AC155" s="372"/>
      <c r="AD155" s="372"/>
      <c r="AE155" s="372"/>
      <c r="AF155" s="372"/>
      <c r="AG155" s="372"/>
      <c r="AH155" s="372"/>
      <c r="AI155" s="372"/>
      <c r="AJ155" s="372"/>
      <c r="AK155" s="372"/>
      <c r="AL155" s="372"/>
      <c r="AM155" s="372"/>
      <c r="AN155" s="372"/>
      <c r="AO155" s="372"/>
      <c r="AP155" s="372"/>
      <c r="AQ155" s="372"/>
      <c r="AR155" s="372"/>
      <c r="AS155" s="372"/>
      <c r="AT155" s="372"/>
      <c r="AU155" s="372"/>
      <c r="AV155" s="372"/>
      <c r="AW155" s="372"/>
      <c r="AX155" s="372"/>
      <c r="AY155" s="373"/>
      <c r="AZ155" s="5"/>
      <c r="BA155" s="5"/>
      <c r="BB155" s="5"/>
      <c r="BC155" s="5"/>
      <c r="BD155" s="5"/>
      <c r="BE155" s="5"/>
      <c r="BF155" s="5"/>
      <c r="BG155" s="5"/>
      <c r="BH155" s="5"/>
      <c r="BI155" s="5"/>
      <c r="BJ155" s="5"/>
      <c r="BK155" s="5"/>
      <c r="BL155" s="5"/>
      <c r="BM155" s="5"/>
      <c r="BN155" s="5"/>
      <c r="BO155" s="5"/>
      <c r="BP155" s="5"/>
      <c r="BQ155" s="5"/>
      <c r="BR155" s="5"/>
      <c r="BS155" s="5"/>
      <c r="BT155" s="5"/>
    </row>
    <row r="156" spans="1:72" ht="20.100000000000001" customHeight="1">
      <c r="A156" s="382"/>
      <c r="B156" s="374"/>
      <c r="C156" s="374"/>
      <c r="D156" s="374"/>
      <c r="E156" s="374"/>
      <c r="F156" s="374"/>
      <c r="G156" s="374"/>
      <c r="H156" s="374"/>
      <c r="I156" s="374"/>
      <c r="J156" s="374"/>
      <c r="K156" s="374"/>
      <c r="L156" s="374"/>
      <c r="M156" s="374"/>
      <c r="N156" s="374"/>
      <c r="O156" s="374"/>
      <c r="P156" s="374"/>
      <c r="Q156" s="374"/>
      <c r="R156" s="374"/>
      <c r="S156" s="374"/>
      <c r="T156" s="374"/>
      <c r="U156" s="374"/>
      <c r="V156" s="374"/>
      <c r="W156" s="374"/>
      <c r="X156" s="374"/>
      <c r="Y156" s="374"/>
      <c r="Z156" s="374"/>
      <c r="AA156" s="374"/>
      <c r="AB156" s="374"/>
      <c r="AC156" s="374"/>
      <c r="AD156" s="374"/>
      <c r="AE156" s="374"/>
      <c r="AF156" s="374"/>
      <c r="AG156" s="374"/>
      <c r="AH156" s="374"/>
      <c r="AI156" s="374"/>
      <c r="AJ156" s="374"/>
      <c r="AK156" s="374"/>
      <c r="AL156" s="374"/>
      <c r="AM156" s="374"/>
      <c r="AN156" s="374"/>
      <c r="AO156" s="374"/>
      <c r="AP156" s="374"/>
      <c r="AQ156" s="374"/>
      <c r="AR156" s="374"/>
      <c r="AS156" s="374"/>
      <c r="AT156" s="374"/>
      <c r="AU156" s="374"/>
      <c r="AV156" s="374"/>
      <c r="AW156" s="374"/>
      <c r="AX156" s="374"/>
      <c r="AY156" s="375"/>
      <c r="AZ156" s="5"/>
      <c r="BA156" s="5"/>
      <c r="BB156" s="5"/>
      <c r="BC156" s="5"/>
      <c r="BD156" s="5"/>
      <c r="BE156" s="5"/>
      <c r="BF156" s="5"/>
      <c r="BG156" s="5"/>
      <c r="BH156" s="5"/>
      <c r="BI156" s="5"/>
      <c r="BJ156" s="5"/>
      <c r="BK156" s="5"/>
      <c r="BL156" s="5"/>
      <c r="BM156" s="5"/>
      <c r="BN156" s="5"/>
      <c r="BO156" s="5"/>
      <c r="BP156" s="5"/>
      <c r="BQ156" s="5"/>
      <c r="BR156" s="5"/>
      <c r="BS156" s="5"/>
      <c r="BT156" s="5"/>
    </row>
    <row r="157" spans="1:72" ht="20.100000000000001" customHeight="1">
      <c r="A157" s="382">
        <v>14</v>
      </c>
      <c r="B157" s="378" t="str">
        <f>IF(Creation_1!B157&lt;&gt;0,Creation_1!B157,IFERROR(INDEX(Database_Charms,MATCH($N157,Database_Charms_Names,0),MATCH(B$117,Database_Charms_Values,0)),""))</f>
        <v/>
      </c>
      <c r="C157" s="378"/>
      <c r="D157" s="378"/>
      <c r="E157" s="378"/>
      <c r="F157" s="378"/>
      <c r="G157" s="33"/>
      <c r="H157" s="378" t="str">
        <f>IF(Creation_1!H157&lt;&gt;"",Creation_1!H157,IF(B157&lt;&gt;0,B157,IFERROR(INDEX(Database_Charms,MATCH($N157,Database_Charms_Names,0),MATCH("Ability_Subtype",Database_Charms_Values,0)),"")))</f>
        <v/>
      </c>
      <c r="I157" s="378"/>
      <c r="J157" s="378"/>
      <c r="K157" s="378"/>
      <c r="L157" s="378"/>
      <c r="M157" s="23"/>
      <c r="N157" s="378" t="str">
        <f>IF(Creation_1!N157&lt;&gt;0,Creation_1!N157,"")</f>
        <v/>
      </c>
      <c r="O157" s="378"/>
      <c r="P157" s="378"/>
      <c r="Q157" s="378"/>
      <c r="R157" s="378"/>
      <c r="S157" s="378"/>
      <c r="T157" s="378"/>
      <c r="U157" s="378"/>
      <c r="V157" s="378"/>
      <c r="W157" s="378"/>
      <c r="X157" s="378"/>
      <c r="Y157" s="378"/>
      <c r="Z157" s="378"/>
      <c r="AA157" s="378"/>
      <c r="AB157" s="23"/>
      <c r="AC157" s="302" t="str">
        <f>IFERROR(INDEX(Database_Charms,MATCH($N157,Database_Charms_Names,0),MATCH(AC$117,Database_Charms_Values,0)),"")</f>
        <v/>
      </c>
      <c r="AD157" s="302"/>
      <c r="AE157" s="302"/>
      <c r="AF157" s="302"/>
      <c r="AG157" s="302"/>
      <c r="AH157" s="125"/>
      <c r="AI157" s="302" t="str">
        <f>IFERROR(INDEX(Database_Charms,MATCH($N157,Database_Charms_Names,0),MATCH(AI$117,Database_Charms_Values,0)),"")</f>
        <v/>
      </c>
      <c r="AJ157" s="302"/>
      <c r="AK157" s="302"/>
      <c r="AL157" s="302"/>
      <c r="AM157" s="125"/>
      <c r="AN157" s="302" t="str">
        <f>IFERROR(INDEX(Database_Charms,MATCH($N157,Database_Charms_Names,0),MATCH(AN$117,Database_Charms_Values,0)),"")</f>
        <v/>
      </c>
      <c r="AO157" s="302"/>
      <c r="AP157" s="302"/>
      <c r="AQ157" s="302"/>
      <c r="AR157" s="302"/>
      <c r="AS157" s="125"/>
      <c r="AT157" s="302" t="str">
        <f>IFERROR(INDEX(Database_Charms,MATCH($N157,Database_Charms_Names,0),MATCH(AT$117,Database_Charms_Values,0)),"")</f>
        <v/>
      </c>
      <c r="AU157" s="302"/>
      <c r="AV157" s="125"/>
      <c r="AW157" s="302" t="str">
        <f>IFERROR(INDEX(Database_Charms,MATCH($N157,Database_Charms_Names,0),MATCH(AW$117,Database_Charms_Values,0)),"")</f>
        <v/>
      </c>
      <c r="AX157" s="302"/>
      <c r="AY157" s="307"/>
      <c r="AZ157" s="5"/>
      <c r="BA157" s="5"/>
      <c r="BB157" s="5"/>
      <c r="BC157" s="5"/>
      <c r="BD157" s="5"/>
      <c r="BE157" s="5"/>
      <c r="BF157" s="5"/>
      <c r="BG157" s="5"/>
      <c r="BH157" s="5"/>
      <c r="BI157" s="5"/>
      <c r="BJ157" s="5"/>
      <c r="BK157" s="5"/>
      <c r="BL157" s="5"/>
      <c r="BM157" s="5"/>
      <c r="BN157" s="5"/>
      <c r="BO157" s="5"/>
      <c r="BP157" s="5"/>
      <c r="BQ157" s="5"/>
      <c r="BR157" s="5"/>
      <c r="BS157" s="5"/>
      <c r="BT157" s="5"/>
    </row>
    <row r="158" spans="1:72" ht="20.100000000000001" customHeight="1">
      <c r="A158" s="382"/>
      <c r="B158" s="372" t="str">
        <f>IF(Creation_1!B158="",IFERROR(INDEX(Database_Charms,MATCH($N157,Database_Charms_Names,0),MATCH(Charms!$S$1,Database_Charms_Values,0)),""),Creation_1!B158)</f>
        <v/>
      </c>
      <c r="C158" s="372"/>
      <c r="D158" s="372"/>
      <c r="E158" s="372"/>
      <c r="F158" s="372"/>
      <c r="G158" s="372"/>
      <c r="H158" s="372"/>
      <c r="I158" s="372"/>
      <c r="J158" s="372"/>
      <c r="K158" s="372"/>
      <c r="L158" s="372"/>
      <c r="M158" s="372"/>
      <c r="N158" s="372"/>
      <c r="O158" s="372"/>
      <c r="P158" s="372"/>
      <c r="Q158" s="372"/>
      <c r="R158" s="372"/>
      <c r="S158" s="372"/>
      <c r="T158" s="372"/>
      <c r="U158" s="372"/>
      <c r="V158" s="372"/>
      <c r="W158" s="372"/>
      <c r="X158" s="372"/>
      <c r="Y158" s="372"/>
      <c r="Z158" s="372"/>
      <c r="AA158" s="372"/>
      <c r="AB158" s="372"/>
      <c r="AC158" s="372"/>
      <c r="AD158" s="372"/>
      <c r="AE158" s="372"/>
      <c r="AF158" s="372"/>
      <c r="AG158" s="372"/>
      <c r="AH158" s="372"/>
      <c r="AI158" s="372"/>
      <c r="AJ158" s="372"/>
      <c r="AK158" s="372"/>
      <c r="AL158" s="372"/>
      <c r="AM158" s="372"/>
      <c r="AN158" s="372"/>
      <c r="AO158" s="372"/>
      <c r="AP158" s="372"/>
      <c r="AQ158" s="372"/>
      <c r="AR158" s="372"/>
      <c r="AS158" s="372"/>
      <c r="AT158" s="372"/>
      <c r="AU158" s="372"/>
      <c r="AV158" s="372"/>
      <c r="AW158" s="372"/>
      <c r="AX158" s="372"/>
      <c r="AY158" s="373"/>
      <c r="AZ158" s="5"/>
      <c r="BA158" s="5"/>
      <c r="BB158" s="5"/>
      <c r="BC158" s="5"/>
      <c r="BD158" s="5"/>
      <c r="BE158" s="5"/>
      <c r="BF158" s="5"/>
      <c r="BG158" s="5"/>
      <c r="BH158" s="5"/>
      <c r="BI158" s="5"/>
      <c r="BJ158" s="5"/>
      <c r="BK158" s="5"/>
      <c r="BL158" s="5"/>
      <c r="BM158" s="5"/>
      <c r="BN158" s="5"/>
      <c r="BO158" s="5"/>
      <c r="BP158" s="5"/>
      <c r="BQ158" s="5"/>
      <c r="BR158" s="5"/>
      <c r="BS158" s="5"/>
      <c r="BT158" s="5"/>
    </row>
    <row r="159" spans="1:72" ht="20.100000000000001" customHeight="1">
      <c r="A159" s="382"/>
      <c r="B159" s="374"/>
      <c r="C159" s="374"/>
      <c r="D159" s="374"/>
      <c r="E159" s="374"/>
      <c r="F159" s="374"/>
      <c r="G159" s="374"/>
      <c r="H159" s="374"/>
      <c r="I159" s="374"/>
      <c r="J159" s="374"/>
      <c r="K159" s="374"/>
      <c r="L159" s="374"/>
      <c r="M159" s="374"/>
      <c r="N159" s="374"/>
      <c r="O159" s="374"/>
      <c r="P159" s="374"/>
      <c r="Q159" s="374"/>
      <c r="R159" s="374"/>
      <c r="S159" s="374"/>
      <c r="T159" s="374"/>
      <c r="U159" s="374"/>
      <c r="V159" s="374"/>
      <c r="W159" s="374"/>
      <c r="X159" s="374"/>
      <c r="Y159" s="374"/>
      <c r="Z159" s="374"/>
      <c r="AA159" s="374"/>
      <c r="AB159" s="374"/>
      <c r="AC159" s="374"/>
      <c r="AD159" s="374"/>
      <c r="AE159" s="374"/>
      <c r="AF159" s="374"/>
      <c r="AG159" s="374"/>
      <c r="AH159" s="374"/>
      <c r="AI159" s="374"/>
      <c r="AJ159" s="374"/>
      <c r="AK159" s="374"/>
      <c r="AL159" s="374"/>
      <c r="AM159" s="374"/>
      <c r="AN159" s="374"/>
      <c r="AO159" s="374"/>
      <c r="AP159" s="374"/>
      <c r="AQ159" s="374"/>
      <c r="AR159" s="374"/>
      <c r="AS159" s="374"/>
      <c r="AT159" s="374"/>
      <c r="AU159" s="374"/>
      <c r="AV159" s="374"/>
      <c r="AW159" s="374"/>
      <c r="AX159" s="374"/>
      <c r="AY159" s="375"/>
      <c r="AZ159" s="5"/>
      <c r="BA159" s="5"/>
      <c r="BB159" s="5"/>
      <c r="BC159" s="5"/>
      <c r="BD159" s="5"/>
      <c r="BE159" s="5"/>
      <c r="BF159" s="5"/>
      <c r="BG159" s="5"/>
      <c r="BH159" s="5"/>
      <c r="BI159" s="5"/>
      <c r="BJ159" s="5"/>
      <c r="BK159" s="5"/>
      <c r="BL159" s="5"/>
      <c r="BM159" s="5"/>
      <c r="BN159" s="5"/>
      <c r="BO159" s="5"/>
      <c r="BP159" s="5"/>
      <c r="BQ159" s="5"/>
      <c r="BR159" s="5"/>
      <c r="BS159" s="5"/>
      <c r="BT159" s="5"/>
    </row>
    <row r="160" spans="1:72" ht="20.100000000000001" customHeight="1">
      <c r="A160" s="382">
        <v>15</v>
      </c>
      <c r="B160" s="378" t="str">
        <f>IF(Creation_1!B160&lt;&gt;0,Creation_1!B160,IFERROR(INDEX(Database_Charms,MATCH($N160,Database_Charms_Names,0),MATCH(B$117,Database_Charms_Values,0)),""))</f>
        <v/>
      </c>
      <c r="C160" s="378"/>
      <c r="D160" s="378"/>
      <c r="E160" s="378"/>
      <c r="F160" s="378"/>
      <c r="G160" s="33"/>
      <c r="H160" s="378" t="str">
        <f>IF(Creation_1!H160&lt;&gt;"",Creation_1!H160,IF(B160&lt;&gt;0,B160,IFERROR(INDEX(Database_Charms,MATCH($N160,Database_Charms_Names,0),MATCH("Ability_Subtype",Database_Charms_Values,0)),"")))</f>
        <v/>
      </c>
      <c r="I160" s="378"/>
      <c r="J160" s="378"/>
      <c r="K160" s="378"/>
      <c r="L160" s="378"/>
      <c r="M160" s="23"/>
      <c r="N160" s="378" t="str">
        <f>IF(Creation_1!N160&lt;&gt;0,Creation_1!N160,"")</f>
        <v/>
      </c>
      <c r="O160" s="378"/>
      <c r="P160" s="378"/>
      <c r="Q160" s="378"/>
      <c r="R160" s="378"/>
      <c r="S160" s="378"/>
      <c r="T160" s="378"/>
      <c r="U160" s="378"/>
      <c r="V160" s="378"/>
      <c r="W160" s="378"/>
      <c r="X160" s="378"/>
      <c r="Y160" s="378"/>
      <c r="Z160" s="378"/>
      <c r="AA160" s="378"/>
      <c r="AB160" s="23"/>
      <c r="AC160" s="302" t="str">
        <f>IFERROR(INDEX(Database_Charms,MATCH($N160,Database_Charms_Names,0),MATCH(AC$117,Database_Charms_Values,0)),"")</f>
        <v/>
      </c>
      <c r="AD160" s="302"/>
      <c r="AE160" s="302"/>
      <c r="AF160" s="302"/>
      <c r="AG160" s="302"/>
      <c r="AH160" s="125"/>
      <c r="AI160" s="302" t="str">
        <f>IFERROR(INDEX(Database_Charms,MATCH($N160,Database_Charms_Names,0),MATCH(AI$117,Database_Charms_Values,0)),"")</f>
        <v/>
      </c>
      <c r="AJ160" s="302"/>
      <c r="AK160" s="302"/>
      <c r="AL160" s="302"/>
      <c r="AM160" s="125"/>
      <c r="AN160" s="302" t="str">
        <f>IFERROR(INDEX(Database_Charms,MATCH($N160,Database_Charms_Names,0),MATCH(AN$117,Database_Charms_Values,0)),"")</f>
        <v/>
      </c>
      <c r="AO160" s="302"/>
      <c r="AP160" s="302"/>
      <c r="AQ160" s="302"/>
      <c r="AR160" s="302"/>
      <c r="AS160" s="125"/>
      <c r="AT160" s="302" t="str">
        <f>IFERROR(INDEX(Database_Charms,MATCH($N160,Database_Charms_Names,0),MATCH(AT$117,Database_Charms_Values,0)),"")</f>
        <v/>
      </c>
      <c r="AU160" s="302"/>
      <c r="AV160" s="125"/>
      <c r="AW160" s="302" t="str">
        <f>IFERROR(INDEX(Database_Charms,MATCH($N160,Database_Charms_Names,0),MATCH(AW$117,Database_Charms_Values,0)),"")</f>
        <v/>
      </c>
      <c r="AX160" s="302"/>
      <c r="AY160" s="307"/>
      <c r="AZ160" s="5"/>
      <c r="BA160" s="5"/>
      <c r="BB160" s="5"/>
      <c r="BC160" s="5"/>
      <c r="BD160" s="5"/>
      <c r="BE160" s="5"/>
      <c r="BF160" s="5"/>
      <c r="BG160" s="5"/>
      <c r="BH160" s="5"/>
      <c r="BI160" s="5"/>
      <c r="BJ160" s="5"/>
      <c r="BK160" s="5"/>
      <c r="BL160" s="5"/>
      <c r="BM160" s="5"/>
      <c r="BN160" s="5"/>
      <c r="BO160" s="5"/>
      <c r="BP160" s="5"/>
      <c r="BQ160" s="5"/>
      <c r="BR160" s="5"/>
      <c r="BS160" s="5"/>
      <c r="BT160" s="5"/>
    </row>
    <row r="161" spans="1:72" ht="20.100000000000001" customHeight="1">
      <c r="A161" s="382"/>
      <c r="B161" s="372" t="str">
        <f>IF(Creation_1!B161="",IFERROR(INDEX(Database_Charms,MATCH($N160,Database_Charms_Names,0),MATCH(Charms!$S$1,Database_Charms_Values,0)),""),Creation_1!B161)</f>
        <v/>
      </c>
      <c r="C161" s="372"/>
      <c r="D161" s="372"/>
      <c r="E161" s="372"/>
      <c r="F161" s="372"/>
      <c r="G161" s="372"/>
      <c r="H161" s="372"/>
      <c r="I161" s="372"/>
      <c r="J161" s="372"/>
      <c r="K161" s="372"/>
      <c r="L161" s="372"/>
      <c r="M161" s="372"/>
      <c r="N161" s="372"/>
      <c r="O161" s="372"/>
      <c r="P161" s="372"/>
      <c r="Q161" s="372"/>
      <c r="R161" s="372"/>
      <c r="S161" s="372"/>
      <c r="T161" s="372"/>
      <c r="U161" s="372"/>
      <c r="V161" s="372"/>
      <c r="W161" s="372"/>
      <c r="X161" s="372"/>
      <c r="Y161" s="372"/>
      <c r="Z161" s="372"/>
      <c r="AA161" s="372"/>
      <c r="AB161" s="372"/>
      <c r="AC161" s="372"/>
      <c r="AD161" s="372"/>
      <c r="AE161" s="372"/>
      <c r="AF161" s="372"/>
      <c r="AG161" s="372"/>
      <c r="AH161" s="372"/>
      <c r="AI161" s="372"/>
      <c r="AJ161" s="372"/>
      <c r="AK161" s="372"/>
      <c r="AL161" s="372"/>
      <c r="AM161" s="372"/>
      <c r="AN161" s="372"/>
      <c r="AO161" s="372"/>
      <c r="AP161" s="372"/>
      <c r="AQ161" s="372"/>
      <c r="AR161" s="372"/>
      <c r="AS161" s="372"/>
      <c r="AT161" s="372"/>
      <c r="AU161" s="372"/>
      <c r="AV161" s="372"/>
      <c r="AW161" s="372"/>
      <c r="AX161" s="372"/>
      <c r="AY161" s="373"/>
      <c r="AZ161" s="5"/>
      <c r="BA161" s="5"/>
      <c r="BB161" s="5"/>
      <c r="BC161" s="5"/>
      <c r="BD161" s="5"/>
      <c r="BE161" s="5"/>
      <c r="BF161" s="5"/>
      <c r="BG161" s="5"/>
      <c r="BH161" s="5"/>
      <c r="BI161" s="5"/>
      <c r="BJ161" s="5"/>
      <c r="BK161" s="5"/>
      <c r="BL161" s="5"/>
      <c r="BM161" s="5"/>
      <c r="BN161" s="5"/>
      <c r="BO161" s="5"/>
      <c r="BP161" s="5"/>
      <c r="BQ161" s="5"/>
      <c r="BR161" s="5"/>
      <c r="BS161" s="5"/>
      <c r="BT161" s="5"/>
    </row>
    <row r="162" spans="1:72" ht="20.100000000000001" customHeight="1">
      <c r="A162" s="382"/>
      <c r="B162" s="374"/>
      <c r="C162" s="374"/>
      <c r="D162" s="374"/>
      <c r="E162" s="374"/>
      <c r="F162" s="374"/>
      <c r="G162" s="374"/>
      <c r="H162" s="374"/>
      <c r="I162" s="374"/>
      <c r="J162" s="374"/>
      <c r="K162" s="374"/>
      <c r="L162" s="374"/>
      <c r="M162" s="374"/>
      <c r="N162" s="374"/>
      <c r="O162" s="374"/>
      <c r="P162" s="374"/>
      <c r="Q162" s="374"/>
      <c r="R162" s="374"/>
      <c r="S162" s="374"/>
      <c r="T162" s="374"/>
      <c r="U162" s="374"/>
      <c r="V162" s="374"/>
      <c r="W162" s="374"/>
      <c r="X162" s="374"/>
      <c r="Y162" s="374"/>
      <c r="Z162" s="374"/>
      <c r="AA162" s="374"/>
      <c r="AB162" s="374"/>
      <c r="AC162" s="374"/>
      <c r="AD162" s="374"/>
      <c r="AE162" s="374"/>
      <c r="AF162" s="374"/>
      <c r="AG162" s="374"/>
      <c r="AH162" s="374"/>
      <c r="AI162" s="374"/>
      <c r="AJ162" s="374"/>
      <c r="AK162" s="374"/>
      <c r="AL162" s="374"/>
      <c r="AM162" s="374"/>
      <c r="AN162" s="374"/>
      <c r="AO162" s="374"/>
      <c r="AP162" s="374"/>
      <c r="AQ162" s="374"/>
      <c r="AR162" s="374"/>
      <c r="AS162" s="374"/>
      <c r="AT162" s="374"/>
      <c r="AU162" s="374"/>
      <c r="AV162" s="374"/>
      <c r="AW162" s="374"/>
      <c r="AX162" s="374"/>
      <c r="AY162" s="375"/>
      <c r="AZ162" s="5"/>
      <c r="BA162" s="5"/>
      <c r="BB162" s="5"/>
      <c r="BC162" s="5"/>
      <c r="BD162" s="5"/>
      <c r="BE162" s="5"/>
      <c r="BF162" s="5"/>
      <c r="BG162" s="5"/>
      <c r="BH162" s="5"/>
      <c r="BI162" s="5"/>
      <c r="BJ162" s="5"/>
      <c r="BK162" s="5"/>
      <c r="BL162" s="5"/>
      <c r="BM162" s="5"/>
      <c r="BN162" s="5"/>
      <c r="BO162" s="5"/>
      <c r="BP162" s="5"/>
      <c r="BQ162" s="5"/>
      <c r="BR162" s="5"/>
      <c r="BS162" s="5"/>
      <c r="BT162" s="5"/>
    </row>
    <row r="163" spans="1:72" ht="20.100000000000001" customHeight="1">
      <c r="A163" s="382">
        <v>16</v>
      </c>
      <c r="B163" s="378" t="str">
        <f>IF(Creation_1!B163&lt;&gt;0,Creation_1!B163,IFERROR(INDEX(Database_Charms,MATCH($N163,Database_Charms_Names,0),MATCH(B$117,Database_Charms_Values,0)),""))</f>
        <v/>
      </c>
      <c r="C163" s="378"/>
      <c r="D163" s="378"/>
      <c r="E163" s="378"/>
      <c r="F163" s="378"/>
      <c r="G163" s="33"/>
      <c r="H163" s="378" t="str">
        <f>IF(Creation_1!H163&lt;&gt;"",Creation_1!H163,IF(B163&lt;&gt;0,B163,IFERROR(INDEX(Database_Charms,MATCH($N163,Database_Charms_Names,0),MATCH("Ability_Subtype",Database_Charms_Values,0)),"")))</f>
        <v/>
      </c>
      <c r="I163" s="378"/>
      <c r="J163" s="378"/>
      <c r="K163" s="378"/>
      <c r="L163" s="378"/>
      <c r="M163" s="23"/>
      <c r="N163" s="378" t="str">
        <f>IF(Creation_1!N163&lt;&gt;0,Creation_1!N163,"")</f>
        <v/>
      </c>
      <c r="O163" s="378"/>
      <c r="P163" s="378"/>
      <c r="Q163" s="378"/>
      <c r="R163" s="378"/>
      <c r="S163" s="378"/>
      <c r="T163" s="378"/>
      <c r="U163" s="378"/>
      <c r="V163" s="378"/>
      <c r="W163" s="378"/>
      <c r="X163" s="378"/>
      <c r="Y163" s="378"/>
      <c r="Z163" s="378"/>
      <c r="AA163" s="378"/>
      <c r="AB163" s="23"/>
      <c r="AC163" s="302" t="str">
        <f>IFERROR(INDEX(Database_Charms,MATCH($N163,Database_Charms_Names,0),MATCH(AC$117,Database_Charms_Values,0)),"")</f>
        <v/>
      </c>
      <c r="AD163" s="302"/>
      <c r="AE163" s="302"/>
      <c r="AF163" s="302"/>
      <c r="AG163" s="302"/>
      <c r="AH163" s="125"/>
      <c r="AI163" s="302" t="str">
        <f>IFERROR(INDEX(Database_Charms,MATCH($N163,Database_Charms_Names,0),MATCH(AI$117,Database_Charms_Values,0)),"")</f>
        <v/>
      </c>
      <c r="AJ163" s="302"/>
      <c r="AK163" s="302"/>
      <c r="AL163" s="302"/>
      <c r="AM163" s="125"/>
      <c r="AN163" s="302" t="str">
        <f>IFERROR(INDEX(Database_Charms,MATCH($N163,Database_Charms_Names,0),MATCH(AN$117,Database_Charms_Values,0)),"")</f>
        <v/>
      </c>
      <c r="AO163" s="302"/>
      <c r="AP163" s="302"/>
      <c r="AQ163" s="302"/>
      <c r="AR163" s="302"/>
      <c r="AS163" s="125"/>
      <c r="AT163" s="302" t="str">
        <f>IFERROR(INDEX(Database_Charms,MATCH($N163,Database_Charms_Names,0),MATCH(AT$117,Database_Charms_Values,0)),"")</f>
        <v/>
      </c>
      <c r="AU163" s="302"/>
      <c r="AV163" s="125"/>
      <c r="AW163" s="302" t="str">
        <f>IFERROR(INDEX(Database_Charms,MATCH($N163,Database_Charms_Names,0),MATCH(AW$117,Database_Charms_Values,0)),"")</f>
        <v/>
      </c>
      <c r="AX163" s="302"/>
      <c r="AY163" s="307"/>
      <c r="AZ163" s="5"/>
      <c r="BA163" s="5"/>
      <c r="BB163" s="5"/>
      <c r="BC163" s="5"/>
      <c r="BD163" s="5"/>
      <c r="BE163" s="5"/>
      <c r="BF163" s="5"/>
      <c r="BG163" s="5"/>
      <c r="BH163" s="5"/>
      <c r="BI163" s="5"/>
      <c r="BJ163" s="5"/>
      <c r="BK163" s="5"/>
      <c r="BL163" s="5"/>
      <c r="BM163" s="5"/>
      <c r="BN163" s="5"/>
      <c r="BO163" s="5"/>
      <c r="BP163" s="5"/>
      <c r="BQ163" s="5"/>
      <c r="BR163" s="5"/>
      <c r="BS163" s="5"/>
      <c r="BT163" s="5"/>
    </row>
    <row r="164" spans="1:72" ht="20.100000000000001" customHeight="1">
      <c r="A164" s="382"/>
      <c r="B164" s="372" t="str">
        <f>IF(Creation_1!B164="",IFERROR(INDEX(Database_Charms,MATCH($N163,Database_Charms_Names,0),MATCH(Charms!$S$1,Database_Charms_Values,0)),""),Creation_1!B164)</f>
        <v/>
      </c>
      <c r="C164" s="372"/>
      <c r="D164" s="372"/>
      <c r="E164" s="372"/>
      <c r="F164" s="372"/>
      <c r="G164" s="372"/>
      <c r="H164" s="372"/>
      <c r="I164" s="372"/>
      <c r="J164" s="372"/>
      <c r="K164" s="372"/>
      <c r="L164" s="372"/>
      <c r="M164" s="372"/>
      <c r="N164" s="372"/>
      <c r="O164" s="372"/>
      <c r="P164" s="372"/>
      <c r="Q164" s="372"/>
      <c r="R164" s="372"/>
      <c r="S164" s="372"/>
      <c r="T164" s="372"/>
      <c r="U164" s="372"/>
      <c r="V164" s="372"/>
      <c r="W164" s="372"/>
      <c r="X164" s="372"/>
      <c r="Y164" s="372"/>
      <c r="Z164" s="372"/>
      <c r="AA164" s="372"/>
      <c r="AB164" s="372"/>
      <c r="AC164" s="372"/>
      <c r="AD164" s="372"/>
      <c r="AE164" s="372"/>
      <c r="AF164" s="372"/>
      <c r="AG164" s="372"/>
      <c r="AH164" s="372"/>
      <c r="AI164" s="372"/>
      <c r="AJ164" s="372"/>
      <c r="AK164" s="372"/>
      <c r="AL164" s="372"/>
      <c r="AM164" s="372"/>
      <c r="AN164" s="372"/>
      <c r="AO164" s="372"/>
      <c r="AP164" s="372"/>
      <c r="AQ164" s="372"/>
      <c r="AR164" s="372"/>
      <c r="AS164" s="372"/>
      <c r="AT164" s="372"/>
      <c r="AU164" s="372"/>
      <c r="AV164" s="372"/>
      <c r="AW164" s="372"/>
      <c r="AX164" s="372"/>
      <c r="AY164" s="373"/>
      <c r="AZ164" s="5"/>
      <c r="BA164" s="5"/>
      <c r="BB164" s="5"/>
      <c r="BC164" s="5"/>
      <c r="BD164" s="5"/>
      <c r="BE164" s="5"/>
      <c r="BF164" s="5"/>
      <c r="BG164" s="5"/>
      <c r="BH164" s="5"/>
      <c r="BI164" s="5"/>
      <c r="BJ164" s="5"/>
      <c r="BK164" s="5"/>
      <c r="BL164" s="5"/>
      <c r="BM164" s="5"/>
      <c r="BN164" s="5"/>
      <c r="BO164" s="5"/>
      <c r="BP164" s="5"/>
      <c r="BQ164" s="5"/>
      <c r="BR164" s="5"/>
      <c r="BS164" s="5"/>
      <c r="BT164" s="5"/>
    </row>
    <row r="165" spans="1:72" ht="20.100000000000001" customHeight="1">
      <c r="A165" s="382"/>
      <c r="B165" s="374"/>
      <c r="C165" s="374"/>
      <c r="D165" s="374"/>
      <c r="E165" s="374"/>
      <c r="F165" s="374"/>
      <c r="G165" s="374"/>
      <c r="H165" s="374"/>
      <c r="I165" s="374"/>
      <c r="J165" s="374"/>
      <c r="K165" s="374"/>
      <c r="L165" s="374"/>
      <c r="M165" s="374"/>
      <c r="N165" s="374"/>
      <c r="O165" s="374"/>
      <c r="P165" s="374"/>
      <c r="Q165" s="374"/>
      <c r="R165" s="374"/>
      <c r="S165" s="374"/>
      <c r="T165" s="374"/>
      <c r="U165" s="374"/>
      <c r="V165" s="374"/>
      <c r="W165" s="374"/>
      <c r="X165" s="374"/>
      <c r="Y165" s="374"/>
      <c r="Z165" s="374"/>
      <c r="AA165" s="374"/>
      <c r="AB165" s="374"/>
      <c r="AC165" s="374"/>
      <c r="AD165" s="374"/>
      <c r="AE165" s="374"/>
      <c r="AF165" s="374"/>
      <c r="AG165" s="374"/>
      <c r="AH165" s="374"/>
      <c r="AI165" s="374"/>
      <c r="AJ165" s="374"/>
      <c r="AK165" s="374"/>
      <c r="AL165" s="374"/>
      <c r="AM165" s="374"/>
      <c r="AN165" s="374"/>
      <c r="AO165" s="374"/>
      <c r="AP165" s="374"/>
      <c r="AQ165" s="374"/>
      <c r="AR165" s="374"/>
      <c r="AS165" s="374"/>
      <c r="AT165" s="374"/>
      <c r="AU165" s="374"/>
      <c r="AV165" s="374"/>
      <c r="AW165" s="374"/>
      <c r="AX165" s="374"/>
      <c r="AY165" s="375"/>
      <c r="AZ165" s="5"/>
      <c r="BA165" s="5"/>
      <c r="BB165" s="5"/>
      <c r="BC165" s="5"/>
      <c r="BD165" s="5"/>
      <c r="BE165" s="5"/>
      <c r="BF165" s="5"/>
      <c r="BG165" s="5"/>
      <c r="BH165" s="5"/>
      <c r="BI165" s="5"/>
      <c r="BJ165" s="5"/>
      <c r="BK165" s="5"/>
      <c r="BL165" s="5"/>
      <c r="BM165" s="5"/>
      <c r="BN165" s="5"/>
      <c r="BO165" s="5"/>
      <c r="BP165" s="5"/>
      <c r="BQ165" s="5"/>
      <c r="BR165" s="5"/>
      <c r="BS165" s="5"/>
      <c r="BT165" s="5"/>
    </row>
    <row r="166" spans="1:72" ht="20.100000000000001" customHeight="1">
      <c r="A166" s="382">
        <v>17</v>
      </c>
      <c r="B166" s="378" t="str">
        <f>IF(Creation_1!B166&lt;&gt;0,Creation_1!B166,IFERROR(INDEX(Database_Charms,MATCH($N166,Database_Charms_Names,0),MATCH(B$117,Database_Charms_Values,0)),""))</f>
        <v/>
      </c>
      <c r="C166" s="378"/>
      <c r="D166" s="378"/>
      <c r="E166" s="378"/>
      <c r="F166" s="378"/>
      <c r="G166" s="33"/>
      <c r="H166" s="378" t="str">
        <f>IF(Creation_1!H166&lt;&gt;"",Creation_1!H166,IF(B166&lt;&gt;0,B166,IFERROR(INDEX(Database_Charms,MATCH($N166,Database_Charms_Names,0),MATCH("Ability_Subtype",Database_Charms_Values,0)),"")))</f>
        <v/>
      </c>
      <c r="I166" s="378"/>
      <c r="J166" s="378"/>
      <c r="K166" s="378"/>
      <c r="L166" s="378"/>
      <c r="M166" s="23"/>
      <c r="N166" s="378" t="str">
        <f>IF(Creation_1!N166&lt;&gt;0,Creation_1!N166,"")</f>
        <v/>
      </c>
      <c r="O166" s="378"/>
      <c r="P166" s="378"/>
      <c r="Q166" s="378"/>
      <c r="R166" s="378"/>
      <c r="S166" s="378"/>
      <c r="T166" s="378"/>
      <c r="U166" s="378"/>
      <c r="V166" s="378"/>
      <c r="W166" s="378"/>
      <c r="X166" s="378"/>
      <c r="Y166" s="378"/>
      <c r="Z166" s="378"/>
      <c r="AA166" s="378"/>
      <c r="AB166" s="23"/>
      <c r="AC166" s="302" t="str">
        <f>IFERROR(INDEX(Database_Charms,MATCH($N166,Database_Charms_Names,0),MATCH(AC$117,Database_Charms_Values,0)),"")</f>
        <v/>
      </c>
      <c r="AD166" s="302"/>
      <c r="AE166" s="302"/>
      <c r="AF166" s="302"/>
      <c r="AG166" s="302"/>
      <c r="AH166" s="125"/>
      <c r="AI166" s="302" t="str">
        <f>IFERROR(INDEX(Database_Charms,MATCH($N166,Database_Charms_Names,0),MATCH(AI$117,Database_Charms_Values,0)),"")</f>
        <v/>
      </c>
      <c r="AJ166" s="302"/>
      <c r="AK166" s="302"/>
      <c r="AL166" s="302"/>
      <c r="AM166" s="125"/>
      <c r="AN166" s="302" t="str">
        <f>IFERROR(INDEX(Database_Charms,MATCH($N166,Database_Charms_Names,0),MATCH(AN$117,Database_Charms_Values,0)),"")</f>
        <v/>
      </c>
      <c r="AO166" s="302"/>
      <c r="AP166" s="302"/>
      <c r="AQ166" s="302"/>
      <c r="AR166" s="302"/>
      <c r="AS166" s="125"/>
      <c r="AT166" s="302" t="str">
        <f>IFERROR(INDEX(Database_Charms,MATCH($N166,Database_Charms_Names,0),MATCH(AT$117,Database_Charms_Values,0)),"")</f>
        <v/>
      </c>
      <c r="AU166" s="302"/>
      <c r="AV166" s="125"/>
      <c r="AW166" s="302" t="str">
        <f>IFERROR(INDEX(Database_Charms,MATCH($N166,Database_Charms_Names,0),MATCH(AW$117,Database_Charms_Values,0)),"")</f>
        <v/>
      </c>
      <c r="AX166" s="302"/>
      <c r="AY166" s="307"/>
      <c r="AZ166" s="5"/>
      <c r="BA166" s="5"/>
      <c r="BB166" s="5"/>
      <c r="BC166" s="5"/>
      <c r="BD166" s="5"/>
      <c r="BE166" s="5"/>
      <c r="BF166" s="5"/>
      <c r="BG166" s="5"/>
      <c r="BH166" s="5"/>
      <c r="BI166" s="5"/>
      <c r="BJ166" s="5"/>
      <c r="BK166" s="5"/>
      <c r="BL166" s="5"/>
      <c r="BM166" s="5"/>
      <c r="BN166" s="5"/>
      <c r="BO166" s="5"/>
      <c r="BP166" s="5"/>
      <c r="BQ166" s="5"/>
      <c r="BR166" s="5"/>
      <c r="BS166" s="5"/>
      <c r="BT166" s="5"/>
    </row>
    <row r="167" spans="1:72" ht="20.100000000000001" customHeight="1">
      <c r="A167" s="382"/>
      <c r="B167" s="372" t="str">
        <f>IF(Creation_1!B167="",IFERROR(INDEX(Database_Charms,MATCH($N166,Database_Charms_Names,0),MATCH(Charms!$S$1,Database_Charms_Values,0)),""),Creation_1!B167)</f>
        <v/>
      </c>
      <c r="C167" s="372"/>
      <c r="D167" s="372"/>
      <c r="E167" s="372"/>
      <c r="F167" s="372"/>
      <c r="G167" s="372"/>
      <c r="H167" s="372"/>
      <c r="I167" s="372"/>
      <c r="J167" s="372"/>
      <c r="K167" s="372"/>
      <c r="L167" s="372"/>
      <c r="M167" s="372"/>
      <c r="N167" s="372"/>
      <c r="O167" s="372"/>
      <c r="P167" s="372"/>
      <c r="Q167" s="372"/>
      <c r="R167" s="372"/>
      <c r="S167" s="372"/>
      <c r="T167" s="372"/>
      <c r="U167" s="372"/>
      <c r="V167" s="372"/>
      <c r="W167" s="372"/>
      <c r="X167" s="372"/>
      <c r="Y167" s="372"/>
      <c r="Z167" s="372"/>
      <c r="AA167" s="372"/>
      <c r="AB167" s="372"/>
      <c r="AC167" s="372"/>
      <c r="AD167" s="372"/>
      <c r="AE167" s="372"/>
      <c r="AF167" s="372"/>
      <c r="AG167" s="372"/>
      <c r="AH167" s="372"/>
      <c r="AI167" s="372"/>
      <c r="AJ167" s="372"/>
      <c r="AK167" s="372"/>
      <c r="AL167" s="372"/>
      <c r="AM167" s="372"/>
      <c r="AN167" s="372"/>
      <c r="AO167" s="372"/>
      <c r="AP167" s="372"/>
      <c r="AQ167" s="372"/>
      <c r="AR167" s="372"/>
      <c r="AS167" s="372"/>
      <c r="AT167" s="372"/>
      <c r="AU167" s="372"/>
      <c r="AV167" s="372"/>
      <c r="AW167" s="372"/>
      <c r="AX167" s="372"/>
      <c r="AY167" s="373"/>
      <c r="AZ167" s="5"/>
      <c r="BA167" s="5"/>
      <c r="BB167" s="5"/>
      <c r="BC167" s="5"/>
      <c r="BD167" s="5"/>
      <c r="BE167" s="5"/>
      <c r="BF167" s="5"/>
      <c r="BG167" s="5"/>
      <c r="BH167" s="5"/>
      <c r="BI167" s="5"/>
      <c r="BJ167" s="5"/>
      <c r="BK167" s="5"/>
      <c r="BL167" s="5"/>
      <c r="BM167" s="5"/>
      <c r="BN167" s="5"/>
      <c r="BO167" s="5"/>
      <c r="BP167" s="5"/>
      <c r="BQ167" s="5"/>
      <c r="BR167" s="5"/>
      <c r="BS167" s="5"/>
      <c r="BT167" s="5"/>
    </row>
    <row r="168" spans="1:72" ht="20.100000000000001" customHeight="1">
      <c r="A168" s="382"/>
      <c r="B168" s="374"/>
      <c r="C168" s="374"/>
      <c r="D168" s="374"/>
      <c r="E168" s="374"/>
      <c r="F168" s="374"/>
      <c r="G168" s="374"/>
      <c r="H168" s="374"/>
      <c r="I168" s="374"/>
      <c r="J168" s="374"/>
      <c r="K168" s="374"/>
      <c r="L168" s="374"/>
      <c r="M168" s="374"/>
      <c r="N168" s="374"/>
      <c r="O168" s="374"/>
      <c r="P168" s="374"/>
      <c r="Q168" s="374"/>
      <c r="R168" s="374"/>
      <c r="S168" s="374"/>
      <c r="T168" s="374"/>
      <c r="U168" s="374"/>
      <c r="V168" s="374"/>
      <c r="W168" s="374"/>
      <c r="X168" s="374"/>
      <c r="Y168" s="374"/>
      <c r="Z168" s="374"/>
      <c r="AA168" s="374"/>
      <c r="AB168" s="374"/>
      <c r="AC168" s="374"/>
      <c r="AD168" s="374"/>
      <c r="AE168" s="374"/>
      <c r="AF168" s="374"/>
      <c r="AG168" s="374"/>
      <c r="AH168" s="374"/>
      <c r="AI168" s="374"/>
      <c r="AJ168" s="374"/>
      <c r="AK168" s="374"/>
      <c r="AL168" s="374"/>
      <c r="AM168" s="374"/>
      <c r="AN168" s="374"/>
      <c r="AO168" s="374"/>
      <c r="AP168" s="374"/>
      <c r="AQ168" s="374"/>
      <c r="AR168" s="374"/>
      <c r="AS168" s="374"/>
      <c r="AT168" s="374"/>
      <c r="AU168" s="374"/>
      <c r="AV168" s="374"/>
      <c r="AW168" s="374"/>
      <c r="AX168" s="374"/>
      <c r="AY168" s="375"/>
      <c r="AZ168" s="5"/>
      <c r="BA168" s="5"/>
      <c r="BB168" s="5"/>
      <c r="BC168" s="5"/>
      <c r="BD168" s="5"/>
      <c r="BE168" s="5"/>
      <c r="BF168" s="5"/>
      <c r="BG168" s="5"/>
      <c r="BH168" s="5"/>
      <c r="BI168" s="5"/>
      <c r="BJ168" s="5"/>
      <c r="BK168" s="5"/>
      <c r="BL168" s="5"/>
      <c r="BM168" s="5"/>
      <c r="BN168" s="5"/>
      <c r="BO168" s="5"/>
      <c r="BP168" s="5"/>
      <c r="BQ168" s="5"/>
      <c r="BR168" s="5"/>
      <c r="BS168" s="5"/>
      <c r="BT168" s="5"/>
    </row>
    <row r="169" spans="1:72" ht="20.100000000000001" customHeight="1">
      <c r="A169" s="376">
        <v>18</v>
      </c>
      <c r="B169" s="378" t="str">
        <f>IF(Creation_1!B169&lt;&gt;0,Creation_1!B169,IFERROR(INDEX(Database_Charms,MATCH($N169,Database_Charms_Names,0),MATCH(B$117,Database_Charms_Values,0)),""))</f>
        <v/>
      </c>
      <c r="C169" s="378"/>
      <c r="D169" s="378"/>
      <c r="E169" s="378"/>
      <c r="F169" s="378"/>
      <c r="G169" s="33"/>
      <c r="H169" s="378" t="str">
        <f>IF(Creation_1!H169&lt;&gt;"",Creation_1!H169,IF(B169&lt;&gt;0,B169,IFERROR(INDEX(Database_Charms,MATCH($N169,Database_Charms_Names,0),MATCH("Ability_Subtype",Database_Charms_Values,0)),"")))</f>
        <v/>
      </c>
      <c r="I169" s="378"/>
      <c r="J169" s="378"/>
      <c r="K169" s="378"/>
      <c r="L169" s="378"/>
      <c r="M169" s="23"/>
      <c r="N169" s="378" t="str">
        <f>IF(Creation_1!N169&lt;&gt;0,Creation_1!N169,"")</f>
        <v/>
      </c>
      <c r="O169" s="378"/>
      <c r="P169" s="378"/>
      <c r="Q169" s="378"/>
      <c r="R169" s="378"/>
      <c r="S169" s="378"/>
      <c r="T169" s="378"/>
      <c r="U169" s="378"/>
      <c r="V169" s="378"/>
      <c r="W169" s="378"/>
      <c r="X169" s="378"/>
      <c r="Y169" s="378"/>
      <c r="Z169" s="378"/>
      <c r="AA169" s="378"/>
      <c r="AB169" s="23"/>
      <c r="AC169" s="302" t="str">
        <f>IFERROR(INDEX(Database_Charms,MATCH($N169,Database_Charms_Names,0),MATCH(AC$117,Database_Charms_Values,0)),"")</f>
        <v/>
      </c>
      <c r="AD169" s="302"/>
      <c r="AE169" s="302"/>
      <c r="AF169" s="302"/>
      <c r="AG169" s="302"/>
      <c r="AH169" s="125"/>
      <c r="AI169" s="302" t="str">
        <f>IFERROR(INDEX(Database_Charms,MATCH($N169,Database_Charms_Names,0),MATCH(AI$117,Database_Charms_Values,0)),"")</f>
        <v/>
      </c>
      <c r="AJ169" s="302"/>
      <c r="AK169" s="302"/>
      <c r="AL169" s="302"/>
      <c r="AM169" s="125"/>
      <c r="AN169" s="302" t="str">
        <f>IFERROR(INDEX(Database_Charms,MATCH($N169,Database_Charms_Names,0),MATCH(AN$117,Database_Charms_Values,0)),"")</f>
        <v/>
      </c>
      <c r="AO169" s="302"/>
      <c r="AP169" s="302"/>
      <c r="AQ169" s="302"/>
      <c r="AR169" s="302"/>
      <c r="AS169" s="125"/>
      <c r="AT169" s="302" t="str">
        <f>IFERROR(INDEX(Database_Charms,MATCH($N169,Database_Charms_Names,0),MATCH(AT$117,Database_Charms_Values,0)),"")</f>
        <v/>
      </c>
      <c r="AU169" s="302"/>
      <c r="AV169" s="125"/>
      <c r="AW169" s="302" t="str">
        <f>IFERROR(INDEX(Database_Charms,MATCH($N169,Database_Charms_Names,0),MATCH(AW$117,Database_Charms_Values,0)),"")</f>
        <v/>
      </c>
      <c r="AX169" s="302"/>
      <c r="AY169" s="307"/>
      <c r="AZ169" s="5"/>
      <c r="BA169" s="5"/>
      <c r="BB169" s="5"/>
      <c r="BC169" s="5"/>
      <c r="BD169" s="5"/>
      <c r="BE169" s="5"/>
      <c r="BF169" s="5"/>
      <c r="BG169" s="5"/>
      <c r="BH169" s="5"/>
      <c r="BI169" s="5"/>
      <c r="BJ169" s="5"/>
      <c r="BK169" s="5"/>
      <c r="BL169" s="5"/>
      <c r="BM169" s="5"/>
      <c r="BN169" s="5"/>
      <c r="BO169" s="5"/>
      <c r="BP169" s="5"/>
      <c r="BQ169" s="5"/>
      <c r="BR169" s="5"/>
      <c r="BS169" s="5"/>
      <c r="BT169" s="5"/>
    </row>
    <row r="170" spans="1:72" ht="20.100000000000001" customHeight="1">
      <c r="A170" s="377"/>
      <c r="B170" s="372" t="str">
        <f>IF(Creation_1!B170="",IFERROR(INDEX(Database_Charms,MATCH($N169,Database_Charms_Names,0),MATCH(Charms!$S$1,Database_Charms_Values,0)),""),Creation_1!B170)</f>
        <v/>
      </c>
      <c r="C170" s="372"/>
      <c r="D170" s="372"/>
      <c r="E170" s="372"/>
      <c r="F170" s="372"/>
      <c r="G170" s="372"/>
      <c r="H170" s="372"/>
      <c r="I170" s="372"/>
      <c r="J170" s="372"/>
      <c r="K170" s="372"/>
      <c r="L170" s="372"/>
      <c r="M170" s="372"/>
      <c r="N170" s="372"/>
      <c r="O170" s="372"/>
      <c r="P170" s="372"/>
      <c r="Q170" s="372"/>
      <c r="R170" s="372"/>
      <c r="S170" s="372"/>
      <c r="T170" s="372"/>
      <c r="U170" s="372"/>
      <c r="V170" s="372"/>
      <c r="W170" s="372"/>
      <c r="X170" s="372"/>
      <c r="Y170" s="372"/>
      <c r="Z170" s="372"/>
      <c r="AA170" s="372"/>
      <c r="AB170" s="372"/>
      <c r="AC170" s="372"/>
      <c r="AD170" s="372"/>
      <c r="AE170" s="372"/>
      <c r="AF170" s="372"/>
      <c r="AG170" s="372"/>
      <c r="AH170" s="372"/>
      <c r="AI170" s="372"/>
      <c r="AJ170" s="372"/>
      <c r="AK170" s="372"/>
      <c r="AL170" s="372"/>
      <c r="AM170" s="372"/>
      <c r="AN170" s="372"/>
      <c r="AO170" s="372"/>
      <c r="AP170" s="372"/>
      <c r="AQ170" s="372"/>
      <c r="AR170" s="372"/>
      <c r="AS170" s="372"/>
      <c r="AT170" s="372"/>
      <c r="AU170" s="372"/>
      <c r="AV170" s="372"/>
      <c r="AW170" s="372"/>
      <c r="AX170" s="372"/>
      <c r="AY170" s="373"/>
      <c r="AZ170" s="5"/>
      <c r="BA170" s="5"/>
      <c r="BB170" s="5"/>
      <c r="BC170" s="5"/>
      <c r="BD170" s="5"/>
      <c r="BE170" s="5"/>
      <c r="BF170" s="5"/>
      <c r="BG170" s="5"/>
      <c r="BH170" s="5"/>
      <c r="BI170" s="5"/>
      <c r="BJ170" s="5"/>
      <c r="BK170" s="5"/>
      <c r="BL170" s="5"/>
      <c r="BM170" s="5"/>
      <c r="BN170" s="5"/>
      <c r="BO170" s="5"/>
      <c r="BP170" s="5"/>
      <c r="BQ170" s="5"/>
      <c r="BR170" s="5"/>
      <c r="BS170" s="5"/>
      <c r="BT170" s="5"/>
    </row>
    <row r="171" spans="1:72" ht="20.100000000000001" customHeight="1">
      <c r="A171" s="379"/>
      <c r="B171" s="374"/>
      <c r="C171" s="374"/>
      <c r="D171" s="374"/>
      <c r="E171" s="374"/>
      <c r="F171" s="374"/>
      <c r="G171" s="374"/>
      <c r="H171" s="374"/>
      <c r="I171" s="374"/>
      <c r="J171" s="374"/>
      <c r="K171" s="374"/>
      <c r="L171" s="374"/>
      <c r="M171" s="374"/>
      <c r="N171" s="374"/>
      <c r="O171" s="374"/>
      <c r="P171" s="374"/>
      <c r="Q171" s="374"/>
      <c r="R171" s="374"/>
      <c r="S171" s="374"/>
      <c r="T171" s="374"/>
      <c r="U171" s="374"/>
      <c r="V171" s="374"/>
      <c r="W171" s="374"/>
      <c r="X171" s="374"/>
      <c r="Y171" s="374"/>
      <c r="Z171" s="374"/>
      <c r="AA171" s="374"/>
      <c r="AB171" s="374"/>
      <c r="AC171" s="374"/>
      <c r="AD171" s="374"/>
      <c r="AE171" s="374"/>
      <c r="AF171" s="374"/>
      <c r="AG171" s="374"/>
      <c r="AH171" s="374"/>
      <c r="AI171" s="374"/>
      <c r="AJ171" s="374"/>
      <c r="AK171" s="374"/>
      <c r="AL171" s="374"/>
      <c r="AM171" s="374"/>
      <c r="AN171" s="374"/>
      <c r="AO171" s="374"/>
      <c r="AP171" s="374"/>
      <c r="AQ171" s="374"/>
      <c r="AR171" s="374"/>
      <c r="AS171" s="374"/>
      <c r="AT171" s="374"/>
      <c r="AU171" s="374"/>
      <c r="AV171" s="374"/>
      <c r="AW171" s="374"/>
      <c r="AX171" s="374"/>
      <c r="AY171" s="375"/>
      <c r="AZ171" s="5"/>
      <c r="BA171" s="5"/>
      <c r="BB171" s="5"/>
      <c r="BC171" s="5"/>
      <c r="BD171" s="5"/>
      <c r="BE171" s="5"/>
      <c r="BF171" s="5"/>
      <c r="BG171" s="5"/>
      <c r="BH171" s="5"/>
      <c r="BI171" s="5"/>
      <c r="BJ171" s="5"/>
      <c r="BK171" s="5"/>
      <c r="BL171" s="5"/>
      <c r="BM171" s="5"/>
      <c r="BN171" s="5"/>
      <c r="BO171" s="5"/>
      <c r="BP171" s="5"/>
      <c r="BQ171" s="5"/>
      <c r="BR171" s="5"/>
      <c r="BS171" s="5"/>
      <c r="BT171" s="5"/>
    </row>
    <row r="172" spans="1:72" ht="20.100000000000001" customHeight="1">
      <c r="A172" s="376">
        <v>19</v>
      </c>
      <c r="B172" s="378" t="str">
        <f>IF(Creation_1!B172&lt;&gt;0,Creation_1!B172,IFERROR(INDEX(Database_Charms,MATCH($N172,Database_Charms_Names,0),MATCH(B$117,Database_Charms_Values,0)),""))</f>
        <v/>
      </c>
      <c r="C172" s="378"/>
      <c r="D172" s="378"/>
      <c r="E172" s="378"/>
      <c r="F172" s="378"/>
      <c r="G172" s="33"/>
      <c r="H172" s="378" t="str">
        <f>IF(Creation_1!H172&lt;&gt;"",Creation_1!H172,IF(B172&lt;&gt;0,B172,IFERROR(INDEX(Database_Charms,MATCH($N172,Database_Charms_Names,0),MATCH("Ability_Subtype",Database_Charms_Values,0)),"")))</f>
        <v/>
      </c>
      <c r="I172" s="378"/>
      <c r="J172" s="378"/>
      <c r="K172" s="378"/>
      <c r="L172" s="378"/>
      <c r="M172" s="23"/>
      <c r="N172" s="378" t="str">
        <f>IF(Creation_1!N172&lt;&gt;0,Creation_1!N172,"")</f>
        <v/>
      </c>
      <c r="O172" s="378"/>
      <c r="P172" s="378"/>
      <c r="Q172" s="378"/>
      <c r="R172" s="378"/>
      <c r="S172" s="378"/>
      <c r="T172" s="378"/>
      <c r="U172" s="378"/>
      <c r="V172" s="378"/>
      <c r="W172" s="378"/>
      <c r="X172" s="378"/>
      <c r="Y172" s="378"/>
      <c r="Z172" s="378"/>
      <c r="AA172" s="378"/>
      <c r="AB172" s="23"/>
      <c r="AC172" s="302" t="str">
        <f>IFERROR(INDEX(Database_Charms,MATCH($N172,Database_Charms_Names,0),MATCH(AC$117,Database_Charms_Values,0)),"")</f>
        <v/>
      </c>
      <c r="AD172" s="302"/>
      <c r="AE172" s="302"/>
      <c r="AF172" s="302"/>
      <c r="AG172" s="302"/>
      <c r="AH172" s="125"/>
      <c r="AI172" s="302" t="str">
        <f>IFERROR(INDEX(Database_Charms,MATCH($N172,Database_Charms_Names,0),MATCH(AI$117,Database_Charms_Values,0)),"")</f>
        <v/>
      </c>
      <c r="AJ172" s="302"/>
      <c r="AK172" s="302"/>
      <c r="AL172" s="302"/>
      <c r="AM172" s="125"/>
      <c r="AN172" s="302" t="str">
        <f>IFERROR(INDEX(Database_Charms,MATCH($N172,Database_Charms_Names,0),MATCH(AN$117,Database_Charms_Values,0)),"")</f>
        <v/>
      </c>
      <c r="AO172" s="302"/>
      <c r="AP172" s="302"/>
      <c r="AQ172" s="302"/>
      <c r="AR172" s="302"/>
      <c r="AS172" s="125"/>
      <c r="AT172" s="302" t="str">
        <f>IFERROR(INDEX(Database_Charms,MATCH($N172,Database_Charms_Names,0),MATCH(AT$117,Database_Charms_Values,0)),"")</f>
        <v/>
      </c>
      <c r="AU172" s="302"/>
      <c r="AV172" s="125"/>
      <c r="AW172" s="302" t="str">
        <f>IFERROR(INDEX(Database_Charms,MATCH($N172,Database_Charms_Names,0),MATCH(AW$117,Database_Charms_Values,0)),"")</f>
        <v/>
      </c>
      <c r="AX172" s="302"/>
      <c r="AY172" s="307"/>
      <c r="AZ172" s="5"/>
      <c r="BA172" s="5"/>
      <c r="BB172" s="5"/>
      <c r="BC172" s="5"/>
      <c r="BD172" s="5"/>
      <c r="BE172" s="5"/>
      <c r="BF172" s="5"/>
      <c r="BG172" s="5"/>
      <c r="BH172" s="5"/>
      <c r="BI172" s="5"/>
      <c r="BJ172" s="5"/>
      <c r="BK172" s="5"/>
      <c r="BL172" s="5"/>
      <c r="BM172" s="5"/>
      <c r="BN172" s="5"/>
      <c r="BO172" s="5"/>
      <c r="BP172" s="5"/>
      <c r="BQ172" s="5"/>
      <c r="BR172" s="5"/>
      <c r="BS172" s="5"/>
      <c r="BT172" s="5"/>
    </row>
    <row r="173" spans="1:72" ht="20.100000000000001" customHeight="1">
      <c r="A173" s="377"/>
      <c r="B173" s="372" t="str">
        <f>IF(Creation_1!B173="",IFERROR(INDEX(Database_Charms,MATCH($N172,Database_Charms_Names,0),MATCH(Charms!$S$1,Database_Charms_Values,0)),""),Creation_1!B173)</f>
        <v/>
      </c>
      <c r="C173" s="372"/>
      <c r="D173" s="372"/>
      <c r="E173" s="372"/>
      <c r="F173" s="372"/>
      <c r="G173" s="372"/>
      <c r="H173" s="372"/>
      <c r="I173" s="372"/>
      <c r="J173" s="372"/>
      <c r="K173" s="372"/>
      <c r="L173" s="372"/>
      <c r="M173" s="372"/>
      <c r="N173" s="372"/>
      <c r="O173" s="372"/>
      <c r="P173" s="372"/>
      <c r="Q173" s="372"/>
      <c r="R173" s="372"/>
      <c r="S173" s="372"/>
      <c r="T173" s="372"/>
      <c r="U173" s="372"/>
      <c r="V173" s="372"/>
      <c r="W173" s="372"/>
      <c r="X173" s="372"/>
      <c r="Y173" s="372"/>
      <c r="Z173" s="372"/>
      <c r="AA173" s="372"/>
      <c r="AB173" s="372"/>
      <c r="AC173" s="372"/>
      <c r="AD173" s="372"/>
      <c r="AE173" s="372"/>
      <c r="AF173" s="372"/>
      <c r="AG173" s="372"/>
      <c r="AH173" s="372"/>
      <c r="AI173" s="372"/>
      <c r="AJ173" s="372"/>
      <c r="AK173" s="372"/>
      <c r="AL173" s="372"/>
      <c r="AM173" s="372"/>
      <c r="AN173" s="372"/>
      <c r="AO173" s="372"/>
      <c r="AP173" s="372"/>
      <c r="AQ173" s="372"/>
      <c r="AR173" s="372"/>
      <c r="AS173" s="372"/>
      <c r="AT173" s="372"/>
      <c r="AU173" s="372"/>
      <c r="AV173" s="372"/>
      <c r="AW173" s="372"/>
      <c r="AX173" s="372"/>
      <c r="AY173" s="373"/>
      <c r="AZ173" s="5"/>
      <c r="BA173" s="5"/>
      <c r="BB173" s="5"/>
      <c r="BC173" s="5"/>
      <c r="BD173" s="5"/>
      <c r="BE173" s="5"/>
      <c r="BF173" s="5"/>
      <c r="BG173" s="5"/>
      <c r="BH173" s="5"/>
      <c r="BI173" s="5"/>
      <c r="BJ173" s="5"/>
      <c r="BK173" s="5"/>
      <c r="BL173" s="5"/>
      <c r="BM173" s="5"/>
      <c r="BN173" s="5"/>
      <c r="BO173" s="5"/>
      <c r="BP173" s="5"/>
      <c r="BQ173" s="5"/>
      <c r="BR173" s="5"/>
      <c r="BS173" s="5"/>
      <c r="BT173" s="5"/>
    </row>
    <row r="174" spans="1:72" ht="20.100000000000001" customHeight="1">
      <c r="A174" s="379"/>
      <c r="B174" s="374"/>
      <c r="C174" s="374"/>
      <c r="D174" s="374"/>
      <c r="E174" s="374"/>
      <c r="F174" s="374"/>
      <c r="G174" s="374"/>
      <c r="H174" s="374"/>
      <c r="I174" s="374"/>
      <c r="J174" s="374"/>
      <c r="K174" s="374"/>
      <c r="L174" s="374"/>
      <c r="M174" s="374"/>
      <c r="N174" s="374"/>
      <c r="O174" s="374"/>
      <c r="P174" s="374"/>
      <c r="Q174" s="374"/>
      <c r="R174" s="374"/>
      <c r="S174" s="374"/>
      <c r="T174" s="374"/>
      <c r="U174" s="374"/>
      <c r="V174" s="374"/>
      <c r="W174" s="374"/>
      <c r="X174" s="374"/>
      <c r="Y174" s="374"/>
      <c r="Z174" s="374"/>
      <c r="AA174" s="374"/>
      <c r="AB174" s="374"/>
      <c r="AC174" s="374"/>
      <c r="AD174" s="374"/>
      <c r="AE174" s="374"/>
      <c r="AF174" s="374"/>
      <c r="AG174" s="374"/>
      <c r="AH174" s="374"/>
      <c r="AI174" s="374"/>
      <c r="AJ174" s="374"/>
      <c r="AK174" s="374"/>
      <c r="AL174" s="374"/>
      <c r="AM174" s="374"/>
      <c r="AN174" s="374"/>
      <c r="AO174" s="374"/>
      <c r="AP174" s="374"/>
      <c r="AQ174" s="374"/>
      <c r="AR174" s="374"/>
      <c r="AS174" s="374"/>
      <c r="AT174" s="374"/>
      <c r="AU174" s="374"/>
      <c r="AV174" s="374"/>
      <c r="AW174" s="374"/>
      <c r="AX174" s="374"/>
      <c r="AY174" s="375"/>
      <c r="AZ174" s="5"/>
      <c r="BA174" s="5"/>
      <c r="BB174" s="5"/>
      <c r="BC174" s="5"/>
      <c r="BD174" s="5"/>
      <c r="BE174" s="5"/>
      <c r="BF174" s="5"/>
      <c r="BG174" s="5"/>
      <c r="BH174" s="5"/>
      <c r="BI174" s="5"/>
      <c r="BJ174" s="5"/>
      <c r="BK174" s="5"/>
      <c r="BL174" s="5"/>
      <c r="BM174" s="5"/>
      <c r="BN174" s="5"/>
      <c r="BO174" s="5"/>
      <c r="BP174" s="5"/>
      <c r="BQ174" s="5"/>
      <c r="BR174" s="5"/>
      <c r="BS174" s="5"/>
      <c r="BT174" s="5"/>
    </row>
    <row r="175" spans="1:72" ht="20.100000000000001" customHeight="1">
      <c r="A175" s="376">
        <v>20</v>
      </c>
      <c r="B175" s="378" t="str">
        <f>IF(Creation_1!B175&lt;&gt;0,Creation_1!B175,IFERROR(INDEX(Database_Charms,MATCH($N175,Database_Charms_Names,0),MATCH(B$117,Database_Charms_Values,0)),""))</f>
        <v/>
      </c>
      <c r="C175" s="378"/>
      <c r="D175" s="378"/>
      <c r="E175" s="378"/>
      <c r="F175" s="378"/>
      <c r="G175" s="33"/>
      <c r="H175" s="378" t="str">
        <f>IF(Creation_1!H175&lt;&gt;"",Creation_1!H175,IF(B175&lt;&gt;0,B175,IFERROR(INDEX(Database_Charms,MATCH($N175,Database_Charms_Names,0),MATCH("Ability_Subtype",Database_Charms_Values,0)),"")))</f>
        <v/>
      </c>
      <c r="I175" s="378"/>
      <c r="J175" s="378"/>
      <c r="K175" s="378"/>
      <c r="L175" s="378"/>
      <c r="M175" s="23"/>
      <c r="N175" s="378" t="str">
        <f>IF(Creation_1!N175&lt;&gt;0,Creation_1!N175,"")</f>
        <v/>
      </c>
      <c r="O175" s="378"/>
      <c r="P175" s="378"/>
      <c r="Q175" s="378"/>
      <c r="R175" s="378"/>
      <c r="S175" s="378"/>
      <c r="T175" s="378"/>
      <c r="U175" s="378"/>
      <c r="V175" s="378"/>
      <c r="W175" s="378"/>
      <c r="X175" s="378"/>
      <c r="Y175" s="378"/>
      <c r="Z175" s="378"/>
      <c r="AA175" s="378"/>
      <c r="AB175" s="23"/>
      <c r="AC175" s="302" t="str">
        <f>IFERROR(INDEX(Database_Charms,MATCH($N175,Database_Charms_Names,0),MATCH(AC$117,Database_Charms_Values,0)),"")</f>
        <v/>
      </c>
      <c r="AD175" s="302"/>
      <c r="AE175" s="302"/>
      <c r="AF175" s="302"/>
      <c r="AG175" s="302"/>
      <c r="AH175" s="125"/>
      <c r="AI175" s="302" t="str">
        <f>IFERROR(INDEX(Database_Charms,MATCH($N175,Database_Charms_Names,0),MATCH(AI$117,Database_Charms_Values,0)),"")</f>
        <v/>
      </c>
      <c r="AJ175" s="302"/>
      <c r="AK175" s="302"/>
      <c r="AL175" s="302"/>
      <c r="AM175" s="125"/>
      <c r="AN175" s="302" t="str">
        <f>IFERROR(INDEX(Database_Charms,MATCH($N175,Database_Charms_Names,0),MATCH(AN$117,Database_Charms_Values,0)),"")</f>
        <v/>
      </c>
      <c r="AO175" s="302"/>
      <c r="AP175" s="302"/>
      <c r="AQ175" s="302"/>
      <c r="AR175" s="302"/>
      <c r="AS175" s="125"/>
      <c r="AT175" s="302" t="str">
        <f>IFERROR(INDEX(Database_Charms,MATCH($N175,Database_Charms_Names,0),MATCH(AT$117,Database_Charms_Values,0)),"")</f>
        <v/>
      </c>
      <c r="AU175" s="302"/>
      <c r="AV175" s="125"/>
      <c r="AW175" s="302" t="str">
        <f>IFERROR(INDEX(Database_Charms,MATCH($N175,Database_Charms_Names,0),MATCH(AW$117,Database_Charms_Values,0)),"")</f>
        <v/>
      </c>
      <c r="AX175" s="302"/>
      <c r="AY175" s="307"/>
      <c r="AZ175" s="5"/>
      <c r="BA175" s="5"/>
      <c r="BB175" s="5"/>
      <c r="BC175" s="5"/>
      <c r="BD175" s="5"/>
      <c r="BE175" s="5"/>
      <c r="BF175" s="5"/>
      <c r="BG175" s="5"/>
      <c r="BH175" s="5"/>
      <c r="BI175" s="5"/>
      <c r="BJ175" s="5"/>
      <c r="BK175" s="5"/>
      <c r="BL175" s="5"/>
      <c r="BM175" s="5"/>
      <c r="BN175" s="5"/>
      <c r="BO175" s="5"/>
      <c r="BP175" s="5"/>
      <c r="BQ175" s="5"/>
      <c r="BR175" s="5"/>
      <c r="BS175" s="5"/>
      <c r="BT175" s="5"/>
    </row>
    <row r="176" spans="1:72" ht="20.100000000000001" customHeight="1">
      <c r="A176" s="377"/>
      <c r="B176" s="372" t="str">
        <f>IF(Creation_1!B176="",IFERROR(INDEX(Database_Charms,MATCH($N175,Database_Charms_Names,0),MATCH(Charms!$S$1,Database_Charms_Values,0)),""),Creation_1!B176)</f>
        <v/>
      </c>
      <c r="C176" s="372"/>
      <c r="D176" s="372"/>
      <c r="E176" s="372"/>
      <c r="F176" s="372"/>
      <c r="G176" s="372"/>
      <c r="H176" s="372"/>
      <c r="I176" s="372"/>
      <c r="J176" s="372"/>
      <c r="K176" s="372"/>
      <c r="L176" s="372"/>
      <c r="M176" s="372"/>
      <c r="N176" s="372"/>
      <c r="O176" s="372"/>
      <c r="P176" s="372"/>
      <c r="Q176" s="372"/>
      <c r="R176" s="372"/>
      <c r="S176" s="372"/>
      <c r="T176" s="372"/>
      <c r="U176" s="372"/>
      <c r="V176" s="372"/>
      <c r="W176" s="372"/>
      <c r="X176" s="372"/>
      <c r="Y176" s="372"/>
      <c r="Z176" s="372"/>
      <c r="AA176" s="372"/>
      <c r="AB176" s="372"/>
      <c r="AC176" s="372"/>
      <c r="AD176" s="372"/>
      <c r="AE176" s="372"/>
      <c r="AF176" s="372"/>
      <c r="AG176" s="372"/>
      <c r="AH176" s="372"/>
      <c r="AI176" s="372"/>
      <c r="AJ176" s="372"/>
      <c r="AK176" s="372"/>
      <c r="AL176" s="372"/>
      <c r="AM176" s="372"/>
      <c r="AN176" s="372"/>
      <c r="AO176" s="372"/>
      <c r="AP176" s="372"/>
      <c r="AQ176" s="372"/>
      <c r="AR176" s="372"/>
      <c r="AS176" s="372"/>
      <c r="AT176" s="372"/>
      <c r="AU176" s="372"/>
      <c r="AV176" s="372"/>
      <c r="AW176" s="372"/>
      <c r="AX176" s="372"/>
      <c r="AY176" s="373"/>
      <c r="AZ176" s="5"/>
      <c r="BA176" s="5"/>
      <c r="BB176" s="5"/>
      <c r="BC176" s="5"/>
      <c r="BD176" s="5"/>
      <c r="BE176" s="5"/>
      <c r="BF176" s="5"/>
      <c r="BG176" s="5"/>
      <c r="BH176" s="5"/>
      <c r="BI176" s="5"/>
      <c r="BJ176" s="5"/>
      <c r="BK176" s="5"/>
      <c r="BL176" s="5"/>
      <c r="BM176" s="5"/>
      <c r="BN176" s="5"/>
      <c r="BO176" s="5"/>
      <c r="BP176" s="5"/>
      <c r="BQ176" s="5"/>
      <c r="BR176" s="5"/>
      <c r="BS176" s="5"/>
      <c r="BT176" s="5"/>
    </row>
    <row r="177" spans="1:72" ht="20.100000000000001" customHeight="1">
      <c r="A177" s="379"/>
      <c r="B177" s="374"/>
      <c r="C177" s="374"/>
      <c r="D177" s="374"/>
      <c r="E177" s="374"/>
      <c r="F177" s="374"/>
      <c r="G177" s="374"/>
      <c r="H177" s="374"/>
      <c r="I177" s="374"/>
      <c r="J177" s="374"/>
      <c r="K177" s="374"/>
      <c r="L177" s="374"/>
      <c r="M177" s="374"/>
      <c r="N177" s="374"/>
      <c r="O177" s="374"/>
      <c r="P177" s="374"/>
      <c r="Q177" s="374"/>
      <c r="R177" s="374"/>
      <c r="S177" s="374"/>
      <c r="T177" s="374"/>
      <c r="U177" s="374"/>
      <c r="V177" s="374"/>
      <c r="W177" s="374"/>
      <c r="X177" s="374"/>
      <c r="Y177" s="374"/>
      <c r="Z177" s="374"/>
      <c r="AA177" s="374"/>
      <c r="AB177" s="374"/>
      <c r="AC177" s="374"/>
      <c r="AD177" s="374"/>
      <c r="AE177" s="374"/>
      <c r="AF177" s="374"/>
      <c r="AG177" s="374"/>
      <c r="AH177" s="374"/>
      <c r="AI177" s="374"/>
      <c r="AJ177" s="374"/>
      <c r="AK177" s="374"/>
      <c r="AL177" s="374"/>
      <c r="AM177" s="374"/>
      <c r="AN177" s="374"/>
      <c r="AO177" s="374"/>
      <c r="AP177" s="374"/>
      <c r="AQ177" s="374"/>
      <c r="AR177" s="374"/>
      <c r="AS177" s="374"/>
      <c r="AT177" s="374"/>
      <c r="AU177" s="374"/>
      <c r="AV177" s="374"/>
      <c r="AW177" s="374"/>
      <c r="AX177" s="374"/>
      <c r="AY177" s="375"/>
      <c r="AZ177" s="5"/>
      <c r="BA177" s="5"/>
      <c r="BB177" s="5"/>
      <c r="BC177" s="5"/>
      <c r="BD177" s="5"/>
      <c r="BE177" s="5"/>
      <c r="BF177" s="5"/>
      <c r="BG177" s="5"/>
      <c r="BH177" s="5"/>
      <c r="BI177" s="5"/>
      <c r="BJ177" s="5"/>
      <c r="BK177" s="5"/>
      <c r="BL177" s="5"/>
      <c r="BM177" s="5"/>
      <c r="BN177" s="5"/>
      <c r="BO177" s="5"/>
      <c r="BP177" s="5"/>
      <c r="BQ177" s="5"/>
      <c r="BR177" s="5"/>
      <c r="BS177" s="5"/>
      <c r="BT177" s="5"/>
    </row>
    <row r="178" spans="1:72" ht="20.100000000000001" customHeight="1">
      <c r="A178" s="376">
        <v>21</v>
      </c>
      <c r="B178" s="378" t="str">
        <f>IF(Creation_1!B178&lt;&gt;0,Creation_1!B178,IFERROR(INDEX(Database_Charms,MATCH($N178,Database_Charms_Names,0),MATCH(B$117,Database_Charms_Values,0)),""))</f>
        <v/>
      </c>
      <c r="C178" s="378"/>
      <c r="D178" s="378"/>
      <c r="E178" s="378"/>
      <c r="F178" s="378"/>
      <c r="G178" s="33"/>
      <c r="H178" s="378" t="str">
        <f>IF(Creation_1!H178&lt;&gt;"",Creation_1!H178,IF(B178&lt;&gt;0,B178,IFERROR(INDEX(Database_Charms,MATCH($N178,Database_Charms_Names,0),MATCH("Ability_Subtype",Database_Charms_Values,0)),"")))</f>
        <v/>
      </c>
      <c r="I178" s="378"/>
      <c r="J178" s="378"/>
      <c r="K178" s="378"/>
      <c r="L178" s="378"/>
      <c r="M178" s="23"/>
      <c r="N178" s="378" t="str">
        <f>IF(Creation_1!N178&lt;&gt;0,Creation_1!N178,"")</f>
        <v/>
      </c>
      <c r="O178" s="378"/>
      <c r="P178" s="378"/>
      <c r="Q178" s="378"/>
      <c r="R178" s="378"/>
      <c r="S178" s="378"/>
      <c r="T178" s="378"/>
      <c r="U178" s="378"/>
      <c r="V178" s="378"/>
      <c r="W178" s="378"/>
      <c r="X178" s="378"/>
      <c r="Y178" s="378"/>
      <c r="Z178" s="378"/>
      <c r="AA178" s="378"/>
      <c r="AB178" s="23"/>
      <c r="AC178" s="302" t="str">
        <f>IFERROR(INDEX(Database_Charms,MATCH($N178,Database_Charms_Names,0),MATCH(AC$117,Database_Charms_Values,0)),"")</f>
        <v/>
      </c>
      <c r="AD178" s="302"/>
      <c r="AE178" s="302"/>
      <c r="AF178" s="302"/>
      <c r="AG178" s="302"/>
      <c r="AH178" s="125"/>
      <c r="AI178" s="302" t="str">
        <f>IFERROR(INDEX(Database_Charms,MATCH($N178,Database_Charms_Names,0),MATCH(AI$117,Database_Charms_Values,0)),"")</f>
        <v/>
      </c>
      <c r="AJ178" s="302"/>
      <c r="AK178" s="302"/>
      <c r="AL178" s="302"/>
      <c r="AM178" s="125"/>
      <c r="AN178" s="302" t="str">
        <f>IFERROR(INDEX(Database_Charms,MATCH($N178,Database_Charms_Names,0),MATCH(AN$117,Database_Charms_Values,0)),"")</f>
        <v/>
      </c>
      <c r="AO178" s="302"/>
      <c r="AP178" s="302"/>
      <c r="AQ178" s="302"/>
      <c r="AR178" s="302"/>
      <c r="AS178" s="125"/>
      <c r="AT178" s="302" t="str">
        <f>IFERROR(INDEX(Database_Charms,MATCH($N178,Database_Charms_Names,0),MATCH(AT$117,Database_Charms_Values,0)),"")</f>
        <v/>
      </c>
      <c r="AU178" s="302"/>
      <c r="AV178" s="125"/>
      <c r="AW178" s="302" t="str">
        <f>IFERROR(INDEX(Database_Charms,MATCH($N178,Database_Charms_Names,0),MATCH(AW$117,Database_Charms_Values,0)),"")</f>
        <v/>
      </c>
      <c r="AX178" s="302"/>
      <c r="AY178" s="307"/>
      <c r="AZ178" s="5"/>
      <c r="BA178" s="5"/>
      <c r="BB178" s="5"/>
      <c r="BC178" s="5"/>
      <c r="BD178" s="5"/>
      <c r="BE178" s="5"/>
      <c r="BF178" s="5"/>
      <c r="BG178" s="5"/>
      <c r="BH178" s="5"/>
      <c r="BI178" s="5"/>
      <c r="BJ178" s="5"/>
      <c r="BK178" s="5"/>
      <c r="BL178" s="5"/>
      <c r="BM178" s="5"/>
      <c r="BN178" s="5"/>
      <c r="BO178" s="5"/>
      <c r="BP178" s="5"/>
      <c r="BQ178" s="5"/>
      <c r="BR178" s="5"/>
      <c r="BS178" s="5"/>
      <c r="BT178" s="5"/>
    </row>
    <row r="179" spans="1:72" ht="20.100000000000001" customHeight="1">
      <c r="A179" s="377"/>
      <c r="B179" s="372" t="str">
        <f>IF(Creation_1!B179="",IFERROR(INDEX(Database_Charms,MATCH($N178,Database_Charms_Names,0),MATCH(Charms!$S$1,Database_Charms_Values,0)),""),Creation_1!B179)</f>
        <v/>
      </c>
      <c r="C179" s="372"/>
      <c r="D179" s="372"/>
      <c r="E179" s="372"/>
      <c r="F179" s="372"/>
      <c r="G179" s="372"/>
      <c r="H179" s="372"/>
      <c r="I179" s="372"/>
      <c r="J179" s="372"/>
      <c r="K179" s="372"/>
      <c r="L179" s="372"/>
      <c r="M179" s="372"/>
      <c r="N179" s="372"/>
      <c r="O179" s="372"/>
      <c r="P179" s="372"/>
      <c r="Q179" s="372"/>
      <c r="R179" s="372"/>
      <c r="S179" s="372"/>
      <c r="T179" s="372"/>
      <c r="U179" s="372"/>
      <c r="V179" s="372"/>
      <c r="W179" s="372"/>
      <c r="X179" s="372"/>
      <c r="Y179" s="372"/>
      <c r="Z179" s="372"/>
      <c r="AA179" s="372"/>
      <c r="AB179" s="372"/>
      <c r="AC179" s="372"/>
      <c r="AD179" s="372"/>
      <c r="AE179" s="372"/>
      <c r="AF179" s="372"/>
      <c r="AG179" s="372"/>
      <c r="AH179" s="372"/>
      <c r="AI179" s="372"/>
      <c r="AJ179" s="372"/>
      <c r="AK179" s="372"/>
      <c r="AL179" s="372"/>
      <c r="AM179" s="372"/>
      <c r="AN179" s="372"/>
      <c r="AO179" s="372"/>
      <c r="AP179" s="372"/>
      <c r="AQ179" s="372"/>
      <c r="AR179" s="372"/>
      <c r="AS179" s="372"/>
      <c r="AT179" s="372"/>
      <c r="AU179" s="372"/>
      <c r="AV179" s="372"/>
      <c r="AW179" s="372"/>
      <c r="AX179" s="372"/>
      <c r="AY179" s="373"/>
      <c r="AZ179" s="5"/>
      <c r="BA179" s="5"/>
      <c r="BB179" s="5"/>
      <c r="BC179" s="5"/>
      <c r="BD179" s="5"/>
      <c r="BE179" s="5"/>
      <c r="BF179" s="5"/>
      <c r="BG179" s="5"/>
      <c r="BH179" s="5"/>
      <c r="BI179" s="5"/>
      <c r="BJ179" s="5"/>
      <c r="BK179" s="5"/>
      <c r="BL179" s="5"/>
      <c r="BM179" s="5"/>
      <c r="BN179" s="5"/>
      <c r="BO179" s="5"/>
      <c r="BP179" s="5"/>
      <c r="BQ179" s="5"/>
      <c r="BR179" s="5"/>
      <c r="BS179" s="5"/>
      <c r="BT179" s="5"/>
    </row>
    <row r="180" spans="1:72" ht="20.100000000000001" customHeight="1">
      <c r="A180" s="379"/>
      <c r="B180" s="374"/>
      <c r="C180" s="374"/>
      <c r="D180" s="374"/>
      <c r="E180" s="374"/>
      <c r="F180" s="374"/>
      <c r="G180" s="374"/>
      <c r="H180" s="374"/>
      <c r="I180" s="374"/>
      <c r="J180" s="374"/>
      <c r="K180" s="374"/>
      <c r="L180" s="374"/>
      <c r="M180" s="374"/>
      <c r="N180" s="374"/>
      <c r="O180" s="374"/>
      <c r="P180" s="374"/>
      <c r="Q180" s="374"/>
      <c r="R180" s="374"/>
      <c r="S180" s="374"/>
      <c r="T180" s="374"/>
      <c r="U180" s="374"/>
      <c r="V180" s="374"/>
      <c r="W180" s="374"/>
      <c r="X180" s="374"/>
      <c r="Y180" s="374"/>
      <c r="Z180" s="374"/>
      <c r="AA180" s="374"/>
      <c r="AB180" s="374"/>
      <c r="AC180" s="374"/>
      <c r="AD180" s="374"/>
      <c r="AE180" s="374"/>
      <c r="AF180" s="374"/>
      <c r="AG180" s="374"/>
      <c r="AH180" s="374"/>
      <c r="AI180" s="374"/>
      <c r="AJ180" s="374"/>
      <c r="AK180" s="374"/>
      <c r="AL180" s="374"/>
      <c r="AM180" s="374"/>
      <c r="AN180" s="374"/>
      <c r="AO180" s="374"/>
      <c r="AP180" s="374"/>
      <c r="AQ180" s="374"/>
      <c r="AR180" s="374"/>
      <c r="AS180" s="374"/>
      <c r="AT180" s="374"/>
      <c r="AU180" s="374"/>
      <c r="AV180" s="374"/>
      <c r="AW180" s="374"/>
      <c r="AX180" s="374"/>
      <c r="AY180" s="375"/>
      <c r="AZ180" s="5"/>
      <c r="BA180" s="5"/>
      <c r="BB180" s="5"/>
      <c r="BC180" s="5"/>
      <c r="BD180" s="5"/>
      <c r="BE180" s="5"/>
      <c r="BF180" s="5"/>
      <c r="BG180" s="5"/>
      <c r="BH180" s="5"/>
      <c r="BI180" s="5"/>
      <c r="BJ180" s="5"/>
      <c r="BK180" s="5"/>
      <c r="BL180" s="5"/>
      <c r="BM180" s="5"/>
      <c r="BN180" s="5"/>
      <c r="BO180" s="5"/>
      <c r="BP180" s="5"/>
      <c r="BQ180" s="5"/>
      <c r="BR180" s="5"/>
      <c r="BS180" s="5"/>
      <c r="BT180" s="5"/>
    </row>
    <row r="181" spans="1:72" ht="20.100000000000001" customHeight="1">
      <c r="A181" s="376">
        <v>22</v>
      </c>
      <c r="B181" s="378" t="str">
        <f>IF(Creation_1!B181&lt;&gt;0,Creation_1!B181,IFERROR(INDEX(Database_Charms,MATCH($N181,Database_Charms_Names,0),MATCH(B$117,Database_Charms_Values,0)),""))</f>
        <v/>
      </c>
      <c r="C181" s="378"/>
      <c r="D181" s="378"/>
      <c r="E181" s="378"/>
      <c r="F181" s="378"/>
      <c r="G181" s="33"/>
      <c r="H181" s="378" t="str">
        <f>IF(Creation_1!H181&lt;&gt;"",Creation_1!H181,IF(B181&lt;&gt;0,B181,IFERROR(INDEX(Database_Charms,MATCH($N181,Database_Charms_Names,0),MATCH("Ability_Subtype",Database_Charms_Values,0)),"")))</f>
        <v/>
      </c>
      <c r="I181" s="378"/>
      <c r="J181" s="378"/>
      <c r="K181" s="378"/>
      <c r="L181" s="378"/>
      <c r="M181" s="23"/>
      <c r="N181" s="378" t="str">
        <f>IF(Creation_1!N181&lt;&gt;0,Creation_1!N181,"")</f>
        <v/>
      </c>
      <c r="O181" s="378"/>
      <c r="P181" s="378"/>
      <c r="Q181" s="378"/>
      <c r="R181" s="378"/>
      <c r="S181" s="378"/>
      <c r="T181" s="378"/>
      <c r="U181" s="378"/>
      <c r="V181" s="378"/>
      <c r="W181" s="378"/>
      <c r="X181" s="378"/>
      <c r="Y181" s="378"/>
      <c r="Z181" s="378"/>
      <c r="AA181" s="378"/>
      <c r="AB181" s="23"/>
      <c r="AC181" s="302" t="str">
        <f>IFERROR(INDEX(Database_Charms,MATCH($N181,Database_Charms_Names,0),MATCH(AC$117,Database_Charms_Values,0)),"")</f>
        <v/>
      </c>
      <c r="AD181" s="302"/>
      <c r="AE181" s="302"/>
      <c r="AF181" s="302"/>
      <c r="AG181" s="302"/>
      <c r="AH181" s="125"/>
      <c r="AI181" s="302" t="str">
        <f>IFERROR(INDEX(Database_Charms,MATCH($N181,Database_Charms_Names,0),MATCH(AI$117,Database_Charms_Values,0)),"")</f>
        <v/>
      </c>
      <c r="AJ181" s="302"/>
      <c r="AK181" s="302"/>
      <c r="AL181" s="302"/>
      <c r="AM181" s="125"/>
      <c r="AN181" s="302" t="str">
        <f>IFERROR(INDEX(Database_Charms,MATCH($N181,Database_Charms_Names,0),MATCH(AN$117,Database_Charms_Values,0)),"")</f>
        <v/>
      </c>
      <c r="AO181" s="302"/>
      <c r="AP181" s="302"/>
      <c r="AQ181" s="302"/>
      <c r="AR181" s="302"/>
      <c r="AS181" s="125"/>
      <c r="AT181" s="302" t="str">
        <f>IFERROR(INDEX(Database_Charms,MATCH($N181,Database_Charms_Names,0),MATCH(AT$117,Database_Charms_Values,0)),"")</f>
        <v/>
      </c>
      <c r="AU181" s="302"/>
      <c r="AV181" s="125"/>
      <c r="AW181" s="302" t="str">
        <f>IFERROR(INDEX(Database_Charms,MATCH($N181,Database_Charms_Names,0),MATCH(AW$117,Database_Charms_Values,0)),"")</f>
        <v/>
      </c>
      <c r="AX181" s="302"/>
      <c r="AY181" s="307"/>
      <c r="AZ181" s="5"/>
      <c r="BA181" s="5"/>
      <c r="BB181" s="5"/>
      <c r="BC181" s="5"/>
      <c r="BD181" s="5"/>
      <c r="BE181" s="5"/>
      <c r="BF181" s="5"/>
      <c r="BG181" s="5"/>
      <c r="BH181" s="5"/>
      <c r="BI181" s="5"/>
      <c r="BJ181" s="5"/>
      <c r="BK181" s="5"/>
      <c r="BL181" s="5"/>
      <c r="BM181" s="5"/>
      <c r="BN181" s="5"/>
      <c r="BO181" s="5"/>
      <c r="BP181" s="5"/>
      <c r="BQ181" s="5"/>
      <c r="BR181" s="5"/>
      <c r="BS181" s="5"/>
      <c r="BT181" s="5"/>
    </row>
    <row r="182" spans="1:72" ht="20.100000000000001" customHeight="1">
      <c r="A182" s="377"/>
      <c r="B182" s="372" t="str">
        <f>IF(Creation_1!B182="",IFERROR(INDEX(Database_Charms,MATCH($N181,Database_Charms_Names,0),MATCH(Charms!$S$1,Database_Charms_Values,0)),""),Creation_1!B182)</f>
        <v/>
      </c>
      <c r="C182" s="372"/>
      <c r="D182" s="372"/>
      <c r="E182" s="372"/>
      <c r="F182" s="372"/>
      <c r="G182" s="372"/>
      <c r="H182" s="372"/>
      <c r="I182" s="372"/>
      <c r="J182" s="372"/>
      <c r="K182" s="372"/>
      <c r="L182" s="372"/>
      <c r="M182" s="372"/>
      <c r="N182" s="372"/>
      <c r="O182" s="372"/>
      <c r="P182" s="372"/>
      <c r="Q182" s="372"/>
      <c r="R182" s="372"/>
      <c r="S182" s="372"/>
      <c r="T182" s="372"/>
      <c r="U182" s="372"/>
      <c r="V182" s="372"/>
      <c r="W182" s="372"/>
      <c r="X182" s="372"/>
      <c r="Y182" s="372"/>
      <c r="Z182" s="372"/>
      <c r="AA182" s="372"/>
      <c r="AB182" s="372"/>
      <c r="AC182" s="372"/>
      <c r="AD182" s="372"/>
      <c r="AE182" s="372"/>
      <c r="AF182" s="372"/>
      <c r="AG182" s="372"/>
      <c r="AH182" s="372"/>
      <c r="AI182" s="372"/>
      <c r="AJ182" s="372"/>
      <c r="AK182" s="372"/>
      <c r="AL182" s="372"/>
      <c r="AM182" s="372"/>
      <c r="AN182" s="372"/>
      <c r="AO182" s="372"/>
      <c r="AP182" s="372"/>
      <c r="AQ182" s="372"/>
      <c r="AR182" s="372"/>
      <c r="AS182" s="372"/>
      <c r="AT182" s="372"/>
      <c r="AU182" s="372"/>
      <c r="AV182" s="372"/>
      <c r="AW182" s="372"/>
      <c r="AX182" s="372"/>
      <c r="AY182" s="373"/>
      <c r="AZ182" s="5"/>
      <c r="BA182" s="5"/>
      <c r="BB182" s="5"/>
      <c r="BC182" s="5"/>
      <c r="BD182" s="5"/>
      <c r="BE182" s="5"/>
      <c r="BF182" s="5"/>
      <c r="BG182" s="5"/>
      <c r="BH182" s="5"/>
      <c r="BI182" s="5"/>
      <c r="BJ182" s="5"/>
      <c r="BK182" s="5"/>
      <c r="BL182" s="5"/>
      <c r="BM182" s="5"/>
      <c r="BN182" s="5"/>
      <c r="BO182" s="5"/>
      <c r="BP182" s="5"/>
      <c r="BQ182" s="5"/>
      <c r="BR182" s="5"/>
      <c r="BS182" s="5"/>
      <c r="BT182" s="5"/>
    </row>
    <row r="183" spans="1:72" ht="20.100000000000001" customHeight="1">
      <c r="A183" s="379"/>
      <c r="B183" s="374"/>
      <c r="C183" s="374"/>
      <c r="D183" s="374"/>
      <c r="E183" s="374"/>
      <c r="F183" s="374"/>
      <c r="G183" s="374"/>
      <c r="H183" s="374"/>
      <c r="I183" s="374"/>
      <c r="J183" s="374"/>
      <c r="K183" s="374"/>
      <c r="L183" s="374"/>
      <c r="M183" s="374"/>
      <c r="N183" s="374"/>
      <c r="O183" s="374"/>
      <c r="P183" s="374"/>
      <c r="Q183" s="374"/>
      <c r="R183" s="374"/>
      <c r="S183" s="374"/>
      <c r="T183" s="374"/>
      <c r="U183" s="374"/>
      <c r="V183" s="374"/>
      <c r="W183" s="374"/>
      <c r="X183" s="374"/>
      <c r="Y183" s="374"/>
      <c r="Z183" s="374"/>
      <c r="AA183" s="374"/>
      <c r="AB183" s="374"/>
      <c r="AC183" s="374"/>
      <c r="AD183" s="374"/>
      <c r="AE183" s="374"/>
      <c r="AF183" s="374"/>
      <c r="AG183" s="374"/>
      <c r="AH183" s="374"/>
      <c r="AI183" s="374"/>
      <c r="AJ183" s="374"/>
      <c r="AK183" s="374"/>
      <c r="AL183" s="374"/>
      <c r="AM183" s="374"/>
      <c r="AN183" s="374"/>
      <c r="AO183" s="374"/>
      <c r="AP183" s="374"/>
      <c r="AQ183" s="374"/>
      <c r="AR183" s="374"/>
      <c r="AS183" s="374"/>
      <c r="AT183" s="374"/>
      <c r="AU183" s="374"/>
      <c r="AV183" s="374"/>
      <c r="AW183" s="374"/>
      <c r="AX183" s="374"/>
      <c r="AY183" s="375"/>
      <c r="AZ183" s="5"/>
      <c r="BA183" s="5"/>
      <c r="BB183" s="5"/>
      <c r="BC183" s="5"/>
      <c r="BD183" s="5"/>
      <c r="BE183" s="5"/>
      <c r="BF183" s="5"/>
      <c r="BG183" s="5"/>
      <c r="BH183" s="5"/>
      <c r="BI183" s="5"/>
      <c r="BJ183" s="5"/>
      <c r="BK183" s="5"/>
      <c r="BL183" s="5"/>
      <c r="BM183" s="5"/>
      <c r="BN183" s="5"/>
      <c r="BO183" s="5"/>
      <c r="BP183" s="5"/>
      <c r="BQ183" s="5"/>
      <c r="BR183" s="5"/>
      <c r="BS183" s="5"/>
      <c r="BT183" s="5"/>
    </row>
    <row r="184" spans="1:72" ht="20.100000000000001" customHeight="1">
      <c r="A184" s="376">
        <v>23</v>
      </c>
      <c r="B184" s="378" t="str">
        <f>IF(Creation_1!B184&lt;&gt;0,Creation_1!B184,IFERROR(INDEX(Database_Charms,MATCH($N184,Database_Charms_Names,0),MATCH(B$117,Database_Charms_Values,0)),""))</f>
        <v/>
      </c>
      <c r="C184" s="378"/>
      <c r="D184" s="378"/>
      <c r="E184" s="378"/>
      <c r="F184" s="378"/>
      <c r="G184" s="33"/>
      <c r="H184" s="378" t="str">
        <f>IF(Creation_1!H184&lt;&gt;"",Creation_1!H184,IF(B184&lt;&gt;0,B184,IFERROR(INDEX(Database_Charms,MATCH($N184,Database_Charms_Names,0),MATCH("Ability_Subtype",Database_Charms_Values,0)),"")))</f>
        <v/>
      </c>
      <c r="I184" s="378"/>
      <c r="J184" s="378"/>
      <c r="K184" s="378"/>
      <c r="L184" s="378"/>
      <c r="M184" s="23"/>
      <c r="N184" s="378" t="str">
        <f>IF(Creation_1!N184&lt;&gt;0,Creation_1!N184,"")</f>
        <v/>
      </c>
      <c r="O184" s="378"/>
      <c r="P184" s="378"/>
      <c r="Q184" s="378"/>
      <c r="R184" s="378"/>
      <c r="S184" s="378"/>
      <c r="T184" s="378"/>
      <c r="U184" s="378"/>
      <c r="V184" s="378"/>
      <c r="W184" s="378"/>
      <c r="X184" s="378"/>
      <c r="Y184" s="378"/>
      <c r="Z184" s="378"/>
      <c r="AA184" s="378"/>
      <c r="AB184" s="23"/>
      <c r="AC184" s="302" t="str">
        <f>IFERROR(INDEX(Database_Charms,MATCH($N184,Database_Charms_Names,0),MATCH(AC$117,Database_Charms_Values,0)),"")</f>
        <v/>
      </c>
      <c r="AD184" s="302"/>
      <c r="AE184" s="302"/>
      <c r="AF184" s="302"/>
      <c r="AG184" s="302"/>
      <c r="AH184" s="125"/>
      <c r="AI184" s="302" t="str">
        <f>IFERROR(INDEX(Database_Charms,MATCH($N184,Database_Charms_Names,0),MATCH(AI$117,Database_Charms_Values,0)),"")</f>
        <v/>
      </c>
      <c r="AJ184" s="302"/>
      <c r="AK184" s="302"/>
      <c r="AL184" s="302"/>
      <c r="AM184" s="125"/>
      <c r="AN184" s="302" t="str">
        <f>IFERROR(INDEX(Database_Charms,MATCH($N184,Database_Charms_Names,0),MATCH(AN$117,Database_Charms_Values,0)),"")</f>
        <v/>
      </c>
      <c r="AO184" s="302"/>
      <c r="AP184" s="302"/>
      <c r="AQ184" s="302"/>
      <c r="AR184" s="302"/>
      <c r="AS184" s="125"/>
      <c r="AT184" s="302" t="str">
        <f>IFERROR(INDEX(Database_Charms,MATCH($N184,Database_Charms_Names,0),MATCH(AT$117,Database_Charms_Values,0)),"")</f>
        <v/>
      </c>
      <c r="AU184" s="302"/>
      <c r="AV184" s="125"/>
      <c r="AW184" s="302" t="str">
        <f>IFERROR(INDEX(Database_Charms,MATCH($N184,Database_Charms_Names,0),MATCH(AW$117,Database_Charms_Values,0)),"")</f>
        <v/>
      </c>
      <c r="AX184" s="302"/>
      <c r="AY184" s="307"/>
      <c r="AZ184" s="5"/>
      <c r="BA184" s="5"/>
      <c r="BB184" s="5"/>
      <c r="BC184" s="5"/>
      <c r="BD184" s="5"/>
      <c r="BE184" s="5"/>
      <c r="BF184" s="5"/>
      <c r="BG184" s="5"/>
      <c r="BH184" s="5"/>
      <c r="BI184" s="5"/>
      <c r="BJ184" s="5"/>
      <c r="BK184" s="5"/>
      <c r="BL184" s="5"/>
      <c r="BM184" s="5"/>
      <c r="BN184" s="5"/>
      <c r="BO184" s="5"/>
      <c r="BP184" s="5"/>
      <c r="BQ184" s="5"/>
      <c r="BR184" s="5"/>
      <c r="BS184" s="5"/>
      <c r="BT184" s="5"/>
    </row>
    <row r="185" spans="1:72" ht="20.100000000000001" customHeight="1">
      <c r="A185" s="377"/>
      <c r="B185" s="372" t="str">
        <f>IF(Creation_1!B185="",IFERROR(INDEX(Database_Charms,MATCH($N184,Database_Charms_Names,0),MATCH(Charms!$S$1,Database_Charms_Values,0)),""),Creation_1!B185)</f>
        <v/>
      </c>
      <c r="C185" s="372"/>
      <c r="D185" s="372"/>
      <c r="E185" s="372"/>
      <c r="F185" s="372"/>
      <c r="G185" s="372"/>
      <c r="H185" s="372"/>
      <c r="I185" s="372"/>
      <c r="J185" s="372"/>
      <c r="K185" s="372"/>
      <c r="L185" s="372"/>
      <c r="M185" s="372"/>
      <c r="N185" s="372"/>
      <c r="O185" s="372"/>
      <c r="P185" s="372"/>
      <c r="Q185" s="372"/>
      <c r="R185" s="372"/>
      <c r="S185" s="372"/>
      <c r="T185" s="372"/>
      <c r="U185" s="372"/>
      <c r="V185" s="372"/>
      <c r="W185" s="372"/>
      <c r="X185" s="372"/>
      <c r="Y185" s="372"/>
      <c r="Z185" s="372"/>
      <c r="AA185" s="372"/>
      <c r="AB185" s="372"/>
      <c r="AC185" s="372"/>
      <c r="AD185" s="372"/>
      <c r="AE185" s="372"/>
      <c r="AF185" s="372"/>
      <c r="AG185" s="372"/>
      <c r="AH185" s="372"/>
      <c r="AI185" s="372"/>
      <c r="AJ185" s="372"/>
      <c r="AK185" s="372"/>
      <c r="AL185" s="372"/>
      <c r="AM185" s="372"/>
      <c r="AN185" s="372"/>
      <c r="AO185" s="372"/>
      <c r="AP185" s="372"/>
      <c r="AQ185" s="372"/>
      <c r="AR185" s="372"/>
      <c r="AS185" s="372"/>
      <c r="AT185" s="372"/>
      <c r="AU185" s="372"/>
      <c r="AV185" s="372"/>
      <c r="AW185" s="372"/>
      <c r="AX185" s="372"/>
      <c r="AY185" s="373"/>
      <c r="AZ185" s="5"/>
      <c r="BA185" s="5"/>
      <c r="BB185" s="5"/>
      <c r="BC185" s="5"/>
      <c r="BD185" s="5"/>
      <c r="BE185" s="5"/>
      <c r="BF185" s="5"/>
      <c r="BG185" s="5"/>
      <c r="BH185" s="5"/>
      <c r="BI185" s="5"/>
      <c r="BJ185" s="5"/>
      <c r="BK185" s="5"/>
      <c r="BL185" s="5"/>
      <c r="BM185" s="5"/>
      <c r="BN185" s="5"/>
      <c r="BO185" s="5"/>
      <c r="BP185" s="5"/>
      <c r="BQ185" s="5"/>
      <c r="BR185" s="5"/>
      <c r="BS185" s="5"/>
      <c r="BT185" s="5"/>
    </row>
    <row r="186" spans="1:72" ht="20.100000000000001" customHeight="1">
      <c r="A186" s="379"/>
      <c r="B186" s="374"/>
      <c r="C186" s="374"/>
      <c r="D186" s="374"/>
      <c r="E186" s="374"/>
      <c r="F186" s="374"/>
      <c r="G186" s="374"/>
      <c r="H186" s="374"/>
      <c r="I186" s="374"/>
      <c r="J186" s="374"/>
      <c r="K186" s="374"/>
      <c r="L186" s="374"/>
      <c r="M186" s="374"/>
      <c r="N186" s="374"/>
      <c r="O186" s="374"/>
      <c r="P186" s="374"/>
      <c r="Q186" s="374"/>
      <c r="R186" s="374"/>
      <c r="S186" s="374"/>
      <c r="T186" s="374"/>
      <c r="U186" s="374"/>
      <c r="V186" s="374"/>
      <c r="W186" s="374"/>
      <c r="X186" s="374"/>
      <c r="Y186" s="374"/>
      <c r="Z186" s="374"/>
      <c r="AA186" s="374"/>
      <c r="AB186" s="374"/>
      <c r="AC186" s="374"/>
      <c r="AD186" s="374"/>
      <c r="AE186" s="374"/>
      <c r="AF186" s="374"/>
      <c r="AG186" s="374"/>
      <c r="AH186" s="374"/>
      <c r="AI186" s="374"/>
      <c r="AJ186" s="374"/>
      <c r="AK186" s="374"/>
      <c r="AL186" s="374"/>
      <c r="AM186" s="374"/>
      <c r="AN186" s="374"/>
      <c r="AO186" s="374"/>
      <c r="AP186" s="374"/>
      <c r="AQ186" s="374"/>
      <c r="AR186" s="374"/>
      <c r="AS186" s="374"/>
      <c r="AT186" s="374"/>
      <c r="AU186" s="374"/>
      <c r="AV186" s="374"/>
      <c r="AW186" s="374"/>
      <c r="AX186" s="374"/>
      <c r="AY186" s="375"/>
      <c r="AZ186" s="5"/>
      <c r="BA186" s="5"/>
      <c r="BB186" s="5"/>
      <c r="BC186" s="5"/>
      <c r="BD186" s="5"/>
      <c r="BE186" s="5"/>
      <c r="BF186" s="5"/>
      <c r="BG186" s="5"/>
      <c r="BH186" s="5"/>
      <c r="BI186" s="5"/>
      <c r="BJ186" s="5"/>
      <c r="BK186" s="5"/>
      <c r="BL186" s="5"/>
      <c r="BM186" s="5"/>
      <c r="BN186" s="5"/>
      <c r="BO186" s="5"/>
      <c r="BP186" s="5"/>
      <c r="BQ186" s="5"/>
      <c r="BR186" s="5"/>
      <c r="BS186" s="5"/>
      <c r="BT186" s="5"/>
    </row>
    <row r="187" spans="1:72" ht="20.100000000000001" customHeight="1">
      <c r="A187" s="376">
        <v>24</v>
      </c>
      <c r="B187" s="378" t="str">
        <f>IF(Creation_1!B187&lt;&gt;0,Creation_1!B187,IFERROR(INDEX(Database_Charms,MATCH($N187,Database_Charms_Names,0),MATCH(B$117,Database_Charms_Values,0)),""))</f>
        <v/>
      </c>
      <c r="C187" s="378"/>
      <c r="D187" s="378"/>
      <c r="E187" s="378"/>
      <c r="F187" s="378"/>
      <c r="G187" s="33"/>
      <c r="H187" s="378" t="str">
        <f>IF(Creation_1!H187&lt;&gt;"",Creation_1!H187,IF(B187&lt;&gt;0,B187,IFERROR(INDEX(Database_Charms,MATCH($N187,Database_Charms_Names,0),MATCH("Ability_Subtype",Database_Charms_Values,0)),"")))</f>
        <v/>
      </c>
      <c r="I187" s="378"/>
      <c r="J187" s="378"/>
      <c r="K187" s="378"/>
      <c r="L187" s="378"/>
      <c r="M187" s="23"/>
      <c r="N187" s="378" t="str">
        <f>IF(Creation_1!N187&lt;&gt;0,Creation_1!N187,"")</f>
        <v/>
      </c>
      <c r="O187" s="378"/>
      <c r="P187" s="378"/>
      <c r="Q187" s="378"/>
      <c r="R187" s="378"/>
      <c r="S187" s="378"/>
      <c r="T187" s="378"/>
      <c r="U187" s="378"/>
      <c r="V187" s="378"/>
      <c r="W187" s="378"/>
      <c r="X187" s="378"/>
      <c r="Y187" s="378"/>
      <c r="Z187" s="378"/>
      <c r="AA187" s="378"/>
      <c r="AB187" s="23"/>
      <c r="AC187" s="302" t="str">
        <f>IFERROR(INDEX(Database_Charms,MATCH($N187,Database_Charms_Names,0),MATCH(AC$117,Database_Charms_Values,0)),"")</f>
        <v/>
      </c>
      <c r="AD187" s="302"/>
      <c r="AE187" s="302"/>
      <c r="AF187" s="302"/>
      <c r="AG187" s="302"/>
      <c r="AH187" s="125"/>
      <c r="AI187" s="302" t="str">
        <f>IFERROR(INDEX(Database_Charms,MATCH($N187,Database_Charms_Names,0),MATCH(AI$117,Database_Charms_Values,0)),"")</f>
        <v/>
      </c>
      <c r="AJ187" s="302"/>
      <c r="AK187" s="302"/>
      <c r="AL187" s="302"/>
      <c r="AM187" s="125"/>
      <c r="AN187" s="302" t="str">
        <f>IFERROR(INDEX(Database_Charms,MATCH($N187,Database_Charms_Names,0),MATCH(AN$117,Database_Charms_Values,0)),"")</f>
        <v/>
      </c>
      <c r="AO187" s="302"/>
      <c r="AP187" s="302"/>
      <c r="AQ187" s="302"/>
      <c r="AR187" s="302"/>
      <c r="AS187" s="125"/>
      <c r="AT187" s="302" t="str">
        <f>IFERROR(INDEX(Database_Charms,MATCH($N187,Database_Charms_Names,0),MATCH(AT$117,Database_Charms_Values,0)),"")</f>
        <v/>
      </c>
      <c r="AU187" s="302"/>
      <c r="AV187" s="125"/>
      <c r="AW187" s="302" t="str">
        <f>IFERROR(INDEX(Database_Charms,MATCH($N187,Database_Charms_Names,0),MATCH(AW$117,Database_Charms_Values,0)),"")</f>
        <v/>
      </c>
      <c r="AX187" s="302"/>
      <c r="AY187" s="307"/>
      <c r="AZ187" s="5"/>
      <c r="BA187" s="5"/>
      <c r="BB187" s="5"/>
      <c r="BC187" s="5"/>
      <c r="BD187" s="5"/>
      <c r="BE187" s="5"/>
      <c r="BF187" s="5"/>
      <c r="BG187" s="5"/>
      <c r="BH187" s="5"/>
      <c r="BI187" s="5"/>
      <c r="BJ187" s="5"/>
      <c r="BK187" s="5"/>
      <c r="BL187" s="5"/>
      <c r="BM187" s="5"/>
      <c r="BN187" s="5"/>
      <c r="BO187" s="5"/>
      <c r="BP187" s="5"/>
      <c r="BQ187" s="5"/>
      <c r="BR187" s="5"/>
      <c r="BS187" s="5"/>
      <c r="BT187" s="5"/>
    </row>
    <row r="188" spans="1:72" ht="20.100000000000001" customHeight="1">
      <c r="A188" s="377"/>
      <c r="B188" s="372" t="str">
        <f>IF(Creation_1!B188="",IFERROR(INDEX(Database_Charms,MATCH($N187,Database_Charms_Names,0),MATCH(Charms!$S$1,Database_Charms_Values,0)),""),Creation_1!B188)</f>
        <v/>
      </c>
      <c r="C188" s="372"/>
      <c r="D188" s="372"/>
      <c r="E188" s="372"/>
      <c r="F188" s="372"/>
      <c r="G188" s="372"/>
      <c r="H188" s="372"/>
      <c r="I188" s="372"/>
      <c r="J188" s="372"/>
      <c r="K188" s="372"/>
      <c r="L188" s="372"/>
      <c r="M188" s="372"/>
      <c r="N188" s="372"/>
      <c r="O188" s="372"/>
      <c r="P188" s="372"/>
      <c r="Q188" s="372"/>
      <c r="R188" s="372"/>
      <c r="S188" s="372"/>
      <c r="T188" s="372"/>
      <c r="U188" s="372"/>
      <c r="V188" s="372"/>
      <c r="W188" s="372"/>
      <c r="X188" s="372"/>
      <c r="Y188" s="372"/>
      <c r="Z188" s="372"/>
      <c r="AA188" s="372"/>
      <c r="AB188" s="372"/>
      <c r="AC188" s="372"/>
      <c r="AD188" s="372"/>
      <c r="AE188" s="372"/>
      <c r="AF188" s="372"/>
      <c r="AG188" s="372"/>
      <c r="AH188" s="372"/>
      <c r="AI188" s="372"/>
      <c r="AJ188" s="372"/>
      <c r="AK188" s="372"/>
      <c r="AL188" s="372"/>
      <c r="AM188" s="372"/>
      <c r="AN188" s="372"/>
      <c r="AO188" s="372"/>
      <c r="AP188" s="372"/>
      <c r="AQ188" s="372"/>
      <c r="AR188" s="372"/>
      <c r="AS188" s="372"/>
      <c r="AT188" s="372"/>
      <c r="AU188" s="372"/>
      <c r="AV188" s="372"/>
      <c r="AW188" s="372"/>
      <c r="AX188" s="372"/>
      <c r="AY188" s="373"/>
      <c r="AZ188" s="5"/>
      <c r="BA188" s="5"/>
      <c r="BB188" s="5"/>
      <c r="BC188" s="5"/>
      <c r="BD188" s="5"/>
      <c r="BE188" s="5"/>
      <c r="BF188" s="5"/>
      <c r="BG188" s="5"/>
      <c r="BH188" s="5"/>
      <c r="BI188" s="5"/>
      <c r="BJ188" s="5"/>
      <c r="BK188" s="5"/>
      <c r="BL188" s="5"/>
      <c r="BM188" s="5"/>
      <c r="BN188" s="5"/>
      <c r="BO188" s="5"/>
      <c r="BP188" s="5"/>
      <c r="BQ188" s="5"/>
      <c r="BR188" s="5"/>
      <c r="BS188" s="5"/>
      <c r="BT188" s="5"/>
    </row>
    <row r="189" spans="1:72" ht="20.100000000000001" customHeight="1">
      <c r="A189" s="379"/>
      <c r="B189" s="374"/>
      <c r="C189" s="374"/>
      <c r="D189" s="374"/>
      <c r="E189" s="374"/>
      <c r="F189" s="374"/>
      <c r="G189" s="374"/>
      <c r="H189" s="374"/>
      <c r="I189" s="374"/>
      <c r="J189" s="374"/>
      <c r="K189" s="374"/>
      <c r="L189" s="374"/>
      <c r="M189" s="374"/>
      <c r="N189" s="374"/>
      <c r="O189" s="374"/>
      <c r="P189" s="374"/>
      <c r="Q189" s="374"/>
      <c r="R189" s="374"/>
      <c r="S189" s="374"/>
      <c r="T189" s="374"/>
      <c r="U189" s="374"/>
      <c r="V189" s="374"/>
      <c r="W189" s="374"/>
      <c r="X189" s="374"/>
      <c r="Y189" s="374"/>
      <c r="Z189" s="374"/>
      <c r="AA189" s="374"/>
      <c r="AB189" s="374"/>
      <c r="AC189" s="374"/>
      <c r="AD189" s="374"/>
      <c r="AE189" s="374"/>
      <c r="AF189" s="374"/>
      <c r="AG189" s="374"/>
      <c r="AH189" s="374"/>
      <c r="AI189" s="374"/>
      <c r="AJ189" s="374"/>
      <c r="AK189" s="374"/>
      <c r="AL189" s="374"/>
      <c r="AM189" s="374"/>
      <c r="AN189" s="374"/>
      <c r="AO189" s="374"/>
      <c r="AP189" s="374"/>
      <c r="AQ189" s="374"/>
      <c r="AR189" s="374"/>
      <c r="AS189" s="374"/>
      <c r="AT189" s="374"/>
      <c r="AU189" s="374"/>
      <c r="AV189" s="374"/>
      <c r="AW189" s="374"/>
      <c r="AX189" s="374"/>
      <c r="AY189" s="375"/>
      <c r="AZ189" s="5"/>
      <c r="BA189" s="5"/>
      <c r="BB189" s="5"/>
      <c r="BC189" s="5"/>
      <c r="BD189" s="5"/>
      <c r="BE189" s="5"/>
      <c r="BF189" s="5"/>
      <c r="BG189" s="5"/>
      <c r="BH189" s="5"/>
      <c r="BI189" s="5"/>
      <c r="BJ189" s="5"/>
      <c r="BK189" s="5"/>
      <c r="BL189" s="5"/>
      <c r="BM189" s="5"/>
      <c r="BN189" s="5"/>
      <c r="BO189" s="5"/>
      <c r="BP189" s="5"/>
      <c r="BQ189" s="5"/>
      <c r="BR189" s="5"/>
      <c r="BS189" s="5"/>
      <c r="BT189" s="5"/>
    </row>
    <row r="190" spans="1:72" ht="20.100000000000001" customHeight="1">
      <c r="A190" s="376">
        <v>25</v>
      </c>
      <c r="B190" s="378" t="str">
        <f>IF(Creation_1!B190&lt;&gt;0,Creation_1!B190,IFERROR(INDEX(Database_Charms,MATCH($N190,Database_Charms_Names,0),MATCH(B$117,Database_Charms_Values,0)),""))</f>
        <v/>
      </c>
      <c r="C190" s="378"/>
      <c r="D190" s="378"/>
      <c r="E190" s="378"/>
      <c r="F190" s="378"/>
      <c r="G190" s="33"/>
      <c r="H190" s="378" t="str">
        <f>IF(Creation_1!H190&lt;&gt;"",Creation_1!H190,IF(B190&lt;&gt;0,B190,IFERROR(INDEX(Database_Charms,MATCH($N190,Database_Charms_Names,0),MATCH("Ability_Subtype",Database_Charms_Values,0)),"")))</f>
        <v/>
      </c>
      <c r="I190" s="378"/>
      <c r="J190" s="378"/>
      <c r="K190" s="378"/>
      <c r="L190" s="378"/>
      <c r="M190" s="23"/>
      <c r="N190" s="378" t="str">
        <f>IF(Creation_1!N190&lt;&gt;0,Creation_1!N190,"")</f>
        <v/>
      </c>
      <c r="O190" s="378"/>
      <c r="P190" s="378"/>
      <c r="Q190" s="378"/>
      <c r="R190" s="378"/>
      <c r="S190" s="378"/>
      <c r="T190" s="378"/>
      <c r="U190" s="378"/>
      <c r="V190" s="378"/>
      <c r="W190" s="378"/>
      <c r="X190" s="378"/>
      <c r="Y190" s="378"/>
      <c r="Z190" s="378"/>
      <c r="AA190" s="378"/>
      <c r="AB190" s="23"/>
      <c r="AC190" s="302" t="str">
        <f>IFERROR(INDEX(Database_Charms,MATCH($N190,Database_Charms_Names,0),MATCH(AC$117,Database_Charms_Values,0)),"")</f>
        <v/>
      </c>
      <c r="AD190" s="302"/>
      <c r="AE190" s="302"/>
      <c r="AF190" s="302"/>
      <c r="AG190" s="302"/>
      <c r="AH190" s="125"/>
      <c r="AI190" s="302" t="str">
        <f>IFERROR(INDEX(Database_Charms,MATCH($N190,Database_Charms_Names,0),MATCH(AI$117,Database_Charms_Values,0)),"")</f>
        <v/>
      </c>
      <c r="AJ190" s="302"/>
      <c r="AK190" s="302"/>
      <c r="AL190" s="302"/>
      <c r="AM190" s="125"/>
      <c r="AN190" s="302" t="str">
        <f>IFERROR(INDEX(Database_Charms,MATCH($N190,Database_Charms_Names,0),MATCH(AN$117,Database_Charms_Values,0)),"")</f>
        <v/>
      </c>
      <c r="AO190" s="302"/>
      <c r="AP190" s="302"/>
      <c r="AQ190" s="302"/>
      <c r="AR190" s="302"/>
      <c r="AS190" s="125"/>
      <c r="AT190" s="302" t="str">
        <f>IFERROR(INDEX(Database_Charms,MATCH($N190,Database_Charms_Names,0),MATCH(AT$117,Database_Charms_Values,0)),"")</f>
        <v/>
      </c>
      <c r="AU190" s="302"/>
      <c r="AV190" s="125"/>
      <c r="AW190" s="302" t="str">
        <f>IFERROR(INDEX(Database_Charms,MATCH($N190,Database_Charms_Names,0),MATCH(AW$117,Database_Charms_Values,0)),"")</f>
        <v/>
      </c>
      <c r="AX190" s="302"/>
      <c r="AY190" s="307"/>
      <c r="AZ190" s="5"/>
      <c r="BA190" s="5"/>
      <c r="BB190" s="5"/>
      <c r="BC190" s="5"/>
      <c r="BD190" s="5"/>
      <c r="BE190" s="5"/>
      <c r="BF190" s="5"/>
      <c r="BG190" s="5"/>
      <c r="BH190" s="5"/>
      <c r="BI190" s="5"/>
      <c r="BJ190" s="5"/>
      <c r="BK190" s="5"/>
      <c r="BL190" s="5"/>
      <c r="BM190" s="5"/>
      <c r="BN190" s="5"/>
      <c r="BO190" s="5"/>
      <c r="BP190" s="5"/>
      <c r="BQ190" s="5"/>
      <c r="BR190" s="5"/>
      <c r="BS190" s="5"/>
      <c r="BT190" s="5"/>
    </row>
    <row r="191" spans="1:72" ht="20.100000000000001" customHeight="1">
      <c r="A191" s="377"/>
      <c r="B191" s="372" t="str">
        <f>IF(Creation_1!B191="",IFERROR(INDEX(Database_Charms,MATCH($N190,Database_Charms_Names,0),MATCH(Charms!$S$1,Database_Charms_Values,0)),""),Creation_1!B191)</f>
        <v/>
      </c>
      <c r="C191" s="372"/>
      <c r="D191" s="372"/>
      <c r="E191" s="372"/>
      <c r="F191" s="372"/>
      <c r="G191" s="372"/>
      <c r="H191" s="372"/>
      <c r="I191" s="372"/>
      <c r="J191" s="372"/>
      <c r="K191" s="372"/>
      <c r="L191" s="372"/>
      <c r="M191" s="372"/>
      <c r="N191" s="372"/>
      <c r="O191" s="372"/>
      <c r="P191" s="372"/>
      <c r="Q191" s="372"/>
      <c r="R191" s="372"/>
      <c r="S191" s="372"/>
      <c r="T191" s="372"/>
      <c r="U191" s="372"/>
      <c r="V191" s="372"/>
      <c r="W191" s="372"/>
      <c r="X191" s="372"/>
      <c r="Y191" s="372"/>
      <c r="Z191" s="372"/>
      <c r="AA191" s="372"/>
      <c r="AB191" s="372"/>
      <c r="AC191" s="372"/>
      <c r="AD191" s="372"/>
      <c r="AE191" s="372"/>
      <c r="AF191" s="372"/>
      <c r="AG191" s="372"/>
      <c r="AH191" s="372"/>
      <c r="AI191" s="372"/>
      <c r="AJ191" s="372"/>
      <c r="AK191" s="372"/>
      <c r="AL191" s="372"/>
      <c r="AM191" s="372"/>
      <c r="AN191" s="372"/>
      <c r="AO191" s="372"/>
      <c r="AP191" s="372"/>
      <c r="AQ191" s="372"/>
      <c r="AR191" s="372"/>
      <c r="AS191" s="372"/>
      <c r="AT191" s="372"/>
      <c r="AU191" s="372"/>
      <c r="AV191" s="372"/>
      <c r="AW191" s="372"/>
      <c r="AX191" s="372"/>
      <c r="AY191" s="373"/>
      <c r="AZ191" s="5"/>
      <c r="BA191" s="5"/>
      <c r="BB191" s="5"/>
      <c r="BC191" s="5"/>
      <c r="BD191" s="5"/>
      <c r="BE191" s="5"/>
      <c r="BF191" s="5"/>
      <c r="BG191" s="5"/>
      <c r="BH191" s="5"/>
      <c r="BI191" s="5"/>
      <c r="BJ191" s="5"/>
      <c r="BK191" s="5"/>
      <c r="BL191" s="5"/>
      <c r="BM191" s="5"/>
      <c r="BN191" s="5"/>
      <c r="BO191" s="5"/>
      <c r="BP191" s="5"/>
      <c r="BQ191" s="5"/>
      <c r="BR191" s="5"/>
      <c r="BS191" s="5"/>
      <c r="BT191" s="5"/>
    </row>
    <row r="192" spans="1:72" ht="20.100000000000001" customHeight="1">
      <c r="A192" s="379"/>
      <c r="B192" s="374"/>
      <c r="C192" s="374"/>
      <c r="D192" s="374"/>
      <c r="E192" s="374"/>
      <c r="F192" s="374"/>
      <c r="G192" s="374"/>
      <c r="H192" s="374"/>
      <c r="I192" s="374"/>
      <c r="J192" s="374"/>
      <c r="K192" s="374"/>
      <c r="L192" s="374"/>
      <c r="M192" s="374"/>
      <c r="N192" s="374"/>
      <c r="O192" s="374"/>
      <c r="P192" s="374"/>
      <c r="Q192" s="374"/>
      <c r="R192" s="374"/>
      <c r="S192" s="374"/>
      <c r="T192" s="374"/>
      <c r="U192" s="374"/>
      <c r="V192" s="374"/>
      <c r="W192" s="374"/>
      <c r="X192" s="374"/>
      <c r="Y192" s="374"/>
      <c r="Z192" s="374"/>
      <c r="AA192" s="374"/>
      <c r="AB192" s="374"/>
      <c r="AC192" s="374"/>
      <c r="AD192" s="374"/>
      <c r="AE192" s="374"/>
      <c r="AF192" s="374"/>
      <c r="AG192" s="374"/>
      <c r="AH192" s="374"/>
      <c r="AI192" s="374"/>
      <c r="AJ192" s="374"/>
      <c r="AK192" s="374"/>
      <c r="AL192" s="374"/>
      <c r="AM192" s="374"/>
      <c r="AN192" s="374"/>
      <c r="AO192" s="374"/>
      <c r="AP192" s="374"/>
      <c r="AQ192" s="374"/>
      <c r="AR192" s="374"/>
      <c r="AS192" s="374"/>
      <c r="AT192" s="374"/>
      <c r="AU192" s="374"/>
      <c r="AV192" s="374"/>
      <c r="AW192" s="374"/>
      <c r="AX192" s="374"/>
      <c r="AY192" s="375"/>
      <c r="AZ192" s="5"/>
      <c r="BA192" s="5"/>
      <c r="BB192" s="5"/>
      <c r="BC192" s="5"/>
      <c r="BD192" s="5"/>
      <c r="BE192" s="5"/>
      <c r="BF192" s="5"/>
      <c r="BG192" s="5"/>
      <c r="BH192" s="5"/>
      <c r="BI192" s="5"/>
      <c r="BJ192" s="5"/>
      <c r="BK192" s="5"/>
      <c r="BL192" s="5"/>
      <c r="BM192" s="5"/>
      <c r="BN192" s="5"/>
      <c r="BO192" s="5"/>
      <c r="BP192" s="5"/>
      <c r="BQ192" s="5"/>
      <c r="BR192" s="5"/>
      <c r="BS192" s="5"/>
      <c r="BT192" s="5"/>
    </row>
    <row r="193" spans="1:72" ht="20.100000000000001" customHeight="1">
      <c r="A193" s="376">
        <v>26</v>
      </c>
      <c r="B193" s="378" t="str">
        <f>IF(Creation_1!B193&lt;&gt;0,Creation_1!B193,IFERROR(INDEX(Database_Charms,MATCH($N193,Database_Charms_Names,0),MATCH(B$117,Database_Charms_Values,0)),""))</f>
        <v/>
      </c>
      <c r="C193" s="378"/>
      <c r="D193" s="378"/>
      <c r="E193" s="378"/>
      <c r="F193" s="378"/>
      <c r="G193" s="33"/>
      <c r="H193" s="378" t="str">
        <f>IF(Creation_1!H193&lt;&gt;"",Creation_1!H193,IF(B193&lt;&gt;0,B193,IFERROR(INDEX(Database_Charms,MATCH($N193,Database_Charms_Names,0),MATCH("Ability_Subtype",Database_Charms_Values,0)),"")))</f>
        <v/>
      </c>
      <c r="I193" s="378"/>
      <c r="J193" s="378"/>
      <c r="K193" s="378"/>
      <c r="L193" s="378"/>
      <c r="M193" s="23"/>
      <c r="N193" s="378" t="str">
        <f>IF(Creation_1!N193&lt;&gt;0,Creation_1!N193,"")</f>
        <v/>
      </c>
      <c r="O193" s="378"/>
      <c r="P193" s="378"/>
      <c r="Q193" s="378"/>
      <c r="R193" s="378"/>
      <c r="S193" s="378"/>
      <c r="T193" s="378"/>
      <c r="U193" s="378"/>
      <c r="V193" s="378"/>
      <c r="W193" s="378"/>
      <c r="X193" s="378"/>
      <c r="Y193" s="378"/>
      <c r="Z193" s="378"/>
      <c r="AA193" s="378"/>
      <c r="AB193" s="23"/>
      <c r="AC193" s="302" t="str">
        <f>IFERROR(INDEX(Database_Charms,MATCH($N193,Database_Charms_Names,0),MATCH(AC$117,Database_Charms_Values,0)),"")</f>
        <v/>
      </c>
      <c r="AD193" s="302"/>
      <c r="AE193" s="302"/>
      <c r="AF193" s="302"/>
      <c r="AG193" s="302"/>
      <c r="AH193" s="125"/>
      <c r="AI193" s="302" t="str">
        <f>IFERROR(INDEX(Database_Charms,MATCH($N193,Database_Charms_Names,0),MATCH(AI$117,Database_Charms_Values,0)),"")</f>
        <v/>
      </c>
      <c r="AJ193" s="302"/>
      <c r="AK193" s="302"/>
      <c r="AL193" s="302"/>
      <c r="AM193" s="125"/>
      <c r="AN193" s="302" t="str">
        <f>IFERROR(INDEX(Database_Charms,MATCH($N193,Database_Charms_Names,0),MATCH(AN$117,Database_Charms_Values,0)),"")</f>
        <v/>
      </c>
      <c r="AO193" s="302"/>
      <c r="AP193" s="302"/>
      <c r="AQ193" s="302"/>
      <c r="AR193" s="302"/>
      <c r="AS193" s="125"/>
      <c r="AT193" s="302" t="str">
        <f>IFERROR(INDEX(Database_Charms,MATCH($N193,Database_Charms_Names,0),MATCH(AT$117,Database_Charms_Values,0)),"")</f>
        <v/>
      </c>
      <c r="AU193" s="302"/>
      <c r="AV193" s="125"/>
      <c r="AW193" s="302" t="str">
        <f>IFERROR(INDEX(Database_Charms,MATCH($N193,Database_Charms_Names,0),MATCH(AW$117,Database_Charms_Values,0)),"")</f>
        <v/>
      </c>
      <c r="AX193" s="302"/>
      <c r="AY193" s="307"/>
      <c r="AZ193" s="5"/>
      <c r="BA193" s="5"/>
      <c r="BB193" s="5"/>
      <c r="BC193" s="5"/>
      <c r="BD193" s="5"/>
      <c r="BE193" s="5"/>
      <c r="BF193" s="5"/>
      <c r="BG193" s="5"/>
      <c r="BH193" s="5"/>
      <c r="BI193" s="5"/>
      <c r="BJ193" s="5"/>
      <c r="BK193" s="5"/>
      <c r="BL193" s="5"/>
      <c r="BM193" s="5"/>
      <c r="BN193" s="5"/>
      <c r="BO193" s="5"/>
      <c r="BP193" s="5"/>
      <c r="BQ193" s="5"/>
      <c r="BR193" s="5"/>
      <c r="BS193" s="5"/>
      <c r="BT193" s="5"/>
    </row>
    <row r="194" spans="1:72" ht="20.100000000000001" customHeight="1">
      <c r="A194" s="377"/>
      <c r="B194" s="372" t="str">
        <f>IF(Creation_1!B194="",IFERROR(INDEX(Database_Charms,MATCH($N193,Database_Charms_Names,0),MATCH(Charms!$S$1,Database_Charms_Values,0)),""),Creation_1!B194)</f>
        <v/>
      </c>
      <c r="C194" s="372"/>
      <c r="D194" s="372"/>
      <c r="E194" s="372"/>
      <c r="F194" s="372"/>
      <c r="G194" s="372"/>
      <c r="H194" s="372"/>
      <c r="I194" s="372"/>
      <c r="J194" s="372"/>
      <c r="K194" s="372"/>
      <c r="L194" s="372"/>
      <c r="M194" s="372"/>
      <c r="N194" s="372"/>
      <c r="O194" s="372"/>
      <c r="P194" s="372"/>
      <c r="Q194" s="372"/>
      <c r="R194" s="372"/>
      <c r="S194" s="372"/>
      <c r="T194" s="372"/>
      <c r="U194" s="372"/>
      <c r="V194" s="372"/>
      <c r="W194" s="372"/>
      <c r="X194" s="372"/>
      <c r="Y194" s="372"/>
      <c r="Z194" s="372"/>
      <c r="AA194" s="372"/>
      <c r="AB194" s="372"/>
      <c r="AC194" s="372"/>
      <c r="AD194" s="372"/>
      <c r="AE194" s="372"/>
      <c r="AF194" s="372"/>
      <c r="AG194" s="372"/>
      <c r="AH194" s="372"/>
      <c r="AI194" s="372"/>
      <c r="AJ194" s="372"/>
      <c r="AK194" s="372"/>
      <c r="AL194" s="372"/>
      <c r="AM194" s="372"/>
      <c r="AN194" s="372"/>
      <c r="AO194" s="372"/>
      <c r="AP194" s="372"/>
      <c r="AQ194" s="372"/>
      <c r="AR194" s="372"/>
      <c r="AS194" s="372"/>
      <c r="AT194" s="372"/>
      <c r="AU194" s="372"/>
      <c r="AV194" s="372"/>
      <c r="AW194" s="372"/>
      <c r="AX194" s="372"/>
      <c r="AY194" s="373"/>
      <c r="AZ194" s="5"/>
      <c r="BA194" s="5"/>
      <c r="BB194" s="5"/>
      <c r="BC194" s="5"/>
      <c r="BD194" s="5"/>
      <c r="BE194" s="5"/>
      <c r="BF194" s="5"/>
      <c r="BG194" s="5"/>
      <c r="BH194" s="5"/>
      <c r="BI194" s="5"/>
      <c r="BJ194" s="5"/>
      <c r="BK194" s="5"/>
      <c r="BL194" s="5"/>
      <c r="BM194" s="5"/>
      <c r="BN194" s="5"/>
      <c r="BO194" s="5"/>
      <c r="BP194" s="5"/>
      <c r="BQ194" s="5"/>
      <c r="BR194" s="5"/>
      <c r="BS194" s="5"/>
      <c r="BT194" s="5"/>
    </row>
    <row r="195" spans="1:72" ht="20.100000000000001" customHeight="1">
      <c r="A195" s="379"/>
      <c r="B195" s="374"/>
      <c r="C195" s="374"/>
      <c r="D195" s="374"/>
      <c r="E195" s="374"/>
      <c r="F195" s="374"/>
      <c r="G195" s="374"/>
      <c r="H195" s="374"/>
      <c r="I195" s="374"/>
      <c r="J195" s="374"/>
      <c r="K195" s="374"/>
      <c r="L195" s="374"/>
      <c r="M195" s="374"/>
      <c r="N195" s="374"/>
      <c r="O195" s="374"/>
      <c r="P195" s="374"/>
      <c r="Q195" s="374"/>
      <c r="R195" s="374"/>
      <c r="S195" s="374"/>
      <c r="T195" s="374"/>
      <c r="U195" s="374"/>
      <c r="V195" s="374"/>
      <c r="W195" s="374"/>
      <c r="X195" s="374"/>
      <c r="Y195" s="374"/>
      <c r="Z195" s="374"/>
      <c r="AA195" s="374"/>
      <c r="AB195" s="374"/>
      <c r="AC195" s="374"/>
      <c r="AD195" s="374"/>
      <c r="AE195" s="374"/>
      <c r="AF195" s="374"/>
      <c r="AG195" s="374"/>
      <c r="AH195" s="374"/>
      <c r="AI195" s="374"/>
      <c r="AJ195" s="374"/>
      <c r="AK195" s="374"/>
      <c r="AL195" s="374"/>
      <c r="AM195" s="374"/>
      <c r="AN195" s="374"/>
      <c r="AO195" s="374"/>
      <c r="AP195" s="374"/>
      <c r="AQ195" s="374"/>
      <c r="AR195" s="374"/>
      <c r="AS195" s="374"/>
      <c r="AT195" s="374"/>
      <c r="AU195" s="374"/>
      <c r="AV195" s="374"/>
      <c r="AW195" s="374"/>
      <c r="AX195" s="374"/>
      <c r="AY195" s="375"/>
      <c r="AZ195" s="5"/>
      <c r="BA195" s="5"/>
      <c r="BB195" s="5"/>
      <c r="BC195" s="5"/>
      <c r="BD195" s="5"/>
      <c r="BE195" s="5"/>
      <c r="BF195" s="5"/>
      <c r="BG195" s="5"/>
      <c r="BH195" s="5"/>
      <c r="BI195" s="5"/>
      <c r="BJ195" s="5"/>
      <c r="BK195" s="5"/>
      <c r="BL195" s="5"/>
      <c r="BM195" s="5"/>
      <c r="BN195" s="5"/>
      <c r="BO195" s="5"/>
      <c r="BP195" s="5"/>
      <c r="BQ195" s="5"/>
      <c r="BR195" s="5"/>
      <c r="BS195" s="5"/>
      <c r="BT195" s="5"/>
    </row>
    <row r="196" spans="1:72" ht="20.100000000000001" customHeight="1">
      <c r="A196" s="376">
        <v>27</v>
      </c>
      <c r="B196" s="378" t="str">
        <f>IF(Creation_1!B196&lt;&gt;0,Creation_1!B196,IFERROR(INDEX(Database_Charms,MATCH($N196,Database_Charms_Names,0),MATCH(B$117,Database_Charms_Values,0)),""))</f>
        <v/>
      </c>
      <c r="C196" s="378"/>
      <c r="D196" s="378"/>
      <c r="E196" s="378"/>
      <c r="F196" s="378"/>
      <c r="G196" s="33"/>
      <c r="H196" s="378" t="str">
        <f>IF(Creation_1!H196&lt;&gt;"",Creation_1!H196,IF(B196&lt;&gt;0,B196,IFERROR(INDEX(Database_Charms,MATCH($N196,Database_Charms_Names,0),MATCH("Ability_Subtype",Database_Charms_Values,0)),"")))</f>
        <v/>
      </c>
      <c r="I196" s="378"/>
      <c r="J196" s="378"/>
      <c r="K196" s="378"/>
      <c r="L196" s="378"/>
      <c r="M196" s="23"/>
      <c r="N196" s="378" t="str">
        <f>IF(Creation_1!N196&lt;&gt;0,Creation_1!N196,"")</f>
        <v/>
      </c>
      <c r="O196" s="378"/>
      <c r="P196" s="378"/>
      <c r="Q196" s="378"/>
      <c r="R196" s="378"/>
      <c r="S196" s="378"/>
      <c r="T196" s="378"/>
      <c r="U196" s="378"/>
      <c r="V196" s="378"/>
      <c r="W196" s="378"/>
      <c r="X196" s="378"/>
      <c r="Y196" s="378"/>
      <c r="Z196" s="378"/>
      <c r="AA196" s="378"/>
      <c r="AB196" s="23"/>
      <c r="AC196" s="302" t="str">
        <f>IFERROR(INDEX(Database_Charms,MATCH($N196,Database_Charms_Names,0),MATCH(AC$117,Database_Charms_Values,0)),"")</f>
        <v/>
      </c>
      <c r="AD196" s="302"/>
      <c r="AE196" s="302"/>
      <c r="AF196" s="302"/>
      <c r="AG196" s="302"/>
      <c r="AH196" s="125"/>
      <c r="AI196" s="302" t="str">
        <f>IFERROR(INDEX(Database_Charms,MATCH($N196,Database_Charms_Names,0),MATCH(AI$117,Database_Charms_Values,0)),"")</f>
        <v/>
      </c>
      <c r="AJ196" s="302"/>
      <c r="AK196" s="302"/>
      <c r="AL196" s="302"/>
      <c r="AM196" s="125"/>
      <c r="AN196" s="302" t="str">
        <f>IFERROR(INDEX(Database_Charms,MATCH($N196,Database_Charms_Names,0),MATCH(AN$117,Database_Charms_Values,0)),"")</f>
        <v/>
      </c>
      <c r="AO196" s="302"/>
      <c r="AP196" s="302"/>
      <c r="AQ196" s="302"/>
      <c r="AR196" s="302"/>
      <c r="AS196" s="125"/>
      <c r="AT196" s="302" t="str">
        <f>IFERROR(INDEX(Database_Charms,MATCH($N196,Database_Charms_Names,0),MATCH(AT$117,Database_Charms_Values,0)),"")</f>
        <v/>
      </c>
      <c r="AU196" s="302"/>
      <c r="AV196" s="125"/>
      <c r="AW196" s="302" t="str">
        <f>IFERROR(INDEX(Database_Charms,MATCH($N196,Database_Charms_Names,0),MATCH(AW$117,Database_Charms_Values,0)),"")</f>
        <v/>
      </c>
      <c r="AX196" s="302"/>
      <c r="AY196" s="307"/>
      <c r="AZ196" s="5"/>
      <c r="BA196" s="5"/>
      <c r="BB196" s="5"/>
      <c r="BC196" s="5"/>
      <c r="BD196" s="5"/>
      <c r="BE196" s="5"/>
      <c r="BF196" s="5"/>
      <c r="BG196" s="5"/>
      <c r="BH196" s="5"/>
      <c r="BI196" s="5"/>
      <c r="BJ196" s="5"/>
      <c r="BK196" s="5"/>
      <c r="BL196" s="5"/>
      <c r="BM196" s="5"/>
      <c r="BN196" s="5"/>
      <c r="BO196" s="5"/>
      <c r="BP196" s="5"/>
      <c r="BQ196" s="5"/>
      <c r="BR196" s="5"/>
      <c r="BS196" s="5"/>
      <c r="BT196" s="5"/>
    </row>
    <row r="197" spans="1:72" ht="20.100000000000001" customHeight="1">
      <c r="A197" s="377"/>
      <c r="B197" s="372" t="str">
        <f>IF(Creation_1!B197="",IFERROR(INDEX(Database_Charms,MATCH($N196,Database_Charms_Names,0),MATCH(Charms!$S$1,Database_Charms_Values,0)),""),Creation_1!B197)</f>
        <v/>
      </c>
      <c r="C197" s="372"/>
      <c r="D197" s="372"/>
      <c r="E197" s="372"/>
      <c r="F197" s="372"/>
      <c r="G197" s="372"/>
      <c r="H197" s="372"/>
      <c r="I197" s="372"/>
      <c r="J197" s="372"/>
      <c r="K197" s="372"/>
      <c r="L197" s="372"/>
      <c r="M197" s="372"/>
      <c r="N197" s="372"/>
      <c r="O197" s="372"/>
      <c r="P197" s="372"/>
      <c r="Q197" s="372"/>
      <c r="R197" s="372"/>
      <c r="S197" s="372"/>
      <c r="T197" s="372"/>
      <c r="U197" s="372"/>
      <c r="V197" s="372"/>
      <c r="W197" s="372"/>
      <c r="X197" s="372"/>
      <c r="Y197" s="372"/>
      <c r="Z197" s="372"/>
      <c r="AA197" s="372"/>
      <c r="AB197" s="372"/>
      <c r="AC197" s="372"/>
      <c r="AD197" s="372"/>
      <c r="AE197" s="372"/>
      <c r="AF197" s="372"/>
      <c r="AG197" s="372"/>
      <c r="AH197" s="372"/>
      <c r="AI197" s="372"/>
      <c r="AJ197" s="372"/>
      <c r="AK197" s="372"/>
      <c r="AL197" s="372"/>
      <c r="AM197" s="372"/>
      <c r="AN197" s="372"/>
      <c r="AO197" s="372"/>
      <c r="AP197" s="372"/>
      <c r="AQ197" s="372"/>
      <c r="AR197" s="372"/>
      <c r="AS197" s="372"/>
      <c r="AT197" s="372"/>
      <c r="AU197" s="372"/>
      <c r="AV197" s="372"/>
      <c r="AW197" s="372"/>
      <c r="AX197" s="372"/>
      <c r="AY197" s="373"/>
      <c r="AZ197" s="5"/>
      <c r="BA197" s="5"/>
      <c r="BB197" s="5"/>
      <c r="BC197" s="5"/>
      <c r="BD197" s="5"/>
      <c r="BE197" s="5"/>
      <c r="BF197" s="5"/>
      <c r="BG197" s="5"/>
      <c r="BH197" s="5"/>
      <c r="BI197" s="5"/>
      <c r="BJ197" s="5"/>
      <c r="BK197" s="5"/>
      <c r="BL197" s="5"/>
      <c r="BM197" s="5"/>
      <c r="BN197" s="5"/>
      <c r="BO197" s="5"/>
      <c r="BP197" s="5"/>
      <c r="BQ197" s="5"/>
      <c r="BR197" s="5"/>
      <c r="BS197" s="5"/>
      <c r="BT197" s="5"/>
    </row>
    <row r="198" spans="1:72" ht="20.100000000000001" customHeight="1">
      <c r="A198" s="379"/>
      <c r="B198" s="374"/>
      <c r="C198" s="374"/>
      <c r="D198" s="374"/>
      <c r="E198" s="374"/>
      <c r="F198" s="374"/>
      <c r="G198" s="374"/>
      <c r="H198" s="374"/>
      <c r="I198" s="374"/>
      <c r="J198" s="374"/>
      <c r="K198" s="374"/>
      <c r="L198" s="374"/>
      <c r="M198" s="374"/>
      <c r="N198" s="374"/>
      <c r="O198" s="374"/>
      <c r="P198" s="374"/>
      <c r="Q198" s="374"/>
      <c r="R198" s="374"/>
      <c r="S198" s="374"/>
      <c r="T198" s="374"/>
      <c r="U198" s="374"/>
      <c r="V198" s="374"/>
      <c r="W198" s="374"/>
      <c r="X198" s="374"/>
      <c r="Y198" s="374"/>
      <c r="Z198" s="374"/>
      <c r="AA198" s="374"/>
      <c r="AB198" s="374"/>
      <c r="AC198" s="374"/>
      <c r="AD198" s="374"/>
      <c r="AE198" s="374"/>
      <c r="AF198" s="374"/>
      <c r="AG198" s="374"/>
      <c r="AH198" s="374"/>
      <c r="AI198" s="374"/>
      <c r="AJ198" s="374"/>
      <c r="AK198" s="374"/>
      <c r="AL198" s="374"/>
      <c r="AM198" s="374"/>
      <c r="AN198" s="374"/>
      <c r="AO198" s="374"/>
      <c r="AP198" s="374"/>
      <c r="AQ198" s="374"/>
      <c r="AR198" s="374"/>
      <c r="AS198" s="374"/>
      <c r="AT198" s="374"/>
      <c r="AU198" s="374"/>
      <c r="AV198" s="374"/>
      <c r="AW198" s="374"/>
      <c r="AX198" s="374"/>
      <c r="AY198" s="375"/>
      <c r="AZ198" s="5"/>
      <c r="BA198" s="5"/>
      <c r="BB198" s="5"/>
      <c r="BC198" s="5"/>
      <c r="BD198" s="5"/>
      <c r="BE198" s="5"/>
      <c r="BF198" s="5"/>
      <c r="BG198" s="5"/>
      <c r="BH198" s="5"/>
      <c r="BI198" s="5"/>
      <c r="BJ198" s="5"/>
      <c r="BK198" s="5"/>
      <c r="BL198" s="5"/>
      <c r="BM198" s="5"/>
      <c r="BN198" s="5"/>
      <c r="BO198" s="5"/>
      <c r="BP198" s="5"/>
      <c r="BQ198" s="5"/>
      <c r="BR198" s="5"/>
      <c r="BS198" s="5"/>
      <c r="BT198" s="5"/>
    </row>
    <row r="199" spans="1:72" ht="20.100000000000001" customHeight="1">
      <c r="A199" s="376">
        <v>28</v>
      </c>
      <c r="B199" s="378" t="str">
        <f>IF(Creation_1!B199&lt;&gt;0,Creation_1!B199,IFERROR(INDEX(Database_Charms,MATCH($N199,Database_Charms_Names,0),MATCH(B$117,Database_Charms_Values,0)),""))</f>
        <v/>
      </c>
      <c r="C199" s="378"/>
      <c r="D199" s="378"/>
      <c r="E199" s="378"/>
      <c r="F199" s="378"/>
      <c r="G199" s="33"/>
      <c r="H199" s="378" t="str">
        <f>IF(Creation_1!H199&lt;&gt;"",Creation_1!H199,IF(B199&lt;&gt;0,B199,IFERROR(INDEX(Database_Charms,MATCH($N199,Database_Charms_Names,0),MATCH("Ability_Subtype",Database_Charms_Values,0)),"")))</f>
        <v/>
      </c>
      <c r="I199" s="378"/>
      <c r="J199" s="378"/>
      <c r="K199" s="378"/>
      <c r="L199" s="378"/>
      <c r="M199" s="23"/>
      <c r="N199" s="378" t="str">
        <f>IF(Creation_1!N199&lt;&gt;0,Creation_1!N199,"")</f>
        <v/>
      </c>
      <c r="O199" s="378"/>
      <c r="P199" s="378"/>
      <c r="Q199" s="378"/>
      <c r="R199" s="378"/>
      <c r="S199" s="378"/>
      <c r="T199" s="378"/>
      <c r="U199" s="378"/>
      <c r="V199" s="378"/>
      <c r="W199" s="378"/>
      <c r="X199" s="378"/>
      <c r="Y199" s="378"/>
      <c r="Z199" s="378"/>
      <c r="AA199" s="378"/>
      <c r="AB199" s="23"/>
      <c r="AC199" s="302" t="str">
        <f>IFERROR(INDEX(Database_Charms,MATCH($N199,Database_Charms_Names,0),MATCH(AC$117,Database_Charms_Values,0)),"")</f>
        <v/>
      </c>
      <c r="AD199" s="302"/>
      <c r="AE199" s="302"/>
      <c r="AF199" s="302"/>
      <c r="AG199" s="302"/>
      <c r="AH199" s="125"/>
      <c r="AI199" s="302" t="str">
        <f>IFERROR(INDEX(Database_Charms,MATCH($N199,Database_Charms_Names,0),MATCH(AI$117,Database_Charms_Values,0)),"")</f>
        <v/>
      </c>
      <c r="AJ199" s="302"/>
      <c r="AK199" s="302"/>
      <c r="AL199" s="302"/>
      <c r="AM199" s="125"/>
      <c r="AN199" s="302" t="str">
        <f>IFERROR(INDEX(Database_Charms,MATCH($N199,Database_Charms_Names,0),MATCH(AN$117,Database_Charms_Values,0)),"")</f>
        <v/>
      </c>
      <c r="AO199" s="302"/>
      <c r="AP199" s="302"/>
      <c r="AQ199" s="302"/>
      <c r="AR199" s="302"/>
      <c r="AS199" s="125"/>
      <c r="AT199" s="302" t="str">
        <f>IFERROR(INDEX(Database_Charms,MATCH($N199,Database_Charms_Names,0),MATCH(AT$117,Database_Charms_Values,0)),"")</f>
        <v/>
      </c>
      <c r="AU199" s="302"/>
      <c r="AV199" s="125"/>
      <c r="AW199" s="302" t="str">
        <f>IFERROR(INDEX(Database_Charms,MATCH($N199,Database_Charms_Names,0),MATCH(AW$117,Database_Charms_Values,0)),"")</f>
        <v/>
      </c>
      <c r="AX199" s="302"/>
      <c r="AY199" s="307"/>
      <c r="AZ199" s="5"/>
      <c r="BA199" s="5"/>
      <c r="BB199" s="5"/>
      <c r="BC199" s="5"/>
      <c r="BD199" s="5"/>
      <c r="BE199" s="5"/>
      <c r="BF199" s="5"/>
      <c r="BG199" s="5"/>
      <c r="BH199" s="5"/>
      <c r="BI199" s="5"/>
      <c r="BJ199" s="5"/>
      <c r="BK199" s="5"/>
      <c r="BL199" s="5"/>
      <c r="BM199" s="5"/>
      <c r="BN199" s="5"/>
      <c r="BO199" s="5"/>
      <c r="BP199" s="5"/>
      <c r="BQ199" s="5"/>
      <c r="BR199" s="5"/>
      <c r="BS199" s="5"/>
      <c r="BT199" s="5"/>
    </row>
    <row r="200" spans="1:72" ht="20.100000000000001" customHeight="1">
      <c r="A200" s="377"/>
      <c r="B200" s="372" t="str">
        <f>IF(Creation_1!B200="",IFERROR(INDEX(Database_Charms,MATCH($N199,Database_Charms_Names,0),MATCH(Charms!$S$1,Database_Charms_Values,0)),""),Creation_1!B200)</f>
        <v/>
      </c>
      <c r="C200" s="372"/>
      <c r="D200" s="372"/>
      <c r="E200" s="372"/>
      <c r="F200" s="372"/>
      <c r="G200" s="372"/>
      <c r="H200" s="372"/>
      <c r="I200" s="372"/>
      <c r="J200" s="372"/>
      <c r="K200" s="372"/>
      <c r="L200" s="372"/>
      <c r="M200" s="372"/>
      <c r="N200" s="372"/>
      <c r="O200" s="372"/>
      <c r="P200" s="372"/>
      <c r="Q200" s="372"/>
      <c r="R200" s="372"/>
      <c r="S200" s="372"/>
      <c r="T200" s="372"/>
      <c r="U200" s="372"/>
      <c r="V200" s="372"/>
      <c r="W200" s="372"/>
      <c r="X200" s="372"/>
      <c r="Y200" s="372"/>
      <c r="Z200" s="372"/>
      <c r="AA200" s="372"/>
      <c r="AB200" s="372"/>
      <c r="AC200" s="372"/>
      <c r="AD200" s="372"/>
      <c r="AE200" s="372"/>
      <c r="AF200" s="372"/>
      <c r="AG200" s="372"/>
      <c r="AH200" s="372"/>
      <c r="AI200" s="372"/>
      <c r="AJ200" s="372"/>
      <c r="AK200" s="372"/>
      <c r="AL200" s="372"/>
      <c r="AM200" s="372"/>
      <c r="AN200" s="372"/>
      <c r="AO200" s="372"/>
      <c r="AP200" s="372"/>
      <c r="AQ200" s="372"/>
      <c r="AR200" s="372"/>
      <c r="AS200" s="372"/>
      <c r="AT200" s="372"/>
      <c r="AU200" s="372"/>
      <c r="AV200" s="372"/>
      <c r="AW200" s="372"/>
      <c r="AX200" s="372"/>
      <c r="AY200" s="373"/>
      <c r="AZ200" s="5"/>
      <c r="BA200" s="5"/>
      <c r="BB200" s="5"/>
      <c r="BC200" s="5"/>
      <c r="BD200" s="5"/>
      <c r="BE200" s="5"/>
      <c r="BF200" s="5"/>
      <c r="BG200" s="5"/>
      <c r="BH200" s="5"/>
      <c r="BI200" s="5"/>
      <c r="BJ200" s="5"/>
      <c r="BK200" s="5"/>
      <c r="BL200" s="5"/>
      <c r="BM200" s="5"/>
      <c r="BN200" s="5"/>
      <c r="BO200" s="5"/>
      <c r="BP200" s="5"/>
      <c r="BQ200" s="5"/>
      <c r="BR200" s="5"/>
      <c r="BS200" s="5"/>
      <c r="BT200" s="5"/>
    </row>
    <row r="201" spans="1:72" ht="20.100000000000001" customHeight="1">
      <c r="A201" s="379"/>
      <c r="B201" s="374"/>
      <c r="C201" s="374"/>
      <c r="D201" s="374"/>
      <c r="E201" s="374"/>
      <c r="F201" s="374"/>
      <c r="G201" s="374"/>
      <c r="H201" s="374"/>
      <c r="I201" s="374"/>
      <c r="J201" s="374"/>
      <c r="K201" s="374"/>
      <c r="L201" s="374"/>
      <c r="M201" s="374"/>
      <c r="N201" s="374"/>
      <c r="O201" s="374"/>
      <c r="P201" s="374"/>
      <c r="Q201" s="374"/>
      <c r="R201" s="374"/>
      <c r="S201" s="374"/>
      <c r="T201" s="374"/>
      <c r="U201" s="374"/>
      <c r="V201" s="374"/>
      <c r="W201" s="374"/>
      <c r="X201" s="374"/>
      <c r="Y201" s="374"/>
      <c r="Z201" s="374"/>
      <c r="AA201" s="374"/>
      <c r="AB201" s="374"/>
      <c r="AC201" s="374"/>
      <c r="AD201" s="374"/>
      <c r="AE201" s="374"/>
      <c r="AF201" s="374"/>
      <c r="AG201" s="374"/>
      <c r="AH201" s="374"/>
      <c r="AI201" s="374"/>
      <c r="AJ201" s="374"/>
      <c r="AK201" s="374"/>
      <c r="AL201" s="374"/>
      <c r="AM201" s="374"/>
      <c r="AN201" s="374"/>
      <c r="AO201" s="374"/>
      <c r="AP201" s="374"/>
      <c r="AQ201" s="374"/>
      <c r="AR201" s="374"/>
      <c r="AS201" s="374"/>
      <c r="AT201" s="374"/>
      <c r="AU201" s="374"/>
      <c r="AV201" s="374"/>
      <c r="AW201" s="374"/>
      <c r="AX201" s="374"/>
      <c r="AY201" s="375"/>
      <c r="AZ201" s="5"/>
      <c r="BA201" s="5"/>
      <c r="BB201" s="5"/>
      <c r="BC201" s="5"/>
      <c r="BD201" s="5"/>
      <c r="BE201" s="5"/>
      <c r="BF201" s="5"/>
      <c r="BG201" s="5"/>
      <c r="BH201" s="5"/>
      <c r="BI201" s="5"/>
      <c r="BJ201" s="5"/>
      <c r="BK201" s="5"/>
      <c r="BL201" s="5"/>
      <c r="BM201" s="5"/>
      <c r="BN201" s="5"/>
      <c r="BO201" s="5"/>
      <c r="BP201" s="5"/>
      <c r="BQ201" s="5"/>
      <c r="BR201" s="5"/>
      <c r="BS201" s="5"/>
      <c r="BT201" s="5"/>
    </row>
    <row r="202" spans="1:72" ht="20.100000000000001" customHeight="1">
      <c r="A202" s="376">
        <v>29</v>
      </c>
      <c r="B202" s="378" t="str">
        <f>IF(Creation_1!B202&lt;&gt;0,Creation_1!B202,IFERROR(INDEX(Database_Charms,MATCH($N202,Database_Charms_Names,0),MATCH(B$117,Database_Charms_Values,0)),""))</f>
        <v/>
      </c>
      <c r="C202" s="378"/>
      <c r="D202" s="378"/>
      <c r="E202" s="378"/>
      <c r="F202" s="378"/>
      <c r="G202" s="33"/>
      <c r="H202" s="378" t="str">
        <f>IF(Creation_1!H202&lt;&gt;"",Creation_1!H202,IF(B202&lt;&gt;0,B202,IFERROR(INDEX(Database_Charms,MATCH($N202,Database_Charms_Names,0),MATCH("Ability_Subtype",Database_Charms_Values,0)),"")))</f>
        <v/>
      </c>
      <c r="I202" s="378"/>
      <c r="J202" s="378"/>
      <c r="K202" s="378"/>
      <c r="L202" s="378"/>
      <c r="M202" s="23"/>
      <c r="N202" s="378" t="str">
        <f>IF(Creation_1!N202&lt;&gt;0,Creation_1!N202,"")</f>
        <v/>
      </c>
      <c r="O202" s="378"/>
      <c r="P202" s="378"/>
      <c r="Q202" s="378"/>
      <c r="R202" s="378"/>
      <c r="S202" s="378"/>
      <c r="T202" s="378"/>
      <c r="U202" s="378"/>
      <c r="V202" s="378"/>
      <c r="W202" s="378"/>
      <c r="X202" s="378"/>
      <c r="Y202" s="378"/>
      <c r="Z202" s="378"/>
      <c r="AA202" s="378"/>
      <c r="AB202" s="23"/>
      <c r="AC202" s="302" t="str">
        <f>IFERROR(INDEX(Database_Charms,MATCH($N202,Database_Charms_Names,0),MATCH(AC$117,Database_Charms_Values,0)),"")</f>
        <v/>
      </c>
      <c r="AD202" s="302"/>
      <c r="AE202" s="302"/>
      <c r="AF202" s="302"/>
      <c r="AG202" s="302"/>
      <c r="AH202" s="125"/>
      <c r="AI202" s="302" t="str">
        <f>IFERROR(INDEX(Database_Charms,MATCH($N202,Database_Charms_Names,0),MATCH(AI$117,Database_Charms_Values,0)),"")</f>
        <v/>
      </c>
      <c r="AJ202" s="302"/>
      <c r="AK202" s="302"/>
      <c r="AL202" s="302"/>
      <c r="AM202" s="125"/>
      <c r="AN202" s="302" t="str">
        <f>IFERROR(INDEX(Database_Charms,MATCH($N202,Database_Charms_Names,0),MATCH(AN$117,Database_Charms_Values,0)),"")</f>
        <v/>
      </c>
      <c r="AO202" s="302"/>
      <c r="AP202" s="302"/>
      <c r="AQ202" s="302"/>
      <c r="AR202" s="302"/>
      <c r="AS202" s="125"/>
      <c r="AT202" s="302" t="str">
        <f>IFERROR(INDEX(Database_Charms,MATCH($N202,Database_Charms_Names,0),MATCH(AT$117,Database_Charms_Values,0)),"")</f>
        <v/>
      </c>
      <c r="AU202" s="302"/>
      <c r="AV202" s="125"/>
      <c r="AW202" s="302" t="str">
        <f>IFERROR(INDEX(Database_Charms,MATCH($N202,Database_Charms_Names,0),MATCH(AW$117,Database_Charms_Values,0)),"")</f>
        <v/>
      </c>
      <c r="AX202" s="302"/>
      <c r="AY202" s="307"/>
      <c r="AZ202" s="5"/>
      <c r="BA202" s="5"/>
      <c r="BB202" s="5"/>
      <c r="BC202" s="5"/>
      <c r="BD202" s="5"/>
      <c r="BE202" s="5"/>
      <c r="BF202" s="5"/>
      <c r="BG202" s="5"/>
      <c r="BH202" s="5"/>
      <c r="BI202" s="5"/>
      <c r="BJ202" s="5"/>
      <c r="BK202" s="5"/>
      <c r="BL202" s="5"/>
      <c r="BM202" s="5"/>
      <c r="BN202" s="5"/>
      <c r="BO202" s="5"/>
      <c r="BP202" s="5"/>
      <c r="BQ202" s="5"/>
      <c r="BR202" s="5"/>
      <c r="BS202" s="5"/>
      <c r="BT202" s="5"/>
    </row>
    <row r="203" spans="1:72" ht="20.100000000000001" customHeight="1">
      <c r="A203" s="377"/>
      <c r="B203" s="372" t="str">
        <f>IF(Creation_1!B203="",IFERROR(INDEX(Database_Charms,MATCH($N202,Database_Charms_Names,0),MATCH(Charms!$S$1,Database_Charms_Values,0)),""),Creation_1!B203)</f>
        <v/>
      </c>
      <c r="C203" s="372"/>
      <c r="D203" s="372"/>
      <c r="E203" s="372"/>
      <c r="F203" s="372"/>
      <c r="G203" s="372"/>
      <c r="H203" s="372"/>
      <c r="I203" s="372"/>
      <c r="J203" s="372"/>
      <c r="K203" s="372"/>
      <c r="L203" s="372"/>
      <c r="M203" s="372"/>
      <c r="N203" s="372"/>
      <c r="O203" s="372"/>
      <c r="P203" s="372"/>
      <c r="Q203" s="372"/>
      <c r="R203" s="372"/>
      <c r="S203" s="372"/>
      <c r="T203" s="372"/>
      <c r="U203" s="372"/>
      <c r="V203" s="372"/>
      <c r="W203" s="372"/>
      <c r="X203" s="372"/>
      <c r="Y203" s="372"/>
      <c r="Z203" s="372"/>
      <c r="AA203" s="372"/>
      <c r="AB203" s="372"/>
      <c r="AC203" s="372"/>
      <c r="AD203" s="372"/>
      <c r="AE203" s="372"/>
      <c r="AF203" s="372"/>
      <c r="AG203" s="372"/>
      <c r="AH203" s="372"/>
      <c r="AI203" s="372"/>
      <c r="AJ203" s="372"/>
      <c r="AK203" s="372"/>
      <c r="AL203" s="372"/>
      <c r="AM203" s="372"/>
      <c r="AN203" s="372"/>
      <c r="AO203" s="372"/>
      <c r="AP203" s="372"/>
      <c r="AQ203" s="372"/>
      <c r="AR203" s="372"/>
      <c r="AS203" s="372"/>
      <c r="AT203" s="372"/>
      <c r="AU203" s="372"/>
      <c r="AV203" s="372"/>
      <c r="AW203" s="372"/>
      <c r="AX203" s="372"/>
      <c r="AY203" s="373"/>
      <c r="AZ203" s="5"/>
      <c r="BA203" s="5"/>
      <c r="BB203" s="5"/>
      <c r="BC203" s="5"/>
      <c r="BD203" s="5"/>
      <c r="BE203" s="5"/>
      <c r="BF203" s="5"/>
      <c r="BG203" s="5"/>
      <c r="BH203" s="5"/>
      <c r="BI203" s="5"/>
      <c r="BJ203" s="5"/>
      <c r="BK203" s="5"/>
      <c r="BL203" s="5"/>
      <c r="BM203" s="5"/>
      <c r="BN203" s="5"/>
      <c r="BO203" s="5"/>
      <c r="BP203" s="5"/>
      <c r="BQ203" s="5"/>
      <c r="BR203" s="5"/>
      <c r="BS203" s="5"/>
      <c r="BT203" s="5"/>
    </row>
    <row r="204" spans="1:72" ht="20.100000000000001" customHeight="1">
      <c r="A204" s="379"/>
      <c r="B204" s="374"/>
      <c r="C204" s="374"/>
      <c r="D204" s="374"/>
      <c r="E204" s="374"/>
      <c r="F204" s="374"/>
      <c r="G204" s="374"/>
      <c r="H204" s="374"/>
      <c r="I204" s="374"/>
      <c r="J204" s="374"/>
      <c r="K204" s="374"/>
      <c r="L204" s="374"/>
      <c r="M204" s="374"/>
      <c r="N204" s="374"/>
      <c r="O204" s="374"/>
      <c r="P204" s="374"/>
      <c r="Q204" s="374"/>
      <c r="R204" s="374"/>
      <c r="S204" s="374"/>
      <c r="T204" s="374"/>
      <c r="U204" s="374"/>
      <c r="V204" s="374"/>
      <c r="W204" s="374"/>
      <c r="X204" s="374"/>
      <c r="Y204" s="374"/>
      <c r="Z204" s="374"/>
      <c r="AA204" s="374"/>
      <c r="AB204" s="374"/>
      <c r="AC204" s="374"/>
      <c r="AD204" s="374"/>
      <c r="AE204" s="374"/>
      <c r="AF204" s="374"/>
      <c r="AG204" s="374"/>
      <c r="AH204" s="374"/>
      <c r="AI204" s="374"/>
      <c r="AJ204" s="374"/>
      <c r="AK204" s="374"/>
      <c r="AL204" s="374"/>
      <c r="AM204" s="374"/>
      <c r="AN204" s="374"/>
      <c r="AO204" s="374"/>
      <c r="AP204" s="374"/>
      <c r="AQ204" s="374"/>
      <c r="AR204" s="374"/>
      <c r="AS204" s="374"/>
      <c r="AT204" s="374"/>
      <c r="AU204" s="374"/>
      <c r="AV204" s="374"/>
      <c r="AW204" s="374"/>
      <c r="AX204" s="374"/>
      <c r="AY204" s="375"/>
      <c r="AZ204" s="5"/>
      <c r="BA204" s="5"/>
      <c r="BB204" s="5"/>
      <c r="BC204" s="5"/>
      <c r="BD204" s="5"/>
      <c r="BE204" s="5"/>
      <c r="BF204" s="5"/>
      <c r="BG204" s="5"/>
      <c r="BH204" s="5"/>
      <c r="BI204" s="5"/>
      <c r="BJ204" s="5"/>
      <c r="BK204" s="5"/>
      <c r="BL204" s="5"/>
      <c r="BM204" s="5"/>
      <c r="BN204" s="5"/>
      <c r="BO204" s="5"/>
      <c r="BP204" s="5"/>
      <c r="BQ204" s="5"/>
      <c r="BR204" s="5"/>
      <c r="BS204" s="5"/>
      <c r="BT204" s="5"/>
    </row>
    <row r="205" spans="1:72" ht="20.100000000000001" customHeight="1">
      <c r="A205" s="376">
        <v>30</v>
      </c>
      <c r="B205" s="378" t="str">
        <f>IF(Creation_1!B205&lt;&gt;0,Creation_1!B205,IFERROR(INDEX(Database_Charms,MATCH($N205,Database_Charms_Names,0),MATCH(B$117,Database_Charms_Values,0)),""))</f>
        <v/>
      </c>
      <c r="C205" s="378"/>
      <c r="D205" s="378"/>
      <c r="E205" s="378"/>
      <c r="F205" s="378"/>
      <c r="G205" s="33"/>
      <c r="H205" s="378" t="str">
        <f>IF(Creation_1!H205&lt;&gt;"",Creation_1!H205,IF(B205&lt;&gt;0,B205,IFERROR(INDEX(Database_Charms,MATCH($N205,Database_Charms_Names,0),MATCH("Ability_Subtype",Database_Charms_Values,0)),"")))</f>
        <v/>
      </c>
      <c r="I205" s="378"/>
      <c r="J205" s="378"/>
      <c r="K205" s="378"/>
      <c r="L205" s="378"/>
      <c r="M205" s="23"/>
      <c r="N205" s="378" t="str">
        <f>IF(Creation_1!N205&lt;&gt;0,Creation_1!N205,"")</f>
        <v/>
      </c>
      <c r="O205" s="378"/>
      <c r="P205" s="378"/>
      <c r="Q205" s="378"/>
      <c r="R205" s="378"/>
      <c r="S205" s="378"/>
      <c r="T205" s="378"/>
      <c r="U205" s="378"/>
      <c r="V205" s="378"/>
      <c r="W205" s="378"/>
      <c r="X205" s="378"/>
      <c r="Y205" s="378"/>
      <c r="Z205" s="378"/>
      <c r="AA205" s="378"/>
      <c r="AB205" s="23"/>
      <c r="AC205" s="302" t="str">
        <f>IFERROR(INDEX(Database_Charms,MATCH($N205,Database_Charms_Names,0),MATCH(AC$117,Database_Charms_Values,0)),"")</f>
        <v/>
      </c>
      <c r="AD205" s="302"/>
      <c r="AE205" s="302"/>
      <c r="AF205" s="302"/>
      <c r="AG205" s="302"/>
      <c r="AH205" s="125"/>
      <c r="AI205" s="302" t="str">
        <f>IFERROR(INDEX(Database_Charms,MATCH($N205,Database_Charms_Names,0),MATCH(AI$117,Database_Charms_Values,0)),"")</f>
        <v/>
      </c>
      <c r="AJ205" s="302"/>
      <c r="AK205" s="302"/>
      <c r="AL205" s="302"/>
      <c r="AM205" s="125"/>
      <c r="AN205" s="302" t="str">
        <f>IFERROR(INDEX(Database_Charms,MATCH($N205,Database_Charms_Names,0),MATCH(AN$117,Database_Charms_Values,0)),"")</f>
        <v/>
      </c>
      <c r="AO205" s="302"/>
      <c r="AP205" s="302"/>
      <c r="AQ205" s="302"/>
      <c r="AR205" s="302"/>
      <c r="AS205" s="125"/>
      <c r="AT205" s="302" t="str">
        <f>IFERROR(INDEX(Database_Charms,MATCH($N205,Database_Charms_Names,0),MATCH(AT$117,Database_Charms_Values,0)),"")</f>
        <v/>
      </c>
      <c r="AU205" s="302"/>
      <c r="AV205" s="125"/>
      <c r="AW205" s="302" t="str">
        <f>IFERROR(INDEX(Database_Charms,MATCH($N205,Database_Charms_Names,0),MATCH(AW$117,Database_Charms_Values,0)),"")</f>
        <v/>
      </c>
      <c r="AX205" s="302"/>
      <c r="AY205" s="307"/>
      <c r="AZ205" s="5"/>
      <c r="BA205" s="5"/>
      <c r="BB205" s="5"/>
      <c r="BC205" s="5"/>
      <c r="BD205" s="5"/>
      <c r="BE205" s="5"/>
      <c r="BF205" s="5"/>
      <c r="BG205" s="5"/>
      <c r="BH205" s="5"/>
      <c r="BI205" s="5"/>
      <c r="BJ205" s="5"/>
      <c r="BK205" s="5"/>
      <c r="BL205" s="5"/>
      <c r="BM205" s="5"/>
      <c r="BN205" s="5"/>
      <c r="BO205" s="5"/>
      <c r="BP205" s="5"/>
      <c r="BQ205" s="5"/>
      <c r="BR205" s="5"/>
      <c r="BS205" s="5"/>
      <c r="BT205" s="5"/>
    </row>
    <row r="206" spans="1:72" ht="20.100000000000001" customHeight="1">
      <c r="A206" s="377"/>
      <c r="B206" s="372" t="str">
        <f>IF(Creation_1!B206="",IFERROR(INDEX(Database_Charms,MATCH($N205,Database_Charms_Names,0),MATCH(Charms!$S$1,Database_Charms_Values,0)),""),Creation_1!B206)</f>
        <v/>
      </c>
      <c r="C206" s="372"/>
      <c r="D206" s="372"/>
      <c r="E206" s="372"/>
      <c r="F206" s="372"/>
      <c r="G206" s="372"/>
      <c r="H206" s="372"/>
      <c r="I206" s="372"/>
      <c r="J206" s="372"/>
      <c r="K206" s="372"/>
      <c r="L206" s="372"/>
      <c r="M206" s="372"/>
      <c r="N206" s="372"/>
      <c r="O206" s="372"/>
      <c r="P206" s="372"/>
      <c r="Q206" s="372"/>
      <c r="R206" s="372"/>
      <c r="S206" s="372"/>
      <c r="T206" s="372"/>
      <c r="U206" s="372"/>
      <c r="V206" s="372"/>
      <c r="W206" s="372"/>
      <c r="X206" s="372"/>
      <c r="Y206" s="372"/>
      <c r="Z206" s="372"/>
      <c r="AA206" s="372"/>
      <c r="AB206" s="372"/>
      <c r="AC206" s="372"/>
      <c r="AD206" s="372"/>
      <c r="AE206" s="372"/>
      <c r="AF206" s="372"/>
      <c r="AG206" s="372"/>
      <c r="AH206" s="372"/>
      <c r="AI206" s="372"/>
      <c r="AJ206" s="372"/>
      <c r="AK206" s="372"/>
      <c r="AL206" s="372"/>
      <c r="AM206" s="372"/>
      <c r="AN206" s="372"/>
      <c r="AO206" s="372"/>
      <c r="AP206" s="372"/>
      <c r="AQ206" s="372"/>
      <c r="AR206" s="372"/>
      <c r="AS206" s="372"/>
      <c r="AT206" s="372"/>
      <c r="AU206" s="372"/>
      <c r="AV206" s="372"/>
      <c r="AW206" s="372"/>
      <c r="AX206" s="372"/>
      <c r="AY206" s="373"/>
      <c r="AZ206" s="5"/>
      <c r="BA206" s="5"/>
      <c r="BB206" s="5"/>
      <c r="BC206" s="5"/>
      <c r="BD206" s="5"/>
      <c r="BE206" s="5"/>
      <c r="BF206" s="5"/>
      <c r="BG206" s="5"/>
      <c r="BH206" s="5"/>
      <c r="BI206" s="5"/>
      <c r="BJ206" s="5"/>
      <c r="BK206" s="5"/>
      <c r="BL206" s="5"/>
      <c r="BM206" s="5"/>
      <c r="BN206" s="5"/>
      <c r="BO206" s="5"/>
      <c r="BP206" s="5"/>
      <c r="BQ206" s="5"/>
      <c r="BR206" s="5"/>
      <c r="BS206" s="5"/>
      <c r="BT206" s="5"/>
    </row>
    <row r="207" spans="1:72" ht="20.100000000000001" customHeight="1">
      <c r="A207" s="379"/>
      <c r="B207" s="374"/>
      <c r="C207" s="374"/>
      <c r="D207" s="374"/>
      <c r="E207" s="374"/>
      <c r="F207" s="374"/>
      <c r="G207" s="374"/>
      <c r="H207" s="374"/>
      <c r="I207" s="374"/>
      <c r="J207" s="374"/>
      <c r="K207" s="374"/>
      <c r="L207" s="374"/>
      <c r="M207" s="374"/>
      <c r="N207" s="374"/>
      <c r="O207" s="374"/>
      <c r="P207" s="374"/>
      <c r="Q207" s="374"/>
      <c r="R207" s="374"/>
      <c r="S207" s="374"/>
      <c r="T207" s="374"/>
      <c r="U207" s="374"/>
      <c r="V207" s="374"/>
      <c r="W207" s="374"/>
      <c r="X207" s="374"/>
      <c r="Y207" s="374"/>
      <c r="Z207" s="374"/>
      <c r="AA207" s="374"/>
      <c r="AB207" s="374"/>
      <c r="AC207" s="374"/>
      <c r="AD207" s="374"/>
      <c r="AE207" s="374"/>
      <c r="AF207" s="374"/>
      <c r="AG207" s="374"/>
      <c r="AH207" s="374"/>
      <c r="AI207" s="374"/>
      <c r="AJ207" s="374"/>
      <c r="AK207" s="374"/>
      <c r="AL207" s="374"/>
      <c r="AM207" s="374"/>
      <c r="AN207" s="374"/>
      <c r="AO207" s="374"/>
      <c r="AP207" s="374"/>
      <c r="AQ207" s="374"/>
      <c r="AR207" s="374"/>
      <c r="AS207" s="374"/>
      <c r="AT207" s="374"/>
      <c r="AU207" s="374"/>
      <c r="AV207" s="374"/>
      <c r="AW207" s="374"/>
      <c r="AX207" s="374"/>
      <c r="AY207" s="375"/>
      <c r="AZ207" s="5"/>
      <c r="BA207" s="5"/>
      <c r="BB207" s="5"/>
      <c r="BC207" s="5"/>
      <c r="BD207" s="5"/>
      <c r="BE207" s="5"/>
      <c r="BF207" s="5"/>
      <c r="BG207" s="5"/>
      <c r="BH207" s="5"/>
      <c r="BI207" s="5"/>
      <c r="BJ207" s="5"/>
      <c r="BK207" s="5"/>
      <c r="BL207" s="5"/>
      <c r="BM207" s="5"/>
      <c r="BN207" s="5"/>
      <c r="BO207" s="5"/>
      <c r="BP207" s="5"/>
      <c r="BQ207" s="5"/>
      <c r="BR207" s="5"/>
      <c r="BS207" s="5"/>
      <c r="BT207" s="5"/>
    </row>
    <row r="208" spans="1:72" ht="20.100000000000001" customHeight="1">
      <c r="A208" s="376">
        <v>31</v>
      </c>
      <c r="B208" s="378" t="str">
        <f>IF(Creation_1!B208&lt;&gt;0,Creation_1!B208,IFERROR(INDEX(Database_Charms,MATCH($N208,Database_Charms_Names,0),MATCH(B$117,Database_Charms_Values,0)),""))</f>
        <v/>
      </c>
      <c r="C208" s="378"/>
      <c r="D208" s="378"/>
      <c r="E208" s="378"/>
      <c r="F208" s="378"/>
      <c r="G208" s="33"/>
      <c r="H208" s="378" t="str">
        <f>IF(Creation_1!H208&lt;&gt;"",Creation_1!H208,IF(B208&lt;&gt;0,B208,IFERROR(INDEX(Database_Charms,MATCH($N208,Database_Charms_Names,0),MATCH("Ability_Subtype",Database_Charms_Values,0)),"")))</f>
        <v/>
      </c>
      <c r="I208" s="378"/>
      <c r="J208" s="378"/>
      <c r="K208" s="378"/>
      <c r="L208" s="378"/>
      <c r="M208" s="23"/>
      <c r="N208" s="378" t="str">
        <f>IF(Creation_1!N208&lt;&gt;0,Creation_1!N208,"")</f>
        <v/>
      </c>
      <c r="O208" s="378"/>
      <c r="P208" s="378"/>
      <c r="Q208" s="378"/>
      <c r="R208" s="378"/>
      <c r="S208" s="378"/>
      <c r="T208" s="378"/>
      <c r="U208" s="378"/>
      <c r="V208" s="378"/>
      <c r="W208" s="378"/>
      <c r="X208" s="378"/>
      <c r="Y208" s="378"/>
      <c r="Z208" s="378"/>
      <c r="AA208" s="378"/>
      <c r="AB208" s="23"/>
      <c r="AC208" s="302" t="str">
        <f>IFERROR(INDEX(Database_Charms,MATCH($N208,Database_Charms_Names,0),MATCH(AC$117,Database_Charms_Values,0)),"")</f>
        <v/>
      </c>
      <c r="AD208" s="302"/>
      <c r="AE208" s="302"/>
      <c r="AF208" s="302"/>
      <c r="AG208" s="302"/>
      <c r="AH208" s="125"/>
      <c r="AI208" s="302" t="str">
        <f>IFERROR(INDEX(Database_Charms,MATCH($N208,Database_Charms_Names,0),MATCH(AI$117,Database_Charms_Values,0)),"")</f>
        <v/>
      </c>
      <c r="AJ208" s="302"/>
      <c r="AK208" s="302"/>
      <c r="AL208" s="302"/>
      <c r="AM208" s="125"/>
      <c r="AN208" s="302" t="str">
        <f>IFERROR(INDEX(Database_Charms,MATCH($N208,Database_Charms_Names,0),MATCH(AN$117,Database_Charms_Values,0)),"")</f>
        <v/>
      </c>
      <c r="AO208" s="302"/>
      <c r="AP208" s="302"/>
      <c r="AQ208" s="302"/>
      <c r="AR208" s="302"/>
      <c r="AS208" s="125"/>
      <c r="AT208" s="302" t="str">
        <f>IFERROR(INDEX(Database_Charms,MATCH($N208,Database_Charms_Names,0),MATCH(AT$117,Database_Charms_Values,0)),"")</f>
        <v/>
      </c>
      <c r="AU208" s="302"/>
      <c r="AV208" s="125"/>
      <c r="AW208" s="302" t="str">
        <f>IFERROR(INDEX(Database_Charms,MATCH($N208,Database_Charms_Names,0),MATCH(AW$117,Database_Charms_Values,0)),"")</f>
        <v/>
      </c>
      <c r="AX208" s="302"/>
      <c r="AY208" s="307"/>
      <c r="AZ208" s="5"/>
      <c r="BA208" s="5"/>
      <c r="BB208" s="5"/>
      <c r="BC208" s="5"/>
      <c r="BD208" s="5"/>
      <c r="BE208" s="5"/>
      <c r="BF208" s="5"/>
      <c r="BG208" s="5"/>
      <c r="BH208" s="5"/>
      <c r="BI208" s="5"/>
      <c r="BJ208" s="5"/>
      <c r="BK208" s="5"/>
      <c r="BL208" s="5"/>
      <c r="BM208" s="5"/>
      <c r="BN208" s="5"/>
      <c r="BO208" s="5"/>
      <c r="BP208" s="5"/>
      <c r="BQ208" s="5"/>
      <c r="BR208" s="5"/>
      <c r="BS208" s="5"/>
      <c r="BT208" s="5"/>
    </row>
    <row r="209" spans="1:72" ht="20.100000000000001" customHeight="1">
      <c r="A209" s="377"/>
      <c r="B209" s="372" t="str">
        <f>IF(Creation_1!B209="",IFERROR(INDEX(Database_Charms,MATCH($N208,Database_Charms_Names,0),MATCH(Charms!$S$1,Database_Charms_Values,0)),""),Creation_1!B209)</f>
        <v/>
      </c>
      <c r="C209" s="372"/>
      <c r="D209" s="372"/>
      <c r="E209" s="372"/>
      <c r="F209" s="372"/>
      <c r="G209" s="372"/>
      <c r="H209" s="372"/>
      <c r="I209" s="372"/>
      <c r="J209" s="372"/>
      <c r="K209" s="372"/>
      <c r="L209" s="372"/>
      <c r="M209" s="372"/>
      <c r="N209" s="372"/>
      <c r="O209" s="372"/>
      <c r="P209" s="372"/>
      <c r="Q209" s="372"/>
      <c r="R209" s="372"/>
      <c r="S209" s="372"/>
      <c r="T209" s="372"/>
      <c r="U209" s="372"/>
      <c r="V209" s="372"/>
      <c r="W209" s="372"/>
      <c r="X209" s="372"/>
      <c r="Y209" s="372"/>
      <c r="Z209" s="372"/>
      <c r="AA209" s="372"/>
      <c r="AB209" s="372"/>
      <c r="AC209" s="372"/>
      <c r="AD209" s="372"/>
      <c r="AE209" s="372"/>
      <c r="AF209" s="372"/>
      <c r="AG209" s="372"/>
      <c r="AH209" s="372"/>
      <c r="AI209" s="372"/>
      <c r="AJ209" s="372"/>
      <c r="AK209" s="372"/>
      <c r="AL209" s="372"/>
      <c r="AM209" s="372"/>
      <c r="AN209" s="372"/>
      <c r="AO209" s="372"/>
      <c r="AP209" s="372"/>
      <c r="AQ209" s="372"/>
      <c r="AR209" s="372"/>
      <c r="AS209" s="372"/>
      <c r="AT209" s="372"/>
      <c r="AU209" s="372"/>
      <c r="AV209" s="372"/>
      <c r="AW209" s="372"/>
      <c r="AX209" s="372"/>
      <c r="AY209" s="373"/>
      <c r="AZ209" s="5"/>
      <c r="BA209" s="5"/>
      <c r="BB209" s="5"/>
      <c r="BC209" s="5"/>
      <c r="BD209" s="5"/>
      <c r="BE209" s="5"/>
      <c r="BF209" s="5"/>
      <c r="BG209" s="5"/>
      <c r="BH209" s="5"/>
      <c r="BI209" s="5"/>
      <c r="BJ209" s="5"/>
      <c r="BK209" s="5"/>
      <c r="BL209" s="5"/>
      <c r="BM209" s="5"/>
      <c r="BN209" s="5"/>
      <c r="BO209" s="5"/>
      <c r="BP209" s="5"/>
      <c r="BQ209" s="5"/>
      <c r="BR209" s="5"/>
      <c r="BS209" s="5"/>
      <c r="BT209" s="5"/>
    </row>
    <row r="210" spans="1:72" ht="20.100000000000001" customHeight="1">
      <c r="A210" s="379"/>
      <c r="B210" s="374"/>
      <c r="C210" s="374"/>
      <c r="D210" s="374"/>
      <c r="E210" s="374"/>
      <c r="F210" s="374"/>
      <c r="G210" s="374"/>
      <c r="H210" s="374"/>
      <c r="I210" s="374"/>
      <c r="J210" s="374"/>
      <c r="K210" s="374"/>
      <c r="L210" s="374"/>
      <c r="M210" s="374"/>
      <c r="N210" s="374"/>
      <c r="O210" s="374"/>
      <c r="P210" s="374"/>
      <c r="Q210" s="374"/>
      <c r="R210" s="374"/>
      <c r="S210" s="374"/>
      <c r="T210" s="374"/>
      <c r="U210" s="374"/>
      <c r="V210" s="374"/>
      <c r="W210" s="374"/>
      <c r="X210" s="374"/>
      <c r="Y210" s="374"/>
      <c r="Z210" s="374"/>
      <c r="AA210" s="374"/>
      <c r="AB210" s="374"/>
      <c r="AC210" s="374"/>
      <c r="AD210" s="374"/>
      <c r="AE210" s="374"/>
      <c r="AF210" s="374"/>
      <c r="AG210" s="374"/>
      <c r="AH210" s="374"/>
      <c r="AI210" s="374"/>
      <c r="AJ210" s="374"/>
      <c r="AK210" s="374"/>
      <c r="AL210" s="374"/>
      <c r="AM210" s="374"/>
      <c r="AN210" s="374"/>
      <c r="AO210" s="374"/>
      <c r="AP210" s="374"/>
      <c r="AQ210" s="374"/>
      <c r="AR210" s="374"/>
      <c r="AS210" s="374"/>
      <c r="AT210" s="374"/>
      <c r="AU210" s="374"/>
      <c r="AV210" s="374"/>
      <c r="AW210" s="374"/>
      <c r="AX210" s="374"/>
      <c r="AY210" s="375"/>
      <c r="AZ210" s="5"/>
      <c r="BA210" s="5"/>
      <c r="BB210" s="5"/>
      <c r="BC210" s="5"/>
      <c r="BD210" s="5"/>
      <c r="BE210" s="5"/>
      <c r="BF210" s="5"/>
      <c r="BG210" s="5"/>
      <c r="BH210" s="5"/>
      <c r="BI210" s="5"/>
      <c r="BJ210" s="5"/>
      <c r="BK210" s="5"/>
      <c r="BL210" s="5"/>
      <c r="BM210" s="5"/>
      <c r="BN210" s="5"/>
      <c r="BO210" s="5"/>
      <c r="BP210" s="5"/>
      <c r="BQ210" s="5"/>
      <c r="BR210" s="5"/>
      <c r="BS210" s="5"/>
      <c r="BT210" s="5"/>
    </row>
    <row r="211" spans="1:72" ht="20.100000000000001" customHeight="1">
      <c r="A211" s="376">
        <v>32</v>
      </c>
      <c r="B211" s="378" t="str">
        <f>IF(Creation_1!B211&lt;&gt;0,Creation_1!B211,IFERROR(INDEX(Database_Charms,MATCH($N211,Database_Charms_Names,0),MATCH(B$117,Database_Charms_Values,0)),""))</f>
        <v/>
      </c>
      <c r="C211" s="378"/>
      <c r="D211" s="378"/>
      <c r="E211" s="378"/>
      <c r="F211" s="378"/>
      <c r="G211" s="33"/>
      <c r="H211" s="378" t="str">
        <f>IF(Creation_1!H211&lt;&gt;"",Creation_1!H211,IF(B211&lt;&gt;0,B211,IFERROR(INDEX(Database_Charms,MATCH($N211,Database_Charms_Names,0),MATCH("Ability_Subtype",Database_Charms_Values,0)),"")))</f>
        <v/>
      </c>
      <c r="I211" s="378"/>
      <c r="J211" s="378"/>
      <c r="K211" s="378"/>
      <c r="L211" s="378"/>
      <c r="M211" s="23"/>
      <c r="N211" s="378" t="str">
        <f>IF(Creation_1!N211&lt;&gt;0,Creation_1!N211,"")</f>
        <v/>
      </c>
      <c r="O211" s="378"/>
      <c r="P211" s="378"/>
      <c r="Q211" s="378"/>
      <c r="R211" s="378"/>
      <c r="S211" s="378"/>
      <c r="T211" s="378"/>
      <c r="U211" s="378"/>
      <c r="V211" s="378"/>
      <c r="W211" s="378"/>
      <c r="X211" s="378"/>
      <c r="Y211" s="378"/>
      <c r="Z211" s="378"/>
      <c r="AA211" s="378"/>
      <c r="AB211" s="23"/>
      <c r="AC211" s="302" t="str">
        <f>IFERROR(INDEX(Database_Charms,MATCH($N211,Database_Charms_Names,0),MATCH(AC$117,Database_Charms_Values,0)),"")</f>
        <v/>
      </c>
      <c r="AD211" s="302"/>
      <c r="AE211" s="302"/>
      <c r="AF211" s="302"/>
      <c r="AG211" s="302"/>
      <c r="AH211" s="125"/>
      <c r="AI211" s="302" t="str">
        <f>IFERROR(INDEX(Database_Charms,MATCH($N211,Database_Charms_Names,0),MATCH(AI$117,Database_Charms_Values,0)),"")</f>
        <v/>
      </c>
      <c r="AJ211" s="302"/>
      <c r="AK211" s="302"/>
      <c r="AL211" s="302"/>
      <c r="AM211" s="125"/>
      <c r="AN211" s="302" t="str">
        <f>IFERROR(INDEX(Database_Charms,MATCH($N211,Database_Charms_Names,0),MATCH(AN$117,Database_Charms_Values,0)),"")</f>
        <v/>
      </c>
      <c r="AO211" s="302"/>
      <c r="AP211" s="302"/>
      <c r="AQ211" s="302"/>
      <c r="AR211" s="302"/>
      <c r="AS211" s="125"/>
      <c r="AT211" s="302" t="str">
        <f>IFERROR(INDEX(Database_Charms,MATCH($N211,Database_Charms_Names,0),MATCH(AT$117,Database_Charms_Values,0)),"")</f>
        <v/>
      </c>
      <c r="AU211" s="302"/>
      <c r="AV211" s="125"/>
      <c r="AW211" s="302" t="str">
        <f>IFERROR(INDEX(Database_Charms,MATCH($N211,Database_Charms_Names,0),MATCH(AW$117,Database_Charms_Values,0)),"")</f>
        <v/>
      </c>
      <c r="AX211" s="302"/>
      <c r="AY211" s="307"/>
      <c r="AZ211" s="5"/>
      <c r="BA211" s="5"/>
      <c r="BB211" s="5"/>
      <c r="BC211" s="5"/>
      <c r="BD211" s="5"/>
      <c r="BE211" s="5"/>
      <c r="BF211" s="5"/>
      <c r="BG211" s="5"/>
      <c r="BH211" s="5"/>
      <c r="BI211" s="5"/>
      <c r="BJ211" s="5"/>
      <c r="BK211" s="5"/>
      <c r="BL211" s="5"/>
      <c r="BM211" s="5"/>
      <c r="BN211" s="5"/>
      <c r="BO211" s="5"/>
      <c r="BP211" s="5"/>
      <c r="BQ211" s="5"/>
      <c r="BR211" s="5"/>
      <c r="BS211" s="5"/>
      <c r="BT211" s="5"/>
    </row>
    <row r="212" spans="1:72" ht="20.100000000000001" customHeight="1">
      <c r="A212" s="377"/>
      <c r="B212" s="372" t="str">
        <f>IF(Creation_1!B212="",IFERROR(INDEX(Database_Charms,MATCH($N211,Database_Charms_Names,0),MATCH(Charms!$S$1,Database_Charms_Values,0)),""),Creation_1!B212)</f>
        <v/>
      </c>
      <c r="C212" s="372"/>
      <c r="D212" s="372"/>
      <c r="E212" s="372"/>
      <c r="F212" s="372"/>
      <c r="G212" s="372"/>
      <c r="H212" s="372"/>
      <c r="I212" s="372"/>
      <c r="J212" s="372"/>
      <c r="K212" s="372"/>
      <c r="L212" s="372"/>
      <c r="M212" s="372"/>
      <c r="N212" s="372"/>
      <c r="O212" s="372"/>
      <c r="P212" s="372"/>
      <c r="Q212" s="372"/>
      <c r="R212" s="372"/>
      <c r="S212" s="372"/>
      <c r="T212" s="372"/>
      <c r="U212" s="372"/>
      <c r="V212" s="372"/>
      <c r="W212" s="372"/>
      <c r="X212" s="372"/>
      <c r="Y212" s="372"/>
      <c r="Z212" s="372"/>
      <c r="AA212" s="372"/>
      <c r="AB212" s="372"/>
      <c r="AC212" s="372"/>
      <c r="AD212" s="372"/>
      <c r="AE212" s="372"/>
      <c r="AF212" s="372"/>
      <c r="AG212" s="372"/>
      <c r="AH212" s="372"/>
      <c r="AI212" s="372"/>
      <c r="AJ212" s="372"/>
      <c r="AK212" s="372"/>
      <c r="AL212" s="372"/>
      <c r="AM212" s="372"/>
      <c r="AN212" s="372"/>
      <c r="AO212" s="372"/>
      <c r="AP212" s="372"/>
      <c r="AQ212" s="372"/>
      <c r="AR212" s="372"/>
      <c r="AS212" s="372"/>
      <c r="AT212" s="372"/>
      <c r="AU212" s="372"/>
      <c r="AV212" s="372"/>
      <c r="AW212" s="372"/>
      <c r="AX212" s="372"/>
      <c r="AY212" s="373"/>
      <c r="AZ212" s="5"/>
      <c r="BA212" s="5"/>
      <c r="BB212" s="5"/>
      <c r="BC212" s="5"/>
      <c r="BD212" s="5"/>
      <c r="BE212" s="5"/>
      <c r="BF212" s="5"/>
      <c r="BG212" s="5"/>
      <c r="BH212" s="5"/>
      <c r="BI212" s="5"/>
      <c r="BJ212" s="5"/>
      <c r="BK212" s="5"/>
      <c r="BL212" s="5"/>
      <c r="BM212" s="5"/>
      <c r="BN212" s="5"/>
      <c r="BO212" s="5"/>
      <c r="BP212" s="5"/>
      <c r="BQ212" s="5"/>
      <c r="BR212" s="5"/>
      <c r="BS212" s="5"/>
      <c r="BT212" s="5"/>
    </row>
    <row r="213" spans="1:72" ht="20.100000000000001" customHeight="1">
      <c r="A213" s="379"/>
      <c r="B213" s="374"/>
      <c r="C213" s="374"/>
      <c r="D213" s="374"/>
      <c r="E213" s="374"/>
      <c r="F213" s="374"/>
      <c r="G213" s="374"/>
      <c r="H213" s="374"/>
      <c r="I213" s="374"/>
      <c r="J213" s="374"/>
      <c r="K213" s="374"/>
      <c r="L213" s="374"/>
      <c r="M213" s="374"/>
      <c r="N213" s="374"/>
      <c r="O213" s="374"/>
      <c r="P213" s="374"/>
      <c r="Q213" s="374"/>
      <c r="R213" s="374"/>
      <c r="S213" s="374"/>
      <c r="T213" s="374"/>
      <c r="U213" s="374"/>
      <c r="V213" s="374"/>
      <c r="W213" s="374"/>
      <c r="X213" s="374"/>
      <c r="Y213" s="374"/>
      <c r="Z213" s="374"/>
      <c r="AA213" s="374"/>
      <c r="AB213" s="374"/>
      <c r="AC213" s="374"/>
      <c r="AD213" s="374"/>
      <c r="AE213" s="374"/>
      <c r="AF213" s="374"/>
      <c r="AG213" s="374"/>
      <c r="AH213" s="374"/>
      <c r="AI213" s="374"/>
      <c r="AJ213" s="374"/>
      <c r="AK213" s="374"/>
      <c r="AL213" s="374"/>
      <c r="AM213" s="374"/>
      <c r="AN213" s="374"/>
      <c r="AO213" s="374"/>
      <c r="AP213" s="374"/>
      <c r="AQ213" s="374"/>
      <c r="AR213" s="374"/>
      <c r="AS213" s="374"/>
      <c r="AT213" s="374"/>
      <c r="AU213" s="374"/>
      <c r="AV213" s="374"/>
      <c r="AW213" s="374"/>
      <c r="AX213" s="374"/>
      <c r="AY213" s="375"/>
      <c r="AZ213" s="5"/>
      <c r="BA213" s="5"/>
      <c r="BB213" s="5"/>
      <c r="BC213" s="5"/>
      <c r="BD213" s="5"/>
      <c r="BE213" s="5"/>
      <c r="BF213" s="5"/>
      <c r="BG213" s="5"/>
      <c r="BH213" s="5"/>
      <c r="BI213" s="5"/>
      <c r="BJ213" s="5"/>
      <c r="BK213" s="5"/>
      <c r="BL213" s="5"/>
      <c r="BM213" s="5"/>
      <c r="BN213" s="5"/>
      <c r="BO213" s="5"/>
      <c r="BP213" s="5"/>
      <c r="BQ213" s="5"/>
      <c r="BR213" s="5"/>
      <c r="BS213" s="5"/>
      <c r="BT213" s="5"/>
    </row>
    <row r="214" spans="1:72" ht="20.100000000000001" customHeight="1">
      <c r="A214" s="376">
        <v>33</v>
      </c>
      <c r="B214" s="378" t="str">
        <f>IF(Creation_1!B214&lt;&gt;0,Creation_1!B214,IFERROR(INDEX(Database_Charms,MATCH($N214,Database_Charms_Names,0),MATCH(B$117,Database_Charms_Values,0)),""))</f>
        <v/>
      </c>
      <c r="C214" s="378"/>
      <c r="D214" s="378"/>
      <c r="E214" s="378"/>
      <c r="F214" s="378"/>
      <c r="G214" s="33"/>
      <c r="H214" s="378" t="str">
        <f>IF(Creation_1!H214&lt;&gt;"",Creation_1!H214,IF(B214&lt;&gt;0,B214,IFERROR(INDEX(Database_Charms,MATCH($N214,Database_Charms_Names,0),MATCH("Ability_Subtype",Database_Charms_Values,0)),"")))</f>
        <v/>
      </c>
      <c r="I214" s="378"/>
      <c r="J214" s="378"/>
      <c r="K214" s="378"/>
      <c r="L214" s="378"/>
      <c r="M214" s="23"/>
      <c r="N214" s="378" t="str">
        <f>IF(Creation_1!N214&lt;&gt;0,Creation_1!N214,"")</f>
        <v/>
      </c>
      <c r="O214" s="378"/>
      <c r="P214" s="378"/>
      <c r="Q214" s="378"/>
      <c r="R214" s="378"/>
      <c r="S214" s="378"/>
      <c r="T214" s="378"/>
      <c r="U214" s="378"/>
      <c r="V214" s="378"/>
      <c r="W214" s="378"/>
      <c r="X214" s="378"/>
      <c r="Y214" s="378"/>
      <c r="Z214" s="378"/>
      <c r="AA214" s="378"/>
      <c r="AB214" s="23"/>
      <c r="AC214" s="302" t="str">
        <f>IFERROR(INDEX(Database_Charms,MATCH($N214,Database_Charms_Names,0),MATCH(AC$117,Database_Charms_Values,0)),"")</f>
        <v/>
      </c>
      <c r="AD214" s="302"/>
      <c r="AE214" s="302"/>
      <c r="AF214" s="302"/>
      <c r="AG214" s="302"/>
      <c r="AH214" s="125"/>
      <c r="AI214" s="302" t="str">
        <f>IFERROR(INDEX(Database_Charms,MATCH($N214,Database_Charms_Names,0),MATCH(AI$117,Database_Charms_Values,0)),"")</f>
        <v/>
      </c>
      <c r="AJ214" s="302"/>
      <c r="AK214" s="302"/>
      <c r="AL214" s="302"/>
      <c r="AM214" s="125"/>
      <c r="AN214" s="302" t="str">
        <f>IFERROR(INDEX(Database_Charms,MATCH($N214,Database_Charms_Names,0),MATCH(AN$117,Database_Charms_Values,0)),"")</f>
        <v/>
      </c>
      <c r="AO214" s="302"/>
      <c r="AP214" s="302"/>
      <c r="AQ214" s="302"/>
      <c r="AR214" s="302"/>
      <c r="AS214" s="125"/>
      <c r="AT214" s="302" t="str">
        <f>IFERROR(INDEX(Database_Charms,MATCH($N214,Database_Charms_Names,0),MATCH(AT$117,Database_Charms_Values,0)),"")</f>
        <v/>
      </c>
      <c r="AU214" s="302"/>
      <c r="AV214" s="125"/>
      <c r="AW214" s="302" t="str">
        <f>IFERROR(INDEX(Database_Charms,MATCH($N214,Database_Charms_Names,0),MATCH(AW$117,Database_Charms_Values,0)),"")</f>
        <v/>
      </c>
      <c r="AX214" s="302"/>
      <c r="AY214" s="307"/>
      <c r="AZ214" s="5"/>
      <c r="BA214" s="5"/>
      <c r="BB214" s="5"/>
      <c r="BC214" s="5"/>
      <c r="BD214" s="5"/>
      <c r="BE214" s="5"/>
      <c r="BF214" s="5"/>
      <c r="BG214" s="5"/>
      <c r="BH214" s="5"/>
      <c r="BI214" s="5"/>
      <c r="BJ214" s="5"/>
      <c r="BK214" s="5"/>
      <c r="BL214" s="5"/>
      <c r="BM214" s="5"/>
      <c r="BN214" s="5"/>
      <c r="BO214" s="5"/>
      <c r="BP214" s="5"/>
      <c r="BQ214" s="5"/>
      <c r="BR214" s="5"/>
      <c r="BS214" s="5"/>
      <c r="BT214" s="5"/>
    </row>
    <row r="215" spans="1:72" ht="20.100000000000001" customHeight="1">
      <c r="A215" s="377"/>
      <c r="B215" s="372" t="str">
        <f>IF(Creation_1!B215="",IFERROR(INDEX(Database_Charms,MATCH($N214,Database_Charms_Names,0),MATCH(Charms!$S$1,Database_Charms_Values,0)),""),Creation_1!B215)</f>
        <v/>
      </c>
      <c r="C215" s="372"/>
      <c r="D215" s="372"/>
      <c r="E215" s="372"/>
      <c r="F215" s="372"/>
      <c r="G215" s="372"/>
      <c r="H215" s="372"/>
      <c r="I215" s="372"/>
      <c r="J215" s="372"/>
      <c r="K215" s="372"/>
      <c r="L215" s="372"/>
      <c r="M215" s="372"/>
      <c r="N215" s="372"/>
      <c r="O215" s="372"/>
      <c r="P215" s="372"/>
      <c r="Q215" s="372"/>
      <c r="R215" s="372"/>
      <c r="S215" s="372"/>
      <c r="T215" s="372"/>
      <c r="U215" s="372"/>
      <c r="V215" s="372"/>
      <c r="W215" s="372"/>
      <c r="X215" s="372"/>
      <c r="Y215" s="372"/>
      <c r="Z215" s="372"/>
      <c r="AA215" s="372"/>
      <c r="AB215" s="372"/>
      <c r="AC215" s="372"/>
      <c r="AD215" s="372"/>
      <c r="AE215" s="372"/>
      <c r="AF215" s="372"/>
      <c r="AG215" s="372"/>
      <c r="AH215" s="372"/>
      <c r="AI215" s="372"/>
      <c r="AJ215" s="372"/>
      <c r="AK215" s="372"/>
      <c r="AL215" s="372"/>
      <c r="AM215" s="372"/>
      <c r="AN215" s="372"/>
      <c r="AO215" s="372"/>
      <c r="AP215" s="372"/>
      <c r="AQ215" s="372"/>
      <c r="AR215" s="372"/>
      <c r="AS215" s="372"/>
      <c r="AT215" s="372"/>
      <c r="AU215" s="372"/>
      <c r="AV215" s="372"/>
      <c r="AW215" s="372"/>
      <c r="AX215" s="372"/>
      <c r="AY215" s="373"/>
      <c r="AZ215" s="5"/>
      <c r="BA215" s="5"/>
      <c r="BB215" s="5"/>
      <c r="BC215" s="5"/>
      <c r="BD215" s="5"/>
      <c r="BE215" s="5"/>
      <c r="BF215" s="5"/>
      <c r="BG215" s="5"/>
      <c r="BH215" s="5"/>
      <c r="BI215" s="5"/>
      <c r="BJ215" s="5"/>
      <c r="BK215" s="5"/>
      <c r="BL215" s="5"/>
      <c r="BM215" s="5"/>
      <c r="BN215" s="5"/>
      <c r="BO215" s="5"/>
      <c r="BP215" s="5"/>
      <c r="BQ215" s="5"/>
      <c r="BR215" s="5"/>
      <c r="BS215" s="5"/>
      <c r="BT215" s="5"/>
    </row>
    <row r="216" spans="1:72" ht="20.100000000000001" customHeight="1">
      <c r="A216" s="379"/>
      <c r="B216" s="374"/>
      <c r="C216" s="374"/>
      <c r="D216" s="374"/>
      <c r="E216" s="374"/>
      <c r="F216" s="374"/>
      <c r="G216" s="374"/>
      <c r="H216" s="374"/>
      <c r="I216" s="374"/>
      <c r="J216" s="374"/>
      <c r="K216" s="374"/>
      <c r="L216" s="374"/>
      <c r="M216" s="374"/>
      <c r="N216" s="374"/>
      <c r="O216" s="374"/>
      <c r="P216" s="374"/>
      <c r="Q216" s="374"/>
      <c r="R216" s="374"/>
      <c r="S216" s="374"/>
      <c r="T216" s="374"/>
      <c r="U216" s="374"/>
      <c r="V216" s="374"/>
      <c r="W216" s="374"/>
      <c r="X216" s="374"/>
      <c r="Y216" s="374"/>
      <c r="Z216" s="374"/>
      <c r="AA216" s="374"/>
      <c r="AB216" s="374"/>
      <c r="AC216" s="374"/>
      <c r="AD216" s="374"/>
      <c r="AE216" s="374"/>
      <c r="AF216" s="374"/>
      <c r="AG216" s="374"/>
      <c r="AH216" s="374"/>
      <c r="AI216" s="374"/>
      <c r="AJ216" s="374"/>
      <c r="AK216" s="374"/>
      <c r="AL216" s="374"/>
      <c r="AM216" s="374"/>
      <c r="AN216" s="374"/>
      <c r="AO216" s="374"/>
      <c r="AP216" s="374"/>
      <c r="AQ216" s="374"/>
      <c r="AR216" s="374"/>
      <c r="AS216" s="374"/>
      <c r="AT216" s="374"/>
      <c r="AU216" s="374"/>
      <c r="AV216" s="374"/>
      <c r="AW216" s="374"/>
      <c r="AX216" s="374"/>
      <c r="AY216" s="375"/>
      <c r="AZ216" s="5"/>
      <c r="BA216" s="5"/>
      <c r="BB216" s="5"/>
      <c r="BC216" s="5"/>
      <c r="BD216" s="5"/>
      <c r="BE216" s="5"/>
      <c r="BF216" s="5"/>
      <c r="BG216" s="5"/>
      <c r="BH216" s="5"/>
      <c r="BI216" s="5"/>
      <c r="BJ216" s="5"/>
      <c r="BK216" s="5"/>
      <c r="BL216" s="5"/>
      <c r="BM216" s="5"/>
      <c r="BN216" s="5"/>
      <c r="BO216" s="5"/>
      <c r="BP216" s="5"/>
      <c r="BQ216" s="5"/>
      <c r="BR216" s="5"/>
      <c r="BS216" s="5"/>
      <c r="BT216" s="5"/>
    </row>
    <row r="217" spans="1:72" ht="20.100000000000001" customHeight="1">
      <c r="A217" s="376">
        <v>34</v>
      </c>
      <c r="B217" s="378" t="str">
        <f>IF(Creation_1!B217&lt;&gt;0,Creation_1!B217,IFERROR(INDEX(Database_Charms,MATCH($N217,Database_Charms_Names,0),MATCH(B$117,Database_Charms_Values,0)),""))</f>
        <v/>
      </c>
      <c r="C217" s="378"/>
      <c r="D217" s="378"/>
      <c r="E217" s="378"/>
      <c r="F217" s="378"/>
      <c r="G217" s="33"/>
      <c r="H217" s="378" t="str">
        <f>IF(Creation_1!H217&lt;&gt;"",Creation_1!H217,IF(B217&lt;&gt;0,B217,IFERROR(INDEX(Database_Charms,MATCH($N217,Database_Charms_Names,0),MATCH("Ability_Subtype",Database_Charms_Values,0)),"")))</f>
        <v/>
      </c>
      <c r="I217" s="378"/>
      <c r="J217" s="378"/>
      <c r="K217" s="378"/>
      <c r="L217" s="378"/>
      <c r="M217" s="23"/>
      <c r="N217" s="378" t="str">
        <f>IF(Creation_1!N217&lt;&gt;0,Creation_1!N217,"")</f>
        <v/>
      </c>
      <c r="O217" s="378"/>
      <c r="P217" s="378"/>
      <c r="Q217" s="378"/>
      <c r="R217" s="378"/>
      <c r="S217" s="378"/>
      <c r="T217" s="378"/>
      <c r="U217" s="378"/>
      <c r="V217" s="378"/>
      <c r="W217" s="378"/>
      <c r="X217" s="378"/>
      <c r="Y217" s="378"/>
      <c r="Z217" s="378"/>
      <c r="AA217" s="378"/>
      <c r="AB217" s="23"/>
      <c r="AC217" s="302" t="str">
        <f>IFERROR(INDEX(Database_Charms,MATCH($N217,Database_Charms_Names,0),MATCH(AC$117,Database_Charms_Values,0)),"")</f>
        <v/>
      </c>
      <c r="AD217" s="302"/>
      <c r="AE217" s="302"/>
      <c r="AF217" s="302"/>
      <c r="AG217" s="302"/>
      <c r="AH217" s="125"/>
      <c r="AI217" s="302" t="str">
        <f>IFERROR(INDEX(Database_Charms,MATCH($N217,Database_Charms_Names,0),MATCH(AI$117,Database_Charms_Values,0)),"")</f>
        <v/>
      </c>
      <c r="AJ217" s="302"/>
      <c r="AK217" s="302"/>
      <c r="AL217" s="302"/>
      <c r="AM217" s="125"/>
      <c r="AN217" s="302" t="str">
        <f>IFERROR(INDEX(Database_Charms,MATCH($N217,Database_Charms_Names,0),MATCH(AN$117,Database_Charms_Values,0)),"")</f>
        <v/>
      </c>
      <c r="AO217" s="302"/>
      <c r="AP217" s="302"/>
      <c r="AQ217" s="302"/>
      <c r="AR217" s="302"/>
      <c r="AS217" s="125"/>
      <c r="AT217" s="302" t="str">
        <f>IFERROR(INDEX(Database_Charms,MATCH($N217,Database_Charms_Names,0),MATCH(AT$117,Database_Charms_Values,0)),"")</f>
        <v/>
      </c>
      <c r="AU217" s="302"/>
      <c r="AV217" s="125"/>
      <c r="AW217" s="302" t="str">
        <f>IFERROR(INDEX(Database_Charms,MATCH($N217,Database_Charms_Names,0),MATCH(AW$117,Database_Charms_Values,0)),"")</f>
        <v/>
      </c>
      <c r="AX217" s="302"/>
      <c r="AY217" s="307"/>
      <c r="AZ217" s="5"/>
      <c r="BA217" s="5"/>
      <c r="BB217" s="5"/>
      <c r="BC217" s="5"/>
      <c r="BD217" s="5"/>
      <c r="BE217" s="5"/>
      <c r="BF217" s="5"/>
      <c r="BG217" s="5"/>
      <c r="BH217" s="5"/>
      <c r="BI217" s="5"/>
      <c r="BJ217" s="5"/>
      <c r="BK217" s="5"/>
      <c r="BL217" s="5"/>
      <c r="BM217" s="5"/>
      <c r="BN217" s="5"/>
      <c r="BO217" s="5"/>
      <c r="BP217" s="5"/>
      <c r="BQ217" s="5"/>
      <c r="BR217" s="5"/>
      <c r="BS217" s="5"/>
      <c r="BT217" s="5"/>
    </row>
    <row r="218" spans="1:72" ht="20.100000000000001" customHeight="1">
      <c r="A218" s="377"/>
      <c r="B218" s="372" t="str">
        <f>IF(Creation_1!B218="",IFERROR(INDEX(Database_Charms,MATCH($N217,Database_Charms_Names,0),MATCH(Charms!$S$1,Database_Charms_Values,0)),""),Creation_1!B218)</f>
        <v/>
      </c>
      <c r="C218" s="372"/>
      <c r="D218" s="372"/>
      <c r="E218" s="372"/>
      <c r="F218" s="372"/>
      <c r="G218" s="372"/>
      <c r="H218" s="372"/>
      <c r="I218" s="372"/>
      <c r="J218" s="372"/>
      <c r="K218" s="372"/>
      <c r="L218" s="372"/>
      <c r="M218" s="372"/>
      <c r="N218" s="372"/>
      <c r="O218" s="372"/>
      <c r="P218" s="372"/>
      <c r="Q218" s="372"/>
      <c r="R218" s="372"/>
      <c r="S218" s="372"/>
      <c r="T218" s="372"/>
      <c r="U218" s="372"/>
      <c r="V218" s="372"/>
      <c r="W218" s="372"/>
      <c r="X218" s="372"/>
      <c r="Y218" s="372"/>
      <c r="Z218" s="372"/>
      <c r="AA218" s="372"/>
      <c r="AB218" s="372"/>
      <c r="AC218" s="372"/>
      <c r="AD218" s="372"/>
      <c r="AE218" s="372"/>
      <c r="AF218" s="372"/>
      <c r="AG218" s="372"/>
      <c r="AH218" s="372"/>
      <c r="AI218" s="372"/>
      <c r="AJ218" s="372"/>
      <c r="AK218" s="372"/>
      <c r="AL218" s="372"/>
      <c r="AM218" s="372"/>
      <c r="AN218" s="372"/>
      <c r="AO218" s="372"/>
      <c r="AP218" s="372"/>
      <c r="AQ218" s="372"/>
      <c r="AR218" s="372"/>
      <c r="AS218" s="372"/>
      <c r="AT218" s="372"/>
      <c r="AU218" s="372"/>
      <c r="AV218" s="372"/>
      <c r="AW218" s="372"/>
      <c r="AX218" s="372"/>
      <c r="AY218" s="373"/>
      <c r="AZ218" s="5"/>
      <c r="BA218" s="5"/>
      <c r="BB218" s="5"/>
      <c r="BC218" s="5"/>
      <c r="BD218" s="5"/>
      <c r="BE218" s="5"/>
      <c r="BF218" s="5"/>
      <c r="BG218" s="5"/>
      <c r="BH218" s="5"/>
      <c r="BI218" s="5"/>
      <c r="BJ218" s="5"/>
      <c r="BK218" s="5"/>
      <c r="BL218" s="5"/>
      <c r="BM218" s="5"/>
      <c r="BN218" s="5"/>
      <c r="BO218" s="5"/>
      <c r="BP218" s="5"/>
      <c r="BQ218" s="5"/>
      <c r="BR218" s="5"/>
      <c r="BS218" s="5"/>
      <c r="BT218" s="5"/>
    </row>
    <row r="219" spans="1:72" ht="20.100000000000001" customHeight="1">
      <c r="A219" s="379"/>
      <c r="B219" s="374"/>
      <c r="C219" s="374"/>
      <c r="D219" s="374"/>
      <c r="E219" s="374"/>
      <c r="F219" s="374"/>
      <c r="G219" s="374"/>
      <c r="H219" s="374"/>
      <c r="I219" s="374"/>
      <c r="J219" s="374"/>
      <c r="K219" s="374"/>
      <c r="L219" s="374"/>
      <c r="M219" s="374"/>
      <c r="N219" s="374"/>
      <c r="O219" s="374"/>
      <c r="P219" s="374"/>
      <c r="Q219" s="374"/>
      <c r="R219" s="374"/>
      <c r="S219" s="374"/>
      <c r="T219" s="374"/>
      <c r="U219" s="374"/>
      <c r="V219" s="374"/>
      <c r="W219" s="374"/>
      <c r="X219" s="374"/>
      <c r="Y219" s="374"/>
      <c r="Z219" s="374"/>
      <c r="AA219" s="374"/>
      <c r="AB219" s="374"/>
      <c r="AC219" s="374"/>
      <c r="AD219" s="374"/>
      <c r="AE219" s="374"/>
      <c r="AF219" s="374"/>
      <c r="AG219" s="374"/>
      <c r="AH219" s="374"/>
      <c r="AI219" s="374"/>
      <c r="AJ219" s="374"/>
      <c r="AK219" s="374"/>
      <c r="AL219" s="374"/>
      <c r="AM219" s="374"/>
      <c r="AN219" s="374"/>
      <c r="AO219" s="374"/>
      <c r="AP219" s="374"/>
      <c r="AQ219" s="374"/>
      <c r="AR219" s="374"/>
      <c r="AS219" s="374"/>
      <c r="AT219" s="374"/>
      <c r="AU219" s="374"/>
      <c r="AV219" s="374"/>
      <c r="AW219" s="374"/>
      <c r="AX219" s="374"/>
      <c r="AY219" s="375"/>
      <c r="AZ219" s="5"/>
      <c r="BA219" s="5"/>
      <c r="BB219" s="5"/>
      <c r="BC219" s="5"/>
      <c r="BD219" s="5"/>
      <c r="BE219" s="5"/>
      <c r="BF219" s="5"/>
      <c r="BG219" s="5"/>
      <c r="BH219" s="5"/>
      <c r="BI219" s="5"/>
      <c r="BJ219" s="5"/>
      <c r="BK219" s="5"/>
      <c r="BL219" s="5"/>
      <c r="BM219" s="5"/>
      <c r="BN219" s="5"/>
      <c r="BO219" s="5"/>
      <c r="BP219" s="5"/>
      <c r="BQ219" s="5"/>
      <c r="BR219" s="5"/>
      <c r="BS219" s="5"/>
      <c r="BT219" s="5"/>
    </row>
    <row r="220" spans="1:72" ht="20.100000000000001" customHeight="1">
      <c r="A220" s="376">
        <v>35</v>
      </c>
      <c r="B220" s="378" t="str">
        <f>IF(Creation_1!B220&lt;&gt;0,Creation_1!B220,IFERROR(INDEX(Database_Charms,MATCH($N220,Database_Charms_Names,0),MATCH(B$117,Database_Charms_Values,0)),""))</f>
        <v/>
      </c>
      <c r="C220" s="378"/>
      <c r="D220" s="378"/>
      <c r="E220" s="378"/>
      <c r="F220" s="378"/>
      <c r="G220" s="33"/>
      <c r="H220" s="378" t="str">
        <f>IF(Creation_1!H220&lt;&gt;"",Creation_1!H220,IF(B220&lt;&gt;0,B220,IFERROR(INDEX(Database_Charms,MATCH($N220,Database_Charms_Names,0),MATCH("Ability_Subtype",Database_Charms_Values,0)),"")))</f>
        <v/>
      </c>
      <c r="I220" s="378"/>
      <c r="J220" s="378"/>
      <c r="K220" s="378"/>
      <c r="L220" s="378"/>
      <c r="M220" s="23"/>
      <c r="N220" s="378" t="str">
        <f>IF(Creation_1!N220&lt;&gt;0,Creation_1!N220,"")</f>
        <v/>
      </c>
      <c r="O220" s="378"/>
      <c r="P220" s="378"/>
      <c r="Q220" s="378"/>
      <c r="R220" s="378"/>
      <c r="S220" s="378"/>
      <c r="T220" s="378"/>
      <c r="U220" s="378"/>
      <c r="V220" s="378"/>
      <c r="W220" s="378"/>
      <c r="X220" s="378"/>
      <c r="Y220" s="378"/>
      <c r="Z220" s="378"/>
      <c r="AA220" s="378"/>
      <c r="AB220" s="23"/>
      <c r="AC220" s="302" t="str">
        <f>IFERROR(INDEX(Database_Charms,MATCH($N220,Database_Charms_Names,0),MATCH(AC$117,Database_Charms_Values,0)),"")</f>
        <v/>
      </c>
      <c r="AD220" s="302"/>
      <c r="AE220" s="302"/>
      <c r="AF220" s="302"/>
      <c r="AG220" s="302"/>
      <c r="AH220" s="125"/>
      <c r="AI220" s="302" t="str">
        <f>IFERROR(INDEX(Database_Charms,MATCH($N220,Database_Charms_Names,0),MATCH(AI$117,Database_Charms_Values,0)),"")</f>
        <v/>
      </c>
      <c r="AJ220" s="302"/>
      <c r="AK220" s="302"/>
      <c r="AL220" s="302"/>
      <c r="AM220" s="125"/>
      <c r="AN220" s="302" t="str">
        <f>IFERROR(INDEX(Database_Charms,MATCH($N220,Database_Charms_Names,0),MATCH(AN$117,Database_Charms_Values,0)),"")</f>
        <v/>
      </c>
      <c r="AO220" s="302"/>
      <c r="AP220" s="302"/>
      <c r="AQ220" s="302"/>
      <c r="AR220" s="302"/>
      <c r="AS220" s="125"/>
      <c r="AT220" s="302" t="str">
        <f>IFERROR(INDEX(Database_Charms,MATCH($N220,Database_Charms_Names,0),MATCH(AT$117,Database_Charms_Values,0)),"")</f>
        <v/>
      </c>
      <c r="AU220" s="302"/>
      <c r="AV220" s="125"/>
      <c r="AW220" s="302" t="str">
        <f>IFERROR(INDEX(Database_Charms,MATCH($N220,Database_Charms_Names,0),MATCH(AW$117,Database_Charms_Values,0)),"")</f>
        <v/>
      </c>
      <c r="AX220" s="302"/>
      <c r="AY220" s="307"/>
      <c r="AZ220" s="5"/>
      <c r="BA220" s="5"/>
      <c r="BB220" s="5"/>
      <c r="BC220" s="5"/>
      <c r="BD220" s="5"/>
      <c r="BE220" s="5"/>
      <c r="BF220" s="5"/>
      <c r="BG220" s="5"/>
      <c r="BH220" s="5"/>
      <c r="BI220" s="5"/>
      <c r="BJ220" s="5"/>
      <c r="BK220" s="5"/>
      <c r="BL220" s="5"/>
      <c r="BM220" s="5"/>
      <c r="BN220" s="5"/>
      <c r="BO220" s="5"/>
      <c r="BP220" s="5"/>
      <c r="BQ220" s="5"/>
      <c r="BR220" s="5"/>
      <c r="BS220" s="5"/>
      <c r="BT220" s="5"/>
    </row>
    <row r="221" spans="1:72" ht="20.100000000000001" customHeight="1">
      <c r="A221" s="377"/>
      <c r="B221" s="372" t="str">
        <f>IF(Creation_1!B221="",IFERROR(INDEX(Database_Charms,MATCH($N220,Database_Charms_Names,0),MATCH(Charms!$S$1,Database_Charms_Values,0)),""),Creation_1!B221)</f>
        <v/>
      </c>
      <c r="C221" s="372"/>
      <c r="D221" s="372"/>
      <c r="E221" s="372"/>
      <c r="F221" s="372"/>
      <c r="G221" s="372"/>
      <c r="H221" s="372"/>
      <c r="I221" s="372"/>
      <c r="J221" s="372"/>
      <c r="K221" s="372"/>
      <c r="L221" s="372"/>
      <c r="M221" s="372"/>
      <c r="N221" s="372"/>
      <c r="O221" s="372"/>
      <c r="P221" s="372"/>
      <c r="Q221" s="372"/>
      <c r="R221" s="372"/>
      <c r="S221" s="372"/>
      <c r="T221" s="372"/>
      <c r="U221" s="372"/>
      <c r="V221" s="372"/>
      <c r="W221" s="372"/>
      <c r="X221" s="372"/>
      <c r="Y221" s="372"/>
      <c r="Z221" s="372"/>
      <c r="AA221" s="372"/>
      <c r="AB221" s="372"/>
      <c r="AC221" s="372"/>
      <c r="AD221" s="372"/>
      <c r="AE221" s="372"/>
      <c r="AF221" s="372"/>
      <c r="AG221" s="372"/>
      <c r="AH221" s="372"/>
      <c r="AI221" s="372"/>
      <c r="AJ221" s="372"/>
      <c r="AK221" s="372"/>
      <c r="AL221" s="372"/>
      <c r="AM221" s="372"/>
      <c r="AN221" s="372"/>
      <c r="AO221" s="372"/>
      <c r="AP221" s="372"/>
      <c r="AQ221" s="372"/>
      <c r="AR221" s="372"/>
      <c r="AS221" s="372"/>
      <c r="AT221" s="372"/>
      <c r="AU221" s="372"/>
      <c r="AV221" s="372"/>
      <c r="AW221" s="372"/>
      <c r="AX221" s="372"/>
      <c r="AY221" s="373"/>
      <c r="AZ221" s="5"/>
      <c r="BA221" s="5"/>
      <c r="BB221" s="5"/>
      <c r="BC221" s="5"/>
      <c r="BD221" s="5"/>
      <c r="BE221" s="5"/>
      <c r="BF221" s="5"/>
      <c r="BG221" s="5"/>
      <c r="BH221" s="5"/>
      <c r="BI221" s="5"/>
      <c r="BJ221" s="5"/>
      <c r="BK221" s="5"/>
      <c r="BL221" s="5"/>
      <c r="BM221" s="5"/>
      <c r="BN221" s="5"/>
      <c r="BO221" s="5"/>
      <c r="BP221" s="5"/>
      <c r="BQ221" s="5"/>
      <c r="BR221" s="5"/>
      <c r="BS221" s="5"/>
      <c r="BT221" s="5"/>
    </row>
    <row r="222" spans="1:72" ht="20.100000000000001" customHeight="1">
      <c r="A222" s="379"/>
      <c r="B222" s="374"/>
      <c r="C222" s="374"/>
      <c r="D222" s="374"/>
      <c r="E222" s="374"/>
      <c r="F222" s="374"/>
      <c r="G222" s="374"/>
      <c r="H222" s="374"/>
      <c r="I222" s="374"/>
      <c r="J222" s="374"/>
      <c r="K222" s="374"/>
      <c r="L222" s="374"/>
      <c r="M222" s="374"/>
      <c r="N222" s="374"/>
      <c r="O222" s="374"/>
      <c r="P222" s="374"/>
      <c r="Q222" s="374"/>
      <c r="R222" s="374"/>
      <c r="S222" s="374"/>
      <c r="T222" s="374"/>
      <c r="U222" s="374"/>
      <c r="V222" s="374"/>
      <c r="W222" s="374"/>
      <c r="X222" s="374"/>
      <c r="Y222" s="374"/>
      <c r="Z222" s="374"/>
      <c r="AA222" s="374"/>
      <c r="AB222" s="374"/>
      <c r="AC222" s="374"/>
      <c r="AD222" s="374"/>
      <c r="AE222" s="374"/>
      <c r="AF222" s="374"/>
      <c r="AG222" s="374"/>
      <c r="AH222" s="374"/>
      <c r="AI222" s="374"/>
      <c r="AJ222" s="374"/>
      <c r="AK222" s="374"/>
      <c r="AL222" s="374"/>
      <c r="AM222" s="374"/>
      <c r="AN222" s="374"/>
      <c r="AO222" s="374"/>
      <c r="AP222" s="374"/>
      <c r="AQ222" s="374"/>
      <c r="AR222" s="374"/>
      <c r="AS222" s="374"/>
      <c r="AT222" s="374"/>
      <c r="AU222" s="374"/>
      <c r="AV222" s="374"/>
      <c r="AW222" s="374"/>
      <c r="AX222" s="374"/>
      <c r="AY222" s="375"/>
      <c r="AZ222" s="5"/>
      <c r="BA222" s="5"/>
      <c r="BB222" s="5"/>
      <c r="BC222" s="5"/>
      <c r="BD222" s="5"/>
      <c r="BE222" s="5"/>
      <c r="BF222" s="5"/>
      <c r="BG222" s="5"/>
      <c r="BH222" s="5"/>
      <c r="BI222" s="5"/>
      <c r="BJ222" s="5"/>
      <c r="BK222" s="5"/>
      <c r="BL222" s="5"/>
      <c r="BM222" s="5"/>
      <c r="BN222" s="5"/>
      <c r="BO222" s="5"/>
      <c r="BP222" s="5"/>
      <c r="BQ222" s="5"/>
      <c r="BR222" s="5"/>
      <c r="BS222" s="5"/>
      <c r="BT222" s="5"/>
    </row>
    <row r="223" spans="1:72" ht="20.100000000000001" customHeight="1">
      <c r="A223" s="376">
        <v>36</v>
      </c>
      <c r="B223" s="378" t="str">
        <f>IF(Creation_1!B223&lt;&gt;0,Creation_1!B223,IFERROR(INDEX(Database_Charms,MATCH($N223,Database_Charms_Names,0),MATCH(B$117,Database_Charms_Values,0)),""))</f>
        <v/>
      </c>
      <c r="C223" s="378"/>
      <c r="D223" s="378"/>
      <c r="E223" s="378"/>
      <c r="F223" s="378"/>
      <c r="G223" s="33"/>
      <c r="H223" s="378" t="str">
        <f>IF(Creation_1!H223&lt;&gt;"",Creation_1!H223,IF(B223&lt;&gt;0,B223,IFERROR(INDEX(Database_Charms,MATCH($N223,Database_Charms_Names,0),MATCH("Ability_Subtype",Database_Charms_Values,0)),"")))</f>
        <v/>
      </c>
      <c r="I223" s="378"/>
      <c r="J223" s="378"/>
      <c r="K223" s="378"/>
      <c r="L223" s="378"/>
      <c r="M223" s="23"/>
      <c r="N223" s="378" t="str">
        <f>IF(Creation_1!N223&lt;&gt;0,Creation_1!N223,"")</f>
        <v/>
      </c>
      <c r="O223" s="378"/>
      <c r="P223" s="378"/>
      <c r="Q223" s="378"/>
      <c r="R223" s="378"/>
      <c r="S223" s="378"/>
      <c r="T223" s="378"/>
      <c r="U223" s="378"/>
      <c r="V223" s="378"/>
      <c r="W223" s="378"/>
      <c r="X223" s="378"/>
      <c r="Y223" s="378"/>
      <c r="Z223" s="378"/>
      <c r="AA223" s="378"/>
      <c r="AB223" s="23"/>
      <c r="AC223" s="302" t="str">
        <f>IFERROR(INDEX(Database_Charms,MATCH($N223,Database_Charms_Names,0),MATCH(AC$117,Database_Charms_Values,0)),"")</f>
        <v/>
      </c>
      <c r="AD223" s="302"/>
      <c r="AE223" s="302"/>
      <c r="AF223" s="302"/>
      <c r="AG223" s="302"/>
      <c r="AH223" s="125"/>
      <c r="AI223" s="302" t="str">
        <f>IFERROR(INDEX(Database_Charms,MATCH($N223,Database_Charms_Names,0),MATCH(AI$117,Database_Charms_Values,0)),"")</f>
        <v/>
      </c>
      <c r="AJ223" s="302"/>
      <c r="AK223" s="302"/>
      <c r="AL223" s="302"/>
      <c r="AM223" s="125"/>
      <c r="AN223" s="302" t="str">
        <f>IFERROR(INDEX(Database_Charms,MATCH($N223,Database_Charms_Names,0),MATCH(AN$117,Database_Charms_Values,0)),"")</f>
        <v/>
      </c>
      <c r="AO223" s="302"/>
      <c r="AP223" s="302"/>
      <c r="AQ223" s="302"/>
      <c r="AR223" s="302"/>
      <c r="AS223" s="125"/>
      <c r="AT223" s="302" t="str">
        <f>IFERROR(INDEX(Database_Charms,MATCH($N223,Database_Charms_Names,0),MATCH(AT$117,Database_Charms_Values,0)),"")</f>
        <v/>
      </c>
      <c r="AU223" s="302"/>
      <c r="AV223" s="125"/>
      <c r="AW223" s="302" t="str">
        <f>IFERROR(INDEX(Database_Charms,MATCH($N223,Database_Charms_Names,0),MATCH(AW$117,Database_Charms_Values,0)),"")</f>
        <v/>
      </c>
      <c r="AX223" s="302"/>
      <c r="AY223" s="307"/>
      <c r="AZ223" s="5"/>
      <c r="BA223" s="5"/>
      <c r="BB223" s="5"/>
      <c r="BC223" s="5"/>
      <c r="BD223" s="5"/>
      <c r="BE223" s="5"/>
      <c r="BF223" s="5"/>
      <c r="BG223" s="5"/>
      <c r="BH223" s="5"/>
      <c r="BI223" s="5"/>
      <c r="BJ223" s="5"/>
      <c r="BK223" s="5"/>
      <c r="BL223" s="5"/>
      <c r="BM223" s="5"/>
      <c r="BN223" s="5"/>
      <c r="BO223" s="5"/>
      <c r="BP223" s="5"/>
      <c r="BQ223" s="5"/>
      <c r="BR223" s="5"/>
      <c r="BS223" s="5"/>
      <c r="BT223" s="5"/>
    </row>
    <row r="224" spans="1:72" ht="20.100000000000001" customHeight="1">
      <c r="A224" s="377"/>
      <c r="B224" s="372" t="str">
        <f>IF(Creation_1!B224="",IFERROR(INDEX(Database_Charms,MATCH($N223,Database_Charms_Names,0),MATCH(Charms!$S$1,Database_Charms_Values,0)),""),Creation_1!B224)</f>
        <v/>
      </c>
      <c r="C224" s="372"/>
      <c r="D224" s="372"/>
      <c r="E224" s="372"/>
      <c r="F224" s="372"/>
      <c r="G224" s="372"/>
      <c r="H224" s="372"/>
      <c r="I224" s="372"/>
      <c r="J224" s="372"/>
      <c r="K224" s="372"/>
      <c r="L224" s="372"/>
      <c r="M224" s="372"/>
      <c r="N224" s="372"/>
      <c r="O224" s="372"/>
      <c r="P224" s="372"/>
      <c r="Q224" s="372"/>
      <c r="R224" s="372"/>
      <c r="S224" s="372"/>
      <c r="T224" s="372"/>
      <c r="U224" s="372"/>
      <c r="V224" s="372"/>
      <c r="W224" s="372"/>
      <c r="X224" s="372"/>
      <c r="Y224" s="372"/>
      <c r="Z224" s="372"/>
      <c r="AA224" s="372"/>
      <c r="AB224" s="372"/>
      <c r="AC224" s="372"/>
      <c r="AD224" s="372"/>
      <c r="AE224" s="372"/>
      <c r="AF224" s="372"/>
      <c r="AG224" s="372"/>
      <c r="AH224" s="372"/>
      <c r="AI224" s="372"/>
      <c r="AJ224" s="372"/>
      <c r="AK224" s="372"/>
      <c r="AL224" s="372"/>
      <c r="AM224" s="372"/>
      <c r="AN224" s="372"/>
      <c r="AO224" s="372"/>
      <c r="AP224" s="372"/>
      <c r="AQ224" s="372"/>
      <c r="AR224" s="372"/>
      <c r="AS224" s="372"/>
      <c r="AT224" s="372"/>
      <c r="AU224" s="372"/>
      <c r="AV224" s="372"/>
      <c r="AW224" s="372"/>
      <c r="AX224" s="372"/>
      <c r="AY224" s="373"/>
      <c r="AZ224" s="5"/>
      <c r="BA224" s="5"/>
      <c r="BB224" s="5"/>
      <c r="BC224" s="5"/>
      <c r="BD224" s="5"/>
      <c r="BE224" s="5"/>
      <c r="BF224" s="5"/>
      <c r="BG224" s="5"/>
      <c r="BH224" s="5"/>
      <c r="BI224" s="5"/>
      <c r="BJ224" s="5"/>
      <c r="BK224" s="5"/>
      <c r="BL224" s="5"/>
      <c r="BM224" s="5"/>
      <c r="BN224" s="5"/>
      <c r="BO224" s="5"/>
      <c r="BP224" s="5"/>
      <c r="BQ224" s="5"/>
      <c r="BR224" s="5"/>
      <c r="BS224" s="5"/>
      <c r="BT224" s="5"/>
    </row>
    <row r="225" spans="1:72" ht="20.100000000000001" customHeight="1">
      <c r="A225" s="379"/>
      <c r="B225" s="374"/>
      <c r="C225" s="374"/>
      <c r="D225" s="374"/>
      <c r="E225" s="374"/>
      <c r="F225" s="374"/>
      <c r="G225" s="374"/>
      <c r="H225" s="374"/>
      <c r="I225" s="374"/>
      <c r="J225" s="374"/>
      <c r="K225" s="374"/>
      <c r="L225" s="374"/>
      <c r="M225" s="374"/>
      <c r="N225" s="374"/>
      <c r="O225" s="374"/>
      <c r="P225" s="374"/>
      <c r="Q225" s="374"/>
      <c r="R225" s="374"/>
      <c r="S225" s="374"/>
      <c r="T225" s="374"/>
      <c r="U225" s="374"/>
      <c r="V225" s="374"/>
      <c r="W225" s="374"/>
      <c r="X225" s="374"/>
      <c r="Y225" s="374"/>
      <c r="Z225" s="374"/>
      <c r="AA225" s="374"/>
      <c r="AB225" s="374"/>
      <c r="AC225" s="374"/>
      <c r="AD225" s="374"/>
      <c r="AE225" s="374"/>
      <c r="AF225" s="374"/>
      <c r="AG225" s="374"/>
      <c r="AH225" s="374"/>
      <c r="AI225" s="374"/>
      <c r="AJ225" s="374"/>
      <c r="AK225" s="374"/>
      <c r="AL225" s="374"/>
      <c r="AM225" s="374"/>
      <c r="AN225" s="374"/>
      <c r="AO225" s="374"/>
      <c r="AP225" s="374"/>
      <c r="AQ225" s="374"/>
      <c r="AR225" s="374"/>
      <c r="AS225" s="374"/>
      <c r="AT225" s="374"/>
      <c r="AU225" s="374"/>
      <c r="AV225" s="374"/>
      <c r="AW225" s="374"/>
      <c r="AX225" s="374"/>
      <c r="AY225" s="375"/>
      <c r="AZ225" s="5"/>
      <c r="BA225" s="5"/>
      <c r="BB225" s="5"/>
      <c r="BC225" s="5"/>
      <c r="BD225" s="5"/>
      <c r="BE225" s="5"/>
      <c r="BF225" s="5"/>
      <c r="BG225" s="5"/>
      <c r="BH225" s="5"/>
      <c r="BI225" s="5"/>
      <c r="BJ225" s="5"/>
      <c r="BK225" s="5"/>
      <c r="BL225" s="5"/>
      <c r="BM225" s="5"/>
      <c r="BN225" s="5"/>
      <c r="BO225" s="5"/>
      <c r="BP225" s="5"/>
      <c r="BQ225" s="5"/>
      <c r="BR225" s="5"/>
      <c r="BS225" s="5"/>
      <c r="BT225" s="5"/>
    </row>
    <row r="226" spans="1:72" ht="20.100000000000001" customHeight="1">
      <c r="A226" s="376">
        <v>37</v>
      </c>
      <c r="B226" s="378" t="str">
        <f>IF(Creation_1!B226&lt;&gt;0,Creation_1!B226,IFERROR(INDEX(Database_Charms,MATCH($N226,Database_Charms_Names,0),MATCH(B$117,Database_Charms_Values,0)),""))</f>
        <v/>
      </c>
      <c r="C226" s="378"/>
      <c r="D226" s="378"/>
      <c r="E226" s="378"/>
      <c r="F226" s="378"/>
      <c r="G226" s="33"/>
      <c r="H226" s="378" t="str">
        <f>IF(Creation_1!H226&lt;&gt;"",Creation_1!H226,IF(B226&lt;&gt;0,B226,IFERROR(INDEX(Database_Charms,MATCH($N226,Database_Charms_Names,0),MATCH("Ability_Subtype",Database_Charms_Values,0)),"")))</f>
        <v/>
      </c>
      <c r="I226" s="378"/>
      <c r="J226" s="378"/>
      <c r="K226" s="378"/>
      <c r="L226" s="378"/>
      <c r="M226" s="23"/>
      <c r="N226" s="378" t="str">
        <f>IF(Creation_1!N226&lt;&gt;0,Creation_1!N226,"")</f>
        <v/>
      </c>
      <c r="O226" s="378"/>
      <c r="P226" s="378"/>
      <c r="Q226" s="378"/>
      <c r="R226" s="378"/>
      <c r="S226" s="378"/>
      <c r="T226" s="378"/>
      <c r="U226" s="378"/>
      <c r="V226" s="378"/>
      <c r="W226" s="378"/>
      <c r="X226" s="378"/>
      <c r="Y226" s="378"/>
      <c r="Z226" s="378"/>
      <c r="AA226" s="378"/>
      <c r="AB226" s="23"/>
      <c r="AC226" s="302" t="str">
        <f>IFERROR(INDEX(Database_Charms,MATCH($N226,Database_Charms_Names,0),MATCH(AC$117,Database_Charms_Values,0)),"")</f>
        <v/>
      </c>
      <c r="AD226" s="302"/>
      <c r="AE226" s="302"/>
      <c r="AF226" s="302"/>
      <c r="AG226" s="302"/>
      <c r="AH226" s="125"/>
      <c r="AI226" s="302" t="str">
        <f>IFERROR(INDEX(Database_Charms,MATCH($N226,Database_Charms_Names,0),MATCH(AI$117,Database_Charms_Values,0)),"")</f>
        <v/>
      </c>
      <c r="AJ226" s="302"/>
      <c r="AK226" s="302"/>
      <c r="AL226" s="302"/>
      <c r="AM226" s="125"/>
      <c r="AN226" s="302" t="str">
        <f>IFERROR(INDEX(Database_Charms,MATCH($N226,Database_Charms_Names,0),MATCH(AN$117,Database_Charms_Values,0)),"")</f>
        <v/>
      </c>
      <c r="AO226" s="302"/>
      <c r="AP226" s="302"/>
      <c r="AQ226" s="302"/>
      <c r="AR226" s="302"/>
      <c r="AS226" s="125"/>
      <c r="AT226" s="302" t="str">
        <f>IFERROR(INDEX(Database_Charms,MATCH($N226,Database_Charms_Names,0),MATCH(AT$117,Database_Charms_Values,0)),"")</f>
        <v/>
      </c>
      <c r="AU226" s="302"/>
      <c r="AV226" s="125"/>
      <c r="AW226" s="302" t="str">
        <f>IFERROR(INDEX(Database_Charms,MATCH($N226,Database_Charms_Names,0),MATCH(AW$117,Database_Charms_Values,0)),"")</f>
        <v/>
      </c>
      <c r="AX226" s="302"/>
      <c r="AY226" s="307"/>
      <c r="AZ226" s="5"/>
      <c r="BA226" s="5"/>
      <c r="BB226" s="5"/>
      <c r="BC226" s="5"/>
      <c r="BD226" s="5"/>
      <c r="BE226" s="5"/>
      <c r="BF226" s="5"/>
      <c r="BG226" s="5"/>
      <c r="BH226" s="5"/>
      <c r="BI226" s="5"/>
      <c r="BJ226" s="5"/>
      <c r="BK226" s="5"/>
      <c r="BL226" s="5"/>
      <c r="BM226" s="5"/>
      <c r="BN226" s="5"/>
      <c r="BO226" s="5"/>
      <c r="BP226" s="5"/>
      <c r="BQ226" s="5"/>
      <c r="BR226" s="5"/>
      <c r="BS226" s="5"/>
      <c r="BT226" s="5"/>
    </row>
    <row r="227" spans="1:72" ht="20.100000000000001" customHeight="1">
      <c r="A227" s="377"/>
      <c r="B227" s="372" t="str">
        <f>IF(Creation_1!B227="",IFERROR(INDEX(Database_Charms,MATCH($N226,Database_Charms_Names,0),MATCH(Charms!$S$1,Database_Charms_Values,0)),""),Creation_1!B227)</f>
        <v/>
      </c>
      <c r="C227" s="372"/>
      <c r="D227" s="372"/>
      <c r="E227" s="372"/>
      <c r="F227" s="372"/>
      <c r="G227" s="372"/>
      <c r="H227" s="372"/>
      <c r="I227" s="372"/>
      <c r="J227" s="372"/>
      <c r="K227" s="372"/>
      <c r="L227" s="372"/>
      <c r="M227" s="372"/>
      <c r="N227" s="372"/>
      <c r="O227" s="372"/>
      <c r="P227" s="372"/>
      <c r="Q227" s="372"/>
      <c r="R227" s="372"/>
      <c r="S227" s="372"/>
      <c r="T227" s="372"/>
      <c r="U227" s="372"/>
      <c r="V227" s="372"/>
      <c r="W227" s="372"/>
      <c r="X227" s="372"/>
      <c r="Y227" s="372"/>
      <c r="Z227" s="372"/>
      <c r="AA227" s="372"/>
      <c r="AB227" s="372"/>
      <c r="AC227" s="372"/>
      <c r="AD227" s="372"/>
      <c r="AE227" s="372"/>
      <c r="AF227" s="372"/>
      <c r="AG227" s="372"/>
      <c r="AH227" s="372"/>
      <c r="AI227" s="372"/>
      <c r="AJ227" s="372"/>
      <c r="AK227" s="372"/>
      <c r="AL227" s="372"/>
      <c r="AM227" s="372"/>
      <c r="AN227" s="372"/>
      <c r="AO227" s="372"/>
      <c r="AP227" s="372"/>
      <c r="AQ227" s="372"/>
      <c r="AR227" s="372"/>
      <c r="AS227" s="372"/>
      <c r="AT227" s="372"/>
      <c r="AU227" s="372"/>
      <c r="AV227" s="372"/>
      <c r="AW227" s="372"/>
      <c r="AX227" s="372"/>
      <c r="AY227" s="373"/>
      <c r="AZ227" s="5"/>
      <c r="BA227" s="5"/>
      <c r="BB227" s="5"/>
      <c r="BC227" s="5"/>
      <c r="BD227" s="5"/>
      <c r="BE227" s="5"/>
      <c r="BF227" s="5"/>
      <c r="BG227" s="5"/>
      <c r="BH227" s="5"/>
      <c r="BI227" s="5"/>
      <c r="BJ227" s="5"/>
      <c r="BK227" s="5"/>
      <c r="BL227" s="5"/>
      <c r="BM227" s="5"/>
      <c r="BN227" s="5"/>
      <c r="BO227" s="5"/>
      <c r="BP227" s="5"/>
      <c r="BQ227" s="5"/>
      <c r="BR227" s="5"/>
      <c r="BS227" s="5"/>
      <c r="BT227" s="5"/>
    </row>
    <row r="228" spans="1:72" ht="20.100000000000001" customHeight="1">
      <c r="A228" s="379"/>
      <c r="B228" s="374"/>
      <c r="C228" s="374"/>
      <c r="D228" s="374"/>
      <c r="E228" s="374"/>
      <c r="F228" s="374"/>
      <c r="G228" s="374"/>
      <c r="H228" s="374"/>
      <c r="I228" s="374"/>
      <c r="J228" s="374"/>
      <c r="K228" s="374"/>
      <c r="L228" s="374"/>
      <c r="M228" s="374"/>
      <c r="N228" s="374"/>
      <c r="O228" s="374"/>
      <c r="P228" s="374"/>
      <c r="Q228" s="374"/>
      <c r="R228" s="374"/>
      <c r="S228" s="374"/>
      <c r="T228" s="374"/>
      <c r="U228" s="374"/>
      <c r="V228" s="374"/>
      <c r="W228" s="374"/>
      <c r="X228" s="374"/>
      <c r="Y228" s="374"/>
      <c r="Z228" s="374"/>
      <c r="AA228" s="374"/>
      <c r="AB228" s="374"/>
      <c r="AC228" s="374"/>
      <c r="AD228" s="374"/>
      <c r="AE228" s="374"/>
      <c r="AF228" s="374"/>
      <c r="AG228" s="374"/>
      <c r="AH228" s="374"/>
      <c r="AI228" s="374"/>
      <c r="AJ228" s="374"/>
      <c r="AK228" s="374"/>
      <c r="AL228" s="374"/>
      <c r="AM228" s="374"/>
      <c r="AN228" s="374"/>
      <c r="AO228" s="374"/>
      <c r="AP228" s="374"/>
      <c r="AQ228" s="374"/>
      <c r="AR228" s="374"/>
      <c r="AS228" s="374"/>
      <c r="AT228" s="374"/>
      <c r="AU228" s="374"/>
      <c r="AV228" s="374"/>
      <c r="AW228" s="374"/>
      <c r="AX228" s="374"/>
      <c r="AY228" s="375"/>
      <c r="AZ228" s="5"/>
      <c r="BA228" s="5"/>
      <c r="BB228" s="5"/>
      <c r="BC228" s="5"/>
      <c r="BD228" s="5"/>
      <c r="BE228" s="5"/>
      <c r="BF228" s="5"/>
      <c r="BG228" s="5"/>
      <c r="BH228" s="5"/>
      <c r="BI228" s="5"/>
      <c r="BJ228" s="5"/>
      <c r="BK228" s="5"/>
      <c r="BL228" s="5"/>
      <c r="BM228" s="5"/>
      <c r="BN228" s="5"/>
      <c r="BO228" s="5"/>
      <c r="BP228" s="5"/>
      <c r="BQ228" s="5"/>
      <c r="BR228" s="5"/>
      <c r="BS228" s="5"/>
      <c r="BT228" s="5"/>
    </row>
    <row r="229" spans="1:72" ht="20.100000000000001" customHeight="1">
      <c r="A229" s="376">
        <v>38</v>
      </c>
      <c r="B229" s="378" t="str">
        <f>IF(Creation_1!B229&lt;&gt;0,Creation_1!B229,IFERROR(INDEX(Database_Charms,MATCH($N229,Database_Charms_Names,0),MATCH(B$117,Database_Charms_Values,0)),""))</f>
        <v/>
      </c>
      <c r="C229" s="378"/>
      <c r="D229" s="378"/>
      <c r="E229" s="378"/>
      <c r="F229" s="378"/>
      <c r="G229" s="33"/>
      <c r="H229" s="378" t="str">
        <f>IF(Creation_1!H229&lt;&gt;"",Creation_1!H229,IF(B229&lt;&gt;0,B229,IFERROR(INDEX(Database_Charms,MATCH($N229,Database_Charms_Names,0),MATCH("Ability_Subtype",Database_Charms_Values,0)),"")))</f>
        <v/>
      </c>
      <c r="I229" s="378"/>
      <c r="J229" s="378"/>
      <c r="K229" s="378"/>
      <c r="L229" s="378"/>
      <c r="M229" s="23"/>
      <c r="N229" s="378" t="str">
        <f>IF(Creation_1!N229&lt;&gt;0,Creation_1!N229,"")</f>
        <v/>
      </c>
      <c r="O229" s="378"/>
      <c r="P229" s="378"/>
      <c r="Q229" s="378"/>
      <c r="R229" s="378"/>
      <c r="S229" s="378"/>
      <c r="T229" s="378"/>
      <c r="U229" s="378"/>
      <c r="V229" s="378"/>
      <c r="W229" s="378"/>
      <c r="X229" s="378"/>
      <c r="Y229" s="378"/>
      <c r="Z229" s="378"/>
      <c r="AA229" s="378"/>
      <c r="AB229" s="23"/>
      <c r="AC229" s="302" t="str">
        <f>IFERROR(INDEX(Database_Charms,MATCH($N229,Database_Charms_Names,0),MATCH(AC$117,Database_Charms_Values,0)),"")</f>
        <v/>
      </c>
      <c r="AD229" s="302"/>
      <c r="AE229" s="302"/>
      <c r="AF229" s="302"/>
      <c r="AG229" s="302"/>
      <c r="AH229" s="125"/>
      <c r="AI229" s="302" t="str">
        <f>IFERROR(INDEX(Database_Charms,MATCH($N229,Database_Charms_Names,0),MATCH(AI$117,Database_Charms_Values,0)),"")</f>
        <v/>
      </c>
      <c r="AJ229" s="302"/>
      <c r="AK229" s="302"/>
      <c r="AL229" s="302"/>
      <c r="AM229" s="125"/>
      <c r="AN229" s="302" t="str">
        <f>IFERROR(INDEX(Database_Charms,MATCH($N229,Database_Charms_Names,0),MATCH(AN$117,Database_Charms_Values,0)),"")</f>
        <v/>
      </c>
      <c r="AO229" s="302"/>
      <c r="AP229" s="302"/>
      <c r="AQ229" s="302"/>
      <c r="AR229" s="302"/>
      <c r="AS229" s="125"/>
      <c r="AT229" s="302" t="str">
        <f>IFERROR(INDEX(Database_Charms,MATCH($N229,Database_Charms_Names,0),MATCH(AT$117,Database_Charms_Values,0)),"")</f>
        <v/>
      </c>
      <c r="AU229" s="302"/>
      <c r="AV229" s="125"/>
      <c r="AW229" s="302" t="str">
        <f>IFERROR(INDEX(Database_Charms,MATCH($N229,Database_Charms_Names,0),MATCH(AW$117,Database_Charms_Values,0)),"")</f>
        <v/>
      </c>
      <c r="AX229" s="302"/>
      <c r="AY229" s="307"/>
      <c r="AZ229" s="5"/>
      <c r="BA229" s="5"/>
      <c r="BB229" s="5"/>
      <c r="BC229" s="5"/>
      <c r="BD229" s="5"/>
      <c r="BE229" s="5"/>
      <c r="BF229" s="5"/>
      <c r="BG229" s="5"/>
      <c r="BH229" s="5"/>
      <c r="BI229" s="5"/>
      <c r="BJ229" s="5"/>
      <c r="BK229" s="5"/>
      <c r="BL229" s="5"/>
      <c r="BM229" s="5"/>
      <c r="BN229" s="5"/>
      <c r="BO229" s="5"/>
      <c r="BP229" s="5"/>
      <c r="BQ229" s="5"/>
      <c r="BR229" s="5"/>
      <c r="BS229" s="5"/>
      <c r="BT229" s="5"/>
    </row>
    <row r="230" spans="1:72" ht="20.100000000000001" customHeight="1">
      <c r="A230" s="377"/>
      <c r="B230" s="372" t="str">
        <f>IF(Creation_1!B230="",IFERROR(INDEX(Database_Charms,MATCH($N229,Database_Charms_Names,0),MATCH(Charms!$S$1,Database_Charms_Values,0)),""),Creation_1!B230)</f>
        <v/>
      </c>
      <c r="C230" s="372"/>
      <c r="D230" s="372"/>
      <c r="E230" s="372"/>
      <c r="F230" s="372"/>
      <c r="G230" s="372"/>
      <c r="H230" s="372"/>
      <c r="I230" s="372"/>
      <c r="J230" s="372"/>
      <c r="K230" s="372"/>
      <c r="L230" s="372"/>
      <c r="M230" s="372"/>
      <c r="N230" s="372"/>
      <c r="O230" s="372"/>
      <c r="P230" s="372"/>
      <c r="Q230" s="372"/>
      <c r="R230" s="372"/>
      <c r="S230" s="372"/>
      <c r="T230" s="372"/>
      <c r="U230" s="372"/>
      <c r="V230" s="372"/>
      <c r="W230" s="372"/>
      <c r="X230" s="372"/>
      <c r="Y230" s="372"/>
      <c r="Z230" s="372"/>
      <c r="AA230" s="372"/>
      <c r="AB230" s="372"/>
      <c r="AC230" s="372"/>
      <c r="AD230" s="372"/>
      <c r="AE230" s="372"/>
      <c r="AF230" s="372"/>
      <c r="AG230" s="372"/>
      <c r="AH230" s="372"/>
      <c r="AI230" s="372"/>
      <c r="AJ230" s="372"/>
      <c r="AK230" s="372"/>
      <c r="AL230" s="372"/>
      <c r="AM230" s="372"/>
      <c r="AN230" s="372"/>
      <c r="AO230" s="372"/>
      <c r="AP230" s="372"/>
      <c r="AQ230" s="372"/>
      <c r="AR230" s="372"/>
      <c r="AS230" s="372"/>
      <c r="AT230" s="372"/>
      <c r="AU230" s="372"/>
      <c r="AV230" s="372"/>
      <c r="AW230" s="372"/>
      <c r="AX230" s="372"/>
      <c r="AY230" s="373"/>
      <c r="AZ230" s="5"/>
      <c r="BA230" s="5"/>
      <c r="BB230" s="5"/>
      <c r="BC230" s="5"/>
      <c r="BD230" s="5"/>
      <c r="BE230" s="5"/>
      <c r="BF230" s="5"/>
      <c r="BG230" s="5"/>
      <c r="BH230" s="5"/>
      <c r="BI230" s="5"/>
      <c r="BJ230" s="5"/>
      <c r="BK230" s="5"/>
      <c r="BL230" s="5"/>
      <c r="BM230" s="5"/>
      <c r="BN230" s="5"/>
      <c r="BO230" s="5"/>
      <c r="BP230" s="5"/>
      <c r="BQ230" s="5"/>
      <c r="BR230" s="5"/>
      <c r="BS230" s="5"/>
      <c r="BT230" s="5"/>
    </row>
    <row r="231" spans="1:72" ht="20.100000000000001" customHeight="1">
      <c r="A231" s="379"/>
      <c r="B231" s="374"/>
      <c r="C231" s="374"/>
      <c r="D231" s="374"/>
      <c r="E231" s="374"/>
      <c r="F231" s="374"/>
      <c r="G231" s="374"/>
      <c r="H231" s="374"/>
      <c r="I231" s="374"/>
      <c r="J231" s="374"/>
      <c r="K231" s="374"/>
      <c r="L231" s="374"/>
      <c r="M231" s="374"/>
      <c r="N231" s="374"/>
      <c r="O231" s="374"/>
      <c r="P231" s="374"/>
      <c r="Q231" s="374"/>
      <c r="R231" s="374"/>
      <c r="S231" s="374"/>
      <c r="T231" s="374"/>
      <c r="U231" s="374"/>
      <c r="V231" s="374"/>
      <c r="W231" s="374"/>
      <c r="X231" s="374"/>
      <c r="Y231" s="374"/>
      <c r="Z231" s="374"/>
      <c r="AA231" s="374"/>
      <c r="AB231" s="374"/>
      <c r="AC231" s="374"/>
      <c r="AD231" s="374"/>
      <c r="AE231" s="374"/>
      <c r="AF231" s="374"/>
      <c r="AG231" s="374"/>
      <c r="AH231" s="374"/>
      <c r="AI231" s="374"/>
      <c r="AJ231" s="374"/>
      <c r="AK231" s="374"/>
      <c r="AL231" s="374"/>
      <c r="AM231" s="374"/>
      <c r="AN231" s="374"/>
      <c r="AO231" s="374"/>
      <c r="AP231" s="374"/>
      <c r="AQ231" s="374"/>
      <c r="AR231" s="374"/>
      <c r="AS231" s="374"/>
      <c r="AT231" s="374"/>
      <c r="AU231" s="374"/>
      <c r="AV231" s="374"/>
      <c r="AW231" s="374"/>
      <c r="AX231" s="374"/>
      <c r="AY231" s="375"/>
      <c r="AZ231" s="5"/>
      <c r="BA231" s="5"/>
      <c r="BB231" s="5"/>
      <c r="BC231" s="5"/>
      <c r="BD231" s="5"/>
      <c r="BE231" s="5"/>
      <c r="BF231" s="5"/>
      <c r="BG231" s="5"/>
      <c r="BH231" s="5"/>
      <c r="BI231" s="5"/>
      <c r="BJ231" s="5"/>
      <c r="BK231" s="5"/>
      <c r="BL231" s="5"/>
      <c r="BM231" s="5"/>
      <c r="BN231" s="5"/>
      <c r="BO231" s="5"/>
      <c r="BP231" s="5"/>
      <c r="BQ231" s="5"/>
      <c r="BR231" s="5"/>
      <c r="BS231" s="5"/>
      <c r="BT231" s="5"/>
    </row>
    <row r="232" spans="1:72" ht="20.100000000000001" customHeight="1">
      <c r="A232" s="376">
        <v>39</v>
      </c>
      <c r="B232" s="378" t="str">
        <f>IF(Creation_1!B232&lt;&gt;0,Creation_1!B232,IFERROR(INDEX(Database_Charms,MATCH($N232,Database_Charms_Names,0),MATCH(B$117,Database_Charms_Values,0)),""))</f>
        <v/>
      </c>
      <c r="C232" s="378"/>
      <c r="D232" s="378"/>
      <c r="E232" s="378"/>
      <c r="F232" s="378"/>
      <c r="G232" s="33"/>
      <c r="H232" s="378" t="str">
        <f>IF(Creation_1!H232&lt;&gt;"",Creation_1!H232,IF(B232&lt;&gt;0,B232,IFERROR(INDEX(Database_Charms,MATCH($N232,Database_Charms_Names,0),MATCH("Ability_Subtype",Database_Charms_Values,0)),"")))</f>
        <v/>
      </c>
      <c r="I232" s="378"/>
      <c r="J232" s="378"/>
      <c r="K232" s="378"/>
      <c r="L232" s="378"/>
      <c r="M232" s="23"/>
      <c r="N232" s="378" t="str">
        <f>IF(Creation_1!N232&lt;&gt;0,Creation_1!N232,"")</f>
        <v/>
      </c>
      <c r="O232" s="378"/>
      <c r="P232" s="378"/>
      <c r="Q232" s="378"/>
      <c r="R232" s="378"/>
      <c r="S232" s="378"/>
      <c r="T232" s="378"/>
      <c r="U232" s="378"/>
      <c r="V232" s="378"/>
      <c r="W232" s="378"/>
      <c r="X232" s="378"/>
      <c r="Y232" s="378"/>
      <c r="Z232" s="378"/>
      <c r="AA232" s="378"/>
      <c r="AB232" s="23"/>
      <c r="AC232" s="302" t="str">
        <f>IFERROR(INDEX(Database_Charms,MATCH($N232,Database_Charms_Names,0),MATCH(AC$117,Database_Charms_Values,0)),"")</f>
        <v/>
      </c>
      <c r="AD232" s="302"/>
      <c r="AE232" s="302"/>
      <c r="AF232" s="302"/>
      <c r="AG232" s="302"/>
      <c r="AH232" s="125"/>
      <c r="AI232" s="302" t="str">
        <f>IFERROR(INDEX(Database_Charms,MATCH($N232,Database_Charms_Names,0),MATCH(AI$117,Database_Charms_Values,0)),"")</f>
        <v/>
      </c>
      <c r="AJ232" s="302"/>
      <c r="AK232" s="302"/>
      <c r="AL232" s="302"/>
      <c r="AM232" s="125"/>
      <c r="AN232" s="302" t="str">
        <f>IFERROR(INDEX(Database_Charms,MATCH($N232,Database_Charms_Names,0),MATCH(AN$117,Database_Charms_Values,0)),"")</f>
        <v/>
      </c>
      <c r="AO232" s="302"/>
      <c r="AP232" s="302"/>
      <c r="AQ232" s="302"/>
      <c r="AR232" s="302"/>
      <c r="AS232" s="125"/>
      <c r="AT232" s="302" t="str">
        <f>IFERROR(INDEX(Database_Charms,MATCH($N232,Database_Charms_Names,0),MATCH(AT$117,Database_Charms_Values,0)),"")</f>
        <v/>
      </c>
      <c r="AU232" s="302"/>
      <c r="AV232" s="125"/>
      <c r="AW232" s="302" t="str">
        <f>IFERROR(INDEX(Database_Charms,MATCH($N232,Database_Charms_Names,0),MATCH(AW$117,Database_Charms_Values,0)),"")</f>
        <v/>
      </c>
      <c r="AX232" s="302"/>
      <c r="AY232" s="307"/>
      <c r="AZ232" s="5"/>
      <c r="BA232" s="5"/>
      <c r="BB232" s="5"/>
      <c r="BC232" s="5"/>
      <c r="BD232" s="5"/>
      <c r="BE232" s="5"/>
      <c r="BF232" s="5"/>
      <c r="BG232" s="5"/>
      <c r="BH232" s="5"/>
      <c r="BI232" s="5"/>
      <c r="BJ232" s="5"/>
      <c r="BK232" s="5"/>
      <c r="BL232" s="5"/>
      <c r="BM232" s="5"/>
      <c r="BN232" s="5"/>
      <c r="BO232" s="5"/>
      <c r="BP232" s="5"/>
      <c r="BQ232" s="5"/>
      <c r="BR232" s="5"/>
      <c r="BS232" s="5"/>
      <c r="BT232" s="5"/>
    </row>
    <row r="233" spans="1:72" ht="20.100000000000001" customHeight="1">
      <c r="A233" s="377"/>
      <c r="B233" s="372" t="str">
        <f>IF(Creation_1!B233="",IFERROR(INDEX(Database_Charms,MATCH($N232,Database_Charms_Names,0),MATCH(Charms!$S$1,Database_Charms_Values,0)),""),Creation_1!B233)</f>
        <v/>
      </c>
      <c r="C233" s="372"/>
      <c r="D233" s="372"/>
      <c r="E233" s="372"/>
      <c r="F233" s="372"/>
      <c r="G233" s="372"/>
      <c r="H233" s="372"/>
      <c r="I233" s="372"/>
      <c r="J233" s="372"/>
      <c r="K233" s="372"/>
      <c r="L233" s="372"/>
      <c r="M233" s="372"/>
      <c r="N233" s="372"/>
      <c r="O233" s="372"/>
      <c r="P233" s="372"/>
      <c r="Q233" s="372"/>
      <c r="R233" s="372"/>
      <c r="S233" s="372"/>
      <c r="T233" s="372"/>
      <c r="U233" s="372"/>
      <c r="V233" s="372"/>
      <c r="W233" s="372"/>
      <c r="X233" s="372"/>
      <c r="Y233" s="372"/>
      <c r="Z233" s="372"/>
      <c r="AA233" s="372"/>
      <c r="AB233" s="372"/>
      <c r="AC233" s="372"/>
      <c r="AD233" s="372"/>
      <c r="AE233" s="372"/>
      <c r="AF233" s="372"/>
      <c r="AG233" s="372"/>
      <c r="AH233" s="372"/>
      <c r="AI233" s="372"/>
      <c r="AJ233" s="372"/>
      <c r="AK233" s="372"/>
      <c r="AL233" s="372"/>
      <c r="AM233" s="372"/>
      <c r="AN233" s="372"/>
      <c r="AO233" s="372"/>
      <c r="AP233" s="372"/>
      <c r="AQ233" s="372"/>
      <c r="AR233" s="372"/>
      <c r="AS233" s="372"/>
      <c r="AT233" s="372"/>
      <c r="AU233" s="372"/>
      <c r="AV233" s="372"/>
      <c r="AW233" s="372"/>
      <c r="AX233" s="372"/>
      <c r="AY233" s="373"/>
      <c r="AZ233" s="5"/>
      <c r="BA233" s="5"/>
      <c r="BB233" s="5"/>
      <c r="BC233" s="5"/>
      <c r="BD233" s="5"/>
      <c r="BE233" s="5"/>
      <c r="BF233" s="5"/>
      <c r="BG233" s="5"/>
      <c r="BH233" s="5"/>
      <c r="BI233" s="5"/>
      <c r="BJ233" s="5"/>
      <c r="BK233" s="5"/>
      <c r="BL233" s="5"/>
      <c r="BM233" s="5"/>
      <c r="BN233" s="5"/>
      <c r="BO233" s="5"/>
      <c r="BP233" s="5"/>
      <c r="BQ233" s="5"/>
      <c r="BR233" s="5"/>
      <c r="BS233" s="5"/>
      <c r="BT233" s="5"/>
    </row>
    <row r="234" spans="1:72" ht="20.100000000000001" customHeight="1">
      <c r="A234" s="379"/>
      <c r="B234" s="374"/>
      <c r="C234" s="374"/>
      <c r="D234" s="374"/>
      <c r="E234" s="374"/>
      <c r="F234" s="374"/>
      <c r="G234" s="374"/>
      <c r="H234" s="374"/>
      <c r="I234" s="374"/>
      <c r="J234" s="374"/>
      <c r="K234" s="374"/>
      <c r="L234" s="374"/>
      <c r="M234" s="374"/>
      <c r="N234" s="374"/>
      <c r="O234" s="374"/>
      <c r="P234" s="374"/>
      <c r="Q234" s="374"/>
      <c r="R234" s="374"/>
      <c r="S234" s="374"/>
      <c r="T234" s="374"/>
      <c r="U234" s="374"/>
      <c r="V234" s="374"/>
      <c r="W234" s="374"/>
      <c r="X234" s="374"/>
      <c r="Y234" s="374"/>
      <c r="Z234" s="374"/>
      <c r="AA234" s="374"/>
      <c r="AB234" s="374"/>
      <c r="AC234" s="374"/>
      <c r="AD234" s="374"/>
      <c r="AE234" s="374"/>
      <c r="AF234" s="374"/>
      <c r="AG234" s="374"/>
      <c r="AH234" s="374"/>
      <c r="AI234" s="374"/>
      <c r="AJ234" s="374"/>
      <c r="AK234" s="374"/>
      <c r="AL234" s="374"/>
      <c r="AM234" s="374"/>
      <c r="AN234" s="374"/>
      <c r="AO234" s="374"/>
      <c r="AP234" s="374"/>
      <c r="AQ234" s="374"/>
      <c r="AR234" s="374"/>
      <c r="AS234" s="374"/>
      <c r="AT234" s="374"/>
      <c r="AU234" s="374"/>
      <c r="AV234" s="374"/>
      <c r="AW234" s="374"/>
      <c r="AX234" s="374"/>
      <c r="AY234" s="375"/>
      <c r="AZ234" s="5"/>
      <c r="BA234" s="5"/>
      <c r="BB234" s="5"/>
      <c r="BC234" s="5"/>
      <c r="BD234" s="5"/>
      <c r="BE234" s="5"/>
      <c r="BF234" s="5"/>
      <c r="BG234" s="5"/>
      <c r="BH234" s="5"/>
      <c r="BI234" s="5"/>
      <c r="BJ234" s="5"/>
      <c r="BK234" s="5"/>
      <c r="BL234" s="5"/>
      <c r="BM234" s="5"/>
      <c r="BN234" s="5"/>
      <c r="BO234" s="5"/>
      <c r="BP234" s="5"/>
      <c r="BQ234" s="5"/>
      <c r="BR234" s="5"/>
      <c r="BS234" s="5"/>
      <c r="BT234" s="5"/>
    </row>
    <row r="235" spans="1:72" ht="20.100000000000001" customHeight="1">
      <c r="A235" s="376">
        <v>40</v>
      </c>
      <c r="B235" s="378" t="str">
        <f>IF(Creation_1!B235&lt;&gt;0,Creation_1!B235,IFERROR(INDEX(Database_Charms,MATCH($N235,Database_Charms_Names,0),MATCH(B$117,Database_Charms_Values,0)),""))</f>
        <v/>
      </c>
      <c r="C235" s="378"/>
      <c r="D235" s="378"/>
      <c r="E235" s="378"/>
      <c r="F235" s="378"/>
      <c r="G235" s="33"/>
      <c r="H235" s="378" t="str">
        <f>IF(Creation_1!H235&lt;&gt;"",Creation_1!H235,IF(B235&lt;&gt;0,B235,IFERROR(INDEX(Database_Charms,MATCH($N235,Database_Charms_Names,0),MATCH("Ability_Subtype",Database_Charms_Values,0)),"")))</f>
        <v/>
      </c>
      <c r="I235" s="378"/>
      <c r="J235" s="378"/>
      <c r="K235" s="378"/>
      <c r="L235" s="378"/>
      <c r="M235" s="23"/>
      <c r="N235" s="378" t="str">
        <f>IF(Creation_1!N235&lt;&gt;0,Creation_1!N235,"")</f>
        <v/>
      </c>
      <c r="O235" s="378"/>
      <c r="P235" s="378"/>
      <c r="Q235" s="378"/>
      <c r="R235" s="378"/>
      <c r="S235" s="378"/>
      <c r="T235" s="378"/>
      <c r="U235" s="378"/>
      <c r="V235" s="378"/>
      <c r="W235" s="378"/>
      <c r="X235" s="378"/>
      <c r="Y235" s="378"/>
      <c r="Z235" s="378"/>
      <c r="AA235" s="378"/>
      <c r="AB235" s="23"/>
      <c r="AC235" s="302" t="str">
        <f>IFERROR(INDEX(Database_Charms,MATCH($N235,Database_Charms_Names,0),MATCH(AC$117,Database_Charms_Values,0)),"")</f>
        <v/>
      </c>
      <c r="AD235" s="302"/>
      <c r="AE235" s="302"/>
      <c r="AF235" s="302"/>
      <c r="AG235" s="302"/>
      <c r="AH235" s="125"/>
      <c r="AI235" s="302" t="str">
        <f>IFERROR(INDEX(Database_Charms,MATCH($N235,Database_Charms_Names,0),MATCH(AI$117,Database_Charms_Values,0)),"")</f>
        <v/>
      </c>
      <c r="AJ235" s="302"/>
      <c r="AK235" s="302"/>
      <c r="AL235" s="302"/>
      <c r="AM235" s="125"/>
      <c r="AN235" s="302" t="str">
        <f>IFERROR(INDEX(Database_Charms,MATCH($N235,Database_Charms_Names,0),MATCH(AN$117,Database_Charms_Values,0)),"")</f>
        <v/>
      </c>
      <c r="AO235" s="302"/>
      <c r="AP235" s="302"/>
      <c r="AQ235" s="302"/>
      <c r="AR235" s="302"/>
      <c r="AS235" s="125"/>
      <c r="AT235" s="302" t="str">
        <f>IFERROR(INDEX(Database_Charms,MATCH($N235,Database_Charms_Names,0),MATCH(AT$117,Database_Charms_Values,0)),"")</f>
        <v/>
      </c>
      <c r="AU235" s="302"/>
      <c r="AV235" s="125"/>
      <c r="AW235" s="302" t="str">
        <f>IFERROR(INDEX(Database_Charms,MATCH($N235,Database_Charms_Names,0),MATCH(AW$117,Database_Charms_Values,0)),"")</f>
        <v/>
      </c>
      <c r="AX235" s="302"/>
      <c r="AY235" s="307"/>
      <c r="AZ235" s="5"/>
      <c r="BA235" s="5"/>
      <c r="BB235" s="5"/>
      <c r="BC235" s="5"/>
      <c r="BD235" s="5"/>
      <c r="BE235" s="5"/>
      <c r="BF235" s="5"/>
      <c r="BG235" s="5"/>
      <c r="BH235" s="5"/>
      <c r="BI235" s="5"/>
      <c r="BJ235" s="5"/>
      <c r="BK235" s="5"/>
      <c r="BL235" s="5"/>
      <c r="BM235" s="5"/>
      <c r="BN235" s="5"/>
      <c r="BO235" s="5"/>
      <c r="BP235" s="5"/>
      <c r="BQ235" s="5"/>
      <c r="BR235" s="5"/>
      <c r="BS235" s="5"/>
      <c r="BT235" s="5"/>
    </row>
    <row r="236" spans="1:72" ht="20.100000000000001" customHeight="1">
      <c r="A236" s="377"/>
      <c r="B236" s="372" t="str">
        <f>IF(Creation_1!B236="",IFERROR(INDEX(Database_Charms,MATCH($N235,Database_Charms_Names,0),MATCH(Charms!$S$1,Database_Charms_Values,0)),""),Creation_1!B236)</f>
        <v/>
      </c>
      <c r="C236" s="372"/>
      <c r="D236" s="372"/>
      <c r="E236" s="372"/>
      <c r="F236" s="372"/>
      <c r="G236" s="372"/>
      <c r="H236" s="372"/>
      <c r="I236" s="372"/>
      <c r="J236" s="372"/>
      <c r="K236" s="372"/>
      <c r="L236" s="372"/>
      <c r="M236" s="372"/>
      <c r="N236" s="372"/>
      <c r="O236" s="372"/>
      <c r="P236" s="372"/>
      <c r="Q236" s="372"/>
      <c r="R236" s="372"/>
      <c r="S236" s="372"/>
      <c r="T236" s="372"/>
      <c r="U236" s="372"/>
      <c r="V236" s="372"/>
      <c r="W236" s="372"/>
      <c r="X236" s="372"/>
      <c r="Y236" s="372"/>
      <c r="Z236" s="372"/>
      <c r="AA236" s="372"/>
      <c r="AB236" s="372"/>
      <c r="AC236" s="372"/>
      <c r="AD236" s="372"/>
      <c r="AE236" s="372"/>
      <c r="AF236" s="372"/>
      <c r="AG236" s="372"/>
      <c r="AH236" s="372"/>
      <c r="AI236" s="372"/>
      <c r="AJ236" s="372"/>
      <c r="AK236" s="372"/>
      <c r="AL236" s="372"/>
      <c r="AM236" s="372"/>
      <c r="AN236" s="372"/>
      <c r="AO236" s="372"/>
      <c r="AP236" s="372"/>
      <c r="AQ236" s="372"/>
      <c r="AR236" s="372"/>
      <c r="AS236" s="372"/>
      <c r="AT236" s="372"/>
      <c r="AU236" s="372"/>
      <c r="AV236" s="372"/>
      <c r="AW236" s="372"/>
      <c r="AX236" s="372"/>
      <c r="AY236" s="373"/>
      <c r="AZ236" s="5"/>
      <c r="BA236" s="5"/>
      <c r="BB236" s="5"/>
      <c r="BC236" s="5"/>
      <c r="BD236" s="5"/>
      <c r="BE236" s="5"/>
      <c r="BF236" s="5"/>
      <c r="BG236" s="5"/>
      <c r="BH236" s="5"/>
      <c r="BI236" s="5"/>
      <c r="BJ236" s="5"/>
      <c r="BK236" s="5"/>
      <c r="BL236" s="5"/>
      <c r="BM236" s="5"/>
      <c r="BN236" s="5"/>
      <c r="BO236" s="5"/>
      <c r="BP236" s="5"/>
      <c r="BQ236" s="5"/>
      <c r="BR236" s="5"/>
      <c r="BS236" s="5"/>
      <c r="BT236" s="5"/>
    </row>
    <row r="237" spans="1:72" ht="20.100000000000001" customHeight="1">
      <c r="A237" s="379"/>
      <c r="B237" s="374"/>
      <c r="C237" s="374"/>
      <c r="D237" s="374"/>
      <c r="E237" s="374"/>
      <c r="F237" s="374"/>
      <c r="G237" s="374"/>
      <c r="H237" s="374"/>
      <c r="I237" s="374"/>
      <c r="J237" s="374"/>
      <c r="K237" s="374"/>
      <c r="L237" s="374"/>
      <c r="M237" s="374"/>
      <c r="N237" s="374"/>
      <c r="O237" s="374"/>
      <c r="P237" s="374"/>
      <c r="Q237" s="374"/>
      <c r="R237" s="374"/>
      <c r="S237" s="374"/>
      <c r="T237" s="374"/>
      <c r="U237" s="374"/>
      <c r="V237" s="374"/>
      <c r="W237" s="374"/>
      <c r="X237" s="374"/>
      <c r="Y237" s="374"/>
      <c r="Z237" s="374"/>
      <c r="AA237" s="374"/>
      <c r="AB237" s="374"/>
      <c r="AC237" s="374"/>
      <c r="AD237" s="374"/>
      <c r="AE237" s="374"/>
      <c r="AF237" s="374"/>
      <c r="AG237" s="374"/>
      <c r="AH237" s="374"/>
      <c r="AI237" s="374"/>
      <c r="AJ237" s="374"/>
      <c r="AK237" s="374"/>
      <c r="AL237" s="374"/>
      <c r="AM237" s="374"/>
      <c r="AN237" s="374"/>
      <c r="AO237" s="374"/>
      <c r="AP237" s="374"/>
      <c r="AQ237" s="374"/>
      <c r="AR237" s="374"/>
      <c r="AS237" s="374"/>
      <c r="AT237" s="374"/>
      <c r="AU237" s="374"/>
      <c r="AV237" s="374"/>
      <c r="AW237" s="374"/>
      <c r="AX237" s="374"/>
      <c r="AY237" s="375"/>
      <c r="AZ237" s="5"/>
      <c r="BA237" s="5"/>
      <c r="BB237" s="5"/>
      <c r="BC237" s="5"/>
      <c r="BD237" s="5"/>
      <c r="BE237" s="5"/>
      <c r="BF237" s="5"/>
      <c r="BG237" s="5"/>
      <c r="BH237" s="5"/>
      <c r="BI237" s="5"/>
      <c r="BJ237" s="5"/>
      <c r="BK237" s="5"/>
      <c r="BL237" s="5"/>
      <c r="BM237" s="5"/>
      <c r="BN237" s="5"/>
      <c r="BO237" s="5"/>
      <c r="BP237" s="5"/>
      <c r="BQ237" s="5"/>
      <c r="BR237" s="5"/>
      <c r="BS237" s="5"/>
      <c r="BT237" s="5"/>
    </row>
    <row r="238" spans="1:72" ht="20.100000000000001" customHeight="1">
      <c r="A238" s="376">
        <v>41</v>
      </c>
      <c r="B238" s="378" t="str">
        <f>IF(Creation_1!B238&lt;&gt;0,Creation_1!B238,IFERROR(INDEX(Database_Charms,MATCH($N238,Database_Charms_Names,0),MATCH(B$117,Database_Charms_Values,0)),""))</f>
        <v/>
      </c>
      <c r="C238" s="378"/>
      <c r="D238" s="378"/>
      <c r="E238" s="378"/>
      <c r="F238" s="378"/>
      <c r="G238" s="33"/>
      <c r="H238" s="378" t="str">
        <f>IF(Creation_1!H238&lt;&gt;"",Creation_1!H238,IF(B238&lt;&gt;0,B238,IFERROR(INDEX(Database_Charms,MATCH($N238,Database_Charms_Names,0),MATCH("Ability_Subtype",Database_Charms_Values,0)),"")))</f>
        <v/>
      </c>
      <c r="I238" s="378"/>
      <c r="J238" s="378"/>
      <c r="K238" s="378"/>
      <c r="L238" s="378"/>
      <c r="M238" s="23"/>
      <c r="N238" s="378" t="str">
        <f>IF(Creation_1!N238&lt;&gt;0,Creation_1!N238,"")</f>
        <v/>
      </c>
      <c r="O238" s="378"/>
      <c r="P238" s="378"/>
      <c r="Q238" s="378"/>
      <c r="R238" s="378"/>
      <c r="S238" s="378"/>
      <c r="T238" s="378"/>
      <c r="U238" s="378"/>
      <c r="V238" s="378"/>
      <c r="W238" s="378"/>
      <c r="X238" s="378"/>
      <c r="Y238" s="378"/>
      <c r="Z238" s="378"/>
      <c r="AA238" s="378"/>
      <c r="AB238" s="23"/>
      <c r="AC238" s="302" t="str">
        <f>IFERROR(INDEX(Database_Charms,MATCH($N238,Database_Charms_Names,0),MATCH(AC$117,Database_Charms_Values,0)),"")</f>
        <v/>
      </c>
      <c r="AD238" s="302"/>
      <c r="AE238" s="302"/>
      <c r="AF238" s="302"/>
      <c r="AG238" s="302"/>
      <c r="AH238" s="125"/>
      <c r="AI238" s="302" t="str">
        <f>IFERROR(INDEX(Database_Charms,MATCH($N238,Database_Charms_Names,0),MATCH(AI$117,Database_Charms_Values,0)),"")</f>
        <v/>
      </c>
      <c r="AJ238" s="302"/>
      <c r="AK238" s="302"/>
      <c r="AL238" s="302"/>
      <c r="AM238" s="125"/>
      <c r="AN238" s="302" t="str">
        <f>IFERROR(INDEX(Database_Charms,MATCH($N238,Database_Charms_Names,0),MATCH(AN$117,Database_Charms_Values,0)),"")</f>
        <v/>
      </c>
      <c r="AO238" s="302"/>
      <c r="AP238" s="302"/>
      <c r="AQ238" s="302"/>
      <c r="AR238" s="302"/>
      <c r="AS238" s="125"/>
      <c r="AT238" s="302" t="str">
        <f>IFERROR(INDEX(Database_Charms,MATCH($N238,Database_Charms_Names,0),MATCH(AT$117,Database_Charms_Values,0)),"")</f>
        <v/>
      </c>
      <c r="AU238" s="302"/>
      <c r="AV238" s="125"/>
      <c r="AW238" s="302" t="str">
        <f>IFERROR(INDEX(Database_Charms,MATCH($N238,Database_Charms_Names,0),MATCH(AW$117,Database_Charms_Values,0)),"")</f>
        <v/>
      </c>
      <c r="AX238" s="302"/>
      <c r="AY238" s="307"/>
      <c r="AZ238" s="5"/>
      <c r="BA238" s="5"/>
      <c r="BB238" s="5"/>
      <c r="BC238" s="5"/>
      <c r="BD238" s="5"/>
      <c r="BE238" s="5"/>
      <c r="BF238" s="5"/>
      <c r="BG238" s="5"/>
      <c r="BH238" s="5"/>
      <c r="BI238" s="5"/>
      <c r="BJ238" s="5"/>
      <c r="BK238" s="5"/>
      <c r="BL238" s="5"/>
      <c r="BM238" s="5"/>
      <c r="BN238" s="5"/>
      <c r="BO238" s="5"/>
      <c r="BP238" s="5"/>
      <c r="BQ238" s="5"/>
      <c r="BR238" s="5"/>
      <c r="BS238" s="5"/>
      <c r="BT238" s="5"/>
    </row>
    <row r="239" spans="1:72" ht="20.100000000000001" customHeight="1">
      <c r="A239" s="377"/>
      <c r="B239" s="372" t="str">
        <f>IF(Creation_1!B239="",IFERROR(INDEX(Database_Charms,MATCH($N238,Database_Charms_Names,0),MATCH(Charms!$S$1,Database_Charms_Values,0)),""),Creation_1!B239)</f>
        <v/>
      </c>
      <c r="C239" s="372"/>
      <c r="D239" s="372"/>
      <c r="E239" s="372"/>
      <c r="F239" s="372"/>
      <c r="G239" s="372"/>
      <c r="H239" s="372"/>
      <c r="I239" s="372"/>
      <c r="J239" s="372"/>
      <c r="K239" s="372"/>
      <c r="L239" s="372"/>
      <c r="M239" s="372"/>
      <c r="N239" s="372"/>
      <c r="O239" s="372"/>
      <c r="P239" s="372"/>
      <c r="Q239" s="372"/>
      <c r="R239" s="372"/>
      <c r="S239" s="372"/>
      <c r="T239" s="372"/>
      <c r="U239" s="372"/>
      <c r="V239" s="372"/>
      <c r="W239" s="372"/>
      <c r="X239" s="372"/>
      <c r="Y239" s="372"/>
      <c r="Z239" s="372"/>
      <c r="AA239" s="372"/>
      <c r="AB239" s="372"/>
      <c r="AC239" s="372"/>
      <c r="AD239" s="372"/>
      <c r="AE239" s="372"/>
      <c r="AF239" s="372"/>
      <c r="AG239" s="372"/>
      <c r="AH239" s="372"/>
      <c r="AI239" s="372"/>
      <c r="AJ239" s="372"/>
      <c r="AK239" s="372"/>
      <c r="AL239" s="372"/>
      <c r="AM239" s="372"/>
      <c r="AN239" s="372"/>
      <c r="AO239" s="372"/>
      <c r="AP239" s="372"/>
      <c r="AQ239" s="372"/>
      <c r="AR239" s="372"/>
      <c r="AS239" s="372"/>
      <c r="AT239" s="372"/>
      <c r="AU239" s="372"/>
      <c r="AV239" s="372"/>
      <c r="AW239" s="372"/>
      <c r="AX239" s="372"/>
      <c r="AY239" s="373"/>
      <c r="AZ239" s="5"/>
      <c r="BA239" s="5"/>
      <c r="BB239" s="5"/>
      <c r="BC239" s="5"/>
      <c r="BD239" s="5"/>
      <c r="BE239" s="5"/>
      <c r="BF239" s="5"/>
      <c r="BG239" s="5"/>
      <c r="BH239" s="5"/>
      <c r="BI239" s="5"/>
      <c r="BJ239" s="5"/>
      <c r="BK239" s="5"/>
      <c r="BL239" s="5"/>
      <c r="BM239" s="5"/>
      <c r="BN239" s="5"/>
      <c r="BO239" s="5"/>
      <c r="BP239" s="5"/>
      <c r="BQ239" s="5"/>
      <c r="BR239" s="5"/>
      <c r="BS239" s="5"/>
      <c r="BT239" s="5"/>
    </row>
    <row r="240" spans="1:72" ht="20.100000000000001" customHeight="1">
      <c r="A240" s="379"/>
      <c r="B240" s="374"/>
      <c r="C240" s="374"/>
      <c r="D240" s="374"/>
      <c r="E240" s="374"/>
      <c r="F240" s="374"/>
      <c r="G240" s="374"/>
      <c r="H240" s="374"/>
      <c r="I240" s="374"/>
      <c r="J240" s="374"/>
      <c r="K240" s="374"/>
      <c r="L240" s="374"/>
      <c r="M240" s="374"/>
      <c r="N240" s="374"/>
      <c r="O240" s="374"/>
      <c r="P240" s="374"/>
      <c r="Q240" s="374"/>
      <c r="R240" s="374"/>
      <c r="S240" s="374"/>
      <c r="T240" s="374"/>
      <c r="U240" s="374"/>
      <c r="V240" s="374"/>
      <c r="W240" s="374"/>
      <c r="X240" s="374"/>
      <c r="Y240" s="374"/>
      <c r="Z240" s="374"/>
      <c r="AA240" s="374"/>
      <c r="AB240" s="374"/>
      <c r="AC240" s="374"/>
      <c r="AD240" s="374"/>
      <c r="AE240" s="374"/>
      <c r="AF240" s="374"/>
      <c r="AG240" s="374"/>
      <c r="AH240" s="374"/>
      <c r="AI240" s="374"/>
      <c r="AJ240" s="374"/>
      <c r="AK240" s="374"/>
      <c r="AL240" s="374"/>
      <c r="AM240" s="374"/>
      <c r="AN240" s="374"/>
      <c r="AO240" s="374"/>
      <c r="AP240" s="374"/>
      <c r="AQ240" s="374"/>
      <c r="AR240" s="374"/>
      <c r="AS240" s="374"/>
      <c r="AT240" s="374"/>
      <c r="AU240" s="374"/>
      <c r="AV240" s="374"/>
      <c r="AW240" s="374"/>
      <c r="AX240" s="374"/>
      <c r="AY240" s="375"/>
      <c r="AZ240" s="5"/>
      <c r="BA240" s="5"/>
      <c r="BB240" s="5"/>
      <c r="BC240" s="5"/>
      <c r="BD240" s="5"/>
      <c r="BE240" s="5"/>
      <c r="BF240" s="5"/>
      <c r="BG240" s="5"/>
      <c r="BH240" s="5"/>
      <c r="BI240" s="5"/>
      <c r="BJ240" s="5"/>
      <c r="BK240" s="5"/>
      <c r="BL240" s="5"/>
      <c r="BM240" s="5"/>
      <c r="BN240" s="5"/>
      <c r="BO240" s="5"/>
      <c r="BP240" s="5"/>
      <c r="BQ240" s="5"/>
      <c r="BR240" s="5"/>
      <c r="BS240" s="5"/>
      <c r="BT240" s="5"/>
    </row>
    <row r="241" spans="1:72" ht="20.100000000000001" customHeight="1">
      <c r="A241" s="376">
        <v>42</v>
      </c>
      <c r="B241" s="378" t="str">
        <f>IF(Creation_1!B241&lt;&gt;0,Creation_1!B241,IFERROR(INDEX(Database_Charms,MATCH($N241,Database_Charms_Names,0),MATCH(B$117,Database_Charms_Values,0)),""))</f>
        <v/>
      </c>
      <c r="C241" s="378"/>
      <c r="D241" s="378"/>
      <c r="E241" s="378"/>
      <c r="F241" s="378"/>
      <c r="G241" s="33"/>
      <c r="H241" s="378" t="str">
        <f>IF(Creation_1!H241&lt;&gt;"",Creation_1!H241,IF(B241&lt;&gt;0,B241,IFERROR(INDEX(Database_Charms,MATCH($N241,Database_Charms_Names,0),MATCH("Ability_Subtype",Database_Charms_Values,0)),"")))</f>
        <v/>
      </c>
      <c r="I241" s="378"/>
      <c r="J241" s="378"/>
      <c r="K241" s="378"/>
      <c r="L241" s="378"/>
      <c r="M241" s="23"/>
      <c r="N241" s="378" t="str">
        <f>IF(Creation_1!N241&lt;&gt;0,Creation_1!N241,"")</f>
        <v/>
      </c>
      <c r="O241" s="378"/>
      <c r="P241" s="378"/>
      <c r="Q241" s="378"/>
      <c r="R241" s="378"/>
      <c r="S241" s="378"/>
      <c r="T241" s="378"/>
      <c r="U241" s="378"/>
      <c r="V241" s="378"/>
      <c r="W241" s="378"/>
      <c r="X241" s="378"/>
      <c r="Y241" s="378"/>
      <c r="Z241" s="378"/>
      <c r="AA241" s="378"/>
      <c r="AB241" s="23"/>
      <c r="AC241" s="302" t="str">
        <f>IFERROR(INDEX(Database_Charms,MATCH($N241,Database_Charms_Names,0),MATCH(AC$117,Database_Charms_Values,0)),"")</f>
        <v/>
      </c>
      <c r="AD241" s="302"/>
      <c r="AE241" s="302"/>
      <c r="AF241" s="302"/>
      <c r="AG241" s="302"/>
      <c r="AH241" s="125"/>
      <c r="AI241" s="302" t="str">
        <f>IFERROR(INDEX(Database_Charms,MATCH($N241,Database_Charms_Names,0),MATCH(AI$117,Database_Charms_Values,0)),"")</f>
        <v/>
      </c>
      <c r="AJ241" s="302"/>
      <c r="AK241" s="302"/>
      <c r="AL241" s="302"/>
      <c r="AM241" s="125"/>
      <c r="AN241" s="302" t="str">
        <f>IFERROR(INDEX(Database_Charms,MATCH($N241,Database_Charms_Names,0),MATCH(AN$117,Database_Charms_Values,0)),"")</f>
        <v/>
      </c>
      <c r="AO241" s="302"/>
      <c r="AP241" s="302"/>
      <c r="AQ241" s="302"/>
      <c r="AR241" s="302"/>
      <c r="AS241" s="125"/>
      <c r="AT241" s="302" t="str">
        <f>IFERROR(INDEX(Database_Charms,MATCH($N241,Database_Charms_Names,0),MATCH(AT$117,Database_Charms_Values,0)),"")</f>
        <v/>
      </c>
      <c r="AU241" s="302"/>
      <c r="AV241" s="125"/>
      <c r="AW241" s="302" t="str">
        <f>IFERROR(INDEX(Database_Charms,MATCH($N241,Database_Charms_Names,0),MATCH(AW$117,Database_Charms_Values,0)),"")</f>
        <v/>
      </c>
      <c r="AX241" s="302"/>
      <c r="AY241" s="307"/>
      <c r="AZ241" s="5"/>
      <c r="BA241" s="5"/>
      <c r="BB241" s="5"/>
      <c r="BC241" s="5"/>
      <c r="BD241" s="5"/>
      <c r="BE241" s="5"/>
      <c r="BF241" s="5"/>
      <c r="BG241" s="5"/>
      <c r="BH241" s="5"/>
      <c r="BI241" s="5"/>
      <c r="BJ241" s="5"/>
      <c r="BK241" s="5"/>
      <c r="BL241" s="5"/>
      <c r="BM241" s="5"/>
      <c r="BN241" s="5"/>
      <c r="BO241" s="5"/>
      <c r="BP241" s="5"/>
      <c r="BQ241" s="5"/>
      <c r="BR241" s="5"/>
      <c r="BS241" s="5"/>
      <c r="BT241" s="5"/>
    </row>
    <row r="242" spans="1:72" ht="20.100000000000001" customHeight="1">
      <c r="A242" s="377"/>
      <c r="B242" s="372" t="str">
        <f>IF(Creation_1!B242="",IFERROR(INDEX(Database_Charms,MATCH($N241,Database_Charms_Names,0),MATCH(Charms!$S$1,Database_Charms_Values,0)),""),Creation_1!B242)</f>
        <v/>
      </c>
      <c r="C242" s="372"/>
      <c r="D242" s="372"/>
      <c r="E242" s="372"/>
      <c r="F242" s="372"/>
      <c r="G242" s="372"/>
      <c r="H242" s="372"/>
      <c r="I242" s="372"/>
      <c r="J242" s="372"/>
      <c r="K242" s="372"/>
      <c r="L242" s="372"/>
      <c r="M242" s="372"/>
      <c r="N242" s="372"/>
      <c r="O242" s="372"/>
      <c r="P242" s="372"/>
      <c r="Q242" s="372"/>
      <c r="R242" s="372"/>
      <c r="S242" s="372"/>
      <c r="T242" s="372"/>
      <c r="U242" s="372"/>
      <c r="V242" s="372"/>
      <c r="W242" s="372"/>
      <c r="X242" s="372"/>
      <c r="Y242" s="372"/>
      <c r="Z242" s="372"/>
      <c r="AA242" s="372"/>
      <c r="AB242" s="372"/>
      <c r="AC242" s="372"/>
      <c r="AD242" s="372"/>
      <c r="AE242" s="372"/>
      <c r="AF242" s="372"/>
      <c r="AG242" s="372"/>
      <c r="AH242" s="372"/>
      <c r="AI242" s="372"/>
      <c r="AJ242" s="372"/>
      <c r="AK242" s="372"/>
      <c r="AL242" s="372"/>
      <c r="AM242" s="372"/>
      <c r="AN242" s="372"/>
      <c r="AO242" s="372"/>
      <c r="AP242" s="372"/>
      <c r="AQ242" s="372"/>
      <c r="AR242" s="372"/>
      <c r="AS242" s="372"/>
      <c r="AT242" s="372"/>
      <c r="AU242" s="372"/>
      <c r="AV242" s="372"/>
      <c r="AW242" s="372"/>
      <c r="AX242" s="372"/>
      <c r="AY242" s="373"/>
      <c r="AZ242" s="5"/>
      <c r="BA242" s="5"/>
      <c r="BB242" s="5"/>
      <c r="BC242" s="5"/>
      <c r="BD242" s="5"/>
      <c r="BE242" s="5"/>
      <c r="BF242" s="5"/>
      <c r="BG242" s="5"/>
      <c r="BH242" s="5"/>
      <c r="BI242" s="5"/>
      <c r="BJ242" s="5"/>
      <c r="BK242" s="5"/>
      <c r="BL242" s="5"/>
      <c r="BM242" s="5"/>
      <c r="BN242" s="5"/>
      <c r="BO242" s="5"/>
      <c r="BP242" s="5"/>
      <c r="BQ242" s="5"/>
      <c r="BR242" s="5"/>
      <c r="BS242" s="5"/>
      <c r="BT242" s="5"/>
    </row>
    <row r="243" spans="1:72" ht="20.100000000000001" customHeight="1">
      <c r="A243" s="379"/>
      <c r="B243" s="374"/>
      <c r="C243" s="374"/>
      <c r="D243" s="374"/>
      <c r="E243" s="374"/>
      <c r="F243" s="374"/>
      <c r="G243" s="374"/>
      <c r="H243" s="374"/>
      <c r="I243" s="374"/>
      <c r="J243" s="374"/>
      <c r="K243" s="374"/>
      <c r="L243" s="374"/>
      <c r="M243" s="374"/>
      <c r="N243" s="374"/>
      <c r="O243" s="374"/>
      <c r="P243" s="374"/>
      <c r="Q243" s="374"/>
      <c r="R243" s="374"/>
      <c r="S243" s="374"/>
      <c r="T243" s="374"/>
      <c r="U243" s="374"/>
      <c r="V243" s="374"/>
      <c r="W243" s="374"/>
      <c r="X243" s="374"/>
      <c r="Y243" s="374"/>
      <c r="Z243" s="374"/>
      <c r="AA243" s="374"/>
      <c r="AB243" s="374"/>
      <c r="AC243" s="374"/>
      <c r="AD243" s="374"/>
      <c r="AE243" s="374"/>
      <c r="AF243" s="374"/>
      <c r="AG243" s="374"/>
      <c r="AH243" s="374"/>
      <c r="AI243" s="374"/>
      <c r="AJ243" s="374"/>
      <c r="AK243" s="374"/>
      <c r="AL243" s="374"/>
      <c r="AM243" s="374"/>
      <c r="AN243" s="374"/>
      <c r="AO243" s="374"/>
      <c r="AP243" s="374"/>
      <c r="AQ243" s="374"/>
      <c r="AR243" s="374"/>
      <c r="AS243" s="374"/>
      <c r="AT243" s="374"/>
      <c r="AU243" s="374"/>
      <c r="AV243" s="374"/>
      <c r="AW243" s="374"/>
      <c r="AX243" s="374"/>
      <c r="AY243" s="375"/>
      <c r="AZ243" s="5"/>
      <c r="BA243" s="5"/>
      <c r="BB243" s="5"/>
      <c r="BC243" s="5"/>
      <c r="BD243" s="5"/>
      <c r="BE243" s="5"/>
      <c r="BF243" s="5"/>
      <c r="BG243" s="5"/>
      <c r="BH243" s="5"/>
      <c r="BI243" s="5"/>
      <c r="BJ243" s="5"/>
      <c r="BK243" s="5"/>
      <c r="BL243" s="5"/>
      <c r="BM243" s="5"/>
      <c r="BN243" s="5"/>
      <c r="BO243" s="5"/>
      <c r="BP243" s="5"/>
      <c r="BQ243" s="5"/>
      <c r="BR243" s="5"/>
      <c r="BS243" s="5"/>
      <c r="BT243" s="5"/>
    </row>
    <row r="244" spans="1:72" ht="20.100000000000001" customHeight="1">
      <c r="A244" s="376">
        <v>43</v>
      </c>
      <c r="B244" s="378" t="str">
        <f>IF(Creation_1!B244&lt;&gt;0,Creation_1!B244,IFERROR(INDEX(Database_Charms,MATCH($N244,Database_Charms_Names,0),MATCH(B$117,Database_Charms_Values,0)),""))</f>
        <v/>
      </c>
      <c r="C244" s="378"/>
      <c r="D244" s="378"/>
      <c r="E244" s="378"/>
      <c r="F244" s="378"/>
      <c r="G244" s="33"/>
      <c r="H244" s="378" t="str">
        <f>IF(Creation_1!H244&lt;&gt;"",Creation_1!H244,IF(B244&lt;&gt;0,B244,IFERROR(INDEX(Database_Charms,MATCH($N244,Database_Charms_Names,0),MATCH("Ability_Subtype",Database_Charms_Values,0)),"")))</f>
        <v/>
      </c>
      <c r="I244" s="378"/>
      <c r="J244" s="378"/>
      <c r="K244" s="378"/>
      <c r="L244" s="378"/>
      <c r="M244" s="23"/>
      <c r="N244" s="378" t="str">
        <f>IF(Creation_1!N244&lt;&gt;0,Creation_1!N244,"")</f>
        <v/>
      </c>
      <c r="O244" s="378"/>
      <c r="P244" s="378"/>
      <c r="Q244" s="378"/>
      <c r="R244" s="378"/>
      <c r="S244" s="378"/>
      <c r="T244" s="378"/>
      <c r="U244" s="378"/>
      <c r="V244" s="378"/>
      <c r="W244" s="378"/>
      <c r="X244" s="378"/>
      <c r="Y244" s="378"/>
      <c r="Z244" s="378"/>
      <c r="AA244" s="378"/>
      <c r="AB244" s="23"/>
      <c r="AC244" s="302" t="str">
        <f>IFERROR(INDEX(Database_Charms,MATCH($N244,Database_Charms_Names,0),MATCH(AC$117,Database_Charms_Values,0)),"")</f>
        <v/>
      </c>
      <c r="AD244" s="302"/>
      <c r="AE244" s="302"/>
      <c r="AF244" s="302"/>
      <c r="AG244" s="302"/>
      <c r="AH244" s="125"/>
      <c r="AI244" s="302" t="str">
        <f>IFERROR(INDEX(Database_Charms,MATCH($N244,Database_Charms_Names,0),MATCH(AI$117,Database_Charms_Values,0)),"")</f>
        <v/>
      </c>
      <c r="AJ244" s="302"/>
      <c r="AK244" s="302"/>
      <c r="AL244" s="302"/>
      <c r="AM244" s="125"/>
      <c r="AN244" s="302" t="str">
        <f>IFERROR(INDEX(Database_Charms,MATCH($N244,Database_Charms_Names,0),MATCH(AN$117,Database_Charms_Values,0)),"")</f>
        <v/>
      </c>
      <c r="AO244" s="302"/>
      <c r="AP244" s="302"/>
      <c r="AQ244" s="302"/>
      <c r="AR244" s="302"/>
      <c r="AS244" s="125"/>
      <c r="AT244" s="302" t="str">
        <f>IFERROR(INDEX(Database_Charms,MATCH($N244,Database_Charms_Names,0),MATCH(AT$117,Database_Charms_Values,0)),"")</f>
        <v/>
      </c>
      <c r="AU244" s="302"/>
      <c r="AV244" s="125"/>
      <c r="AW244" s="302" t="str">
        <f>IFERROR(INDEX(Database_Charms,MATCH($N244,Database_Charms_Names,0),MATCH(AW$117,Database_Charms_Values,0)),"")</f>
        <v/>
      </c>
      <c r="AX244" s="302"/>
      <c r="AY244" s="307"/>
      <c r="AZ244" s="5"/>
      <c r="BA244" s="5"/>
      <c r="BB244" s="5"/>
      <c r="BC244" s="5"/>
      <c r="BD244" s="5"/>
      <c r="BE244" s="5"/>
      <c r="BF244" s="5"/>
      <c r="BG244" s="5"/>
      <c r="BH244" s="5"/>
      <c r="BI244" s="5"/>
      <c r="BJ244" s="5"/>
      <c r="BK244" s="5"/>
      <c r="BL244" s="5"/>
      <c r="BM244" s="5"/>
      <c r="BN244" s="5"/>
      <c r="BO244" s="5"/>
      <c r="BP244" s="5"/>
      <c r="BQ244" s="5"/>
      <c r="BR244" s="5"/>
      <c r="BS244" s="5"/>
      <c r="BT244" s="5"/>
    </row>
    <row r="245" spans="1:72" ht="20.100000000000001" customHeight="1">
      <c r="A245" s="377"/>
      <c r="B245" s="372" t="str">
        <f>IF(Creation_1!B245="",IFERROR(INDEX(Database_Charms,MATCH($N244,Database_Charms_Names,0),MATCH(Charms!$S$1,Database_Charms_Values,0)),""),Creation_1!B245)</f>
        <v/>
      </c>
      <c r="C245" s="372"/>
      <c r="D245" s="372"/>
      <c r="E245" s="372"/>
      <c r="F245" s="372"/>
      <c r="G245" s="372"/>
      <c r="H245" s="372"/>
      <c r="I245" s="372"/>
      <c r="J245" s="372"/>
      <c r="K245" s="372"/>
      <c r="L245" s="372"/>
      <c r="M245" s="372"/>
      <c r="N245" s="372"/>
      <c r="O245" s="372"/>
      <c r="P245" s="372"/>
      <c r="Q245" s="372"/>
      <c r="R245" s="372"/>
      <c r="S245" s="372"/>
      <c r="T245" s="372"/>
      <c r="U245" s="372"/>
      <c r="V245" s="372"/>
      <c r="W245" s="372"/>
      <c r="X245" s="372"/>
      <c r="Y245" s="372"/>
      <c r="Z245" s="372"/>
      <c r="AA245" s="372"/>
      <c r="AB245" s="372"/>
      <c r="AC245" s="372"/>
      <c r="AD245" s="372"/>
      <c r="AE245" s="372"/>
      <c r="AF245" s="372"/>
      <c r="AG245" s="372"/>
      <c r="AH245" s="372"/>
      <c r="AI245" s="372"/>
      <c r="AJ245" s="372"/>
      <c r="AK245" s="372"/>
      <c r="AL245" s="372"/>
      <c r="AM245" s="372"/>
      <c r="AN245" s="372"/>
      <c r="AO245" s="372"/>
      <c r="AP245" s="372"/>
      <c r="AQ245" s="372"/>
      <c r="AR245" s="372"/>
      <c r="AS245" s="372"/>
      <c r="AT245" s="372"/>
      <c r="AU245" s="372"/>
      <c r="AV245" s="372"/>
      <c r="AW245" s="372"/>
      <c r="AX245" s="372"/>
      <c r="AY245" s="373"/>
      <c r="AZ245" s="5"/>
      <c r="BA245" s="5"/>
      <c r="BB245" s="5"/>
      <c r="BC245" s="5"/>
      <c r="BD245" s="5"/>
      <c r="BE245" s="5"/>
      <c r="BF245" s="5"/>
      <c r="BG245" s="5"/>
      <c r="BH245" s="5"/>
      <c r="BI245" s="5"/>
      <c r="BJ245" s="5"/>
      <c r="BK245" s="5"/>
      <c r="BL245" s="5"/>
      <c r="BM245" s="5"/>
      <c r="BN245" s="5"/>
      <c r="BO245" s="5"/>
      <c r="BP245" s="5"/>
      <c r="BQ245" s="5"/>
      <c r="BR245" s="5"/>
      <c r="BS245" s="5"/>
      <c r="BT245" s="5"/>
    </row>
    <row r="246" spans="1:72" ht="20.100000000000001" customHeight="1">
      <c r="A246" s="379"/>
      <c r="B246" s="374"/>
      <c r="C246" s="374"/>
      <c r="D246" s="374"/>
      <c r="E246" s="374"/>
      <c r="F246" s="374"/>
      <c r="G246" s="374"/>
      <c r="H246" s="374"/>
      <c r="I246" s="374"/>
      <c r="J246" s="374"/>
      <c r="K246" s="374"/>
      <c r="L246" s="374"/>
      <c r="M246" s="374"/>
      <c r="N246" s="374"/>
      <c r="O246" s="374"/>
      <c r="P246" s="374"/>
      <c r="Q246" s="374"/>
      <c r="R246" s="374"/>
      <c r="S246" s="374"/>
      <c r="T246" s="374"/>
      <c r="U246" s="374"/>
      <c r="V246" s="374"/>
      <c r="W246" s="374"/>
      <c r="X246" s="374"/>
      <c r="Y246" s="374"/>
      <c r="Z246" s="374"/>
      <c r="AA246" s="374"/>
      <c r="AB246" s="374"/>
      <c r="AC246" s="374"/>
      <c r="AD246" s="374"/>
      <c r="AE246" s="374"/>
      <c r="AF246" s="374"/>
      <c r="AG246" s="374"/>
      <c r="AH246" s="374"/>
      <c r="AI246" s="374"/>
      <c r="AJ246" s="374"/>
      <c r="AK246" s="374"/>
      <c r="AL246" s="374"/>
      <c r="AM246" s="374"/>
      <c r="AN246" s="374"/>
      <c r="AO246" s="374"/>
      <c r="AP246" s="374"/>
      <c r="AQ246" s="374"/>
      <c r="AR246" s="374"/>
      <c r="AS246" s="374"/>
      <c r="AT246" s="374"/>
      <c r="AU246" s="374"/>
      <c r="AV246" s="374"/>
      <c r="AW246" s="374"/>
      <c r="AX246" s="374"/>
      <c r="AY246" s="375"/>
      <c r="AZ246" s="5"/>
      <c r="BA246" s="5"/>
      <c r="BB246" s="5"/>
      <c r="BC246" s="5"/>
      <c r="BD246" s="5"/>
      <c r="BE246" s="5"/>
      <c r="BF246" s="5"/>
      <c r="BG246" s="5"/>
      <c r="BH246" s="5"/>
      <c r="BI246" s="5"/>
      <c r="BJ246" s="5"/>
      <c r="BK246" s="5"/>
      <c r="BL246" s="5"/>
      <c r="BM246" s="5"/>
      <c r="BN246" s="5"/>
      <c r="BO246" s="5"/>
      <c r="BP246" s="5"/>
      <c r="BQ246" s="5"/>
      <c r="BR246" s="5"/>
      <c r="BS246" s="5"/>
      <c r="BT246" s="5"/>
    </row>
    <row r="247" spans="1:72" ht="20.100000000000001" customHeight="1">
      <c r="A247" s="376">
        <v>44</v>
      </c>
      <c r="B247" s="378" t="str">
        <f>IF(Creation_1!B247&lt;&gt;0,Creation_1!B247,IFERROR(INDEX(Database_Charms,MATCH($N247,Database_Charms_Names,0),MATCH(B$117,Database_Charms_Values,0)),""))</f>
        <v/>
      </c>
      <c r="C247" s="378"/>
      <c r="D247" s="378"/>
      <c r="E247" s="378"/>
      <c r="F247" s="378"/>
      <c r="G247" s="33"/>
      <c r="H247" s="378" t="str">
        <f>IF(Creation_1!H247&lt;&gt;"",Creation_1!H247,IF(B247&lt;&gt;0,B247,IFERROR(INDEX(Database_Charms,MATCH($N247,Database_Charms_Names,0),MATCH("Ability_Subtype",Database_Charms_Values,0)),"")))</f>
        <v/>
      </c>
      <c r="I247" s="378"/>
      <c r="J247" s="378"/>
      <c r="K247" s="378"/>
      <c r="L247" s="378"/>
      <c r="M247" s="23"/>
      <c r="N247" s="378" t="str">
        <f>IF(Creation_1!N247&lt;&gt;0,Creation_1!N247,"")</f>
        <v/>
      </c>
      <c r="O247" s="378"/>
      <c r="P247" s="378"/>
      <c r="Q247" s="378"/>
      <c r="R247" s="378"/>
      <c r="S247" s="378"/>
      <c r="T247" s="378"/>
      <c r="U247" s="378"/>
      <c r="V247" s="378"/>
      <c r="W247" s="378"/>
      <c r="X247" s="378"/>
      <c r="Y247" s="378"/>
      <c r="Z247" s="378"/>
      <c r="AA247" s="378"/>
      <c r="AB247" s="23"/>
      <c r="AC247" s="302" t="str">
        <f>IFERROR(INDEX(Database_Charms,MATCH($N247,Database_Charms_Names,0),MATCH(AC$117,Database_Charms_Values,0)),"")</f>
        <v/>
      </c>
      <c r="AD247" s="302"/>
      <c r="AE247" s="302"/>
      <c r="AF247" s="302"/>
      <c r="AG247" s="302"/>
      <c r="AH247" s="125"/>
      <c r="AI247" s="302" t="str">
        <f>IFERROR(INDEX(Database_Charms,MATCH($N247,Database_Charms_Names,0),MATCH(AI$117,Database_Charms_Values,0)),"")</f>
        <v/>
      </c>
      <c r="AJ247" s="302"/>
      <c r="AK247" s="302"/>
      <c r="AL247" s="302"/>
      <c r="AM247" s="125"/>
      <c r="AN247" s="302" t="str">
        <f>IFERROR(INDEX(Database_Charms,MATCH($N247,Database_Charms_Names,0),MATCH(AN$117,Database_Charms_Values,0)),"")</f>
        <v/>
      </c>
      <c r="AO247" s="302"/>
      <c r="AP247" s="302"/>
      <c r="AQ247" s="302"/>
      <c r="AR247" s="302"/>
      <c r="AS247" s="125"/>
      <c r="AT247" s="302" t="str">
        <f>IFERROR(INDEX(Database_Charms,MATCH($N247,Database_Charms_Names,0),MATCH(AT$117,Database_Charms_Values,0)),"")</f>
        <v/>
      </c>
      <c r="AU247" s="302"/>
      <c r="AV247" s="125"/>
      <c r="AW247" s="302" t="str">
        <f>IFERROR(INDEX(Database_Charms,MATCH($N247,Database_Charms_Names,0),MATCH(AW$117,Database_Charms_Values,0)),"")</f>
        <v/>
      </c>
      <c r="AX247" s="302"/>
      <c r="AY247" s="307"/>
      <c r="AZ247" s="5"/>
      <c r="BA247" s="5"/>
      <c r="BB247" s="5"/>
      <c r="BC247" s="5"/>
      <c r="BD247" s="5"/>
      <c r="BE247" s="5"/>
      <c r="BF247" s="5"/>
      <c r="BG247" s="5"/>
      <c r="BH247" s="5"/>
      <c r="BI247" s="5"/>
      <c r="BJ247" s="5"/>
      <c r="BK247" s="5"/>
      <c r="BL247" s="5"/>
      <c r="BM247" s="5"/>
      <c r="BN247" s="5"/>
      <c r="BO247" s="5"/>
      <c r="BP247" s="5"/>
      <c r="BQ247" s="5"/>
      <c r="BR247" s="5"/>
      <c r="BS247" s="5"/>
      <c r="BT247" s="5"/>
    </row>
    <row r="248" spans="1:72" ht="20.100000000000001" customHeight="1">
      <c r="A248" s="377"/>
      <c r="B248" s="372" t="str">
        <f>IF(Creation_1!B248="",IFERROR(INDEX(Database_Charms,MATCH($N247,Database_Charms_Names,0),MATCH(Charms!$S$1,Database_Charms_Values,0)),""),Creation_1!B248)</f>
        <v/>
      </c>
      <c r="C248" s="372"/>
      <c r="D248" s="372"/>
      <c r="E248" s="372"/>
      <c r="F248" s="372"/>
      <c r="G248" s="372"/>
      <c r="H248" s="372"/>
      <c r="I248" s="372"/>
      <c r="J248" s="372"/>
      <c r="K248" s="372"/>
      <c r="L248" s="372"/>
      <c r="M248" s="372"/>
      <c r="N248" s="372"/>
      <c r="O248" s="372"/>
      <c r="P248" s="372"/>
      <c r="Q248" s="372"/>
      <c r="R248" s="372"/>
      <c r="S248" s="372"/>
      <c r="T248" s="372"/>
      <c r="U248" s="372"/>
      <c r="V248" s="372"/>
      <c r="W248" s="372"/>
      <c r="X248" s="372"/>
      <c r="Y248" s="372"/>
      <c r="Z248" s="372"/>
      <c r="AA248" s="372"/>
      <c r="AB248" s="372"/>
      <c r="AC248" s="372"/>
      <c r="AD248" s="372"/>
      <c r="AE248" s="372"/>
      <c r="AF248" s="372"/>
      <c r="AG248" s="372"/>
      <c r="AH248" s="372"/>
      <c r="AI248" s="372"/>
      <c r="AJ248" s="372"/>
      <c r="AK248" s="372"/>
      <c r="AL248" s="372"/>
      <c r="AM248" s="372"/>
      <c r="AN248" s="372"/>
      <c r="AO248" s="372"/>
      <c r="AP248" s="372"/>
      <c r="AQ248" s="372"/>
      <c r="AR248" s="372"/>
      <c r="AS248" s="372"/>
      <c r="AT248" s="372"/>
      <c r="AU248" s="372"/>
      <c r="AV248" s="372"/>
      <c r="AW248" s="372"/>
      <c r="AX248" s="372"/>
      <c r="AY248" s="373"/>
      <c r="AZ248" s="5"/>
      <c r="BA248" s="5"/>
      <c r="BB248" s="5"/>
      <c r="BC248" s="5"/>
      <c r="BD248" s="5"/>
      <c r="BE248" s="5"/>
      <c r="BF248" s="5"/>
      <c r="BG248" s="5"/>
      <c r="BH248" s="5"/>
      <c r="BI248" s="5"/>
      <c r="BJ248" s="5"/>
      <c r="BK248" s="5"/>
      <c r="BL248" s="5"/>
      <c r="BM248" s="5"/>
      <c r="BN248" s="5"/>
      <c r="BO248" s="5"/>
      <c r="BP248" s="5"/>
      <c r="BQ248" s="5"/>
      <c r="BR248" s="5"/>
      <c r="BS248" s="5"/>
      <c r="BT248" s="5"/>
    </row>
    <row r="249" spans="1:72" ht="20.100000000000001" customHeight="1">
      <c r="A249" s="379"/>
      <c r="B249" s="374"/>
      <c r="C249" s="374"/>
      <c r="D249" s="374"/>
      <c r="E249" s="374"/>
      <c r="F249" s="374"/>
      <c r="G249" s="374"/>
      <c r="H249" s="374"/>
      <c r="I249" s="374"/>
      <c r="J249" s="374"/>
      <c r="K249" s="374"/>
      <c r="L249" s="374"/>
      <c r="M249" s="374"/>
      <c r="N249" s="374"/>
      <c r="O249" s="374"/>
      <c r="P249" s="374"/>
      <c r="Q249" s="374"/>
      <c r="R249" s="374"/>
      <c r="S249" s="374"/>
      <c r="T249" s="374"/>
      <c r="U249" s="374"/>
      <c r="V249" s="374"/>
      <c r="W249" s="374"/>
      <c r="X249" s="374"/>
      <c r="Y249" s="374"/>
      <c r="Z249" s="374"/>
      <c r="AA249" s="374"/>
      <c r="AB249" s="374"/>
      <c r="AC249" s="374"/>
      <c r="AD249" s="374"/>
      <c r="AE249" s="374"/>
      <c r="AF249" s="374"/>
      <c r="AG249" s="374"/>
      <c r="AH249" s="374"/>
      <c r="AI249" s="374"/>
      <c r="AJ249" s="374"/>
      <c r="AK249" s="374"/>
      <c r="AL249" s="374"/>
      <c r="AM249" s="374"/>
      <c r="AN249" s="374"/>
      <c r="AO249" s="374"/>
      <c r="AP249" s="374"/>
      <c r="AQ249" s="374"/>
      <c r="AR249" s="374"/>
      <c r="AS249" s="374"/>
      <c r="AT249" s="374"/>
      <c r="AU249" s="374"/>
      <c r="AV249" s="374"/>
      <c r="AW249" s="374"/>
      <c r="AX249" s="374"/>
      <c r="AY249" s="375"/>
      <c r="AZ249" s="5"/>
      <c r="BA249" s="5"/>
      <c r="BB249" s="5"/>
      <c r="BC249" s="5"/>
      <c r="BD249" s="5"/>
      <c r="BE249" s="5"/>
      <c r="BF249" s="5"/>
      <c r="BG249" s="5"/>
      <c r="BH249" s="5"/>
      <c r="BI249" s="5"/>
      <c r="BJ249" s="5"/>
      <c r="BK249" s="5"/>
      <c r="BL249" s="5"/>
      <c r="BM249" s="5"/>
      <c r="BN249" s="5"/>
      <c r="BO249" s="5"/>
      <c r="BP249" s="5"/>
      <c r="BQ249" s="5"/>
      <c r="BR249" s="5"/>
      <c r="BS249" s="5"/>
      <c r="BT249" s="5"/>
    </row>
    <row r="250" spans="1:72" ht="20.100000000000001" customHeight="1">
      <c r="A250" s="376">
        <v>45</v>
      </c>
      <c r="B250" s="378" t="str">
        <f>IF(Creation_1!B250&lt;&gt;0,Creation_1!B250,IFERROR(INDEX(Database_Charms,MATCH($N250,Database_Charms_Names,0),MATCH(B$117,Database_Charms_Values,0)),""))</f>
        <v/>
      </c>
      <c r="C250" s="378"/>
      <c r="D250" s="378"/>
      <c r="E250" s="378"/>
      <c r="F250" s="378"/>
      <c r="G250" s="33"/>
      <c r="H250" s="378" t="str">
        <f>IF(Creation_1!H250&lt;&gt;"",Creation_1!H250,IF(B250&lt;&gt;0,B250,IFERROR(INDEX(Database_Charms,MATCH($N250,Database_Charms_Names,0),MATCH("Ability_Subtype",Database_Charms_Values,0)),"")))</f>
        <v/>
      </c>
      <c r="I250" s="378"/>
      <c r="J250" s="378"/>
      <c r="K250" s="378"/>
      <c r="L250" s="378"/>
      <c r="M250" s="23"/>
      <c r="N250" s="378" t="str">
        <f>IF(Creation_1!N250&lt;&gt;0,Creation_1!N250,"")</f>
        <v/>
      </c>
      <c r="O250" s="378"/>
      <c r="P250" s="378"/>
      <c r="Q250" s="378"/>
      <c r="R250" s="378"/>
      <c r="S250" s="378"/>
      <c r="T250" s="378"/>
      <c r="U250" s="378"/>
      <c r="V250" s="378"/>
      <c r="W250" s="378"/>
      <c r="X250" s="378"/>
      <c r="Y250" s="378"/>
      <c r="Z250" s="378"/>
      <c r="AA250" s="378"/>
      <c r="AB250" s="23"/>
      <c r="AC250" s="302" t="str">
        <f>IFERROR(INDEX(Database_Charms,MATCH($N250,Database_Charms_Names,0),MATCH(AC$117,Database_Charms_Values,0)),"")</f>
        <v/>
      </c>
      <c r="AD250" s="302"/>
      <c r="AE250" s="302"/>
      <c r="AF250" s="302"/>
      <c r="AG250" s="302"/>
      <c r="AH250" s="125"/>
      <c r="AI250" s="302" t="str">
        <f>IFERROR(INDEX(Database_Charms,MATCH($N250,Database_Charms_Names,0),MATCH(AI$117,Database_Charms_Values,0)),"")</f>
        <v/>
      </c>
      <c r="AJ250" s="302"/>
      <c r="AK250" s="302"/>
      <c r="AL250" s="302"/>
      <c r="AM250" s="125"/>
      <c r="AN250" s="302" t="str">
        <f>IFERROR(INDEX(Database_Charms,MATCH($N250,Database_Charms_Names,0),MATCH(AN$117,Database_Charms_Values,0)),"")</f>
        <v/>
      </c>
      <c r="AO250" s="302"/>
      <c r="AP250" s="302"/>
      <c r="AQ250" s="302"/>
      <c r="AR250" s="302"/>
      <c r="AS250" s="125"/>
      <c r="AT250" s="302" t="str">
        <f>IFERROR(INDEX(Database_Charms,MATCH($N250,Database_Charms_Names,0),MATCH(AT$117,Database_Charms_Values,0)),"")</f>
        <v/>
      </c>
      <c r="AU250" s="302"/>
      <c r="AV250" s="125"/>
      <c r="AW250" s="302" t="str">
        <f>IFERROR(INDEX(Database_Charms,MATCH($N250,Database_Charms_Names,0),MATCH(AW$117,Database_Charms_Values,0)),"")</f>
        <v/>
      </c>
      <c r="AX250" s="302"/>
      <c r="AY250" s="307"/>
      <c r="AZ250" s="5"/>
      <c r="BA250" s="5"/>
      <c r="BB250" s="5"/>
      <c r="BC250" s="5"/>
      <c r="BD250" s="5"/>
      <c r="BE250" s="5"/>
      <c r="BF250" s="5"/>
      <c r="BG250" s="5"/>
      <c r="BH250" s="5"/>
      <c r="BI250" s="5"/>
      <c r="BJ250" s="5"/>
      <c r="BK250" s="5"/>
      <c r="BL250" s="5"/>
      <c r="BM250" s="5"/>
      <c r="BN250" s="5"/>
      <c r="BO250" s="5"/>
      <c r="BP250" s="5"/>
      <c r="BQ250" s="5"/>
      <c r="BR250" s="5"/>
      <c r="BS250" s="5"/>
      <c r="BT250" s="5"/>
    </row>
    <row r="251" spans="1:72" ht="20.100000000000001" customHeight="1">
      <c r="A251" s="377"/>
      <c r="B251" s="372" t="str">
        <f>IF(Creation_1!B251="",IFERROR(INDEX(Database_Charms,MATCH($N250,Database_Charms_Names,0),MATCH(Charms!$S$1,Database_Charms_Values,0)),""),Creation_1!B251)</f>
        <v/>
      </c>
      <c r="C251" s="372"/>
      <c r="D251" s="372"/>
      <c r="E251" s="372"/>
      <c r="F251" s="372"/>
      <c r="G251" s="372"/>
      <c r="H251" s="372"/>
      <c r="I251" s="372"/>
      <c r="J251" s="372"/>
      <c r="K251" s="372"/>
      <c r="L251" s="372"/>
      <c r="M251" s="372"/>
      <c r="N251" s="372"/>
      <c r="O251" s="372"/>
      <c r="P251" s="372"/>
      <c r="Q251" s="372"/>
      <c r="R251" s="372"/>
      <c r="S251" s="372"/>
      <c r="T251" s="372"/>
      <c r="U251" s="372"/>
      <c r="V251" s="372"/>
      <c r="W251" s="372"/>
      <c r="X251" s="372"/>
      <c r="Y251" s="372"/>
      <c r="Z251" s="372"/>
      <c r="AA251" s="372"/>
      <c r="AB251" s="372"/>
      <c r="AC251" s="372"/>
      <c r="AD251" s="372"/>
      <c r="AE251" s="372"/>
      <c r="AF251" s="372"/>
      <c r="AG251" s="372"/>
      <c r="AH251" s="372"/>
      <c r="AI251" s="372"/>
      <c r="AJ251" s="372"/>
      <c r="AK251" s="372"/>
      <c r="AL251" s="372"/>
      <c r="AM251" s="372"/>
      <c r="AN251" s="372"/>
      <c r="AO251" s="372"/>
      <c r="AP251" s="372"/>
      <c r="AQ251" s="372"/>
      <c r="AR251" s="372"/>
      <c r="AS251" s="372"/>
      <c r="AT251" s="372"/>
      <c r="AU251" s="372"/>
      <c r="AV251" s="372"/>
      <c r="AW251" s="372"/>
      <c r="AX251" s="372"/>
      <c r="AY251" s="373"/>
      <c r="AZ251" s="5"/>
      <c r="BA251" s="5"/>
      <c r="BB251" s="5"/>
      <c r="BC251" s="5"/>
      <c r="BD251" s="5"/>
      <c r="BE251" s="5"/>
      <c r="BF251" s="5"/>
      <c r="BG251" s="5"/>
      <c r="BH251" s="5"/>
      <c r="BI251" s="5"/>
      <c r="BJ251" s="5"/>
      <c r="BK251" s="5"/>
      <c r="BL251" s="5"/>
      <c r="BM251" s="5"/>
      <c r="BN251" s="5"/>
      <c r="BO251" s="5"/>
      <c r="BP251" s="5"/>
      <c r="BQ251" s="5"/>
      <c r="BR251" s="5"/>
      <c r="BS251" s="5"/>
      <c r="BT251" s="5"/>
    </row>
    <row r="252" spans="1:72" ht="20.100000000000001" customHeight="1">
      <c r="A252" s="379"/>
      <c r="B252" s="374"/>
      <c r="C252" s="374"/>
      <c r="D252" s="374"/>
      <c r="E252" s="374"/>
      <c r="F252" s="374"/>
      <c r="G252" s="374"/>
      <c r="H252" s="374"/>
      <c r="I252" s="374"/>
      <c r="J252" s="374"/>
      <c r="K252" s="374"/>
      <c r="L252" s="374"/>
      <c r="M252" s="374"/>
      <c r="N252" s="374"/>
      <c r="O252" s="374"/>
      <c r="P252" s="374"/>
      <c r="Q252" s="374"/>
      <c r="R252" s="374"/>
      <c r="S252" s="374"/>
      <c r="T252" s="374"/>
      <c r="U252" s="374"/>
      <c r="V252" s="374"/>
      <c r="W252" s="374"/>
      <c r="X252" s="374"/>
      <c r="Y252" s="374"/>
      <c r="Z252" s="374"/>
      <c r="AA252" s="374"/>
      <c r="AB252" s="374"/>
      <c r="AC252" s="374"/>
      <c r="AD252" s="374"/>
      <c r="AE252" s="374"/>
      <c r="AF252" s="374"/>
      <c r="AG252" s="374"/>
      <c r="AH252" s="374"/>
      <c r="AI252" s="374"/>
      <c r="AJ252" s="374"/>
      <c r="AK252" s="374"/>
      <c r="AL252" s="374"/>
      <c r="AM252" s="374"/>
      <c r="AN252" s="374"/>
      <c r="AO252" s="374"/>
      <c r="AP252" s="374"/>
      <c r="AQ252" s="374"/>
      <c r="AR252" s="374"/>
      <c r="AS252" s="374"/>
      <c r="AT252" s="374"/>
      <c r="AU252" s="374"/>
      <c r="AV252" s="374"/>
      <c r="AW252" s="374"/>
      <c r="AX252" s="374"/>
      <c r="AY252" s="375"/>
      <c r="AZ252" s="5"/>
      <c r="BA252" s="5"/>
      <c r="BB252" s="5"/>
      <c r="BC252" s="5"/>
      <c r="BD252" s="5"/>
      <c r="BE252" s="5"/>
      <c r="BF252" s="5"/>
      <c r="BG252" s="5"/>
      <c r="BH252" s="5"/>
      <c r="BI252" s="5"/>
      <c r="BJ252" s="5"/>
      <c r="BK252" s="5"/>
      <c r="BL252" s="5"/>
      <c r="BM252" s="5"/>
      <c r="BN252" s="5"/>
      <c r="BO252" s="5"/>
      <c r="BP252" s="5"/>
      <c r="BQ252" s="5"/>
      <c r="BR252" s="5"/>
      <c r="BS252" s="5"/>
      <c r="BT252" s="5"/>
    </row>
    <row r="253" spans="1:72" ht="20.100000000000001" customHeight="1">
      <c r="A253" s="376">
        <v>46</v>
      </c>
      <c r="B253" s="378" t="str">
        <f>IF(Creation_1!B253&lt;&gt;0,Creation_1!B253,IFERROR(INDEX(Database_Charms,MATCH($N253,Database_Charms_Names,0),MATCH(B$117,Database_Charms_Values,0)),""))</f>
        <v/>
      </c>
      <c r="C253" s="378"/>
      <c r="D253" s="378"/>
      <c r="E253" s="378"/>
      <c r="F253" s="378"/>
      <c r="G253" s="33"/>
      <c r="H253" s="378" t="str">
        <f>IF(Creation_1!H253&lt;&gt;"",Creation_1!H253,IF(B253&lt;&gt;0,B253,IFERROR(INDEX(Database_Charms,MATCH($N253,Database_Charms_Names,0),MATCH("Ability_Subtype",Database_Charms_Values,0)),"")))</f>
        <v/>
      </c>
      <c r="I253" s="378"/>
      <c r="J253" s="378"/>
      <c r="K253" s="378"/>
      <c r="L253" s="378"/>
      <c r="M253" s="23"/>
      <c r="N253" s="378" t="str">
        <f>IF(Creation_1!N253&lt;&gt;0,Creation_1!N253,"")</f>
        <v/>
      </c>
      <c r="O253" s="378"/>
      <c r="P253" s="378"/>
      <c r="Q253" s="378"/>
      <c r="R253" s="378"/>
      <c r="S253" s="378"/>
      <c r="T253" s="378"/>
      <c r="U253" s="378"/>
      <c r="V253" s="378"/>
      <c r="W253" s="378"/>
      <c r="X253" s="378"/>
      <c r="Y253" s="378"/>
      <c r="Z253" s="378"/>
      <c r="AA253" s="378"/>
      <c r="AB253" s="23"/>
      <c r="AC253" s="302" t="str">
        <f>IFERROR(INDEX(Database_Charms,MATCH($N253,Database_Charms_Names,0),MATCH(AC$117,Database_Charms_Values,0)),"")</f>
        <v/>
      </c>
      <c r="AD253" s="302"/>
      <c r="AE253" s="302"/>
      <c r="AF253" s="302"/>
      <c r="AG253" s="302"/>
      <c r="AH253" s="125"/>
      <c r="AI253" s="302" t="str">
        <f>IFERROR(INDEX(Database_Charms,MATCH($N253,Database_Charms_Names,0),MATCH(AI$117,Database_Charms_Values,0)),"")</f>
        <v/>
      </c>
      <c r="AJ253" s="302"/>
      <c r="AK253" s="302"/>
      <c r="AL253" s="302"/>
      <c r="AM253" s="125"/>
      <c r="AN253" s="302" t="str">
        <f>IFERROR(INDEX(Database_Charms,MATCH($N253,Database_Charms_Names,0),MATCH(AN$117,Database_Charms_Values,0)),"")</f>
        <v/>
      </c>
      <c r="AO253" s="302"/>
      <c r="AP253" s="302"/>
      <c r="AQ253" s="302"/>
      <c r="AR253" s="302"/>
      <c r="AS253" s="125"/>
      <c r="AT253" s="302" t="str">
        <f>IFERROR(INDEX(Database_Charms,MATCH($N253,Database_Charms_Names,0),MATCH(AT$117,Database_Charms_Values,0)),"")</f>
        <v/>
      </c>
      <c r="AU253" s="302"/>
      <c r="AV253" s="125"/>
      <c r="AW253" s="302" t="str">
        <f>IFERROR(INDEX(Database_Charms,MATCH($N253,Database_Charms_Names,0),MATCH(AW$117,Database_Charms_Values,0)),"")</f>
        <v/>
      </c>
      <c r="AX253" s="302"/>
      <c r="AY253" s="307"/>
      <c r="AZ253" s="5"/>
      <c r="BA253" s="5"/>
      <c r="BB253" s="5"/>
      <c r="BC253" s="5"/>
      <c r="BD253" s="5"/>
      <c r="BE253" s="5"/>
      <c r="BF253" s="5"/>
      <c r="BG253" s="5"/>
      <c r="BH253" s="5"/>
      <c r="BI253" s="5"/>
      <c r="BJ253" s="5"/>
      <c r="BK253" s="5"/>
      <c r="BL253" s="5"/>
      <c r="BM253" s="5"/>
      <c r="BN253" s="5"/>
      <c r="BO253" s="5"/>
      <c r="BP253" s="5"/>
      <c r="BQ253" s="5"/>
      <c r="BR253" s="5"/>
      <c r="BS253" s="5"/>
      <c r="BT253" s="5"/>
    </row>
    <row r="254" spans="1:72" ht="20.100000000000001" customHeight="1">
      <c r="A254" s="377"/>
      <c r="B254" s="372" t="str">
        <f>IF(Creation_1!B254="",IFERROR(INDEX(Database_Charms,MATCH($N253,Database_Charms_Names,0),MATCH(Charms!$S$1,Database_Charms_Values,0)),""),Creation_1!B254)</f>
        <v/>
      </c>
      <c r="C254" s="372"/>
      <c r="D254" s="372"/>
      <c r="E254" s="372"/>
      <c r="F254" s="372"/>
      <c r="G254" s="372"/>
      <c r="H254" s="372"/>
      <c r="I254" s="372"/>
      <c r="J254" s="372"/>
      <c r="K254" s="372"/>
      <c r="L254" s="372"/>
      <c r="M254" s="372"/>
      <c r="N254" s="372"/>
      <c r="O254" s="372"/>
      <c r="P254" s="372"/>
      <c r="Q254" s="372"/>
      <c r="R254" s="372"/>
      <c r="S254" s="372"/>
      <c r="T254" s="372"/>
      <c r="U254" s="372"/>
      <c r="V254" s="372"/>
      <c r="W254" s="372"/>
      <c r="X254" s="372"/>
      <c r="Y254" s="372"/>
      <c r="Z254" s="372"/>
      <c r="AA254" s="372"/>
      <c r="AB254" s="372"/>
      <c r="AC254" s="372"/>
      <c r="AD254" s="372"/>
      <c r="AE254" s="372"/>
      <c r="AF254" s="372"/>
      <c r="AG254" s="372"/>
      <c r="AH254" s="372"/>
      <c r="AI254" s="372"/>
      <c r="AJ254" s="372"/>
      <c r="AK254" s="372"/>
      <c r="AL254" s="372"/>
      <c r="AM254" s="372"/>
      <c r="AN254" s="372"/>
      <c r="AO254" s="372"/>
      <c r="AP254" s="372"/>
      <c r="AQ254" s="372"/>
      <c r="AR254" s="372"/>
      <c r="AS254" s="372"/>
      <c r="AT254" s="372"/>
      <c r="AU254" s="372"/>
      <c r="AV254" s="372"/>
      <c r="AW254" s="372"/>
      <c r="AX254" s="372"/>
      <c r="AY254" s="373"/>
      <c r="AZ254" s="5"/>
      <c r="BA254" s="5"/>
      <c r="BB254" s="5"/>
      <c r="BC254" s="5"/>
      <c r="BD254" s="5"/>
      <c r="BE254" s="5"/>
      <c r="BF254" s="5"/>
      <c r="BG254" s="5"/>
      <c r="BH254" s="5"/>
      <c r="BI254" s="5"/>
      <c r="BJ254" s="5"/>
      <c r="BK254" s="5"/>
      <c r="BL254" s="5"/>
      <c r="BM254" s="5"/>
      <c r="BN254" s="5"/>
      <c r="BO254" s="5"/>
      <c r="BP254" s="5"/>
      <c r="BQ254" s="5"/>
      <c r="BR254" s="5"/>
      <c r="BS254" s="5"/>
      <c r="BT254" s="5"/>
    </row>
    <row r="255" spans="1:72" ht="20.100000000000001" customHeight="1">
      <c r="A255" s="379"/>
      <c r="B255" s="374"/>
      <c r="C255" s="374"/>
      <c r="D255" s="374"/>
      <c r="E255" s="374"/>
      <c r="F255" s="374"/>
      <c r="G255" s="374"/>
      <c r="H255" s="374"/>
      <c r="I255" s="374"/>
      <c r="J255" s="374"/>
      <c r="K255" s="374"/>
      <c r="L255" s="374"/>
      <c r="M255" s="374"/>
      <c r="N255" s="374"/>
      <c r="O255" s="374"/>
      <c r="P255" s="374"/>
      <c r="Q255" s="374"/>
      <c r="R255" s="374"/>
      <c r="S255" s="374"/>
      <c r="T255" s="374"/>
      <c r="U255" s="374"/>
      <c r="V255" s="374"/>
      <c r="W255" s="374"/>
      <c r="X255" s="374"/>
      <c r="Y255" s="374"/>
      <c r="Z255" s="374"/>
      <c r="AA255" s="374"/>
      <c r="AB255" s="374"/>
      <c r="AC255" s="374"/>
      <c r="AD255" s="374"/>
      <c r="AE255" s="374"/>
      <c r="AF255" s="374"/>
      <c r="AG255" s="374"/>
      <c r="AH255" s="374"/>
      <c r="AI255" s="374"/>
      <c r="AJ255" s="374"/>
      <c r="AK255" s="374"/>
      <c r="AL255" s="374"/>
      <c r="AM255" s="374"/>
      <c r="AN255" s="374"/>
      <c r="AO255" s="374"/>
      <c r="AP255" s="374"/>
      <c r="AQ255" s="374"/>
      <c r="AR255" s="374"/>
      <c r="AS255" s="374"/>
      <c r="AT255" s="374"/>
      <c r="AU255" s="374"/>
      <c r="AV255" s="374"/>
      <c r="AW255" s="374"/>
      <c r="AX255" s="374"/>
      <c r="AY255" s="375"/>
      <c r="AZ255" s="5"/>
      <c r="BA255" s="5"/>
      <c r="BB255" s="5"/>
      <c r="BC255" s="5"/>
      <c r="BD255" s="5"/>
      <c r="BE255" s="5"/>
      <c r="BF255" s="5"/>
      <c r="BG255" s="5"/>
      <c r="BH255" s="5"/>
      <c r="BI255" s="5"/>
      <c r="BJ255" s="5"/>
      <c r="BK255" s="5"/>
      <c r="BL255" s="5"/>
      <c r="BM255" s="5"/>
      <c r="BN255" s="5"/>
      <c r="BO255" s="5"/>
      <c r="BP255" s="5"/>
      <c r="BQ255" s="5"/>
      <c r="BR255" s="5"/>
      <c r="BS255" s="5"/>
      <c r="BT255" s="5"/>
    </row>
    <row r="256" spans="1:72" ht="20.100000000000001" customHeight="1">
      <c r="A256" s="376">
        <v>47</v>
      </c>
      <c r="B256" s="378" t="str">
        <f>IF(Creation_1!B256&lt;&gt;0,Creation_1!B256,IFERROR(INDEX(Database_Charms,MATCH($N256,Database_Charms_Names,0),MATCH(B$117,Database_Charms_Values,0)),""))</f>
        <v/>
      </c>
      <c r="C256" s="378"/>
      <c r="D256" s="378"/>
      <c r="E256" s="378"/>
      <c r="F256" s="378"/>
      <c r="G256" s="33"/>
      <c r="H256" s="378" t="str">
        <f>IF(Creation_1!H256&lt;&gt;"",Creation_1!H256,IF(B256&lt;&gt;0,B256,IFERROR(INDEX(Database_Charms,MATCH($N256,Database_Charms_Names,0),MATCH("Ability_Subtype",Database_Charms_Values,0)),"")))</f>
        <v/>
      </c>
      <c r="I256" s="378"/>
      <c r="J256" s="378"/>
      <c r="K256" s="378"/>
      <c r="L256" s="378"/>
      <c r="M256" s="23"/>
      <c r="N256" s="378" t="str">
        <f>IF(Creation_1!N256&lt;&gt;0,Creation_1!N256,"")</f>
        <v/>
      </c>
      <c r="O256" s="378"/>
      <c r="P256" s="378"/>
      <c r="Q256" s="378"/>
      <c r="R256" s="378"/>
      <c r="S256" s="378"/>
      <c r="T256" s="378"/>
      <c r="U256" s="378"/>
      <c r="V256" s="378"/>
      <c r="W256" s="378"/>
      <c r="X256" s="378"/>
      <c r="Y256" s="378"/>
      <c r="Z256" s="378"/>
      <c r="AA256" s="378"/>
      <c r="AB256" s="23"/>
      <c r="AC256" s="302" t="str">
        <f>IFERROR(INDEX(Database_Charms,MATCH($N256,Database_Charms_Names,0),MATCH(AC$117,Database_Charms_Values,0)),"")</f>
        <v/>
      </c>
      <c r="AD256" s="302"/>
      <c r="AE256" s="302"/>
      <c r="AF256" s="302"/>
      <c r="AG256" s="302"/>
      <c r="AH256" s="125"/>
      <c r="AI256" s="302" t="str">
        <f>IFERROR(INDEX(Database_Charms,MATCH($N256,Database_Charms_Names,0),MATCH(AI$117,Database_Charms_Values,0)),"")</f>
        <v/>
      </c>
      <c r="AJ256" s="302"/>
      <c r="AK256" s="302"/>
      <c r="AL256" s="302"/>
      <c r="AM256" s="125"/>
      <c r="AN256" s="302" t="str">
        <f>IFERROR(INDEX(Database_Charms,MATCH($N256,Database_Charms_Names,0),MATCH(AN$117,Database_Charms_Values,0)),"")</f>
        <v/>
      </c>
      <c r="AO256" s="302"/>
      <c r="AP256" s="302"/>
      <c r="AQ256" s="302"/>
      <c r="AR256" s="302"/>
      <c r="AS256" s="125"/>
      <c r="AT256" s="302" t="str">
        <f>IFERROR(INDEX(Database_Charms,MATCH($N256,Database_Charms_Names,0),MATCH(AT$117,Database_Charms_Values,0)),"")</f>
        <v/>
      </c>
      <c r="AU256" s="302"/>
      <c r="AV256" s="125"/>
      <c r="AW256" s="302" t="str">
        <f>IFERROR(INDEX(Database_Charms,MATCH($N256,Database_Charms_Names,0),MATCH(AW$117,Database_Charms_Values,0)),"")</f>
        <v/>
      </c>
      <c r="AX256" s="302"/>
      <c r="AY256" s="307"/>
      <c r="AZ256" s="5"/>
      <c r="BA256" s="5"/>
      <c r="BB256" s="5"/>
      <c r="BC256" s="5"/>
      <c r="BD256" s="5"/>
      <c r="BE256" s="5"/>
      <c r="BF256" s="5"/>
      <c r="BG256" s="5"/>
      <c r="BH256" s="5"/>
      <c r="BI256" s="5"/>
      <c r="BJ256" s="5"/>
      <c r="BK256" s="5"/>
      <c r="BL256" s="5"/>
      <c r="BM256" s="5"/>
      <c r="BN256" s="5"/>
      <c r="BO256" s="5"/>
      <c r="BP256" s="5"/>
      <c r="BQ256" s="5"/>
      <c r="BR256" s="5"/>
      <c r="BS256" s="5"/>
      <c r="BT256" s="5"/>
    </row>
    <row r="257" spans="1:72" ht="20.100000000000001" customHeight="1">
      <c r="A257" s="377"/>
      <c r="B257" s="372" t="str">
        <f>IF(Creation_1!B257="",IFERROR(INDEX(Database_Charms,MATCH($N256,Database_Charms_Names,0),MATCH(Charms!$S$1,Database_Charms_Values,0)),""),Creation_1!B257)</f>
        <v/>
      </c>
      <c r="C257" s="372"/>
      <c r="D257" s="372"/>
      <c r="E257" s="372"/>
      <c r="F257" s="372"/>
      <c r="G257" s="372"/>
      <c r="H257" s="372"/>
      <c r="I257" s="372"/>
      <c r="J257" s="372"/>
      <c r="K257" s="372"/>
      <c r="L257" s="372"/>
      <c r="M257" s="372"/>
      <c r="N257" s="372"/>
      <c r="O257" s="372"/>
      <c r="P257" s="372"/>
      <c r="Q257" s="372"/>
      <c r="R257" s="372"/>
      <c r="S257" s="372"/>
      <c r="T257" s="372"/>
      <c r="U257" s="372"/>
      <c r="V257" s="372"/>
      <c r="W257" s="372"/>
      <c r="X257" s="372"/>
      <c r="Y257" s="372"/>
      <c r="Z257" s="372"/>
      <c r="AA257" s="372"/>
      <c r="AB257" s="372"/>
      <c r="AC257" s="372"/>
      <c r="AD257" s="372"/>
      <c r="AE257" s="372"/>
      <c r="AF257" s="372"/>
      <c r="AG257" s="372"/>
      <c r="AH257" s="372"/>
      <c r="AI257" s="372"/>
      <c r="AJ257" s="372"/>
      <c r="AK257" s="372"/>
      <c r="AL257" s="372"/>
      <c r="AM257" s="372"/>
      <c r="AN257" s="372"/>
      <c r="AO257" s="372"/>
      <c r="AP257" s="372"/>
      <c r="AQ257" s="372"/>
      <c r="AR257" s="372"/>
      <c r="AS257" s="372"/>
      <c r="AT257" s="372"/>
      <c r="AU257" s="372"/>
      <c r="AV257" s="372"/>
      <c r="AW257" s="372"/>
      <c r="AX257" s="372"/>
      <c r="AY257" s="373"/>
      <c r="AZ257" s="5"/>
      <c r="BA257" s="5"/>
      <c r="BB257" s="5"/>
      <c r="BC257" s="5"/>
      <c r="BD257" s="5"/>
      <c r="BE257" s="5"/>
      <c r="BF257" s="5"/>
      <c r="BG257" s="5"/>
      <c r="BH257" s="5"/>
      <c r="BI257" s="5"/>
      <c r="BJ257" s="5"/>
      <c r="BK257" s="5"/>
      <c r="BL257" s="5"/>
      <c r="BM257" s="5"/>
      <c r="BN257" s="5"/>
      <c r="BO257" s="5"/>
      <c r="BP257" s="5"/>
      <c r="BQ257" s="5"/>
      <c r="BR257" s="5"/>
      <c r="BS257" s="5"/>
      <c r="BT257" s="5"/>
    </row>
    <row r="258" spans="1:72" ht="20.100000000000001" customHeight="1">
      <c r="A258" s="379"/>
      <c r="B258" s="374"/>
      <c r="C258" s="374"/>
      <c r="D258" s="374"/>
      <c r="E258" s="374"/>
      <c r="F258" s="374"/>
      <c r="G258" s="374"/>
      <c r="H258" s="374"/>
      <c r="I258" s="374"/>
      <c r="J258" s="374"/>
      <c r="K258" s="374"/>
      <c r="L258" s="374"/>
      <c r="M258" s="374"/>
      <c r="N258" s="374"/>
      <c r="O258" s="374"/>
      <c r="P258" s="374"/>
      <c r="Q258" s="374"/>
      <c r="R258" s="374"/>
      <c r="S258" s="374"/>
      <c r="T258" s="374"/>
      <c r="U258" s="374"/>
      <c r="V258" s="374"/>
      <c r="W258" s="374"/>
      <c r="X258" s="374"/>
      <c r="Y258" s="374"/>
      <c r="Z258" s="374"/>
      <c r="AA258" s="374"/>
      <c r="AB258" s="374"/>
      <c r="AC258" s="374"/>
      <c r="AD258" s="374"/>
      <c r="AE258" s="374"/>
      <c r="AF258" s="374"/>
      <c r="AG258" s="374"/>
      <c r="AH258" s="374"/>
      <c r="AI258" s="374"/>
      <c r="AJ258" s="374"/>
      <c r="AK258" s="374"/>
      <c r="AL258" s="374"/>
      <c r="AM258" s="374"/>
      <c r="AN258" s="374"/>
      <c r="AO258" s="374"/>
      <c r="AP258" s="374"/>
      <c r="AQ258" s="374"/>
      <c r="AR258" s="374"/>
      <c r="AS258" s="374"/>
      <c r="AT258" s="374"/>
      <c r="AU258" s="374"/>
      <c r="AV258" s="374"/>
      <c r="AW258" s="374"/>
      <c r="AX258" s="374"/>
      <c r="AY258" s="375"/>
      <c r="AZ258" s="5"/>
      <c r="BA258" s="5"/>
      <c r="BB258" s="5"/>
      <c r="BC258" s="5"/>
      <c r="BD258" s="5"/>
      <c r="BE258" s="5"/>
      <c r="BF258" s="5"/>
      <c r="BG258" s="5"/>
      <c r="BH258" s="5"/>
      <c r="BI258" s="5"/>
      <c r="BJ258" s="5"/>
      <c r="BK258" s="5"/>
      <c r="BL258" s="5"/>
      <c r="BM258" s="5"/>
      <c r="BN258" s="5"/>
      <c r="BO258" s="5"/>
      <c r="BP258" s="5"/>
      <c r="BQ258" s="5"/>
      <c r="BR258" s="5"/>
      <c r="BS258" s="5"/>
      <c r="BT258" s="5"/>
    </row>
    <row r="259" spans="1:72" ht="20.100000000000001" customHeight="1">
      <c r="A259" s="376">
        <v>48</v>
      </c>
      <c r="B259" s="378" t="str">
        <f>IF(Creation_1!B259&lt;&gt;0,Creation_1!B259,IFERROR(INDEX(Database_Charms,MATCH($N259,Database_Charms_Names,0),MATCH(B$117,Database_Charms_Values,0)),""))</f>
        <v/>
      </c>
      <c r="C259" s="378"/>
      <c r="D259" s="378"/>
      <c r="E259" s="378"/>
      <c r="F259" s="378"/>
      <c r="G259" s="33"/>
      <c r="H259" s="378" t="str">
        <f>IF(Creation_1!H259&lt;&gt;"",Creation_1!H259,IF(B259&lt;&gt;0,B259,IFERROR(INDEX(Database_Charms,MATCH($N259,Database_Charms_Names,0),MATCH("Ability_Subtype",Database_Charms_Values,0)),"")))</f>
        <v/>
      </c>
      <c r="I259" s="378"/>
      <c r="J259" s="378"/>
      <c r="K259" s="378"/>
      <c r="L259" s="378"/>
      <c r="M259" s="23"/>
      <c r="N259" s="378" t="str">
        <f>IF(Creation_1!N259&lt;&gt;0,Creation_1!N259,"")</f>
        <v/>
      </c>
      <c r="O259" s="378"/>
      <c r="P259" s="378"/>
      <c r="Q259" s="378"/>
      <c r="R259" s="378"/>
      <c r="S259" s="378"/>
      <c r="T259" s="378"/>
      <c r="U259" s="378"/>
      <c r="V259" s="378"/>
      <c r="W259" s="378"/>
      <c r="X259" s="378"/>
      <c r="Y259" s="378"/>
      <c r="Z259" s="378"/>
      <c r="AA259" s="378"/>
      <c r="AB259" s="23"/>
      <c r="AC259" s="302" t="str">
        <f>IFERROR(INDEX(Database_Charms,MATCH($N259,Database_Charms_Names,0),MATCH(AC$117,Database_Charms_Values,0)),"")</f>
        <v/>
      </c>
      <c r="AD259" s="302"/>
      <c r="AE259" s="302"/>
      <c r="AF259" s="302"/>
      <c r="AG259" s="302"/>
      <c r="AH259" s="125"/>
      <c r="AI259" s="302" t="str">
        <f>IFERROR(INDEX(Database_Charms,MATCH($N259,Database_Charms_Names,0),MATCH(AI$117,Database_Charms_Values,0)),"")</f>
        <v/>
      </c>
      <c r="AJ259" s="302"/>
      <c r="AK259" s="302"/>
      <c r="AL259" s="302"/>
      <c r="AM259" s="125"/>
      <c r="AN259" s="302" t="str">
        <f>IFERROR(INDEX(Database_Charms,MATCH($N259,Database_Charms_Names,0),MATCH(AN$117,Database_Charms_Values,0)),"")</f>
        <v/>
      </c>
      <c r="AO259" s="302"/>
      <c r="AP259" s="302"/>
      <c r="AQ259" s="302"/>
      <c r="AR259" s="302"/>
      <c r="AS259" s="125"/>
      <c r="AT259" s="302" t="str">
        <f>IFERROR(INDEX(Database_Charms,MATCH($N259,Database_Charms_Names,0),MATCH(AT$117,Database_Charms_Values,0)),"")</f>
        <v/>
      </c>
      <c r="AU259" s="302"/>
      <c r="AV259" s="125"/>
      <c r="AW259" s="302" t="str">
        <f>IFERROR(INDEX(Database_Charms,MATCH($N259,Database_Charms_Names,0),MATCH(AW$117,Database_Charms_Values,0)),"")</f>
        <v/>
      </c>
      <c r="AX259" s="302"/>
      <c r="AY259" s="307"/>
      <c r="AZ259" s="5"/>
      <c r="BA259" s="5"/>
      <c r="BB259" s="5"/>
      <c r="BC259" s="5"/>
      <c r="BD259" s="5"/>
      <c r="BE259" s="5"/>
      <c r="BF259" s="5"/>
      <c r="BG259" s="5"/>
      <c r="BH259" s="5"/>
      <c r="BI259" s="5"/>
      <c r="BJ259" s="5"/>
      <c r="BK259" s="5"/>
      <c r="BL259" s="5"/>
      <c r="BM259" s="5"/>
      <c r="BN259" s="5"/>
      <c r="BO259" s="5"/>
      <c r="BP259" s="5"/>
      <c r="BQ259" s="5"/>
      <c r="BR259" s="5"/>
      <c r="BS259" s="5"/>
      <c r="BT259" s="5"/>
    </row>
    <row r="260" spans="1:72" ht="20.100000000000001" customHeight="1">
      <c r="A260" s="377"/>
      <c r="B260" s="372" t="str">
        <f>IF(Creation_1!B260="",IFERROR(INDEX(Database_Charms,MATCH($N259,Database_Charms_Names,0),MATCH(Charms!$S$1,Database_Charms_Values,0)),""),Creation_1!B260)</f>
        <v/>
      </c>
      <c r="C260" s="372"/>
      <c r="D260" s="372"/>
      <c r="E260" s="372"/>
      <c r="F260" s="372"/>
      <c r="G260" s="372"/>
      <c r="H260" s="372"/>
      <c r="I260" s="372"/>
      <c r="J260" s="372"/>
      <c r="K260" s="372"/>
      <c r="L260" s="372"/>
      <c r="M260" s="372"/>
      <c r="N260" s="372"/>
      <c r="O260" s="372"/>
      <c r="P260" s="372"/>
      <c r="Q260" s="372"/>
      <c r="R260" s="372"/>
      <c r="S260" s="372"/>
      <c r="T260" s="372"/>
      <c r="U260" s="372"/>
      <c r="V260" s="372"/>
      <c r="W260" s="372"/>
      <c r="X260" s="372"/>
      <c r="Y260" s="372"/>
      <c r="Z260" s="372"/>
      <c r="AA260" s="372"/>
      <c r="AB260" s="372"/>
      <c r="AC260" s="372"/>
      <c r="AD260" s="372"/>
      <c r="AE260" s="372"/>
      <c r="AF260" s="372"/>
      <c r="AG260" s="372"/>
      <c r="AH260" s="372"/>
      <c r="AI260" s="372"/>
      <c r="AJ260" s="372"/>
      <c r="AK260" s="372"/>
      <c r="AL260" s="372"/>
      <c r="AM260" s="372"/>
      <c r="AN260" s="372"/>
      <c r="AO260" s="372"/>
      <c r="AP260" s="372"/>
      <c r="AQ260" s="372"/>
      <c r="AR260" s="372"/>
      <c r="AS260" s="372"/>
      <c r="AT260" s="372"/>
      <c r="AU260" s="372"/>
      <c r="AV260" s="372"/>
      <c r="AW260" s="372"/>
      <c r="AX260" s="372"/>
      <c r="AY260" s="373"/>
      <c r="AZ260" s="5"/>
      <c r="BA260" s="5"/>
      <c r="BB260" s="5"/>
      <c r="BC260" s="5"/>
      <c r="BD260" s="5"/>
      <c r="BE260" s="5"/>
      <c r="BF260" s="5"/>
      <c r="BG260" s="5"/>
      <c r="BH260" s="5"/>
      <c r="BI260" s="5"/>
      <c r="BJ260" s="5"/>
      <c r="BK260" s="5"/>
      <c r="BL260" s="5"/>
      <c r="BM260" s="5"/>
      <c r="BN260" s="5"/>
      <c r="BO260" s="5"/>
      <c r="BP260" s="5"/>
      <c r="BQ260" s="5"/>
      <c r="BR260" s="5"/>
      <c r="BS260" s="5"/>
      <c r="BT260" s="5"/>
    </row>
    <row r="261" spans="1:72" ht="20.100000000000001" customHeight="1">
      <c r="A261" s="379"/>
      <c r="B261" s="374"/>
      <c r="C261" s="374"/>
      <c r="D261" s="374"/>
      <c r="E261" s="374"/>
      <c r="F261" s="374"/>
      <c r="G261" s="374"/>
      <c r="H261" s="374"/>
      <c r="I261" s="374"/>
      <c r="J261" s="374"/>
      <c r="K261" s="374"/>
      <c r="L261" s="374"/>
      <c r="M261" s="374"/>
      <c r="N261" s="374"/>
      <c r="O261" s="374"/>
      <c r="P261" s="374"/>
      <c r="Q261" s="374"/>
      <c r="R261" s="374"/>
      <c r="S261" s="374"/>
      <c r="T261" s="374"/>
      <c r="U261" s="374"/>
      <c r="V261" s="374"/>
      <c r="W261" s="374"/>
      <c r="X261" s="374"/>
      <c r="Y261" s="374"/>
      <c r="Z261" s="374"/>
      <c r="AA261" s="374"/>
      <c r="AB261" s="374"/>
      <c r="AC261" s="374"/>
      <c r="AD261" s="374"/>
      <c r="AE261" s="374"/>
      <c r="AF261" s="374"/>
      <c r="AG261" s="374"/>
      <c r="AH261" s="374"/>
      <c r="AI261" s="374"/>
      <c r="AJ261" s="374"/>
      <c r="AK261" s="374"/>
      <c r="AL261" s="374"/>
      <c r="AM261" s="374"/>
      <c r="AN261" s="374"/>
      <c r="AO261" s="374"/>
      <c r="AP261" s="374"/>
      <c r="AQ261" s="374"/>
      <c r="AR261" s="374"/>
      <c r="AS261" s="374"/>
      <c r="AT261" s="374"/>
      <c r="AU261" s="374"/>
      <c r="AV261" s="374"/>
      <c r="AW261" s="374"/>
      <c r="AX261" s="374"/>
      <c r="AY261" s="375"/>
      <c r="AZ261" s="5"/>
      <c r="BA261" s="5"/>
      <c r="BB261" s="5"/>
      <c r="BC261" s="5"/>
      <c r="BD261" s="5"/>
      <c r="BE261" s="5"/>
      <c r="BF261" s="5"/>
      <c r="BG261" s="5"/>
      <c r="BH261" s="5"/>
      <c r="BI261" s="5"/>
      <c r="BJ261" s="5"/>
      <c r="BK261" s="5"/>
      <c r="BL261" s="5"/>
      <c r="BM261" s="5"/>
      <c r="BN261" s="5"/>
      <c r="BO261" s="5"/>
      <c r="BP261" s="5"/>
      <c r="BQ261" s="5"/>
      <c r="BR261" s="5"/>
      <c r="BS261" s="5"/>
      <c r="BT261" s="5"/>
    </row>
    <row r="262" spans="1:72" ht="20.100000000000001" customHeight="1">
      <c r="A262" s="376">
        <v>49</v>
      </c>
      <c r="B262" s="378" t="str">
        <f>IF(Creation_1!B262&lt;&gt;0,Creation_1!B262,IFERROR(INDEX(Database_Charms,MATCH($N262,Database_Charms_Names,0),MATCH(B$117,Database_Charms_Values,0)),""))</f>
        <v/>
      </c>
      <c r="C262" s="378"/>
      <c r="D262" s="378"/>
      <c r="E262" s="378"/>
      <c r="F262" s="378"/>
      <c r="G262" s="33"/>
      <c r="H262" s="378" t="str">
        <f>IF(Creation_1!H262&lt;&gt;"",Creation_1!H262,IF(B262&lt;&gt;0,B262,IFERROR(INDEX(Database_Charms,MATCH($N262,Database_Charms_Names,0),MATCH("Ability_Subtype",Database_Charms_Values,0)),"")))</f>
        <v/>
      </c>
      <c r="I262" s="378"/>
      <c r="J262" s="378"/>
      <c r="K262" s="378"/>
      <c r="L262" s="378"/>
      <c r="M262" s="23"/>
      <c r="N262" s="378" t="str">
        <f>IF(Creation_1!N262&lt;&gt;0,Creation_1!N262,"")</f>
        <v/>
      </c>
      <c r="O262" s="378"/>
      <c r="P262" s="378"/>
      <c r="Q262" s="378"/>
      <c r="R262" s="378"/>
      <c r="S262" s="378"/>
      <c r="T262" s="378"/>
      <c r="U262" s="378"/>
      <c r="V262" s="378"/>
      <c r="W262" s="378"/>
      <c r="X262" s="378"/>
      <c r="Y262" s="378"/>
      <c r="Z262" s="378"/>
      <c r="AA262" s="378"/>
      <c r="AB262" s="23"/>
      <c r="AC262" s="302" t="str">
        <f>IFERROR(INDEX(Database_Charms,MATCH($N262,Database_Charms_Names,0),MATCH(AC$117,Database_Charms_Values,0)),"")</f>
        <v/>
      </c>
      <c r="AD262" s="302"/>
      <c r="AE262" s="302"/>
      <c r="AF262" s="302"/>
      <c r="AG262" s="302"/>
      <c r="AH262" s="125"/>
      <c r="AI262" s="302" t="str">
        <f>IFERROR(INDEX(Database_Charms,MATCH($N262,Database_Charms_Names,0),MATCH(AI$117,Database_Charms_Values,0)),"")</f>
        <v/>
      </c>
      <c r="AJ262" s="302"/>
      <c r="AK262" s="302"/>
      <c r="AL262" s="302"/>
      <c r="AM262" s="125"/>
      <c r="AN262" s="302" t="str">
        <f>IFERROR(INDEX(Database_Charms,MATCH($N262,Database_Charms_Names,0),MATCH(AN$117,Database_Charms_Values,0)),"")</f>
        <v/>
      </c>
      <c r="AO262" s="302"/>
      <c r="AP262" s="302"/>
      <c r="AQ262" s="302"/>
      <c r="AR262" s="302"/>
      <c r="AS262" s="125"/>
      <c r="AT262" s="302" t="str">
        <f>IFERROR(INDEX(Database_Charms,MATCH($N262,Database_Charms_Names,0),MATCH(AT$117,Database_Charms_Values,0)),"")</f>
        <v/>
      </c>
      <c r="AU262" s="302"/>
      <c r="AV262" s="125"/>
      <c r="AW262" s="302" t="str">
        <f>IFERROR(INDEX(Database_Charms,MATCH($N262,Database_Charms_Names,0),MATCH(AW$117,Database_Charms_Values,0)),"")</f>
        <v/>
      </c>
      <c r="AX262" s="302"/>
      <c r="AY262" s="307"/>
      <c r="AZ262" s="5"/>
      <c r="BA262" s="5"/>
      <c r="BB262" s="5"/>
      <c r="BC262" s="5"/>
      <c r="BD262" s="5"/>
      <c r="BE262" s="5"/>
      <c r="BF262" s="5"/>
      <c r="BG262" s="5"/>
      <c r="BH262" s="5"/>
      <c r="BI262" s="5"/>
      <c r="BJ262" s="5"/>
      <c r="BK262" s="5"/>
      <c r="BL262" s="5"/>
      <c r="BM262" s="5"/>
      <c r="BN262" s="5"/>
      <c r="BO262" s="5"/>
      <c r="BP262" s="5"/>
      <c r="BQ262" s="5"/>
      <c r="BR262" s="5"/>
      <c r="BS262" s="5"/>
      <c r="BT262" s="5"/>
    </row>
    <row r="263" spans="1:72" ht="20.100000000000001" customHeight="1">
      <c r="A263" s="377"/>
      <c r="B263" s="372" t="str">
        <f>IF(Creation_1!B263="",IFERROR(INDEX(Database_Charms,MATCH($N262,Database_Charms_Names,0),MATCH(Charms!$S$1,Database_Charms_Values,0)),""),Creation_1!B263)</f>
        <v/>
      </c>
      <c r="C263" s="372"/>
      <c r="D263" s="372"/>
      <c r="E263" s="372"/>
      <c r="F263" s="372"/>
      <c r="G263" s="372"/>
      <c r="H263" s="372"/>
      <c r="I263" s="372"/>
      <c r="J263" s="372"/>
      <c r="K263" s="372"/>
      <c r="L263" s="372"/>
      <c r="M263" s="372"/>
      <c r="N263" s="372"/>
      <c r="O263" s="372"/>
      <c r="P263" s="372"/>
      <c r="Q263" s="372"/>
      <c r="R263" s="372"/>
      <c r="S263" s="372"/>
      <c r="T263" s="372"/>
      <c r="U263" s="372"/>
      <c r="V263" s="372"/>
      <c r="W263" s="372"/>
      <c r="X263" s="372"/>
      <c r="Y263" s="372"/>
      <c r="Z263" s="372"/>
      <c r="AA263" s="372"/>
      <c r="AB263" s="372"/>
      <c r="AC263" s="372"/>
      <c r="AD263" s="372"/>
      <c r="AE263" s="372"/>
      <c r="AF263" s="372"/>
      <c r="AG263" s="372"/>
      <c r="AH263" s="372"/>
      <c r="AI263" s="372"/>
      <c r="AJ263" s="372"/>
      <c r="AK263" s="372"/>
      <c r="AL263" s="372"/>
      <c r="AM263" s="372"/>
      <c r="AN263" s="372"/>
      <c r="AO263" s="372"/>
      <c r="AP263" s="372"/>
      <c r="AQ263" s="372"/>
      <c r="AR263" s="372"/>
      <c r="AS263" s="372"/>
      <c r="AT263" s="372"/>
      <c r="AU263" s="372"/>
      <c r="AV263" s="372"/>
      <c r="AW263" s="372"/>
      <c r="AX263" s="372"/>
      <c r="AY263" s="373"/>
      <c r="AZ263" s="5"/>
      <c r="BA263" s="5"/>
      <c r="BB263" s="5"/>
      <c r="BC263" s="5"/>
      <c r="BD263" s="5"/>
      <c r="BE263" s="5"/>
      <c r="BF263" s="5"/>
      <c r="BG263" s="5"/>
      <c r="BH263" s="5"/>
      <c r="BI263" s="5"/>
      <c r="BJ263" s="5"/>
      <c r="BK263" s="5"/>
      <c r="BL263" s="5"/>
      <c r="BM263" s="5"/>
      <c r="BN263" s="5"/>
      <c r="BO263" s="5"/>
      <c r="BP263" s="5"/>
      <c r="BQ263" s="5"/>
      <c r="BR263" s="5"/>
      <c r="BS263" s="5"/>
      <c r="BT263" s="5"/>
    </row>
    <row r="264" spans="1:72" ht="20.100000000000001" customHeight="1">
      <c r="A264" s="379"/>
      <c r="B264" s="374"/>
      <c r="C264" s="374"/>
      <c r="D264" s="374"/>
      <c r="E264" s="374"/>
      <c r="F264" s="374"/>
      <c r="G264" s="374"/>
      <c r="H264" s="374"/>
      <c r="I264" s="374"/>
      <c r="J264" s="374"/>
      <c r="K264" s="374"/>
      <c r="L264" s="374"/>
      <c r="M264" s="374"/>
      <c r="N264" s="374"/>
      <c r="O264" s="374"/>
      <c r="P264" s="374"/>
      <c r="Q264" s="374"/>
      <c r="R264" s="374"/>
      <c r="S264" s="374"/>
      <c r="T264" s="374"/>
      <c r="U264" s="374"/>
      <c r="V264" s="374"/>
      <c r="W264" s="374"/>
      <c r="X264" s="374"/>
      <c r="Y264" s="374"/>
      <c r="Z264" s="374"/>
      <c r="AA264" s="374"/>
      <c r="AB264" s="374"/>
      <c r="AC264" s="374"/>
      <c r="AD264" s="374"/>
      <c r="AE264" s="374"/>
      <c r="AF264" s="374"/>
      <c r="AG264" s="374"/>
      <c r="AH264" s="374"/>
      <c r="AI264" s="374"/>
      <c r="AJ264" s="374"/>
      <c r="AK264" s="374"/>
      <c r="AL264" s="374"/>
      <c r="AM264" s="374"/>
      <c r="AN264" s="374"/>
      <c r="AO264" s="374"/>
      <c r="AP264" s="374"/>
      <c r="AQ264" s="374"/>
      <c r="AR264" s="374"/>
      <c r="AS264" s="374"/>
      <c r="AT264" s="374"/>
      <c r="AU264" s="374"/>
      <c r="AV264" s="374"/>
      <c r="AW264" s="374"/>
      <c r="AX264" s="374"/>
      <c r="AY264" s="375"/>
      <c r="AZ264" s="5"/>
      <c r="BA264" s="5"/>
      <c r="BB264" s="5"/>
      <c r="BC264" s="5"/>
      <c r="BD264" s="5"/>
      <c r="BE264" s="5"/>
      <c r="BF264" s="5"/>
      <c r="BG264" s="5"/>
      <c r="BH264" s="5"/>
      <c r="BI264" s="5"/>
      <c r="BJ264" s="5"/>
      <c r="BK264" s="5"/>
      <c r="BL264" s="5"/>
      <c r="BM264" s="5"/>
      <c r="BN264" s="5"/>
      <c r="BO264" s="5"/>
      <c r="BP264" s="5"/>
      <c r="BQ264" s="5"/>
      <c r="BR264" s="5"/>
      <c r="BS264" s="5"/>
      <c r="BT264" s="5"/>
    </row>
    <row r="265" spans="1:72" ht="20.100000000000001" customHeight="1">
      <c r="A265" s="376">
        <v>50</v>
      </c>
      <c r="B265" s="378" t="str">
        <f>IF(Creation_1!B265&lt;&gt;0,Creation_1!B265,IFERROR(INDEX(Database_Charms,MATCH($N265,Database_Charms_Names,0),MATCH(B$117,Database_Charms_Values,0)),""))</f>
        <v/>
      </c>
      <c r="C265" s="378"/>
      <c r="D265" s="378"/>
      <c r="E265" s="378"/>
      <c r="F265" s="378"/>
      <c r="G265" s="33"/>
      <c r="H265" s="378" t="str">
        <f>IF(Creation_1!H265&lt;&gt;"",Creation_1!H265,IF(B265&lt;&gt;0,B265,IFERROR(INDEX(Database_Charms,MATCH($N265,Database_Charms_Names,0),MATCH("Ability_Subtype",Database_Charms_Values,0)),"")))</f>
        <v/>
      </c>
      <c r="I265" s="378"/>
      <c r="J265" s="378"/>
      <c r="K265" s="378"/>
      <c r="L265" s="378"/>
      <c r="M265" s="23"/>
      <c r="N265" s="378" t="str">
        <f>IF(Creation_1!N265&lt;&gt;0,Creation_1!N265,"")</f>
        <v/>
      </c>
      <c r="O265" s="378"/>
      <c r="P265" s="378"/>
      <c r="Q265" s="378"/>
      <c r="R265" s="378"/>
      <c r="S265" s="378"/>
      <c r="T265" s="378"/>
      <c r="U265" s="378"/>
      <c r="V265" s="378"/>
      <c r="W265" s="378"/>
      <c r="X265" s="378"/>
      <c r="Y265" s="378"/>
      <c r="Z265" s="378"/>
      <c r="AA265" s="378"/>
      <c r="AB265" s="23"/>
      <c r="AC265" s="302" t="str">
        <f>IFERROR(INDEX(Database_Charms,MATCH($N265,Database_Charms_Names,0),MATCH(AC$117,Database_Charms_Values,0)),"")</f>
        <v/>
      </c>
      <c r="AD265" s="302"/>
      <c r="AE265" s="302"/>
      <c r="AF265" s="302"/>
      <c r="AG265" s="302"/>
      <c r="AH265" s="125"/>
      <c r="AI265" s="302" t="str">
        <f>IFERROR(INDEX(Database_Charms,MATCH($N265,Database_Charms_Names,0),MATCH(AI$117,Database_Charms_Values,0)),"")</f>
        <v/>
      </c>
      <c r="AJ265" s="302"/>
      <c r="AK265" s="302"/>
      <c r="AL265" s="302"/>
      <c r="AM265" s="125"/>
      <c r="AN265" s="302" t="str">
        <f>IFERROR(INDEX(Database_Charms,MATCH($N265,Database_Charms_Names,0),MATCH(AN$117,Database_Charms_Values,0)),"")</f>
        <v/>
      </c>
      <c r="AO265" s="302"/>
      <c r="AP265" s="302"/>
      <c r="AQ265" s="302"/>
      <c r="AR265" s="302"/>
      <c r="AS265" s="125"/>
      <c r="AT265" s="302" t="str">
        <f>IFERROR(INDEX(Database_Charms,MATCH($N265,Database_Charms_Names,0),MATCH(AT$117,Database_Charms_Values,0)),"")</f>
        <v/>
      </c>
      <c r="AU265" s="302"/>
      <c r="AV265" s="125"/>
      <c r="AW265" s="302" t="str">
        <f>IFERROR(INDEX(Database_Charms,MATCH($N265,Database_Charms_Names,0),MATCH(AW$117,Database_Charms_Values,0)),"")</f>
        <v/>
      </c>
      <c r="AX265" s="302"/>
      <c r="AY265" s="307"/>
      <c r="AZ265" s="5"/>
      <c r="BA265" s="5"/>
      <c r="BB265" s="5"/>
      <c r="BC265" s="5"/>
      <c r="BD265" s="5"/>
      <c r="BE265" s="5"/>
      <c r="BF265" s="5"/>
      <c r="BG265" s="5"/>
      <c r="BH265" s="5"/>
      <c r="BI265" s="5"/>
      <c r="BJ265" s="5"/>
      <c r="BK265" s="5"/>
      <c r="BL265" s="5"/>
      <c r="BM265" s="5"/>
      <c r="BN265" s="5"/>
      <c r="BO265" s="5"/>
      <c r="BP265" s="5"/>
      <c r="BQ265" s="5"/>
      <c r="BR265" s="5"/>
      <c r="BS265" s="5"/>
      <c r="BT265" s="5"/>
    </row>
    <row r="266" spans="1:72" ht="20.100000000000001" customHeight="1">
      <c r="A266" s="377"/>
      <c r="B266" s="372" t="str">
        <f>IF(Creation_1!B266="",IFERROR(INDEX(Database_Charms,MATCH($N265,Database_Charms_Names,0),MATCH(Charms!$S$1,Database_Charms_Values,0)),""),Creation_1!B266)</f>
        <v/>
      </c>
      <c r="C266" s="372"/>
      <c r="D266" s="372"/>
      <c r="E266" s="372"/>
      <c r="F266" s="372"/>
      <c r="G266" s="372"/>
      <c r="H266" s="372"/>
      <c r="I266" s="372"/>
      <c r="J266" s="372"/>
      <c r="K266" s="372"/>
      <c r="L266" s="372"/>
      <c r="M266" s="372"/>
      <c r="N266" s="372"/>
      <c r="O266" s="372"/>
      <c r="P266" s="372"/>
      <c r="Q266" s="372"/>
      <c r="R266" s="372"/>
      <c r="S266" s="372"/>
      <c r="T266" s="372"/>
      <c r="U266" s="372"/>
      <c r="V266" s="372"/>
      <c r="W266" s="372"/>
      <c r="X266" s="372"/>
      <c r="Y266" s="372"/>
      <c r="Z266" s="372"/>
      <c r="AA266" s="372"/>
      <c r="AB266" s="372"/>
      <c r="AC266" s="372"/>
      <c r="AD266" s="372"/>
      <c r="AE266" s="372"/>
      <c r="AF266" s="372"/>
      <c r="AG266" s="372"/>
      <c r="AH266" s="372"/>
      <c r="AI266" s="372"/>
      <c r="AJ266" s="372"/>
      <c r="AK266" s="372"/>
      <c r="AL266" s="372"/>
      <c r="AM266" s="372"/>
      <c r="AN266" s="372"/>
      <c r="AO266" s="372"/>
      <c r="AP266" s="372"/>
      <c r="AQ266" s="372"/>
      <c r="AR266" s="372"/>
      <c r="AS266" s="372"/>
      <c r="AT266" s="372"/>
      <c r="AU266" s="372"/>
      <c r="AV266" s="372"/>
      <c r="AW266" s="372"/>
      <c r="AX266" s="372"/>
      <c r="AY266" s="373"/>
      <c r="AZ266" s="5"/>
      <c r="BA266" s="5"/>
      <c r="BB266" s="5"/>
      <c r="BC266" s="5"/>
      <c r="BD266" s="5"/>
      <c r="BE266" s="5"/>
      <c r="BF266" s="5"/>
      <c r="BG266" s="5"/>
      <c r="BH266" s="5"/>
      <c r="BI266" s="5"/>
      <c r="BJ266" s="5"/>
      <c r="BK266" s="5"/>
      <c r="BL266" s="5"/>
      <c r="BM266" s="5"/>
      <c r="BN266" s="5"/>
      <c r="BO266" s="5"/>
      <c r="BP266" s="5"/>
      <c r="BQ266" s="5"/>
      <c r="BR266" s="5"/>
      <c r="BS266" s="5"/>
      <c r="BT266" s="5"/>
    </row>
    <row r="267" spans="1:72" ht="20.100000000000001" customHeight="1">
      <c r="A267" s="377"/>
      <c r="B267" s="374"/>
      <c r="C267" s="374"/>
      <c r="D267" s="374"/>
      <c r="E267" s="374"/>
      <c r="F267" s="374"/>
      <c r="G267" s="374"/>
      <c r="H267" s="374"/>
      <c r="I267" s="374"/>
      <c r="J267" s="374"/>
      <c r="K267" s="374"/>
      <c r="L267" s="374"/>
      <c r="M267" s="374"/>
      <c r="N267" s="374"/>
      <c r="O267" s="374"/>
      <c r="P267" s="374"/>
      <c r="Q267" s="374"/>
      <c r="R267" s="374"/>
      <c r="S267" s="374"/>
      <c r="T267" s="374"/>
      <c r="U267" s="374"/>
      <c r="V267" s="374"/>
      <c r="W267" s="374"/>
      <c r="X267" s="374"/>
      <c r="Y267" s="374"/>
      <c r="Z267" s="374"/>
      <c r="AA267" s="374"/>
      <c r="AB267" s="374"/>
      <c r="AC267" s="374"/>
      <c r="AD267" s="374"/>
      <c r="AE267" s="374"/>
      <c r="AF267" s="374"/>
      <c r="AG267" s="374"/>
      <c r="AH267" s="374"/>
      <c r="AI267" s="374"/>
      <c r="AJ267" s="374"/>
      <c r="AK267" s="374"/>
      <c r="AL267" s="374"/>
      <c r="AM267" s="374"/>
      <c r="AN267" s="374"/>
      <c r="AO267" s="374"/>
      <c r="AP267" s="374"/>
      <c r="AQ267" s="374"/>
      <c r="AR267" s="374"/>
      <c r="AS267" s="374"/>
      <c r="AT267" s="374"/>
      <c r="AU267" s="374"/>
      <c r="AV267" s="374"/>
      <c r="AW267" s="374"/>
      <c r="AX267" s="374"/>
      <c r="AY267" s="375"/>
      <c r="AZ267" s="5"/>
      <c r="BA267" s="5"/>
      <c r="BB267" s="5"/>
      <c r="BC267" s="5"/>
      <c r="BD267" s="5"/>
      <c r="BE267" s="5"/>
      <c r="BF267" s="5"/>
      <c r="BG267" s="5"/>
      <c r="BH267" s="5"/>
      <c r="BI267" s="5"/>
      <c r="BJ267" s="5"/>
      <c r="BK267" s="5"/>
      <c r="BL267" s="5"/>
      <c r="BM267" s="5"/>
      <c r="BN267" s="5"/>
      <c r="BO267" s="5"/>
      <c r="BP267" s="5"/>
      <c r="BQ267" s="5"/>
      <c r="BR267" s="5"/>
      <c r="BS267" s="5"/>
      <c r="BT267" s="5"/>
    </row>
    <row r="268" spans="1:72" ht="20.100000000000001" hidden="1" customHeight="1"/>
    <row r="269" spans="1:72" ht="20.100000000000001" hidden="1" customHeight="1"/>
    <row r="270" spans="1:72" ht="20.100000000000001" hidden="1" customHeight="1"/>
    <row r="271" spans="1:72" ht="20.100000000000001" hidden="1" customHeight="1"/>
    <row r="272" spans="1:72" ht="20.100000000000001" hidden="1" customHeight="1"/>
    <row r="273" ht="20.100000000000001" hidden="1" customHeight="1"/>
    <row r="274" ht="20.100000000000001" hidden="1" customHeight="1"/>
    <row r="275" ht="20.100000000000001" hidden="1" customHeight="1"/>
    <row r="276" ht="20.100000000000001" hidden="1" customHeight="1"/>
    <row r="277" ht="20.100000000000001" hidden="1" customHeight="1"/>
    <row r="278" ht="20.100000000000001" hidden="1" customHeight="1"/>
    <row r="279" ht="20.100000000000001" hidden="1" customHeight="1"/>
    <row r="280" ht="20.100000000000001" hidden="1" customHeight="1"/>
    <row r="281" ht="20.100000000000001" hidden="1" customHeight="1"/>
    <row r="282" ht="20.100000000000001" hidden="1" customHeight="1"/>
    <row r="283" ht="20.100000000000001" hidden="1" customHeight="1"/>
    <row r="284" ht="20.100000000000001" hidden="1" customHeight="1"/>
    <row r="285" ht="20.100000000000001" hidden="1" customHeight="1"/>
    <row r="286" ht="20.100000000000001" hidden="1" customHeight="1"/>
    <row r="287" ht="20.100000000000001" hidden="1" customHeight="1"/>
    <row r="288" ht="20.100000000000001" hidden="1" customHeight="1"/>
    <row r="289" ht="20.100000000000001" hidden="1" customHeight="1"/>
    <row r="290" ht="20.100000000000001" hidden="1" customHeight="1"/>
    <row r="291" ht="20.100000000000001" hidden="1" customHeight="1"/>
    <row r="292" ht="20.100000000000001" hidden="1" customHeight="1"/>
    <row r="293" ht="20.100000000000001" hidden="1" customHeight="1"/>
    <row r="294" ht="20.100000000000001" hidden="1" customHeight="1"/>
    <row r="295" ht="20.100000000000001" hidden="1" customHeight="1"/>
    <row r="296" ht="20.100000000000001" hidden="1" customHeight="1"/>
    <row r="297" ht="20.100000000000001" hidden="1" customHeight="1"/>
    <row r="298" ht="20.100000000000001" hidden="1" customHeight="1"/>
    <row r="299" ht="20.100000000000001" hidden="1" customHeight="1"/>
    <row r="300" ht="20.100000000000001" hidden="1" customHeight="1"/>
  </sheetData>
  <sheetProtection formatRows="0" selectLockedCells="1"/>
  <mergeCells count="1026">
    <mergeCell ref="AA79:AK79"/>
    <mergeCell ref="BA116:BN117"/>
    <mergeCell ref="BA135:BN136"/>
    <mergeCell ref="BA152:BN153"/>
    <mergeCell ref="P2:R2"/>
    <mergeCell ref="S2:AC2"/>
    <mergeCell ref="AD2:AG2"/>
    <mergeCell ref="AH2:AT2"/>
    <mergeCell ref="P3:R3"/>
    <mergeCell ref="S3:AC3"/>
    <mergeCell ref="AD3:AF3"/>
    <mergeCell ref="AG3:AT3"/>
    <mergeCell ref="AS13:AT13"/>
    <mergeCell ref="AW13:AY13"/>
    <mergeCell ref="AW20:AY20"/>
    <mergeCell ref="X32:AA32"/>
    <mergeCell ref="AB32:AC32"/>
    <mergeCell ref="AE32:AF32"/>
    <mergeCell ref="AH32:AQ32"/>
    <mergeCell ref="AS32:AT32"/>
    <mergeCell ref="AW32:AY32"/>
    <mergeCell ref="AS30:AT30"/>
    <mergeCell ref="AW30:AY30"/>
    <mergeCell ref="AL41:AN41"/>
    <mergeCell ref="AW17:AY17"/>
    <mergeCell ref="AW15:AY15"/>
    <mergeCell ref="P4:R4"/>
    <mergeCell ref="AD4:AH4"/>
    <mergeCell ref="AI4:AT4"/>
    <mergeCell ref="V5:Z6"/>
    <mergeCell ref="X48:AA48"/>
    <mergeCell ref="AR48:AX48"/>
    <mergeCell ref="BB11:BN22"/>
    <mergeCell ref="BA89:BN90"/>
    <mergeCell ref="W9:AB9"/>
    <mergeCell ref="AC9:AE9"/>
    <mergeCell ref="AM9:AR9"/>
    <mergeCell ref="AS9:AU9"/>
    <mergeCell ref="AS7:AU7"/>
    <mergeCell ref="G8:L8"/>
    <mergeCell ref="M8:O8"/>
    <mergeCell ref="W8:AB8"/>
    <mergeCell ref="AC8:AE8"/>
    <mergeCell ref="AM8:AR8"/>
    <mergeCell ref="AS8:AU8"/>
    <mergeCell ref="F17:J17"/>
    <mergeCell ref="K17:M17"/>
    <mergeCell ref="P17:T17"/>
    <mergeCell ref="V17:AF17"/>
    <mergeCell ref="AH17:AQ17"/>
    <mergeCell ref="N69:R69"/>
    <mergeCell ref="B67:L67"/>
    <mergeCell ref="B68:L68"/>
    <mergeCell ref="B69:L69"/>
    <mergeCell ref="B70:L70"/>
    <mergeCell ref="B71:L71"/>
    <mergeCell ref="B72:L72"/>
    <mergeCell ref="B73:L73"/>
    <mergeCell ref="B74:L74"/>
    <mergeCell ref="B75:L75"/>
    <mergeCell ref="B76:L76"/>
    <mergeCell ref="B77:L77"/>
    <mergeCell ref="B78:L78"/>
    <mergeCell ref="B79:L79"/>
    <mergeCell ref="B80:L80"/>
    <mergeCell ref="K15:M15"/>
    <mergeCell ref="P15:T15"/>
    <mergeCell ref="X49:AA49"/>
    <mergeCell ref="F16:J16"/>
    <mergeCell ref="K16:M16"/>
    <mergeCell ref="P16:T16"/>
    <mergeCell ref="V16:AF16"/>
    <mergeCell ref="AH16:AQ16"/>
    <mergeCell ref="AS16:AT16"/>
    <mergeCell ref="AW16:AY16"/>
    <mergeCell ref="BB28:BK28"/>
    <mergeCell ref="BA3:BJ5"/>
    <mergeCell ref="BA8:BN9"/>
    <mergeCell ref="BA24:BN25"/>
    <mergeCell ref="BA41:BN42"/>
    <mergeCell ref="BA58:BN59"/>
    <mergeCell ref="BA70:BN71"/>
    <mergeCell ref="AA63:AK63"/>
    <mergeCell ref="AA64:AK64"/>
    <mergeCell ref="AA65:AK65"/>
    <mergeCell ref="AA66:AK66"/>
    <mergeCell ref="AA67:AK67"/>
    <mergeCell ref="AA68:AK68"/>
    <mergeCell ref="AA69:AK69"/>
    <mergeCell ref="AA70:AK70"/>
    <mergeCell ref="AA71:AK71"/>
    <mergeCell ref="G7:L7"/>
    <mergeCell ref="M7:O7"/>
    <mergeCell ref="W7:AB7"/>
    <mergeCell ref="AC7:AE7"/>
    <mergeCell ref="AM7:AR7"/>
    <mergeCell ref="S4:AC4"/>
    <mergeCell ref="F14:J14"/>
    <mergeCell ref="K14:M14"/>
    <mergeCell ref="P14:T14"/>
    <mergeCell ref="V14:AF14"/>
    <mergeCell ref="AH14:AQ14"/>
    <mergeCell ref="AS14:AT14"/>
    <mergeCell ref="AW14:AY14"/>
    <mergeCell ref="P12:T12"/>
    <mergeCell ref="V12:AF12"/>
    <mergeCell ref="AH12:AQ12"/>
    <mergeCell ref="AS12:AT12"/>
    <mergeCell ref="AW12:AY12"/>
    <mergeCell ref="F13:J13"/>
    <mergeCell ref="K13:M13"/>
    <mergeCell ref="P13:T13"/>
    <mergeCell ref="V13:AF13"/>
    <mergeCell ref="AH13:AQ13"/>
    <mergeCell ref="F10:J11"/>
    <mergeCell ref="V10:Z11"/>
    <mergeCell ref="AN10:AR11"/>
    <mergeCell ref="G9:L9"/>
    <mergeCell ref="M9:O9"/>
    <mergeCell ref="V15:AF15"/>
    <mergeCell ref="AH15:AQ15"/>
    <mergeCell ref="AS15:AT15"/>
    <mergeCell ref="F21:J21"/>
    <mergeCell ref="K21:M21"/>
    <mergeCell ref="P21:T21"/>
    <mergeCell ref="V21:AF21"/>
    <mergeCell ref="AH21:AQ21"/>
    <mergeCell ref="AS21:AT21"/>
    <mergeCell ref="AW21:AY21"/>
    <mergeCell ref="F20:J20"/>
    <mergeCell ref="K20:M20"/>
    <mergeCell ref="P20:T20"/>
    <mergeCell ref="V20:AF20"/>
    <mergeCell ref="AH20:AQ20"/>
    <mergeCell ref="AS20:AT20"/>
    <mergeCell ref="AW18:AY18"/>
    <mergeCell ref="F19:J19"/>
    <mergeCell ref="K19:M19"/>
    <mergeCell ref="P19:T19"/>
    <mergeCell ref="V19:AF19"/>
    <mergeCell ref="AH19:AQ19"/>
    <mergeCell ref="AS19:AT19"/>
    <mergeCell ref="AW19:AY19"/>
    <mergeCell ref="K18:M18"/>
    <mergeCell ref="P18:T18"/>
    <mergeCell ref="V18:AF18"/>
    <mergeCell ref="AH18:AQ18"/>
    <mergeCell ref="AS18:AT18"/>
    <mergeCell ref="H18:J18"/>
    <mergeCell ref="AS17:AT17"/>
    <mergeCell ref="F15:J15"/>
    <mergeCell ref="F24:J24"/>
    <mergeCell ref="K24:M24"/>
    <mergeCell ref="AH24:AQ24"/>
    <mergeCell ref="AS24:AT24"/>
    <mergeCell ref="AW24:AY24"/>
    <mergeCell ref="AW22:AY22"/>
    <mergeCell ref="F23:J23"/>
    <mergeCell ref="K23:M23"/>
    <mergeCell ref="Z23:AE24"/>
    <mergeCell ref="AH23:AQ23"/>
    <mergeCell ref="AS23:AT23"/>
    <mergeCell ref="AW23:AY23"/>
    <mergeCell ref="F22:J22"/>
    <mergeCell ref="K22:M22"/>
    <mergeCell ref="P22:T22"/>
    <mergeCell ref="V22:AF22"/>
    <mergeCell ref="AH22:AQ22"/>
    <mergeCell ref="AS22:AT22"/>
    <mergeCell ref="P23:V24"/>
    <mergeCell ref="F28:J28"/>
    <mergeCell ref="K28:M28"/>
    <mergeCell ref="P28:U29"/>
    <mergeCell ref="Z28:AD29"/>
    <mergeCell ref="AH28:AQ28"/>
    <mergeCell ref="AS28:AT28"/>
    <mergeCell ref="AW28:AY28"/>
    <mergeCell ref="F29:J29"/>
    <mergeCell ref="F27:J27"/>
    <mergeCell ref="K27:M27"/>
    <mergeCell ref="P27:V27"/>
    <mergeCell ref="AH27:AQ27"/>
    <mergeCell ref="AS27:AT27"/>
    <mergeCell ref="AW27:AY27"/>
    <mergeCell ref="AW25:AY25"/>
    <mergeCell ref="F26:J26"/>
    <mergeCell ref="K26:M26"/>
    <mergeCell ref="P26:V26"/>
    <mergeCell ref="Y26:AF26"/>
    <mergeCell ref="AH26:AQ26"/>
    <mergeCell ref="AS26:AT26"/>
    <mergeCell ref="AW26:AY26"/>
    <mergeCell ref="F25:J25"/>
    <mergeCell ref="K25:M25"/>
    <mergeCell ref="P25:V25"/>
    <mergeCell ref="Y25:AF25"/>
    <mergeCell ref="AH25:AQ25"/>
    <mergeCell ref="AS25:AT25"/>
    <mergeCell ref="F31:J31"/>
    <mergeCell ref="K31:M31"/>
    <mergeCell ref="P31:U32"/>
    <mergeCell ref="AH31:AQ31"/>
    <mergeCell ref="AS31:AT31"/>
    <mergeCell ref="AW31:AY31"/>
    <mergeCell ref="F32:J32"/>
    <mergeCell ref="K32:M32"/>
    <mergeCell ref="K29:M29"/>
    <mergeCell ref="AH29:AQ29"/>
    <mergeCell ref="AS29:AT29"/>
    <mergeCell ref="AW29:AY29"/>
    <mergeCell ref="F30:J30"/>
    <mergeCell ref="K30:M30"/>
    <mergeCell ref="O30:V30"/>
    <mergeCell ref="Y30:AE30"/>
    <mergeCell ref="AH30:AQ30"/>
    <mergeCell ref="F35:J35"/>
    <mergeCell ref="K35:M35"/>
    <mergeCell ref="P35:U36"/>
    <mergeCell ref="AA35:AE36"/>
    <mergeCell ref="AP35:AW36"/>
    <mergeCell ref="AH33:AQ33"/>
    <mergeCell ref="AS33:AT33"/>
    <mergeCell ref="AW33:AY33"/>
    <mergeCell ref="F34:J34"/>
    <mergeCell ref="K34:M34"/>
    <mergeCell ref="X34:AA34"/>
    <mergeCell ref="AB34:AF34"/>
    <mergeCell ref="AH34:AQ34"/>
    <mergeCell ref="AS34:AT34"/>
    <mergeCell ref="AW34:AY34"/>
    <mergeCell ref="F33:J33"/>
    <mergeCell ref="K33:M33"/>
    <mergeCell ref="O33:V33"/>
    <mergeCell ref="X33:AA33"/>
    <mergeCell ref="AB33:AC33"/>
    <mergeCell ref="AE33:AF33"/>
    <mergeCell ref="F42:J42"/>
    <mergeCell ref="K42:M42"/>
    <mergeCell ref="X42:AA42"/>
    <mergeCell ref="AR42:AX42"/>
    <mergeCell ref="F38:J38"/>
    <mergeCell ref="K38:M38"/>
    <mergeCell ref="D39:K40"/>
    <mergeCell ref="AD39:AH40"/>
    <mergeCell ref="P41:Q41"/>
    <mergeCell ref="X41:AA41"/>
    <mergeCell ref="F36:J36"/>
    <mergeCell ref="K36:M36"/>
    <mergeCell ref="F37:J37"/>
    <mergeCell ref="K37:M37"/>
    <mergeCell ref="O37:V37"/>
    <mergeCell ref="O42:Q42"/>
    <mergeCell ref="AR41:AX41"/>
    <mergeCell ref="S41:W41"/>
    <mergeCell ref="S42:W42"/>
    <mergeCell ref="AB41:AC41"/>
    <mergeCell ref="AB42:AC42"/>
    <mergeCell ref="F45:J45"/>
    <mergeCell ref="K45:M45"/>
    <mergeCell ref="X45:AA45"/>
    <mergeCell ref="AR45:AX45"/>
    <mergeCell ref="F44:J44"/>
    <mergeCell ref="K44:M44"/>
    <mergeCell ref="X44:AA44"/>
    <mergeCell ref="AR44:AX44"/>
    <mergeCell ref="F43:J43"/>
    <mergeCell ref="K43:M43"/>
    <mergeCell ref="X43:AA43"/>
    <mergeCell ref="AR43:AX43"/>
    <mergeCell ref="O43:Q43"/>
    <mergeCell ref="O44:Q44"/>
    <mergeCell ref="O45:Q45"/>
    <mergeCell ref="S43:W43"/>
    <mergeCell ref="S44:W44"/>
    <mergeCell ref="S45:W45"/>
    <mergeCell ref="AB43:AC43"/>
    <mergeCell ref="AB44:AC44"/>
    <mergeCell ref="AB45:AC45"/>
    <mergeCell ref="AR49:AX49"/>
    <mergeCell ref="F47:J47"/>
    <mergeCell ref="K47:M47"/>
    <mergeCell ref="X47:AA47"/>
    <mergeCell ref="AR47:AX47"/>
    <mergeCell ref="F46:J46"/>
    <mergeCell ref="K46:M46"/>
    <mergeCell ref="X46:AA46"/>
    <mergeCell ref="AR46:AX46"/>
    <mergeCell ref="O46:Q46"/>
    <mergeCell ref="O47:Q47"/>
    <mergeCell ref="O48:Q48"/>
    <mergeCell ref="O49:Q49"/>
    <mergeCell ref="S46:W46"/>
    <mergeCell ref="S47:W47"/>
    <mergeCell ref="S48:W48"/>
    <mergeCell ref="S49:W49"/>
    <mergeCell ref="AB46:AC46"/>
    <mergeCell ref="AB47:AC47"/>
    <mergeCell ref="AB48:AC48"/>
    <mergeCell ref="AB49:AC49"/>
    <mergeCell ref="A58:A59"/>
    <mergeCell ref="B58:B59"/>
    <mergeCell ref="B55:G55"/>
    <mergeCell ref="I55:J55"/>
    <mergeCell ref="V55:AA55"/>
    <mergeCell ref="B56:G56"/>
    <mergeCell ref="I56:J56"/>
    <mergeCell ref="V56:AA56"/>
    <mergeCell ref="T52:T53"/>
    <mergeCell ref="AB52:AB53"/>
    <mergeCell ref="B53:G53"/>
    <mergeCell ref="I53:J53"/>
    <mergeCell ref="B54:G54"/>
    <mergeCell ref="I54:J54"/>
    <mergeCell ref="V54:AA54"/>
    <mergeCell ref="K52:K53"/>
    <mergeCell ref="L52:L53"/>
    <mergeCell ref="M52:M53"/>
    <mergeCell ref="N52:N53"/>
    <mergeCell ref="P52:P53"/>
    <mergeCell ref="R52:R53"/>
    <mergeCell ref="AS62:AX62"/>
    <mergeCell ref="N63:R63"/>
    <mergeCell ref="T63:Y63"/>
    <mergeCell ref="AM63:AQ63"/>
    <mergeCell ref="AS63:AX63"/>
    <mergeCell ref="X60:AB61"/>
    <mergeCell ref="B62:J62"/>
    <mergeCell ref="N62:R62"/>
    <mergeCell ref="T62:Y62"/>
    <mergeCell ref="AA62:AI62"/>
    <mergeCell ref="AM62:AQ62"/>
    <mergeCell ref="N66:R66"/>
    <mergeCell ref="T66:Y66"/>
    <mergeCell ref="AM66:AQ66"/>
    <mergeCell ref="AS66:AX66"/>
    <mergeCell ref="N65:R65"/>
    <mergeCell ref="T65:Y65"/>
    <mergeCell ref="AM65:AQ65"/>
    <mergeCell ref="AS65:AX65"/>
    <mergeCell ref="N64:R64"/>
    <mergeCell ref="T64:Y64"/>
    <mergeCell ref="AM64:AQ64"/>
    <mergeCell ref="AS64:AX64"/>
    <mergeCell ref="B63:L63"/>
    <mergeCell ref="B64:L64"/>
    <mergeCell ref="B65:L65"/>
    <mergeCell ref="B66:L66"/>
    <mergeCell ref="T69:Y69"/>
    <mergeCell ref="AM69:AQ69"/>
    <mergeCell ref="AS69:AX69"/>
    <mergeCell ref="N68:R68"/>
    <mergeCell ref="T68:Y68"/>
    <mergeCell ref="AM68:AQ68"/>
    <mergeCell ref="AS68:AX68"/>
    <mergeCell ref="N67:R67"/>
    <mergeCell ref="T67:Y67"/>
    <mergeCell ref="AM67:AQ67"/>
    <mergeCell ref="AS67:AX67"/>
    <mergeCell ref="N72:R72"/>
    <mergeCell ref="T72:Y72"/>
    <mergeCell ref="AM72:AQ72"/>
    <mergeCell ref="AS72:AX72"/>
    <mergeCell ref="N71:R71"/>
    <mergeCell ref="T71:Y71"/>
    <mergeCell ref="AM71:AQ71"/>
    <mergeCell ref="AS71:AX71"/>
    <mergeCell ref="N70:R70"/>
    <mergeCell ref="T70:Y70"/>
    <mergeCell ref="AM70:AQ70"/>
    <mergeCell ref="AS70:AX70"/>
    <mergeCell ref="AA72:AK72"/>
    <mergeCell ref="N75:R75"/>
    <mergeCell ref="T75:Y75"/>
    <mergeCell ref="AM75:AQ75"/>
    <mergeCell ref="AS75:AX75"/>
    <mergeCell ref="N74:R74"/>
    <mergeCell ref="T74:Y74"/>
    <mergeCell ref="AM74:AQ74"/>
    <mergeCell ref="AS74:AX74"/>
    <mergeCell ref="N73:R73"/>
    <mergeCell ref="T73:Y73"/>
    <mergeCell ref="AM73:AQ73"/>
    <mergeCell ref="AS73:AX73"/>
    <mergeCell ref="N78:R78"/>
    <mergeCell ref="T78:Y78"/>
    <mergeCell ref="AM78:AQ78"/>
    <mergeCell ref="AS78:AX78"/>
    <mergeCell ref="N77:R77"/>
    <mergeCell ref="T77:Y77"/>
    <mergeCell ref="AM77:AQ77"/>
    <mergeCell ref="AS77:AX77"/>
    <mergeCell ref="N76:R76"/>
    <mergeCell ref="T76:Y76"/>
    <mergeCell ref="AM76:AQ76"/>
    <mergeCell ref="AS76:AX76"/>
    <mergeCell ref="AA73:AK73"/>
    <mergeCell ref="AA74:AK74"/>
    <mergeCell ref="AA75:AK75"/>
    <mergeCell ref="AA76:AK76"/>
    <mergeCell ref="AA77:AK77"/>
    <mergeCell ref="AA78:AK78"/>
    <mergeCell ref="N81:R81"/>
    <mergeCell ref="T81:Y81"/>
    <mergeCell ref="AM81:AQ81"/>
    <mergeCell ref="AS81:AX81"/>
    <mergeCell ref="N80:R80"/>
    <mergeCell ref="T80:Y80"/>
    <mergeCell ref="AM80:AQ80"/>
    <mergeCell ref="AS80:AX80"/>
    <mergeCell ref="N79:R79"/>
    <mergeCell ref="T79:Y79"/>
    <mergeCell ref="AM79:AQ79"/>
    <mergeCell ref="AS79:AX79"/>
    <mergeCell ref="B81:L81"/>
    <mergeCell ref="AA80:AK80"/>
    <mergeCell ref="AA81:AK81"/>
    <mergeCell ref="N84:R84"/>
    <mergeCell ref="T84:Y84"/>
    <mergeCell ref="AM84:AQ84"/>
    <mergeCell ref="AS84:AX84"/>
    <mergeCell ref="N83:R83"/>
    <mergeCell ref="T83:Y83"/>
    <mergeCell ref="AM83:AQ83"/>
    <mergeCell ref="AS83:AX83"/>
    <mergeCell ref="N82:R82"/>
    <mergeCell ref="T82:Y82"/>
    <mergeCell ref="AM82:AQ82"/>
    <mergeCell ref="AS82:AX82"/>
    <mergeCell ref="B82:L82"/>
    <mergeCell ref="B83:L83"/>
    <mergeCell ref="B84:L84"/>
    <mergeCell ref="AA82:AK82"/>
    <mergeCell ref="AA83:AK83"/>
    <mergeCell ref="AA84:AK84"/>
    <mergeCell ref="N87:R87"/>
    <mergeCell ref="T87:Y87"/>
    <mergeCell ref="AM87:AQ87"/>
    <mergeCell ref="AS87:AX87"/>
    <mergeCell ref="N86:R86"/>
    <mergeCell ref="T86:Y86"/>
    <mergeCell ref="AM86:AQ86"/>
    <mergeCell ref="AS86:AX86"/>
    <mergeCell ref="N85:R85"/>
    <mergeCell ref="T85:Y85"/>
    <mergeCell ref="AM85:AQ85"/>
    <mergeCell ref="AS85:AX85"/>
    <mergeCell ref="B85:L85"/>
    <mergeCell ref="B86:L86"/>
    <mergeCell ref="B87:L87"/>
    <mergeCell ref="AA85:AK85"/>
    <mergeCell ref="AA86:AK86"/>
    <mergeCell ref="AA87:AK87"/>
    <mergeCell ref="B95:S95"/>
    <mergeCell ref="U95:Y95"/>
    <mergeCell ref="AA95:AR95"/>
    <mergeCell ref="AT95:AX95"/>
    <mergeCell ref="B96:S96"/>
    <mergeCell ref="U96:Y96"/>
    <mergeCell ref="AA96:AR96"/>
    <mergeCell ref="AT96:AX96"/>
    <mergeCell ref="B93:S93"/>
    <mergeCell ref="U93:Y93"/>
    <mergeCell ref="AA93:AR93"/>
    <mergeCell ref="AT93:AX93"/>
    <mergeCell ref="B94:S94"/>
    <mergeCell ref="U94:Y94"/>
    <mergeCell ref="AA94:AR94"/>
    <mergeCell ref="AT94:AX94"/>
    <mergeCell ref="X89:AB90"/>
    <mergeCell ref="B91:S91"/>
    <mergeCell ref="U91:Y91"/>
    <mergeCell ref="AA91:AR91"/>
    <mergeCell ref="AT91:AX91"/>
    <mergeCell ref="B92:S92"/>
    <mergeCell ref="U92:Y92"/>
    <mergeCell ref="AA92:AR92"/>
    <mergeCell ref="AT92:AX92"/>
    <mergeCell ref="B101:S101"/>
    <mergeCell ref="U101:Y101"/>
    <mergeCell ref="AA101:AR101"/>
    <mergeCell ref="AT101:AX101"/>
    <mergeCell ref="B102:S102"/>
    <mergeCell ref="U102:Y102"/>
    <mergeCell ref="AA102:AR102"/>
    <mergeCell ref="AT102:AX102"/>
    <mergeCell ref="B99:S99"/>
    <mergeCell ref="U99:Y99"/>
    <mergeCell ref="AA99:AR99"/>
    <mergeCell ref="AT99:AX99"/>
    <mergeCell ref="B100:S100"/>
    <mergeCell ref="U100:Y100"/>
    <mergeCell ref="AA100:AR100"/>
    <mergeCell ref="AT100:AX100"/>
    <mergeCell ref="B97:S97"/>
    <mergeCell ref="U97:Y97"/>
    <mergeCell ref="AA97:AR97"/>
    <mergeCell ref="AT97:AX97"/>
    <mergeCell ref="B98:S98"/>
    <mergeCell ref="U98:Y98"/>
    <mergeCell ref="AA98:AR98"/>
    <mergeCell ref="AT98:AX98"/>
    <mergeCell ref="B105:S105"/>
    <mergeCell ref="U105:Y105"/>
    <mergeCell ref="AA105:AR105"/>
    <mergeCell ref="AT105:AX105"/>
    <mergeCell ref="W106:AC107"/>
    <mergeCell ref="A108:AY113"/>
    <mergeCell ref="B103:S103"/>
    <mergeCell ref="U103:Y103"/>
    <mergeCell ref="AA103:AR103"/>
    <mergeCell ref="AT103:AX103"/>
    <mergeCell ref="B104:S104"/>
    <mergeCell ref="U104:Y104"/>
    <mergeCell ref="AA104:AR104"/>
    <mergeCell ref="AT104:AX104"/>
    <mergeCell ref="AN117:AR117"/>
    <mergeCell ref="AT117:AU117"/>
    <mergeCell ref="AW117:AY117"/>
    <mergeCell ref="A118:A120"/>
    <mergeCell ref="B118:F118"/>
    <mergeCell ref="H118:L118"/>
    <mergeCell ref="N118:AA118"/>
    <mergeCell ref="AC118:AG118"/>
    <mergeCell ref="AI118:AL118"/>
    <mergeCell ref="AN118:AR118"/>
    <mergeCell ref="V115:Z116"/>
    <mergeCell ref="B117:F117"/>
    <mergeCell ref="H117:L117"/>
    <mergeCell ref="N117:AA117"/>
    <mergeCell ref="AC117:AG117"/>
    <mergeCell ref="AI117:AL117"/>
    <mergeCell ref="AT121:AU121"/>
    <mergeCell ref="AW121:AY121"/>
    <mergeCell ref="B122:AY123"/>
    <mergeCell ref="A124:A126"/>
    <mergeCell ref="B124:F124"/>
    <mergeCell ref="H124:L124"/>
    <mergeCell ref="N124:AA124"/>
    <mergeCell ref="AC124:AG124"/>
    <mergeCell ref="AI124:AL124"/>
    <mergeCell ref="AN124:AR124"/>
    <mergeCell ref="AT118:AU118"/>
    <mergeCell ref="AW118:AY118"/>
    <mergeCell ref="B119:AY120"/>
    <mergeCell ref="A121:A123"/>
    <mergeCell ref="B121:F121"/>
    <mergeCell ref="H121:L121"/>
    <mergeCell ref="N121:AA121"/>
    <mergeCell ref="AC121:AG121"/>
    <mergeCell ref="AI121:AL121"/>
    <mergeCell ref="AN121:AR121"/>
    <mergeCell ref="AT127:AU127"/>
    <mergeCell ref="AW127:AY127"/>
    <mergeCell ref="B128:AY129"/>
    <mergeCell ref="A130:A132"/>
    <mergeCell ref="B130:F130"/>
    <mergeCell ref="H130:L130"/>
    <mergeCell ref="N130:AA130"/>
    <mergeCell ref="AC130:AG130"/>
    <mergeCell ref="AI130:AL130"/>
    <mergeCell ref="AN130:AR130"/>
    <mergeCell ref="AT124:AU124"/>
    <mergeCell ref="AW124:AY124"/>
    <mergeCell ref="B125:AY126"/>
    <mergeCell ref="A127:A129"/>
    <mergeCell ref="B127:F127"/>
    <mergeCell ref="H127:L127"/>
    <mergeCell ref="N127:AA127"/>
    <mergeCell ref="AC127:AG127"/>
    <mergeCell ref="AI127:AL127"/>
    <mergeCell ref="AN127:AR127"/>
    <mergeCell ref="AT133:AU133"/>
    <mergeCell ref="AW133:AY133"/>
    <mergeCell ref="B134:AY135"/>
    <mergeCell ref="A136:A138"/>
    <mergeCell ref="B136:F136"/>
    <mergeCell ref="H136:L136"/>
    <mergeCell ref="N136:AA136"/>
    <mergeCell ref="AC136:AG136"/>
    <mergeCell ref="AI136:AL136"/>
    <mergeCell ref="AN136:AR136"/>
    <mergeCell ref="AT130:AU130"/>
    <mergeCell ref="AW130:AY130"/>
    <mergeCell ref="B131:AY132"/>
    <mergeCell ref="A133:A135"/>
    <mergeCell ref="B133:F133"/>
    <mergeCell ref="H133:L133"/>
    <mergeCell ref="N133:AA133"/>
    <mergeCell ref="AC133:AG133"/>
    <mergeCell ref="AI133:AL133"/>
    <mergeCell ref="AN133:AR133"/>
    <mergeCell ref="AT139:AU139"/>
    <mergeCell ref="AW139:AY139"/>
    <mergeCell ref="B140:AY141"/>
    <mergeCell ref="A142:A144"/>
    <mergeCell ref="B142:F142"/>
    <mergeCell ref="H142:L142"/>
    <mergeCell ref="N142:AA142"/>
    <mergeCell ref="AC142:AG142"/>
    <mergeCell ref="AI142:AL142"/>
    <mergeCell ref="AN142:AR142"/>
    <mergeCell ref="AT136:AU136"/>
    <mergeCell ref="AW136:AY136"/>
    <mergeCell ref="B137:AY138"/>
    <mergeCell ref="A139:A141"/>
    <mergeCell ref="B139:F139"/>
    <mergeCell ref="H139:L139"/>
    <mergeCell ref="N139:AA139"/>
    <mergeCell ref="AC139:AG139"/>
    <mergeCell ref="AI139:AL139"/>
    <mergeCell ref="AN139:AR139"/>
    <mergeCell ref="AT145:AU145"/>
    <mergeCell ref="AW145:AY145"/>
    <mergeCell ref="B146:AY147"/>
    <mergeCell ref="A148:A150"/>
    <mergeCell ref="B148:F148"/>
    <mergeCell ref="H148:L148"/>
    <mergeCell ref="N148:AA148"/>
    <mergeCell ref="AC148:AG148"/>
    <mergeCell ref="AI148:AL148"/>
    <mergeCell ref="AN148:AR148"/>
    <mergeCell ref="AT142:AU142"/>
    <mergeCell ref="AW142:AY142"/>
    <mergeCell ref="B143:AY144"/>
    <mergeCell ref="A145:A147"/>
    <mergeCell ref="B145:F145"/>
    <mergeCell ref="H145:L145"/>
    <mergeCell ref="N145:AA145"/>
    <mergeCell ref="AC145:AG145"/>
    <mergeCell ref="AI145:AL145"/>
    <mergeCell ref="AN145:AR145"/>
    <mergeCell ref="AT151:AU151"/>
    <mergeCell ref="AW151:AY151"/>
    <mergeCell ref="B152:AY153"/>
    <mergeCell ref="A154:A156"/>
    <mergeCell ref="B154:F154"/>
    <mergeCell ref="H154:L154"/>
    <mergeCell ref="N154:AA154"/>
    <mergeCell ref="AC154:AG154"/>
    <mergeCell ref="AI154:AL154"/>
    <mergeCell ref="AN154:AR154"/>
    <mergeCell ref="AT148:AU148"/>
    <mergeCell ref="AW148:AY148"/>
    <mergeCell ref="B149:AY150"/>
    <mergeCell ref="A151:A153"/>
    <mergeCell ref="B151:F151"/>
    <mergeCell ref="H151:L151"/>
    <mergeCell ref="N151:AA151"/>
    <mergeCell ref="AC151:AG151"/>
    <mergeCell ref="AI151:AL151"/>
    <mergeCell ref="AN151:AR151"/>
    <mergeCell ref="AT157:AU157"/>
    <mergeCell ref="AW157:AY157"/>
    <mergeCell ref="B158:AY159"/>
    <mergeCell ref="A160:A162"/>
    <mergeCell ref="B160:F160"/>
    <mergeCell ref="H160:L160"/>
    <mergeCell ref="N160:AA160"/>
    <mergeCell ref="AC160:AG160"/>
    <mergeCell ref="AI160:AL160"/>
    <mergeCell ref="AN160:AR160"/>
    <mergeCell ref="AT154:AU154"/>
    <mergeCell ref="AW154:AY154"/>
    <mergeCell ref="B155:AY156"/>
    <mergeCell ref="A157:A159"/>
    <mergeCell ref="B157:F157"/>
    <mergeCell ref="H157:L157"/>
    <mergeCell ref="N157:AA157"/>
    <mergeCell ref="AC157:AG157"/>
    <mergeCell ref="AI157:AL157"/>
    <mergeCell ref="AN157:AR157"/>
    <mergeCell ref="A166:A168"/>
    <mergeCell ref="B166:F166"/>
    <mergeCell ref="H166:L166"/>
    <mergeCell ref="N166:AA166"/>
    <mergeCell ref="AC166:AG166"/>
    <mergeCell ref="AI166:AL166"/>
    <mergeCell ref="AN166:AR166"/>
    <mergeCell ref="AT160:AU160"/>
    <mergeCell ref="AW160:AY160"/>
    <mergeCell ref="B161:AY162"/>
    <mergeCell ref="A163:A165"/>
    <mergeCell ref="B163:F163"/>
    <mergeCell ref="H163:L163"/>
    <mergeCell ref="N163:AA163"/>
    <mergeCell ref="AC163:AG163"/>
    <mergeCell ref="AI163:AL163"/>
    <mergeCell ref="AN163:AR163"/>
    <mergeCell ref="AT166:AU166"/>
    <mergeCell ref="AW166:AY166"/>
    <mergeCell ref="B167:AY168"/>
    <mergeCell ref="AT163:AU163"/>
    <mergeCell ref="AW163:AY163"/>
    <mergeCell ref="B164:AY165"/>
    <mergeCell ref="A169:A171"/>
    <mergeCell ref="B169:F169"/>
    <mergeCell ref="H169:L169"/>
    <mergeCell ref="N169:AA169"/>
    <mergeCell ref="AC169:AG169"/>
    <mergeCell ref="AI169:AL169"/>
    <mergeCell ref="AN169:AR169"/>
    <mergeCell ref="AT172:AU172"/>
    <mergeCell ref="AW172:AY172"/>
    <mergeCell ref="B173:AY174"/>
    <mergeCell ref="A175:A177"/>
    <mergeCell ref="B175:F175"/>
    <mergeCell ref="H175:L175"/>
    <mergeCell ref="N175:AA175"/>
    <mergeCell ref="AC175:AG175"/>
    <mergeCell ref="AI175:AL175"/>
    <mergeCell ref="AN175:AR175"/>
    <mergeCell ref="AT169:AU169"/>
    <mergeCell ref="AW169:AY169"/>
    <mergeCell ref="B170:AY171"/>
    <mergeCell ref="A172:A174"/>
    <mergeCell ref="B172:F172"/>
    <mergeCell ref="H172:L172"/>
    <mergeCell ref="N172:AA172"/>
    <mergeCell ref="AC172:AG172"/>
    <mergeCell ref="AI172:AL172"/>
    <mergeCell ref="AN172:AR172"/>
    <mergeCell ref="AT178:AU178"/>
    <mergeCell ref="AW178:AY178"/>
    <mergeCell ref="B179:AY180"/>
    <mergeCell ref="A181:A183"/>
    <mergeCell ref="B181:F181"/>
    <mergeCell ref="H181:L181"/>
    <mergeCell ref="N181:AA181"/>
    <mergeCell ref="AC181:AG181"/>
    <mergeCell ref="AI181:AL181"/>
    <mergeCell ref="AN181:AR181"/>
    <mergeCell ref="AT175:AU175"/>
    <mergeCell ref="AW175:AY175"/>
    <mergeCell ref="B176:AY177"/>
    <mergeCell ref="A178:A180"/>
    <mergeCell ref="B178:F178"/>
    <mergeCell ref="H178:L178"/>
    <mergeCell ref="N178:AA178"/>
    <mergeCell ref="AC178:AG178"/>
    <mergeCell ref="AI178:AL178"/>
    <mergeCell ref="AN178:AR178"/>
    <mergeCell ref="AT184:AU184"/>
    <mergeCell ref="AW184:AY184"/>
    <mergeCell ref="B185:AY186"/>
    <mergeCell ref="A187:A189"/>
    <mergeCell ref="B187:F187"/>
    <mergeCell ref="H187:L187"/>
    <mergeCell ref="N187:AA187"/>
    <mergeCell ref="AC187:AG187"/>
    <mergeCell ref="AI187:AL187"/>
    <mergeCell ref="AN187:AR187"/>
    <mergeCell ref="AT181:AU181"/>
    <mergeCell ref="AW181:AY181"/>
    <mergeCell ref="B182:AY183"/>
    <mergeCell ref="A184:A186"/>
    <mergeCell ref="B184:F184"/>
    <mergeCell ref="H184:L184"/>
    <mergeCell ref="N184:AA184"/>
    <mergeCell ref="AC184:AG184"/>
    <mergeCell ref="AI184:AL184"/>
    <mergeCell ref="AN184:AR184"/>
    <mergeCell ref="AT190:AU190"/>
    <mergeCell ref="AW190:AY190"/>
    <mergeCell ref="B191:AY192"/>
    <mergeCell ref="A193:A195"/>
    <mergeCell ref="B193:F193"/>
    <mergeCell ref="H193:L193"/>
    <mergeCell ref="N193:AA193"/>
    <mergeCell ref="AC193:AG193"/>
    <mergeCell ref="AI193:AL193"/>
    <mergeCell ref="AN193:AR193"/>
    <mergeCell ref="AT187:AU187"/>
    <mergeCell ref="AW187:AY187"/>
    <mergeCell ref="B188:AY189"/>
    <mergeCell ref="A190:A192"/>
    <mergeCell ref="B190:F190"/>
    <mergeCell ref="H190:L190"/>
    <mergeCell ref="N190:AA190"/>
    <mergeCell ref="AC190:AG190"/>
    <mergeCell ref="AI190:AL190"/>
    <mergeCell ref="AN190:AR190"/>
    <mergeCell ref="AT196:AU196"/>
    <mergeCell ref="AW196:AY196"/>
    <mergeCell ref="B197:AY198"/>
    <mergeCell ref="A199:A201"/>
    <mergeCell ref="B199:F199"/>
    <mergeCell ref="H199:L199"/>
    <mergeCell ref="N199:AA199"/>
    <mergeCell ref="AC199:AG199"/>
    <mergeCell ref="AI199:AL199"/>
    <mergeCell ref="AN199:AR199"/>
    <mergeCell ref="AT193:AU193"/>
    <mergeCell ref="AW193:AY193"/>
    <mergeCell ref="B194:AY195"/>
    <mergeCell ref="A196:A198"/>
    <mergeCell ref="B196:F196"/>
    <mergeCell ref="H196:L196"/>
    <mergeCell ref="N196:AA196"/>
    <mergeCell ref="AC196:AG196"/>
    <mergeCell ref="AI196:AL196"/>
    <mergeCell ref="AN196:AR196"/>
    <mergeCell ref="AT202:AU202"/>
    <mergeCell ref="AW202:AY202"/>
    <mergeCell ref="B203:AY204"/>
    <mergeCell ref="A205:A207"/>
    <mergeCell ref="B205:F205"/>
    <mergeCell ref="H205:L205"/>
    <mergeCell ref="N205:AA205"/>
    <mergeCell ref="AC205:AG205"/>
    <mergeCell ref="AI205:AL205"/>
    <mergeCell ref="AN205:AR205"/>
    <mergeCell ref="AT199:AU199"/>
    <mergeCell ref="AW199:AY199"/>
    <mergeCell ref="B200:AY201"/>
    <mergeCell ref="A202:A204"/>
    <mergeCell ref="B202:F202"/>
    <mergeCell ref="H202:L202"/>
    <mergeCell ref="N202:AA202"/>
    <mergeCell ref="AC202:AG202"/>
    <mergeCell ref="AI202:AL202"/>
    <mergeCell ref="AN202:AR202"/>
    <mergeCell ref="AT208:AU208"/>
    <mergeCell ref="AW208:AY208"/>
    <mergeCell ref="B209:AY210"/>
    <mergeCell ref="A211:A213"/>
    <mergeCell ref="B211:F211"/>
    <mergeCell ref="H211:L211"/>
    <mergeCell ref="N211:AA211"/>
    <mergeCell ref="AC211:AG211"/>
    <mergeCell ref="AI211:AL211"/>
    <mergeCell ref="AN211:AR211"/>
    <mergeCell ref="AT205:AU205"/>
    <mergeCell ref="AW205:AY205"/>
    <mergeCell ref="B206:AY207"/>
    <mergeCell ref="A208:A210"/>
    <mergeCell ref="B208:F208"/>
    <mergeCell ref="H208:L208"/>
    <mergeCell ref="N208:AA208"/>
    <mergeCell ref="AC208:AG208"/>
    <mergeCell ref="AI208:AL208"/>
    <mergeCell ref="AN208:AR208"/>
    <mergeCell ref="A217:A219"/>
    <mergeCell ref="B217:F217"/>
    <mergeCell ref="H217:L217"/>
    <mergeCell ref="N217:AA217"/>
    <mergeCell ref="AC217:AG217"/>
    <mergeCell ref="AI217:AL217"/>
    <mergeCell ref="AN217:AR217"/>
    <mergeCell ref="AT211:AU211"/>
    <mergeCell ref="AW211:AY211"/>
    <mergeCell ref="B212:AY213"/>
    <mergeCell ref="A214:A216"/>
    <mergeCell ref="B214:F214"/>
    <mergeCell ref="H214:L214"/>
    <mergeCell ref="N214:AA214"/>
    <mergeCell ref="AC214:AG214"/>
    <mergeCell ref="AI214:AL214"/>
    <mergeCell ref="AN214:AR214"/>
    <mergeCell ref="AT217:AU217"/>
    <mergeCell ref="AW217:AY217"/>
    <mergeCell ref="B218:AY219"/>
    <mergeCell ref="AT214:AU214"/>
    <mergeCell ref="AW214:AY214"/>
    <mergeCell ref="B215:AY216"/>
    <mergeCell ref="A220:A222"/>
    <mergeCell ref="B220:F220"/>
    <mergeCell ref="H220:L220"/>
    <mergeCell ref="N220:AA220"/>
    <mergeCell ref="AC220:AG220"/>
    <mergeCell ref="AI220:AL220"/>
    <mergeCell ref="AN220:AR220"/>
    <mergeCell ref="AT223:AU223"/>
    <mergeCell ref="AW223:AY223"/>
    <mergeCell ref="B224:AY225"/>
    <mergeCell ref="A226:A228"/>
    <mergeCell ref="B226:F226"/>
    <mergeCell ref="H226:L226"/>
    <mergeCell ref="N226:AA226"/>
    <mergeCell ref="AC226:AG226"/>
    <mergeCell ref="AI226:AL226"/>
    <mergeCell ref="AN226:AR226"/>
    <mergeCell ref="AT220:AU220"/>
    <mergeCell ref="AW220:AY220"/>
    <mergeCell ref="B221:AY222"/>
    <mergeCell ref="A223:A225"/>
    <mergeCell ref="B223:F223"/>
    <mergeCell ref="H223:L223"/>
    <mergeCell ref="N223:AA223"/>
    <mergeCell ref="AC223:AG223"/>
    <mergeCell ref="AI223:AL223"/>
    <mergeCell ref="AN223:AR223"/>
    <mergeCell ref="AT229:AU229"/>
    <mergeCell ref="AW229:AY229"/>
    <mergeCell ref="B230:AY231"/>
    <mergeCell ref="A232:A234"/>
    <mergeCell ref="B232:F232"/>
    <mergeCell ref="H232:L232"/>
    <mergeCell ref="N232:AA232"/>
    <mergeCell ref="AC232:AG232"/>
    <mergeCell ref="AI232:AL232"/>
    <mergeCell ref="AN232:AR232"/>
    <mergeCell ref="AT226:AU226"/>
    <mergeCell ref="AW226:AY226"/>
    <mergeCell ref="B227:AY228"/>
    <mergeCell ref="A229:A231"/>
    <mergeCell ref="B229:F229"/>
    <mergeCell ref="H229:L229"/>
    <mergeCell ref="N229:AA229"/>
    <mergeCell ref="AC229:AG229"/>
    <mergeCell ref="AI229:AL229"/>
    <mergeCell ref="AN229:AR229"/>
    <mergeCell ref="AT235:AU235"/>
    <mergeCell ref="AW235:AY235"/>
    <mergeCell ref="B236:AY237"/>
    <mergeCell ref="A238:A240"/>
    <mergeCell ref="B238:F238"/>
    <mergeCell ref="H238:L238"/>
    <mergeCell ref="N238:AA238"/>
    <mergeCell ref="AC238:AG238"/>
    <mergeCell ref="AI238:AL238"/>
    <mergeCell ref="AN238:AR238"/>
    <mergeCell ref="AT232:AU232"/>
    <mergeCell ref="AW232:AY232"/>
    <mergeCell ref="B233:AY234"/>
    <mergeCell ref="A235:A237"/>
    <mergeCell ref="B235:F235"/>
    <mergeCell ref="H235:L235"/>
    <mergeCell ref="N235:AA235"/>
    <mergeCell ref="AC235:AG235"/>
    <mergeCell ref="AI235:AL235"/>
    <mergeCell ref="AN235:AR235"/>
    <mergeCell ref="AT241:AU241"/>
    <mergeCell ref="AW241:AY241"/>
    <mergeCell ref="B242:AY243"/>
    <mergeCell ref="A244:A246"/>
    <mergeCell ref="B244:F244"/>
    <mergeCell ref="H244:L244"/>
    <mergeCell ref="N244:AA244"/>
    <mergeCell ref="AC244:AG244"/>
    <mergeCell ref="AI244:AL244"/>
    <mergeCell ref="AN244:AR244"/>
    <mergeCell ref="AT238:AU238"/>
    <mergeCell ref="AW238:AY238"/>
    <mergeCell ref="B239:AY240"/>
    <mergeCell ref="A241:A243"/>
    <mergeCell ref="B241:F241"/>
    <mergeCell ref="H241:L241"/>
    <mergeCell ref="N241:AA241"/>
    <mergeCell ref="AC241:AG241"/>
    <mergeCell ref="AI241:AL241"/>
    <mergeCell ref="AN241:AR241"/>
    <mergeCell ref="AT247:AU247"/>
    <mergeCell ref="AW247:AY247"/>
    <mergeCell ref="B248:AY249"/>
    <mergeCell ref="A250:A252"/>
    <mergeCell ref="B250:F250"/>
    <mergeCell ref="H250:L250"/>
    <mergeCell ref="N250:AA250"/>
    <mergeCell ref="AC250:AG250"/>
    <mergeCell ref="AI250:AL250"/>
    <mergeCell ref="AN250:AR250"/>
    <mergeCell ref="AT244:AU244"/>
    <mergeCell ref="AW244:AY244"/>
    <mergeCell ref="B245:AY246"/>
    <mergeCell ref="A247:A249"/>
    <mergeCell ref="B247:F247"/>
    <mergeCell ref="H247:L247"/>
    <mergeCell ref="N247:AA247"/>
    <mergeCell ref="AC247:AG247"/>
    <mergeCell ref="AI247:AL247"/>
    <mergeCell ref="AN247:AR247"/>
    <mergeCell ref="AC259:AG259"/>
    <mergeCell ref="AI259:AL259"/>
    <mergeCell ref="AN259:AR259"/>
    <mergeCell ref="AT253:AU253"/>
    <mergeCell ref="AW253:AY253"/>
    <mergeCell ref="B254:AY255"/>
    <mergeCell ref="A256:A258"/>
    <mergeCell ref="B256:F256"/>
    <mergeCell ref="H256:L256"/>
    <mergeCell ref="N256:AA256"/>
    <mergeCell ref="AC256:AG256"/>
    <mergeCell ref="AI256:AL256"/>
    <mergeCell ref="AN256:AR256"/>
    <mergeCell ref="AT250:AU250"/>
    <mergeCell ref="AW250:AY250"/>
    <mergeCell ref="B251:AY252"/>
    <mergeCell ref="A253:A255"/>
    <mergeCell ref="B253:F253"/>
    <mergeCell ref="H253:L253"/>
    <mergeCell ref="N253:AA253"/>
    <mergeCell ref="AC253:AG253"/>
    <mergeCell ref="AI253:AL253"/>
    <mergeCell ref="AN253:AR253"/>
    <mergeCell ref="BH7:BN7"/>
    <mergeCell ref="AT265:AU265"/>
    <mergeCell ref="AW265:AY265"/>
    <mergeCell ref="B266:AY267"/>
    <mergeCell ref="AT262:AU262"/>
    <mergeCell ref="AW262:AY262"/>
    <mergeCell ref="B263:AY264"/>
    <mergeCell ref="A265:A267"/>
    <mergeCell ref="B265:F265"/>
    <mergeCell ref="H265:L265"/>
    <mergeCell ref="N265:AA265"/>
    <mergeCell ref="AC265:AG265"/>
    <mergeCell ref="AI265:AL265"/>
    <mergeCell ref="AN265:AR265"/>
    <mergeCell ref="AT259:AU259"/>
    <mergeCell ref="AW259:AY259"/>
    <mergeCell ref="B260:AY261"/>
    <mergeCell ref="A262:A264"/>
    <mergeCell ref="B262:F262"/>
    <mergeCell ref="H262:L262"/>
    <mergeCell ref="N262:AA262"/>
    <mergeCell ref="AC262:AG262"/>
    <mergeCell ref="AI262:AL262"/>
    <mergeCell ref="AN262:AR262"/>
    <mergeCell ref="AT256:AU256"/>
    <mergeCell ref="AW256:AY256"/>
    <mergeCell ref="B257:AY258"/>
    <mergeCell ref="A259:A261"/>
    <mergeCell ref="B259:F259"/>
    <mergeCell ref="AZ44:BT47"/>
    <mergeCell ref="H259:L259"/>
    <mergeCell ref="N259:AA259"/>
  </mergeCells>
  <conditionalFormatting sqref="AW13:AY13">
    <cfRule type="expression" dxfId="13" priority="11">
      <formula>AU13=0</formula>
    </cfRule>
  </conditionalFormatting>
  <conditionalFormatting sqref="AW14:AY34">
    <cfRule type="expression" dxfId="12" priority="10">
      <formula>AU14=0</formula>
    </cfRule>
  </conditionalFormatting>
  <conditionalFormatting sqref="BA8:BN9">
    <cfRule type="expression" dxfId="11" priority="8">
      <formula>$BH$7-$BA$3=0</formula>
    </cfRule>
  </conditionalFormatting>
  <conditionalFormatting sqref="BA24:BN25">
    <cfRule type="expression" dxfId="10" priority="7">
      <formula>$BH$7-$BA$3=0</formula>
    </cfRule>
  </conditionalFormatting>
  <conditionalFormatting sqref="BA41:BN42">
    <cfRule type="expression" dxfId="9" priority="6">
      <formula>$BH$7-$BA$3=0</formula>
    </cfRule>
  </conditionalFormatting>
  <conditionalFormatting sqref="BA58:BN59">
    <cfRule type="expression" dxfId="8" priority="5">
      <formula>$BH$7-$BA$3=0</formula>
    </cfRule>
  </conditionalFormatting>
  <conditionalFormatting sqref="BA89:BN90">
    <cfRule type="expression" dxfId="7" priority="4">
      <formula>$BH$7-$BA$3=0</formula>
    </cfRule>
  </conditionalFormatting>
  <conditionalFormatting sqref="BA116:BN117">
    <cfRule type="expression" dxfId="6" priority="3">
      <formula>$BH$7-$BA$3=0</formula>
    </cfRule>
  </conditionalFormatting>
  <conditionalFormatting sqref="BA135:BN136">
    <cfRule type="expression" dxfId="5" priority="2">
      <formula>$BH$7-$BA$3=0</formula>
    </cfRule>
  </conditionalFormatting>
  <conditionalFormatting sqref="BA152:BN153">
    <cfRule type="expression" dxfId="4" priority="1">
      <formula>$BH$7-$BA$3=0</formula>
    </cfRule>
  </conditionalFormatting>
  <dataValidations count="6">
    <dataValidation type="list" allowBlank="1" showInputMessage="1" sqref="AH13:AQ29" xr:uid="{00000000-0002-0000-0200-000000000000}">
      <formula1>list_merits</formula1>
    </dataValidation>
    <dataValidation type="list" allowBlank="1" showInputMessage="1" showErrorMessage="1" sqref="D13:D38" xr:uid="{00000000-0002-0000-0200-000001000000}">
      <formula1>spe_abilities</formula1>
    </dataValidation>
    <dataValidation allowBlank="1" showInputMessage="1" sqref="AH30:AQ34 AS13:AT34" xr:uid="{00000000-0002-0000-0200-000002000000}"/>
    <dataValidation type="list" allowBlank="1" showInputMessage="1" sqref="B166:F166 B169:F169 B172:F172 B175:F175 B118:F118 B259:F259 B178:F178 B181:F181 B238:F238 B262:F262 B184:F184 B187:F187 B193:F193 B196:F196 B124:F124 B127:F127 B199:F199 B202:F202 B205:F205 B208:F208 B211:F211 B130:F130 B133:F133 B136:F136 B139:F139 B145:F145 B148:F148 B151:F151 B154:F154 B157:F157 B160:F160 B163:F163 B190:F190 B142:F142 B214:F214 B217:F217 B220:F220 B223:F223 B226:F226 B229:F229 B232:F232 B235:F235 B241:F241 B244:F244 B247:F247 B250:F250 B253:F253 B256:F256 B265:F265 B121:F121" xr:uid="{00000000-0002-0000-0200-000003000000}">
      <formula1>List_abilities</formula1>
    </dataValidation>
    <dataValidation type="list" showInputMessage="1" showErrorMessage="1" sqref="D42:D47" xr:uid="{00000000-0002-0000-0200-000006000000}">
      <formula1>spe_abilities</formula1>
    </dataValidation>
    <dataValidation type="list" allowBlank="1" showInputMessage="1" showErrorMessage="1" sqref="P25:V27" xr:uid="{00000000-0002-0000-0200-000007000000}">
      <formula1>list_Martial_Arts</formula1>
    </dataValidation>
  </dataValidations>
  <hyperlinks>
    <hyperlink ref="BA8:BN9" location="Creation_XP!A1" display="Creation_XP!A1" xr:uid="{00000000-0004-0000-0200-000000000000}"/>
    <hyperlink ref="BA24:BN25" location="Creation_XP!A1" display="Creation_XP!A1" xr:uid="{00000000-0004-0000-0200-000001000000}"/>
    <hyperlink ref="BA41:BN42" location="Creation_XP!A1" display="Creation_XP!A1" xr:uid="{0678329C-16FB-4502-8B0F-5615E8C20728}"/>
    <hyperlink ref="BA58:BN59" location="Creation_XP!A1" display="Creation_XP!A1" xr:uid="{A2E89D96-4301-413C-A7D5-AB136EC11725}"/>
    <hyperlink ref="BA89:BN90" location="Creation_XP!A1" display="Creation_XP!A1" xr:uid="{DA8B8FAD-215E-40AB-BE3C-48C3AC6114AC}"/>
    <hyperlink ref="BA116:BN117" location="Creation_XP!A1" display="Creation_XP!A1" xr:uid="{C5422D93-B2A4-4D52-8E53-736762111FA7}"/>
    <hyperlink ref="BA135:BN136" location="Creation_XP!A1" display="Creation_XP!A1" xr:uid="{1953FBB6-B2F9-44A6-A0C1-B94948FFE179}"/>
    <hyperlink ref="BA152:BN153" location="Creation_XP!A1" display="Creation_XP!A1" xr:uid="{364917DA-6612-4D4F-9641-0FD9914974FF}"/>
  </hyperlinks>
  <printOptions horizontalCentered="1" verticalCentered="1"/>
  <pageMargins left="0.39370078740157483" right="0.39370078740157483" top="0.78740157480314965" bottom="0.78740157480314965" header="0.39370078740157483" footer="0.39370078740157483"/>
  <pageSetup paperSize="9" pageOrder="overThenDown" orientation="portrait" useFirstPageNumber="1" horizontalDpi="360" verticalDpi="360"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47105" r:id="rId4" name="Spinner 1">
              <controlPr defaultSize="0" autoPict="0">
                <anchor moveWithCells="1" sizeWithCells="1">
                  <from>
                    <xdr:col>4</xdr:col>
                    <xdr:colOff>9525</xdr:colOff>
                    <xdr:row>6</xdr:row>
                    <xdr:rowOff>19050</xdr:rowOff>
                  </from>
                  <to>
                    <xdr:col>4</xdr:col>
                    <xdr:colOff>190500</xdr:colOff>
                    <xdr:row>7</xdr:row>
                    <xdr:rowOff>0</xdr:rowOff>
                  </to>
                </anchor>
              </controlPr>
            </control>
          </mc:Choice>
        </mc:AlternateContent>
        <mc:AlternateContent xmlns:mc="http://schemas.openxmlformats.org/markup-compatibility/2006">
          <mc:Choice Requires="x14">
            <control shapeId="47106" r:id="rId5" name="Spinner 2">
              <controlPr defaultSize="0" autoPict="0">
                <anchor moveWithCells="1" sizeWithCells="1">
                  <from>
                    <xdr:col>4</xdr:col>
                    <xdr:colOff>9525</xdr:colOff>
                    <xdr:row>7</xdr:row>
                    <xdr:rowOff>19050</xdr:rowOff>
                  </from>
                  <to>
                    <xdr:col>4</xdr:col>
                    <xdr:colOff>190500</xdr:colOff>
                    <xdr:row>8</xdr:row>
                    <xdr:rowOff>0</xdr:rowOff>
                  </to>
                </anchor>
              </controlPr>
            </control>
          </mc:Choice>
        </mc:AlternateContent>
        <mc:AlternateContent xmlns:mc="http://schemas.openxmlformats.org/markup-compatibility/2006">
          <mc:Choice Requires="x14">
            <control shapeId="47107" r:id="rId6" name="Spinner 3">
              <controlPr defaultSize="0" autoPict="0">
                <anchor moveWithCells="1" sizeWithCells="1">
                  <from>
                    <xdr:col>4</xdr:col>
                    <xdr:colOff>9525</xdr:colOff>
                    <xdr:row>8</xdr:row>
                    <xdr:rowOff>19050</xdr:rowOff>
                  </from>
                  <to>
                    <xdr:col>4</xdr:col>
                    <xdr:colOff>190500</xdr:colOff>
                    <xdr:row>9</xdr:row>
                    <xdr:rowOff>0</xdr:rowOff>
                  </to>
                </anchor>
              </controlPr>
            </control>
          </mc:Choice>
        </mc:AlternateContent>
        <mc:AlternateContent xmlns:mc="http://schemas.openxmlformats.org/markup-compatibility/2006">
          <mc:Choice Requires="x14">
            <control shapeId="47108" r:id="rId7" name="Spinner 4">
              <controlPr defaultSize="0" autoPict="0">
                <anchor moveWithCells="1" sizeWithCells="1">
                  <from>
                    <xdr:col>20</xdr:col>
                    <xdr:colOff>9525</xdr:colOff>
                    <xdr:row>6</xdr:row>
                    <xdr:rowOff>19050</xdr:rowOff>
                  </from>
                  <to>
                    <xdr:col>20</xdr:col>
                    <xdr:colOff>190500</xdr:colOff>
                    <xdr:row>7</xdr:row>
                    <xdr:rowOff>0</xdr:rowOff>
                  </to>
                </anchor>
              </controlPr>
            </control>
          </mc:Choice>
        </mc:AlternateContent>
        <mc:AlternateContent xmlns:mc="http://schemas.openxmlformats.org/markup-compatibility/2006">
          <mc:Choice Requires="x14">
            <control shapeId="47109" r:id="rId8" name="Spinner 5">
              <controlPr defaultSize="0" autoPict="0">
                <anchor moveWithCells="1" sizeWithCells="1">
                  <from>
                    <xdr:col>20</xdr:col>
                    <xdr:colOff>9525</xdr:colOff>
                    <xdr:row>7</xdr:row>
                    <xdr:rowOff>19050</xdr:rowOff>
                  </from>
                  <to>
                    <xdr:col>20</xdr:col>
                    <xdr:colOff>190500</xdr:colOff>
                    <xdr:row>8</xdr:row>
                    <xdr:rowOff>0</xdr:rowOff>
                  </to>
                </anchor>
              </controlPr>
            </control>
          </mc:Choice>
        </mc:AlternateContent>
        <mc:AlternateContent xmlns:mc="http://schemas.openxmlformats.org/markup-compatibility/2006">
          <mc:Choice Requires="x14">
            <control shapeId="47110" r:id="rId9" name="Spinner 6">
              <controlPr defaultSize="0" autoPict="0">
                <anchor moveWithCells="1" sizeWithCells="1">
                  <from>
                    <xdr:col>20</xdr:col>
                    <xdr:colOff>9525</xdr:colOff>
                    <xdr:row>8</xdr:row>
                    <xdr:rowOff>19050</xdr:rowOff>
                  </from>
                  <to>
                    <xdr:col>20</xdr:col>
                    <xdr:colOff>190500</xdr:colOff>
                    <xdr:row>9</xdr:row>
                    <xdr:rowOff>0</xdr:rowOff>
                  </to>
                </anchor>
              </controlPr>
            </control>
          </mc:Choice>
        </mc:AlternateContent>
        <mc:AlternateContent xmlns:mc="http://schemas.openxmlformats.org/markup-compatibility/2006">
          <mc:Choice Requires="x14">
            <control shapeId="47111" r:id="rId10" name="Spinner 7">
              <controlPr defaultSize="0" autoPict="0">
                <anchor moveWithCells="1" sizeWithCells="1">
                  <from>
                    <xdr:col>36</xdr:col>
                    <xdr:colOff>9525</xdr:colOff>
                    <xdr:row>6</xdr:row>
                    <xdr:rowOff>19050</xdr:rowOff>
                  </from>
                  <to>
                    <xdr:col>36</xdr:col>
                    <xdr:colOff>190500</xdr:colOff>
                    <xdr:row>7</xdr:row>
                    <xdr:rowOff>0</xdr:rowOff>
                  </to>
                </anchor>
              </controlPr>
            </control>
          </mc:Choice>
        </mc:AlternateContent>
        <mc:AlternateContent xmlns:mc="http://schemas.openxmlformats.org/markup-compatibility/2006">
          <mc:Choice Requires="x14">
            <control shapeId="47112" r:id="rId11" name="Spinner 8">
              <controlPr defaultSize="0" autoPict="0">
                <anchor moveWithCells="1" sizeWithCells="1">
                  <from>
                    <xdr:col>36</xdr:col>
                    <xdr:colOff>9525</xdr:colOff>
                    <xdr:row>7</xdr:row>
                    <xdr:rowOff>19050</xdr:rowOff>
                  </from>
                  <to>
                    <xdr:col>36</xdr:col>
                    <xdr:colOff>190500</xdr:colOff>
                    <xdr:row>8</xdr:row>
                    <xdr:rowOff>0</xdr:rowOff>
                  </to>
                </anchor>
              </controlPr>
            </control>
          </mc:Choice>
        </mc:AlternateContent>
        <mc:AlternateContent xmlns:mc="http://schemas.openxmlformats.org/markup-compatibility/2006">
          <mc:Choice Requires="x14">
            <control shapeId="47113" r:id="rId12" name="Spinner 9">
              <controlPr defaultSize="0" autoPict="0">
                <anchor moveWithCells="1" sizeWithCells="1">
                  <from>
                    <xdr:col>36</xdr:col>
                    <xdr:colOff>9525</xdr:colOff>
                    <xdr:row>8</xdr:row>
                    <xdr:rowOff>19050</xdr:rowOff>
                  </from>
                  <to>
                    <xdr:col>36</xdr:col>
                    <xdr:colOff>190500</xdr:colOff>
                    <xdr:row>9</xdr:row>
                    <xdr:rowOff>0</xdr:rowOff>
                  </to>
                </anchor>
              </controlPr>
            </control>
          </mc:Choice>
        </mc:AlternateContent>
        <mc:AlternateContent xmlns:mc="http://schemas.openxmlformats.org/markup-compatibility/2006">
          <mc:Choice Requires="x14">
            <control shapeId="47115" r:id="rId13" name="Spinner 11">
              <controlPr defaultSize="0" autoPict="0">
                <anchor moveWithCells="1" sizeWithCells="1">
                  <from>
                    <xdr:col>1</xdr:col>
                    <xdr:colOff>9525</xdr:colOff>
                    <xdr:row>12</xdr:row>
                    <xdr:rowOff>19050</xdr:rowOff>
                  </from>
                  <to>
                    <xdr:col>1</xdr:col>
                    <xdr:colOff>190500</xdr:colOff>
                    <xdr:row>13</xdr:row>
                    <xdr:rowOff>0</xdr:rowOff>
                  </to>
                </anchor>
              </controlPr>
            </control>
          </mc:Choice>
        </mc:AlternateContent>
        <mc:AlternateContent xmlns:mc="http://schemas.openxmlformats.org/markup-compatibility/2006">
          <mc:Choice Requires="x14">
            <control shapeId="47116" r:id="rId14" name="Spinner 12">
              <controlPr defaultSize="0" autoPict="0">
                <anchor moveWithCells="1" sizeWithCells="1">
                  <from>
                    <xdr:col>1</xdr:col>
                    <xdr:colOff>9525</xdr:colOff>
                    <xdr:row>13</xdr:row>
                    <xdr:rowOff>19050</xdr:rowOff>
                  </from>
                  <to>
                    <xdr:col>1</xdr:col>
                    <xdr:colOff>190500</xdr:colOff>
                    <xdr:row>14</xdr:row>
                    <xdr:rowOff>0</xdr:rowOff>
                  </to>
                </anchor>
              </controlPr>
            </control>
          </mc:Choice>
        </mc:AlternateContent>
        <mc:AlternateContent xmlns:mc="http://schemas.openxmlformats.org/markup-compatibility/2006">
          <mc:Choice Requires="x14">
            <control shapeId="47117" r:id="rId15" name="Spinner 13">
              <controlPr defaultSize="0" autoPict="0">
                <anchor moveWithCells="1" sizeWithCells="1">
                  <from>
                    <xdr:col>1</xdr:col>
                    <xdr:colOff>9525</xdr:colOff>
                    <xdr:row>14</xdr:row>
                    <xdr:rowOff>19050</xdr:rowOff>
                  </from>
                  <to>
                    <xdr:col>1</xdr:col>
                    <xdr:colOff>190500</xdr:colOff>
                    <xdr:row>15</xdr:row>
                    <xdr:rowOff>0</xdr:rowOff>
                  </to>
                </anchor>
              </controlPr>
            </control>
          </mc:Choice>
        </mc:AlternateContent>
        <mc:AlternateContent xmlns:mc="http://schemas.openxmlformats.org/markup-compatibility/2006">
          <mc:Choice Requires="x14">
            <control shapeId="47118" r:id="rId16" name="Spinner 14">
              <controlPr defaultSize="0" autoPict="0">
                <anchor moveWithCells="1" sizeWithCells="1">
                  <from>
                    <xdr:col>1</xdr:col>
                    <xdr:colOff>9525</xdr:colOff>
                    <xdr:row>15</xdr:row>
                    <xdr:rowOff>19050</xdr:rowOff>
                  </from>
                  <to>
                    <xdr:col>1</xdr:col>
                    <xdr:colOff>190500</xdr:colOff>
                    <xdr:row>16</xdr:row>
                    <xdr:rowOff>0</xdr:rowOff>
                  </to>
                </anchor>
              </controlPr>
            </control>
          </mc:Choice>
        </mc:AlternateContent>
        <mc:AlternateContent xmlns:mc="http://schemas.openxmlformats.org/markup-compatibility/2006">
          <mc:Choice Requires="x14">
            <control shapeId="47119" r:id="rId17" name="Spinner 15">
              <controlPr defaultSize="0" autoPict="0">
                <anchor moveWithCells="1" sizeWithCells="1">
                  <from>
                    <xdr:col>1</xdr:col>
                    <xdr:colOff>9525</xdr:colOff>
                    <xdr:row>16</xdr:row>
                    <xdr:rowOff>19050</xdr:rowOff>
                  </from>
                  <to>
                    <xdr:col>1</xdr:col>
                    <xdr:colOff>190500</xdr:colOff>
                    <xdr:row>17</xdr:row>
                    <xdr:rowOff>0</xdr:rowOff>
                  </to>
                </anchor>
              </controlPr>
            </control>
          </mc:Choice>
        </mc:AlternateContent>
        <mc:AlternateContent xmlns:mc="http://schemas.openxmlformats.org/markup-compatibility/2006">
          <mc:Choice Requires="x14">
            <control shapeId="47120" r:id="rId18" name="Spinner 16">
              <controlPr defaultSize="0" autoPict="0">
                <anchor moveWithCells="1" sizeWithCells="1">
                  <from>
                    <xdr:col>1</xdr:col>
                    <xdr:colOff>9525</xdr:colOff>
                    <xdr:row>17</xdr:row>
                    <xdr:rowOff>19050</xdr:rowOff>
                  </from>
                  <to>
                    <xdr:col>1</xdr:col>
                    <xdr:colOff>190500</xdr:colOff>
                    <xdr:row>18</xdr:row>
                    <xdr:rowOff>0</xdr:rowOff>
                  </to>
                </anchor>
              </controlPr>
            </control>
          </mc:Choice>
        </mc:AlternateContent>
        <mc:AlternateContent xmlns:mc="http://schemas.openxmlformats.org/markup-compatibility/2006">
          <mc:Choice Requires="x14">
            <control shapeId="47121" r:id="rId19" name="Spinner 17">
              <controlPr defaultSize="0" autoPict="0">
                <anchor moveWithCells="1" sizeWithCells="1">
                  <from>
                    <xdr:col>1</xdr:col>
                    <xdr:colOff>9525</xdr:colOff>
                    <xdr:row>18</xdr:row>
                    <xdr:rowOff>19050</xdr:rowOff>
                  </from>
                  <to>
                    <xdr:col>1</xdr:col>
                    <xdr:colOff>190500</xdr:colOff>
                    <xdr:row>19</xdr:row>
                    <xdr:rowOff>0</xdr:rowOff>
                  </to>
                </anchor>
              </controlPr>
            </control>
          </mc:Choice>
        </mc:AlternateContent>
        <mc:AlternateContent xmlns:mc="http://schemas.openxmlformats.org/markup-compatibility/2006">
          <mc:Choice Requires="x14">
            <control shapeId="47122" r:id="rId20" name="Spinner 18">
              <controlPr defaultSize="0" autoPict="0">
                <anchor moveWithCells="1" sizeWithCells="1">
                  <from>
                    <xdr:col>1</xdr:col>
                    <xdr:colOff>9525</xdr:colOff>
                    <xdr:row>19</xdr:row>
                    <xdr:rowOff>19050</xdr:rowOff>
                  </from>
                  <to>
                    <xdr:col>1</xdr:col>
                    <xdr:colOff>190500</xdr:colOff>
                    <xdr:row>20</xdr:row>
                    <xdr:rowOff>0</xdr:rowOff>
                  </to>
                </anchor>
              </controlPr>
            </control>
          </mc:Choice>
        </mc:AlternateContent>
        <mc:AlternateContent xmlns:mc="http://schemas.openxmlformats.org/markup-compatibility/2006">
          <mc:Choice Requires="x14">
            <control shapeId="47123" r:id="rId21" name="Spinner 19">
              <controlPr defaultSize="0" autoPict="0">
                <anchor moveWithCells="1" sizeWithCells="1">
                  <from>
                    <xdr:col>1</xdr:col>
                    <xdr:colOff>9525</xdr:colOff>
                    <xdr:row>20</xdr:row>
                    <xdr:rowOff>19050</xdr:rowOff>
                  </from>
                  <to>
                    <xdr:col>1</xdr:col>
                    <xdr:colOff>190500</xdr:colOff>
                    <xdr:row>21</xdr:row>
                    <xdr:rowOff>0</xdr:rowOff>
                  </to>
                </anchor>
              </controlPr>
            </control>
          </mc:Choice>
        </mc:AlternateContent>
        <mc:AlternateContent xmlns:mc="http://schemas.openxmlformats.org/markup-compatibility/2006">
          <mc:Choice Requires="x14">
            <control shapeId="47124" r:id="rId22" name="Spinner 20">
              <controlPr defaultSize="0" autoPict="0">
                <anchor moveWithCells="1" sizeWithCells="1">
                  <from>
                    <xdr:col>1</xdr:col>
                    <xdr:colOff>9525</xdr:colOff>
                    <xdr:row>21</xdr:row>
                    <xdr:rowOff>19050</xdr:rowOff>
                  </from>
                  <to>
                    <xdr:col>1</xdr:col>
                    <xdr:colOff>190500</xdr:colOff>
                    <xdr:row>22</xdr:row>
                    <xdr:rowOff>0</xdr:rowOff>
                  </to>
                </anchor>
              </controlPr>
            </control>
          </mc:Choice>
        </mc:AlternateContent>
        <mc:AlternateContent xmlns:mc="http://schemas.openxmlformats.org/markup-compatibility/2006">
          <mc:Choice Requires="x14">
            <control shapeId="47125" r:id="rId23" name="Spinner 21">
              <controlPr defaultSize="0" autoPict="0">
                <anchor moveWithCells="1" sizeWithCells="1">
                  <from>
                    <xdr:col>1</xdr:col>
                    <xdr:colOff>9525</xdr:colOff>
                    <xdr:row>22</xdr:row>
                    <xdr:rowOff>19050</xdr:rowOff>
                  </from>
                  <to>
                    <xdr:col>1</xdr:col>
                    <xdr:colOff>190500</xdr:colOff>
                    <xdr:row>23</xdr:row>
                    <xdr:rowOff>0</xdr:rowOff>
                  </to>
                </anchor>
              </controlPr>
            </control>
          </mc:Choice>
        </mc:AlternateContent>
        <mc:AlternateContent xmlns:mc="http://schemas.openxmlformats.org/markup-compatibility/2006">
          <mc:Choice Requires="x14">
            <control shapeId="47126" r:id="rId24" name="Spinner 22">
              <controlPr defaultSize="0" autoPict="0">
                <anchor moveWithCells="1" sizeWithCells="1">
                  <from>
                    <xdr:col>1</xdr:col>
                    <xdr:colOff>9525</xdr:colOff>
                    <xdr:row>23</xdr:row>
                    <xdr:rowOff>19050</xdr:rowOff>
                  </from>
                  <to>
                    <xdr:col>1</xdr:col>
                    <xdr:colOff>190500</xdr:colOff>
                    <xdr:row>24</xdr:row>
                    <xdr:rowOff>0</xdr:rowOff>
                  </to>
                </anchor>
              </controlPr>
            </control>
          </mc:Choice>
        </mc:AlternateContent>
        <mc:AlternateContent xmlns:mc="http://schemas.openxmlformats.org/markup-compatibility/2006">
          <mc:Choice Requires="x14">
            <control shapeId="47127" r:id="rId25" name="Spinner 23">
              <controlPr defaultSize="0" autoPict="0">
                <anchor moveWithCells="1" sizeWithCells="1">
                  <from>
                    <xdr:col>1</xdr:col>
                    <xdr:colOff>9525</xdr:colOff>
                    <xdr:row>24</xdr:row>
                    <xdr:rowOff>19050</xdr:rowOff>
                  </from>
                  <to>
                    <xdr:col>1</xdr:col>
                    <xdr:colOff>190500</xdr:colOff>
                    <xdr:row>25</xdr:row>
                    <xdr:rowOff>0</xdr:rowOff>
                  </to>
                </anchor>
              </controlPr>
            </control>
          </mc:Choice>
        </mc:AlternateContent>
        <mc:AlternateContent xmlns:mc="http://schemas.openxmlformats.org/markup-compatibility/2006">
          <mc:Choice Requires="x14">
            <control shapeId="47128" r:id="rId26" name="Spinner 24">
              <controlPr defaultSize="0" autoPict="0">
                <anchor moveWithCells="1" sizeWithCells="1">
                  <from>
                    <xdr:col>1</xdr:col>
                    <xdr:colOff>9525</xdr:colOff>
                    <xdr:row>25</xdr:row>
                    <xdr:rowOff>19050</xdr:rowOff>
                  </from>
                  <to>
                    <xdr:col>1</xdr:col>
                    <xdr:colOff>190500</xdr:colOff>
                    <xdr:row>26</xdr:row>
                    <xdr:rowOff>0</xdr:rowOff>
                  </to>
                </anchor>
              </controlPr>
            </control>
          </mc:Choice>
        </mc:AlternateContent>
        <mc:AlternateContent xmlns:mc="http://schemas.openxmlformats.org/markup-compatibility/2006">
          <mc:Choice Requires="x14">
            <control shapeId="47129" r:id="rId27" name="Spinner 25">
              <controlPr defaultSize="0" autoPict="0">
                <anchor moveWithCells="1" sizeWithCells="1">
                  <from>
                    <xdr:col>1</xdr:col>
                    <xdr:colOff>9525</xdr:colOff>
                    <xdr:row>26</xdr:row>
                    <xdr:rowOff>19050</xdr:rowOff>
                  </from>
                  <to>
                    <xdr:col>1</xdr:col>
                    <xdr:colOff>190500</xdr:colOff>
                    <xdr:row>27</xdr:row>
                    <xdr:rowOff>0</xdr:rowOff>
                  </to>
                </anchor>
              </controlPr>
            </control>
          </mc:Choice>
        </mc:AlternateContent>
        <mc:AlternateContent xmlns:mc="http://schemas.openxmlformats.org/markup-compatibility/2006">
          <mc:Choice Requires="x14">
            <control shapeId="47130" r:id="rId28" name="Spinner 26">
              <controlPr defaultSize="0" autoPict="0">
                <anchor moveWithCells="1" sizeWithCells="1">
                  <from>
                    <xdr:col>1</xdr:col>
                    <xdr:colOff>9525</xdr:colOff>
                    <xdr:row>27</xdr:row>
                    <xdr:rowOff>19050</xdr:rowOff>
                  </from>
                  <to>
                    <xdr:col>1</xdr:col>
                    <xdr:colOff>190500</xdr:colOff>
                    <xdr:row>28</xdr:row>
                    <xdr:rowOff>0</xdr:rowOff>
                  </to>
                </anchor>
              </controlPr>
            </control>
          </mc:Choice>
        </mc:AlternateContent>
        <mc:AlternateContent xmlns:mc="http://schemas.openxmlformats.org/markup-compatibility/2006">
          <mc:Choice Requires="x14">
            <control shapeId="47131" r:id="rId29" name="Spinner 27">
              <controlPr defaultSize="0" autoPict="0">
                <anchor moveWithCells="1" sizeWithCells="1">
                  <from>
                    <xdr:col>1</xdr:col>
                    <xdr:colOff>9525</xdr:colOff>
                    <xdr:row>28</xdr:row>
                    <xdr:rowOff>19050</xdr:rowOff>
                  </from>
                  <to>
                    <xdr:col>1</xdr:col>
                    <xdr:colOff>190500</xdr:colOff>
                    <xdr:row>29</xdr:row>
                    <xdr:rowOff>0</xdr:rowOff>
                  </to>
                </anchor>
              </controlPr>
            </control>
          </mc:Choice>
        </mc:AlternateContent>
        <mc:AlternateContent xmlns:mc="http://schemas.openxmlformats.org/markup-compatibility/2006">
          <mc:Choice Requires="x14">
            <control shapeId="47132" r:id="rId30" name="Spinner 28">
              <controlPr defaultSize="0" autoPict="0">
                <anchor moveWithCells="1" sizeWithCells="1">
                  <from>
                    <xdr:col>1</xdr:col>
                    <xdr:colOff>9525</xdr:colOff>
                    <xdr:row>29</xdr:row>
                    <xdr:rowOff>19050</xdr:rowOff>
                  </from>
                  <to>
                    <xdr:col>1</xdr:col>
                    <xdr:colOff>190500</xdr:colOff>
                    <xdr:row>30</xdr:row>
                    <xdr:rowOff>0</xdr:rowOff>
                  </to>
                </anchor>
              </controlPr>
            </control>
          </mc:Choice>
        </mc:AlternateContent>
        <mc:AlternateContent xmlns:mc="http://schemas.openxmlformats.org/markup-compatibility/2006">
          <mc:Choice Requires="x14">
            <control shapeId="47133" r:id="rId31" name="Spinner 29">
              <controlPr defaultSize="0" autoPict="0">
                <anchor moveWithCells="1" sizeWithCells="1">
                  <from>
                    <xdr:col>1</xdr:col>
                    <xdr:colOff>9525</xdr:colOff>
                    <xdr:row>30</xdr:row>
                    <xdr:rowOff>19050</xdr:rowOff>
                  </from>
                  <to>
                    <xdr:col>1</xdr:col>
                    <xdr:colOff>190500</xdr:colOff>
                    <xdr:row>31</xdr:row>
                    <xdr:rowOff>0</xdr:rowOff>
                  </to>
                </anchor>
              </controlPr>
            </control>
          </mc:Choice>
        </mc:AlternateContent>
        <mc:AlternateContent xmlns:mc="http://schemas.openxmlformats.org/markup-compatibility/2006">
          <mc:Choice Requires="x14">
            <control shapeId="47134" r:id="rId32" name="Spinner 30">
              <controlPr defaultSize="0" autoPict="0">
                <anchor moveWithCells="1" sizeWithCells="1">
                  <from>
                    <xdr:col>1</xdr:col>
                    <xdr:colOff>9525</xdr:colOff>
                    <xdr:row>31</xdr:row>
                    <xdr:rowOff>19050</xdr:rowOff>
                  </from>
                  <to>
                    <xdr:col>1</xdr:col>
                    <xdr:colOff>190500</xdr:colOff>
                    <xdr:row>32</xdr:row>
                    <xdr:rowOff>0</xdr:rowOff>
                  </to>
                </anchor>
              </controlPr>
            </control>
          </mc:Choice>
        </mc:AlternateContent>
        <mc:AlternateContent xmlns:mc="http://schemas.openxmlformats.org/markup-compatibility/2006">
          <mc:Choice Requires="x14">
            <control shapeId="47135" r:id="rId33" name="Spinner 31">
              <controlPr defaultSize="0" autoPict="0">
                <anchor moveWithCells="1" sizeWithCells="1">
                  <from>
                    <xdr:col>1</xdr:col>
                    <xdr:colOff>9525</xdr:colOff>
                    <xdr:row>32</xdr:row>
                    <xdr:rowOff>19050</xdr:rowOff>
                  </from>
                  <to>
                    <xdr:col>1</xdr:col>
                    <xdr:colOff>190500</xdr:colOff>
                    <xdr:row>33</xdr:row>
                    <xdr:rowOff>0</xdr:rowOff>
                  </to>
                </anchor>
              </controlPr>
            </control>
          </mc:Choice>
        </mc:AlternateContent>
        <mc:AlternateContent xmlns:mc="http://schemas.openxmlformats.org/markup-compatibility/2006">
          <mc:Choice Requires="x14">
            <control shapeId="47136" r:id="rId34" name="Spinner 32">
              <controlPr defaultSize="0" autoPict="0">
                <anchor moveWithCells="1" sizeWithCells="1">
                  <from>
                    <xdr:col>1</xdr:col>
                    <xdr:colOff>9525</xdr:colOff>
                    <xdr:row>33</xdr:row>
                    <xdr:rowOff>19050</xdr:rowOff>
                  </from>
                  <to>
                    <xdr:col>1</xdr:col>
                    <xdr:colOff>190500</xdr:colOff>
                    <xdr:row>34</xdr:row>
                    <xdr:rowOff>0</xdr:rowOff>
                  </to>
                </anchor>
              </controlPr>
            </control>
          </mc:Choice>
        </mc:AlternateContent>
        <mc:AlternateContent xmlns:mc="http://schemas.openxmlformats.org/markup-compatibility/2006">
          <mc:Choice Requires="x14">
            <control shapeId="47137" r:id="rId35" name="Spinner 33">
              <controlPr defaultSize="0" autoPict="0">
                <anchor moveWithCells="1" sizeWithCells="1">
                  <from>
                    <xdr:col>1</xdr:col>
                    <xdr:colOff>9525</xdr:colOff>
                    <xdr:row>34</xdr:row>
                    <xdr:rowOff>19050</xdr:rowOff>
                  </from>
                  <to>
                    <xdr:col>1</xdr:col>
                    <xdr:colOff>190500</xdr:colOff>
                    <xdr:row>35</xdr:row>
                    <xdr:rowOff>0</xdr:rowOff>
                  </to>
                </anchor>
              </controlPr>
            </control>
          </mc:Choice>
        </mc:AlternateContent>
        <mc:AlternateContent xmlns:mc="http://schemas.openxmlformats.org/markup-compatibility/2006">
          <mc:Choice Requires="x14">
            <control shapeId="47138" r:id="rId36" name="Spinner 34">
              <controlPr defaultSize="0" autoPict="0">
                <anchor moveWithCells="1" sizeWithCells="1">
                  <from>
                    <xdr:col>1</xdr:col>
                    <xdr:colOff>9525</xdr:colOff>
                    <xdr:row>35</xdr:row>
                    <xdr:rowOff>19050</xdr:rowOff>
                  </from>
                  <to>
                    <xdr:col>1</xdr:col>
                    <xdr:colOff>190500</xdr:colOff>
                    <xdr:row>36</xdr:row>
                    <xdr:rowOff>0</xdr:rowOff>
                  </to>
                </anchor>
              </controlPr>
            </control>
          </mc:Choice>
        </mc:AlternateContent>
        <mc:AlternateContent xmlns:mc="http://schemas.openxmlformats.org/markup-compatibility/2006">
          <mc:Choice Requires="x14">
            <control shapeId="47139" r:id="rId37" name="Spinner 35">
              <controlPr defaultSize="0" autoPict="0">
                <anchor moveWithCells="1" sizeWithCells="1">
                  <from>
                    <xdr:col>1</xdr:col>
                    <xdr:colOff>9525</xdr:colOff>
                    <xdr:row>36</xdr:row>
                    <xdr:rowOff>19050</xdr:rowOff>
                  </from>
                  <to>
                    <xdr:col>1</xdr:col>
                    <xdr:colOff>190500</xdr:colOff>
                    <xdr:row>37</xdr:row>
                    <xdr:rowOff>0</xdr:rowOff>
                  </to>
                </anchor>
              </controlPr>
            </control>
          </mc:Choice>
        </mc:AlternateContent>
        <mc:AlternateContent xmlns:mc="http://schemas.openxmlformats.org/markup-compatibility/2006">
          <mc:Choice Requires="x14">
            <control shapeId="47140" r:id="rId38" name="Spinner 36">
              <controlPr defaultSize="0" autoPict="0">
                <anchor moveWithCells="1" sizeWithCells="1">
                  <from>
                    <xdr:col>1</xdr:col>
                    <xdr:colOff>9525</xdr:colOff>
                    <xdr:row>37</xdr:row>
                    <xdr:rowOff>19050</xdr:rowOff>
                  </from>
                  <to>
                    <xdr:col>1</xdr:col>
                    <xdr:colOff>190500</xdr:colOff>
                    <xdr:row>38</xdr:row>
                    <xdr:rowOff>0</xdr:rowOff>
                  </to>
                </anchor>
              </controlPr>
            </control>
          </mc:Choice>
        </mc:AlternateContent>
        <mc:AlternateContent xmlns:mc="http://schemas.openxmlformats.org/markup-compatibility/2006">
          <mc:Choice Requires="x14">
            <control shapeId="47141" r:id="rId39" name="Spinner 37">
              <controlPr defaultSize="0" autoPict="0">
                <anchor moveWithCells="1" sizeWithCells="1">
                  <from>
                    <xdr:col>1</xdr:col>
                    <xdr:colOff>9525</xdr:colOff>
                    <xdr:row>41</xdr:row>
                    <xdr:rowOff>19050</xdr:rowOff>
                  </from>
                  <to>
                    <xdr:col>1</xdr:col>
                    <xdr:colOff>190500</xdr:colOff>
                    <xdr:row>42</xdr:row>
                    <xdr:rowOff>0</xdr:rowOff>
                  </to>
                </anchor>
              </controlPr>
            </control>
          </mc:Choice>
        </mc:AlternateContent>
        <mc:AlternateContent xmlns:mc="http://schemas.openxmlformats.org/markup-compatibility/2006">
          <mc:Choice Requires="x14">
            <control shapeId="47142" r:id="rId40" name="Spinner 38">
              <controlPr defaultSize="0" autoPict="0">
                <anchor moveWithCells="1" sizeWithCells="1">
                  <from>
                    <xdr:col>1</xdr:col>
                    <xdr:colOff>9525</xdr:colOff>
                    <xdr:row>42</xdr:row>
                    <xdr:rowOff>19050</xdr:rowOff>
                  </from>
                  <to>
                    <xdr:col>1</xdr:col>
                    <xdr:colOff>190500</xdr:colOff>
                    <xdr:row>43</xdr:row>
                    <xdr:rowOff>0</xdr:rowOff>
                  </to>
                </anchor>
              </controlPr>
            </control>
          </mc:Choice>
        </mc:AlternateContent>
        <mc:AlternateContent xmlns:mc="http://schemas.openxmlformats.org/markup-compatibility/2006">
          <mc:Choice Requires="x14">
            <control shapeId="47143" r:id="rId41" name="Spinner 39">
              <controlPr defaultSize="0" autoPict="0">
                <anchor moveWithCells="1" sizeWithCells="1">
                  <from>
                    <xdr:col>1</xdr:col>
                    <xdr:colOff>9525</xdr:colOff>
                    <xdr:row>43</xdr:row>
                    <xdr:rowOff>19050</xdr:rowOff>
                  </from>
                  <to>
                    <xdr:col>1</xdr:col>
                    <xdr:colOff>190500</xdr:colOff>
                    <xdr:row>44</xdr:row>
                    <xdr:rowOff>0</xdr:rowOff>
                  </to>
                </anchor>
              </controlPr>
            </control>
          </mc:Choice>
        </mc:AlternateContent>
        <mc:AlternateContent xmlns:mc="http://schemas.openxmlformats.org/markup-compatibility/2006">
          <mc:Choice Requires="x14">
            <control shapeId="47144" r:id="rId42" name="Spinner 40">
              <controlPr defaultSize="0" autoPict="0">
                <anchor moveWithCells="1" sizeWithCells="1">
                  <from>
                    <xdr:col>1</xdr:col>
                    <xdr:colOff>9525</xdr:colOff>
                    <xdr:row>44</xdr:row>
                    <xdr:rowOff>19050</xdr:rowOff>
                  </from>
                  <to>
                    <xdr:col>1</xdr:col>
                    <xdr:colOff>190500</xdr:colOff>
                    <xdr:row>45</xdr:row>
                    <xdr:rowOff>0</xdr:rowOff>
                  </to>
                </anchor>
              </controlPr>
            </control>
          </mc:Choice>
        </mc:AlternateContent>
        <mc:AlternateContent xmlns:mc="http://schemas.openxmlformats.org/markup-compatibility/2006">
          <mc:Choice Requires="x14">
            <control shapeId="47145" r:id="rId43" name="Spinner 41">
              <controlPr defaultSize="0" autoPict="0">
                <anchor moveWithCells="1" sizeWithCells="1">
                  <from>
                    <xdr:col>1</xdr:col>
                    <xdr:colOff>9525</xdr:colOff>
                    <xdr:row>45</xdr:row>
                    <xdr:rowOff>19050</xdr:rowOff>
                  </from>
                  <to>
                    <xdr:col>1</xdr:col>
                    <xdr:colOff>190500</xdr:colOff>
                    <xdr:row>46</xdr:row>
                    <xdr:rowOff>0</xdr:rowOff>
                  </to>
                </anchor>
              </controlPr>
            </control>
          </mc:Choice>
        </mc:AlternateContent>
        <mc:AlternateContent xmlns:mc="http://schemas.openxmlformats.org/markup-compatibility/2006">
          <mc:Choice Requires="x14">
            <control shapeId="47146" r:id="rId44" name="Spinner 42">
              <controlPr defaultSize="0" autoPict="0">
                <anchor moveWithCells="1" sizeWithCells="1">
                  <from>
                    <xdr:col>1</xdr:col>
                    <xdr:colOff>9525</xdr:colOff>
                    <xdr:row>46</xdr:row>
                    <xdr:rowOff>19050</xdr:rowOff>
                  </from>
                  <to>
                    <xdr:col>1</xdr:col>
                    <xdr:colOff>190500</xdr:colOff>
                    <xdr:row>47</xdr:row>
                    <xdr:rowOff>0</xdr:rowOff>
                  </to>
                </anchor>
              </controlPr>
            </control>
          </mc:Choice>
        </mc:AlternateContent>
        <mc:AlternateContent xmlns:mc="http://schemas.openxmlformats.org/markup-compatibility/2006">
          <mc:Choice Requires="x14">
            <control shapeId="47155" r:id="rId45" name="Spinner 51">
              <controlPr defaultSize="0" autoPict="0">
                <anchor moveWithCells="1" sizeWithCells="1">
                  <from>
                    <xdr:col>47</xdr:col>
                    <xdr:colOff>9525</xdr:colOff>
                    <xdr:row>12</xdr:row>
                    <xdr:rowOff>0</xdr:rowOff>
                  </from>
                  <to>
                    <xdr:col>47</xdr:col>
                    <xdr:colOff>190500</xdr:colOff>
                    <xdr:row>12</xdr:row>
                    <xdr:rowOff>228600</xdr:rowOff>
                  </to>
                </anchor>
              </controlPr>
            </control>
          </mc:Choice>
        </mc:AlternateContent>
        <mc:AlternateContent xmlns:mc="http://schemas.openxmlformats.org/markup-compatibility/2006">
          <mc:Choice Requires="x14">
            <control shapeId="47156" r:id="rId46" name="Spinner 52">
              <controlPr defaultSize="0" autoPict="0">
                <anchor moveWithCells="1" sizeWithCells="1">
                  <from>
                    <xdr:col>47</xdr:col>
                    <xdr:colOff>9525</xdr:colOff>
                    <xdr:row>13</xdr:row>
                    <xdr:rowOff>0</xdr:rowOff>
                  </from>
                  <to>
                    <xdr:col>47</xdr:col>
                    <xdr:colOff>190500</xdr:colOff>
                    <xdr:row>13</xdr:row>
                    <xdr:rowOff>228600</xdr:rowOff>
                  </to>
                </anchor>
              </controlPr>
            </control>
          </mc:Choice>
        </mc:AlternateContent>
        <mc:AlternateContent xmlns:mc="http://schemas.openxmlformats.org/markup-compatibility/2006">
          <mc:Choice Requires="x14">
            <control shapeId="47157" r:id="rId47" name="Spinner 53">
              <controlPr defaultSize="0" autoPict="0">
                <anchor moveWithCells="1" sizeWithCells="1">
                  <from>
                    <xdr:col>47</xdr:col>
                    <xdr:colOff>9525</xdr:colOff>
                    <xdr:row>14</xdr:row>
                    <xdr:rowOff>0</xdr:rowOff>
                  </from>
                  <to>
                    <xdr:col>47</xdr:col>
                    <xdr:colOff>190500</xdr:colOff>
                    <xdr:row>14</xdr:row>
                    <xdr:rowOff>228600</xdr:rowOff>
                  </to>
                </anchor>
              </controlPr>
            </control>
          </mc:Choice>
        </mc:AlternateContent>
        <mc:AlternateContent xmlns:mc="http://schemas.openxmlformats.org/markup-compatibility/2006">
          <mc:Choice Requires="x14">
            <control shapeId="47158" r:id="rId48" name="Spinner 54">
              <controlPr defaultSize="0" autoPict="0">
                <anchor moveWithCells="1" sizeWithCells="1">
                  <from>
                    <xdr:col>47</xdr:col>
                    <xdr:colOff>9525</xdr:colOff>
                    <xdr:row>15</xdr:row>
                    <xdr:rowOff>0</xdr:rowOff>
                  </from>
                  <to>
                    <xdr:col>47</xdr:col>
                    <xdr:colOff>190500</xdr:colOff>
                    <xdr:row>15</xdr:row>
                    <xdr:rowOff>228600</xdr:rowOff>
                  </to>
                </anchor>
              </controlPr>
            </control>
          </mc:Choice>
        </mc:AlternateContent>
        <mc:AlternateContent xmlns:mc="http://schemas.openxmlformats.org/markup-compatibility/2006">
          <mc:Choice Requires="x14">
            <control shapeId="47159" r:id="rId49" name="Spinner 55">
              <controlPr defaultSize="0" autoPict="0">
                <anchor moveWithCells="1" sizeWithCells="1">
                  <from>
                    <xdr:col>47</xdr:col>
                    <xdr:colOff>9525</xdr:colOff>
                    <xdr:row>16</xdr:row>
                    <xdr:rowOff>0</xdr:rowOff>
                  </from>
                  <to>
                    <xdr:col>47</xdr:col>
                    <xdr:colOff>190500</xdr:colOff>
                    <xdr:row>16</xdr:row>
                    <xdr:rowOff>228600</xdr:rowOff>
                  </to>
                </anchor>
              </controlPr>
            </control>
          </mc:Choice>
        </mc:AlternateContent>
        <mc:AlternateContent xmlns:mc="http://schemas.openxmlformats.org/markup-compatibility/2006">
          <mc:Choice Requires="x14">
            <control shapeId="47160" r:id="rId50" name="Spinner 56">
              <controlPr defaultSize="0" autoPict="0">
                <anchor moveWithCells="1" sizeWithCells="1">
                  <from>
                    <xdr:col>47</xdr:col>
                    <xdr:colOff>9525</xdr:colOff>
                    <xdr:row>17</xdr:row>
                    <xdr:rowOff>0</xdr:rowOff>
                  </from>
                  <to>
                    <xdr:col>47</xdr:col>
                    <xdr:colOff>190500</xdr:colOff>
                    <xdr:row>17</xdr:row>
                    <xdr:rowOff>228600</xdr:rowOff>
                  </to>
                </anchor>
              </controlPr>
            </control>
          </mc:Choice>
        </mc:AlternateContent>
        <mc:AlternateContent xmlns:mc="http://schemas.openxmlformats.org/markup-compatibility/2006">
          <mc:Choice Requires="x14">
            <control shapeId="47161" r:id="rId51" name="Spinner 57">
              <controlPr defaultSize="0" autoPict="0">
                <anchor moveWithCells="1" sizeWithCells="1">
                  <from>
                    <xdr:col>47</xdr:col>
                    <xdr:colOff>9525</xdr:colOff>
                    <xdr:row>18</xdr:row>
                    <xdr:rowOff>0</xdr:rowOff>
                  </from>
                  <to>
                    <xdr:col>47</xdr:col>
                    <xdr:colOff>190500</xdr:colOff>
                    <xdr:row>18</xdr:row>
                    <xdr:rowOff>228600</xdr:rowOff>
                  </to>
                </anchor>
              </controlPr>
            </control>
          </mc:Choice>
        </mc:AlternateContent>
        <mc:AlternateContent xmlns:mc="http://schemas.openxmlformats.org/markup-compatibility/2006">
          <mc:Choice Requires="x14">
            <control shapeId="47162" r:id="rId52" name="Spinner 58">
              <controlPr defaultSize="0" autoPict="0">
                <anchor moveWithCells="1" sizeWithCells="1">
                  <from>
                    <xdr:col>47</xdr:col>
                    <xdr:colOff>9525</xdr:colOff>
                    <xdr:row>19</xdr:row>
                    <xdr:rowOff>0</xdr:rowOff>
                  </from>
                  <to>
                    <xdr:col>47</xdr:col>
                    <xdr:colOff>190500</xdr:colOff>
                    <xdr:row>19</xdr:row>
                    <xdr:rowOff>228600</xdr:rowOff>
                  </to>
                </anchor>
              </controlPr>
            </control>
          </mc:Choice>
        </mc:AlternateContent>
        <mc:AlternateContent xmlns:mc="http://schemas.openxmlformats.org/markup-compatibility/2006">
          <mc:Choice Requires="x14">
            <control shapeId="47163" r:id="rId53" name="Spinner 59">
              <controlPr defaultSize="0" autoPict="0">
                <anchor moveWithCells="1" sizeWithCells="1">
                  <from>
                    <xdr:col>47</xdr:col>
                    <xdr:colOff>9525</xdr:colOff>
                    <xdr:row>20</xdr:row>
                    <xdr:rowOff>0</xdr:rowOff>
                  </from>
                  <to>
                    <xdr:col>47</xdr:col>
                    <xdr:colOff>190500</xdr:colOff>
                    <xdr:row>20</xdr:row>
                    <xdr:rowOff>228600</xdr:rowOff>
                  </to>
                </anchor>
              </controlPr>
            </control>
          </mc:Choice>
        </mc:AlternateContent>
        <mc:AlternateContent xmlns:mc="http://schemas.openxmlformats.org/markup-compatibility/2006">
          <mc:Choice Requires="x14">
            <control shapeId="47164" r:id="rId54" name="Spinner 60">
              <controlPr defaultSize="0" autoPict="0">
                <anchor moveWithCells="1" sizeWithCells="1">
                  <from>
                    <xdr:col>47</xdr:col>
                    <xdr:colOff>9525</xdr:colOff>
                    <xdr:row>21</xdr:row>
                    <xdr:rowOff>0</xdr:rowOff>
                  </from>
                  <to>
                    <xdr:col>47</xdr:col>
                    <xdr:colOff>190500</xdr:colOff>
                    <xdr:row>21</xdr:row>
                    <xdr:rowOff>228600</xdr:rowOff>
                  </to>
                </anchor>
              </controlPr>
            </control>
          </mc:Choice>
        </mc:AlternateContent>
        <mc:AlternateContent xmlns:mc="http://schemas.openxmlformats.org/markup-compatibility/2006">
          <mc:Choice Requires="x14">
            <control shapeId="47165" r:id="rId55" name="Spinner 61">
              <controlPr defaultSize="0" autoPict="0">
                <anchor moveWithCells="1" sizeWithCells="1">
                  <from>
                    <xdr:col>47</xdr:col>
                    <xdr:colOff>9525</xdr:colOff>
                    <xdr:row>22</xdr:row>
                    <xdr:rowOff>0</xdr:rowOff>
                  </from>
                  <to>
                    <xdr:col>47</xdr:col>
                    <xdr:colOff>190500</xdr:colOff>
                    <xdr:row>22</xdr:row>
                    <xdr:rowOff>228600</xdr:rowOff>
                  </to>
                </anchor>
              </controlPr>
            </control>
          </mc:Choice>
        </mc:AlternateContent>
        <mc:AlternateContent xmlns:mc="http://schemas.openxmlformats.org/markup-compatibility/2006">
          <mc:Choice Requires="x14">
            <control shapeId="47166" r:id="rId56" name="Spinner 62">
              <controlPr defaultSize="0" autoPict="0">
                <anchor moveWithCells="1" sizeWithCells="1">
                  <from>
                    <xdr:col>47</xdr:col>
                    <xdr:colOff>9525</xdr:colOff>
                    <xdr:row>23</xdr:row>
                    <xdr:rowOff>0</xdr:rowOff>
                  </from>
                  <to>
                    <xdr:col>47</xdr:col>
                    <xdr:colOff>190500</xdr:colOff>
                    <xdr:row>23</xdr:row>
                    <xdr:rowOff>228600</xdr:rowOff>
                  </to>
                </anchor>
              </controlPr>
            </control>
          </mc:Choice>
        </mc:AlternateContent>
        <mc:AlternateContent xmlns:mc="http://schemas.openxmlformats.org/markup-compatibility/2006">
          <mc:Choice Requires="x14">
            <control shapeId="47167" r:id="rId57" name="Spinner 63">
              <controlPr defaultSize="0" autoPict="0">
                <anchor moveWithCells="1" sizeWithCells="1">
                  <from>
                    <xdr:col>47</xdr:col>
                    <xdr:colOff>9525</xdr:colOff>
                    <xdr:row>24</xdr:row>
                    <xdr:rowOff>0</xdr:rowOff>
                  </from>
                  <to>
                    <xdr:col>47</xdr:col>
                    <xdr:colOff>190500</xdr:colOff>
                    <xdr:row>24</xdr:row>
                    <xdr:rowOff>228600</xdr:rowOff>
                  </to>
                </anchor>
              </controlPr>
            </control>
          </mc:Choice>
        </mc:AlternateContent>
        <mc:AlternateContent xmlns:mc="http://schemas.openxmlformats.org/markup-compatibility/2006">
          <mc:Choice Requires="x14">
            <control shapeId="47168" r:id="rId58" name="Spinner 64">
              <controlPr defaultSize="0" autoPict="0">
                <anchor moveWithCells="1" sizeWithCells="1">
                  <from>
                    <xdr:col>47</xdr:col>
                    <xdr:colOff>9525</xdr:colOff>
                    <xdr:row>25</xdr:row>
                    <xdr:rowOff>0</xdr:rowOff>
                  </from>
                  <to>
                    <xdr:col>47</xdr:col>
                    <xdr:colOff>190500</xdr:colOff>
                    <xdr:row>25</xdr:row>
                    <xdr:rowOff>228600</xdr:rowOff>
                  </to>
                </anchor>
              </controlPr>
            </control>
          </mc:Choice>
        </mc:AlternateContent>
        <mc:AlternateContent xmlns:mc="http://schemas.openxmlformats.org/markup-compatibility/2006">
          <mc:Choice Requires="x14">
            <control shapeId="47169" r:id="rId59" name="Spinner 65">
              <controlPr defaultSize="0" autoPict="0">
                <anchor moveWithCells="1" sizeWithCells="1">
                  <from>
                    <xdr:col>47</xdr:col>
                    <xdr:colOff>9525</xdr:colOff>
                    <xdr:row>26</xdr:row>
                    <xdr:rowOff>0</xdr:rowOff>
                  </from>
                  <to>
                    <xdr:col>47</xdr:col>
                    <xdr:colOff>190500</xdr:colOff>
                    <xdr:row>26</xdr:row>
                    <xdr:rowOff>228600</xdr:rowOff>
                  </to>
                </anchor>
              </controlPr>
            </control>
          </mc:Choice>
        </mc:AlternateContent>
        <mc:AlternateContent xmlns:mc="http://schemas.openxmlformats.org/markup-compatibility/2006">
          <mc:Choice Requires="x14">
            <control shapeId="47170" r:id="rId60" name="Spinner 66">
              <controlPr defaultSize="0" autoPict="0">
                <anchor moveWithCells="1" sizeWithCells="1">
                  <from>
                    <xdr:col>47</xdr:col>
                    <xdr:colOff>9525</xdr:colOff>
                    <xdr:row>27</xdr:row>
                    <xdr:rowOff>0</xdr:rowOff>
                  </from>
                  <to>
                    <xdr:col>47</xdr:col>
                    <xdr:colOff>190500</xdr:colOff>
                    <xdr:row>27</xdr:row>
                    <xdr:rowOff>228600</xdr:rowOff>
                  </to>
                </anchor>
              </controlPr>
            </control>
          </mc:Choice>
        </mc:AlternateContent>
        <mc:AlternateContent xmlns:mc="http://schemas.openxmlformats.org/markup-compatibility/2006">
          <mc:Choice Requires="x14">
            <control shapeId="47171" r:id="rId61" name="Spinner 67">
              <controlPr defaultSize="0" autoPict="0">
                <anchor moveWithCells="1" sizeWithCells="1">
                  <from>
                    <xdr:col>47</xdr:col>
                    <xdr:colOff>9525</xdr:colOff>
                    <xdr:row>28</xdr:row>
                    <xdr:rowOff>0</xdr:rowOff>
                  </from>
                  <to>
                    <xdr:col>47</xdr:col>
                    <xdr:colOff>190500</xdr:colOff>
                    <xdr:row>28</xdr:row>
                    <xdr:rowOff>228600</xdr:rowOff>
                  </to>
                </anchor>
              </controlPr>
            </control>
          </mc:Choice>
        </mc:AlternateContent>
        <mc:AlternateContent xmlns:mc="http://schemas.openxmlformats.org/markup-compatibility/2006">
          <mc:Choice Requires="x14">
            <control shapeId="47172" r:id="rId62" name="Spinner 68">
              <controlPr defaultSize="0" autoPict="0">
                <anchor moveWithCells="1" sizeWithCells="1">
                  <from>
                    <xdr:col>47</xdr:col>
                    <xdr:colOff>9525</xdr:colOff>
                    <xdr:row>29</xdr:row>
                    <xdr:rowOff>0</xdr:rowOff>
                  </from>
                  <to>
                    <xdr:col>47</xdr:col>
                    <xdr:colOff>190500</xdr:colOff>
                    <xdr:row>29</xdr:row>
                    <xdr:rowOff>228600</xdr:rowOff>
                  </to>
                </anchor>
              </controlPr>
            </control>
          </mc:Choice>
        </mc:AlternateContent>
        <mc:AlternateContent xmlns:mc="http://schemas.openxmlformats.org/markup-compatibility/2006">
          <mc:Choice Requires="x14">
            <control shapeId="47173" r:id="rId63" name="Spinner 69">
              <controlPr defaultSize="0" autoPict="0">
                <anchor moveWithCells="1" sizeWithCells="1">
                  <from>
                    <xdr:col>47</xdr:col>
                    <xdr:colOff>9525</xdr:colOff>
                    <xdr:row>30</xdr:row>
                    <xdr:rowOff>0</xdr:rowOff>
                  </from>
                  <to>
                    <xdr:col>47</xdr:col>
                    <xdr:colOff>190500</xdr:colOff>
                    <xdr:row>30</xdr:row>
                    <xdr:rowOff>228600</xdr:rowOff>
                  </to>
                </anchor>
              </controlPr>
            </control>
          </mc:Choice>
        </mc:AlternateContent>
        <mc:AlternateContent xmlns:mc="http://schemas.openxmlformats.org/markup-compatibility/2006">
          <mc:Choice Requires="x14">
            <control shapeId="47174" r:id="rId64" name="Spinner 70">
              <controlPr defaultSize="0" autoPict="0">
                <anchor moveWithCells="1" sizeWithCells="1">
                  <from>
                    <xdr:col>47</xdr:col>
                    <xdr:colOff>9525</xdr:colOff>
                    <xdr:row>31</xdr:row>
                    <xdr:rowOff>0</xdr:rowOff>
                  </from>
                  <to>
                    <xdr:col>47</xdr:col>
                    <xdr:colOff>190500</xdr:colOff>
                    <xdr:row>31</xdr:row>
                    <xdr:rowOff>228600</xdr:rowOff>
                  </to>
                </anchor>
              </controlPr>
            </control>
          </mc:Choice>
        </mc:AlternateContent>
        <mc:AlternateContent xmlns:mc="http://schemas.openxmlformats.org/markup-compatibility/2006">
          <mc:Choice Requires="x14">
            <control shapeId="47175" r:id="rId65" name="Spinner 71">
              <controlPr defaultSize="0" autoPict="0">
                <anchor moveWithCells="1" sizeWithCells="1">
                  <from>
                    <xdr:col>47</xdr:col>
                    <xdr:colOff>9525</xdr:colOff>
                    <xdr:row>32</xdr:row>
                    <xdr:rowOff>0</xdr:rowOff>
                  </from>
                  <to>
                    <xdr:col>47</xdr:col>
                    <xdr:colOff>190500</xdr:colOff>
                    <xdr:row>32</xdr:row>
                    <xdr:rowOff>228600</xdr:rowOff>
                  </to>
                </anchor>
              </controlPr>
            </control>
          </mc:Choice>
        </mc:AlternateContent>
        <mc:AlternateContent xmlns:mc="http://schemas.openxmlformats.org/markup-compatibility/2006">
          <mc:Choice Requires="x14">
            <control shapeId="47176" r:id="rId66" name="Spinner 72">
              <controlPr defaultSize="0" autoPict="0">
                <anchor moveWithCells="1" sizeWithCells="1">
                  <from>
                    <xdr:col>47</xdr:col>
                    <xdr:colOff>9525</xdr:colOff>
                    <xdr:row>33</xdr:row>
                    <xdr:rowOff>0</xdr:rowOff>
                  </from>
                  <to>
                    <xdr:col>47</xdr:col>
                    <xdr:colOff>190500</xdr:colOff>
                    <xdr:row>33</xdr:row>
                    <xdr:rowOff>228600</xdr:rowOff>
                  </to>
                </anchor>
              </controlPr>
            </control>
          </mc:Choice>
        </mc:AlternateContent>
        <mc:AlternateContent xmlns:mc="http://schemas.openxmlformats.org/markup-compatibility/2006">
          <mc:Choice Requires="x14">
            <control shapeId="47227" r:id="rId67" name="Check Box 123">
              <controlPr defaultSize="0" autoFill="0" autoLine="0" autoPict="0" altText="">
                <anchor moveWithCells="1">
                  <from>
                    <xdr:col>12</xdr:col>
                    <xdr:colOff>161925</xdr:colOff>
                    <xdr:row>41</xdr:row>
                    <xdr:rowOff>19050</xdr:rowOff>
                  </from>
                  <to>
                    <xdr:col>13</xdr:col>
                    <xdr:colOff>180975</xdr:colOff>
                    <xdr:row>42</xdr:row>
                    <xdr:rowOff>0</xdr:rowOff>
                  </to>
                </anchor>
              </controlPr>
            </control>
          </mc:Choice>
        </mc:AlternateContent>
        <mc:AlternateContent xmlns:mc="http://schemas.openxmlformats.org/markup-compatibility/2006">
          <mc:Choice Requires="x14">
            <control shapeId="47228" r:id="rId68" name="Check Box 124">
              <controlPr defaultSize="0" autoFill="0" autoLine="0" autoPict="0" altText="">
                <anchor moveWithCells="1">
                  <from>
                    <xdr:col>12</xdr:col>
                    <xdr:colOff>161925</xdr:colOff>
                    <xdr:row>42</xdr:row>
                    <xdr:rowOff>9525</xdr:rowOff>
                  </from>
                  <to>
                    <xdr:col>13</xdr:col>
                    <xdr:colOff>180975</xdr:colOff>
                    <xdr:row>43</xdr:row>
                    <xdr:rowOff>0</xdr:rowOff>
                  </to>
                </anchor>
              </controlPr>
            </control>
          </mc:Choice>
        </mc:AlternateContent>
        <mc:AlternateContent xmlns:mc="http://schemas.openxmlformats.org/markup-compatibility/2006">
          <mc:Choice Requires="x14">
            <control shapeId="47235" r:id="rId69" name="Check Box 131">
              <controlPr defaultSize="0" autoFill="0" autoLine="0" autoPict="0" altText="">
                <anchor moveWithCells="1">
                  <from>
                    <xdr:col>44</xdr:col>
                    <xdr:colOff>28575</xdr:colOff>
                    <xdr:row>52</xdr:row>
                    <xdr:rowOff>9525</xdr:rowOff>
                  </from>
                  <to>
                    <xdr:col>45</xdr:col>
                    <xdr:colOff>66675</xdr:colOff>
                    <xdr:row>53</xdr:row>
                    <xdr:rowOff>0</xdr:rowOff>
                  </to>
                </anchor>
              </controlPr>
            </control>
          </mc:Choice>
        </mc:AlternateContent>
        <mc:AlternateContent xmlns:mc="http://schemas.openxmlformats.org/markup-compatibility/2006">
          <mc:Choice Requires="x14">
            <control shapeId="47236" r:id="rId70" name="Check Box 132">
              <controlPr defaultSize="0" autoFill="0" autoLine="0" autoPict="0" altText="">
                <anchor moveWithCells="1">
                  <from>
                    <xdr:col>44</xdr:col>
                    <xdr:colOff>28575</xdr:colOff>
                    <xdr:row>53</xdr:row>
                    <xdr:rowOff>9525</xdr:rowOff>
                  </from>
                  <to>
                    <xdr:col>45</xdr:col>
                    <xdr:colOff>66675</xdr:colOff>
                    <xdr:row>54</xdr:row>
                    <xdr:rowOff>0</xdr:rowOff>
                  </to>
                </anchor>
              </controlPr>
            </control>
          </mc:Choice>
        </mc:AlternateContent>
        <mc:AlternateContent xmlns:mc="http://schemas.openxmlformats.org/markup-compatibility/2006">
          <mc:Choice Requires="x14">
            <control shapeId="47237" r:id="rId71" name="Check Box 133">
              <controlPr defaultSize="0" autoFill="0" autoLine="0" autoPict="0" altText="">
                <anchor moveWithCells="1">
                  <from>
                    <xdr:col>44</xdr:col>
                    <xdr:colOff>28575</xdr:colOff>
                    <xdr:row>54</xdr:row>
                    <xdr:rowOff>9525</xdr:rowOff>
                  </from>
                  <to>
                    <xdr:col>45</xdr:col>
                    <xdr:colOff>66675</xdr:colOff>
                    <xdr:row>55</xdr:row>
                    <xdr:rowOff>0</xdr:rowOff>
                  </to>
                </anchor>
              </controlPr>
            </control>
          </mc:Choice>
        </mc:AlternateContent>
        <mc:AlternateContent xmlns:mc="http://schemas.openxmlformats.org/markup-compatibility/2006">
          <mc:Choice Requires="x14">
            <control shapeId="47238" r:id="rId72" name="Check Box 134">
              <controlPr defaultSize="0" autoFill="0" autoLine="0" autoPict="0" altText="">
                <anchor moveWithCells="1">
                  <from>
                    <xdr:col>33</xdr:col>
                    <xdr:colOff>28575</xdr:colOff>
                    <xdr:row>52</xdr:row>
                    <xdr:rowOff>9525</xdr:rowOff>
                  </from>
                  <to>
                    <xdr:col>34</xdr:col>
                    <xdr:colOff>47625</xdr:colOff>
                    <xdr:row>53</xdr:row>
                    <xdr:rowOff>0</xdr:rowOff>
                  </to>
                </anchor>
              </controlPr>
            </control>
          </mc:Choice>
        </mc:AlternateContent>
        <mc:AlternateContent xmlns:mc="http://schemas.openxmlformats.org/markup-compatibility/2006">
          <mc:Choice Requires="x14">
            <control shapeId="47239" r:id="rId73" name="Check Box 135">
              <controlPr defaultSize="0" autoFill="0" autoLine="0" autoPict="0" altText="">
                <anchor moveWithCells="1">
                  <from>
                    <xdr:col>33</xdr:col>
                    <xdr:colOff>28575</xdr:colOff>
                    <xdr:row>53</xdr:row>
                    <xdr:rowOff>9525</xdr:rowOff>
                  </from>
                  <to>
                    <xdr:col>34</xdr:col>
                    <xdr:colOff>47625</xdr:colOff>
                    <xdr:row>54</xdr:row>
                    <xdr:rowOff>0</xdr:rowOff>
                  </to>
                </anchor>
              </controlPr>
            </control>
          </mc:Choice>
        </mc:AlternateContent>
        <mc:AlternateContent xmlns:mc="http://schemas.openxmlformats.org/markup-compatibility/2006">
          <mc:Choice Requires="x14">
            <control shapeId="47240" r:id="rId74" name="Check Box 136">
              <controlPr defaultSize="0" autoFill="0" autoLine="0" autoPict="0" altText="">
                <anchor moveWithCells="1">
                  <from>
                    <xdr:col>33</xdr:col>
                    <xdr:colOff>28575</xdr:colOff>
                    <xdr:row>54</xdr:row>
                    <xdr:rowOff>9525</xdr:rowOff>
                  </from>
                  <to>
                    <xdr:col>34</xdr:col>
                    <xdr:colOff>57150</xdr:colOff>
                    <xdr:row>55</xdr:row>
                    <xdr:rowOff>0</xdr:rowOff>
                  </to>
                </anchor>
              </controlPr>
            </control>
          </mc:Choice>
        </mc:AlternateContent>
        <mc:AlternateContent xmlns:mc="http://schemas.openxmlformats.org/markup-compatibility/2006">
          <mc:Choice Requires="x14">
            <control shapeId="47241" r:id="rId75" name="Check Box 137">
              <controlPr defaultSize="0" autoFill="0" autoLine="0" autoPict="0" altText="">
                <anchor moveWithCells="1">
                  <from>
                    <xdr:col>20</xdr:col>
                    <xdr:colOff>28575</xdr:colOff>
                    <xdr:row>53</xdr:row>
                    <xdr:rowOff>9525</xdr:rowOff>
                  </from>
                  <to>
                    <xdr:col>21</xdr:col>
                    <xdr:colOff>66675</xdr:colOff>
                    <xdr:row>54</xdr:row>
                    <xdr:rowOff>0</xdr:rowOff>
                  </to>
                </anchor>
              </controlPr>
            </control>
          </mc:Choice>
        </mc:AlternateContent>
        <mc:AlternateContent xmlns:mc="http://schemas.openxmlformats.org/markup-compatibility/2006">
          <mc:Choice Requires="x14">
            <control shapeId="47242" r:id="rId76" name="Check Box 138">
              <controlPr defaultSize="0" autoFill="0" autoLine="0" autoPict="0" altText="">
                <anchor moveWithCells="1">
                  <from>
                    <xdr:col>20</xdr:col>
                    <xdr:colOff>28575</xdr:colOff>
                    <xdr:row>54</xdr:row>
                    <xdr:rowOff>9525</xdr:rowOff>
                  </from>
                  <to>
                    <xdr:col>21</xdr:col>
                    <xdr:colOff>66675</xdr:colOff>
                    <xdr:row>55</xdr:row>
                    <xdr:rowOff>0</xdr:rowOff>
                  </to>
                </anchor>
              </controlPr>
            </control>
          </mc:Choice>
        </mc:AlternateContent>
        <mc:AlternateContent xmlns:mc="http://schemas.openxmlformats.org/markup-compatibility/2006">
          <mc:Choice Requires="x14">
            <control shapeId="47243" r:id="rId77" name="Check Box 139">
              <controlPr defaultSize="0" autoFill="0" autoLine="0" autoPict="0" altText="">
                <anchor moveWithCells="1">
                  <from>
                    <xdr:col>20</xdr:col>
                    <xdr:colOff>28575</xdr:colOff>
                    <xdr:row>55</xdr:row>
                    <xdr:rowOff>9525</xdr:rowOff>
                  </from>
                  <to>
                    <xdr:col>21</xdr:col>
                    <xdr:colOff>66675</xdr:colOff>
                    <xdr:row>56</xdr:row>
                    <xdr:rowOff>0</xdr:rowOff>
                  </to>
                </anchor>
              </controlPr>
            </control>
          </mc:Choice>
        </mc:AlternateContent>
        <mc:AlternateContent xmlns:mc="http://schemas.openxmlformats.org/markup-compatibility/2006">
          <mc:Choice Requires="x14">
            <control shapeId="47365" r:id="rId78" name="Check Box 261">
              <controlPr defaultSize="0" autoFill="0" autoLine="0" autoPict="0" altText="">
                <anchor moveWithCells="1">
                  <from>
                    <xdr:col>12</xdr:col>
                    <xdr:colOff>161925</xdr:colOff>
                    <xdr:row>43</xdr:row>
                    <xdr:rowOff>19050</xdr:rowOff>
                  </from>
                  <to>
                    <xdr:col>13</xdr:col>
                    <xdr:colOff>180975</xdr:colOff>
                    <xdr:row>44</xdr:row>
                    <xdr:rowOff>0</xdr:rowOff>
                  </to>
                </anchor>
              </controlPr>
            </control>
          </mc:Choice>
        </mc:AlternateContent>
        <mc:AlternateContent xmlns:mc="http://schemas.openxmlformats.org/markup-compatibility/2006">
          <mc:Choice Requires="x14">
            <control shapeId="47367" r:id="rId79" name="Check Box 263">
              <controlPr defaultSize="0" autoFill="0" autoLine="0" autoPict="0" altText="">
                <anchor moveWithCells="1">
                  <from>
                    <xdr:col>12</xdr:col>
                    <xdr:colOff>161925</xdr:colOff>
                    <xdr:row>44</xdr:row>
                    <xdr:rowOff>19050</xdr:rowOff>
                  </from>
                  <to>
                    <xdr:col>13</xdr:col>
                    <xdr:colOff>180975</xdr:colOff>
                    <xdr:row>45</xdr:row>
                    <xdr:rowOff>0</xdr:rowOff>
                  </to>
                </anchor>
              </controlPr>
            </control>
          </mc:Choice>
        </mc:AlternateContent>
        <mc:AlternateContent xmlns:mc="http://schemas.openxmlformats.org/markup-compatibility/2006">
          <mc:Choice Requires="x14">
            <control shapeId="47369" r:id="rId80" name="Check Box 265">
              <controlPr defaultSize="0" autoFill="0" autoLine="0" autoPict="0" altText="">
                <anchor moveWithCells="1">
                  <from>
                    <xdr:col>12</xdr:col>
                    <xdr:colOff>161925</xdr:colOff>
                    <xdr:row>45</xdr:row>
                    <xdr:rowOff>19050</xdr:rowOff>
                  </from>
                  <to>
                    <xdr:col>13</xdr:col>
                    <xdr:colOff>180975</xdr:colOff>
                    <xdr:row>46</xdr:row>
                    <xdr:rowOff>0</xdr:rowOff>
                  </to>
                </anchor>
              </controlPr>
            </control>
          </mc:Choice>
        </mc:AlternateContent>
        <mc:AlternateContent xmlns:mc="http://schemas.openxmlformats.org/markup-compatibility/2006">
          <mc:Choice Requires="x14">
            <control shapeId="47371" r:id="rId81" name="Check Box 267">
              <controlPr defaultSize="0" autoFill="0" autoLine="0" autoPict="0" altText="">
                <anchor moveWithCells="1">
                  <from>
                    <xdr:col>12</xdr:col>
                    <xdr:colOff>161925</xdr:colOff>
                    <xdr:row>46</xdr:row>
                    <xdr:rowOff>19050</xdr:rowOff>
                  </from>
                  <to>
                    <xdr:col>13</xdr:col>
                    <xdr:colOff>180975</xdr:colOff>
                    <xdr:row>47</xdr:row>
                    <xdr:rowOff>0</xdr:rowOff>
                  </to>
                </anchor>
              </controlPr>
            </control>
          </mc:Choice>
        </mc:AlternateContent>
        <mc:AlternateContent xmlns:mc="http://schemas.openxmlformats.org/markup-compatibility/2006">
          <mc:Choice Requires="x14">
            <control shapeId="47373" r:id="rId82" name="Check Box 269">
              <controlPr defaultSize="0" autoFill="0" autoLine="0" autoPict="0" altText="">
                <anchor moveWithCells="1">
                  <from>
                    <xdr:col>12</xdr:col>
                    <xdr:colOff>161925</xdr:colOff>
                    <xdr:row>47</xdr:row>
                    <xdr:rowOff>19050</xdr:rowOff>
                  </from>
                  <to>
                    <xdr:col>13</xdr:col>
                    <xdr:colOff>180975</xdr:colOff>
                    <xdr:row>48</xdr:row>
                    <xdr:rowOff>0</xdr:rowOff>
                  </to>
                </anchor>
              </controlPr>
            </control>
          </mc:Choice>
        </mc:AlternateContent>
        <mc:AlternateContent xmlns:mc="http://schemas.openxmlformats.org/markup-compatibility/2006">
          <mc:Choice Requires="x14">
            <control shapeId="47375" r:id="rId83" name="Check Box 271">
              <controlPr defaultSize="0" autoFill="0" autoLine="0" autoPict="0" altText="">
                <anchor moveWithCells="1">
                  <from>
                    <xdr:col>12</xdr:col>
                    <xdr:colOff>161925</xdr:colOff>
                    <xdr:row>48</xdr:row>
                    <xdr:rowOff>19050</xdr:rowOff>
                  </from>
                  <to>
                    <xdr:col>13</xdr:col>
                    <xdr:colOff>180975</xdr:colOff>
                    <xdr:row>49</xdr:row>
                    <xdr:rowOff>0</xdr:rowOff>
                  </to>
                </anchor>
              </controlPr>
            </control>
          </mc:Choice>
        </mc:AlternateContent>
        <mc:AlternateContent xmlns:mc="http://schemas.openxmlformats.org/markup-compatibility/2006">
          <mc:Choice Requires="x14">
            <control shapeId="47376" r:id="rId84" name="Check Box 272">
              <controlPr defaultSize="0" autoFill="0" autoLine="0" autoPict="0" altText="">
                <anchor moveWithCells="1">
                  <from>
                    <xdr:col>20</xdr:col>
                    <xdr:colOff>28575</xdr:colOff>
                    <xdr:row>54</xdr:row>
                    <xdr:rowOff>9525</xdr:rowOff>
                  </from>
                  <to>
                    <xdr:col>21</xdr:col>
                    <xdr:colOff>66675</xdr:colOff>
                    <xdr:row>55</xdr:row>
                    <xdr:rowOff>0</xdr:rowOff>
                  </to>
                </anchor>
              </controlPr>
            </control>
          </mc:Choice>
        </mc:AlternateContent>
        <mc:AlternateContent xmlns:mc="http://schemas.openxmlformats.org/markup-compatibility/2006">
          <mc:Choice Requires="x14">
            <control shapeId="47377" r:id="rId85" name="Check Box 273">
              <controlPr defaultSize="0" autoFill="0" autoLine="0" autoPict="0" altText="">
                <anchor moveWithCells="1">
                  <from>
                    <xdr:col>20</xdr:col>
                    <xdr:colOff>28575</xdr:colOff>
                    <xdr:row>55</xdr:row>
                    <xdr:rowOff>9525</xdr:rowOff>
                  </from>
                  <to>
                    <xdr:col>21</xdr:col>
                    <xdr:colOff>66675</xdr:colOff>
                    <xdr:row>56</xdr:row>
                    <xdr:rowOff>0</xdr:rowOff>
                  </to>
                </anchor>
              </controlPr>
            </control>
          </mc:Choice>
        </mc:AlternateContent>
        <mc:AlternateContent xmlns:mc="http://schemas.openxmlformats.org/markup-compatibility/2006">
          <mc:Choice Requires="x14">
            <control shapeId="47712" r:id="rId86" name="Spinner 608">
              <controlPr defaultSize="0" autoPict="0">
                <anchor moveWithCells="1" sizeWithCells="1">
                  <from>
                    <xdr:col>22</xdr:col>
                    <xdr:colOff>142875</xdr:colOff>
                    <xdr:row>24</xdr:row>
                    <xdr:rowOff>19050</xdr:rowOff>
                  </from>
                  <to>
                    <xdr:col>23</xdr:col>
                    <xdr:colOff>123825</xdr:colOff>
                    <xdr:row>25</xdr:row>
                    <xdr:rowOff>0</xdr:rowOff>
                  </to>
                </anchor>
              </controlPr>
            </control>
          </mc:Choice>
        </mc:AlternateContent>
        <mc:AlternateContent xmlns:mc="http://schemas.openxmlformats.org/markup-compatibility/2006">
          <mc:Choice Requires="x14">
            <control shapeId="165993" r:id="rId87" name="Check Box 5225">
              <controlPr defaultSize="0" autoFill="0" autoLine="0" autoPict="0" altText="">
                <anchor moveWithCells="1">
                  <from>
                    <xdr:col>20</xdr:col>
                    <xdr:colOff>28575</xdr:colOff>
                    <xdr:row>54</xdr:row>
                    <xdr:rowOff>9525</xdr:rowOff>
                  </from>
                  <to>
                    <xdr:col>21</xdr:col>
                    <xdr:colOff>66675</xdr:colOff>
                    <xdr:row>55</xdr:row>
                    <xdr:rowOff>0</xdr:rowOff>
                  </to>
                </anchor>
              </controlPr>
            </control>
          </mc:Choice>
        </mc:AlternateContent>
      </controls>
    </mc:Choice>
  </mc:AlternateContent>
  <extLst>
    <ext xmlns:x14="http://schemas.microsoft.com/office/spreadsheetml/2009/9/main" uri="{78C0D931-6437-407d-A8EE-F0AAD7539E65}">
      <x14:conditionalFormattings>
        <x14:conditionalFormatting xmlns:xm="http://schemas.microsoft.com/office/excel/2006/main">
          <x14:cfRule type="expression" priority="9" id="{C92FCF55-C668-4235-9392-6FAF4FB8F57B}">
            <xm:f>AND(COUNTIF($AH$13:$AH$40,"Martial_Artist")=0,Values!$S$37&gt;0)</xm:f>
            <x14:dxf>
              <fill>
                <patternFill>
                  <bgColor rgb="FFFF0000"/>
                </patternFill>
              </fill>
            </x14:dxf>
          </x14:cfRule>
          <xm:sqref>K25:M25</xm:sqref>
        </x14:conditionalFormatting>
      </x14:conditionalFormattings>
    </ext>
    <ext xmlns:x14="http://schemas.microsoft.com/office/spreadsheetml/2009/9/main" uri="{CCE6A557-97BC-4b89-ADB6-D9C93CAAB3DF}">
      <x14:dataValidations xmlns:xm="http://schemas.microsoft.com/office/excel/2006/main" count="10">
        <x14:dataValidation type="list" allowBlank="1" showInputMessage="1" xr:uid="{00000000-0002-0000-0200-000004000000}">
          <x14:formula1>
            <xm:f>INDIRECT("CharmAb!C"&amp;MATCH(B118,CharmAb!B:B,0)&amp;":C"&amp;(MATCH(B118,CharmAb!B:B,0)+COUNTIF(CharmAb!B:B,B118)-1))</xm:f>
          </x14:formula1>
          <xm:sqref>H118:L118 H166:L166 H169:L169 H238:L238 H172:L172 H175:L175 H241:L241 H265:L265 H178:L178 H181:L181 H184:L184 H187:L187 H196:L196 H199:L199 H124:L124 H127:L127 H202:L202 H205:L205 H208:L208 H211:L211 H130:L130 H133:L133 H136:L136 H139:L139 H148:L148 H151:L151 H154:L154 H157:L157 H160:L160 H163:L163 H190:L190 H193:L193 H142:L142 H145:L145 H214:L214 H217:L217 H220:L220 H223:L223 H226:L226 H229:L229 H232:L232 H235:L235 H244:L244 H247:L247 H250:L250 H253:L253 H256:L256 H259:L259 H262:L262 H121:L121</xm:sqref>
        </x14:dataValidation>
        <x14:dataValidation type="list" allowBlank="1" showInputMessage="1" xr:uid="{00000000-0002-0000-0200-000008000000}">
          <x14:formula1>
            <xm:f>Armor!$B$2:$B$7</xm:f>
          </x14:formula1>
          <xm:sqref>I54:J56</xm:sqref>
        </x14:dataValidation>
        <x14:dataValidation type="list" errorStyle="warning" allowBlank="1" showInputMessage="1" showErrorMessage="1" xr:uid="{00000000-0002-0000-0200-000009000000}">
          <x14:formula1>
            <xm:f>Intimacies!$A$1:$A$2</xm:f>
          </x14:formula1>
          <xm:sqref>N63:R87 AM63:AQ87</xm:sqref>
        </x14:dataValidation>
        <x14:dataValidation type="list" errorStyle="warning" allowBlank="1" showInputMessage="1" showErrorMessage="1" xr:uid="{00000000-0002-0000-0200-00000A000000}">
          <x14:formula1>
            <xm:f>Castes!$B$3:$B$9</xm:f>
          </x14:formula1>
          <xm:sqref>S4:AC4</xm:sqref>
        </x14:dataValidation>
        <x14:dataValidation type="list" errorStyle="warning" allowBlank="1" showInputMessage="1" showErrorMessage="1" xr:uid="{00000000-0002-0000-0200-00000B000000}">
          <x14:formula1>
            <xm:f>Values!$B$25:$B$58</xm:f>
          </x14:formula1>
          <xm:sqref>P13:T22</xm:sqref>
        </x14:dataValidation>
        <x14:dataValidation type="list" errorStyle="information" allowBlank="1" showInputMessage="1" showErrorMessage="1" errorTitle="nope" promptTitle="Choose Weapon Type" prompt="M/A = Mortal/Artefact_x000a_M/T/A = Melee/Thrown/Archery_x000a_L/M/H = Light/Melee/Heavy" xr:uid="{00000000-0002-0000-0200-00000C000000}">
          <x14:formula1>
            <xm:f>Weapons!$B$2:$B$98</xm:f>
          </x14:formula1>
          <xm:sqref>O42:O49</xm:sqref>
        </x14:dataValidation>
        <x14:dataValidation type="list" allowBlank="1" showInputMessage="1" promptTitle="Ability used for value calcul" prompt="The &quot;0&quot; at the end of Martial Abilities can be changed by entering an additionnal ability on &quot;Creation_1&quot;" xr:uid="{00000000-0002-0000-0200-00000D000000}">
          <x14:formula1>
            <xm:f>Weapons!$A$102:$A$112</xm:f>
          </x14:formula1>
          <xm:sqref>X42:AA49</xm:sqref>
        </x14:dataValidation>
        <x14:dataValidation type="list" allowBlank="1" showInputMessage="1" showErrorMessage="1" promptTitle="Attribute used for value calcul" prompt="If empty, default attribute used is DEX" xr:uid="{00000000-0002-0000-0200-00000E000000}">
          <x14:formula1>
            <xm:f>Weapons!$A$142:$A$150</xm:f>
          </x14:formula1>
          <xm:sqref>AB42:AC49</xm:sqref>
        </x14:dataValidation>
        <x14:dataValidation type="list" errorStyle="warning" allowBlank="1" showInputMessage="1" showErrorMessage="1" xr:uid="{00000000-0002-0000-0200-00000F000000}">
          <x14:formula1>
            <xm:f>Intimacies!$D$3:$D$5</xm:f>
          </x14:formula1>
          <xm:sqref>T63:Y87 AS63:AX87</xm:sqref>
        </x14:dataValidation>
        <x14:dataValidation type="list" allowBlank="1" showInputMessage="1" xr:uid="{00000000-0002-0000-0200-000005000000}">
          <x14:formula1>
            <xm:f>INDIRECT("CharmPrerequisites!M"&amp;MATCH(H118,CharmPrerequisites!A:A,0)&amp;":M"&amp;(MATCH(H118,CharmPrerequisites!A:A,0)+COUNTIF(CharmPrerequisites!A:A,H118)-1))</xm:f>
          </x14:formula1>
          <xm:sqref>N169:AA169 N121:AA121 N166:AA166 N241:AA241 N175:AA175 N172:AA172 N238:AA238 N118:AA118 N181:AA181 N178:AA178 N187:AA187 N184:AA184 N199:AA199 N196:AA196 N127:AA127 N124:AA124 N205:AA205 N202:AA202 N211:AA211 N208:AA208 N133:AA133 N130:AA130 N139:AA139 N136:AA136 N151:AA151 N148:AA148 N157:AA157 N154:AA154 N163:AA163 N160:AA160 N193:AA193 N190:AA190 N145:AA145 N142:AA142 N217:AA217 N214:AA214 N223:AA223 N220:AA220 N229:AA229 N226:AA226 N235:AA235 N232:AA232 N247:AA247 N244:AA244 N253:AA253 N250:AA250 N259:AA259 N256:AA256 N265:AA265 N262:AA262</xm:sqref>
        </x14:dataValidation>
      </x14:dataValidation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9" tint="0.79998168889431442"/>
    <pageSetUpPr fitToPage="1"/>
  </sheetPr>
  <dimension ref="A1:CC213"/>
  <sheetViews>
    <sheetView tabSelected="1" zoomScale="85" zoomScaleNormal="85" zoomScaleSheetLayoutView="70" zoomScalePageLayoutView="55" workbookViewId="0">
      <selection activeCell="P13" sqref="P13:T13"/>
    </sheetView>
  </sheetViews>
  <sheetFormatPr baseColWidth="10" defaultColWidth="0" defaultRowHeight="20.100000000000001" customHeight="1" zeroHeight="1"/>
  <cols>
    <col min="1" max="1" width="3.5" style="4" bestFit="1" customWidth="1"/>
    <col min="2" max="12" width="2.625" style="4" customWidth="1"/>
    <col min="13" max="14" width="2.75" style="4" customWidth="1"/>
    <col min="15" max="15" width="2.625" style="4" customWidth="1"/>
    <col min="16" max="16" width="2.75" style="4" customWidth="1"/>
    <col min="17" max="30" width="2.625" style="4" customWidth="1"/>
    <col min="31" max="36" width="2.75" style="4" customWidth="1"/>
    <col min="37" max="37" width="2.625" style="4" customWidth="1"/>
    <col min="38" max="38" width="2.75" style="4" customWidth="1"/>
    <col min="39" max="41" width="2.625" style="4" customWidth="1"/>
    <col min="42" max="42" width="2.75" style="4" customWidth="1"/>
    <col min="43" max="52" width="2.625" style="4" customWidth="1"/>
    <col min="53" max="53" width="3" style="4" customWidth="1"/>
    <col min="54" max="64" width="2.625" style="4" customWidth="1"/>
    <col min="65" max="65" width="2.875" style="4" customWidth="1"/>
    <col min="66" max="76" width="2.625" style="4" customWidth="1"/>
    <col min="77" max="80" width="2.625" style="4" hidden="1" customWidth="1"/>
    <col min="81" max="81" width="3.5" style="4" hidden="1" customWidth="1"/>
    <col min="82" max="91" width="2.625" style="4" hidden="1" customWidth="1"/>
    <col min="92" max="16384" width="2.625" style="4" hidden="1"/>
  </cols>
  <sheetData>
    <row r="1" spans="1:76" ht="20.100000000000001" customHeight="1">
      <c r="A1" s="5"/>
      <c r="B1" s="5"/>
      <c r="C1" s="5"/>
      <c r="D1" s="5"/>
      <c r="E1" s="5"/>
      <c r="F1" s="5"/>
      <c r="G1" s="5"/>
      <c r="H1" s="5"/>
      <c r="I1" s="5"/>
      <c r="J1" s="5"/>
      <c r="K1" s="5"/>
      <c r="L1" s="5"/>
      <c r="M1" s="5"/>
      <c r="N1" s="5"/>
      <c r="O1" s="5"/>
      <c r="P1" s="5"/>
      <c r="Q1" s="5"/>
      <c r="R1" s="5"/>
      <c r="S1" s="5"/>
      <c r="T1" s="5"/>
      <c r="U1" s="5"/>
      <c r="V1" s="5"/>
      <c r="W1" s="5"/>
      <c r="X1" s="5"/>
      <c r="Y1" s="5"/>
      <c r="Z1" s="5"/>
      <c r="AA1" s="5"/>
      <c r="AB1" s="5"/>
      <c r="AC1" s="5"/>
      <c r="AD1" s="5"/>
      <c r="AE1" s="5"/>
      <c r="AF1" s="5"/>
      <c r="AG1" s="5"/>
      <c r="AH1" s="5"/>
      <c r="AI1" s="5"/>
      <c r="AJ1" s="5"/>
      <c r="AK1" s="5"/>
      <c r="AL1" s="5"/>
      <c r="AM1" s="5"/>
      <c r="AO1" s="5"/>
      <c r="AP1" s="5"/>
      <c r="AQ1" s="5"/>
      <c r="AR1" s="5"/>
      <c r="AS1" s="5"/>
      <c r="AT1" s="5"/>
      <c r="AU1" s="5"/>
      <c r="AV1" s="5"/>
      <c r="AW1" s="5"/>
      <c r="AY1" s="50"/>
      <c r="AZ1" s="5"/>
      <c r="BA1" s="86" t="s">
        <v>3260</v>
      </c>
      <c r="BB1" s="5"/>
      <c r="BC1" s="5"/>
      <c r="BD1" s="5"/>
      <c r="BE1" s="5"/>
      <c r="BF1" s="5"/>
      <c r="BG1" s="5"/>
      <c r="BH1" s="5"/>
      <c r="BI1" s="5"/>
      <c r="BJ1" s="5"/>
      <c r="BK1" s="5"/>
      <c r="BL1" s="5"/>
      <c r="BM1" s="5"/>
      <c r="BN1" s="5"/>
      <c r="BO1" s="5"/>
      <c r="BP1" s="5"/>
      <c r="BQ1" s="5"/>
      <c r="BR1" s="5"/>
      <c r="BS1" s="5"/>
      <c r="BT1" s="5"/>
      <c r="BU1" s="5"/>
      <c r="BV1" s="5"/>
      <c r="BW1" s="5"/>
      <c r="BX1" s="5"/>
    </row>
    <row r="2" spans="1:76" ht="20.100000000000001" customHeight="1">
      <c r="A2" s="5"/>
      <c r="B2" s="5"/>
      <c r="C2" s="5"/>
      <c r="D2" s="5"/>
      <c r="E2" s="5"/>
      <c r="F2" s="5"/>
      <c r="G2" s="5"/>
      <c r="H2" s="5"/>
      <c r="I2" s="5"/>
      <c r="J2" s="5"/>
      <c r="K2" s="5"/>
      <c r="L2" s="5"/>
      <c r="M2" s="5"/>
      <c r="N2" s="5"/>
      <c r="O2" s="5"/>
      <c r="P2" s="455" t="s">
        <v>0</v>
      </c>
      <c r="Q2" s="455"/>
      <c r="R2" s="455"/>
      <c r="S2" s="494">
        <f>Values!S4</f>
        <v>0</v>
      </c>
      <c r="T2" s="494"/>
      <c r="U2" s="494"/>
      <c r="V2" s="494"/>
      <c r="W2" s="494"/>
      <c r="X2" s="494"/>
      <c r="Y2" s="494"/>
      <c r="Z2" s="494"/>
      <c r="AA2" s="494"/>
      <c r="AB2" s="494"/>
      <c r="AC2" s="494"/>
      <c r="AD2" s="455" t="s">
        <v>1</v>
      </c>
      <c r="AE2" s="455"/>
      <c r="AF2" s="455"/>
      <c r="AG2" s="455"/>
      <c r="AH2" s="494">
        <f>Values!S7</f>
        <v>0</v>
      </c>
      <c r="AI2" s="494"/>
      <c r="AJ2" s="494"/>
      <c r="AK2" s="494"/>
      <c r="AL2" s="494"/>
      <c r="AM2" s="494"/>
      <c r="AN2" s="494"/>
      <c r="AO2" s="494"/>
      <c r="AP2" s="494"/>
      <c r="AQ2" s="494"/>
      <c r="AR2" s="494"/>
      <c r="AS2" s="494"/>
      <c r="AT2" s="494"/>
      <c r="AU2" s="5"/>
      <c r="AV2" s="5"/>
      <c r="AW2" s="5"/>
      <c r="AX2" s="5"/>
      <c r="AY2" s="5"/>
      <c r="AZ2" s="5"/>
      <c r="BA2" s="5"/>
      <c r="BB2" s="5"/>
      <c r="BC2" s="5"/>
      <c r="BD2" s="5"/>
      <c r="BE2" s="5"/>
      <c r="BF2" s="5"/>
      <c r="BG2" s="5"/>
      <c r="BH2" s="5"/>
      <c r="BI2" s="5"/>
      <c r="BJ2" s="5"/>
      <c r="BK2" s="5"/>
      <c r="BL2" s="5"/>
      <c r="BM2" s="5"/>
      <c r="BN2" s="5"/>
      <c r="BO2" s="5"/>
      <c r="BP2" s="5"/>
      <c r="BQ2" s="5"/>
      <c r="BR2" s="5"/>
      <c r="BS2" s="5"/>
      <c r="BT2" s="5"/>
      <c r="BU2" s="5"/>
      <c r="BV2" s="5"/>
      <c r="BW2" s="5"/>
      <c r="BX2" s="5"/>
    </row>
    <row r="3" spans="1:76" ht="20.100000000000001" customHeight="1">
      <c r="A3" s="5"/>
      <c r="B3" s="5"/>
      <c r="C3" s="5"/>
      <c r="D3" s="5"/>
      <c r="E3" s="5"/>
      <c r="F3" s="5"/>
      <c r="G3" s="5"/>
      <c r="H3" s="5"/>
      <c r="I3" s="5"/>
      <c r="J3" s="5"/>
      <c r="K3" s="5"/>
      <c r="L3" s="5"/>
      <c r="M3" s="5"/>
      <c r="N3" s="5"/>
      <c r="O3" s="5"/>
      <c r="P3" s="455" t="s">
        <v>2</v>
      </c>
      <c r="Q3" s="455"/>
      <c r="R3" s="455"/>
      <c r="S3" s="494">
        <f>Values!S5</f>
        <v>0</v>
      </c>
      <c r="T3" s="494"/>
      <c r="U3" s="494"/>
      <c r="V3" s="494"/>
      <c r="W3" s="494"/>
      <c r="X3" s="494"/>
      <c r="Y3" s="494"/>
      <c r="Z3" s="494"/>
      <c r="AA3" s="494"/>
      <c r="AB3" s="494"/>
      <c r="AC3" s="494"/>
      <c r="AD3" s="455" t="s">
        <v>3</v>
      </c>
      <c r="AE3" s="455"/>
      <c r="AF3" s="455"/>
      <c r="AG3" s="494">
        <f>Values!S8</f>
        <v>0</v>
      </c>
      <c r="AH3" s="494"/>
      <c r="AI3" s="494"/>
      <c r="AJ3" s="494"/>
      <c r="AK3" s="494"/>
      <c r="AL3" s="494"/>
      <c r="AM3" s="494"/>
      <c r="AN3" s="494"/>
      <c r="AO3" s="494"/>
      <c r="AP3" s="494"/>
      <c r="AQ3" s="494"/>
      <c r="AR3" s="494"/>
      <c r="AS3" s="494"/>
      <c r="AT3" s="494"/>
      <c r="AU3" s="5"/>
      <c r="AV3" s="5"/>
      <c r="AW3" s="5"/>
      <c r="AX3" s="5"/>
      <c r="AY3" s="5"/>
      <c r="AZ3" s="5"/>
      <c r="BA3" s="457" t="s">
        <v>3531</v>
      </c>
      <c r="BB3" s="457"/>
      <c r="BC3" s="457"/>
      <c r="BD3" s="457"/>
      <c r="BE3" s="457"/>
      <c r="BF3" s="457"/>
      <c r="BG3" s="457"/>
      <c r="BH3" s="457"/>
      <c r="BI3" s="457"/>
      <c r="BJ3" s="457"/>
      <c r="BK3" s="457"/>
      <c r="BL3" s="457"/>
      <c r="BM3" s="457"/>
      <c r="BN3" s="457"/>
      <c r="BO3" s="457"/>
      <c r="BP3" s="457"/>
      <c r="BQ3" s="457"/>
      <c r="BR3" s="457"/>
      <c r="BS3" s="5"/>
      <c r="BT3" s="5"/>
      <c r="BU3" s="5"/>
      <c r="BV3" s="5"/>
      <c r="BW3" s="5"/>
      <c r="BX3" s="5"/>
    </row>
    <row r="4" spans="1:76" ht="19.5" customHeight="1">
      <c r="A4" s="5"/>
      <c r="B4" s="5"/>
      <c r="C4" s="5"/>
      <c r="D4" s="5"/>
      <c r="E4" s="5"/>
      <c r="F4" s="5"/>
      <c r="G4" s="5"/>
      <c r="H4" s="5"/>
      <c r="I4" s="5"/>
      <c r="J4" s="5"/>
      <c r="K4" s="5"/>
      <c r="L4" s="5"/>
      <c r="M4" s="5"/>
      <c r="N4" s="5"/>
      <c r="O4" s="5"/>
      <c r="P4" s="455" t="s">
        <v>4</v>
      </c>
      <c r="Q4" s="455"/>
      <c r="R4" s="455"/>
      <c r="S4" s="491">
        <f>Values!S6</f>
        <v>0</v>
      </c>
      <c r="T4" s="492"/>
      <c r="U4" s="492"/>
      <c r="V4" s="492"/>
      <c r="W4" s="492"/>
      <c r="X4" s="492"/>
      <c r="Y4" s="492"/>
      <c r="Z4" s="492"/>
      <c r="AA4" s="492"/>
      <c r="AB4" s="492"/>
      <c r="AC4" s="493"/>
      <c r="AD4" s="455" t="s">
        <v>1424</v>
      </c>
      <c r="AE4" s="455"/>
      <c r="AF4" s="455"/>
      <c r="AG4" s="455"/>
      <c r="AH4" s="455"/>
      <c r="AI4" s="456" t="str">
        <f>IF(S4="Mortal","-",IFERROR(VLOOKUP("S",C13:E47,3,0),"Please choose a Supernal Ability"))</f>
        <v>Please choose a Supernal Ability</v>
      </c>
      <c r="AJ4" s="456"/>
      <c r="AK4" s="456"/>
      <c r="AL4" s="456"/>
      <c r="AM4" s="456"/>
      <c r="AN4" s="456"/>
      <c r="AO4" s="456"/>
      <c r="AP4" s="456"/>
      <c r="AQ4" s="456"/>
      <c r="AR4" s="456"/>
      <c r="AS4" s="456"/>
      <c r="AT4" s="456"/>
      <c r="AU4" s="5"/>
      <c r="AV4" s="5"/>
      <c r="AW4" s="5"/>
      <c r="AX4" s="5"/>
      <c r="AY4" s="5"/>
      <c r="AZ4" s="5"/>
      <c r="BA4" s="457"/>
      <c r="BB4" s="457"/>
      <c r="BC4" s="457"/>
      <c r="BD4" s="457"/>
      <c r="BE4" s="457"/>
      <c r="BF4" s="457"/>
      <c r="BG4" s="457"/>
      <c r="BH4" s="457"/>
      <c r="BI4" s="457"/>
      <c r="BJ4" s="457"/>
      <c r="BK4" s="457"/>
      <c r="BL4" s="457"/>
      <c r="BM4" s="457"/>
      <c r="BN4" s="457"/>
      <c r="BO4" s="457"/>
      <c r="BP4" s="457"/>
      <c r="BQ4" s="457"/>
      <c r="BR4" s="457"/>
      <c r="BS4" s="5"/>
      <c r="BT4" s="5"/>
      <c r="BU4" s="5"/>
      <c r="BV4" s="5"/>
      <c r="BW4" s="5"/>
      <c r="BX4" s="5"/>
    </row>
    <row r="5" spans="1:76" ht="19.5" customHeight="1">
      <c r="A5" s="5"/>
      <c r="B5" s="5"/>
      <c r="C5" s="5"/>
      <c r="D5" s="5"/>
      <c r="E5" s="5"/>
      <c r="F5" s="5"/>
      <c r="G5" s="5"/>
      <c r="H5" s="5"/>
      <c r="I5" s="5"/>
      <c r="J5" s="5"/>
      <c r="K5" s="5"/>
      <c r="L5" s="5"/>
      <c r="M5" s="5"/>
      <c r="N5" s="5"/>
      <c r="O5" s="5"/>
      <c r="P5" s="5"/>
      <c r="R5" s="5"/>
      <c r="S5" s="5"/>
      <c r="T5" s="5"/>
      <c r="U5" s="5"/>
      <c r="V5" s="496" t="s">
        <v>5</v>
      </c>
      <c r="W5" s="496"/>
      <c r="X5" s="496"/>
      <c r="Y5" s="496"/>
      <c r="Z5" s="496"/>
      <c r="AA5" s="5"/>
      <c r="AB5" s="5"/>
      <c r="AC5" s="5"/>
      <c r="AD5" s="5"/>
      <c r="AE5" s="5"/>
      <c r="AF5" s="5"/>
      <c r="AG5" s="5"/>
      <c r="AH5" s="5"/>
      <c r="AI5" s="6"/>
      <c r="AJ5" s="5"/>
      <c r="AK5" s="5"/>
      <c r="AL5" s="5"/>
      <c r="AM5" s="5"/>
      <c r="AN5" s="5"/>
      <c r="AO5" s="5"/>
      <c r="AP5" s="5"/>
      <c r="AQ5" s="5"/>
      <c r="AR5" s="5"/>
      <c r="AS5" s="5"/>
      <c r="AT5" s="5"/>
      <c r="AU5" s="5"/>
      <c r="AV5" s="5"/>
      <c r="AW5" s="5"/>
      <c r="AX5" s="5"/>
      <c r="AY5" s="5"/>
      <c r="AZ5" s="5"/>
      <c r="BA5" s="5"/>
      <c r="BB5" s="5"/>
      <c r="BC5" s="5"/>
      <c r="BD5" s="5"/>
      <c r="BE5" s="5"/>
      <c r="BF5" s="5"/>
      <c r="BG5" s="5"/>
      <c r="BH5" s="5"/>
      <c r="BI5" s="5"/>
      <c r="BJ5" s="5"/>
      <c r="BK5" s="5"/>
      <c r="BL5" s="5"/>
      <c r="BM5" s="5"/>
      <c r="BN5" s="5"/>
      <c r="BO5" s="5"/>
      <c r="BP5" s="5"/>
      <c r="BQ5" s="5"/>
      <c r="BR5" s="5"/>
      <c r="BS5" s="5"/>
      <c r="BT5" s="5"/>
      <c r="BU5" s="5"/>
      <c r="BV5" s="5"/>
      <c r="BW5" s="5"/>
      <c r="BX5" s="5"/>
    </row>
    <row r="6" spans="1:76" ht="19.5" customHeight="1" thickBot="1">
      <c r="A6" s="5"/>
      <c r="B6" s="5"/>
      <c r="C6" s="5"/>
      <c r="D6" s="5"/>
      <c r="E6" s="5"/>
      <c r="F6" s="5"/>
      <c r="G6" s="5"/>
      <c r="H6" s="5"/>
      <c r="I6" s="5"/>
      <c r="J6" s="5"/>
      <c r="K6" s="5"/>
      <c r="L6" s="5"/>
      <c r="M6" s="5"/>
      <c r="N6" s="5"/>
      <c r="O6" s="5"/>
      <c r="P6" s="5"/>
      <c r="Q6" s="5"/>
      <c r="R6" s="5"/>
      <c r="S6" s="5"/>
      <c r="T6" s="5"/>
      <c r="U6" s="5"/>
      <c r="V6" s="496"/>
      <c r="W6" s="496"/>
      <c r="X6" s="496"/>
      <c r="Y6" s="496"/>
      <c r="Z6" s="496"/>
      <c r="AA6" s="5"/>
      <c r="AB6" s="5"/>
      <c r="AC6" s="5"/>
      <c r="AD6" s="5"/>
      <c r="AE6" s="5"/>
      <c r="AF6" s="5"/>
      <c r="AG6" s="5"/>
      <c r="AH6" s="5"/>
      <c r="AI6" s="5"/>
      <c r="AJ6" s="5"/>
      <c r="AK6" s="5"/>
      <c r="AL6" s="5"/>
      <c r="AM6" s="5"/>
      <c r="AN6" s="5"/>
      <c r="AO6" s="5"/>
      <c r="AP6" s="5"/>
      <c r="AQ6" s="5"/>
      <c r="AR6" s="5"/>
      <c r="AS6" s="5"/>
      <c r="AT6" s="5"/>
      <c r="AU6" s="5"/>
      <c r="AV6" s="5"/>
      <c r="AW6" s="5"/>
      <c r="AX6" s="5"/>
      <c r="AY6" s="5"/>
      <c r="AZ6" s="5"/>
      <c r="BA6" s="5" t="s">
        <v>3449</v>
      </c>
      <c r="BB6" s="5"/>
      <c r="BC6" s="5"/>
      <c r="BD6" s="5"/>
      <c r="BE6" s="5"/>
      <c r="BF6" s="5"/>
      <c r="BG6" s="5"/>
      <c r="BH6" s="5"/>
      <c r="BI6" s="5"/>
      <c r="BJ6" s="5"/>
      <c r="BK6" s="5"/>
      <c r="BL6" s="5"/>
      <c r="BM6" s="5"/>
      <c r="BN6" s="5"/>
      <c r="BO6" s="5"/>
      <c r="BP6" s="5"/>
      <c r="BQ6" s="5"/>
      <c r="BR6" s="5"/>
      <c r="BS6" s="5"/>
      <c r="BT6" s="5"/>
      <c r="BU6" s="5"/>
      <c r="BV6" s="5"/>
      <c r="BW6" s="5"/>
      <c r="BX6" s="5"/>
    </row>
    <row r="7" spans="1:76" ht="20.100000000000001" customHeight="1">
      <c r="A7" s="5"/>
      <c r="B7" s="5"/>
      <c r="C7" s="5"/>
      <c r="D7" s="5"/>
      <c r="E7" s="5"/>
      <c r="F7" s="5" t="str">
        <f>IF(Creation_1!F7&lt;&gt;0,Creation_1!F7,"")</f>
        <v/>
      </c>
      <c r="G7" s="405" t="s">
        <v>6</v>
      </c>
      <c r="H7" s="405"/>
      <c r="I7" s="405"/>
      <c r="J7" s="405"/>
      <c r="K7" s="405"/>
      <c r="L7" s="405"/>
      <c r="M7" s="401" t="str">
        <f>VLOOKUP(Values!$S11,Points!$A$1:$B$11,2,0)</f>
        <v>●○○○○</v>
      </c>
      <c r="N7" s="401"/>
      <c r="O7" s="401"/>
      <c r="P7" s="5"/>
      <c r="Q7" s="5"/>
      <c r="R7" s="5"/>
      <c r="S7" s="5"/>
      <c r="T7" s="5"/>
      <c r="U7" s="5"/>
      <c r="V7" s="5" t="str">
        <f>IF(Creation_1!V7&lt;&gt;0,Creation_1!V7,"")</f>
        <v/>
      </c>
      <c r="W7" s="405" t="s">
        <v>8</v>
      </c>
      <c r="X7" s="405"/>
      <c r="Y7" s="405"/>
      <c r="Z7" s="405"/>
      <c r="AA7" s="405"/>
      <c r="AB7" s="405"/>
      <c r="AC7" s="401" t="str">
        <f>VLOOKUP(Values!$S15,Points!$A$1:$B$11,2,0)</f>
        <v>●○○○○</v>
      </c>
      <c r="AD7" s="401"/>
      <c r="AE7" s="401"/>
      <c r="AF7" s="5"/>
      <c r="AG7" s="5"/>
      <c r="AH7" s="5"/>
      <c r="AI7" s="5"/>
      <c r="AJ7" s="5"/>
      <c r="AK7" s="5"/>
      <c r="AL7" s="5" t="str">
        <f>IF(Creation_1!AL7&lt;&gt;0,Creation_1!AL7,"")</f>
        <v/>
      </c>
      <c r="AM7" s="405" t="s">
        <v>9</v>
      </c>
      <c r="AN7" s="405"/>
      <c r="AO7" s="405"/>
      <c r="AP7" s="405"/>
      <c r="AQ7" s="405"/>
      <c r="AR7" s="405"/>
      <c r="AS7" s="401" t="str">
        <f>VLOOKUP(Values!$S19,Points!$A$1:$B$11,2,0)</f>
        <v>●○○○○</v>
      </c>
      <c r="AT7" s="401"/>
      <c r="AU7" s="401"/>
      <c r="AV7" s="5"/>
      <c r="AW7" s="5"/>
      <c r="AX7" s="5"/>
      <c r="AY7" s="5"/>
      <c r="AZ7" s="5"/>
      <c r="BA7" s="458" t="s">
        <v>3539</v>
      </c>
      <c r="BB7" s="459"/>
      <c r="BC7" s="459"/>
      <c r="BD7" s="459"/>
      <c r="BE7" s="459"/>
      <c r="BF7" s="459"/>
      <c r="BG7" s="459"/>
      <c r="BH7" s="459"/>
      <c r="BI7" s="459"/>
      <c r="BJ7" s="459"/>
      <c r="BK7" s="459"/>
      <c r="BL7" s="460"/>
      <c r="BM7" s="5"/>
      <c r="BN7" s="5"/>
      <c r="BO7" s="5"/>
      <c r="BP7" s="5"/>
      <c r="BQ7" s="5"/>
      <c r="BR7" s="5"/>
      <c r="BS7" s="5"/>
      <c r="BT7" s="5"/>
      <c r="BU7" s="5"/>
      <c r="BV7" s="5"/>
      <c r="BW7" s="5"/>
      <c r="BX7" s="5"/>
    </row>
    <row r="8" spans="1:76" ht="20.100000000000001" customHeight="1">
      <c r="A8" s="5"/>
      <c r="B8" s="5"/>
      <c r="C8" s="5"/>
      <c r="D8" s="5"/>
      <c r="E8" s="5"/>
      <c r="F8" s="5" t="str">
        <f>IF(Creation_1!F8&lt;&gt;0,Creation_1!F8,"")</f>
        <v/>
      </c>
      <c r="G8" s="405" t="s">
        <v>10</v>
      </c>
      <c r="H8" s="405"/>
      <c r="I8" s="405"/>
      <c r="J8" s="405"/>
      <c r="K8" s="405"/>
      <c r="L8" s="405"/>
      <c r="M8" s="401" t="str">
        <f>VLOOKUP(Values!$S12,Points!$A$1:$B$11,2,0)</f>
        <v>●○○○○</v>
      </c>
      <c r="N8" s="401"/>
      <c r="O8" s="401"/>
      <c r="P8" s="5"/>
      <c r="Q8" s="5"/>
      <c r="R8" s="5"/>
      <c r="S8" s="5"/>
      <c r="T8" s="5"/>
      <c r="U8" s="5"/>
      <c r="V8" s="5" t="str">
        <f>IF(Creation_1!V8&lt;&gt;0,Creation_1!V8,"")</f>
        <v/>
      </c>
      <c r="W8" s="405" t="s">
        <v>11</v>
      </c>
      <c r="X8" s="405"/>
      <c r="Y8" s="405"/>
      <c r="Z8" s="405"/>
      <c r="AA8" s="405"/>
      <c r="AB8" s="405"/>
      <c r="AC8" s="401" t="str">
        <f>VLOOKUP(Values!$S16,Points!$A$1:$B$11,2,0)</f>
        <v>●○○○○</v>
      </c>
      <c r="AD8" s="401"/>
      <c r="AE8" s="401"/>
      <c r="AF8" s="5"/>
      <c r="AG8" s="5"/>
      <c r="AH8" s="5"/>
      <c r="AI8" s="5"/>
      <c r="AJ8" s="5"/>
      <c r="AK8" s="5"/>
      <c r="AL8" s="5" t="str">
        <f>IF(Creation_1!AL8&lt;&gt;0,Creation_1!AL8,"")</f>
        <v/>
      </c>
      <c r="AM8" s="405" t="s">
        <v>12</v>
      </c>
      <c r="AN8" s="405"/>
      <c r="AO8" s="405"/>
      <c r="AP8" s="405"/>
      <c r="AQ8" s="405"/>
      <c r="AR8" s="405"/>
      <c r="AS8" s="401" t="str">
        <f>VLOOKUP(Values!$S20,Points!$A$1:$B$11,2,0)</f>
        <v>●○○○○</v>
      </c>
      <c r="AT8" s="401"/>
      <c r="AU8" s="401"/>
      <c r="AV8" s="5"/>
      <c r="AW8" s="5"/>
      <c r="AX8" s="5"/>
      <c r="AY8" s="5"/>
      <c r="AZ8" s="5"/>
      <c r="BA8" s="461"/>
      <c r="BB8" s="462"/>
      <c r="BC8" s="462"/>
      <c r="BD8" s="462"/>
      <c r="BE8" s="462"/>
      <c r="BF8" s="462"/>
      <c r="BG8" s="462"/>
      <c r="BH8" s="462"/>
      <c r="BI8" s="462"/>
      <c r="BJ8" s="462"/>
      <c r="BK8" s="462"/>
      <c r="BL8" s="463"/>
      <c r="BM8" s="5"/>
      <c r="BN8" s="5"/>
      <c r="BO8" s="5"/>
      <c r="BP8" s="5"/>
      <c r="BQ8" s="5"/>
      <c r="BR8" s="5"/>
      <c r="BS8" s="5"/>
      <c r="BT8" s="5"/>
      <c r="BU8" s="5"/>
      <c r="BV8" s="5"/>
      <c r="BW8" s="5"/>
      <c r="BX8" s="5"/>
    </row>
    <row r="9" spans="1:76" ht="20.100000000000001" customHeight="1" thickBot="1">
      <c r="A9" s="5"/>
      <c r="B9" s="5"/>
      <c r="C9" s="5"/>
      <c r="D9" s="5"/>
      <c r="E9" s="5"/>
      <c r="F9" s="5" t="str">
        <f>IF(Creation_1!F9&lt;&gt;0,Creation_1!F9,"")</f>
        <v/>
      </c>
      <c r="G9" s="405" t="s">
        <v>13</v>
      </c>
      <c r="H9" s="405"/>
      <c r="I9" s="405"/>
      <c r="J9" s="405"/>
      <c r="K9" s="405"/>
      <c r="L9" s="405"/>
      <c r="M9" s="401" t="str">
        <f>VLOOKUP(Values!$S13,Points!$A$1:$B$11,2,0)</f>
        <v>●○○○○</v>
      </c>
      <c r="N9" s="401"/>
      <c r="O9" s="401"/>
      <c r="P9" s="5"/>
      <c r="Q9" s="5"/>
      <c r="R9" s="5"/>
      <c r="S9" s="5"/>
      <c r="T9" s="5"/>
      <c r="U9" s="5"/>
      <c r="V9" s="5" t="str">
        <f>IF(Creation_1!V9&lt;&gt;0,Creation_1!V9,"")</f>
        <v/>
      </c>
      <c r="W9" s="405" t="s">
        <v>14</v>
      </c>
      <c r="X9" s="405"/>
      <c r="Y9" s="405"/>
      <c r="Z9" s="405"/>
      <c r="AA9" s="405"/>
      <c r="AB9" s="405"/>
      <c r="AC9" s="401" t="str">
        <f>VLOOKUP(Values!$S17,Points!$A$1:$B$11,2,0)</f>
        <v>●○○○○</v>
      </c>
      <c r="AD9" s="401"/>
      <c r="AE9" s="401"/>
      <c r="AF9" s="5"/>
      <c r="AG9" s="5"/>
      <c r="AH9" s="5"/>
      <c r="AI9" s="5"/>
      <c r="AJ9" s="5"/>
      <c r="AK9" s="5"/>
      <c r="AL9" s="5" t="str">
        <f>IF(Creation_1!AL9&lt;&gt;0,Creation_1!AL9,"")</f>
        <v/>
      </c>
      <c r="AM9" s="405" t="s">
        <v>15</v>
      </c>
      <c r="AN9" s="405"/>
      <c r="AO9" s="405"/>
      <c r="AP9" s="405"/>
      <c r="AQ9" s="405"/>
      <c r="AR9" s="405"/>
      <c r="AS9" s="401" t="str">
        <f>VLOOKUP(Values!$S21,Points!$A$1:$B$11,2,0)</f>
        <v>●○○○○</v>
      </c>
      <c r="AT9" s="401"/>
      <c r="AU9" s="401"/>
      <c r="AV9" s="5"/>
      <c r="AW9" s="5"/>
      <c r="AX9" s="5"/>
      <c r="AY9" s="5"/>
      <c r="AZ9" s="5"/>
      <c r="BA9" s="497">
        <f>Values!AB3</f>
        <v>0</v>
      </c>
      <c r="BB9" s="498"/>
      <c r="BC9" s="71" t="s">
        <v>3261</v>
      </c>
      <c r="BD9" s="57"/>
      <c r="BE9" s="57"/>
      <c r="BF9" s="57"/>
      <c r="BG9" s="57"/>
      <c r="BH9" s="57"/>
      <c r="BI9" s="57"/>
      <c r="BJ9" s="57"/>
      <c r="BK9" s="57"/>
      <c r="BL9" s="58"/>
      <c r="BM9" s="5"/>
      <c r="BN9" s="5"/>
      <c r="BO9" s="5"/>
      <c r="BP9" s="5"/>
      <c r="BQ9" s="5"/>
      <c r="BR9" s="5"/>
      <c r="BS9" s="5"/>
      <c r="BT9" s="5"/>
      <c r="BU9" s="5"/>
      <c r="BV9" s="5"/>
      <c r="BW9" s="5"/>
      <c r="BX9" s="5"/>
    </row>
    <row r="10" spans="1:76" ht="20.100000000000001" customHeight="1" thickBot="1">
      <c r="A10" s="5"/>
      <c r="B10" s="5"/>
      <c r="C10" s="5"/>
      <c r="D10" s="5"/>
      <c r="E10" s="5"/>
      <c r="F10" s="385" t="s">
        <v>17</v>
      </c>
      <c r="G10" s="385"/>
      <c r="H10" s="385"/>
      <c r="I10" s="385"/>
      <c r="J10" s="385"/>
      <c r="K10" s="6"/>
      <c r="L10" s="6"/>
      <c r="M10" s="5"/>
      <c r="N10" s="5"/>
      <c r="O10" s="5"/>
      <c r="P10" s="5"/>
      <c r="Q10" s="5"/>
      <c r="R10" s="5"/>
      <c r="S10" s="5"/>
      <c r="T10" s="5"/>
      <c r="U10" s="5"/>
      <c r="V10" s="385" t="s">
        <v>18</v>
      </c>
      <c r="W10" s="385"/>
      <c r="X10" s="385"/>
      <c r="Y10" s="385"/>
      <c r="Z10" s="385"/>
      <c r="AA10" s="34"/>
      <c r="AB10" s="5"/>
      <c r="AC10" s="5"/>
      <c r="AD10" s="5"/>
      <c r="AE10" s="5"/>
      <c r="AF10" s="5"/>
      <c r="AG10" s="5"/>
      <c r="AH10" s="5"/>
      <c r="AI10" s="5"/>
      <c r="AJ10" s="5"/>
      <c r="AK10" s="5"/>
      <c r="AL10" s="5"/>
      <c r="AM10" s="5"/>
      <c r="AN10" s="385" t="s">
        <v>19</v>
      </c>
      <c r="AO10" s="385"/>
      <c r="AP10" s="385"/>
      <c r="AQ10" s="385"/>
      <c r="AR10" s="385"/>
      <c r="AS10" s="5"/>
      <c r="AT10" s="5"/>
      <c r="AU10" s="5"/>
      <c r="AV10" s="5"/>
      <c r="AW10" s="5"/>
      <c r="AX10" s="5"/>
      <c r="AY10" s="6"/>
      <c r="AZ10" s="5"/>
      <c r="BA10" s="5"/>
      <c r="BB10" s="5"/>
      <c r="BC10" s="5"/>
      <c r="BD10" s="524" t="s">
        <v>3547</v>
      </c>
      <c r="BE10" s="525"/>
      <c r="BF10" s="525"/>
      <c r="BG10" s="525"/>
      <c r="BH10" s="525"/>
      <c r="BI10" s="525"/>
      <c r="BJ10" s="525"/>
      <c r="BK10" s="525"/>
      <c r="BL10" s="526"/>
      <c r="BM10" s="5"/>
      <c r="BN10" s="5"/>
      <c r="BO10" s="5"/>
      <c r="BP10" s="5"/>
      <c r="BQ10" s="5"/>
      <c r="BR10" s="5"/>
      <c r="BS10" s="5"/>
      <c r="BT10" s="5"/>
      <c r="BU10" s="5"/>
      <c r="BV10" s="5"/>
      <c r="BW10" s="5"/>
      <c r="BX10" s="5"/>
    </row>
    <row r="11" spans="1:76" ht="20.100000000000001" customHeight="1">
      <c r="A11" s="5"/>
      <c r="B11" s="5"/>
      <c r="C11" s="5"/>
      <c r="D11" s="5"/>
      <c r="E11" s="5"/>
      <c r="F11" s="385"/>
      <c r="G11" s="385"/>
      <c r="H11" s="385"/>
      <c r="I11" s="385"/>
      <c r="J11" s="385"/>
      <c r="K11" s="6"/>
      <c r="L11" s="6"/>
      <c r="M11" s="5"/>
      <c r="N11" s="5"/>
      <c r="O11" s="5"/>
      <c r="P11" s="5"/>
      <c r="Q11" s="5"/>
      <c r="R11" s="5"/>
      <c r="S11" s="5"/>
      <c r="T11" s="5"/>
      <c r="U11" s="5"/>
      <c r="V11" s="385"/>
      <c r="W11" s="385"/>
      <c r="X11" s="385"/>
      <c r="Y11" s="385"/>
      <c r="Z11" s="385"/>
      <c r="AA11" s="34"/>
      <c r="AB11" s="5"/>
      <c r="AC11" s="5"/>
      <c r="AD11" s="5"/>
      <c r="AE11" s="5"/>
      <c r="AF11" s="5"/>
      <c r="AG11" s="5"/>
      <c r="AH11" s="5"/>
      <c r="AI11" s="5"/>
      <c r="AJ11" s="5"/>
      <c r="AK11" s="5"/>
      <c r="AL11" s="5"/>
      <c r="AM11" s="5"/>
      <c r="AN11" s="385"/>
      <c r="AO11" s="385"/>
      <c r="AP11" s="385"/>
      <c r="AQ11" s="385"/>
      <c r="AR11" s="385"/>
      <c r="AS11" s="5"/>
      <c r="AT11" s="5"/>
      <c r="AU11" s="5"/>
      <c r="AV11" s="5"/>
      <c r="AW11" s="5"/>
      <c r="AX11" s="5"/>
      <c r="AY11" s="6"/>
      <c r="AZ11" s="5"/>
      <c r="BA11" s="5"/>
      <c r="BB11" s="5"/>
      <c r="BC11" s="5"/>
      <c r="BD11" s="458" t="s">
        <v>3535</v>
      </c>
      <c r="BE11" s="459"/>
      <c r="BF11" s="459"/>
      <c r="BG11" s="459"/>
      <c r="BH11" s="459"/>
      <c r="BI11" s="459"/>
      <c r="BJ11" s="459"/>
      <c r="BK11" s="459"/>
      <c r="BL11" s="459"/>
      <c r="BM11" s="459"/>
      <c r="BN11" s="459"/>
      <c r="BO11" s="459"/>
      <c r="BP11" s="459"/>
      <c r="BQ11" s="460"/>
      <c r="BR11" s="5"/>
      <c r="BS11" s="5"/>
      <c r="BT11" s="5"/>
      <c r="BU11" s="5"/>
      <c r="BV11" s="5"/>
      <c r="BW11" s="5"/>
      <c r="BX11" s="5"/>
    </row>
    <row r="12" spans="1:76" ht="20.100000000000001" customHeight="1" thickBot="1">
      <c r="A12" s="37"/>
      <c r="B12" s="5"/>
      <c r="C12" s="37" t="s">
        <v>16</v>
      </c>
      <c r="E12" s="5"/>
      <c r="F12" s="5"/>
      <c r="G12" s="5"/>
      <c r="H12" s="5"/>
      <c r="I12" s="5"/>
      <c r="J12" s="5"/>
      <c r="K12" s="5"/>
      <c r="L12" s="5"/>
      <c r="M12" s="5"/>
      <c r="N12" s="5"/>
      <c r="O12" s="5"/>
      <c r="P12" s="419" t="s">
        <v>252</v>
      </c>
      <c r="Q12" s="419"/>
      <c r="R12" s="419"/>
      <c r="S12" s="419"/>
      <c r="T12" s="419"/>
      <c r="U12" s="5"/>
      <c r="V12" s="419" t="s">
        <v>1433</v>
      </c>
      <c r="W12" s="419"/>
      <c r="X12" s="419"/>
      <c r="Y12" s="419"/>
      <c r="Z12" s="419"/>
      <c r="AA12" s="419"/>
      <c r="AB12" s="419"/>
      <c r="AC12" s="419"/>
      <c r="AD12" s="419"/>
      <c r="AE12" s="419"/>
      <c r="AF12" s="419"/>
      <c r="AG12" s="5"/>
      <c r="AH12" s="382" t="s">
        <v>80</v>
      </c>
      <c r="AI12" s="382"/>
      <c r="AJ12" s="382"/>
      <c r="AK12" s="382"/>
      <c r="AL12" s="382"/>
      <c r="AM12" s="382"/>
      <c r="AN12" s="382"/>
      <c r="AO12" s="382"/>
      <c r="AP12" s="382"/>
      <c r="AQ12" s="382"/>
      <c r="AR12" s="5"/>
      <c r="AS12" s="382" t="s">
        <v>3078</v>
      </c>
      <c r="AT12" s="382"/>
      <c r="AU12" s="5"/>
      <c r="AV12" s="5"/>
      <c r="AW12" s="382"/>
      <c r="AX12" s="382"/>
      <c r="AY12" s="382"/>
      <c r="AZ12" s="5"/>
      <c r="BA12" s="5"/>
      <c r="BB12" s="5"/>
      <c r="BC12" s="5"/>
      <c r="BD12" s="527"/>
      <c r="BE12" s="528"/>
      <c r="BF12" s="528"/>
      <c r="BG12" s="528"/>
      <c r="BH12" s="528"/>
      <c r="BI12" s="528"/>
      <c r="BJ12" s="528"/>
      <c r="BK12" s="528"/>
      <c r="BL12" s="528"/>
      <c r="BM12" s="528"/>
      <c r="BN12" s="528"/>
      <c r="BO12" s="528"/>
      <c r="BP12" s="528"/>
      <c r="BQ12" s="529"/>
      <c r="BR12" s="5"/>
      <c r="BS12" s="5"/>
      <c r="BT12" s="5"/>
      <c r="BU12" s="5"/>
      <c r="BV12" s="5"/>
      <c r="BW12" s="5"/>
      <c r="BX12" s="5"/>
    </row>
    <row r="13" spans="1:76" ht="19.5" customHeight="1">
      <c r="A13" s="5"/>
      <c r="B13" s="5"/>
      <c r="C13" s="44" t="str">
        <f>IF(Values!T25=0,"",Values!T25)</f>
        <v/>
      </c>
      <c r="D13" s="5"/>
      <c r="E13" s="405" t="str">
        <f>Values!B25</f>
        <v>Archery</v>
      </c>
      <c r="F13" s="405"/>
      <c r="G13" s="405"/>
      <c r="H13" s="405"/>
      <c r="I13" s="405"/>
      <c r="J13" s="401" t="str">
        <f>VLOOKUP(Values!$S25,Points!$A$1:$B$11,2,0)</f>
        <v>○○○○○</v>
      </c>
      <c r="K13" s="401"/>
      <c r="L13" s="401"/>
      <c r="M13" s="5"/>
      <c r="N13" s="5"/>
      <c r="O13" s="5"/>
      <c r="P13" s="487" t="str">
        <f>IF(ISBLANK(Values!O61),Values!L61,Values!O61)</f>
        <v/>
      </c>
      <c r="Q13" s="487"/>
      <c r="R13" s="487"/>
      <c r="S13" s="487"/>
      <c r="T13" s="487"/>
      <c r="U13" s="5"/>
      <c r="V13" s="487" t="str">
        <f>IF(ISBLANK(Values!N61),Values!K61,Values!N61)</f>
        <v/>
      </c>
      <c r="W13" s="487"/>
      <c r="X13" s="487"/>
      <c r="Y13" s="487"/>
      <c r="Z13" s="487"/>
      <c r="AA13" s="487"/>
      <c r="AB13" s="487"/>
      <c r="AC13" s="487"/>
      <c r="AD13" s="487"/>
      <c r="AE13" s="487"/>
      <c r="AF13" s="487"/>
      <c r="AG13" s="5"/>
      <c r="AH13" s="409" t="str">
        <f>IF(ISBLANK(Values!N73),Values!K73,Values!N73)</f>
        <v/>
      </c>
      <c r="AI13" s="409"/>
      <c r="AJ13" s="409"/>
      <c r="AK13" s="409"/>
      <c r="AL13" s="409"/>
      <c r="AM13" s="409"/>
      <c r="AN13" s="409"/>
      <c r="AO13" s="409"/>
      <c r="AP13" s="409"/>
      <c r="AQ13" s="409"/>
      <c r="AR13" s="5"/>
      <c r="AS13" s="484" t="str">
        <f>IF(ISBLANK(Values!O73),Values!L73,Values!O73)</f>
        <v/>
      </c>
      <c r="AT13" s="484"/>
      <c r="AU13" s="84">
        <f ca="1">IFERROR(IF(AND(SUM(INDIRECT("Merits!A"&amp;MATCH(AH13,Merits!A:A,0)&amp;":F"&amp;MATCH(AH13,Merits!A:A,0)))=0,Values!P73=0),1,COUNTIF(INDIRECT("Merits!A"&amp;MATCH(AH13,Merits!A:A,0)&amp;":F"&amp;MATCH(AH13,Merits!A:A,0)),Values!S73)),1)</f>
        <v>1</v>
      </c>
      <c r="AV13" s="5"/>
      <c r="AW13" s="401" t="str">
        <f>VLOOKUP(Values!$S73,Points!$A$1:$B$11,2,0)</f>
        <v>○○○○○</v>
      </c>
      <c r="AX13" s="401"/>
      <c r="AY13" s="401"/>
      <c r="AZ13" s="5"/>
      <c r="BA13" s="5"/>
      <c r="BB13" s="5"/>
      <c r="BC13" s="5"/>
      <c r="BD13" s="211" t="s">
        <v>3536</v>
      </c>
      <c r="BE13" s="212"/>
      <c r="BF13" s="213"/>
      <c r="BG13" s="214" t="s">
        <v>3537</v>
      </c>
      <c r="BH13" s="212"/>
      <c r="BI13" s="213"/>
      <c r="BJ13" s="212"/>
      <c r="BK13" s="215" t="s">
        <v>3538</v>
      </c>
      <c r="BL13" s="212"/>
      <c r="BM13" s="212"/>
      <c r="BN13" s="212"/>
      <c r="BO13" s="212"/>
      <c r="BP13" s="212"/>
      <c r="BQ13" s="216"/>
      <c r="BR13" s="5"/>
      <c r="BS13" s="5"/>
      <c r="BT13" s="5"/>
      <c r="BU13" s="5"/>
      <c r="BV13" s="5"/>
      <c r="BW13" s="5"/>
      <c r="BX13" s="5"/>
    </row>
    <row r="14" spans="1:76" ht="20.100000000000001" customHeight="1">
      <c r="A14" s="5"/>
      <c r="B14" s="5"/>
      <c r="C14" s="44" t="str">
        <f>IF(Values!T26=0,"",Values!T26)</f>
        <v/>
      </c>
      <c r="D14" s="5"/>
      <c r="E14" s="405" t="str">
        <f>Values!B26</f>
        <v>Athletics</v>
      </c>
      <c r="F14" s="405"/>
      <c r="G14" s="405"/>
      <c r="H14" s="405"/>
      <c r="I14" s="405"/>
      <c r="J14" s="401" t="str">
        <f>VLOOKUP(Values!$S26,Points!$A$1:$B$11,2,0)</f>
        <v>○○○○○</v>
      </c>
      <c r="K14" s="401"/>
      <c r="L14" s="401"/>
      <c r="M14" s="5"/>
      <c r="N14" s="5"/>
      <c r="O14" s="5"/>
      <c r="P14" s="487" t="str">
        <f>IF(ISBLANK(Values!O62),Values!L62,Values!O62)</f>
        <v/>
      </c>
      <c r="Q14" s="487"/>
      <c r="R14" s="487"/>
      <c r="S14" s="487"/>
      <c r="T14" s="487"/>
      <c r="U14" s="5"/>
      <c r="V14" s="487" t="str">
        <f>IF(ISBLANK(Values!N62),Values!K62,Values!N62)</f>
        <v/>
      </c>
      <c r="W14" s="487"/>
      <c r="X14" s="487"/>
      <c r="Y14" s="487"/>
      <c r="Z14" s="487"/>
      <c r="AA14" s="487"/>
      <c r="AB14" s="487"/>
      <c r="AC14" s="487"/>
      <c r="AD14" s="487"/>
      <c r="AE14" s="487"/>
      <c r="AF14" s="487"/>
      <c r="AG14" s="5"/>
      <c r="AH14" s="409" t="str">
        <f>IF(ISBLANK(Values!N74),Values!K74,Values!N74)</f>
        <v/>
      </c>
      <c r="AI14" s="409"/>
      <c r="AJ14" s="409"/>
      <c r="AK14" s="409"/>
      <c r="AL14" s="409"/>
      <c r="AM14" s="409"/>
      <c r="AN14" s="409"/>
      <c r="AO14" s="409"/>
      <c r="AP14" s="409"/>
      <c r="AQ14" s="409"/>
      <c r="AR14" s="5"/>
      <c r="AS14" s="484" t="str">
        <f>IF(ISBLANK(Values!O74),Values!L74,Values!O74)</f>
        <v/>
      </c>
      <c r="AT14" s="484"/>
      <c r="AU14" s="84">
        <f ca="1">IFERROR(IF(AND(SUM(INDIRECT("Merits!A"&amp;MATCH(AH14,Merits!A:A,0)&amp;":F"&amp;MATCH(AH14,Merits!A:A,0)))=0,Values!P74=0),1,COUNTIF(INDIRECT("Merits!A"&amp;MATCH(AH14,Merits!A:A,0)&amp;":F"&amp;MATCH(AH14,Merits!A:A,0)),Values!S74)),1)</f>
        <v>1</v>
      </c>
      <c r="AV14" s="5"/>
      <c r="AW14" s="401" t="str">
        <f>VLOOKUP(Values!$S74,Points!$A$1:$B$11,2,0)</f>
        <v>○○○○○</v>
      </c>
      <c r="AX14" s="401"/>
      <c r="AY14" s="401"/>
      <c r="AZ14" s="5"/>
      <c r="BA14" s="5"/>
      <c r="BB14" s="5"/>
      <c r="BC14" s="5"/>
      <c r="BD14" s="530"/>
      <c r="BE14" s="531"/>
      <c r="BF14" s="532"/>
      <c r="BG14" s="533"/>
      <c r="BH14" s="534"/>
      <c r="BI14" s="535"/>
      <c r="BJ14" s="536"/>
      <c r="BK14" s="537"/>
      <c r="BL14" s="537"/>
      <c r="BM14" s="537"/>
      <c r="BN14" s="537"/>
      <c r="BO14" s="537"/>
      <c r="BP14" s="537"/>
      <c r="BQ14" s="538"/>
      <c r="BR14" s="5"/>
      <c r="BS14" s="5"/>
      <c r="BT14" s="5"/>
      <c r="BU14" s="5"/>
      <c r="BV14" s="5"/>
      <c r="BW14" s="5"/>
      <c r="BX14" s="5"/>
    </row>
    <row r="15" spans="1:76" ht="20.100000000000001" customHeight="1">
      <c r="A15" s="5"/>
      <c r="B15" s="5"/>
      <c r="C15" s="44" t="str">
        <f>IF(Values!T27=0,"",Values!T27)</f>
        <v/>
      </c>
      <c r="D15" s="5"/>
      <c r="E15" s="405" t="str">
        <f>Values!B27</f>
        <v>Awareness</v>
      </c>
      <c r="F15" s="405"/>
      <c r="G15" s="405"/>
      <c r="H15" s="405"/>
      <c r="I15" s="405"/>
      <c r="J15" s="401" t="str">
        <f>VLOOKUP(Values!$S27,Points!$A$1:$B$11,2,0)</f>
        <v>○○○○○</v>
      </c>
      <c r="K15" s="401"/>
      <c r="L15" s="401"/>
      <c r="M15" s="5"/>
      <c r="N15" s="5"/>
      <c r="O15" s="5"/>
      <c r="P15" s="487" t="str">
        <f>IF(ISBLANK(Values!O63),Values!L63,Values!O63)</f>
        <v/>
      </c>
      <c r="Q15" s="487"/>
      <c r="R15" s="487"/>
      <c r="S15" s="487"/>
      <c r="T15" s="487"/>
      <c r="U15" s="5"/>
      <c r="V15" s="487" t="str">
        <f>IF(ISBLANK(Values!N63),Values!K63,Values!N63)</f>
        <v/>
      </c>
      <c r="W15" s="487"/>
      <c r="X15" s="487"/>
      <c r="Y15" s="487"/>
      <c r="Z15" s="487"/>
      <c r="AA15" s="487"/>
      <c r="AB15" s="487"/>
      <c r="AC15" s="487"/>
      <c r="AD15" s="487"/>
      <c r="AE15" s="487"/>
      <c r="AF15" s="487"/>
      <c r="AG15" s="5"/>
      <c r="AH15" s="409" t="str">
        <f>IF(ISBLANK(Values!N75),Values!K75,Values!N75)</f>
        <v/>
      </c>
      <c r="AI15" s="409"/>
      <c r="AJ15" s="409"/>
      <c r="AK15" s="409"/>
      <c r="AL15" s="409"/>
      <c r="AM15" s="409"/>
      <c r="AN15" s="409"/>
      <c r="AO15" s="409"/>
      <c r="AP15" s="409"/>
      <c r="AQ15" s="409"/>
      <c r="AR15" s="5"/>
      <c r="AS15" s="484" t="str">
        <f>IF(ISBLANK(Values!O75),Values!L75,Values!O75)</f>
        <v/>
      </c>
      <c r="AT15" s="484"/>
      <c r="AU15" s="84">
        <f ca="1">IFERROR(IF(AND(SUM(INDIRECT("Merits!A"&amp;MATCH(AH15,Merits!A:A,0)&amp;":F"&amp;MATCH(AH15,Merits!A:A,0)))=0,Values!P75=0),1,COUNTIF(INDIRECT("Merits!A"&amp;MATCH(AH15,Merits!A:A,0)&amp;":F"&amp;MATCH(AH15,Merits!A:A,0)),Values!S75)),1)</f>
        <v>1</v>
      </c>
      <c r="AV15" s="5"/>
      <c r="AW15" s="401" t="str">
        <f>VLOOKUP(Values!$S75,Points!$A$1:$B$11,2,0)</f>
        <v>○○○○○</v>
      </c>
      <c r="AX15" s="401"/>
      <c r="AY15" s="401"/>
      <c r="AZ15" s="5"/>
      <c r="BA15" s="5"/>
      <c r="BB15" s="5"/>
      <c r="BC15" s="5"/>
      <c r="BD15" s="515"/>
      <c r="BE15" s="516"/>
      <c r="BF15" s="517"/>
      <c r="BG15" s="518"/>
      <c r="BH15" s="519"/>
      <c r="BI15" s="520"/>
      <c r="BJ15" s="539"/>
      <c r="BK15" s="522"/>
      <c r="BL15" s="522"/>
      <c r="BM15" s="522"/>
      <c r="BN15" s="522"/>
      <c r="BO15" s="522"/>
      <c r="BP15" s="522"/>
      <c r="BQ15" s="523"/>
      <c r="BR15" s="5"/>
      <c r="BS15" s="5"/>
      <c r="BT15" s="5"/>
      <c r="BU15" s="5"/>
      <c r="BV15" s="5"/>
      <c r="BW15" s="5"/>
      <c r="BX15" s="5"/>
    </row>
    <row r="16" spans="1:76" ht="20.100000000000001" customHeight="1">
      <c r="A16" s="5"/>
      <c r="B16" s="5"/>
      <c r="C16" s="44" t="str">
        <f>IF(Values!T28=0,"",Values!T28)</f>
        <v/>
      </c>
      <c r="D16" s="5"/>
      <c r="E16" s="405" t="str">
        <f>Values!B28</f>
        <v>Brawl</v>
      </c>
      <c r="F16" s="405"/>
      <c r="G16" s="405"/>
      <c r="H16" s="405"/>
      <c r="I16" s="405"/>
      <c r="J16" s="401" t="str">
        <f>VLOOKUP(Values!$S28,Points!$A$1:$B$11,2,0)</f>
        <v>○○○○○</v>
      </c>
      <c r="K16" s="401"/>
      <c r="L16" s="401"/>
      <c r="M16" s="5"/>
      <c r="N16" s="5"/>
      <c r="O16" s="5"/>
      <c r="P16" s="487" t="str">
        <f>IF(ISBLANK(Values!O64),Values!L64,Values!O64)</f>
        <v/>
      </c>
      <c r="Q16" s="487"/>
      <c r="R16" s="487"/>
      <c r="S16" s="487"/>
      <c r="T16" s="487"/>
      <c r="U16" s="5"/>
      <c r="V16" s="487" t="str">
        <f>IF(ISBLANK(Values!N64),Values!K64,Values!N64)</f>
        <v/>
      </c>
      <c r="W16" s="487"/>
      <c r="X16" s="487"/>
      <c r="Y16" s="487"/>
      <c r="Z16" s="487"/>
      <c r="AA16" s="487"/>
      <c r="AB16" s="487"/>
      <c r="AC16" s="487"/>
      <c r="AD16" s="487"/>
      <c r="AE16" s="487"/>
      <c r="AF16" s="487"/>
      <c r="AG16" s="5"/>
      <c r="AH16" s="409" t="str">
        <f>IF(ISBLANK(Values!N76),Values!K76,Values!N76)</f>
        <v/>
      </c>
      <c r="AI16" s="409"/>
      <c r="AJ16" s="409"/>
      <c r="AK16" s="409"/>
      <c r="AL16" s="409"/>
      <c r="AM16" s="409"/>
      <c r="AN16" s="409"/>
      <c r="AO16" s="409"/>
      <c r="AP16" s="409"/>
      <c r="AQ16" s="409"/>
      <c r="AR16" s="5"/>
      <c r="AS16" s="484" t="str">
        <f>IF(ISBLANK(Values!O76),Values!L76,Values!O76)</f>
        <v/>
      </c>
      <c r="AT16" s="484"/>
      <c r="AU16" s="84">
        <f ca="1">IFERROR(IF(AND(SUM(INDIRECT("Merits!A"&amp;MATCH(AH16,Merits!A:A,0)&amp;":F"&amp;MATCH(AH16,Merits!A:A,0)))=0,Values!P76=0),1,COUNTIF(INDIRECT("Merits!A"&amp;MATCH(AH16,Merits!A:A,0)&amp;":F"&amp;MATCH(AH16,Merits!A:A,0)),Values!S76)),1)</f>
        <v>1</v>
      </c>
      <c r="AV16" s="5"/>
      <c r="AW16" s="401" t="str">
        <f>VLOOKUP(Values!$S76,Points!$A$1:$B$11,2,0)</f>
        <v>○○○○○</v>
      </c>
      <c r="AX16" s="401"/>
      <c r="AY16" s="401"/>
      <c r="AZ16" s="5"/>
      <c r="BA16" s="5"/>
      <c r="BB16" s="5"/>
      <c r="BC16" s="5"/>
      <c r="BD16" s="515"/>
      <c r="BE16" s="516"/>
      <c r="BF16" s="517"/>
      <c r="BG16" s="518"/>
      <c r="BH16" s="519"/>
      <c r="BI16" s="520"/>
      <c r="BJ16" s="521"/>
      <c r="BK16" s="522"/>
      <c r="BL16" s="522"/>
      <c r="BM16" s="522"/>
      <c r="BN16" s="522"/>
      <c r="BO16" s="522"/>
      <c r="BP16" s="522"/>
      <c r="BQ16" s="523"/>
      <c r="BR16" s="5"/>
      <c r="BS16" s="5"/>
      <c r="BT16" s="5"/>
      <c r="BU16" s="5"/>
      <c r="BV16" s="5"/>
      <c r="BW16" s="5"/>
      <c r="BX16" s="5"/>
    </row>
    <row r="17" spans="1:76" ht="20.100000000000001" customHeight="1">
      <c r="A17" s="5"/>
      <c r="B17" s="5"/>
      <c r="C17" s="44" t="str">
        <f>IF(Values!T29=0,"",Values!T29)</f>
        <v/>
      </c>
      <c r="D17" s="5"/>
      <c r="E17" s="405" t="str">
        <f>Values!B29</f>
        <v>Bureaucracy</v>
      </c>
      <c r="F17" s="405"/>
      <c r="G17" s="405"/>
      <c r="H17" s="405"/>
      <c r="I17" s="405"/>
      <c r="J17" s="401" t="str">
        <f>VLOOKUP(Values!$S29,Points!$A$1:$B$11,2,0)</f>
        <v>○○○○○</v>
      </c>
      <c r="K17" s="401"/>
      <c r="L17" s="401"/>
      <c r="M17" s="5"/>
      <c r="N17" s="5"/>
      <c r="O17" s="5"/>
      <c r="P17" s="487" t="str">
        <f>IF(ISBLANK(Values!O65),Values!L65,Values!O65)</f>
        <v/>
      </c>
      <c r="Q17" s="487"/>
      <c r="R17" s="487"/>
      <c r="S17" s="487"/>
      <c r="T17" s="487"/>
      <c r="U17" s="5"/>
      <c r="V17" s="487" t="str">
        <f>IF(ISBLANK(Values!N65),Values!K65,Values!N65)</f>
        <v/>
      </c>
      <c r="W17" s="487"/>
      <c r="X17" s="487"/>
      <c r="Y17" s="487"/>
      <c r="Z17" s="487"/>
      <c r="AA17" s="487"/>
      <c r="AB17" s="487"/>
      <c r="AC17" s="487"/>
      <c r="AD17" s="487"/>
      <c r="AE17" s="487"/>
      <c r="AF17" s="487"/>
      <c r="AG17" s="5"/>
      <c r="AH17" s="409" t="str">
        <f>IF(ISBLANK(Values!N77),Values!K77,Values!N77)</f>
        <v/>
      </c>
      <c r="AI17" s="409"/>
      <c r="AJ17" s="409"/>
      <c r="AK17" s="409"/>
      <c r="AL17" s="409"/>
      <c r="AM17" s="409"/>
      <c r="AN17" s="409"/>
      <c r="AO17" s="409"/>
      <c r="AP17" s="409"/>
      <c r="AQ17" s="409"/>
      <c r="AR17" s="5"/>
      <c r="AS17" s="484" t="str">
        <f>IF(ISBLANK(Values!O77),Values!L77,Values!O77)</f>
        <v/>
      </c>
      <c r="AT17" s="484"/>
      <c r="AU17" s="84">
        <f ca="1">IFERROR(IF(AND(SUM(INDIRECT("Merits!A"&amp;MATCH(AH17,Merits!A:A,0)&amp;":F"&amp;MATCH(AH17,Merits!A:A,0)))=0,Values!P77=0),1,COUNTIF(INDIRECT("Merits!A"&amp;MATCH(AH17,Merits!A:A,0)&amp;":F"&amp;MATCH(AH17,Merits!A:A,0)),Values!S77)),1)</f>
        <v>1</v>
      </c>
      <c r="AV17" s="5"/>
      <c r="AW17" s="401" t="str">
        <f>VLOOKUP(Values!$S77,Points!$A$1:$B$11,2,0)</f>
        <v>○○○○○</v>
      </c>
      <c r="AX17" s="401"/>
      <c r="AY17" s="401"/>
      <c r="AZ17" s="5"/>
      <c r="BA17" s="5"/>
      <c r="BB17" s="5"/>
      <c r="BC17" s="5"/>
      <c r="BD17" s="515"/>
      <c r="BE17" s="516"/>
      <c r="BF17" s="517"/>
      <c r="BG17" s="518"/>
      <c r="BH17" s="519"/>
      <c r="BI17" s="520"/>
      <c r="BJ17" s="521"/>
      <c r="BK17" s="522"/>
      <c r="BL17" s="522"/>
      <c r="BM17" s="522"/>
      <c r="BN17" s="522"/>
      <c r="BO17" s="522"/>
      <c r="BP17" s="522"/>
      <c r="BQ17" s="523"/>
      <c r="BR17" s="5"/>
      <c r="BS17" s="5"/>
      <c r="BT17" s="5"/>
      <c r="BU17" s="5"/>
      <c r="BV17" s="5"/>
      <c r="BW17" s="5"/>
      <c r="BX17" s="5"/>
    </row>
    <row r="18" spans="1:76" ht="20.100000000000001" customHeight="1">
      <c r="A18" s="5"/>
      <c r="B18" s="5"/>
      <c r="C18" s="44" t="str">
        <f>IF(Values!T30=0,"",Values!T30)</f>
        <v/>
      </c>
      <c r="D18" s="5"/>
      <c r="E18" s="5" t="str">
        <f>Values!A30</f>
        <v>Craft</v>
      </c>
      <c r="F18" s="5"/>
      <c r="G18" s="495" t="str">
        <f>IF(ISBLANK(Values!O30),Values!L30,Values!O30)</f>
        <v/>
      </c>
      <c r="H18" s="495"/>
      <c r="I18" s="495"/>
      <c r="J18" s="401" t="str">
        <f>VLOOKUP(Values!$S30,Points!$A$1:$B$11,2,0)</f>
        <v>○○○○○</v>
      </c>
      <c r="K18" s="401"/>
      <c r="L18" s="401"/>
      <c r="M18" s="5"/>
      <c r="N18" s="5"/>
      <c r="O18" s="5"/>
      <c r="P18" s="487" t="str">
        <f>IF(ISBLANK(Values!O66),Values!L66,Values!O66)</f>
        <v/>
      </c>
      <c r="Q18" s="487"/>
      <c r="R18" s="487"/>
      <c r="S18" s="487"/>
      <c r="T18" s="487"/>
      <c r="U18" s="5"/>
      <c r="V18" s="487" t="str">
        <f>IF(ISBLANK(Values!N66),Values!K66,Values!N66)</f>
        <v/>
      </c>
      <c r="W18" s="487"/>
      <c r="X18" s="487"/>
      <c r="Y18" s="487"/>
      <c r="Z18" s="487"/>
      <c r="AA18" s="487"/>
      <c r="AB18" s="487"/>
      <c r="AC18" s="487"/>
      <c r="AD18" s="487"/>
      <c r="AE18" s="487"/>
      <c r="AF18" s="487"/>
      <c r="AG18" s="5"/>
      <c r="AH18" s="409" t="str">
        <f>IF(ISBLANK(Values!N78),Values!K78,Values!N78)</f>
        <v/>
      </c>
      <c r="AI18" s="409"/>
      <c r="AJ18" s="409"/>
      <c r="AK18" s="409"/>
      <c r="AL18" s="409"/>
      <c r="AM18" s="409"/>
      <c r="AN18" s="409"/>
      <c r="AO18" s="409"/>
      <c r="AP18" s="409"/>
      <c r="AQ18" s="409"/>
      <c r="AR18" s="5"/>
      <c r="AS18" s="484" t="str">
        <f>IF(ISBLANK(Values!O78),Values!L78,Values!O78)</f>
        <v/>
      </c>
      <c r="AT18" s="484"/>
      <c r="AU18" s="84">
        <f ca="1">IFERROR(IF(AND(SUM(INDIRECT("Merits!A"&amp;MATCH(AH18,Merits!A:A,0)&amp;":F"&amp;MATCH(AH18,Merits!A:A,0)))=0,Values!P78=0),1,COUNTIF(INDIRECT("Merits!A"&amp;MATCH(AH18,Merits!A:A,0)&amp;":F"&amp;MATCH(AH18,Merits!A:A,0)),Values!S78)),1)</f>
        <v>1</v>
      </c>
      <c r="AV18" s="5"/>
      <c r="AW18" s="401" t="str">
        <f>VLOOKUP(Values!$S78,Points!$A$1:$B$11,2,0)</f>
        <v>○○○○○</v>
      </c>
      <c r="AX18" s="401"/>
      <c r="AY18" s="401"/>
      <c r="AZ18" s="5"/>
      <c r="BA18" s="5"/>
      <c r="BB18" s="5"/>
      <c r="BC18" s="5"/>
      <c r="BD18" s="515"/>
      <c r="BE18" s="516"/>
      <c r="BF18" s="517"/>
      <c r="BG18" s="518"/>
      <c r="BH18" s="519"/>
      <c r="BI18" s="520"/>
      <c r="BJ18" s="521"/>
      <c r="BK18" s="522"/>
      <c r="BL18" s="522"/>
      <c r="BM18" s="522"/>
      <c r="BN18" s="522"/>
      <c r="BO18" s="522"/>
      <c r="BP18" s="522"/>
      <c r="BQ18" s="523"/>
      <c r="BR18" s="5"/>
      <c r="BS18" s="5"/>
      <c r="BT18" s="5"/>
      <c r="BU18" s="5"/>
      <c r="BV18" s="5"/>
      <c r="BW18" s="5"/>
      <c r="BX18" s="5"/>
    </row>
    <row r="19" spans="1:76" ht="20.100000000000001" customHeight="1">
      <c r="A19" s="5"/>
      <c r="B19" s="5"/>
      <c r="C19" s="44" t="str">
        <f>IF(Values!T31=0,"",Values!T31)</f>
        <v/>
      </c>
      <c r="D19" s="5"/>
      <c r="E19" s="405" t="str">
        <f>Values!B31</f>
        <v>Dodge</v>
      </c>
      <c r="F19" s="405"/>
      <c r="G19" s="405"/>
      <c r="H19" s="405"/>
      <c r="I19" s="405"/>
      <c r="J19" s="401" t="str">
        <f>VLOOKUP(Values!$S31,Points!$A$1:$B$11,2,0)</f>
        <v>○○○○○</v>
      </c>
      <c r="K19" s="401"/>
      <c r="L19" s="401"/>
      <c r="M19" s="5"/>
      <c r="N19" s="5"/>
      <c r="O19" s="5"/>
      <c r="P19" s="487" t="str">
        <f>IF(ISBLANK(Values!O67),Values!L67,Values!O67)</f>
        <v/>
      </c>
      <c r="Q19" s="487"/>
      <c r="R19" s="487"/>
      <c r="S19" s="487"/>
      <c r="T19" s="487"/>
      <c r="U19" s="5"/>
      <c r="V19" s="487" t="str">
        <f>IF(ISBLANK(Values!N67),Values!K67,Values!N67)</f>
        <v/>
      </c>
      <c r="W19" s="487"/>
      <c r="X19" s="487"/>
      <c r="Y19" s="487"/>
      <c r="Z19" s="487"/>
      <c r="AA19" s="487"/>
      <c r="AB19" s="487"/>
      <c r="AC19" s="487"/>
      <c r="AD19" s="487"/>
      <c r="AE19" s="487"/>
      <c r="AF19" s="487"/>
      <c r="AG19" s="5"/>
      <c r="AH19" s="409" t="str">
        <f>IF(ISBLANK(Values!N79),Values!K79,Values!N79)</f>
        <v/>
      </c>
      <c r="AI19" s="409"/>
      <c r="AJ19" s="409"/>
      <c r="AK19" s="409"/>
      <c r="AL19" s="409"/>
      <c r="AM19" s="409"/>
      <c r="AN19" s="409"/>
      <c r="AO19" s="409"/>
      <c r="AP19" s="409"/>
      <c r="AQ19" s="409"/>
      <c r="AR19" s="5"/>
      <c r="AS19" s="484" t="str">
        <f>IF(ISBLANK(Values!O79),Values!L79,Values!O79)</f>
        <v/>
      </c>
      <c r="AT19" s="484"/>
      <c r="AU19" s="84">
        <f ca="1">IFERROR(IF(AND(SUM(INDIRECT("Merits!A"&amp;MATCH(AH19,Merits!A:A,0)&amp;":F"&amp;MATCH(AH19,Merits!A:A,0)))=0,Values!P79=0),1,COUNTIF(INDIRECT("Merits!A"&amp;MATCH(AH19,Merits!A:A,0)&amp;":F"&amp;MATCH(AH19,Merits!A:A,0)),Values!S79)),1)</f>
        <v>1</v>
      </c>
      <c r="AV19" s="5"/>
      <c r="AW19" s="401" t="str">
        <f>VLOOKUP(Values!$S79,Points!$A$1:$B$11,2,0)</f>
        <v>○○○○○</v>
      </c>
      <c r="AX19" s="401"/>
      <c r="AY19" s="401"/>
      <c r="AZ19" s="5"/>
      <c r="BA19" s="5"/>
      <c r="BB19" s="5"/>
      <c r="BC19" s="5"/>
      <c r="BD19" s="515"/>
      <c r="BE19" s="516"/>
      <c r="BF19" s="517"/>
      <c r="BG19" s="518"/>
      <c r="BH19" s="519"/>
      <c r="BI19" s="520"/>
      <c r="BJ19" s="521"/>
      <c r="BK19" s="522"/>
      <c r="BL19" s="522"/>
      <c r="BM19" s="522"/>
      <c r="BN19" s="522"/>
      <c r="BO19" s="522"/>
      <c r="BP19" s="522"/>
      <c r="BQ19" s="523"/>
      <c r="BR19" s="5"/>
      <c r="BS19" s="5"/>
      <c r="BT19" s="5"/>
      <c r="BU19" s="5"/>
      <c r="BV19" s="5"/>
      <c r="BW19" s="5"/>
      <c r="BX19" s="5"/>
    </row>
    <row r="20" spans="1:76" ht="20.100000000000001" customHeight="1">
      <c r="A20" s="5"/>
      <c r="B20" s="5"/>
      <c r="C20" s="44" t="str">
        <f>IF(Values!T32=0,"",Values!T32)</f>
        <v/>
      </c>
      <c r="D20" s="5"/>
      <c r="E20" s="405" t="str">
        <f>Values!B32</f>
        <v>Integrity</v>
      </c>
      <c r="F20" s="405"/>
      <c r="G20" s="405"/>
      <c r="H20" s="405"/>
      <c r="I20" s="405"/>
      <c r="J20" s="401" t="str">
        <f>VLOOKUP(Values!$S32,Points!$A$1:$B$11,2,0)</f>
        <v>○○○○○</v>
      </c>
      <c r="K20" s="401"/>
      <c r="L20" s="401"/>
      <c r="M20" s="5"/>
      <c r="N20" s="5"/>
      <c r="O20" s="5"/>
      <c r="P20" s="487" t="str">
        <f>IF(ISBLANK(Values!O68),Values!L68,Values!O68)</f>
        <v/>
      </c>
      <c r="Q20" s="487"/>
      <c r="R20" s="487"/>
      <c r="S20" s="487"/>
      <c r="T20" s="487"/>
      <c r="U20" s="5"/>
      <c r="V20" s="487" t="str">
        <f>IF(ISBLANK(Values!N68),Values!K68,Values!N68)</f>
        <v/>
      </c>
      <c r="W20" s="487"/>
      <c r="X20" s="487"/>
      <c r="Y20" s="487"/>
      <c r="Z20" s="487"/>
      <c r="AA20" s="487"/>
      <c r="AB20" s="487"/>
      <c r="AC20" s="487"/>
      <c r="AD20" s="487"/>
      <c r="AE20" s="487"/>
      <c r="AF20" s="487"/>
      <c r="AG20" s="5"/>
      <c r="AH20" s="409" t="str">
        <f>IF(ISBLANK(Values!N80),Values!K80,Values!N80)</f>
        <v/>
      </c>
      <c r="AI20" s="409"/>
      <c r="AJ20" s="409"/>
      <c r="AK20" s="409"/>
      <c r="AL20" s="409"/>
      <c r="AM20" s="409"/>
      <c r="AN20" s="409"/>
      <c r="AO20" s="409"/>
      <c r="AP20" s="409"/>
      <c r="AQ20" s="409"/>
      <c r="AR20" s="5"/>
      <c r="AS20" s="484" t="str">
        <f>IF(ISBLANK(Values!O80),Values!L80,Values!O80)</f>
        <v/>
      </c>
      <c r="AT20" s="484"/>
      <c r="AU20" s="84">
        <f ca="1">IFERROR(IF(AND(SUM(INDIRECT("Merits!A"&amp;MATCH(AH20,Merits!A:A,0)&amp;":F"&amp;MATCH(AH20,Merits!A:A,0)))=0,Values!P80=0),1,COUNTIF(INDIRECT("Merits!A"&amp;MATCH(AH20,Merits!A:A,0)&amp;":F"&amp;MATCH(AH20,Merits!A:A,0)),Values!S80)),1)</f>
        <v>1</v>
      </c>
      <c r="AV20" s="5"/>
      <c r="AW20" s="401" t="str">
        <f>VLOOKUP(Values!$S80,Points!$A$1:$B$11,2,0)</f>
        <v>○○○○○</v>
      </c>
      <c r="AX20" s="401"/>
      <c r="AY20" s="401"/>
      <c r="AZ20" s="5"/>
      <c r="BA20" s="5"/>
      <c r="BB20" s="5"/>
      <c r="BC20" s="5"/>
      <c r="BD20" s="515"/>
      <c r="BE20" s="516"/>
      <c r="BF20" s="517"/>
      <c r="BG20" s="518"/>
      <c r="BH20" s="519"/>
      <c r="BI20" s="520"/>
      <c r="BJ20" s="521"/>
      <c r="BK20" s="522"/>
      <c r="BL20" s="522"/>
      <c r="BM20" s="522"/>
      <c r="BN20" s="522"/>
      <c r="BO20" s="522"/>
      <c r="BP20" s="522"/>
      <c r="BQ20" s="523"/>
      <c r="BR20" s="5"/>
      <c r="BS20" s="5"/>
      <c r="BT20" s="5"/>
      <c r="BU20" s="5"/>
      <c r="BV20" s="5"/>
      <c r="BW20" s="5"/>
      <c r="BX20" s="5"/>
    </row>
    <row r="21" spans="1:76" ht="20.100000000000001" customHeight="1">
      <c r="A21" s="5"/>
      <c r="B21" s="5"/>
      <c r="C21" s="44" t="str">
        <f>IF(Values!T33=0,"",Values!T33)</f>
        <v/>
      </c>
      <c r="D21" s="5"/>
      <c r="E21" s="405" t="str">
        <f>Values!B33</f>
        <v>Investigation</v>
      </c>
      <c r="F21" s="405"/>
      <c r="G21" s="405"/>
      <c r="H21" s="405"/>
      <c r="I21" s="405"/>
      <c r="J21" s="401" t="str">
        <f>VLOOKUP(Values!$S33,Points!$A$1:$B$11,2,0)</f>
        <v>○○○○○</v>
      </c>
      <c r="K21" s="401"/>
      <c r="L21" s="401"/>
      <c r="M21" s="5"/>
      <c r="N21" s="5"/>
      <c r="O21" s="5"/>
      <c r="P21" s="487" t="str">
        <f>IF(ISBLANK(Values!O69),Values!L69,Values!O69)</f>
        <v/>
      </c>
      <c r="Q21" s="487"/>
      <c r="R21" s="487"/>
      <c r="S21" s="487"/>
      <c r="T21" s="487"/>
      <c r="U21" s="5"/>
      <c r="V21" s="487" t="str">
        <f>IF(ISBLANK(Values!N69),Values!K69,Values!N69)</f>
        <v/>
      </c>
      <c r="W21" s="487"/>
      <c r="X21" s="487"/>
      <c r="Y21" s="487"/>
      <c r="Z21" s="487"/>
      <c r="AA21" s="487"/>
      <c r="AB21" s="487"/>
      <c r="AC21" s="487"/>
      <c r="AD21" s="487"/>
      <c r="AE21" s="487"/>
      <c r="AF21" s="487"/>
      <c r="AG21" s="5"/>
      <c r="AH21" s="409" t="str">
        <f>IF(ISBLANK(Values!N81),Values!K81,Values!N81)</f>
        <v/>
      </c>
      <c r="AI21" s="409"/>
      <c r="AJ21" s="409"/>
      <c r="AK21" s="409"/>
      <c r="AL21" s="409"/>
      <c r="AM21" s="409"/>
      <c r="AN21" s="409"/>
      <c r="AO21" s="409"/>
      <c r="AP21" s="409"/>
      <c r="AQ21" s="409"/>
      <c r="AR21" s="5"/>
      <c r="AS21" s="484" t="str">
        <f>IF(ISBLANK(Values!O81),Values!L81,Values!O81)</f>
        <v/>
      </c>
      <c r="AT21" s="484"/>
      <c r="AU21" s="84">
        <f ca="1">IFERROR(IF(AND(SUM(INDIRECT("Merits!A"&amp;MATCH(AH21,Merits!A:A,0)&amp;":F"&amp;MATCH(AH21,Merits!A:A,0)))=0,Values!P81=0),1,COUNTIF(INDIRECT("Merits!A"&amp;MATCH(AH21,Merits!A:A,0)&amp;":F"&amp;MATCH(AH21,Merits!A:A,0)),Values!S81)),1)</f>
        <v>1</v>
      </c>
      <c r="AV21" s="5"/>
      <c r="AW21" s="401" t="str">
        <f>VLOOKUP(Values!$S81,Points!$A$1:$B$11,2,0)</f>
        <v>○○○○○</v>
      </c>
      <c r="AX21" s="401"/>
      <c r="AY21" s="401"/>
      <c r="AZ21" s="5"/>
      <c r="BA21" s="5"/>
      <c r="BB21" s="5"/>
      <c r="BC21" s="5"/>
      <c r="BD21" s="515"/>
      <c r="BE21" s="516"/>
      <c r="BF21" s="517"/>
      <c r="BG21" s="518"/>
      <c r="BH21" s="519"/>
      <c r="BI21" s="520"/>
      <c r="BJ21" s="521"/>
      <c r="BK21" s="522"/>
      <c r="BL21" s="522"/>
      <c r="BM21" s="522"/>
      <c r="BN21" s="522"/>
      <c r="BO21" s="522"/>
      <c r="BP21" s="522"/>
      <c r="BQ21" s="523"/>
      <c r="BR21" s="5"/>
      <c r="BS21" s="5"/>
      <c r="BT21" s="5"/>
      <c r="BU21" s="5"/>
      <c r="BV21" s="5"/>
      <c r="BW21" s="5"/>
      <c r="BX21" s="5"/>
    </row>
    <row r="22" spans="1:76" ht="20.100000000000001" customHeight="1">
      <c r="A22" s="5"/>
      <c r="B22" s="5"/>
      <c r="C22" s="44" t="str">
        <f>IF(Values!T34=0,"",Values!T34)</f>
        <v/>
      </c>
      <c r="D22" s="5"/>
      <c r="E22" s="405" t="str">
        <f>Values!B34</f>
        <v>Larceny</v>
      </c>
      <c r="F22" s="405"/>
      <c r="G22" s="405"/>
      <c r="H22" s="405"/>
      <c r="I22" s="405"/>
      <c r="J22" s="401" t="str">
        <f>VLOOKUP(Values!$S34,Points!$A$1:$B$11,2,0)</f>
        <v>○○○○○</v>
      </c>
      <c r="K22" s="401"/>
      <c r="L22" s="401"/>
      <c r="M22" s="5"/>
      <c r="N22" s="5"/>
      <c r="O22" s="5"/>
      <c r="P22" s="487" t="str">
        <f>IF(ISBLANK(Values!O70),Values!L70,Values!O70)</f>
        <v/>
      </c>
      <c r="Q22" s="487"/>
      <c r="R22" s="487"/>
      <c r="S22" s="487"/>
      <c r="T22" s="487"/>
      <c r="U22" s="5"/>
      <c r="V22" s="487" t="str">
        <f>IF(ISBLANK(Values!N70),Values!K70,Values!N70)</f>
        <v/>
      </c>
      <c r="W22" s="487"/>
      <c r="X22" s="487"/>
      <c r="Y22" s="487"/>
      <c r="Z22" s="487"/>
      <c r="AA22" s="487"/>
      <c r="AB22" s="487"/>
      <c r="AC22" s="487"/>
      <c r="AD22" s="487"/>
      <c r="AE22" s="487"/>
      <c r="AF22" s="487"/>
      <c r="AG22" s="5"/>
      <c r="AH22" s="409" t="str">
        <f>IF(ISBLANK(Values!N82),Values!K82,Values!N82)</f>
        <v/>
      </c>
      <c r="AI22" s="409"/>
      <c r="AJ22" s="409"/>
      <c r="AK22" s="409"/>
      <c r="AL22" s="409"/>
      <c r="AM22" s="409"/>
      <c r="AN22" s="409"/>
      <c r="AO22" s="409"/>
      <c r="AP22" s="409"/>
      <c r="AQ22" s="409"/>
      <c r="AR22" s="5"/>
      <c r="AS22" s="484" t="str">
        <f>IF(ISBLANK(Values!O82),Values!L82,Values!O82)</f>
        <v/>
      </c>
      <c r="AT22" s="484"/>
      <c r="AU22" s="84">
        <f ca="1">IFERROR(IF(AND(SUM(INDIRECT("Merits!A"&amp;MATCH(AH22,Merits!A:A,0)&amp;":F"&amp;MATCH(AH22,Merits!A:A,0)))=0,Values!P82=0),1,COUNTIF(INDIRECT("Merits!A"&amp;MATCH(AH22,Merits!A:A,0)&amp;":F"&amp;MATCH(AH22,Merits!A:A,0)),Values!S82)),1)</f>
        <v>1</v>
      </c>
      <c r="AV22" s="5"/>
      <c r="AW22" s="401" t="str">
        <f>VLOOKUP(Values!$S82,Points!$A$1:$B$11,2,0)</f>
        <v>○○○○○</v>
      </c>
      <c r="AX22" s="401"/>
      <c r="AY22" s="401"/>
      <c r="AZ22" s="5"/>
      <c r="BA22" s="5"/>
      <c r="BB22" s="5"/>
      <c r="BC22" s="5"/>
      <c r="BD22" s="515"/>
      <c r="BE22" s="516"/>
      <c r="BF22" s="517"/>
      <c r="BG22" s="518"/>
      <c r="BH22" s="519"/>
      <c r="BI22" s="520"/>
      <c r="BJ22" s="521"/>
      <c r="BK22" s="522"/>
      <c r="BL22" s="522"/>
      <c r="BM22" s="522"/>
      <c r="BN22" s="522"/>
      <c r="BO22" s="522"/>
      <c r="BP22" s="522"/>
      <c r="BQ22" s="523"/>
      <c r="BR22" s="5"/>
      <c r="BS22" s="5"/>
      <c r="BT22" s="5"/>
      <c r="BU22" s="5"/>
      <c r="BV22" s="5"/>
      <c r="BW22" s="5"/>
      <c r="BX22" s="5"/>
    </row>
    <row r="23" spans="1:76" ht="20.100000000000001" customHeight="1">
      <c r="A23" s="5"/>
      <c r="B23" s="5"/>
      <c r="C23" s="44" t="str">
        <f>IF(Values!T35=0,"",Values!T35)</f>
        <v/>
      </c>
      <c r="D23" s="5"/>
      <c r="E23" s="405" t="str">
        <f>Values!B35</f>
        <v>Linguistics</v>
      </c>
      <c r="F23" s="405"/>
      <c r="G23" s="405"/>
      <c r="H23" s="405"/>
      <c r="I23" s="405"/>
      <c r="J23" s="401" t="str">
        <f>VLOOKUP(Values!$S35,Points!$A$1:$B$11,2,0)</f>
        <v>○○○○○</v>
      </c>
      <c r="K23" s="401"/>
      <c r="L23" s="401"/>
      <c r="M23" s="5"/>
      <c r="N23" s="5"/>
      <c r="O23" s="5"/>
      <c r="P23" s="415" t="s">
        <v>3511</v>
      </c>
      <c r="Q23" s="385"/>
      <c r="R23" s="385"/>
      <c r="S23" s="385"/>
      <c r="T23" s="385"/>
      <c r="U23" s="385"/>
      <c r="V23" s="385"/>
      <c r="W23" s="37"/>
      <c r="X23" s="5"/>
      <c r="Y23" s="5"/>
      <c r="Z23" s="413" t="s">
        <v>32</v>
      </c>
      <c r="AA23" s="413"/>
      <c r="AB23" s="413"/>
      <c r="AC23" s="413"/>
      <c r="AD23" s="413"/>
      <c r="AE23" s="413"/>
      <c r="AF23" s="5"/>
      <c r="AG23" s="5"/>
      <c r="AH23" s="409" t="str">
        <f>IF(ISBLANK(Values!N83),Values!K83,Values!N83)</f>
        <v/>
      </c>
      <c r="AI23" s="409"/>
      <c r="AJ23" s="409"/>
      <c r="AK23" s="409"/>
      <c r="AL23" s="409"/>
      <c r="AM23" s="409"/>
      <c r="AN23" s="409"/>
      <c r="AO23" s="409"/>
      <c r="AP23" s="409"/>
      <c r="AQ23" s="409"/>
      <c r="AR23" s="5"/>
      <c r="AS23" s="484" t="str">
        <f>IF(ISBLANK(Values!O83),Values!L83,Values!O83)</f>
        <v/>
      </c>
      <c r="AT23" s="484"/>
      <c r="AU23" s="84">
        <f ca="1">IFERROR(IF(AND(SUM(INDIRECT("Merits!A"&amp;MATCH(AH23,Merits!A:A,0)&amp;":F"&amp;MATCH(AH23,Merits!A:A,0)))=0,Values!P83=0),1,COUNTIF(INDIRECT("Merits!A"&amp;MATCH(AH23,Merits!A:A,0)&amp;":F"&amp;MATCH(AH23,Merits!A:A,0)),Values!S83)),1)</f>
        <v>1</v>
      </c>
      <c r="AV23" s="5"/>
      <c r="AW23" s="401" t="str">
        <f>VLOOKUP(Values!$S83,Points!$A$1:$B$11,2,0)</f>
        <v>○○○○○</v>
      </c>
      <c r="AX23" s="401"/>
      <c r="AY23" s="401"/>
      <c r="AZ23" s="5"/>
      <c r="BA23" s="5"/>
      <c r="BB23" s="5"/>
      <c r="BC23" s="5"/>
      <c r="BD23" s="515"/>
      <c r="BE23" s="516"/>
      <c r="BF23" s="517"/>
      <c r="BG23" s="518"/>
      <c r="BH23" s="519"/>
      <c r="BI23" s="520"/>
      <c r="BJ23" s="521"/>
      <c r="BK23" s="522"/>
      <c r="BL23" s="522"/>
      <c r="BM23" s="522"/>
      <c r="BN23" s="522"/>
      <c r="BO23" s="522"/>
      <c r="BP23" s="522"/>
      <c r="BQ23" s="523"/>
      <c r="BR23" s="5"/>
      <c r="BS23" s="5"/>
      <c r="BT23" s="5"/>
      <c r="BU23" s="5"/>
      <c r="BV23" s="5"/>
      <c r="BW23" s="5"/>
      <c r="BX23" s="5"/>
    </row>
    <row r="24" spans="1:76" ht="20.100000000000001" customHeight="1">
      <c r="A24" s="5"/>
      <c r="B24" s="5"/>
      <c r="C24" s="44" t="str">
        <f>IF(Values!T36=0,"",Values!T36)</f>
        <v/>
      </c>
      <c r="D24" s="5"/>
      <c r="E24" s="405" t="str">
        <f>Values!B36</f>
        <v>Lore</v>
      </c>
      <c r="F24" s="405"/>
      <c r="G24" s="405"/>
      <c r="H24" s="405"/>
      <c r="I24" s="405"/>
      <c r="J24" s="401" t="str">
        <f>VLOOKUP(Values!$S36,Points!$A$1:$B$11,2,0)</f>
        <v>○○○○○</v>
      </c>
      <c r="K24" s="401"/>
      <c r="L24" s="401"/>
      <c r="M24" s="5"/>
      <c r="N24" s="5"/>
      <c r="O24" s="5"/>
      <c r="P24" s="385"/>
      <c r="Q24" s="385"/>
      <c r="R24" s="385"/>
      <c r="S24" s="385"/>
      <c r="T24" s="385"/>
      <c r="U24" s="385"/>
      <c r="V24" s="385"/>
      <c r="W24" s="37"/>
      <c r="X24" s="34"/>
      <c r="Y24" s="5"/>
      <c r="Z24" s="385"/>
      <c r="AA24" s="385"/>
      <c r="AB24" s="385"/>
      <c r="AC24" s="385"/>
      <c r="AD24" s="385"/>
      <c r="AE24" s="385"/>
      <c r="AF24" s="5"/>
      <c r="AG24" s="5"/>
      <c r="AH24" s="409" t="str">
        <f>IF(ISBLANK(Values!N84),Values!K84,Values!N84)</f>
        <v/>
      </c>
      <c r="AI24" s="409"/>
      <c r="AJ24" s="409"/>
      <c r="AK24" s="409"/>
      <c r="AL24" s="409"/>
      <c r="AM24" s="409"/>
      <c r="AN24" s="409"/>
      <c r="AO24" s="409"/>
      <c r="AP24" s="409"/>
      <c r="AQ24" s="409"/>
      <c r="AR24" s="5"/>
      <c r="AS24" s="484" t="str">
        <f>IF(ISBLANK(Values!O84),Values!L84,Values!O84)</f>
        <v/>
      </c>
      <c r="AT24" s="484"/>
      <c r="AU24" s="84">
        <f ca="1">IFERROR(IF(AND(SUM(INDIRECT("Merits!A"&amp;MATCH(AH24,Merits!A:A,0)&amp;":F"&amp;MATCH(AH24,Merits!A:A,0)))=0,Values!P84=0),1,COUNTIF(INDIRECT("Merits!A"&amp;MATCH(AH24,Merits!A:A,0)&amp;":F"&amp;MATCH(AH24,Merits!A:A,0)),Values!S84)),1)</f>
        <v>1</v>
      </c>
      <c r="AV24" s="5"/>
      <c r="AW24" s="401" t="str">
        <f>VLOOKUP(Values!$S84,Points!$A$1:$B$11,2,0)</f>
        <v>○○○○○</v>
      </c>
      <c r="AX24" s="401"/>
      <c r="AY24" s="401"/>
      <c r="AZ24" s="5"/>
      <c r="BA24" s="5"/>
      <c r="BB24" s="5"/>
      <c r="BC24" s="5"/>
      <c r="BD24" s="515"/>
      <c r="BE24" s="516"/>
      <c r="BF24" s="517"/>
      <c r="BG24" s="518"/>
      <c r="BH24" s="519"/>
      <c r="BI24" s="520"/>
      <c r="BJ24" s="521"/>
      <c r="BK24" s="522"/>
      <c r="BL24" s="522"/>
      <c r="BM24" s="522"/>
      <c r="BN24" s="522"/>
      <c r="BO24" s="522"/>
      <c r="BP24" s="522"/>
      <c r="BQ24" s="523"/>
      <c r="BR24" s="5"/>
      <c r="BS24" s="5"/>
      <c r="BT24" s="5"/>
      <c r="BU24" s="5"/>
      <c r="BV24" s="5"/>
      <c r="BW24" s="5"/>
      <c r="BX24" s="5"/>
    </row>
    <row r="25" spans="1:76" ht="20.100000000000001" customHeight="1">
      <c r="A25" s="5"/>
      <c r="B25" s="5"/>
      <c r="C25" s="44" t="str">
        <f>IF(Values!T37=0,"",Values!T37)</f>
        <v/>
      </c>
      <c r="D25" s="5"/>
      <c r="E25" s="405" t="str">
        <f>Values!B37</f>
        <v>Martial Arts</v>
      </c>
      <c r="F25" s="405"/>
      <c r="G25" s="405"/>
      <c r="H25" s="405"/>
      <c r="I25" s="405"/>
      <c r="J25" s="401" t="str">
        <f>VLOOKUP(Values!$S37,Points!$A$1:$B$11,2,0)</f>
        <v>○○○○○</v>
      </c>
      <c r="K25" s="401"/>
      <c r="L25" s="401"/>
      <c r="M25" s="5"/>
      <c r="N25" s="5"/>
      <c r="O25" s="5"/>
      <c r="P25" s="389" t="str">
        <f>IF(Creation_BP!P25&lt;&gt;0,Creation_BP!P25,"")</f>
        <v/>
      </c>
      <c r="Q25" s="389"/>
      <c r="R25" s="389"/>
      <c r="S25" s="389"/>
      <c r="T25" s="389"/>
      <c r="U25" s="389"/>
      <c r="V25" s="389"/>
      <c r="W25" s="5"/>
      <c r="X25" s="5"/>
      <c r="Y25" s="412" t="str">
        <f>VLOOKUP(Values!$S97,Points!$A$13:$B$23,2,0)</f>
        <v>● ● ● ● ● ○ ○ ○ ○ ○</v>
      </c>
      <c r="Z25" s="412"/>
      <c r="AA25" s="412"/>
      <c r="AB25" s="412"/>
      <c r="AC25" s="412"/>
      <c r="AD25" s="412"/>
      <c r="AE25" s="412"/>
      <c r="AF25" s="412"/>
      <c r="AG25" s="5"/>
      <c r="AH25" s="409" t="str">
        <f>IF(ISBLANK(Values!N85),Values!K85,Values!N85)</f>
        <v/>
      </c>
      <c r="AI25" s="409"/>
      <c r="AJ25" s="409"/>
      <c r="AK25" s="409"/>
      <c r="AL25" s="409"/>
      <c r="AM25" s="409"/>
      <c r="AN25" s="409"/>
      <c r="AO25" s="409"/>
      <c r="AP25" s="409"/>
      <c r="AQ25" s="409"/>
      <c r="AR25" s="5"/>
      <c r="AS25" s="484" t="str">
        <f>IF(ISBLANK(Values!O85),Values!L85,Values!O85)</f>
        <v/>
      </c>
      <c r="AT25" s="484"/>
      <c r="AU25" s="84">
        <f ca="1">IFERROR(IF(AND(SUM(INDIRECT("Merits!A"&amp;MATCH(AH25,Merits!A:A,0)&amp;":F"&amp;MATCH(AH25,Merits!A:A,0)))=0,Values!P85=0),1,COUNTIF(INDIRECT("Merits!A"&amp;MATCH(AH25,Merits!A:A,0)&amp;":F"&amp;MATCH(AH25,Merits!A:A,0)),Values!S85)),1)</f>
        <v>1</v>
      </c>
      <c r="AV25" s="5"/>
      <c r="AW25" s="401" t="str">
        <f>VLOOKUP(Values!$S85,Points!$A$1:$B$11,2,0)</f>
        <v>○○○○○</v>
      </c>
      <c r="AX25" s="401"/>
      <c r="AY25" s="401"/>
      <c r="AZ25" s="5"/>
      <c r="BA25" s="5"/>
      <c r="BB25" s="5"/>
      <c r="BC25" s="5"/>
      <c r="BD25" s="515"/>
      <c r="BE25" s="516"/>
      <c r="BF25" s="517"/>
      <c r="BG25" s="518"/>
      <c r="BH25" s="519"/>
      <c r="BI25" s="520"/>
      <c r="BJ25" s="521"/>
      <c r="BK25" s="522"/>
      <c r="BL25" s="522"/>
      <c r="BM25" s="522"/>
      <c r="BN25" s="522"/>
      <c r="BO25" s="522"/>
      <c r="BP25" s="522"/>
      <c r="BQ25" s="523"/>
      <c r="BR25" s="5"/>
      <c r="BS25" s="5"/>
      <c r="BT25" s="5"/>
      <c r="BU25" s="5"/>
      <c r="BV25" s="5"/>
      <c r="BW25" s="5"/>
      <c r="BX25" s="5"/>
    </row>
    <row r="26" spans="1:76" ht="20.100000000000001" customHeight="1">
      <c r="A26" s="5"/>
      <c r="B26" s="5"/>
      <c r="C26" s="44" t="str">
        <f>IF(Values!T38=0,"",Values!T38)</f>
        <v/>
      </c>
      <c r="D26" s="5"/>
      <c r="E26" s="405" t="str">
        <f>Values!B38</f>
        <v>Medicine</v>
      </c>
      <c r="F26" s="405"/>
      <c r="G26" s="405"/>
      <c r="H26" s="405"/>
      <c r="I26" s="405"/>
      <c r="J26" s="401" t="str">
        <f>VLOOKUP(Values!$S38,Points!$A$1:$B$11,2,0)</f>
        <v>○○○○○</v>
      </c>
      <c r="K26" s="401"/>
      <c r="L26" s="401"/>
      <c r="M26" s="5"/>
      <c r="N26" s="5"/>
      <c r="O26" s="5"/>
      <c r="P26" s="389" t="str">
        <f>IF(Creation_BP!P26&lt;&gt;0,Creation_BP!P26,"")</f>
        <v/>
      </c>
      <c r="Q26" s="389"/>
      <c r="R26" s="389"/>
      <c r="S26" s="389"/>
      <c r="T26" s="389"/>
      <c r="U26" s="389"/>
      <c r="V26" s="389"/>
      <c r="W26" s="5"/>
      <c r="X26" s="5"/>
      <c r="Y26" s="410" t="s">
        <v>36</v>
      </c>
      <c r="Z26" s="410"/>
      <c r="AA26" s="410"/>
      <c r="AB26" s="410"/>
      <c r="AC26" s="410"/>
      <c r="AD26" s="410"/>
      <c r="AE26" s="410"/>
      <c r="AF26" s="410"/>
      <c r="AG26" s="5"/>
      <c r="AH26" s="409" t="str">
        <f>IF(ISBLANK(Values!N86),Values!K86,Values!N86)</f>
        <v/>
      </c>
      <c r="AI26" s="409"/>
      <c r="AJ26" s="409"/>
      <c r="AK26" s="409"/>
      <c r="AL26" s="409"/>
      <c r="AM26" s="409"/>
      <c r="AN26" s="409"/>
      <c r="AO26" s="409"/>
      <c r="AP26" s="409"/>
      <c r="AQ26" s="409"/>
      <c r="AR26" s="5"/>
      <c r="AS26" s="484" t="str">
        <f>IF(ISBLANK(Values!O86),Values!L86,Values!O86)</f>
        <v/>
      </c>
      <c r="AT26" s="484"/>
      <c r="AU26" s="84">
        <f ca="1">IFERROR(IF(AND(SUM(INDIRECT("Merits!A"&amp;MATCH(AH26,Merits!A:A,0)&amp;":F"&amp;MATCH(AH26,Merits!A:A,0)))=0,Values!P86=0),1,COUNTIF(INDIRECT("Merits!A"&amp;MATCH(AH26,Merits!A:A,0)&amp;":F"&amp;MATCH(AH26,Merits!A:A,0)),Values!S86)),1)</f>
        <v>1</v>
      </c>
      <c r="AV26" s="5"/>
      <c r="AW26" s="401" t="str">
        <f>VLOOKUP(Values!$S86,Points!$A$1:$B$11,2,0)</f>
        <v>○○○○○</v>
      </c>
      <c r="AX26" s="401"/>
      <c r="AY26" s="401"/>
      <c r="AZ26" s="5"/>
      <c r="BA26" s="5"/>
      <c r="BB26" s="5"/>
      <c r="BC26" s="5"/>
      <c r="BD26" s="515"/>
      <c r="BE26" s="516"/>
      <c r="BF26" s="517"/>
      <c r="BG26" s="518"/>
      <c r="BH26" s="519"/>
      <c r="BI26" s="520"/>
      <c r="BJ26" s="521"/>
      <c r="BK26" s="522"/>
      <c r="BL26" s="522"/>
      <c r="BM26" s="522"/>
      <c r="BN26" s="522"/>
      <c r="BO26" s="522"/>
      <c r="BP26" s="522"/>
      <c r="BQ26" s="523"/>
      <c r="BR26" s="5"/>
      <c r="BS26" s="5"/>
      <c r="BT26" s="5"/>
      <c r="BU26" s="5"/>
      <c r="BV26" s="5"/>
      <c r="BW26" s="5"/>
      <c r="BX26" s="5"/>
    </row>
    <row r="27" spans="1:76" ht="20.100000000000001" customHeight="1">
      <c r="A27" s="5"/>
      <c r="B27" s="5"/>
      <c r="C27" s="44" t="str">
        <f>IF(Values!T39=0,"",Values!T39)</f>
        <v/>
      </c>
      <c r="D27" s="5"/>
      <c r="E27" s="405" t="str">
        <f>Values!B39</f>
        <v>Melee</v>
      </c>
      <c r="F27" s="405"/>
      <c r="G27" s="405"/>
      <c r="H27" s="405"/>
      <c r="I27" s="405"/>
      <c r="J27" s="401" t="str">
        <f>VLOOKUP(Values!$S39,Points!$A$1:$B$11,2,0)</f>
        <v>○○○○○</v>
      </c>
      <c r="K27" s="401"/>
      <c r="L27" s="401"/>
      <c r="M27" s="5"/>
      <c r="N27" s="5"/>
      <c r="O27" s="5"/>
      <c r="P27" s="389" t="str">
        <f>IF(Creation_BP!P27&lt;&gt;0,Creation_BP!P27,"")</f>
        <v/>
      </c>
      <c r="Q27" s="389"/>
      <c r="R27" s="389"/>
      <c r="S27" s="389"/>
      <c r="T27" s="389"/>
      <c r="U27" s="389"/>
      <c r="V27" s="389"/>
      <c r="W27" s="5"/>
      <c r="X27" s="5"/>
      <c r="Y27" s="5"/>
      <c r="Z27" s="5"/>
      <c r="AA27" s="5"/>
      <c r="AB27" s="5"/>
      <c r="AC27" s="5"/>
      <c r="AD27" s="5"/>
      <c r="AE27" s="5"/>
      <c r="AF27" s="5"/>
      <c r="AG27" s="5"/>
      <c r="AH27" s="409" t="str">
        <f>IF(ISBLANK(Values!N87),Values!K87,Values!N87)</f>
        <v/>
      </c>
      <c r="AI27" s="409"/>
      <c r="AJ27" s="409"/>
      <c r="AK27" s="409"/>
      <c r="AL27" s="409"/>
      <c r="AM27" s="409"/>
      <c r="AN27" s="409"/>
      <c r="AO27" s="409"/>
      <c r="AP27" s="409"/>
      <c r="AQ27" s="409"/>
      <c r="AR27" s="5"/>
      <c r="AS27" s="484" t="str">
        <f>IF(ISBLANK(Values!O87),Values!L87,Values!O87)</f>
        <v/>
      </c>
      <c r="AT27" s="484"/>
      <c r="AU27" s="84">
        <f ca="1">IFERROR(IF(AND(SUM(INDIRECT("Merits!A"&amp;MATCH(AH27,Merits!A:A,0)&amp;":F"&amp;MATCH(AH27,Merits!A:A,0)))=0,Values!P87=0),1,COUNTIF(INDIRECT("Merits!A"&amp;MATCH(AH27,Merits!A:A,0)&amp;":F"&amp;MATCH(AH27,Merits!A:A,0)),Values!S87)),1)</f>
        <v>1</v>
      </c>
      <c r="AV27" s="5"/>
      <c r="AW27" s="401" t="str">
        <f>VLOOKUP(Values!$S87,Points!$A$1:$B$11,2,0)</f>
        <v>○○○○○</v>
      </c>
      <c r="AX27" s="401"/>
      <c r="AY27" s="401"/>
      <c r="AZ27" s="5"/>
      <c r="BA27" s="5"/>
      <c r="BB27" s="5"/>
      <c r="BC27" s="5"/>
      <c r="BD27" s="515"/>
      <c r="BE27" s="516"/>
      <c r="BF27" s="517"/>
      <c r="BG27" s="518"/>
      <c r="BH27" s="519"/>
      <c r="BI27" s="520"/>
      <c r="BJ27" s="521"/>
      <c r="BK27" s="522"/>
      <c r="BL27" s="522"/>
      <c r="BM27" s="522"/>
      <c r="BN27" s="522"/>
      <c r="BO27" s="522"/>
      <c r="BP27" s="522"/>
      <c r="BQ27" s="523"/>
      <c r="BR27" s="5"/>
      <c r="BS27" s="5"/>
      <c r="BT27" s="5"/>
      <c r="BU27" s="5"/>
      <c r="BV27" s="5"/>
      <c r="BW27" s="5"/>
      <c r="BX27" s="5"/>
    </row>
    <row r="28" spans="1:76" ht="20.100000000000001" customHeight="1">
      <c r="A28" s="5"/>
      <c r="B28" s="5"/>
      <c r="C28" s="44" t="str">
        <f>IF(Values!T40=0,"",Values!T40)</f>
        <v/>
      </c>
      <c r="D28" s="5"/>
      <c r="E28" s="405" t="str">
        <f>Values!B40</f>
        <v>Occult</v>
      </c>
      <c r="F28" s="405"/>
      <c r="G28" s="405"/>
      <c r="H28" s="405"/>
      <c r="I28" s="405"/>
      <c r="J28" s="401" t="str">
        <f>VLOOKUP(Values!$S40,Points!$A$1:$B$11,2,0)</f>
        <v>○○○○○</v>
      </c>
      <c r="K28" s="401"/>
      <c r="L28" s="401"/>
      <c r="M28" s="5"/>
      <c r="N28" s="5"/>
      <c r="O28" s="5"/>
      <c r="P28" s="385" t="s">
        <v>33</v>
      </c>
      <c r="Q28" s="385"/>
      <c r="R28" s="385"/>
      <c r="S28" s="385"/>
      <c r="T28" s="385"/>
      <c r="U28" s="385"/>
      <c r="V28" s="5"/>
      <c r="W28" s="5"/>
      <c r="X28" s="5"/>
      <c r="Y28" s="5"/>
      <c r="Z28" s="385" t="s">
        <v>40</v>
      </c>
      <c r="AA28" s="385"/>
      <c r="AB28" s="385"/>
      <c r="AC28" s="385"/>
      <c r="AD28" s="385"/>
      <c r="AE28" s="34"/>
      <c r="AF28" s="5"/>
      <c r="AH28" s="409" t="str">
        <f>IF(ISBLANK(Values!N88),Values!K88,Values!N88)</f>
        <v/>
      </c>
      <c r="AI28" s="409"/>
      <c r="AJ28" s="409"/>
      <c r="AK28" s="409"/>
      <c r="AL28" s="409"/>
      <c r="AM28" s="409"/>
      <c r="AN28" s="409"/>
      <c r="AO28" s="409"/>
      <c r="AP28" s="409"/>
      <c r="AQ28" s="409"/>
      <c r="AR28" s="5"/>
      <c r="AS28" s="484" t="str">
        <f>IF(ISBLANK(Values!O88),Values!L88,Values!O88)</f>
        <v/>
      </c>
      <c r="AT28" s="484"/>
      <c r="AU28" s="84">
        <f ca="1">IFERROR(IF(AND(SUM(INDIRECT("Merits!A"&amp;MATCH(AH28,Merits!A:A,0)&amp;":F"&amp;MATCH(AH28,Merits!A:A,0)))=0,Values!P88=0),1,COUNTIF(INDIRECT("Merits!A"&amp;MATCH(AH28,Merits!A:A,0)&amp;":F"&amp;MATCH(AH28,Merits!A:A,0)),Values!S88)),1)</f>
        <v>1</v>
      </c>
      <c r="AV28" s="5"/>
      <c r="AW28" s="401" t="str">
        <f>VLOOKUP(Values!$S88,Points!$A$1:$B$11,2,0)</f>
        <v>○○○○○</v>
      </c>
      <c r="AX28" s="401"/>
      <c r="AY28" s="401"/>
      <c r="AZ28" s="5"/>
      <c r="BA28" s="5"/>
      <c r="BB28" s="5"/>
      <c r="BC28" s="5"/>
      <c r="BD28" s="515"/>
      <c r="BE28" s="516"/>
      <c r="BF28" s="517"/>
      <c r="BG28" s="518"/>
      <c r="BH28" s="519"/>
      <c r="BI28" s="520"/>
      <c r="BJ28" s="521"/>
      <c r="BK28" s="522"/>
      <c r="BL28" s="522"/>
      <c r="BM28" s="522"/>
      <c r="BN28" s="522"/>
      <c r="BO28" s="522"/>
      <c r="BP28" s="522"/>
      <c r="BQ28" s="523"/>
      <c r="BR28" s="5"/>
      <c r="BS28" s="5"/>
      <c r="BT28" s="5"/>
      <c r="BU28" s="5"/>
      <c r="BV28" s="5"/>
      <c r="BW28" s="5"/>
      <c r="BX28" s="5"/>
    </row>
    <row r="29" spans="1:76" ht="20.100000000000001" customHeight="1">
      <c r="A29" s="5"/>
      <c r="B29" s="5"/>
      <c r="C29" s="44" t="str">
        <f>IF(Values!T41=0,"",Values!T41)</f>
        <v/>
      </c>
      <c r="D29" s="5"/>
      <c r="E29" s="405" t="str">
        <f>Values!B41</f>
        <v>Performance</v>
      </c>
      <c r="F29" s="405"/>
      <c r="G29" s="405"/>
      <c r="H29" s="405"/>
      <c r="I29" s="405"/>
      <c r="J29" s="401" t="str">
        <f>VLOOKUP(Values!$S41,Points!$A$1:$B$11,2,0)</f>
        <v>○○○○○</v>
      </c>
      <c r="K29" s="401"/>
      <c r="L29" s="401"/>
      <c r="M29" s="5"/>
      <c r="N29" s="34"/>
      <c r="O29" s="5"/>
      <c r="P29" s="385"/>
      <c r="Q29" s="385"/>
      <c r="R29" s="385"/>
      <c r="S29" s="385"/>
      <c r="T29" s="385"/>
      <c r="U29" s="385"/>
      <c r="V29" s="5"/>
      <c r="W29" s="5"/>
      <c r="X29" s="5"/>
      <c r="Y29" s="34"/>
      <c r="Z29" s="385"/>
      <c r="AA29" s="385"/>
      <c r="AB29" s="385"/>
      <c r="AC29" s="385"/>
      <c r="AD29" s="385"/>
      <c r="AE29" s="34"/>
      <c r="AF29" s="5"/>
      <c r="AG29" s="5"/>
      <c r="AH29" s="409" t="str">
        <f>IF(ISBLANK(Values!N89),Values!K89,Values!N89)</f>
        <v/>
      </c>
      <c r="AI29" s="409"/>
      <c r="AJ29" s="409"/>
      <c r="AK29" s="409"/>
      <c r="AL29" s="409"/>
      <c r="AM29" s="409"/>
      <c r="AN29" s="409"/>
      <c r="AO29" s="409"/>
      <c r="AP29" s="409"/>
      <c r="AQ29" s="409"/>
      <c r="AR29" s="5"/>
      <c r="AS29" s="484" t="str">
        <f>IF(ISBLANK(Values!O89),Values!L89,Values!O89)</f>
        <v/>
      </c>
      <c r="AT29" s="484"/>
      <c r="AU29" s="84">
        <f ca="1">IFERROR(IF(AND(SUM(INDIRECT("Merits!A"&amp;MATCH(AH29,Merits!A:A,0)&amp;":F"&amp;MATCH(AH29,Merits!A:A,0)))=0,Values!P89=0),1,COUNTIF(INDIRECT("Merits!A"&amp;MATCH(AH29,Merits!A:A,0)&amp;":F"&amp;MATCH(AH29,Merits!A:A,0)),Values!S89)),1)</f>
        <v>1</v>
      </c>
      <c r="AV29" s="5"/>
      <c r="AW29" s="401" t="str">
        <f>VLOOKUP(Values!$S89,Points!$A$1:$B$11,2,0)</f>
        <v>○○○○○</v>
      </c>
      <c r="AX29" s="401"/>
      <c r="AY29" s="401"/>
      <c r="AZ29" s="5"/>
      <c r="BA29" s="5"/>
      <c r="BB29" s="5"/>
      <c r="BC29" s="5"/>
      <c r="BD29" s="515"/>
      <c r="BE29" s="516"/>
      <c r="BF29" s="517"/>
      <c r="BG29" s="518"/>
      <c r="BH29" s="519"/>
      <c r="BI29" s="520"/>
      <c r="BJ29" s="521"/>
      <c r="BK29" s="522"/>
      <c r="BL29" s="522"/>
      <c r="BM29" s="522"/>
      <c r="BN29" s="522"/>
      <c r="BO29" s="522"/>
      <c r="BP29" s="522"/>
      <c r="BQ29" s="523"/>
      <c r="BR29" s="5"/>
      <c r="BS29" s="5"/>
      <c r="BT29" s="5"/>
      <c r="BU29" s="5"/>
      <c r="BV29" s="5"/>
      <c r="BW29" s="5"/>
      <c r="BX29" s="5"/>
    </row>
    <row r="30" spans="1:76" ht="20.100000000000001" customHeight="1">
      <c r="A30" s="5"/>
      <c r="B30" s="5"/>
      <c r="C30" s="44" t="str">
        <f>IF(Values!T42=0,"",Values!T42)</f>
        <v/>
      </c>
      <c r="D30" s="5"/>
      <c r="E30" s="405" t="str">
        <f>Values!B42</f>
        <v>Presence</v>
      </c>
      <c r="F30" s="405"/>
      <c r="G30" s="405"/>
      <c r="H30" s="405"/>
      <c r="I30" s="405"/>
      <c r="J30" s="401" t="str">
        <f>VLOOKUP(Values!$S42,Points!$A$1:$B$11,2,0)</f>
        <v>○○○○○</v>
      </c>
      <c r="K30" s="401"/>
      <c r="L30" s="401"/>
      <c r="M30" s="5"/>
      <c r="N30" s="5"/>
      <c r="O30" s="410" t="s">
        <v>36</v>
      </c>
      <c r="P30" s="410"/>
      <c r="Q30" s="410"/>
      <c r="R30" s="410"/>
      <c r="S30" s="410"/>
      <c r="T30" s="410"/>
      <c r="U30" s="410"/>
      <c r="V30" s="410"/>
      <c r="W30" s="5"/>
      <c r="X30" s="5"/>
      <c r="Y30" s="411" t="str">
        <f>VLOOKUP(Values!S98,Points!$A$13:$C$23,3,0)</f>
        <v>●</v>
      </c>
      <c r="Z30" s="411"/>
      <c r="AA30" s="411"/>
      <c r="AB30" s="411"/>
      <c r="AC30" s="411"/>
      <c r="AD30" s="411"/>
      <c r="AE30" s="411"/>
      <c r="AF30" s="5"/>
      <c r="AG30" s="5"/>
      <c r="AH30" s="409" t="str">
        <f>IF(ISBLANK(Values!N90),Values!K90,Values!N90)</f>
        <v/>
      </c>
      <c r="AI30" s="409"/>
      <c r="AJ30" s="409"/>
      <c r="AK30" s="409"/>
      <c r="AL30" s="409"/>
      <c r="AM30" s="409"/>
      <c r="AN30" s="409"/>
      <c r="AO30" s="409"/>
      <c r="AP30" s="409"/>
      <c r="AQ30" s="409"/>
      <c r="AR30" s="5"/>
      <c r="AS30" s="484" t="str">
        <f>IF(ISBLANK(Values!O90),Values!L90,Values!O90)</f>
        <v/>
      </c>
      <c r="AT30" s="484"/>
      <c r="AU30" s="84">
        <f ca="1">IFERROR(IF(AND(SUM(INDIRECT("Merits!A"&amp;MATCH(AH30,Merits!A:A,0)&amp;":F"&amp;MATCH(AH30,Merits!A:A,0)))=0,Values!P90=0),1,COUNTIF(INDIRECT("Merits!A"&amp;MATCH(AH30,Merits!A:A,0)&amp;":F"&amp;MATCH(AH30,Merits!A:A,0)),Values!S90)),1)</f>
        <v>1</v>
      </c>
      <c r="AV30" s="5"/>
      <c r="AW30" s="401" t="str">
        <f>VLOOKUP(Values!$S90,Points!$A$1:$B$11,2,0)</f>
        <v>○○○○○</v>
      </c>
      <c r="AX30" s="401"/>
      <c r="AY30" s="401"/>
      <c r="AZ30" s="5"/>
      <c r="BA30" s="5"/>
      <c r="BB30" s="5"/>
      <c r="BC30" s="5"/>
      <c r="BD30" s="515"/>
      <c r="BE30" s="516"/>
      <c r="BF30" s="517"/>
      <c r="BG30" s="518"/>
      <c r="BH30" s="519"/>
      <c r="BI30" s="520"/>
      <c r="BJ30" s="521"/>
      <c r="BK30" s="522"/>
      <c r="BL30" s="522"/>
      <c r="BM30" s="522"/>
      <c r="BN30" s="522"/>
      <c r="BO30" s="522"/>
      <c r="BP30" s="522"/>
      <c r="BQ30" s="523"/>
      <c r="BR30" s="5"/>
      <c r="BS30" s="5"/>
      <c r="BT30" s="5"/>
      <c r="BU30" s="5"/>
      <c r="BV30" s="5"/>
      <c r="BW30" s="5"/>
      <c r="BX30" s="5"/>
    </row>
    <row r="31" spans="1:76" ht="20.100000000000001" customHeight="1" thickBot="1">
      <c r="A31" s="5"/>
      <c r="B31" s="5"/>
      <c r="C31" s="44" t="str">
        <f>IF(Values!T43=0,"",Values!T43)</f>
        <v/>
      </c>
      <c r="D31" s="5"/>
      <c r="E31" s="405" t="str">
        <f>Values!B43</f>
        <v>Resistance</v>
      </c>
      <c r="F31" s="405"/>
      <c r="G31" s="405"/>
      <c r="H31" s="405"/>
      <c r="I31" s="405"/>
      <c r="J31" s="401" t="str">
        <f>VLOOKUP(Values!$S43,Points!$A$1:$B$11,2,0)</f>
        <v>○○○○○</v>
      </c>
      <c r="K31" s="401"/>
      <c r="L31" s="401"/>
      <c r="M31" s="5"/>
      <c r="N31" s="5"/>
      <c r="O31" s="5"/>
      <c r="P31" s="385" t="s">
        <v>41</v>
      </c>
      <c r="Q31" s="385"/>
      <c r="R31" s="385"/>
      <c r="S31" s="385"/>
      <c r="T31" s="385"/>
      <c r="U31" s="385"/>
      <c r="V31" s="5"/>
      <c r="W31" s="5"/>
      <c r="X31" s="5"/>
      <c r="Y31" s="5"/>
      <c r="Z31" s="5"/>
      <c r="AA31" s="5"/>
      <c r="AB31" s="5"/>
      <c r="AC31" s="5"/>
      <c r="AD31" s="5"/>
      <c r="AE31" s="5"/>
      <c r="AF31" s="5"/>
      <c r="AG31" s="5"/>
      <c r="AH31" s="409" t="str">
        <f>IF(ISBLANK(Values!N91),Values!K91,Values!N91)</f>
        <v/>
      </c>
      <c r="AI31" s="409"/>
      <c r="AJ31" s="409"/>
      <c r="AK31" s="409"/>
      <c r="AL31" s="409"/>
      <c r="AM31" s="409"/>
      <c r="AN31" s="409"/>
      <c r="AO31" s="409"/>
      <c r="AP31" s="409"/>
      <c r="AQ31" s="409"/>
      <c r="AR31" s="5"/>
      <c r="AS31" s="484" t="str">
        <f>IF(ISBLANK(Values!O91),Values!L91,Values!O91)</f>
        <v/>
      </c>
      <c r="AT31" s="484"/>
      <c r="AU31" s="84">
        <f ca="1">IFERROR(IF(AND(SUM(INDIRECT("Merits!A"&amp;MATCH(AH31,Merits!A:A,0)&amp;":F"&amp;MATCH(AH31,Merits!A:A,0)))=0,Values!P91=0),1,COUNTIF(INDIRECT("Merits!A"&amp;MATCH(AH31,Merits!A:A,0)&amp;":F"&amp;MATCH(AH31,Merits!A:A,0)),Values!S91)),1)</f>
        <v>1</v>
      </c>
      <c r="AV31" s="5"/>
      <c r="AW31" s="401" t="str">
        <f>VLOOKUP(Values!$S91,Points!$A$1:$B$11,2,0)</f>
        <v>○○○○○</v>
      </c>
      <c r="AX31" s="401"/>
      <c r="AY31" s="401"/>
      <c r="AZ31" s="5"/>
      <c r="BA31" s="5"/>
      <c r="BB31" s="5"/>
      <c r="BC31" s="5"/>
      <c r="BD31" s="506"/>
      <c r="BE31" s="507"/>
      <c r="BF31" s="508"/>
      <c r="BG31" s="509"/>
      <c r="BH31" s="510"/>
      <c r="BI31" s="511"/>
      <c r="BJ31" s="512"/>
      <c r="BK31" s="513"/>
      <c r="BL31" s="513"/>
      <c r="BM31" s="513"/>
      <c r="BN31" s="513"/>
      <c r="BO31" s="513"/>
      <c r="BP31" s="513"/>
      <c r="BQ31" s="514"/>
      <c r="BR31" s="5"/>
      <c r="BS31" s="5"/>
      <c r="BT31" s="5"/>
      <c r="BU31" s="5"/>
      <c r="BV31" s="5"/>
      <c r="BW31" s="5"/>
      <c r="BX31" s="5"/>
    </row>
    <row r="32" spans="1:76" ht="20.100000000000001" customHeight="1" thickBot="1">
      <c r="A32" s="5"/>
      <c r="B32" s="5"/>
      <c r="C32" s="44" t="str">
        <f>IF(Values!T44=0,"",Values!T44)</f>
        <v/>
      </c>
      <c r="D32" s="5"/>
      <c r="E32" s="405" t="str">
        <f>Values!B44</f>
        <v>Ride</v>
      </c>
      <c r="F32" s="405"/>
      <c r="G32" s="405"/>
      <c r="H32" s="405"/>
      <c r="I32" s="405"/>
      <c r="J32" s="401" t="str">
        <f>VLOOKUP(Values!$S44,Points!$A$1:$B$11,2,0)</f>
        <v>○○○○○</v>
      </c>
      <c r="K32" s="401"/>
      <c r="L32" s="401"/>
      <c r="M32" s="5"/>
      <c r="N32" s="5"/>
      <c r="O32" s="5"/>
      <c r="P32" s="385"/>
      <c r="Q32" s="385"/>
      <c r="R32" s="385"/>
      <c r="S32" s="385"/>
      <c r="T32" s="385"/>
      <c r="U32" s="385"/>
      <c r="V32" s="5"/>
      <c r="W32" s="5"/>
      <c r="X32" s="405" t="s">
        <v>1434</v>
      </c>
      <c r="Y32" s="405"/>
      <c r="Z32" s="405"/>
      <c r="AA32" s="405"/>
      <c r="AB32" s="484"/>
      <c r="AC32" s="484"/>
      <c r="AD32" s="5"/>
      <c r="AE32" s="407">
        <f>IF(Values!$S$6&lt;&gt;Castes!$B$3,Values!$S$98*3+10,0)</f>
        <v>13</v>
      </c>
      <c r="AF32" s="384"/>
      <c r="AG32" s="5"/>
      <c r="AH32" s="409" t="str">
        <f>IF(ISBLANK(Values!N92),Values!K92,Values!N92)</f>
        <v/>
      </c>
      <c r="AI32" s="409"/>
      <c r="AJ32" s="409"/>
      <c r="AK32" s="409"/>
      <c r="AL32" s="409"/>
      <c r="AM32" s="409"/>
      <c r="AN32" s="409"/>
      <c r="AO32" s="409"/>
      <c r="AP32" s="409"/>
      <c r="AQ32" s="409"/>
      <c r="AR32" s="5"/>
      <c r="AS32" s="484" t="str">
        <f>IF(ISBLANK(Values!O92),Values!L92,Values!O92)</f>
        <v/>
      </c>
      <c r="AT32" s="484"/>
      <c r="AU32" s="84">
        <f ca="1">IFERROR(IF(AND(SUM(INDIRECT("Merits!A"&amp;MATCH(AH32,Merits!A:A,0)&amp;":F"&amp;MATCH(AH32,Merits!A:A,0)))=0,Values!P92=0),1,COUNTIF(INDIRECT("Merits!A"&amp;MATCH(AH32,Merits!A:A,0)&amp;":F"&amp;MATCH(AH32,Merits!A:A,0)),Values!S92)),1)</f>
        <v>1</v>
      </c>
      <c r="AV32" s="5"/>
      <c r="AW32" s="401" t="str">
        <f>VLOOKUP(Values!$S92,Points!$A$1:$B$11,2,0)</f>
        <v>○○○○○</v>
      </c>
      <c r="AX32" s="401"/>
      <c r="AY32" s="401"/>
      <c r="AZ32" s="5"/>
      <c r="BA32" s="5"/>
      <c r="BB32" s="5"/>
      <c r="BC32" s="5"/>
      <c r="BD32" s="5"/>
      <c r="BE32" s="5"/>
      <c r="BF32" s="5"/>
      <c r="BG32" s="5"/>
      <c r="BH32" s="5"/>
      <c r="BI32" s="5"/>
      <c r="BJ32" s="5"/>
      <c r="BK32" s="5"/>
      <c r="BL32" s="5"/>
      <c r="BM32" s="5"/>
      <c r="BN32" s="5"/>
      <c r="BO32" s="5"/>
      <c r="BP32" s="5"/>
      <c r="BQ32" s="5"/>
      <c r="BR32" s="5"/>
      <c r="BS32" s="5"/>
      <c r="BT32" s="5"/>
      <c r="BU32" s="5"/>
      <c r="BV32" s="5"/>
      <c r="BW32" s="5"/>
      <c r="BX32" s="5"/>
    </row>
    <row r="33" spans="1:76" ht="20.100000000000001" customHeight="1">
      <c r="A33" s="5"/>
      <c r="B33" s="5"/>
      <c r="C33" s="44" t="str">
        <f>IF(Values!T45=0,"",Values!T45)</f>
        <v/>
      </c>
      <c r="D33" s="5"/>
      <c r="E33" s="405" t="str">
        <f>Values!B45</f>
        <v>Sail</v>
      </c>
      <c r="F33" s="405"/>
      <c r="G33" s="405"/>
      <c r="H33" s="405"/>
      <c r="I33" s="405"/>
      <c r="J33" s="401" t="str">
        <f>VLOOKUP(Values!$S45,Points!$A$1:$B$11,2,0)</f>
        <v>○○○○○</v>
      </c>
      <c r="K33" s="401"/>
      <c r="L33" s="401"/>
      <c r="M33" s="5"/>
      <c r="N33" s="5"/>
      <c r="O33" s="490">
        <f>Values!S99</f>
        <v>0</v>
      </c>
      <c r="P33" s="490"/>
      <c r="Q33" s="490"/>
      <c r="R33" s="490"/>
      <c r="S33" s="490"/>
      <c r="T33" s="490"/>
      <c r="U33" s="490"/>
      <c r="V33" s="490"/>
      <c r="W33" s="5"/>
      <c r="X33" s="405" t="s">
        <v>1435</v>
      </c>
      <c r="Y33" s="405"/>
      <c r="Z33" s="405"/>
      <c r="AA33" s="405"/>
      <c r="AB33" s="484"/>
      <c r="AC33" s="484"/>
      <c r="AD33" s="5"/>
      <c r="AE33" s="407">
        <f ca="1">IF(Values!$S$6&lt;&gt;Castes!$B$3,Values!$S$98*7+26-AB34,0)</f>
        <v>33</v>
      </c>
      <c r="AF33" s="384"/>
      <c r="AG33" s="5"/>
      <c r="AH33" s="409" t="str">
        <f>IF(ISBLANK(Values!N93),Values!K93,Values!N93)</f>
        <v/>
      </c>
      <c r="AI33" s="409"/>
      <c r="AJ33" s="409"/>
      <c r="AK33" s="409"/>
      <c r="AL33" s="409"/>
      <c r="AM33" s="409"/>
      <c r="AN33" s="409"/>
      <c r="AO33" s="409"/>
      <c r="AP33" s="409"/>
      <c r="AQ33" s="409"/>
      <c r="AR33" s="5"/>
      <c r="AS33" s="484" t="str">
        <f>IF(ISBLANK(Values!O93),Values!L93,Values!O93)</f>
        <v/>
      </c>
      <c r="AT33" s="484"/>
      <c r="AU33" s="84">
        <f ca="1">IFERROR(IF(AND(SUM(INDIRECT("Merits!A"&amp;MATCH(AH33,Merits!A:A,0)&amp;":F"&amp;MATCH(AH33,Merits!A:A,0)))=0,Values!P93=0),1,COUNTIF(INDIRECT("Merits!A"&amp;MATCH(AH33,Merits!A:A,0)&amp;":F"&amp;MATCH(AH33,Merits!A:A,0)),Values!S93)),1)</f>
        <v>1</v>
      </c>
      <c r="AV33" s="5"/>
      <c r="AW33" s="401" t="str">
        <f>VLOOKUP(Values!$S93,Points!$A$1:$B$11,2,0)</f>
        <v>○○○○○</v>
      </c>
      <c r="AX33" s="401"/>
      <c r="AY33" s="401"/>
      <c r="AZ33" s="5"/>
      <c r="BA33" s="51" t="s">
        <v>3530</v>
      </c>
      <c r="BB33" s="52"/>
      <c r="BC33" s="52"/>
      <c r="BD33" s="52"/>
      <c r="BE33" s="52"/>
      <c r="BF33" s="52"/>
      <c r="BG33" s="53"/>
      <c r="BH33" s="5"/>
      <c r="BI33" s="5"/>
      <c r="BJ33" s="5"/>
      <c r="BK33" s="5"/>
      <c r="BL33" s="5"/>
      <c r="BM33" s="5"/>
      <c r="BN33" s="5"/>
      <c r="BO33" s="5"/>
      <c r="BP33" s="5"/>
      <c r="BQ33" s="5"/>
      <c r="BR33" s="5"/>
      <c r="BS33" s="5"/>
      <c r="BT33" s="5"/>
      <c r="BU33" s="5"/>
      <c r="BV33" s="5"/>
      <c r="BW33" s="5"/>
      <c r="BX33" s="5"/>
    </row>
    <row r="34" spans="1:76" ht="20.100000000000001" customHeight="1" thickBot="1">
      <c r="A34" s="5"/>
      <c r="B34" s="5"/>
      <c r="C34" s="44" t="str">
        <f>IF(Values!T46=0,"",Values!T46)</f>
        <v/>
      </c>
      <c r="D34" s="5"/>
      <c r="E34" s="405" t="str">
        <f>Values!B46</f>
        <v>Socialize</v>
      </c>
      <c r="F34" s="405"/>
      <c r="G34" s="405"/>
      <c r="H34" s="405"/>
      <c r="I34" s="405"/>
      <c r="J34" s="401" t="str">
        <f>VLOOKUP(Values!$S46,Points!$A$1:$B$11,2,0)</f>
        <v>○○○○○</v>
      </c>
      <c r="K34" s="401"/>
      <c r="L34" s="401"/>
      <c r="M34" s="5"/>
      <c r="N34" s="5"/>
      <c r="O34" s="490"/>
      <c r="P34" s="490"/>
      <c r="Q34" s="490"/>
      <c r="R34" s="490"/>
      <c r="S34" s="490"/>
      <c r="T34" s="490"/>
      <c r="U34" s="490"/>
      <c r="V34" s="490"/>
      <c r="W34" s="5"/>
      <c r="X34" s="353" t="s">
        <v>3582</v>
      </c>
      <c r="Y34" s="405"/>
      <c r="Z34" s="405"/>
      <c r="AA34" s="405"/>
      <c r="AB34" s="384">
        <f ca="1">SUM(AY42:AY49,AB54:AB56)</f>
        <v>0</v>
      </c>
      <c r="AC34" s="384"/>
      <c r="AD34" s="384"/>
      <c r="AE34" s="384"/>
      <c r="AF34" s="384"/>
      <c r="AG34" s="5"/>
      <c r="AH34" s="409" t="str">
        <f>IF(ISBLANK(Values!N94),Values!K94,Values!N94)</f>
        <v/>
      </c>
      <c r="AI34" s="409"/>
      <c r="AJ34" s="409"/>
      <c r="AK34" s="409"/>
      <c r="AL34" s="409"/>
      <c r="AM34" s="409"/>
      <c r="AN34" s="409"/>
      <c r="AO34" s="409"/>
      <c r="AP34" s="409"/>
      <c r="AQ34" s="409"/>
      <c r="AR34" s="5"/>
      <c r="AS34" s="484" t="str">
        <f>IF(ISBLANK(Values!O94),Values!L94,Values!O94)</f>
        <v/>
      </c>
      <c r="AT34" s="484"/>
      <c r="AU34" s="84">
        <f ca="1">IFERROR(IF(AND(SUM(INDIRECT("Merits!A"&amp;MATCH(AH34,Merits!A:A,0)&amp;":F"&amp;MATCH(AH34,Merits!A:A,0)))=0,Values!P94=0),1,COUNTIF(INDIRECT("Merits!A"&amp;MATCH(AH34,Merits!A:A,0)&amp;":F"&amp;MATCH(AH34,Merits!A:A,0)),Values!S94)),1)</f>
        <v>1</v>
      </c>
      <c r="AV34" s="5"/>
      <c r="AW34" s="401" t="str">
        <f>VLOOKUP(Values!$S94,Points!$A$1:$B$11,2,0)</f>
        <v>○○○○○</v>
      </c>
      <c r="AX34" s="401"/>
      <c r="AY34" s="401"/>
      <c r="AZ34" s="5"/>
      <c r="BA34" s="497">
        <f>Values!$AB$3</f>
        <v>0</v>
      </c>
      <c r="BB34" s="498"/>
      <c r="BC34" s="57"/>
      <c r="BD34" s="57"/>
      <c r="BE34" s="57"/>
      <c r="BF34" s="57"/>
      <c r="BG34" s="58"/>
      <c r="BH34" s="5"/>
      <c r="BI34" s="5"/>
      <c r="BJ34" s="5"/>
      <c r="BK34" s="5"/>
      <c r="BL34" s="5"/>
      <c r="BM34" s="5"/>
      <c r="BN34" s="5"/>
      <c r="BO34" s="5"/>
      <c r="BP34" s="5"/>
      <c r="BQ34" s="5"/>
      <c r="BR34" s="5"/>
      <c r="BS34" s="5"/>
      <c r="BT34" s="5"/>
      <c r="BU34" s="5"/>
      <c r="BV34" s="5"/>
      <c r="BW34" s="5"/>
      <c r="BX34" s="5"/>
    </row>
    <row r="35" spans="1:76" ht="20.100000000000001" customHeight="1" thickBot="1">
      <c r="A35" s="5"/>
      <c r="B35" s="5"/>
      <c r="C35" s="44" t="str">
        <f>IF(Values!T47=0,"",Values!T47)</f>
        <v/>
      </c>
      <c r="D35" s="5"/>
      <c r="E35" s="405" t="str">
        <f>Values!B47</f>
        <v>Stealth</v>
      </c>
      <c r="F35" s="405"/>
      <c r="G35" s="405"/>
      <c r="H35" s="405"/>
      <c r="I35" s="405"/>
      <c r="J35" s="401" t="str">
        <f>VLOOKUP(Values!$S47,Points!$A$1:$B$11,2,0)</f>
        <v>○○○○○</v>
      </c>
      <c r="K35" s="401"/>
      <c r="L35" s="401"/>
      <c r="M35" s="5"/>
      <c r="N35" s="5"/>
      <c r="O35" s="5"/>
      <c r="P35" s="385" t="s">
        <v>3094</v>
      </c>
      <c r="Q35" s="385"/>
      <c r="R35" s="385"/>
      <c r="S35" s="385"/>
      <c r="T35" s="385"/>
      <c r="U35" s="385"/>
      <c r="V35" s="5"/>
      <c r="W35" s="5"/>
      <c r="X35" s="5"/>
      <c r="Y35" s="5"/>
      <c r="Z35" s="5"/>
      <c r="AA35" s="385" t="s">
        <v>48</v>
      </c>
      <c r="AB35" s="385"/>
      <c r="AC35" s="385"/>
      <c r="AD35" s="385"/>
      <c r="AE35" s="385"/>
      <c r="AF35" s="5"/>
      <c r="AG35" s="5"/>
      <c r="AH35" s="5"/>
      <c r="AI35" s="5"/>
      <c r="AJ35" s="5"/>
      <c r="AK35" s="5"/>
      <c r="AL35" s="5"/>
      <c r="AM35" s="5"/>
      <c r="AN35" s="5"/>
      <c r="AO35" s="5"/>
      <c r="AP35" s="385" t="s">
        <v>49</v>
      </c>
      <c r="AQ35" s="385"/>
      <c r="AR35" s="385"/>
      <c r="AS35" s="385"/>
      <c r="AT35" s="385"/>
      <c r="AU35" s="385"/>
      <c r="AV35" s="385"/>
      <c r="AW35" s="385"/>
      <c r="AX35" s="5"/>
      <c r="AY35" s="5"/>
      <c r="AZ35" s="5"/>
      <c r="BA35" s="5"/>
      <c r="BB35" s="5"/>
      <c r="BC35" s="5"/>
      <c r="BD35" s="5"/>
      <c r="BE35" s="5"/>
      <c r="BF35" s="5"/>
      <c r="BG35" s="5"/>
      <c r="BH35" s="5"/>
      <c r="BI35" s="5"/>
      <c r="BJ35" s="5"/>
      <c r="BK35" s="5"/>
      <c r="BL35" s="5"/>
      <c r="BM35" s="5"/>
      <c r="BN35" s="5"/>
      <c r="BO35" s="5"/>
      <c r="BP35" s="5"/>
      <c r="BQ35" s="5"/>
      <c r="BR35" s="5"/>
      <c r="BS35" s="5"/>
      <c r="BT35" s="5"/>
      <c r="BU35" s="5"/>
      <c r="BV35" s="5"/>
      <c r="BW35" s="5"/>
      <c r="BX35" s="5"/>
    </row>
    <row r="36" spans="1:76" ht="20.100000000000001" customHeight="1">
      <c r="A36" s="5"/>
      <c r="B36" s="5"/>
      <c r="C36" s="44" t="str">
        <f>IF(Values!T48=0,"",Values!T48)</f>
        <v/>
      </c>
      <c r="D36" s="5"/>
      <c r="E36" s="405" t="str">
        <f>Values!B48</f>
        <v>Survival</v>
      </c>
      <c r="F36" s="405"/>
      <c r="G36" s="405"/>
      <c r="H36" s="405"/>
      <c r="I36" s="405"/>
      <c r="J36" s="401" t="str">
        <f>VLOOKUP(Values!$S48,Points!$A$1:$B$11,2,0)</f>
        <v>○○○○○</v>
      </c>
      <c r="K36" s="401"/>
      <c r="L36" s="401"/>
      <c r="M36" s="5"/>
      <c r="N36" s="5"/>
      <c r="O36" s="5"/>
      <c r="P36" s="385"/>
      <c r="Q36" s="385"/>
      <c r="R36" s="385"/>
      <c r="S36" s="385"/>
      <c r="T36" s="385"/>
      <c r="U36" s="385"/>
      <c r="W36" s="5"/>
      <c r="X36" s="5"/>
      <c r="Y36" s="5"/>
      <c r="Z36" s="5"/>
      <c r="AA36" s="385"/>
      <c r="AB36" s="385"/>
      <c r="AC36" s="385"/>
      <c r="AD36" s="385"/>
      <c r="AE36" s="385"/>
      <c r="AF36" s="5"/>
      <c r="AG36" s="5"/>
      <c r="AH36" s="5"/>
      <c r="AI36" s="5"/>
      <c r="AJ36" s="5"/>
      <c r="AK36" s="5"/>
      <c r="AL36" s="5"/>
      <c r="AM36" s="5"/>
      <c r="AN36" s="5"/>
      <c r="AO36" s="5"/>
      <c r="AP36" s="385"/>
      <c r="AQ36" s="385"/>
      <c r="AR36" s="385"/>
      <c r="AS36" s="385"/>
      <c r="AT36" s="385"/>
      <c r="AU36" s="385"/>
      <c r="AV36" s="385"/>
      <c r="AW36" s="385"/>
      <c r="AX36" s="5"/>
      <c r="AY36" s="5"/>
      <c r="AZ36" s="5"/>
      <c r="BA36" s="51" t="s">
        <v>3534</v>
      </c>
      <c r="BB36" s="52"/>
      <c r="BC36" s="52"/>
      <c r="BD36" s="52"/>
      <c r="BE36" s="52"/>
      <c r="BF36" s="52"/>
      <c r="BG36" s="52"/>
      <c r="BH36" s="52"/>
      <c r="BI36" s="52"/>
      <c r="BJ36" s="52"/>
      <c r="BK36" s="53"/>
      <c r="BL36" s="5"/>
      <c r="BM36" s="5"/>
      <c r="BN36" s="5"/>
      <c r="BO36" s="5"/>
      <c r="BP36" s="5"/>
      <c r="BQ36" s="5"/>
      <c r="BR36" s="5"/>
      <c r="BS36" s="5"/>
      <c r="BT36" s="5"/>
      <c r="BU36" s="5"/>
      <c r="BV36" s="5"/>
      <c r="BW36" s="5"/>
      <c r="BX36" s="5"/>
    </row>
    <row r="37" spans="1:76" ht="20.100000000000001" customHeight="1">
      <c r="A37" s="5"/>
      <c r="B37" s="5"/>
      <c r="C37" s="44" t="str">
        <f>IF(Values!T49=0,"",Values!T49)</f>
        <v/>
      </c>
      <c r="D37" s="5"/>
      <c r="E37" s="405" t="str">
        <f>Values!B49</f>
        <v>Thrown</v>
      </c>
      <c r="F37" s="405"/>
      <c r="G37" s="405"/>
      <c r="H37" s="405"/>
      <c r="I37" s="405"/>
      <c r="J37" s="401" t="str">
        <f>VLOOKUP(Values!$S49,Points!$A$1:$B$11,2,0)</f>
        <v>○○○○○</v>
      </c>
      <c r="K37" s="401"/>
      <c r="L37" s="401"/>
      <c r="M37" s="5"/>
      <c r="N37" s="5"/>
      <c r="O37" s="490" t="str">
        <f>IF(Creation_BP!O37&lt;&gt;0,Creation_BP!O37,"")</f>
        <v/>
      </c>
      <c r="P37" s="490"/>
      <c r="Q37" s="490"/>
      <c r="R37" s="490"/>
      <c r="S37" s="490"/>
      <c r="T37" s="490"/>
      <c r="U37" s="490"/>
      <c r="V37" s="490"/>
      <c r="W37" s="5"/>
      <c r="X37" s="5"/>
      <c r="Z37" s="41" t="s">
        <v>3591</v>
      </c>
      <c r="AA37" s="5"/>
      <c r="AB37" s="5"/>
      <c r="AC37" s="382">
        <f>AI37-AC38</f>
        <v>0</v>
      </c>
      <c r="AD37" s="382"/>
      <c r="AE37" s="41" t="s">
        <v>3590</v>
      </c>
      <c r="AF37" s="5"/>
      <c r="AG37" s="5"/>
      <c r="AH37" s="5"/>
      <c r="AI37" s="495"/>
      <c r="AJ37" s="495"/>
      <c r="AK37" s="5"/>
      <c r="AL37" s="5"/>
      <c r="AN37" s="41" t="s">
        <v>3591</v>
      </c>
      <c r="AO37" s="5"/>
      <c r="AP37" s="5"/>
      <c r="AQ37" s="382">
        <f>AW37-AQ38</f>
        <v>0</v>
      </c>
      <c r="AR37" s="382"/>
      <c r="AS37" s="5"/>
      <c r="AT37" s="5" t="s">
        <v>55</v>
      </c>
      <c r="AU37" s="5"/>
      <c r="AW37" s="495"/>
      <c r="AX37" s="495"/>
      <c r="AY37" s="5"/>
      <c r="AZ37" s="5"/>
      <c r="BA37" s="499">
        <f>AI37-AC37</f>
        <v>0</v>
      </c>
      <c r="BB37" s="472"/>
      <c r="BC37" s="5"/>
      <c r="BD37" s="41"/>
      <c r="BE37" s="5"/>
      <c r="BF37" s="5"/>
      <c r="BG37" s="5"/>
      <c r="BH37" s="5"/>
      <c r="BI37" s="5"/>
      <c r="BJ37" s="5"/>
      <c r="BK37" s="55"/>
      <c r="BL37" s="5"/>
      <c r="BM37" s="5"/>
      <c r="BN37" s="5"/>
      <c r="BO37" s="5"/>
      <c r="BP37" s="5"/>
      <c r="BQ37" s="5"/>
      <c r="BR37" s="5"/>
      <c r="BS37" s="5"/>
      <c r="BT37" s="5"/>
      <c r="BU37" s="5"/>
      <c r="BV37" s="5"/>
      <c r="BW37" s="5"/>
      <c r="BX37" s="5"/>
    </row>
    <row r="38" spans="1:76" ht="20.100000000000001" customHeight="1">
      <c r="A38" s="5"/>
      <c r="B38" s="5"/>
      <c r="C38" s="44" t="str">
        <f>IF(Values!T50=0,"",Values!T50)</f>
        <v/>
      </c>
      <c r="D38" s="5"/>
      <c r="E38" s="405" t="str">
        <f>Values!B50</f>
        <v>War</v>
      </c>
      <c r="F38" s="405"/>
      <c r="G38" s="405"/>
      <c r="H38" s="405"/>
      <c r="I38" s="405"/>
      <c r="J38" s="401" t="str">
        <f>VLOOKUP(Values!$S50,Points!$A$1:$B$11,2,0)</f>
        <v>○○○○○</v>
      </c>
      <c r="K38" s="401"/>
      <c r="L38" s="401"/>
      <c r="M38" s="5"/>
      <c r="N38" s="5"/>
      <c r="O38" s="490"/>
      <c r="P38" s="490"/>
      <c r="Q38" s="490"/>
      <c r="R38" s="490"/>
      <c r="S38" s="490"/>
      <c r="T38" s="490"/>
      <c r="U38" s="490"/>
      <c r="V38" s="490"/>
      <c r="W38" s="5"/>
      <c r="X38" s="5"/>
      <c r="Y38" s="5"/>
      <c r="Z38" s="41" t="s">
        <v>3589</v>
      </c>
      <c r="AA38" s="5"/>
      <c r="AB38" s="5"/>
      <c r="AC38" s="489"/>
      <c r="AD38" s="489"/>
      <c r="AE38" s="5"/>
      <c r="AF38" s="5"/>
      <c r="AG38" s="5"/>
      <c r="AH38" s="5"/>
      <c r="AI38" s="5"/>
      <c r="AJ38" s="5"/>
      <c r="AK38" s="5"/>
      <c r="AL38" s="5"/>
      <c r="AM38" s="5"/>
      <c r="AN38" s="41" t="s">
        <v>3589</v>
      </c>
      <c r="AO38" s="5"/>
      <c r="AP38" s="5"/>
      <c r="AQ38" s="489"/>
      <c r="AR38" s="489"/>
      <c r="AS38" s="5"/>
      <c r="AT38" s="5"/>
      <c r="AU38" s="5"/>
      <c r="AV38" s="5"/>
      <c r="AW38" s="5"/>
      <c r="AX38" s="5"/>
      <c r="AY38" s="5"/>
      <c r="AZ38" s="5"/>
      <c r="BA38" s="500" t="s">
        <v>3540</v>
      </c>
      <c r="BB38" s="501"/>
      <c r="BC38" s="501"/>
      <c r="BD38" s="501"/>
      <c r="BE38" s="501"/>
      <c r="BF38" s="501"/>
      <c r="BG38" s="501"/>
      <c r="BH38" s="501"/>
      <c r="BI38" s="501"/>
      <c r="BJ38" s="501"/>
      <c r="BK38" s="502"/>
      <c r="BL38" s="5"/>
      <c r="BM38" s="5"/>
      <c r="BN38" s="5"/>
      <c r="BO38" s="5"/>
      <c r="BP38" s="5"/>
      <c r="BQ38" s="5"/>
      <c r="BR38" s="5"/>
      <c r="BS38" s="5"/>
      <c r="BT38" s="5"/>
      <c r="BU38" s="5"/>
      <c r="BV38" s="5"/>
      <c r="BW38" s="5"/>
      <c r="BX38" s="5"/>
    </row>
    <row r="39" spans="1:76" ht="20.100000000000001" customHeight="1" thickBot="1">
      <c r="A39" s="5"/>
      <c r="B39" s="5"/>
      <c r="C39" s="385" t="s">
        <v>1430</v>
      </c>
      <c r="D39" s="385"/>
      <c r="E39" s="385"/>
      <c r="F39" s="385"/>
      <c r="G39" s="385"/>
      <c r="H39" s="385"/>
      <c r="I39" s="385"/>
      <c r="J39" s="385"/>
      <c r="K39" s="385"/>
      <c r="L39" s="5"/>
      <c r="N39" s="5"/>
      <c r="O39" s="5"/>
      <c r="P39" s="5"/>
      <c r="Q39" s="5"/>
      <c r="R39" s="5"/>
      <c r="S39" s="5"/>
      <c r="T39" s="5"/>
      <c r="U39" s="5"/>
      <c r="V39" s="5"/>
      <c r="W39" s="5"/>
      <c r="X39" s="5"/>
      <c r="Y39" s="5"/>
      <c r="Z39" s="5"/>
      <c r="AA39" s="5"/>
      <c r="AB39" s="5"/>
      <c r="AC39" s="5"/>
      <c r="AD39" s="385" t="s">
        <v>58</v>
      </c>
      <c r="AE39" s="385"/>
      <c r="AF39" s="385"/>
      <c r="AG39" s="385"/>
      <c r="AH39" s="385"/>
      <c r="AI39" s="5"/>
      <c r="AJ39" s="5"/>
      <c r="AK39" s="5"/>
      <c r="AL39" s="5"/>
      <c r="AM39" s="5"/>
      <c r="AN39" s="5"/>
      <c r="AO39" s="5"/>
      <c r="AP39" s="5"/>
      <c r="AQ39" s="5"/>
      <c r="AR39" s="5"/>
      <c r="AS39" s="5"/>
      <c r="AT39" s="5"/>
      <c r="AU39" s="5"/>
      <c r="AV39" s="5"/>
      <c r="AW39" s="5"/>
      <c r="AX39" s="5"/>
      <c r="AY39" s="5"/>
      <c r="AZ39" s="5"/>
      <c r="BA39" s="503"/>
      <c r="BB39" s="504"/>
      <c r="BC39" s="504"/>
      <c r="BD39" s="504"/>
      <c r="BE39" s="504"/>
      <c r="BF39" s="504"/>
      <c r="BG39" s="504"/>
      <c r="BH39" s="504"/>
      <c r="BI39" s="504"/>
      <c r="BJ39" s="504"/>
      <c r="BK39" s="505"/>
      <c r="BL39" s="5"/>
      <c r="BM39" s="5"/>
      <c r="BN39" s="5"/>
      <c r="BO39" s="5"/>
      <c r="BP39" s="5"/>
      <c r="BQ39" s="5"/>
      <c r="BR39" s="5"/>
      <c r="BS39" s="5"/>
      <c r="BT39" s="5"/>
      <c r="BU39" s="5"/>
      <c r="BV39" s="5"/>
      <c r="BW39" s="5"/>
      <c r="BX39" s="5"/>
    </row>
    <row r="40" spans="1:76" ht="20.100000000000001" customHeight="1">
      <c r="A40" s="5"/>
      <c r="B40" s="5"/>
      <c r="C40" s="385"/>
      <c r="D40" s="385"/>
      <c r="E40" s="385"/>
      <c r="F40" s="385"/>
      <c r="G40" s="385"/>
      <c r="H40" s="385"/>
      <c r="I40" s="385"/>
      <c r="J40" s="385"/>
      <c r="K40" s="385"/>
      <c r="L40" s="5"/>
      <c r="N40" s="5"/>
      <c r="O40" s="5"/>
      <c r="P40" s="5"/>
      <c r="Q40" s="5"/>
      <c r="R40" s="5"/>
      <c r="S40" s="5"/>
      <c r="T40" s="5"/>
      <c r="U40" s="5"/>
      <c r="V40" s="5"/>
      <c r="W40" s="5"/>
      <c r="X40" s="5"/>
      <c r="Y40" s="5"/>
      <c r="Z40" s="5"/>
      <c r="AA40" s="5"/>
      <c r="AB40" s="5"/>
      <c r="AC40" s="5"/>
      <c r="AD40" s="385"/>
      <c r="AE40" s="385"/>
      <c r="AF40" s="385"/>
      <c r="AG40" s="385"/>
      <c r="AH40" s="385"/>
      <c r="AI40" s="5"/>
      <c r="AJ40" s="5"/>
      <c r="AK40" s="5"/>
      <c r="AL40" s="5"/>
      <c r="AM40" s="5"/>
      <c r="AN40" s="5"/>
      <c r="AO40" s="5"/>
      <c r="AP40" s="5"/>
      <c r="AQ40" s="5"/>
      <c r="AR40" s="5"/>
      <c r="AS40" s="5"/>
      <c r="AT40" s="5"/>
      <c r="AU40" s="5"/>
      <c r="AV40" s="5"/>
      <c r="AW40" s="5"/>
      <c r="AX40" s="5"/>
      <c r="AY40" s="5"/>
      <c r="AZ40" s="5"/>
      <c r="BA40" s="5"/>
      <c r="BB40" s="5"/>
      <c r="BC40" s="5"/>
      <c r="BD40" s="5"/>
      <c r="BE40" s="5"/>
      <c r="BF40" s="5"/>
      <c r="BG40" s="5"/>
      <c r="BH40" s="5"/>
      <c r="BI40" s="5"/>
      <c r="BJ40" s="5"/>
      <c r="BK40" s="5"/>
      <c r="BL40" s="5"/>
      <c r="BM40" s="5"/>
      <c r="BN40" s="5"/>
      <c r="BO40" s="5"/>
      <c r="BP40" s="5"/>
      <c r="BQ40" s="5"/>
      <c r="BR40" s="5"/>
      <c r="BS40" s="5"/>
      <c r="BT40" s="5"/>
      <c r="BU40" s="5"/>
      <c r="BV40" s="5"/>
      <c r="BW40" s="5"/>
      <c r="BX40" s="5"/>
    </row>
    <row r="41" spans="1:76" ht="20.100000000000001" customHeight="1">
      <c r="A41" s="37"/>
      <c r="B41" s="34"/>
      <c r="C41" s="37" t="s">
        <v>16</v>
      </c>
      <c r="E41" s="34"/>
      <c r="F41" s="34"/>
      <c r="G41" s="34"/>
      <c r="H41" s="34"/>
      <c r="I41" s="34"/>
      <c r="J41" s="34"/>
      <c r="K41" s="5"/>
      <c r="L41" s="5"/>
      <c r="M41" s="36" t="s">
        <v>16</v>
      </c>
      <c r="N41" s="35"/>
      <c r="O41" s="36" t="s">
        <v>81</v>
      </c>
      <c r="P41" s="36"/>
      <c r="R41" s="406" t="s">
        <v>80</v>
      </c>
      <c r="S41" s="406"/>
      <c r="T41" s="406"/>
      <c r="U41" s="406"/>
      <c r="V41" s="406"/>
      <c r="W41" s="406"/>
      <c r="X41" s="406" t="s">
        <v>252</v>
      </c>
      <c r="Y41" s="406"/>
      <c r="Z41" s="406"/>
      <c r="AA41" s="406"/>
      <c r="AB41" s="382" t="s">
        <v>3462</v>
      </c>
      <c r="AC41" s="382"/>
      <c r="AD41" s="35"/>
      <c r="AE41" s="36" t="s">
        <v>3157</v>
      </c>
      <c r="AF41" s="36" t="s">
        <v>3158</v>
      </c>
      <c r="AG41" s="36" t="s">
        <v>3159</v>
      </c>
      <c r="AH41" s="36" t="s">
        <v>3160</v>
      </c>
      <c r="AI41" s="36" t="s">
        <v>3161</v>
      </c>
      <c r="AJ41" s="24" t="s">
        <v>3162</v>
      </c>
      <c r="AK41" s="5"/>
      <c r="AL41" s="406" t="s">
        <v>3163</v>
      </c>
      <c r="AM41" s="406"/>
      <c r="AN41" s="406"/>
      <c r="AO41" s="36"/>
      <c r="AP41" s="36" t="s">
        <v>3153</v>
      </c>
      <c r="AQ41" s="36"/>
      <c r="AR41" s="406" t="s">
        <v>60</v>
      </c>
      <c r="AS41" s="406"/>
      <c r="AT41" s="406"/>
      <c r="AU41" s="406"/>
      <c r="AV41" s="406"/>
      <c r="AW41" s="406"/>
      <c r="AX41" s="406"/>
      <c r="AY41" s="35" t="s">
        <v>3154</v>
      </c>
      <c r="AZ41" s="5"/>
      <c r="BA41" s="5"/>
      <c r="BB41" s="5"/>
      <c r="BC41" s="5"/>
      <c r="BD41" s="5"/>
      <c r="BE41" s="5"/>
      <c r="BF41" s="5"/>
      <c r="BG41" s="5"/>
      <c r="BH41" s="5"/>
      <c r="BI41" s="5"/>
      <c r="BJ41" s="5"/>
      <c r="BK41" s="5"/>
      <c r="BL41" s="5"/>
      <c r="BM41" s="5"/>
      <c r="BN41" s="5"/>
      <c r="BO41" s="5"/>
      <c r="BP41" s="5"/>
      <c r="BQ41" s="5"/>
      <c r="BR41" s="5"/>
      <c r="BS41" s="5"/>
      <c r="BT41" s="5"/>
      <c r="BU41" s="5"/>
      <c r="BV41" s="5"/>
      <c r="BW41" s="5"/>
      <c r="BX41" s="5"/>
    </row>
    <row r="42" spans="1:76" ht="20.100000000000001" customHeight="1">
      <c r="A42" s="5"/>
      <c r="B42" s="5"/>
      <c r="C42" s="61" t="str">
        <f>IF(Values!T54=0,"",Values!T54)</f>
        <v/>
      </c>
      <c r="D42" s="5"/>
      <c r="E42" s="487" t="str">
        <f>IF(IF(ISBLANK(Values!O53),Values!L53,Values!O53)=0,"",IF(ISBLANK(Values!O53),Values!L53,Values!O53))</f>
        <v/>
      </c>
      <c r="F42" s="487"/>
      <c r="G42" s="487"/>
      <c r="H42" s="487"/>
      <c r="I42" s="487"/>
      <c r="J42" s="401" t="str">
        <f>VLOOKUP(Values!$S53,Points!$A$1:$B$11,2,0)</f>
        <v>○○○○○</v>
      </c>
      <c r="K42" s="401"/>
      <c r="L42" s="401"/>
      <c r="M42" s="5"/>
      <c r="N42" s="389" t="str">
        <f ca="1">IF(ISBLANK(INDIRECT("Values!N"&amp;120+(ROW(A1)*2))),INDIRECT("Values!K"&amp;120+(ROW(A1)*2)),INDIRECT("Values!N"&amp;120+(ROW(A1)*2)))</f>
        <v>Unarmed</v>
      </c>
      <c r="O42" s="389"/>
      <c r="P42" s="389"/>
      <c r="Q42" s="389"/>
      <c r="R42" s="488" t="str">
        <f ca="1">IF(ISBLANK(INDIRECT("Values!M"&amp;120+(ROW(A1)*2))),INDIRECT("Values!J"&amp;120+(ROW(A1)*2)),INDIRECT("Values!M"&amp;120+(ROW(A1)*2)))</f>
        <v>Unarmed</v>
      </c>
      <c r="S42" s="484"/>
      <c r="T42" s="484"/>
      <c r="U42" s="484"/>
      <c r="V42" s="484"/>
      <c r="W42" s="484"/>
      <c r="X42" s="389" t="str">
        <f ca="1">IF(ISBLANK(INDIRECT("Values!M"&amp;121+(ROW(A1)*2))),INDIRECT("Values!J"&amp;121+(ROW(A1)*2)),INDIRECT("Values!M"&amp;121+(ROW(A1)*2)))</f>
        <v>Brawl</v>
      </c>
      <c r="Y42" s="389"/>
      <c r="Z42" s="389"/>
      <c r="AA42" s="389"/>
      <c r="AB42" s="404" t="str">
        <f ca="1">IF(ISBLANK(INDIRECT("Values!O"&amp;121+(ROW(A1)*2))),INDIRECT("Values!L"&amp;121+(ROW(A1)*2)),INDIRECT("Values!O"&amp;121+(ROW(A1)*2)))</f>
        <v/>
      </c>
      <c r="AC42" s="404"/>
      <c r="AD42" s="5"/>
      <c r="AE42" s="20">
        <f ca="1">IFERROR((VLOOKUP($N42,Weapons!$B$2:$L$98,COLUMN(G$1),0)+$AJ42),"")</f>
        <v>5</v>
      </c>
      <c r="AF42" s="20" t="str">
        <f ca="1">IFERROR((VLOOKUP($N42,Weapons!$B$2:$L$98,COLUMN(H$1),0)+$AJ42),"")</f>
        <v/>
      </c>
      <c r="AG42" s="20" t="str">
        <f ca="1">IFERROR((VLOOKUP($N42,Weapons!$B$2:$L$98,COLUMN(I$1),0)+$AJ42),"")</f>
        <v/>
      </c>
      <c r="AH42" s="20" t="str">
        <f ca="1">IFERROR((VLOOKUP($N42,Weapons!$B$2:$L$98,COLUMN(J$1),0)+$AJ42),"")</f>
        <v/>
      </c>
      <c r="AI42" s="20" t="str">
        <f ca="1">IFERROR((VLOOKUP($N42,Weapons!$B$2:$L$98,COLUMN(K$1),0)+$AJ42),"")</f>
        <v/>
      </c>
      <c r="AJ42" s="25">
        <f ca="1">IFERROR(VLOOKUP($X42,Values!$A$24:$V$58,19,0)+IF($AB42="",Values!$S$12,VLOOKUP($AB42,Values!$B$11:$V$21,18,0))+INDIRECT("Values!$R"&amp;120+ROWS($AK$42:AK42)*2),"")</f>
        <v>1</v>
      </c>
      <c r="AK42" s="21"/>
      <c r="AL42" s="20">
        <f ca="1">IFERROR(Values!$S$11*(IF(OR($N42=Weapons!$B$11,$N42=Weapons!$B$20),0,1))+VLOOKUP($N42,Weapons!$B$2:$L$98,COLUMN(B$1),0),"")</f>
        <v>8</v>
      </c>
      <c r="AM42" s="22" t="s">
        <v>3076</v>
      </c>
      <c r="AN42" s="20">
        <f ca="1">IFERROR(VLOOKUP($N42,Weapons!$B$2:$L$98,COLUMN(D$1),0),"")</f>
        <v>1</v>
      </c>
      <c r="AO42" s="5"/>
      <c r="AP42" s="20">
        <f ca="1">IFERROR(ROUNDUP(AJ42/2,0)+VLOOKUP(N42,Weapons!$B$2:$L$98,3,0),"")</f>
        <v>1</v>
      </c>
      <c r="AQ42" s="37"/>
      <c r="AR42" s="484" t="str">
        <f ca="1">IF(ISBLANK(INDIRECT("Values!N"&amp;121+(ROW(A1)*2))),INDIRECT("Values!K"&amp;121+(ROW(A1)*2)),INDIRECT("Values!N"&amp;121+(ROW(A1)*2)))</f>
        <v>Bashing</v>
      </c>
      <c r="AS42" s="484"/>
      <c r="AT42" s="484"/>
      <c r="AU42" s="484"/>
      <c r="AV42" s="484"/>
      <c r="AW42" s="484"/>
      <c r="AX42" s="484"/>
      <c r="AY42" s="5" t="str">
        <f ca="1">IFERROR(VLOOKUP($N42,Weapons!$B$2:$L$98,5,0),"")</f>
        <v/>
      </c>
      <c r="AZ42" s="464" t="s">
        <v>3523</v>
      </c>
      <c r="BA42" s="465"/>
      <c r="BB42" s="465"/>
      <c r="BC42" s="465"/>
      <c r="BD42" s="465"/>
      <c r="BE42" s="465"/>
      <c r="BF42" s="465"/>
      <c r="BG42" s="465"/>
      <c r="BH42" s="465"/>
      <c r="BI42" s="465"/>
      <c r="BJ42" s="465"/>
      <c r="BK42" s="465"/>
      <c r="BL42" s="465"/>
      <c r="BM42" s="465"/>
      <c r="BN42" s="465"/>
      <c r="BO42" s="465"/>
      <c r="BP42" s="465"/>
      <c r="BQ42" s="465"/>
      <c r="BR42" s="465"/>
      <c r="BS42" s="465"/>
      <c r="BT42" s="466"/>
      <c r="BU42" s="5"/>
      <c r="BV42" s="5"/>
      <c r="BW42" s="5"/>
      <c r="BX42" s="5"/>
    </row>
    <row r="43" spans="1:76" ht="20.100000000000001" customHeight="1">
      <c r="A43" s="5"/>
      <c r="B43" s="5"/>
      <c r="C43" s="61" t="str">
        <f>IF(Values!T55=0,"",Values!T55)</f>
        <v/>
      </c>
      <c r="D43" s="5"/>
      <c r="E43" s="487" t="str">
        <f>IF(IF(ISBLANK(Values!O54),Values!L54,Values!O54)=0,"",IF(ISBLANK(Values!O54),Values!L54,Values!O54))</f>
        <v/>
      </c>
      <c r="F43" s="487"/>
      <c r="G43" s="487"/>
      <c r="H43" s="487"/>
      <c r="I43" s="487"/>
      <c r="J43" s="401" t="str">
        <f>VLOOKUP(Values!$S54,Points!$A$1:$B$11,2,0)</f>
        <v>○○○○○</v>
      </c>
      <c r="K43" s="401"/>
      <c r="L43" s="401"/>
      <c r="M43" s="5"/>
      <c r="N43" s="402" t="str">
        <f t="shared" ref="N43" ca="1" si="0">IF(ISBLANK(INDIRECT("Values!N"&amp;120+(ROW(A2)*2))),INDIRECT("Values!K"&amp;120+(ROW(A2)*2)),INDIRECT("Values!N"&amp;120+(ROW(A2)*2)))</f>
        <v/>
      </c>
      <c r="O43" s="402"/>
      <c r="P43" s="402"/>
      <c r="Q43" s="402"/>
      <c r="R43" s="488" t="str">
        <f t="shared" ref="R43" ca="1" si="1">IF(ISBLANK(INDIRECT("Values!M"&amp;120+(ROW(A2)*2))),INDIRECT("Values!J"&amp;120+(ROW(A2)*2)),INDIRECT("Values!M"&amp;120+(ROW(A2)*2)))</f>
        <v/>
      </c>
      <c r="S43" s="484"/>
      <c r="T43" s="484"/>
      <c r="U43" s="484"/>
      <c r="V43" s="484"/>
      <c r="W43" s="484"/>
      <c r="X43" s="402" t="str">
        <f t="shared" ref="X43" ca="1" si="2">IF(ISBLANK(INDIRECT("Values!M"&amp;121+(ROW(A2)*2))),INDIRECT("Values!J"&amp;121+(ROW(A2)*2)),INDIRECT("Values!M"&amp;121+(ROW(A2)*2)))</f>
        <v/>
      </c>
      <c r="Y43" s="402"/>
      <c r="Z43" s="402"/>
      <c r="AA43" s="402"/>
      <c r="AB43" s="404" t="str">
        <f t="shared" ref="AB43:AB49" ca="1" si="3">IF(ISBLANK(INDIRECT("Values!O"&amp;121+(ROW(A2)*2))),INDIRECT("Values!L"&amp;121+(ROW(A2)*2)),INDIRECT("Values!O"&amp;121+(ROW(A2)*2)))</f>
        <v/>
      </c>
      <c r="AC43" s="404"/>
      <c r="AD43" s="5"/>
      <c r="AE43" s="20" t="str">
        <f ca="1">IFERROR((VLOOKUP($N43,Weapons!$B$2:$L$98,COLUMN(G$1),0)+$AJ43),"")</f>
        <v/>
      </c>
      <c r="AF43" s="20" t="str">
        <f ca="1">IFERROR((VLOOKUP($N43,Weapons!$B$2:$L$98,COLUMN(H$1),0)+$AJ43),"")</f>
        <v/>
      </c>
      <c r="AG43" s="20" t="str">
        <f ca="1">IFERROR((VLOOKUP($N43,Weapons!$B$2:$L$98,COLUMN(I$1),0)+$AJ43),"")</f>
        <v/>
      </c>
      <c r="AH43" s="20" t="str">
        <f ca="1">IFERROR((VLOOKUP($N43,Weapons!$B$2:$L$98,COLUMN(J$1),0)+$AJ43),"")</f>
        <v/>
      </c>
      <c r="AI43" s="20" t="str">
        <f ca="1">IFERROR((VLOOKUP($N43,Weapons!$B$2:$L$98,COLUMN(K$1),0)+$AJ43),"")</f>
        <v/>
      </c>
      <c r="AJ43" s="25" t="str">
        <f ca="1">IFERROR(VLOOKUP($X43,Values!$A$24:$V$58,19,0)+IF($AB43="",Values!$S$12,VLOOKUP($AB43,Values!$B$11:$V$21,18,0))+INDIRECT("Values!$R"&amp;120+ROWS($AK$42:AK43)*2),"")</f>
        <v/>
      </c>
      <c r="AK43" s="21"/>
      <c r="AL43" s="20" t="str">
        <f ca="1">IFERROR(Values!$S$11*(IF(OR($N43=Weapons!$B$11,$N43=Weapons!$B$20),0,1))+VLOOKUP($N43,Weapons!$B$2:$L$98,COLUMN(B$1),0),"")</f>
        <v/>
      </c>
      <c r="AM43" s="22" t="s">
        <v>3076</v>
      </c>
      <c r="AN43" s="20" t="str">
        <f ca="1">IFERROR(VLOOKUP($N43,Weapons!$B$2:$L$98,COLUMN(D$1),0),"")</f>
        <v/>
      </c>
      <c r="AO43" s="5"/>
      <c r="AP43" s="20" t="str">
        <f ca="1">IFERROR(ROUNDUP(AJ43/2,0)+VLOOKUP(N43,Weapons!$B$2:$L$98,3,0),"")</f>
        <v/>
      </c>
      <c r="AQ43" s="37"/>
      <c r="AR43" s="484" t="str">
        <f t="shared" ref="AR43:AR49" ca="1" si="4">IF(ISBLANK(INDIRECT("Values!N"&amp;121+(ROW(A2)*2))),INDIRECT("Values!K"&amp;121+(ROW(A2)*2)),INDIRECT("Values!N"&amp;121+(ROW(A2)*2)))</f>
        <v/>
      </c>
      <c r="AS43" s="484"/>
      <c r="AT43" s="484"/>
      <c r="AU43" s="484"/>
      <c r="AV43" s="484"/>
      <c r="AW43" s="484"/>
      <c r="AX43" s="484"/>
      <c r="AY43" s="5" t="str">
        <f ca="1">IF(COUNTIF($R$42:R42,IF(R43="",,R43))&gt;0,"",IFERROR(VLOOKUP($N43,Weapons!$B$2:$L$98,5,0),""))</f>
        <v/>
      </c>
      <c r="AZ43" s="381"/>
      <c r="BA43" s="380"/>
      <c r="BB43" s="380"/>
      <c r="BC43" s="380"/>
      <c r="BD43" s="380"/>
      <c r="BE43" s="380"/>
      <c r="BF43" s="380"/>
      <c r="BG43" s="380"/>
      <c r="BH43" s="380"/>
      <c r="BI43" s="380"/>
      <c r="BJ43" s="380"/>
      <c r="BK43" s="380"/>
      <c r="BL43" s="380"/>
      <c r="BM43" s="380"/>
      <c r="BN43" s="380"/>
      <c r="BO43" s="380"/>
      <c r="BP43" s="380"/>
      <c r="BQ43" s="380"/>
      <c r="BR43" s="380"/>
      <c r="BS43" s="380"/>
      <c r="BT43" s="467"/>
      <c r="BU43" s="5"/>
      <c r="BV43" s="5"/>
      <c r="BW43" s="5"/>
      <c r="BX43" s="5"/>
    </row>
    <row r="44" spans="1:76" ht="20.100000000000001" customHeight="1">
      <c r="A44" s="5"/>
      <c r="B44" s="5"/>
      <c r="C44" s="61" t="str">
        <f>IF(Values!T56=0,"",Values!T56)</f>
        <v/>
      </c>
      <c r="D44" s="5"/>
      <c r="E44" s="487" t="str">
        <f>IF(IF(ISBLANK(Values!O55),Values!L55,Values!O55)=0,"",IF(ISBLANK(Values!O55),Values!L55,Values!O55))</f>
        <v/>
      </c>
      <c r="F44" s="487"/>
      <c r="G44" s="487"/>
      <c r="H44" s="487"/>
      <c r="I44" s="487"/>
      <c r="J44" s="401" t="str">
        <f>VLOOKUP(Values!$S55,Points!$A$1:$B$11,2,0)</f>
        <v>○○○○○</v>
      </c>
      <c r="K44" s="401"/>
      <c r="L44" s="401"/>
      <c r="M44" s="5"/>
      <c r="N44" s="402" t="str">
        <f t="shared" ref="N44:N49" ca="1" si="5">IF(ISBLANK(INDIRECT("Values!N"&amp;120+(ROW(A3)*2))),INDIRECT("Values!K"&amp;120+(ROW(A3)*2)),INDIRECT("Values!N"&amp;120+(ROW(A3)*2)))</f>
        <v/>
      </c>
      <c r="O44" s="402"/>
      <c r="P44" s="402"/>
      <c r="Q44" s="402"/>
      <c r="R44" s="488" t="str">
        <f t="shared" ref="R44:R49" ca="1" si="6">IF(ISBLANK(INDIRECT("Values!M"&amp;120+(ROW(A3)*2))),INDIRECT("Values!J"&amp;120+(ROW(A3)*2)),INDIRECT("Values!M"&amp;120+(ROW(A3)*2)))</f>
        <v/>
      </c>
      <c r="S44" s="484"/>
      <c r="T44" s="484"/>
      <c r="U44" s="484"/>
      <c r="V44" s="484"/>
      <c r="W44" s="484"/>
      <c r="X44" s="402" t="str">
        <f t="shared" ref="X44:X49" ca="1" si="7">IF(ISBLANK(INDIRECT("Values!M"&amp;121+(ROW(A3)*2))),INDIRECT("Values!J"&amp;121+(ROW(A3)*2)),INDIRECT("Values!M"&amp;121+(ROW(A3)*2)))</f>
        <v/>
      </c>
      <c r="Y44" s="402"/>
      <c r="Z44" s="402"/>
      <c r="AA44" s="402"/>
      <c r="AB44" s="404" t="str">
        <f t="shared" ca="1" si="3"/>
        <v/>
      </c>
      <c r="AC44" s="404"/>
      <c r="AD44" s="5"/>
      <c r="AE44" s="20" t="str">
        <f ca="1">IFERROR((VLOOKUP($N44,Weapons!$B$2:$L$98,COLUMN(G$1),0)+$AJ44),"")</f>
        <v/>
      </c>
      <c r="AF44" s="20" t="str">
        <f ca="1">IFERROR((VLOOKUP($N44,Weapons!$B$2:$L$98,COLUMN(H$1),0)+$AJ44),"")</f>
        <v/>
      </c>
      <c r="AG44" s="20" t="str">
        <f ca="1">IFERROR((VLOOKUP($N44,Weapons!$B$2:$L$98,COLUMN(I$1),0)+$AJ44),"")</f>
        <v/>
      </c>
      <c r="AH44" s="20" t="str">
        <f ca="1">IFERROR((VLOOKUP($N44,Weapons!$B$2:$L$98,COLUMN(J$1),0)+$AJ44),"")</f>
        <v/>
      </c>
      <c r="AI44" s="20" t="str">
        <f ca="1">IFERROR((VLOOKUP($N44,Weapons!$B$2:$L$98,COLUMN(K$1),0)+$AJ44),"")</f>
        <v/>
      </c>
      <c r="AJ44" s="25" t="str">
        <f ca="1">IFERROR(VLOOKUP($X44,Values!$A$24:$V$58,19,0)+IF($AB44="",Values!$S$12,VLOOKUP($AB44,Values!$B$11:$V$21,18,0))+INDIRECT("Values!$R"&amp;120+ROWS($AK$42:AK44)*2),"")</f>
        <v/>
      </c>
      <c r="AK44" s="21"/>
      <c r="AL44" s="20" t="str">
        <f ca="1">IFERROR(Values!$S$11*(IF(OR($N44=Weapons!$B$11,$N44=Weapons!$B$20),0,1))+VLOOKUP($N44,Weapons!$B$2:$L$98,COLUMN(B$1),0),"")</f>
        <v/>
      </c>
      <c r="AM44" s="22" t="s">
        <v>3076</v>
      </c>
      <c r="AN44" s="20" t="str">
        <f ca="1">IFERROR(VLOOKUP($N44,Weapons!$B$2:$L$98,COLUMN(D$1),0),"")</f>
        <v/>
      </c>
      <c r="AO44" s="5"/>
      <c r="AP44" s="20" t="str">
        <f ca="1">IFERROR(ROUNDUP(AJ44/2,0)+VLOOKUP(N44,Weapons!$B$2:$L$98,3,0),"")</f>
        <v/>
      </c>
      <c r="AQ44" s="37"/>
      <c r="AR44" s="484" t="str">
        <f t="shared" ca="1" si="4"/>
        <v/>
      </c>
      <c r="AS44" s="484"/>
      <c r="AT44" s="484"/>
      <c r="AU44" s="484"/>
      <c r="AV44" s="484"/>
      <c r="AW44" s="484"/>
      <c r="AX44" s="484"/>
      <c r="AY44" s="5" t="str">
        <f ca="1">IF(COUNTIF($R$42:R43,IF(R44="",,R44))&gt;0,"",IFERROR(VLOOKUP($N44,Weapons!$B$2:$L$98,5,0),""))</f>
        <v/>
      </c>
      <c r="AZ44" s="381"/>
      <c r="BA44" s="380"/>
      <c r="BB44" s="380"/>
      <c r="BC44" s="380"/>
      <c r="BD44" s="380"/>
      <c r="BE44" s="380"/>
      <c r="BF44" s="380"/>
      <c r="BG44" s="380"/>
      <c r="BH44" s="380"/>
      <c r="BI44" s="380"/>
      <c r="BJ44" s="380"/>
      <c r="BK44" s="380"/>
      <c r="BL44" s="380"/>
      <c r="BM44" s="380"/>
      <c r="BN44" s="380"/>
      <c r="BO44" s="380"/>
      <c r="BP44" s="380"/>
      <c r="BQ44" s="380"/>
      <c r="BR44" s="380"/>
      <c r="BS44" s="380"/>
      <c r="BT44" s="467"/>
      <c r="BU44" s="5"/>
      <c r="BV44" s="5"/>
      <c r="BW44" s="5"/>
      <c r="BX44" s="5"/>
    </row>
    <row r="45" spans="1:76" ht="20.100000000000001" customHeight="1">
      <c r="A45" s="5"/>
      <c r="B45" s="5"/>
      <c r="C45" s="61" t="str">
        <f>IF(Values!T57=0,"",Values!T57)</f>
        <v/>
      </c>
      <c r="D45" s="5"/>
      <c r="E45" s="487" t="str">
        <f>IF(IF(ISBLANK(Values!O56),Values!L56,Values!O56)=0,"",IF(ISBLANK(Values!O56),Values!L56,Values!O56))</f>
        <v/>
      </c>
      <c r="F45" s="487"/>
      <c r="G45" s="487"/>
      <c r="H45" s="487"/>
      <c r="I45" s="487"/>
      <c r="J45" s="401" t="str">
        <f>VLOOKUP(Values!$S56,Points!$A$1:$B$11,2,0)</f>
        <v>○○○○○</v>
      </c>
      <c r="K45" s="401"/>
      <c r="L45" s="401"/>
      <c r="M45" s="5"/>
      <c r="N45" s="402" t="str">
        <f t="shared" ca="1" si="5"/>
        <v/>
      </c>
      <c r="O45" s="402"/>
      <c r="P45" s="402"/>
      <c r="Q45" s="402"/>
      <c r="R45" s="488" t="str">
        <f t="shared" ca="1" si="6"/>
        <v/>
      </c>
      <c r="S45" s="484"/>
      <c r="T45" s="484"/>
      <c r="U45" s="484"/>
      <c r="V45" s="484"/>
      <c r="W45" s="484"/>
      <c r="X45" s="402" t="str">
        <f t="shared" ca="1" si="7"/>
        <v/>
      </c>
      <c r="Y45" s="402"/>
      <c r="Z45" s="402"/>
      <c r="AA45" s="402"/>
      <c r="AB45" s="404" t="str">
        <f t="shared" ca="1" si="3"/>
        <v/>
      </c>
      <c r="AC45" s="404"/>
      <c r="AD45" s="5"/>
      <c r="AE45" s="20" t="str">
        <f ca="1">IFERROR((VLOOKUP($N45,Weapons!$B$2:$L$98,COLUMN(G$1),0)+$AJ45),"")</f>
        <v/>
      </c>
      <c r="AF45" s="20" t="str">
        <f ca="1">IFERROR((VLOOKUP($N45,Weapons!$B$2:$L$98,COLUMN(H$1),0)+$AJ45),"")</f>
        <v/>
      </c>
      <c r="AG45" s="20" t="str">
        <f ca="1">IFERROR((VLOOKUP($N45,Weapons!$B$2:$L$98,COLUMN(I$1),0)+$AJ45),"")</f>
        <v/>
      </c>
      <c r="AH45" s="20" t="str">
        <f ca="1">IFERROR((VLOOKUP($N45,Weapons!$B$2:$L$98,COLUMN(J$1),0)+$AJ45),"")</f>
        <v/>
      </c>
      <c r="AI45" s="20" t="str">
        <f ca="1">IFERROR((VLOOKUP($N45,Weapons!$B$2:$L$98,COLUMN(K$1),0)+$AJ45),"")</f>
        <v/>
      </c>
      <c r="AJ45" s="25" t="str">
        <f ca="1">IFERROR(VLOOKUP($X45,Values!$A$24:$V$58,19,0)+IF($AB45="",Values!$S$12,VLOOKUP($AB45,Values!$B$11:$V$21,18,0))+INDIRECT("Values!$R"&amp;120+ROWS($AK$42:AK45)*2),"")</f>
        <v/>
      </c>
      <c r="AK45" s="21"/>
      <c r="AL45" s="20" t="str">
        <f ca="1">IFERROR(Values!$S$11*(IF(OR($N45=Weapons!$B$11,$N45=Weapons!$B$20),0,1))+VLOOKUP($N45,Weapons!$B$2:$L$98,COLUMN(B$1),0),"")</f>
        <v/>
      </c>
      <c r="AM45" s="22" t="s">
        <v>3076</v>
      </c>
      <c r="AN45" s="20" t="str">
        <f ca="1">IFERROR(VLOOKUP($N45,Weapons!$B$2:$L$98,COLUMN(D$1),0),"")</f>
        <v/>
      </c>
      <c r="AO45" s="5"/>
      <c r="AP45" s="20" t="str">
        <f ca="1">IFERROR(ROUNDUP(AJ45/2,0)+VLOOKUP(N45,Weapons!$B$2:$L$98,3,0),"")</f>
        <v/>
      </c>
      <c r="AQ45" s="37"/>
      <c r="AR45" s="484" t="str">
        <f t="shared" ca="1" si="4"/>
        <v/>
      </c>
      <c r="AS45" s="484"/>
      <c r="AT45" s="484"/>
      <c r="AU45" s="484"/>
      <c r="AV45" s="484"/>
      <c r="AW45" s="484"/>
      <c r="AX45" s="484"/>
      <c r="AY45" s="5" t="str">
        <f ca="1">IF(COUNTIF($R$42:R44,IF(R45="",,R45))&gt;0,"",IFERROR(VLOOKUP($N45,Weapons!$B$2:$L$98,5,0),""))</f>
        <v/>
      </c>
      <c r="AZ45" s="468"/>
      <c r="BA45" s="469"/>
      <c r="BB45" s="469"/>
      <c r="BC45" s="469"/>
      <c r="BD45" s="469"/>
      <c r="BE45" s="469"/>
      <c r="BF45" s="469"/>
      <c r="BG45" s="469"/>
      <c r="BH45" s="469"/>
      <c r="BI45" s="469"/>
      <c r="BJ45" s="469"/>
      <c r="BK45" s="469"/>
      <c r="BL45" s="469"/>
      <c r="BM45" s="469"/>
      <c r="BN45" s="469"/>
      <c r="BO45" s="469"/>
      <c r="BP45" s="469"/>
      <c r="BQ45" s="469"/>
      <c r="BR45" s="469"/>
      <c r="BS45" s="469"/>
      <c r="BT45" s="470"/>
      <c r="BU45" s="5"/>
      <c r="BV45" s="5"/>
      <c r="BW45" s="5"/>
      <c r="BX45" s="5"/>
    </row>
    <row r="46" spans="1:76" ht="20.100000000000001" customHeight="1">
      <c r="A46" s="5"/>
      <c r="B46" s="5"/>
      <c r="C46" s="61" t="str">
        <f>IF(Values!T58=0,"",Values!T58)</f>
        <v/>
      </c>
      <c r="D46" s="5"/>
      <c r="E46" s="487" t="str">
        <f>IF(IF(ISBLANK(Values!O57),Values!L57,Values!O57)=0,"",IF(ISBLANK(Values!O57),Values!L57,Values!O57))</f>
        <v/>
      </c>
      <c r="F46" s="487"/>
      <c r="G46" s="487"/>
      <c r="H46" s="487"/>
      <c r="I46" s="487"/>
      <c r="J46" s="401" t="str">
        <f>VLOOKUP(Values!$S57,Points!$A$1:$B$11,2,0)</f>
        <v>○○○○○</v>
      </c>
      <c r="K46" s="401"/>
      <c r="L46" s="401"/>
      <c r="M46" s="5"/>
      <c r="N46" s="402" t="str">
        <f t="shared" ca="1" si="5"/>
        <v/>
      </c>
      <c r="O46" s="402"/>
      <c r="P46" s="402"/>
      <c r="Q46" s="402"/>
      <c r="R46" s="488" t="str">
        <f t="shared" ca="1" si="6"/>
        <v/>
      </c>
      <c r="S46" s="484"/>
      <c r="T46" s="484"/>
      <c r="U46" s="484"/>
      <c r="V46" s="484"/>
      <c r="W46" s="484"/>
      <c r="X46" s="402" t="str">
        <f t="shared" ca="1" si="7"/>
        <v/>
      </c>
      <c r="Y46" s="402"/>
      <c r="Z46" s="402"/>
      <c r="AA46" s="402"/>
      <c r="AB46" s="404" t="str">
        <f t="shared" ca="1" si="3"/>
        <v/>
      </c>
      <c r="AC46" s="404"/>
      <c r="AD46" s="5"/>
      <c r="AE46" s="20" t="str">
        <f ca="1">IFERROR((VLOOKUP($N46,Weapons!$B$2:$L$98,COLUMN(G$1),0)+$AJ46),"")</f>
        <v/>
      </c>
      <c r="AF46" s="20" t="str">
        <f ca="1">IFERROR((VLOOKUP($N46,Weapons!$B$2:$L$98,COLUMN(H$1),0)+$AJ46),"")</f>
        <v/>
      </c>
      <c r="AG46" s="20" t="str">
        <f ca="1">IFERROR((VLOOKUP($N46,Weapons!$B$2:$L$98,COLUMN(I$1),0)+$AJ46),"")</f>
        <v/>
      </c>
      <c r="AH46" s="20" t="str">
        <f ca="1">IFERROR((VLOOKUP($N46,Weapons!$B$2:$L$98,COLUMN(J$1),0)+$AJ46),"")</f>
        <v/>
      </c>
      <c r="AI46" s="20" t="str">
        <f ca="1">IFERROR((VLOOKUP($N46,Weapons!$B$2:$L$98,COLUMN(K$1),0)+$AJ46),"")</f>
        <v/>
      </c>
      <c r="AJ46" s="25" t="str">
        <f ca="1">IFERROR(VLOOKUP($X46,Values!$A$24:$V$58,19,0)+IF($AB46="",Values!$S$12,VLOOKUP($AB46,Values!$B$11:$V$21,18,0))+INDIRECT("Values!$R"&amp;120+ROWS($AK$42:AK46)*2),"")</f>
        <v/>
      </c>
      <c r="AK46" s="21"/>
      <c r="AL46" s="20" t="str">
        <f ca="1">IFERROR(Values!$S$11*(IF(OR($N46=Weapons!$B$11,$N46=Weapons!$B$20),0,1))+VLOOKUP($N46,Weapons!$B$2:$L$98,COLUMN(B$1),0),"")</f>
        <v/>
      </c>
      <c r="AM46" s="22" t="s">
        <v>3076</v>
      </c>
      <c r="AN46" s="20" t="str">
        <f ca="1">IFERROR(VLOOKUP($N46,Weapons!$B$2:$L$98,COLUMN(D$1),0),"")</f>
        <v/>
      </c>
      <c r="AO46" s="5"/>
      <c r="AP46" s="20" t="str">
        <f ca="1">IFERROR(ROUNDUP(AJ46/2,0)+VLOOKUP(N46,Weapons!$B$2:$L$98,3,0),"")</f>
        <v/>
      </c>
      <c r="AQ46" s="37"/>
      <c r="AR46" s="484" t="str">
        <f t="shared" ca="1" si="4"/>
        <v/>
      </c>
      <c r="AS46" s="484"/>
      <c r="AT46" s="484"/>
      <c r="AU46" s="484"/>
      <c r="AV46" s="484"/>
      <c r="AW46" s="484"/>
      <c r="AX46" s="484"/>
      <c r="AY46" s="5" t="str">
        <f ca="1">IF(COUNTIF($R$42:R45,IF(R46="",,R46))&gt;0,"",IFERROR(VLOOKUP($N46,Weapons!$B$2:$L$98,5,0),""))</f>
        <v/>
      </c>
      <c r="AZ46" s="5"/>
      <c r="BA46" s="5"/>
      <c r="BB46" s="5"/>
      <c r="BC46" s="5"/>
      <c r="BD46" s="5"/>
      <c r="BE46" s="5"/>
      <c r="BF46" s="5"/>
      <c r="BG46" s="5"/>
      <c r="BH46" s="5"/>
      <c r="BI46" s="5"/>
      <c r="BJ46" s="5"/>
      <c r="BK46" s="5"/>
      <c r="BL46" s="5"/>
      <c r="BM46" s="5"/>
      <c r="BN46" s="5"/>
      <c r="BO46" s="5"/>
      <c r="BP46" s="5"/>
      <c r="BQ46" s="5"/>
      <c r="BR46" s="5"/>
      <c r="BS46" s="5"/>
      <c r="BT46" s="5"/>
      <c r="BU46" s="5"/>
      <c r="BV46" s="5"/>
      <c r="BW46" s="5"/>
      <c r="BX46" s="5"/>
    </row>
    <row r="47" spans="1:76" ht="20.100000000000001" customHeight="1">
      <c r="A47" s="5"/>
      <c r="B47" s="5"/>
      <c r="C47" s="61" t="str">
        <f>IF(Values!T59=0,"",Values!T59)</f>
        <v/>
      </c>
      <c r="D47" s="5"/>
      <c r="E47" s="487" t="str">
        <f>IF(IF(ISBLANK(Values!O58),Values!L58,Values!O58)=0,"",IF(ISBLANK(Values!O58),Values!L58,Values!O58))</f>
        <v/>
      </c>
      <c r="F47" s="487"/>
      <c r="G47" s="487"/>
      <c r="H47" s="487"/>
      <c r="I47" s="487"/>
      <c r="J47" s="401" t="str">
        <f>VLOOKUP(Values!$S58,Points!$A$1:$B$11,2,0)</f>
        <v>○○○○○</v>
      </c>
      <c r="K47" s="401"/>
      <c r="L47" s="401"/>
      <c r="M47" s="5"/>
      <c r="N47" s="402" t="str">
        <f t="shared" ca="1" si="5"/>
        <v/>
      </c>
      <c r="O47" s="402"/>
      <c r="P47" s="402"/>
      <c r="Q47" s="402"/>
      <c r="R47" s="488" t="str">
        <f t="shared" ca="1" si="6"/>
        <v/>
      </c>
      <c r="S47" s="484"/>
      <c r="T47" s="484"/>
      <c r="U47" s="484"/>
      <c r="V47" s="484"/>
      <c r="W47" s="484"/>
      <c r="X47" s="402" t="str">
        <f t="shared" ca="1" si="7"/>
        <v/>
      </c>
      <c r="Y47" s="402"/>
      <c r="Z47" s="402"/>
      <c r="AA47" s="402"/>
      <c r="AB47" s="404" t="str">
        <f t="shared" ca="1" si="3"/>
        <v/>
      </c>
      <c r="AC47" s="404"/>
      <c r="AD47" s="5"/>
      <c r="AE47" s="20" t="str">
        <f ca="1">IFERROR((VLOOKUP($N47,Weapons!$B$2:$L$98,COLUMN(G$1),0)+$AJ47),"")</f>
        <v/>
      </c>
      <c r="AF47" s="20" t="str">
        <f ca="1">IFERROR((VLOOKUP($N47,Weapons!$B$2:$L$98,COLUMN(H$1),0)+$AJ47),"")</f>
        <v/>
      </c>
      <c r="AG47" s="20" t="str">
        <f ca="1">IFERROR((VLOOKUP($N47,Weapons!$B$2:$L$98,COLUMN(I$1),0)+$AJ47),"")</f>
        <v/>
      </c>
      <c r="AH47" s="20" t="str">
        <f ca="1">IFERROR((VLOOKUP($N47,Weapons!$B$2:$L$98,COLUMN(J$1),0)+$AJ47),"")</f>
        <v/>
      </c>
      <c r="AI47" s="20" t="str">
        <f ca="1">IFERROR((VLOOKUP($N47,Weapons!$B$2:$L$98,COLUMN(K$1),0)+$AJ47),"")</f>
        <v/>
      </c>
      <c r="AJ47" s="25" t="str">
        <f ca="1">IFERROR(VLOOKUP($X47,Values!$A$24:$V$58,19,0)+IF($AB47="",Values!$S$12,VLOOKUP($AB47,Values!$B$11:$V$21,18,0))+INDIRECT("Values!$R"&amp;120+ROWS($AK$42:AK47)*2),"")</f>
        <v/>
      </c>
      <c r="AK47" s="21"/>
      <c r="AL47" s="20" t="str">
        <f ca="1">IFERROR(Values!$S$11*(IF(OR($N47=Weapons!$B$11,$N47=Weapons!$B$20),0,1))+VLOOKUP($N47,Weapons!$B$2:$L$98,COLUMN(B$1),0),"")</f>
        <v/>
      </c>
      <c r="AM47" s="22" t="s">
        <v>3076</v>
      </c>
      <c r="AN47" s="20" t="str">
        <f ca="1">IFERROR(VLOOKUP($N47,Weapons!$B$2:$L$98,COLUMN(D$1),0),"")</f>
        <v/>
      </c>
      <c r="AO47" s="5"/>
      <c r="AP47" s="20" t="str">
        <f ca="1">IFERROR(ROUNDUP(AJ47/2,0)+VLOOKUP(N47,Weapons!$B$2:$L$98,3,0),"")</f>
        <v/>
      </c>
      <c r="AQ47" s="37"/>
      <c r="AR47" s="484" t="str">
        <f t="shared" ca="1" si="4"/>
        <v/>
      </c>
      <c r="AS47" s="484"/>
      <c r="AT47" s="484"/>
      <c r="AU47" s="484"/>
      <c r="AV47" s="484"/>
      <c r="AW47" s="484"/>
      <c r="AX47" s="484"/>
      <c r="AY47" s="5" t="str">
        <f ca="1">IF(COUNTIF($R$42:R46,IF(R47="",,R47))&gt;0,"",IFERROR(VLOOKUP($N47,Weapons!$B$2:$L$98,5,0),""))</f>
        <v/>
      </c>
      <c r="AZ47" s="5"/>
      <c r="BA47" s="5"/>
      <c r="BB47" s="5"/>
      <c r="BC47" s="5"/>
      <c r="BD47" s="5"/>
      <c r="BE47" s="5"/>
      <c r="BF47" s="5"/>
      <c r="BG47" s="5"/>
      <c r="BH47" s="5"/>
      <c r="BI47" s="5"/>
      <c r="BJ47" s="5"/>
      <c r="BK47" s="5"/>
      <c r="BL47" s="5"/>
      <c r="BM47" s="5"/>
      <c r="BN47" s="5"/>
      <c r="BO47" s="5"/>
      <c r="BP47" s="5"/>
      <c r="BQ47" s="5"/>
      <c r="BR47" s="5"/>
      <c r="BS47" s="5"/>
      <c r="BT47" s="5"/>
      <c r="BU47" s="5"/>
      <c r="BV47" s="5"/>
      <c r="BW47" s="5"/>
      <c r="BX47" s="5"/>
    </row>
    <row r="48" spans="1:76" ht="20.100000000000001" customHeight="1">
      <c r="A48" s="5"/>
      <c r="B48" s="5"/>
      <c r="C48" s="5"/>
      <c r="D48" s="5"/>
      <c r="E48" s="5"/>
      <c r="F48" s="5"/>
      <c r="G48" s="5"/>
      <c r="H48" s="5"/>
      <c r="I48" s="5"/>
      <c r="J48" s="5"/>
      <c r="K48" s="5"/>
      <c r="L48" s="5"/>
      <c r="M48" s="5"/>
      <c r="N48" s="402" t="str">
        <f t="shared" ca="1" si="5"/>
        <v/>
      </c>
      <c r="O48" s="402"/>
      <c r="P48" s="402"/>
      <c r="Q48" s="402"/>
      <c r="R48" s="488" t="str">
        <f t="shared" ca="1" si="6"/>
        <v/>
      </c>
      <c r="S48" s="484"/>
      <c r="T48" s="484"/>
      <c r="U48" s="484"/>
      <c r="V48" s="484"/>
      <c r="W48" s="484"/>
      <c r="X48" s="402" t="str">
        <f t="shared" ref="X48" ca="1" si="8">IF(ISBLANK(INDIRECT("Values!M"&amp;121+(ROW(A7)*2))),INDIRECT("Values!J"&amp;121+(ROW(A7)*2)),INDIRECT("Values!M"&amp;121+(ROW(A7)*2)))</f>
        <v/>
      </c>
      <c r="Y48" s="402"/>
      <c r="Z48" s="402"/>
      <c r="AA48" s="402"/>
      <c r="AB48" s="404" t="str">
        <f t="shared" ca="1" si="3"/>
        <v/>
      </c>
      <c r="AC48" s="404"/>
      <c r="AD48" s="5"/>
      <c r="AE48" s="20" t="str">
        <f ca="1">IFERROR((VLOOKUP($N48,Weapons!$B$2:$L$98,COLUMN(G$1),0)+$AJ48),"")</f>
        <v/>
      </c>
      <c r="AF48" s="20" t="str">
        <f ca="1">IFERROR((VLOOKUP($N48,Weapons!$B$2:$L$98,COLUMN(H$1),0)+$AJ48),"")</f>
        <v/>
      </c>
      <c r="AG48" s="20" t="str">
        <f ca="1">IFERROR((VLOOKUP($N48,Weapons!$B$2:$L$98,COLUMN(I$1),0)+$AJ48),"")</f>
        <v/>
      </c>
      <c r="AH48" s="20" t="str">
        <f ca="1">IFERROR((VLOOKUP($N48,Weapons!$B$2:$L$98,COLUMN(J$1),0)+$AJ48),"")</f>
        <v/>
      </c>
      <c r="AI48" s="20" t="str">
        <f ca="1">IFERROR((VLOOKUP($N48,Weapons!$B$2:$L$98,COLUMN(K$1),0)+$AJ48),"")</f>
        <v/>
      </c>
      <c r="AJ48" s="25" t="str">
        <f ca="1">IFERROR(VLOOKUP($X48,Values!$A$24:$V$58,19,0)+IF($AB48="",Values!$S$12,VLOOKUP($AB48,Values!$B$11:$V$21,18,0))+INDIRECT("Values!$R"&amp;120+ROWS($AK$42:AK48)*2),"")</f>
        <v/>
      </c>
      <c r="AK48" s="21"/>
      <c r="AL48" s="20" t="str">
        <f ca="1">IFERROR(Values!$S$11*(IF(OR($N48=Weapons!$B$11,$N48=Weapons!$B$20),0,1))+VLOOKUP($N48,Weapons!$B$2:$L$98,COLUMN(B$1),0),"")</f>
        <v/>
      </c>
      <c r="AM48" s="22" t="s">
        <v>3076</v>
      </c>
      <c r="AN48" s="20" t="str">
        <f ca="1">IFERROR(VLOOKUP($N48,Weapons!$B$2:$L$98,COLUMN(D$1),0),"")</f>
        <v/>
      </c>
      <c r="AO48" s="5"/>
      <c r="AP48" s="20" t="str">
        <f ca="1">IFERROR(ROUNDUP(AJ48/2,0)+VLOOKUP(N48,Weapons!$B$2:$L$98,3,0),"")</f>
        <v/>
      </c>
      <c r="AQ48" s="37"/>
      <c r="AR48" s="484" t="str">
        <f t="shared" ca="1" si="4"/>
        <v/>
      </c>
      <c r="AS48" s="484"/>
      <c r="AT48" s="484"/>
      <c r="AU48" s="484"/>
      <c r="AV48" s="484"/>
      <c r="AW48" s="484"/>
      <c r="AX48" s="484"/>
      <c r="AY48" s="5" t="str">
        <f ca="1">IF(COUNTIF($R$42:R47,IF(R48="",,R48))&gt;0,"",IFERROR(VLOOKUP($N48,Weapons!$B$2:$L$98,5,0),""))</f>
        <v/>
      </c>
      <c r="AZ48" s="5"/>
      <c r="BA48" s="5"/>
      <c r="BB48" s="5"/>
      <c r="BC48" s="5"/>
      <c r="BD48" s="5"/>
      <c r="BE48" s="5"/>
      <c r="BF48" s="5"/>
      <c r="BG48" s="5"/>
      <c r="BH48" s="5"/>
      <c r="BI48" s="5"/>
      <c r="BJ48" s="5"/>
      <c r="BK48" s="5"/>
      <c r="BL48" s="5"/>
      <c r="BM48" s="5"/>
      <c r="BN48" s="5"/>
      <c r="BO48" s="5"/>
      <c r="BP48" s="5"/>
      <c r="BQ48" s="5"/>
      <c r="BR48" s="5"/>
      <c r="BS48" s="5"/>
      <c r="BT48" s="5"/>
      <c r="BU48" s="5"/>
      <c r="BV48" s="5"/>
      <c r="BW48" s="5"/>
      <c r="BX48" s="5"/>
    </row>
    <row r="49" spans="1:76" ht="20.100000000000001" customHeight="1">
      <c r="A49" s="5"/>
      <c r="B49" s="5"/>
      <c r="C49" s="5"/>
      <c r="D49" s="5"/>
      <c r="E49" s="5"/>
      <c r="F49" s="5"/>
      <c r="G49" s="5"/>
      <c r="H49" s="5"/>
      <c r="I49" s="5"/>
      <c r="J49" s="5"/>
      <c r="K49" s="5"/>
      <c r="L49" s="5"/>
      <c r="M49" s="5"/>
      <c r="N49" s="402" t="str">
        <f t="shared" ca="1" si="5"/>
        <v/>
      </c>
      <c r="O49" s="402"/>
      <c r="P49" s="402"/>
      <c r="Q49" s="402"/>
      <c r="R49" s="488" t="str">
        <f t="shared" ca="1" si="6"/>
        <v/>
      </c>
      <c r="S49" s="484"/>
      <c r="T49" s="484"/>
      <c r="U49" s="484"/>
      <c r="V49" s="484"/>
      <c r="W49" s="484"/>
      <c r="X49" s="402" t="str">
        <f t="shared" ca="1" si="7"/>
        <v/>
      </c>
      <c r="Y49" s="402"/>
      <c r="Z49" s="402"/>
      <c r="AA49" s="402"/>
      <c r="AB49" s="404" t="str">
        <f t="shared" ca="1" si="3"/>
        <v/>
      </c>
      <c r="AC49" s="404"/>
      <c r="AD49" s="5"/>
      <c r="AE49" s="20" t="str">
        <f ca="1">IFERROR((VLOOKUP($N49,Weapons!$B$2:$L$98,COLUMN(G$1),0)+$AJ49),"")</f>
        <v/>
      </c>
      <c r="AF49" s="20" t="str">
        <f ca="1">IFERROR((VLOOKUP($N49,Weapons!$B$2:$L$98,COLUMN(H$1),0)+$AJ49),"")</f>
        <v/>
      </c>
      <c r="AG49" s="20" t="str">
        <f ca="1">IFERROR((VLOOKUP($N49,Weapons!$B$2:$L$98,COLUMN(I$1),0)+$AJ49),"")</f>
        <v/>
      </c>
      <c r="AH49" s="20" t="str">
        <f ca="1">IFERROR((VLOOKUP($N49,Weapons!$B$2:$L$98,COLUMN(J$1),0)+$AJ49),"")</f>
        <v/>
      </c>
      <c r="AI49" s="20" t="str">
        <f ca="1">IFERROR((VLOOKUP($N49,Weapons!$B$2:$L$98,COLUMN(K$1),0)+$AJ49),"")</f>
        <v/>
      </c>
      <c r="AJ49" s="25" t="str">
        <f ca="1">IFERROR(VLOOKUP($X49,Values!$A$24:$V$58,19,0)+IF($AB49="",Values!$S$12,VLOOKUP($AB49,Values!$B$11:$V$21,18,0))+INDIRECT("Values!$R"&amp;120+ROWS($AK$42:AK49)*2),"")</f>
        <v/>
      </c>
      <c r="AK49" s="21"/>
      <c r="AL49" s="20" t="str">
        <f ca="1">IFERROR(Values!$S$11*(IF(OR($N49=Weapons!$B$11,$N49=Weapons!$B$20),0,1))+VLOOKUP($N49,Weapons!$B$2:$L$98,COLUMN(B$1),0),"")</f>
        <v/>
      </c>
      <c r="AM49" s="22" t="s">
        <v>3076</v>
      </c>
      <c r="AN49" s="20" t="str">
        <f ca="1">IFERROR(VLOOKUP($N49,Weapons!$B$2:$L$98,COLUMN(D$1),0),"")</f>
        <v/>
      </c>
      <c r="AO49" s="5"/>
      <c r="AP49" s="20" t="str">
        <f ca="1">IFERROR(ROUNDUP(AJ49/2,0)+VLOOKUP(N49,Weapons!$B$2:$L$98,3,0),"")</f>
        <v/>
      </c>
      <c r="AQ49" s="37"/>
      <c r="AR49" s="484" t="str">
        <f t="shared" ca="1" si="4"/>
        <v/>
      </c>
      <c r="AS49" s="484"/>
      <c r="AT49" s="484"/>
      <c r="AU49" s="484"/>
      <c r="AV49" s="484"/>
      <c r="AW49" s="484"/>
      <c r="AX49" s="484"/>
      <c r="AY49" s="5" t="str">
        <f ca="1">IF(COUNTIF($R$42:R48,IF(R49="",,R49))&gt;0,"",IFERROR(VLOOKUP($N49,Weapons!$B$2:$L$98,5,0),""))</f>
        <v/>
      </c>
      <c r="AZ49" s="5"/>
      <c r="BA49" s="5"/>
      <c r="BB49" s="5"/>
      <c r="BC49" s="5"/>
      <c r="BD49" s="5"/>
      <c r="BE49" s="5"/>
      <c r="BF49" s="5"/>
      <c r="BG49" s="5"/>
      <c r="BH49" s="5"/>
      <c r="BI49" s="5"/>
      <c r="BJ49" s="5"/>
      <c r="BK49" s="5"/>
      <c r="BL49" s="5"/>
      <c r="BM49" s="5"/>
      <c r="BN49" s="5"/>
      <c r="BO49" s="5"/>
      <c r="BP49" s="5"/>
      <c r="BQ49" s="5"/>
      <c r="BR49" s="5"/>
      <c r="BS49" s="5"/>
      <c r="BT49" s="5"/>
      <c r="BU49" s="5"/>
      <c r="BV49" s="5"/>
      <c r="BW49" s="5"/>
      <c r="BX49" s="5"/>
    </row>
    <row r="50" spans="1:76" ht="20.100000000000001" customHeight="1">
      <c r="A50" s="5"/>
      <c r="B50" s="5"/>
      <c r="C50" s="5"/>
      <c r="D50" s="5"/>
      <c r="E50" s="5"/>
      <c r="F50" s="5"/>
      <c r="G50" s="5"/>
      <c r="H50" s="5"/>
      <c r="I50" s="5"/>
      <c r="J50" s="5"/>
      <c r="K50" s="5"/>
      <c r="L50" s="5"/>
      <c r="M50" s="5"/>
      <c r="N50" s="5"/>
      <c r="O50" s="5"/>
      <c r="P50" s="5"/>
      <c r="Q50" s="34"/>
      <c r="R50" s="34"/>
      <c r="S50" s="34"/>
      <c r="T50" s="34"/>
      <c r="U50" s="34"/>
      <c r="V50" s="34"/>
      <c r="W50" s="34"/>
      <c r="X50" s="34"/>
      <c r="Y50" s="34"/>
      <c r="Z50" s="34"/>
      <c r="AA50" s="5"/>
      <c r="AB50" s="5"/>
      <c r="AC50" s="5"/>
      <c r="AD50" s="5"/>
      <c r="AE50" s="5"/>
      <c r="AF50" s="5"/>
      <c r="AG50" s="5"/>
      <c r="AH50" s="5"/>
      <c r="AI50" s="5"/>
      <c r="AJ50" s="5"/>
      <c r="AK50" s="5"/>
      <c r="AL50" s="5"/>
      <c r="AM50" s="5"/>
      <c r="AN50" s="5"/>
      <c r="AO50" s="5"/>
      <c r="AP50" s="5"/>
      <c r="AQ50" s="5"/>
      <c r="AR50" s="5"/>
      <c r="AS50" s="5"/>
      <c r="AT50" s="5"/>
      <c r="AU50" s="5"/>
      <c r="AV50" s="5"/>
      <c r="AW50" s="5"/>
      <c r="AX50" s="5"/>
      <c r="AY50" s="5"/>
      <c r="AZ50" s="5"/>
      <c r="BA50" s="5"/>
      <c r="BB50" s="5"/>
      <c r="BC50" s="5"/>
      <c r="BD50" s="5"/>
      <c r="BE50" s="5"/>
      <c r="BF50" s="5"/>
      <c r="BG50" s="5"/>
      <c r="BH50" s="5"/>
      <c r="BI50" s="5"/>
      <c r="BJ50" s="5"/>
      <c r="BK50" s="5"/>
      <c r="BL50" s="5"/>
      <c r="BM50" s="5"/>
      <c r="BN50" s="5"/>
      <c r="BO50" s="5"/>
      <c r="BP50" s="5"/>
      <c r="BQ50" s="5"/>
      <c r="BR50" s="5"/>
      <c r="BS50" s="5"/>
      <c r="BT50" s="5"/>
      <c r="BU50" s="5"/>
      <c r="BV50" s="5"/>
      <c r="BW50" s="5"/>
      <c r="BX50" s="5"/>
    </row>
    <row r="51" spans="1:76" ht="20.100000000000001" customHeight="1">
      <c r="A51" s="5"/>
      <c r="B51" s="5"/>
      <c r="C51" s="5"/>
      <c r="D51" s="5"/>
      <c r="E51" s="5"/>
      <c r="F51" s="5"/>
      <c r="G51" s="5"/>
      <c r="H51" s="5"/>
      <c r="I51" s="5"/>
      <c r="J51" s="5"/>
      <c r="K51" s="5"/>
      <c r="L51" s="5"/>
      <c r="M51" s="5"/>
      <c r="N51" s="5"/>
      <c r="O51" s="5"/>
      <c r="P51" s="34"/>
      <c r="Q51" s="34"/>
      <c r="R51" s="34"/>
      <c r="S51" s="34"/>
      <c r="T51" s="34"/>
      <c r="U51" s="34"/>
      <c r="V51" s="34"/>
      <c r="W51" s="34"/>
      <c r="X51" s="34"/>
      <c r="Y51" s="34"/>
      <c r="Z51" s="34" t="s">
        <v>3199</v>
      </c>
      <c r="AA51" s="5"/>
      <c r="AB51" s="5"/>
      <c r="AC51" s="5"/>
      <c r="AD51" s="5"/>
      <c r="AE51" s="5"/>
      <c r="AF51" s="5"/>
      <c r="AG51" s="5"/>
      <c r="AH51" s="5"/>
      <c r="AI51" s="5"/>
      <c r="AJ51" s="5"/>
      <c r="AK51" s="5"/>
      <c r="AL51" s="5"/>
      <c r="AM51" s="5"/>
      <c r="AN51" s="5"/>
      <c r="AO51" s="5"/>
      <c r="AP51" s="5"/>
      <c r="AQ51" s="5"/>
      <c r="AR51" s="5"/>
      <c r="AS51" s="5"/>
      <c r="AT51" s="5"/>
      <c r="AU51" s="5"/>
      <c r="AV51" s="5"/>
      <c r="AW51" s="5"/>
      <c r="AX51" s="5"/>
      <c r="AY51" s="5"/>
      <c r="AZ51" s="5"/>
      <c r="BA51" s="41" t="s">
        <v>3262</v>
      </c>
      <c r="BB51" s="5"/>
      <c r="BC51" s="5"/>
      <c r="BD51" s="5"/>
      <c r="BE51" s="5"/>
      <c r="BF51" s="5"/>
      <c r="BG51" s="5"/>
      <c r="BH51" s="5"/>
      <c r="BI51" s="5"/>
      <c r="BJ51" s="5"/>
      <c r="BK51" s="5"/>
      <c r="BL51" s="5"/>
      <c r="BM51" s="5"/>
      <c r="BN51" s="5"/>
      <c r="BO51" s="5"/>
      <c r="BP51" s="5"/>
      <c r="BQ51" s="5"/>
      <c r="BR51" s="5"/>
      <c r="BS51" s="5"/>
      <c r="BT51" s="5"/>
      <c r="BU51" s="5"/>
      <c r="BV51" s="5"/>
      <c r="BW51" s="5"/>
      <c r="BX51" s="5"/>
    </row>
    <row r="52" spans="1:76" ht="20.100000000000001" customHeight="1">
      <c r="A52" s="5"/>
      <c r="B52" s="5"/>
      <c r="C52" s="5"/>
      <c r="D52" s="5"/>
      <c r="E52" s="5"/>
      <c r="F52" s="5"/>
      <c r="G52" s="5"/>
      <c r="H52" s="5"/>
      <c r="I52" s="5"/>
      <c r="J52" s="5"/>
      <c r="K52" s="390"/>
      <c r="L52" s="396" t="s">
        <v>3214</v>
      </c>
      <c r="M52" s="396" t="s">
        <v>68</v>
      </c>
      <c r="N52" s="399" t="s">
        <v>55</v>
      </c>
      <c r="O52" s="5"/>
      <c r="P52" s="391" t="s">
        <v>70</v>
      </c>
      <c r="Q52" s="5"/>
      <c r="R52" s="391" t="s">
        <v>71</v>
      </c>
      <c r="S52" s="5"/>
      <c r="T52" s="396" t="s">
        <v>73</v>
      </c>
      <c r="U52" s="5"/>
      <c r="V52" s="5"/>
      <c r="W52" s="5"/>
      <c r="X52" s="5"/>
      <c r="Y52" s="5"/>
      <c r="Z52" s="5"/>
      <c r="AA52" s="5"/>
      <c r="AB52" s="397" t="s">
        <v>3239</v>
      </c>
      <c r="AC52" s="5"/>
      <c r="AD52" s="5"/>
      <c r="AE52" s="41" t="s">
        <v>3201</v>
      </c>
      <c r="AF52" s="42"/>
      <c r="AG52" s="5"/>
      <c r="AH52" s="41" t="s">
        <v>16</v>
      </c>
      <c r="AI52" s="5"/>
      <c r="AJ52" s="5"/>
      <c r="AK52" s="5"/>
      <c r="AL52" s="5"/>
      <c r="AM52" s="5"/>
      <c r="AN52" s="5"/>
      <c r="AO52" s="5"/>
      <c r="AP52" s="41" t="s">
        <v>1422</v>
      </c>
      <c r="AQ52" s="5"/>
      <c r="AR52" s="5"/>
      <c r="AS52" s="65" t="s">
        <v>16</v>
      </c>
      <c r="AT52" s="5"/>
      <c r="AU52" s="26" t="s">
        <v>3205</v>
      </c>
      <c r="AV52" s="27"/>
      <c r="AW52" s="27"/>
      <c r="AX52" s="27"/>
      <c r="AY52" s="5"/>
      <c r="AZ52" s="5"/>
      <c r="BA52" s="472">
        <f>Values!$AB$3</f>
        <v>0</v>
      </c>
      <c r="BB52" s="472"/>
      <c r="BC52" s="5"/>
      <c r="BD52" s="5"/>
      <c r="BE52" s="5"/>
      <c r="BF52" s="5"/>
      <c r="BG52" s="5"/>
      <c r="BH52" s="5"/>
      <c r="BI52" s="5"/>
      <c r="BJ52" s="5"/>
      <c r="BK52" s="5"/>
      <c r="BL52" s="5"/>
      <c r="BM52" s="5"/>
      <c r="BN52" s="5"/>
      <c r="BO52" s="5"/>
      <c r="BP52" s="5"/>
      <c r="BQ52" s="5"/>
      <c r="BR52" s="5"/>
      <c r="BS52" s="5"/>
      <c r="BT52" s="5"/>
      <c r="BU52" s="5"/>
      <c r="BV52" s="5"/>
      <c r="BW52" s="5"/>
      <c r="BX52" s="5"/>
    </row>
    <row r="53" spans="1:76" ht="20.100000000000001" customHeight="1">
      <c r="A53" s="5"/>
      <c r="B53" s="398" t="s">
        <v>3207</v>
      </c>
      <c r="C53" s="398"/>
      <c r="D53" s="398"/>
      <c r="E53" s="398"/>
      <c r="F53" s="398"/>
      <c r="G53" s="398"/>
      <c r="H53" s="5"/>
      <c r="I53" s="398" t="s">
        <v>81</v>
      </c>
      <c r="J53" s="382"/>
      <c r="K53" s="390"/>
      <c r="L53" s="396"/>
      <c r="M53" s="396"/>
      <c r="N53" s="399"/>
      <c r="O53" s="5"/>
      <c r="P53" s="391"/>
      <c r="Q53" s="5"/>
      <c r="R53" s="391"/>
      <c r="S53" s="5"/>
      <c r="T53" s="396"/>
      <c r="U53" s="41" t="s">
        <v>16</v>
      </c>
      <c r="V53" s="5" t="s">
        <v>60</v>
      </c>
      <c r="W53" s="5"/>
      <c r="X53" s="5"/>
      <c r="Y53" s="41"/>
      <c r="Z53" s="5"/>
      <c r="AA53" s="5"/>
      <c r="AB53" s="397"/>
      <c r="AC53" s="5"/>
      <c r="AD53" s="5"/>
      <c r="AE53" s="5"/>
      <c r="AF53" s="5"/>
      <c r="AG53" s="42" t="s">
        <v>75</v>
      </c>
      <c r="AH53" s="5"/>
      <c r="AI53" s="5">
        <f>Values!S12+Values!S26+Values!S108</f>
        <v>1</v>
      </c>
      <c r="AJ53" s="5"/>
      <c r="AK53" s="5"/>
      <c r="AL53" s="5"/>
      <c r="AM53" s="5"/>
      <c r="AN53" s="5"/>
      <c r="AO53" s="5"/>
      <c r="AP53" s="5"/>
      <c r="AQ53" s="5"/>
      <c r="AR53" s="66" t="s">
        <v>3203</v>
      </c>
      <c r="AS53" s="5"/>
      <c r="AT53" s="27">
        <f>Creation_1!AT53</f>
        <v>1</v>
      </c>
      <c r="AU53" s="26" t="s">
        <v>3206</v>
      </c>
      <c r="AV53" s="27"/>
      <c r="AW53" s="27"/>
      <c r="AX53" s="27"/>
      <c r="AY53" s="5"/>
      <c r="AZ53" s="5"/>
      <c r="BA53" s="5"/>
      <c r="BB53" s="5"/>
      <c r="BC53" s="5"/>
      <c r="BD53" s="5"/>
      <c r="BE53" s="5"/>
      <c r="BF53" s="5"/>
      <c r="BG53" s="5"/>
      <c r="BH53" s="5"/>
      <c r="BI53" s="5"/>
      <c r="BJ53" s="5"/>
      <c r="BK53" s="5"/>
      <c r="BL53" s="5"/>
      <c r="BM53" s="5"/>
      <c r="BN53" s="5"/>
      <c r="BO53" s="5"/>
      <c r="BP53" s="5"/>
      <c r="BQ53" s="5"/>
      <c r="BR53" s="5"/>
      <c r="BS53" s="5"/>
      <c r="BT53" s="5"/>
      <c r="BU53" s="5"/>
      <c r="BV53" s="5"/>
      <c r="BW53" s="5"/>
      <c r="BX53" s="5"/>
    </row>
    <row r="54" spans="1:76" ht="20.100000000000001" customHeight="1">
      <c r="A54" s="5"/>
      <c r="B54" s="486" t="str">
        <f>IF(ISBLANK(Values!M113),Values!J113,Values!M113)</f>
        <v>None</v>
      </c>
      <c r="C54" s="487"/>
      <c r="D54" s="487"/>
      <c r="E54" s="487"/>
      <c r="F54" s="487"/>
      <c r="G54" s="487"/>
      <c r="H54" s="5"/>
      <c r="I54" s="395" t="str">
        <f>IF(ISBLANK(Values!N113),Values!K113,Values!N113)</f>
        <v/>
      </c>
      <c r="J54" s="389"/>
      <c r="K54" s="5"/>
      <c r="L54" s="5">
        <f>IFERROR(Values!$S$13,"")</f>
        <v>1</v>
      </c>
      <c r="M54" s="5">
        <f>IFERROR(VLOOKUP($I54,Armor!$B$1:$F$7,2,0),0)</f>
        <v>0</v>
      </c>
      <c r="N54" s="27">
        <f>L54+M54</f>
        <v>1</v>
      </c>
      <c r="O54" s="5"/>
      <c r="P54" s="5" t="str">
        <f>IFERROR(IF(VLOOKUP($I54,Armor!$B$1:$F$7,4,0)&lt;&gt;0,VLOOKUP($I54,Armor!$B$1:$F$7,4,0),""),"")</f>
        <v/>
      </c>
      <c r="Q54" s="5"/>
      <c r="R54" s="5">
        <f>IFERROR(VLOOKUP($I54,Armor!$B$1:$F$7,3,0),0)</f>
        <v>0</v>
      </c>
      <c r="S54" s="5"/>
      <c r="T54" s="5">
        <f>IF(ROUNDUP((Values!$S$12+Values!$S$31+Values!R113)/2,0)+R54&lt;0,0,ROUNDUP((Values!$S$12+Values!$S$31+Values!R113)/2,0)+R54)</f>
        <v>1</v>
      </c>
      <c r="U54" s="5"/>
      <c r="V54" s="487" t="str">
        <f>IF(ISBLANK(Values!M114),Values!J114,Values!M114)</f>
        <v/>
      </c>
      <c r="W54" s="487"/>
      <c r="X54" s="487"/>
      <c r="Y54" s="487"/>
      <c r="Z54" s="487"/>
      <c r="AA54" s="487"/>
      <c r="AB54" s="5" t="str">
        <f>IFERROR(IF(VLOOKUP($I54,Armor!$B$1:$F$7,5,0)&lt;&gt;0,VLOOKUP($I54,Armor!$B$1:$F$7,5,0),""),"")</f>
        <v/>
      </c>
      <c r="AC54" s="5"/>
      <c r="AD54" s="5"/>
      <c r="AE54" s="5"/>
      <c r="AF54" s="5"/>
      <c r="AG54" s="42" t="s">
        <v>76</v>
      </c>
      <c r="AH54" s="5"/>
      <c r="AI54" s="5">
        <f>Values!S12+Values!S31+Values!S109</f>
        <v>1</v>
      </c>
      <c r="AJ54" s="5"/>
      <c r="AK54" s="5"/>
      <c r="AL54" s="5"/>
      <c r="AM54" s="5"/>
      <c r="AN54" s="5"/>
      <c r="AO54" s="5"/>
      <c r="AP54" s="5"/>
      <c r="AQ54" s="5"/>
      <c r="AR54" s="66" t="s">
        <v>3204</v>
      </c>
      <c r="AS54" s="5"/>
      <c r="AT54" s="5">
        <f>Creation_1!AT54</f>
        <v>1</v>
      </c>
      <c r="AU54" s="5"/>
      <c r="AV54" s="5"/>
      <c r="AW54" s="5"/>
      <c r="AX54" s="5"/>
      <c r="AY54" s="5"/>
      <c r="AZ54" s="5"/>
      <c r="BA54" s="5"/>
      <c r="BB54" s="5"/>
      <c r="BC54" s="5"/>
      <c r="BD54" s="5"/>
      <c r="BE54" s="5"/>
      <c r="BF54" s="5"/>
      <c r="BG54" s="5"/>
      <c r="BH54" s="5"/>
      <c r="BI54" s="5"/>
      <c r="BJ54" s="5"/>
      <c r="BK54" s="5"/>
      <c r="BL54" s="5"/>
      <c r="BM54" s="5"/>
      <c r="BN54" s="5"/>
      <c r="BO54" s="5"/>
      <c r="BP54" s="5"/>
      <c r="BQ54" s="5"/>
      <c r="BR54" s="5"/>
      <c r="BS54" s="5"/>
      <c r="BT54" s="5"/>
      <c r="BU54" s="5"/>
      <c r="BV54" s="5"/>
      <c r="BW54" s="5"/>
      <c r="BX54" s="5"/>
    </row>
    <row r="55" spans="1:76" ht="20.100000000000001" customHeight="1">
      <c r="A55" s="5"/>
      <c r="B55" s="486" t="str">
        <f>IF(ISBLANK(Values!M115),Values!J115,Values!M115)</f>
        <v/>
      </c>
      <c r="C55" s="487"/>
      <c r="D55" s="487"/>
      <c r="E55" s="487"/>
      <c r="F55" s="487"/>
      <c r="G55" s="487"/>
      <c r="H55" s="5"/>
      <c r="I55" s="395" t="str">
        <f>IF(ISBLANK(Values!N115),Values!K115,Values!N115)</f>
        <v/>
      </c>
      <c r="J55" s="389"/>
      <c r="K55" s="5"/>
      <c r="L55" s="5">
        <f>IFERROR(Values!$S$13,"")</f>
        <v>1</v>
      </c>
      <c r="M55" s="5">
        <f>IFERROR(VLOOKUP($I55,Armor!$B$1:$F$7,2,0),0)</f>
        <v>0</v>
      </c>
      <c r="N55" s="27">
        <f>L55+M55</f>
        <v>1</v>
      </c>
      <c r="O55" s="5"/>
      <c r="P55" s="5" t="str">
        <f>IFERROR(IF(VLOOKUP($I55,Armor!$B$1:$F$7,4,0)&lt;&gt;0,VLOOKUP($I55,Armor!$B$1:$F$7,4,0),""),"")</f>
        <v/>
      </c>
      <c r="Q55" s="5"/>
      <c r="R55" s="5">
        <f>IFERROR(VLOOKUP($I55,Armor!$B$1:$F$7,3,0),0)</f>
        <v>0</v>
      </c>
      <c r="S55" s="5"/>
      <c r="T55" s="5">
        <f>IF(ROUNDUP((Values!$S$12+Values!$S$31+Values!R115)/2,0)+R55&lt;0,0,ROUNDUP((Values!$S$12+Values!$S$31+Values!R115)/2,0)+R55)</f>
        <v>1</v>
      </c>
      <c r="U55" s="5"/>
      <c r="V55" s="487" t="str">
        <f>IF(ISBLANK(Values!M116),Values!J116,Values!M116)</f>
        <v/>
      </c>
      <c r="W55" s="487"/>
      <c r="X55" s="487"/>
      <c r="Y55" s="487"/>
      <c r="Z55" s="487"/>
      <c r="AA55" s="487"/>
      <c r="AB55" s="5" t="str">
        <f>IFERROR(IF(VLOOKUP($I55,Armor!$B$1:$F$7,5,0)&lt;&gt;0,VLOOKUP($I55,Armor!$B$1:$F$7,5,0),""),"")</f>
        <v/>
      </c>
      <c r="AC55" s="5"/>
      <c r="AD55" s="5"/>
      <c r="AE55" s="5"/>
      <c r="AF55" s="5"/>
      <c r="AG55" s="42" t="s">
        <v>77</v>
      </c>
      <c r="AH55" s="5"/>
      <c r="AI55" s="5">
        <f>Values!S21+Values!S27+Values!S107</f>
        <v>1</v>
      </c>
      <c r="AJ55" s="5"/>
      <c r="AK55" s="5"/>
      <c r="AL55" s="5"/>
      <c r="AM55" s="5"/>
      <c r="AN55" s="5"/>
      <c r="AO55" s="5"/>
      <c r="AP55" s="5"/>
      <c r="AQ55" s="5"/>
      <c r="AR55" s="66" t="s">
        <v>3200</v>
      </c>
      <c r="AS55" s="5"/>
      <c r="AT55" s="5">
        <f>Values!S19+Values!S46+Values!S104</f>
        <v>1</v>
      </c>
      <c r="AU55" s="5"/>
      <c r="AV55" s="5"/>
      <c r="AW55" s="5"/>
      <c r="AX55" s="5"/>
      <c r="AY55" s="5"/>
      <c r="AZ55" s="5"/>
      <c r="BA55" s="5"/>
      <c r="BB55" s="5"/>
      <c r="BC55" s="5"/>
      <c r="BD55" s="5"/>
      <c r="BE55" s="5"/>
      <c r="BF55" s="5"/>
      <c r="BG55" s="5"/>
      <c r="BH55" s="5"/>
      <c r="BI55" s="5"/>
      <c r="BJ55" s="5"/>
      <c r="BK55" s="5"/>
      <c r="BL55" s="5"/>
      <c r="BM55" s="5"/>
      <c r="BN55" s="5"/>
      <c r="BO55" s="5"/>
      <c r="BP55" s="5"/>
      <c r="BQ55" s="5"/>
      <c r="BR55" s="5"/>
      <c r="BS55" s="5"/>
      <c r="BT55" s="5"/>
      <c r="BU55" s="5"/>
      <c r="BV55" s="5"/>
      <c r="BW55" s="5"/>
      <c r="BX55" s="5"/>
    </row>
    <row r="56" spans="1:76" ht="20.100000000000001" customHeight="1">
      <c r="A56" s="5"/>
      <c r="B56" s="486" t="str">
        <f>IF(ISBLANK(Values!M117),Values!J117,Values!M117)</f>
        <v/>
      </c>
      <c r="C56" s="487"/>
      <c r="D56" s="487"/>
      <c r="E56" s="487"/>
      <c r="F56" s="487"/>
      <c r="G56" s="487"/>
      <c r="H56" s="5"/>
      <c r="I56" s="395" t="str">
        <f>IF(ISBLANK(Values!N117),Values!K117,Values!N117)</f>
        <v/>
      </c>
      <c r="J56" s="389"/>
      <c r="K56" s="5"/>
      <c r="L56" s="5">
        <f>IFERROR(Values!$S$13,"")</f>
        <v>1</v>
      </c>
      <c r="M56" s="5">
        <f>IFERROR(VLOOKUP($I56,Armor!$B$1:$F$7,2,0),0)</f>
        <v>0</v>
      </c>
      <c r="N56" s="27">
        <f>L56+M56</f>
        <v>1</v>
      </c>
      <c r="O56" s="5"/>
      <c r="P56" s="5" t="str">
        <f>IFERROR(IF(VLOOKUP($I56,Armor!$B$1:$F$7,4,0)&lt;&gt;0,VLOOKUP($I56,Armor!$B$1:$F$7,4,0),""),"")</f>
        <v/>
      </c>
      <c r="Q56" s="5"/>
      <c r="R56" s="5">
        <f>IFERROR(VLOOKUP($I56,Armor!$B$1:$F$7,3,0),0)</f>
        <v>0</v>
      </c>
      <c r="S56" s="5"/>
      <c r="T56" s="5">
        <f>IF(ROUNDUP((Values!$S$12+Values!$S$31+Values!R117)/2,0)+R56&lt;0,0,ROUNDUP((Values!$S$12+Values!$S$31+Values!R117)/2,0)+R56)</f>
        <v>1</v>
      </c>
      <c r="U56" s="5"/>
      <c r="V56" s="487" t="str">
        <f>IF(ISBLANK(Values!M118),Values!J118,Values!M118)</f>
        <v/>
      </c>
      <c r="W56" s="487"/>
      <c r="X56" s="487"/>
      <c r="Y56" s="487"/>
      <c r="Z56" s="487"/>
      <c r="AA56" s="487"/>
      <c r="AB56" s="5" t="str">
        <f>IFERROR(IF(VLOOKUP($I56,Armor!$B$1:$F$7,5,0)&lt;&gt;0,VLOOKUP($I56,Armor!$B$1:$F$7,5,0),""),"")</f>
        <v/>
      </c>
      <c r="AC56" s="5"/>
      <c r="AD56" s="5"/>
      <c r="AE56" s="5"/>
      <c r="AF56" s="5"/>
      <c r="AG56" s="5"/>
      <c r="AH56" s="5"/>
      <c r="AI56" s="5"/>
      <c r="AJ56" s="5"/>
      <c r="AK56" s="5"/>
      <c r="AL56" s="5"/>
      <c r="AM56" s="5"/>
      <c r="AN56" s="5"/>
      <c r="AO56" s="5"/>
      <c r="AP56" s="5"/>
      <c r="AQ56" s="5"/>
      <c r="AR56" s="5"/>
      <c r="AS56" s="5"/>
      <c r="AT56" s="5"/>
      <c r="AU56" s="5"/>
      <c r="AV56" s="5"/>
      <c r="AW56" s="5"/>
      <c r="AX56" s="5"/>
      <c r="AY56" s="5"/>
      <c r="AZ56" s="5"/>
      <c r="BA56" s="5"/>
      <c r="BB56" s="5"/>
      <c r="BC56" s="5"/>
      <c r="BD56" s="5"/>
      <c r="BE56" s="5"/>
      <c r="BF56" s="5"/>
      <c r="BG56" s="5"/>
      <c r="BH56" s="5"/>
      <c r="BI56" s="5"/>
      <c r="BJ56" s="5"/>
      <c r="BK56" s="5"/>
      <c r="BL56" s="5"/>
      <c r="BM56" s="5"/>
      <c r="BN56" s="5"/>
      <c r="BO56" s="5"/>
      <c r="BP56" s="5"/>
      <c r="BQ56" s="5"/>
      <c r="BR56" s="5"/>
      <c r="BS56" s="5"/>
      <c r="BT56" s="5"/>
      <c r="BU56" s="5"/>
      <c r="BV56" s="5"/>
      <c r="BW56" s="5"/>
      <c r="BX56" s="5"/>
    </row>
    <row r="57" spans="1:76" ht="20.100000000000001" customHeight="1">
      <c r="A57" s="5"/>
      <c r="B57" s="5"/>
      <c r="C57" s="5"/>
      <c r="D57" s="5"/>
      <c r="E57" s="5"/>
      <c r="F57" s="5"/>
      <c r="G57" s="5"/>
      <c r="H57" s="5"/>
      <c r="I57" s="5"/>
      <c r="J57" s="5"/>
      <c r="K57" s="5"/>
      <c r="L57" s="5"/>
      <c r="M57" s="5"/>
      <c r="N57" s="5"/>
      <c r="O57" s="5"/>
      <c r="P57" s="5"/>
      <c r="Q57" s="5"/>
      <c r="R57" s="5"/>
      <c r="S57" s="5"/>
      <c r="T57" s="5"/>
      <c r="U57" s="5"/>
      <c r="V57" s="5"/>
      <c r="W57" s="5"/>
      <c r="X57" s="5"/>
      <c r="Y57" s="5"/>
      <c r="Z57" s="5"/>
      <c r="AA57" s="5"/>
      <c r="AB57" s="5"/>
      <c r="AC57" s="5"/>
      <c r="AD57" s="5"/>
      <c r="AE57" s="5"/>
      <c r="AF57" s="5"/>
      <c r="AG57" s="5"/>
      <c r="AH57" s="5"/>
      <c r="AI57" s="5"/>
      <c r="AJ57" s="5"/>
      <c r="AK57" s="5"/>
      <c r="AL57" s="5"/>
      <c r="AM57" s="5"/>
      <c r="AN57" s="5"/>
      <c r="AO57" s="5"/>
      <c r="AP57" s="5"/>
      <c r="AQ57" s="5"/>
      <c r="AR57" s="5"/>
      <c r="AS57" s="5"/>
      <c r="AT57" s="5"/>
      <c r="AU57" s="5"/>
      <c r="AV57" s="5"/>
      <c r="AW57" s="5"/>
      <c r="AX57" s="64"/>
      <c r="AY57" s="64"/>
      <c r="AZ57" s="5"/>
      <c r="BA57" s="5"/>
      <c r="BB57" s="5"/>
      <c r="BC57" s="5"/>
      <c r="BD57" s="5"/>
      <c r="BE57" s="5"/>
      <c r="BF57" s="5"/>
      <c r="BG57" s="5"/>
      <c r="BH57" s="5"/>
      <c r="BI57" s="5"/>
      <c r="BJ57" s="5"/>
      <c r="BK57" s="5"/>
      <c r="BL57" s="5"/>
      <c r="BM57" s="5"/>
      <c r="BN57" s="5"/>
      <c r="BO57" s="5"/>
      <c r="BP57" s="5"/>
      <c r="BQ57" s="5"/>
      <c r="BR57" s="5"/>
      <c r="BS57" s="5"/>
      <c r="BT57" s="5"/>
      <c r="BU57" s="5"/>
      <c r="BV57" s="5"/>
      <c r="BW57" s="5"/>
      <c r="BX57" s="5"/>
    </row>
    <row r="58" spans="1:76" ht="20.100000000000001" customHeight="1">
      <c r="A58" s="390" t="s">
        <v>3222</v>
      </c>
      <c r="B58" s="392" t="s">
        <v>3223</v>
      </c>
      <c r="C58" s="64" t="s">
        <v>78</v>
      </c>
      <c r="D58" s="64" t="s">
        <v>78</v>
      </c>
      <c r="E58" s="64" t="s">
        <v>78</v>
      </c>
      <c r="F58" s="64" t="s">
        <v>78</v>
      </c>
      <c r="G58" s="64" t="s">
        <v>78</v>
      </c>
      <c r="H58" s="64" t="s">
        <v>78</v>
      </c>
      <c r="I58" s="64" t="s">
        <v>78</v>
      </c>
      <c r="J58" s="64" t="s">
        <v>78</v>
      </c>
      <c r="K58" s="64" t="s">
        <v>78</v>
      </c>
      <c r="L58" s="64" t="s">
        <v>78</v>
      </c>
      <c r="M58" s="64" t="s">
        <v>78</v>
      </c>
      <c r="N58" s="64" t="s">
        <v>78</v>
      </c>
      <c r="O58" s="64" t="s">
        <v>78</v>
      </c>
      <c r="P58" s="64" t="s">
        <v>78</v>
      </c>
      <c r="Q58" s="64" t="s">
        <v>78</v>
      </c>
      <c r="R58" s="64" t="s">
        <v>78</v>
      </c>
      <c r="S58" s="64" t="s">
        <v>78</v>
      </c>
      <c r="T58" s="64" t="s">
        <v>78</v>
      </c>
      <c r="U58" s="64" t="s">
        <v>78</v>
      </c>
      <c r="V58" s="64" t="s">
        <v>78</v>
      </c>
      <c r="W58" s="64" t="s">
        <v>78</v>
      </c>
      <c r="X58" s="64" t="s">
        <v>78</v>
      </c>
      <c r="Y58" s="64" t="s">
        <v>78</v>
      </c>
      <c r="Z58" s="64" t="s">
        <v>78</v>
      </c>
      <c r="AA58" s="64" t="s">
        <v>78</v>
      </c>
      <c r="AB58" s="64" t="s">
        <v>78</v>
      </c>
      <c r="AC58" s="64" t="s">
        <v>78</v>
      </c>
      <c r="AD58" s="64" t="s">
        <v>78</v>
      </c>
      <c r="AE58" s="64" t="s">
        <v>78</v>
      </c>
      <c r="AF58" s="64" t="s">
        <v>78</v>
      </c>
      <c r="AG58" s="64" t="s">
        <v>78</v>
      </c>
      <c r="AH58" s="64" t="s">
        <v>78</v>
      </c>
      <c r="AI58" s="64" t="s">
        <v>78</v>
      </c>
      <c r="AJ58" s="64" t="s">
        <v>78</v>
      </c>
      <c r="AK58" s="64" t="s">
        <v>78</v>
      </c>
      <c r="AL58" s="64" t="s">
        <v>78</v>
      </c>
      <c r="AM58" s="64" t="s">
        <v>78</v>
      </c>
      <c r="AN58" s="64" t="s">
        <v>78</v>
      </c>
      <c r="AO58" s="64" t="s">
        <v>78</v>
      </c>
      <c r="AP58" s="64" t="s">
        <v>78</v>
      </c>
      <c r="AQ58" s="64" t="s">
        <v>78</v>
      </c>
      <c r="AR58" s="64" t="s">
        <v>78</v>
      </c>
      <c r="AS58" s="64" t="s">
        <v>78</v>
      </c>
      <c r="AT58" s="64" t="s">
        <v>78</v>
      </c>
      <c r="AU58" s="64" t="s">
        <v>78</v>
      </c>
      <c r="AV58" s="64" t="s">
        <v>78</v>
      </c>
      <c r="AW58" s="64" t="s">
        <v>78</v>
      </c>
      <c r="AX58" s="37"/>
      <c r="AY58" s="37"/>
      <c r="AZ58" s="5"/>
      <c r="BA58" s="5"/>
      <c r="BB58" s="5"/>
      <c r="BC58" s="5"/>
      <c r="BD58" s="5"/>
      <c r="BE58" s="5"/>
      <c r="BF58" s="5"/>
      <c r="BG58" s="5"/>
      <c r="BH58" s="5"/>
      <c r="BI58" s="5"/>
      <c r="BJ58" s="5"/>
      <c r="BK58" s="5"/>
      <c r="BL58" s="5"/>
      <c r="BM58" s="5"/>
      <c r="BN58" s="5"/>
      <c r="BO58" s="5"/>
      <c r="BP58" s="5"/>
      <c r="BQ58" s="5"/>
      <c r="BR58" s="5"/>
      <c r="BS58" s="5"/>
      <c r="BT58" s="5"/>
      <c r="BU58" s="5"/>
      <c r="BV58" s="5"/>
      <c r="BW58" s="5"/>
      <c r="BX58" s="5"/>
    </row>
    <row r="59" spans="1:76" ht="20.100000000000001" customHeight="1">
      <c r="A59" s="391"/>
      <c r="B59" s="392"/>
      <c r="C59" s="37" t="str">
        <f>VLOOKUP(COLUMN()-2,Health!$F$14:$G$19,2,1)</f>
        <v>-0</v>
      </c>
      <c r="D59" s="37" t="str">
        <f>VLOOKUP(COLUMN()-2,Health!$F$14:$G$19,2,1)</f>
        <v>-0</v>
      </c>
      <c r="E59" s="37" t="str">
        <f>VLOOKUP(COLUMN()-2,Health!$F$14:$G$19,2,1)</f>
        <v>-0</v>
      </c>
      <c r="F59" s="37" t="str">
        <f>VLOOKUP(COLUMN()-2,Health!$F$14:$G$19,2,1)</f>
        <v>-0</v>
      </c>
      <c r="G59" s="37" t="str">
        <f>VLOOKUP(COLUMN()-2,Health!$F$14:$G$19,2,1)</f>
        <v>-0</v>
      </c>
      <c r="H59" s="37" t="str">
        <f>VLOOKUP(COLUMN()-2,Health!$F$14:$G$19,2,1)</f>
        <v>-0</v>
      </c>
      <c r="I59" s="37" t="str">
        <f>VLOOKUP(COLUMN()-2,Health!$F$14:$G$19,2,1)</f>
        <v>-0</v>
      </c>
      <c r="J59" s="37" t="str">
        <f>VLOOKUP(COLUMN()-2,Health!$F$14:$G$19,2,1)</f>
        <v>-0</v>
      </c>
      <c r="K59" s="37" t="str">
        <f>VLOOKUP(COLUMN()-2,Health!$F$14:$G$19,2,1)</f>
        <v>-0</v>
      </c>
      <c r="L59" s="37" t="str">
        <f>VLOOKUP(COLUMN()-2,Health!$F$14:$G$19,2,1)</f>
        <v>-0</v>
      </c>
      <c r="M59" s="37" t="str">
        <f>VLOOKUP(COLUMN()-2,Health!$F$14:$G$19,2,1)</f>
        <v>-0</v>
      </c>
      <c r="N59" s="37" t="str">
        <f>VLOOKUP(COLUMN()-2,Health!$F$14:$G$19,2,1)</f>
        <v>-0</v>
      </c>
      <c r="O59" s="37" t="str">
        <f>VLOOKUP(COLUMN()-2,Health!$F$14:$G$19,2,1)</f>
        <v>-0</v>
      </c>
      <c r="P59" s="37" t="str">
        <f>VLOOKUP(COLUMN()-2,Health!$F$14:$G$19,2,1)</f>
        <v>-0</v>
      </c>
      <c r="Q59" s="37" t="str">
        <f>VLOOKUP(COLUMN()-2,Health!$F$14:$G$19,2,1)</f>
        <v>-0</v>
      </c>
      <c r="R59" s="37" t="str">
        <f>VLOOKUP(COLUMN()-2,Health!$F$14:$G$19,2,1)</f>
        <v>-0</v>
      </c>
      <c r="S59" s="37" t="str">
        <f>VLOOKUP(COLUMN()-2,Health!$F$14:$G$19,2,1)</f>
        <v>-0</v>
      </c>
      <c r="T59" s="37" t="str">
        <f>VLOOKUP(COLUMN()-2,Health!$F$14:$G$19,2,1)</f>
        <v>-0</v>
      </c>
      <c r="U59" s="37" t="str">
        <f>VLOOKUP(COLUMN()-2,Health!$F$14:$G$19,2,1)</f>
        <v>-0</v>
      </c>
      <c r="V59" s="37" t="str">
        <f>VLOOKUP(COLUMN()-2,Health!$F$14:$G$19,2,1)</f>
        <v>-0</v>
      </c>
      <c r="W59" s="37" t="str">
        <f>VLOOKUP(COLUMN()-2,Health!$F$14:$G$19,2,1)</f>
        <v>-0</v>
      </c>
      <c r="X59" s="37" t="str">
        <f>VLOOKUP(COLUMN()-2,Health!$F$14:$G$19,2,1)</f>
        <v>-0</v>
      </c>
      <c r="Y59" s="37" t="str">
        <f>VLOOKUP(COLUMN()-2,Health!$F$14:$G$19,2,1)</f>
        <v>-0</v>
      </c>
      <c r="Z59" s="37" t="str">
        <f>VLOOKUP(COLUMN()-2,Health!$F$14:$G$19,2,1)</f>
        <v>-0</v>
      </c>
      <c r="AA59" s="37" t="str">
        <f>VLOOKUP(COLUMN()-2,Health!$F$14:$G$19,2,1)</f>
        <v>-0</v>
      </c>
      <c r="AB59" s="37" t="str">
        <f>VLOOKUP(COLUMN()-2,Health!$F$14:$G$19,2,1)</f>
        <v>-0</v>
      </c>
      <c r="AC59" s="37" t="str">
        <f>VLOOKUP(COLUMN()-2,Health!$F$14:$G$19,2,1)</f>
        <v>-0</v>
      </c>
      <c r="AD59" s="37" t="str">
        <f>VLOOKUP(COLUMN()-2,Health!$F$14:$G$19,2,1)</f>
        <v>-0</v>
      </c>
      <c r="AE59" s="37" t="str">
        <f>VLOOKUP(COLUMN()-2,Health!$F$14:$G$19,2,1)</f>
        <v>-0</v>
      </c>
      <c r="AF59" s="37" t="str">
        <f>VLOOKUP(COLUMN()-2,Health!$F$14:$G$19,2,1)</f>
        <v>-0</v>
      </c>
      <c r="AG59" s="37" t="str">
        <f>VLOOKUP(COLUMN()-2,Health!$F$14:$G$19,2,1)</f>
        <v>-0</v>
      </c>
      <c r="AH59" s="37" t="str">
        <f>VLOOKUP(COLUMN()-2,Health!$F$14:$G$19,2,1)</f>
        <v>-0</v>
      </c>
      <c r="AI59" s="37" t="str">
        <f>VLOOKUP(COLUMN()-2,Health!$F$14:$G$19,2,1)</f>
        <v>-0</v>
      </c>
      <c r="AJ59" s="37" t="str">
        <f>VLOOKUP(COLUMN()-2,Health!$F$14:$G$19,2,1)</f>
        <v>-0</v>
      </c>
      <c r="AK59" s="37" t="str">
        <f>VLOOKUP(COLUMN()-2,Health!$F$14:$G$19,2,1)</f>
        <v>-0</v>
      </c>
      <c r="AL59" s="37" t="str">
        <f>VLOOKUP(COLUMN()-2,Health!$F$14:$G$19,2,1)</f>
        <v>-0</v>
      </c>
      <c r="AM59" s="37" t="str">
        <f>VLOOKUP(COLUMN()-2,Health!$F$14:$G$19,2,1)</f>
        <v>-0</v>
      </c>
      <c r="AN59" s="37" t="str">
        <f>VLOOKUP(COLUMN()-2,Health!$F$14:$G$19,2,1)</f>
        <v>-0</v>
      </c>
      <c r="AO59" s="37" t="str">
        <f>VLOOKUP(COLUMN()-2,Health!$F$14:$G$19,2,1)</f>
        <v>-0</v>
      </c>
      <c r="AP59" s="37" t="str">
        <f>VLOOKUP(COLUMN()-2,Health!$F$14:$G$19,2,1)</f>
        <v>-0</v>
      </c>
      <c r="AQ59" s="37" t="str">
        <f>VLOOKUP(COLUMN()-2,Health!$F$14:$G$19,2,1)</f>
        <v>-0</v>
      </c>
      <c r="AR59" s="37" t="str">
        <f>VLOOKUP(COLUMN()-2,Health!$F$14:$G$19,2,1)</f>
        <v>-0</v>
      </c>
      <c r="AS59" s="37" t="str">
        <f>VLOOKUP(COLUMN()-2,Health!$F$14:$G$19,2,1)</f>
        <v>-0</v>
      </c>
      <c r="AT59" s="37" t="str">
        <f>VLOOKUP(COLUMN()-2,Health!$F$14:$G$19,2,1)</f>
        <v>-0</v>
      </c>
      <c r="AU59" s="37" t="str">
        <f>VLOOKUP(COLUMN()-2,Health!$F$14:$G$19,2,1)</f>
        <v>-0</v>
      </c>
      <c r="AV59" s="37" t="str">
        <f>VLOOKUP(COLUMN()-2,Health!$F$14:$G$19,2,1)</f>
        <v>-0</v>
      </c>
      <c r="AW59" s="37" t="str">
        <f>VLOOKUP(COLUMN()-2,Health!$F$14:$G$19,2,1)</f>
        <v>-0</v>
      </c>
      <c r="AX59" s="5"/>
      <c r="AY59" s="5"/>
      <c r="AZ59" s="5"/>
      <c r="BA59" s="5"/>
      <c r="BB59" s="5"/>
      <c r="BC59" s="5"/>
      <c r="BD59" s="5"/>
      <c r="BE59" s="5"/>
      <c r="BF59" s="5"/>
      <c r="BG59" s="5"/>
      <c r="BH59" s="5"/>
      <c r="BI59" s="5"/>
      <c r="BJ59" s="5"/>
      <c r="BK59" s="5"/>
      <c r="BL59" s="5"/>
      <c r="BM59" s="5"/>
      <c r="BN59" s="5"/>
      <c r="BO59" s="5"/>
      <c r="BP59" s="5"/>
      <c r="BQ59" s="5"/>
      <c r="BR59" s="5"/>
      <c r="BS59" s="5"/>
      <c r="BT59" s="5"/>
      <c r="BU59" s="5"/>
      <c r="BV59" s="5"/>
      <c r="BW59" s="5"/>
      <c r="BX59" s="5"/>
    </row>
    <row r="60" spans="1:76" ht="20.100000000000001" customHeight="1">
      <c r="A60" s="5"/>
      <c r="B60" s="5"/>
      <c r="C60" s="5"/>
      <c r="D60" s="5"/>
      <c r="E60" s="5"/>
      <c r="F60" s="5"/>
      <c r="G60" s="5"/>
      <c r="H60" s="5"/>
      <c r="I60" s="5"/>
      <c r="J60" s="5"/>
      <c r="K60" s="5"/>
      <c r="L60" s="5"/>
      <c r="M60" s="5"/>
      <c r="N60" s="5"/>
      <c r="O60" s="5"/>
      <c r="P60" s="5"/>
      <c r="R60" s="5"/>
      <c r="S60" s="5"/>
      <c r="T60" s="5"/>
      <c r="U60" s="5"/>
      <c r="W60" s="5"/>
      <c r="X60" s="383" t="s">
        <v>79</v>
      </c>
      <c r="Y60" s="383"/>
      <c r="Z60" s="383"/>
      <c r="AA60" s="383"/>
      <c r="AB60" s="383"/>
      <c r="AC60" s="5"/>
      <c r="AD60" s="5"/>
      <c r="AE60" s="5"/>
      <c r="AF60" s="5"/>
      <c r="AG60" s="5"/>
      <c r="AH60" s="5"/>
      <c r="AI60" s="6"/>
      <c r="AJ60" s="5"/>
      <c r="AK60" s="5"/>
      <c r="AL60" s="5"/>
      <c r="AM60" s="5"/>
      <c r="AN60" s="5"/>
      <c r="AO60" s="5"/>
      <c r="AP60" s="5"/>
      <c r="AQ60" s="5"/>
      <c r="AR60" s="5"/>
      <c r="AS60" s="5"/>
      <c r="AT60" s="5"/>
      <c r="AU60" s="5"/>
      <c r="AV60" s="5"/>
      <c r="AW60" s="5"/>
      <c r="AX60" s="5"/>
      <c r="AY60" s="5"/>
      <c r="AZ60" s="5"/>
      <c r="BA60" s="5"/>
      <c r="BB60" s="5"/>
      <c r="BC60" s="5"/>
      <c r="BD60" s="5"/>
      <c r="BE60" s="5"/>
      <c r="BF60" s="5"/>
      <c r="BG60" s="5"/>
      <c r="BH60" s="5"/>
      <c r="BI60" s="5"/>
      <c r="BJ60" s="5"/>
      <c r="BK60" s="5"/>
      <c r="BL60" s="5"/>
      <c r="BM60" s="5"/>
      <c r="BN60" s="5"/>
      <c r="BO60" s="5"/>
      <c r="BP60" s="5"/>
      <c r="BQ60" s="5"/>
      <c r="BR60" s="5"/>
      <c r="BS60" s="5"/>
      <c r="BT60" s="5"/>
      <c r="BU60" s="5"/>
      <c r="BV60" s="5"/>
      <c r="BW60" s="5"/>
      <c r="BX60" s="5"/>
    </row>
    <row r="61" spans="1:76" ht="20.100000000000001" customHeight="1">
      <c r="A61" s="5"/>
      <c r="B61" s="5"/>
      <c r="C61" s="5"/>
      <c r="D61" s="5"/>
      <c r="E61" s="5"/>
      <c r="F61" s="5"/>
      <c r="G61" s="5"/>
      <c r="H61" s="5"/>
      <c r="I61" s="5"/>
      <c r="J61" s="5"/>
      <c r="K61" s="5"/>
      <c r="L61" s="5"/>
      <c r="M61" s="5"/>
      <c r="N61" s="5"/>
      <c r="O61" s="5"/>
      <c r="P61" s="5"/>
      <c r="Q61" s="5"/>
      <c r="R61" s="5"/>
      <c r="S61" s="5"/>
      <c r="T61" s="5"/>
      <c r="U61" s="5"/>
      <c r="W61" s="5"/>
      <c r="X61" s="383"/>
      <c r="Y61" s="383"/>
      <c r="Z61" s="383"/>
      <c r="AA61" s="383"/>
      <c r="AB61" s="383"/>
      <c r="AC61" s="5"/>
      <c r="AD61" s="5"/>
      <c r="AE61" s="5"/>
      <c r="AF61" s="5"/>
      <c r="AG61" s="5"/>
      <c r="AH61" s="5"/>
      <c r="AI61" s="5"/>
      <c r="AJ61" s="5"/>
      <c r="AK61" s="5"/>
      <c r="AL61" s="5"/>
      <c r="AM61" s="5"/>
      <c r="AN61" s="5"/>
      <c r="AO61" s="5"/>
      <c r="AP61" s="5"/>
      <c r="AQ61" s="5"/>
      <c r="AR61" s="5"/>
      <c r="AS61" s="5"/>
      <c r="AT61" s="5"/>
      <c r="AU61" s="5"/>
      <c r="AV61" s="5"/>
      <c r="AW61" s="5"/>
      <c r="AX61" s="5"/>
      <c r="AY61" s="5"/>
      <c r="AZ61" s="5"/>
      <c r="BA61" s="5"/>
      <c r="BB61" s="5"/>
      <c r="BC61" s="5"/>
      <c r="BD61" s="5"/>
      <c r="BE61" s="5"/>
      <c r="BF61" s="5"/>
      <c r="BG61" s="5"/>
      <c r="BH61" s="5"/>
      <c r="BI61" s="5"/>
      <c r="BJ61" s="5"/>
      <c r="BK61" s="5"/>
      <c r="BL61" s="5"/>
      <c r="BM61" s="5"/>
      <c r="BN61" s="5"/>
      <c r="BO61" s="5"/>
      <c r="BP61" s="5"/>
      <c r="BQ61" s="5"/>
      <c r="BR61" s="5"/>
      <c r="BS61" s="5"/>
      <c r="BT61" s="5"/>
      <c r="BU61" s="5"/>
      <c r="BV61" s="5"/>
      <c r="BW61" s="5"/>
      <c r="BX61" s="5"/>
    </row>
    <row r="62" spans="1:76" ht="20.100000000000001" customHeight="1">
      <c r="A62" s="5"/>
      <c r="B62" s="382" t="s">
        <v>3152</v>
      </c>
      <c r="C62" s="382"/>
      <c r="D62" s="382"/>
      <c r="E62" s="382"/>
      <c r="F62" s="382"/>
      <c r="G62" s="382"/>
      <c r="H62" s="382"/>
      <c r="I62" s="382"/>
      <c r="J62" s="382"/>
      <c r="K62" s="5"/>
      <c r="M62" s="5"/>
      <c r="N62" s="382" t="s">
        <v>81</v>
      </c>
      <c r="O62" s="382"/>
      <c r="P62" s="382"/>
      <c r="Q62" s="382"/>
      <c r="R62" s="382"/>
      <c r="S62" s="5"/>
      <c r="T62" s="382" t="s">
        <v>3096</v>
      </c>
      <c r="U62" s="382"/>
      <c r="V62" s="382"/>
      <c r="W62" s="382"/>
      <c r="X62" s="382"/>
      <c r="Y62" s="382"/>
      <c r="Z62" s="5"/>
      <c r="AA62" s="382" t="s">
        <v>3152</v>
      </c>
      <c r="AB62" s="382"/>
      <c r="AC62" s="382"/>
      <c r="AD62" s="382"/>
      <c r="AE62" s="382"/>
      <c r="AF62" s="382"/>
      <c r="AG62" s="382"/>
      <c r="AH62" s="382"/>
      <c r="AI62" s="382"/>
      <c r="AJ62" s="5"/>
      <c r="AL62" s="5"/>
      <c r="AM62" s="382" t="s">
        <v>81</v>
      </c>
      <c r="AN62" s="382"/>
      <c r="AO62" s="382"/>
      <c r="AP62" s="382"/>
      <c r="AQ62" s="382"/>
      <c r="AR62" s="5"/>
      <c r="AS62" s="382" t="s">
        <v>3096</v>
      </c>
      <c r="AT62" s="382"/>
      <c r="AU62" s="382"/>
      <c r="AV62" s="382"/>
      <c r="AW62" s="382"/>
      <c r="AX62" s="382"/>
      <c r="AZ62" s="5"/>
      <c r="BA62" s="5"/>
      <c r="BB62" s="5"/>
      <c r="BC62" s="5"/>
      <c r="BD62" s="5"/>
      <c r="BE62" s="5"/>
      <c r="BF62" s="5"/>
      <c r="BG62" s="5"/>
      <c r="BH62" s="5"/>
      <c r="BI62" s="5"/>
      <c r="BJ62" s="5"/>
      <c r="BK62" s="5"/>
      <c r="BL62" s="5"/>
      <c r="BM62" s="5"/>
      <c r="BN62" s="5"/>
      <c r="BO62" s="5"/>
      <c r="BP62" s="5"/>
      <c r="BQ62" s="5"/>
      <c r="BR62" s="5"/>
      <c r="BS62" s="5"/>
      <c r="BT62" s="5"/>
      <c r="BU62" s="5"/>
      <c r="BV62" s="5"/>
      <c r="BW62" s="5"/>
      <c r="BX62" s="5"/>
    </row>
    <row r="63" spans="1:76" ht="20.100000000000001" customHeight="1">
      <c r="A63" s="5"/>
      <c r="B63" s="484" t="str">
        <f>IF(ISBLANK(Values!M243),Values!J243,Values!M243)</f>
        <v/>
      </c>
      <c r="C63" s="484"/>
      <c r="D63" s="484"/>
      <c r="E63" s="484"/>
      <c r="F63" s="484"/>
      <c r="G63" s="484"/>
      <c r="H63" s="484"/>
      <c r="I63" s="484"/>
      <c r="J63" s="484"/>
      <c r="K63" s="484"/>
      <c r="L63" s="484"/>
      <c r="M63" s="5"/>
      <c r="N63" s="389" t="str">
        <f>IF(ISBLANK(Values!N243),Values!K243,Values!N243)</f>
        <v/>
      </c>
      <c r="O63" s="389"/>
      <c r="P63" s="389"/>
      <c r="Q63" s="389"/>
      <c r="R63" s="389"/>
      <c r="S63" s="5"/>
      <c r="T63" s="389" t="str">
        <f>IF(ISBLANK(Values!O243),Values!L243,Values!O243)</f>
        <v/>
      </c>
      <c r="U63" s="389"/>
      <c r="V63" s="389"/>
      <c r="W63" s="389"/>
      <c r="X63" s="389"/>
      <c r="Y63" s="389"/>
      <c r="Z63" s="5"/>
      <c r="AA63" s="484" t="str">
        <f>IF(ISBLANK(Values!M268),Values!J268,Values!M268)</f>
        <v/>
      </c>
      <c r="AB63" s="484"/>
      <c r="AC63" s="484"/>
      <c r="AD63" s="484"/>
      <c r="AE63" s="484"/>
      <c r="AF63" s="484"/>
      <c r="AG63" s="484"/>
      <c r="AH63" s="484"/>
      <c r="AI63" s="484"/>
      <c r="AJ63" s="484"/>
      <c r="AK63" s="484"/>
      <c r="AL63" s="5"/>
      <c r="AM63" s="389" t="str">
        <f>IF(ISBLANK(Values!N268),Values!K268,Values!N268)</f>
        <v/>
      </c>
      <c r="AN63" s="389"/>
      <c r="AO63" s="389"/>
      <c r="AP63" s="389"/>
      <c r="AQ63" s="389"/>
      <c r="AR63" s="5"/>
      <c r="AS63" s="389" t="str">
        <f>IF(ISBLANK(Values!O268),Values!L268,Values!O268)</f>
        <v/>
      </c>
      <c r="AT63" s="389"/>
      <c r="AU63" s="389"/>
      <c r="AV63" s="389"/>
      <c r="AW63" s="389"/>
      <c r="AX63" s="389"/>
      <c r="AY63" s="5"/>
      <c r="AZ63" s="5"/>
      <c r="BA63" s="5"/>
      <c r="BB63" s="5"/>
      <c r="BC63" s="5"/>
      <c r="BD63" s="5"/>
      <c r="BE63" s="5"/>
      <c r="BF63" s="5"/>
      <c r="BG63" s="5"/>
      <c r="BH63" s="5"/>
      <c r="BI63" s="5"/>
      <c r="BJ63" s="5"/>
      <c r="BK63" s="5"/>
      <c r="BL63" s="5"/>
      <c r="BM63" s="5"/>
      <c r="BN63" s="5"/>
      <c r="BO63" s="5"/>
      <c r="BP63" s="5"/>
      <c r="BQ63" s="5"/>
      <c r="BR63" s="5"/>
      <c r="BS63" s="5"/>
      <c r="BT63" s="5"/>
      <c r="BU63" s="5"/>
      <c r="BV63" s="5"/>
      <c r="BW63" s="5"/>
      <c r="BX63" s="5"/>
    </row>
    <row r="64" spans="1:76" ht="20.100000000000001" customHeight="1">
      <c r="A64" s="5"/>
      <c r="B64" s="484" t="str">
        <f>IF(ISBLANK(Values!M244),Values!J244,Values!M244)</f>
        <v/>
      </c>
      <c r="C64" s="484"/>
      <c r="D64" s="484"/>
      <c r="E64" s="484"/>
      <c r="F64" s="484"/>
      <c r="G64" s="484"/>
      <c r="H64" s="484"/>
      <c r="I64" s="484"/>
      <c r="J64" s="484"/>
      <c r="K64" s="484"/>
      <c r="L64" s="484"/>
      <c r="M64" s="5"/>
      <c r="N64" s="389" t="str">
        <f>IF(ISBLANK(Values!N244),Values!K244,Values!N244)</f>
        <v/>
      </c>
      <c r="O64" s="389"/>
      <c r="P64" s="389"/>
      <c r="Q64" s="389"/>
      <c r="R64" s="389"/>
      <c r="S64" s="5"/>
      <c r="T64" s="389" t="str">
        <f>IF(ISBLANK(Values!O244),Values!L244,Values!O244)</f>
        <v/>
      </c>
      <c r="U64" s="389"/>
      <c r="V64" s="389"/>
      <c r="W64" s="389"/>
      <c r="X64" s="389"/>
      <c r="Y64" s="389"/>
      <c r="Z64" s="5"/>
      <c r="AA64" s="484" t="str">
        <f>IF(ISBLANK(Values!M269),Values!J269,Values!M269)</f>
        <v/>
      </c>
      <c r="AB64" s="484"/>
      <c r="AC64" s="484"/>
      <c r="AD64" s="484"/>
      <c r="AE64" s="484"/>
      <c r="AF64" s="484"/>
      <c r="AG64" s="484"/>
      <c r="AH64" s="484"/>
      <c r="AI64" s="484"/>
      <c r="AJ64" s="484"/>
      <c r="AK64" s="484"/>
      <c r="AL64" s="5"/>
      <c r="AM64" s="389" t="str">
        <f>IF(ISBLANK(Values!N269),Values!K269,Values!N269)</f>
        <v/>
      </c>
      <c r="AN64" s="389"/>
      <c r="AO64" s="389"/>
      <c r="AP64" s="389"/>
      <c r="AQ64" s="389"/>
      <c r="AR64" s="5"/>
      <c r="AS64" s="389" t="str">
        <f>IF(ISBLANK(Values!O269),Values!L269,Values!O269)</f>
        <v/>
      </c>
      <c r="AT64" s="389"/>
      <c r="AU64" s="389"/>
      <c r="AV64" s="389"/>
      <c r="AW64" s="389"/>
      <c r="AX64" s="389"/>
      <c r="AY64" s="5"/>
      <c r="AZ64" s="5"/>
      <c r="BA64" s="5"/>
      <c r="BB64" s="5"/>
      <c r="BC64" s="5"/>
      <c r="BD64" s="5"/>
      <c r="BE64" s="5"/>
      <c r="BF64" s="5"/>
      <c r="BG64" s="5"/>
      <c r="BH64" s="5"/>
      <c r="BI64" s="5"/>
      <c r="BJ64" s="5"/>
      <c r="BK64" s="5"/>
      <c r="BL64" s="5"/>
      <c r="BM64" s="5"/>
      <c r="BN64" s="5"/>
      <c r="BO64" s="5"/>
      <c r="BP64" s="5"/>
      <c r="BQ64" s="5"/>
      <c r="BR64" s="5"/>
      <c r="BS64" s="5"/>
      <c r="BT64" s="5"/>
      <c r="BU64" s="5"/>
      <c r="BV64" s="5"/>
      <c r="BW64" s="5"/>
      <c r="BX64" s="5"/>
    </row>
    <row r="65" spans="1:76" ht="20.100000000000001" customHeight="1">
      <c r="A65" s="5"/>
      <c r="B65" s="484" t="str">
        <f>IF(ISBLANK(Values!M245),Values!J245,Values!M245)</f>
        <v/>
      </c>
      <c r="C65" s="484"/>
      <c r="D65" s="484"/>
      <c r="E65" s="484"/>
      <c r="F65" s="484"/>
      <c r="G65" s="484"/>
      <c r="H65" s="484"/>
      <c r="I65" s="484"/>
      <c r="J65" s="484"/>
      <c r="K65" s="484"/>
      <c r="L65" s="484"/>
      <c r="M65" s="5"/>
      <c r="N65" s="389" t="str">
        <f>IF(ISBLANK(Values!N245),Values!K245,Values!N245)</f>
        <v/>
      </c>
      <c r="O65" s="389"/>
      <c r="P65" s="389"/>
      <c r="Q65" s="389"/>
      <c r="R65" s="389"/>
      <c r="S65" s="5"/>
      <c r="T65" s="389" t="str">
        <f>IF(ISBLANK(Values!O245),Values!L245,Values!O245)</f>
        <v/>
      </c>
      <c r="U65" s="389"/>
      <c r="V65" s="389"/>
      <c r="W65" s="389"/>
      <c r="X65" s="389"/>
      <c r="Y65" s="389"/>
      <c r="Z65" s="5"/>
      <c r="AA65" s="484" t="str">
        <f>IF(ISBLANK(Values!M270),Values!J270,Values!M270)</f>
        <v/>
      </c>
      <c r="AB65" s="484"/>
      <c r="AC65" s="484"/>
      <c r="AD65" s="484"/>
      <c r="AE65" s="484"/>
      <c r="AF65" s="484"/>
      <c r="AG65" s="484"/>
      <c r="AH65" s="484"/>
      <c r="AI65" s="484"/>
      <c r="AJ65" s="484"/>
      <c r="AK65" s="484"/>
      <c r="AL65" s="5"/>
      <c r="AM65" s="389" t="str">
        <f>IF(ISBLANK(Values!N270),Values!K270,Values!N270)</f>
        <v/>
      </c>
      <c r="AN65" s="389"/>
      <c r="AO65" s="389"/>
      <c r="AP65" s="389"/>
      <c r="AQ65" s="389"/>
      <c r="AR65" s="5"/>
      <c r="AS65" s="389" t="str">
        <f>IF(ISBLANK(Values!O270),Values!L270,Values!O270)</f>
        <v/>
      </c>
      <c r="AT65" s="389"/>
      <c r="AU65" s="389"/>
      <c r="AV65" s="389"/>
      <c r="AW65" s="389"/>
      <c r="AX65" s="389"/>
      <c r="AY65" s="5"/>
      <c r="AZ65" s="5"/>
      <c r="BA65" s="5"/>
      <c r="BB65" s="5"/>
      <c r="BC65" s="5"/>
      <c r="BD65" s="5"/>
      <c r="BE65" s="5"/>
      <c r="BF65" s="5"/>
      <c r="BG65" s="5"/>
      <c r="BH65" s="5"/>
      <c r="BI65" s="5"/>
      <c r="BJ65" s="5"/>
      <c r="BK65" s="5"/>
      <c r="BL65" s="5"/>
      <c r="BM65" s="5"/>
      <c r="BN65" s="5"/>
      <c r="BO65" s="5"/>
      <c r="BP65" s="5"/>
      <c r="BQ65" s="5"/>
      <c r="BR65" s="5"/>
      <c r="BS65" s="5"/>
      <c r="BT65" s="5"/>
      <c r="BU65" s="5"/>
      <c r="BV65" s="5"/>
      <c r="BW65" s="5"/>
      <c r="BX65" s="5"/>
    </row>
    <row r="66" spans="1:76" ht="20.100000000000001" customHeight="1">
      <c r="A66" s="5"/>
      <c r="B66" s="484" t="str">
        <f>IF(ISBLANK(Values!M246),Values!J246,Values!M246)</f>
        <v/>
      </c>
      <c r="C66" s="484"/>
      <c r="D66" s="484"/>
      <c r="E66" s="484"/>
      <c r="F66" s="484"/>
      <c r="G66" s="484"/>
      <c r="H66" s="484"/>
      <c r="I66" s="484"/>
      <c r="J66" s="484"/>
      <c r="K66" s="484"/>
      <c r="L66" s="484"/>
      <c r="M66" s="5"/>
      <c r="N66" s="389" t="str">
        <f>IF(ISBLANK(Values!N246),Values!K246,Values!N246)</f>
        <v/>
      </c>
      <c r="O66" s="389"/>
      <c r="P66" s="389"/>
      <c r="Q66" s="389"/>
      <c r="R66" s="389"/>
      <c r="S66" s="5"/>
      <c r="T66" s="389" t="str">
        <f>IF(ISBLANK(Values!O246),Values!L246,Values!O246)</f>
        <v/>
      </c>
      <c r="U66" s="389"/>
      <c r="V66" s="389"/>
      <c r="W66" s="389"/>
      <c r="X66" s="389"/>
      <c r="Y66" s="389"/>
      <c r="Z66" s="5"/>
      <c r="AA66" s="484" t="str">
        <f>IF(ISBLANK(Values!M271),Values!J271,Values!M271)</f>
        <v/>
      </c>
      <c r="AB66" s="484"/>
      <c r="AC66" s="484"/>
      <c r="AD66" s="484"/>
      <c r="AE66" s="484"/>
      <c r="AF66" s="484"/>
      <c r="AG66" s="484"/>
      <c r="AH66" s="484"/>
      <c r="AI66" s="484"/>
      <c r="AJ66" s="484"/>
      <c r="AK66" s="484"/>
      <c r="AL66" s="5"/>
      <c r="AM66" s="389" t="str">
        <f>IF(ISBLANK(Values!N271),Values!K271,Values!N271)</f>
        <v/>
      </c>
      <c r="AN66" s="389"/>
      <c r="AO66" s="389"/>
      <c r="AP66" s="389"/>
      <c r="AQ66" s="389"/>
      <c r="AR66" s="5"/>
      <c r="AS66" s="389" t="str">
        <f>IF(ISBLANK(Values!O271),Values!L271,Values!O271)</f>
        <v/>
      </c>
      <c r="AT66" s="389"/>
      <c r="AU66" s="389"/>
      <c r="AV66" s="389"/>
      <c r="AW66" s="389"/>
      <c r="AX66" s="389"/>
      <c r="AY66" s="5"/>
      <c r="AZ66" s="5"/>
      <c r="BA66" s="5"/>
      <c r="BB66" s="5"/>
      <c r="BC66" s="5"/>
      <c r="BD66" s="5"/>
      <c r="BE66" s="5"/>
      <c r="BF66" s="5"/>
      <c r="BG66" s="5"/>
      <c r="BH66" s="5"/>
      <c r="BI66" s="5"/>
      <c r="BJ66" s="5"/>
      <c r="BK66" s="5"/>
      <c r="BL66" s="5"/>
      <c r="BM66" s="5"/>
      <c r="BN66" s="5"/>
      <c r="BO66" s="5"/>
      <c r="BP66" s="5"/>
      <c r="BQ66" s="5"/>
      <c r="BR66" s="5"/>
      <c r="BS66" s="5"/>
      <c r="BT66" s="5"/>
      <c r="BU66" s="5"/>
      <c r="BV66" s="5"/>
      <c r="BW66" s="5"/>
      <c r="BX66" s="5"/>
    </row>
    <row r="67" spans="1:76" ht="20.100000000000001" customHeight="1">
      <c r="A67" s="5"/>
      <c r="B67" s="484" t="str">
        <f>IF(ISBLANK(Values!M247),Values!J247,Values!M247)</f>
        <v/>
      </c>
      <c r="C67" s="484"/>
      <c r="D67" s="484"/>
      <c r="E67" s="484"/>
      <c r="F67" s="484"/>
      <c r="G67" s="484"/>
      <c r="H67" s="484"/>
      <c r="I67" s="484"/>
      <c r="J67" s="484"/>
      <c r="K67" s="484"/>
      <c r="L67" s="484"/>
      <c r="M67" s="5"/>
      <c r="N67" s="389" t="str">
        <f>IF(ISBLANK(Values!N247),Values!K247,Values!N247)</f>
        <v/>
      </c>
      <c r="O67" s="389"/>
      <c r="P67" s="389"/>
      <c r="Q67" s="389"/>
      <c r="R67" s="389"/>
      <c r="S67" s="5"/>
      <c r="T67" s="389" t="str">
        <f>IF(ISBLANK(Values!O247),Values!L247,Values!O247)</f>
        <v/>
      </c>
      <c r="U67" s="389"/>
      <c r="V67" s="389"/>
      <c r="W67" s="389"/>
      <c r="X67" s="389"/>
      <c r="Y67" s="389"/>
      <c r="Z67" s="5"/>
      <c r="AA67" s="484" t="str">
        <f>IF(ISBLANK(Values!M272),Values!J272,Values!M272)</f>
        <v/>
      </c>
      <c r="AB67" s="484"/>
      <c r="AC67" s="484"/>
      <c r="AD67" s="484"/>
      <c r="AE67" s="484"/>
      <c r="AF67" s="484"/>
      <c r="AG67" s="484"/>
      <c r="AH67" s="484"/>
      <c r="AI67" s="484"/>
      <c r="AJ67" s="484"/>
      <c r="AK67" s="484"/>
      <c r="AL67" s="5"/>
      <c r="AM67" s="389" t="str">
        <f>IF(ISBLANK(Values!N272),Values!K272,Values!N272)</f>
        <v/>
      </c>
      <c r="AN67" s="389"/>
      <c r="AO67" s="389"/>
      <c r="AP67" s="389"/>
      <c r="AQ67" s="389"/>
      <c r="AR67" s="5"/>
      <c r="AS67" s="389" t="str">
        <f>IF(ISBLANK(Values!O272),Values!L272,Values!O272)</f>
        <v/>
      </c>
      <c r="AT67" s="389"/>
      <c r="AU67" s="389"/>
      <c r="AV67" s="389"/>
      <c r="AW67" s="389"/>
      <c r="AX67" s="389"/>
      <c r="AY67" s="5"/>
      <c r="AZ67" s="5"/>
      <c r="BA67" s="5"/>
      <c r="BB67" s="5"/>
      <c r="BC67" s="5"/>
      <c r="BD67" s="5"/>
      <c r="BE67" s="5"/>
      <c r="BF67" s="5"/>
      <c r="BG67" s="5"/>
      <c r="BH67" s="5"/>
      <c r="BI67" s="5"/>
      <c r="BJ67" s="5"/>
      <c r="BK67" s="5"/>
      <c r="BL67" s="5"/>
      <c r="BM67" s="5"/>
      <c r="BN67" s="5"/>
      <c r="BO67" s="5"/>
      <c r="BP67" s="5"/>
      <c r="BQ67" s="5"/>
      <c r="BR67" s="5"/>
      <c r="BS67" s="5"/>
      <c r="BT67" s="5"/>
      <c r="BU67" s="5"/>
      <c r="BV67" s="5"/>
      <c r="BW67" s="5"/>
      <c r="BX67" s="5"/>
    </row>
    <row r="68" spans="1:76" ht="20.100000000000001" customHeight="1">
      <c r="A68" s="5"/>
      <c r="B68" s="484" t="str">
        <f>IF(ISBLANK(Values!M248),Values!J248,Values!M248)</f>
        <v/>
      </c>
      <c r="C68" s="484"/>
      <c r="D68" s="484"/>
      <c r="E68" s="484"/>
      <c r="F68" s="484"/>
      <c r="G68" s="484"/>
      <c r="H68" s="484"/>
      <c r="I68" s="484"/>
      <c r="J68" s="484"/>
      <c r="K68" s="484"/>
      <c r="L68" s="484"/>
      <c r="M68" s="5"/>
      <c r="N68" s="389" t="str">
        <f>IF(ISBLANK(Values!N248),Values!K248,Values!N248)</f>
        <v/>
      </c>
      <c r="O68" s="389"/>
      <c r="P68" s="389"/>
      <c r="Q68" s="389"/>
      <c r="R68" s="389"/>
      <c r="S68" s="5"/>
      <c r="T68" s="389" t="str">
        <f>IF(ISBLANK(Values!O248),Values!L248,Values!O248)</f>
        <v/>
      </c>
      <c r="U68" s="389"/>
      <c r="V68" s="389"/>
      <c r="W68" s="389"/>
      <c r="X68" s="389"/>
      <c r="Y68" s="389"/>
      <c r="Z68" s="5"/>
      <c r="AA68" s="484" t="str">
        <f>IF(ISBLANK(Values!M273),Values!J273,Values!M273)</f>
        <v/>
      </c>
      <c r="AB68" s="484"/>
      <c r="AC68" s="484"/>
      <c r="AD68" s="484"/>
      <c r="AE68" s="484"/>
      <c r="AF68" s="484"/>
      <c r="AG68" s="484"/>
      <c r="AH68" s="484"/>
      <c r="AI68" s="484"/>
      <c r="AJ68" s="484"/>
      <c r="AK68" s="484"/>
      <c r="AL68" s="5"/>
      <c r="AM68" s="389" t="str">
        <f>IF(ISBLANK(Values!N273),Values!K273,Values!N273)</f>
        <v/>
      </c>
      <c r="AN68" s="389"/>
      <c r="AO68" s="389"/>
      <c r="AP68" s="389"/>
      <c r="AQ68" s="389"/>
      <c r="AR68" s="5"/>
      <c r="AS68" s="389" t="str">
        <f>IF(ISBLANK(Values!O273),Values!L273,Values!O273)</f>
        <v/>
      </c>
      <c r="AT68" s="389"/>
      <c r="AU68" s="389"/>
      <c r="AV68" s="389"/>
      <c r="AW68" s="389"/>
      <c r="AX68" s="389"/>
      <c r="AY68" s="5"/>
      <c r="AZ68" s="5"/>
      <c r="BA68" s="473" t="s">
        <v>3512</v>
      </c>
      <c r="BB68" s="474"/>
      <c r="BC68" s="474"/>
      <c r="BD68" s="474"/>
      <c r="BE68" s="474"/>
      <c r="BF68" s="474"/>
      <c r="BG68" s="474"/>
      <c r="BH68" s="474"/>
      <c r="BI68" s="474"/>
      <c r="BJ68" s="474"/>
      <c r="BK68" s="474"/>
      <c r="BL68" s="474"/>
      <c r="BM68" s="474"/>
      <c r="BN68" s="474"/>
      <c r="BO68" s="474"/>
      <c r="BP68" s="474"/>
      <c r="BQ68" s="5"/>
      <c r="BR68" s="5"/>
      <c r="BS68" s="5"/>
      <c r="BT68" s="5"/>
      <c r="BU68" s="5"/>
      <c r="BV68" s="5"/>
      <c r="BW68" s="5"/>
      <c r="BX68" s="5"/>
    </row>
    <row r="69" spans="1:76" ht="20.100000000000001" hidden="1" customHeight="1">
      <c r="A69" s="5"/>
      <c r="B69" s="484" t="str">
        <f>IF(ISBLANK(Values!M249),Values!J249,Values!M249)</f>
        <v/>
      </c>
      <c r="C69" s="484"/>
      <c r="D69" s="484"/>
      <c r="E69" s="484"/>
      <c r="F69" s="484"/>
      <c r="G69" s="484"/>
      <c r="H69" s="484"/>
      <c r="I69" s="484"/>
      <c r="J69" s="484"/>
      <c r="K69" s="484"/>
      <c r="L69" s="484"/>
      <c r="M69" s="5"/>
      <c r="N69" s="389" t="str">
        <f>IF(ISBLANK(Values!N249),Values!K249,Values!N249)</f>
        <v/>
      </c>
      <c r="O69" s="389"/>
      <c r="P69" s="389"/>
      <c r="Q69" s="389"/>
      <c r="R69" s="389"/>
      <c r="S69" s="5"/>
      <c r="T69" s="389" t="str">
        <f>IF(ISBLANK(Values!O249),Values!L249,Values!O249)</f>
        <v/>
      </c>
      <c r="U69" s="389"/>
      <c r="V69" s="389"/>
      <c r="W69" s="389"/>
      <c r="X69" s="389"/>
      <c r="Y69" s="389"/>
      <c r="Z69" s="5"/>
      <c r="AA69" s="484" t="str">
        <f>IF(ISBLANK(Values!M274),Values!J274,Values!M274)</f>
        <v/>
      </c>
      <c r="AB69" s="484"/>
      <c r="AC69" s="484"/>
      <c r="AD69" s="484"/>
      <c r="AE69" s="484"/>
      <c r="AF69" s="484"/>
      <c r="AG69" s="484"/>
      <c r="AH69" s="484"/>
      <c r="AI69" s="484"/>
      <c r="AJ69" s="484"/>
      <c r="AK69" s="484"/>
      <c r="AL69" s="5"/>
      <c r="AM69" s="389" t="str">
        <f>IF(ISBLANK(Values!N274),Values!K274,Values!N274)</f>
        <v/>
      </c>
      <c r="AN69" s="389"/>
      <c r="AO69" s="389"/>
      <c r="AP69" s="389"/>
      <c r="AQ69" s="389"/>
      <c r="AR69" s="5"/>
      <c r="AS69" s="389" t="str">
        <f>IF(ISBLANK(Values!O274),Values!L274,Values!O274)</f>
        <v/>
      </c>
      <c r="AT69" s="389"/>
      <c r="AU69" s="389"/>
      <c r="AV69" s="389"/>
      <c r="AW69" s="389"/>
      <c r="AX69" s="389"/>
      <c r="AY69" s="5"/>
      <c r="AZ69" s="5"/>
      <c r="BA69" s="474"/>
      <c r="BB69" s="474"/>
      <c r="BC69" s="474"/>
      <c r="BD69" s="474"/>
      <c r="BE69" s="474"/>
      <c r="BF69" s="474"/>
      <c r="BG69" s="474"/>
      <c r="BH69" s="474"/>
      <c r="BI69" s="474"/>
      <c r="BJ69" s="474"/>
      <c r="BK69" s="474"/>
      <c r="BL69" s="474"/>
      <c r="BM69" s="474"/>
      <c r="BN69" s="474"/>
      <c r="BO69" s="474"/>
      <c r="BP69" s="474"/>
      <c r="BQ69" s="5"/>
      <c r="BR69" s="5"/>
      <c r="BS69" s="5"/>
      <c r="BT69" s="5"/>
      <c r="BU69" s="5"/>
      <c r="BV69" s="5"/>
      <c r="BW69" s="5"/>
      <c r="BX69" s="5"/>
    </row>
    <row r="70" spans="1:76" ht="20.100000000000001" hidden="1" customHeight="1">
      <c r="A70" s="5"/>
      <c r="B70" s="484" t="str">
        <f>IF(ISBLANK(Values!M250),Values!J250,Values!M250)</f>
        <v/>
      </c>
      <c r="C70" s="484"/>
      <c r="D70" s="484"/>
      <c r="E70" s="484"/>
      <c r="F70" s="484"/>
      <c r="G70" s="484"/>
      <c r="H70" s="484"/>
      <c r="I70" s="484"/>
      <c r="J70" s="484"/>
      <c r="K70" s="484"/>
      <c r="L70" s="484"/>
      <c r="M70" s="5"/>
      <c r="N70" s="389" t="str">
        <f>IF(ISBLANK(Values!N250),Values!K250,Values!N250)</f>
        <v/>
      </c>
      <c r="O70" s="389"/>
      <c r="P70" s="389"/>
      <c r="Q70" s="389"/>
      <c r="R70" s="389"/>
      <c r="S70" s="5"/>
      <c r="T70" s="389" t="str">
        <f>IF(ISBLANK(Values!O250),Values!L250,Values!O250)</f>
        <v/>
      </c>
      <c r="U70" s="389"/>
      <c r="V70" s="389"/>
      <c r="W70" s="389"/>
      <c r="X70" s="389"/>
      <c r="Y70" s="389"/>
      <c r="Z70" s="5"/>
      <c r="AA70" s="484" t="str">
        <f>IF(ISBLANK(Values!M275),Values!J275,Values!M275)</f>
        <v/>
      </c>
      <c r="AB70" s="484"/>
      <c r="AC70" s="484"/>
      <c r="AD70" s="484"/>
      <c r="AE70" s="484"/>
      <c r="AF70" s="484"/>
      <c r="AG70" s="484"/>
      <c r="AH70" s="484"/>
      <c r="AI70" s="484"/>
      <c r="AJ70" s="484"/>
      <c r="AK70" s="484"/>
      <c r="AL70" s="5"/>
      <c r="AM70" s="389" t="str">
        <f>IF(ISBLANK(Values!N275),Values!K275,Values!N275)</f>
        <v/>
      </c>
      <c r="AN70" s="389"/>
      <c r="AO70" s="389"/>
      <c r="AP70" s="389"/>
      <c r="AQ70" s="389"/>
      <c r="AR70" s="5"/>
      <c r="AS70" s="389" t="str">
        <f>IF(ISBLANK(Values!O275),Values!L275,Values!O275)</f>
        <v/>
      </c>
      <c r="AT70" s="389"/>
      <c r="AU70" s="389"/>
      <c r="AV70" s="389"/>
      <c r="AW70" s="389"/>
      <c r="AX70" s="389"/>
      <c r="AY70" s="5"/>
      <c r="AZ70" s="5"/>
      <c r="BA70" s="474"/>
      <c r="BB70" s="474"/>
      <c r="BC70" s="474"/>
      <c r="BD70" s="474"/>
      <c r="BE70" s="474"/>
      <c r="BF70" s="474"/>
      <c r="BG70" s="474"/>
      <c r="BH70" s="474"/>
      <c r="BI70" s="474"/>
      <c r="BJ70" s="474"/>
      <c r="BK70" s="474"/>
      <c r="BL70" s="474"/>
      <c r="BM70" s="474"/>
      <c r="BN70" s="474"/>
      <c r="BO70" s="474"/>
      <c r="BP70" s="474"/>
      <c r="BQ70" s="5"/>
      <c r="BR70" s="5"/>
      <c r="BS70" s="5"/>
      <c r="BT70" s="5"/>
      <c r="BU70" s="5"/>
      <c r="BV70" s="5"/>
      <c r="BW70" s="5"/>
      <c r="BX70" s="5"/>
    </row>
    <row r="71" spans="1:76" ht="20.100000000000001" hidden="1" customHeight="1">
      <c r="A71" s="5"/>
      <c r="B71" s="484" t="str">
        <f>IF(ISBLANK(Values!M251),Values!J251,Values!M251)</f>
        <v/>
      </c>
      <c r="C71" s="484"/>
      <c r="D71" s="484"/>
      <c r="E71" s="484"/>
      <c r="F71" s="484"/>
      <c r="G71" s="484"/>
      <c r="H71" s="484"/>
      <c r="I71" s="484"/>
      <c r="J71" s="484"/>
      <c r="K71" s="484"/>
      <c r="L71" s="484"/>
      <c r="M71" s="5"/>
      <c r="N71" s="389" t="str">
        <f>IF(ISBLANK(Values!N251),Values!K251,Values!N251)</f>
        <v/>
      </c>
      <c r="O71" s="389"/>
      <c r="P71" s="389"/>
      <c r="Q71" s="389"/>
      <c r="R71" s="389"/>
      <c r="S71" s="5"/>
      <c r="T71" s="389" t="str">
        <f>IF(ISBLANK(Values!O251),Values!L251,Values!O251)</f>
        <v/>
      </c>
      <c r="U71" s="389"/>
      <c r="V71" s="389"/>
      <c r="W71" s="389"/>
      <c r="X71" s="389"/>
      <c r="Y71" s="389"/>
      <c r="Z71" s="5"/>
      <c r="AA71" s="484" t="str">
        <f>IF(ISBLANK(Values!M276),Values!J276,Values!M276)</f>
        <v/>
      </c>
      <c r="AB71" s="484"/>
      <c r="AC71" s="484"/>
      <c r="AD71" s="484"/>
      <c r="AE71" s="484"/>
      <c r="AF71" s="484"/>
      <c r="AG71" s="484"/>
      <c r="AH71" s="484"/>
      <c r="AI71" s="484"/>
      <c r="AJ71" s="484"/>
      <c r="AK71" s="484"/>
      <c r="AL71" s="5"/>
      <c r="AM71" s="389" t="str">
        <f>IF(ISBLANK(Values!N276),Values!K276,Values!N276)</f>
        <v/>
      </c>
      <c r="AN71" s="389"/>
      <c r="AO71" s="389"/>
      <c r="AP71" s="389"/>
      <c r="AQ71" s="389"/>
      <c r="AR71" s="5"/>
      <c r="AS71" s="389" t="str">
        <f>IF(ISBLANK(Values!O276),Values!L276,Values!O276)</f>
        <v/>
      </c>
      <c r="AT71" s="389"/>
      <c r="AU71" s="389"/>
      <c r="AV71" s="389"/>
      <c r="AW71" s="389"/>
      <c r="AX71" s="389"/>
      <c r="AY71" s="5"/>
      <c r="AZ71" s="5"/>
      <c r="BA71" s="474"/>
      <c r="BB71" s="474"/>
      <c r="BC71" s="474"/>
      <c r="BD71" s="474"/>
      <c r="BE71" s="474"/>
      <c r="BF71" s="474"/>
      <c r="BG71" s="474"/>
      <c r="BH71" s="474"/>
      <c r="BI71" s="474"/>
      <c r="BJ71" s="474"/>
      <c r="BK71" s="474"/>
      <c r="BL71" s="474"/>
      <c r="BM71" s="474"/>
      <c r="BN71" s="474"/>
      <c r="BO71" s="474"/>
      <c r="BP71" s="474"/>
      <c r="BQ71" s="5"/>
      <c r="BR71" s="5"/>
      <c r="BS71" s="5"/>
      <c r="BT71" s="5"/>
      <c r="BU71" s="5"/>
      <c r="BV71" s="5"/>
      <c r="BW71" s="5"/>
      <c r="BX71" s="5"/>
    </row>
    <row r="72" spans="1:76" ht="20.100000000000001" hidden="1" customHeight="1">
      <c r="A72" s="5"/>
      <c r="B72" s="484" t="str">
        <f>IF(ISBLANK(Values!M252),Values!J252,Values!M252)</f>
        <v/>
      </c>
      <c r="C72" s="484"/>
      <c r="D72" s="484"/>
      <c r="E72" s="484"/>
      <c r="F72" s="484"/>
      <c r="G72" s="484"/>
      <c r="H72" s="484"/>
      <c r="I72" s="484"/>
      <c r="J72" s="484"/>
      <c r="K72" s="484"/>
      <c r="L72" s="484"/>
      <c r="M72" s="5"/>
      <c r="N72" s="389" t="str">
        <f>IF(ISBLANK(Values!N252),Values!K252,Values!N252)</f>
        <v/>
      </c>
      <c r="O72" s="389"/>
      <c r="P72" s="389"/>
      <c r="Q72" s="389"/>
      <c r="R72" s="389"/>
      <c r="S72" s="5"/>
      <c r="T72" s="389" t="str">
        <f>IF(ISBLANK(Values!O252),Values!L252,Values!O252)</f>
        <v/>
      </c>
      <c r="U72" s="389"/>
      <c r="V72" s="389"/>
      <c r="W72" s="389"/>
      <c r="X72" s="389"/>
      <c r="Y72" s="389"/>
      <c r="Z72" s="5"/>
      <c r="AA72" s="484" t="str">
        <f>IF(ISBLANK(Values!M277),Values!J277,Values!M277)</f>
        <v/>
      </c>
      <c r="AB72" s="484"/>
      <c r="AC72" s="484"/>
      <c r="AD72" s="484"/>
      <c r="AE72" s="484"/>
      <c r="AF72" s="484"/>
      <c r="AG72" s="484"/>
      <c r="AH72" s="484"/>
      <c r="AI72" s="484"/>
      <c r="AJ72" s="484"/>
      <c r="AK72" s="484"/>
      <c r="AL72" s="5"/>
      <c r="AM72" s="389" t="str">
        <f>IF(ISBLANK(Values!N277),Values!K277,Values!N277)</f>
        <v/>
      </c>
      <c r="AN72" s="389"/>
      <c r="AO72" s="389"/>
      <c r="AP72" s="389"/>
      <c r="AQ72" s="389"/>
      <c r="AR72" s="5"/>
      <c r="AS72" s="389" t="str">
        <f>IF(ISBLANK(Values!O277),Values!L277,Values!O277)</f>
        <v/>
      </c>
      <c r="AT72" s="389"/>
      <c r="AU72" s="389"/>
      <c r="AV72" s="389"/>
      <c r="AW72" s="389"/>
      <c r="AX72" s="389"/>
      <c r="AY72" s="5"/>
      <c r="AZ72" s="5"/>
      <c r="BA72" s="474"/>
      <c r="BB72" s="474"/>
      <c r="BC72" s="474"/>
      <c r="BD72" s="474"/>
      <c r="BE72" s="474"/>
      <c r="BF72" s="474"/>
      <c r="BG72" s="474"/>
      <c r="BH72" s="474"/>
      <c r="BI72" s="474"/>
      <c r="BJ72" s="474"/>
      <c r="BK72" s="474"/>
      <c r="BL72" s="474"/>
      <c r="BM72" s="474"/>
      <c r="BN72" s="474"/>
      <c r="BO72" s="474"/>
      <c r="BP72" s="474"/>
      <c r="BQ72" s="5"/>
      <c r="BR72" s="5"/>
      <c r="BS72" s="5"/>
      <c r="BT72" s="5"/>
      <c r="BU72" s="5"/>
      <c r="BV72" s="5"/>
      <c r="BW72" s="5"/>
      <c r="BX72" s="5"/>
    </row>
    <row r="73" spans="1:76" ht="20.100000000000001" hidden="1" customHeight="1">
      <c r="A73" s="5"/>
      <c r="B73" s="484" t="str">
        <f>IF(ISBLANK(Values!M253),Values!J253,Values!M253)</f>
        <v/>
      </c>
      <c r="C73" s="484"/>
      <c r="D73" s="484"/>
      <c r="E73" s="484"/>
      <c r="F73" s="484"/>
      <c r="G73" s="484"/>
      <c r="H73" s="484"/>
      <c r="I73" s="484"/>
      <c r="J73" s="484"/>
      <c r="K73" s="484"/>
      <c r="L73" s="484"/>
      <c r="M73" s="5"/>
      <c r="N73" s="389" t="str">
        <f>IF(ISBLANK(Values!N253),Values!K253,Values!N253)</f>
        <v/>
      </c>
      <c r="O73" s="389"/>
      <c r="P73" s="389"/>
      <c r="Q73" s="389"/>
      <c r="R73" s="389"/>
      <c r="S73" s="5"/>
      <c r="T73" s="389" t="str">
        <f>IF(ISBLANK(Values!O253),Values!L253,Values!O253)</f>
        <v/>
      </c>
      <c r="U73" s="389"/>
      <c r="V73" s="389"/>
      <c r="W73" s="389"/>
      <c r="X73" s="389"/>
      <c r="Y73" s="389"/>
      <c r="Z73" s="5"/>
      <c r="AA73" s="484" t="str">
        <f>IF(ISBLANK(Values!M278),Values!J278,Values!M278)</f>
        <v/>
      </c>
      <c r="AB73" s="484"/>
      <c r="AC73" s="484"/>
      <c r="AD73" s="484"/>
      <c r="AE73" s="484"/>
      <c r="AF73" s="484"/>
      <c r="AG73" s="484"/>
      <c r="AH73" s="484"/>
      <c r="AI73" s="484"/>
      <c r="AJ73" s="484"/>
      <c r="AK73" s="484"/>
      <c r="AL73" s="5"/>
      <c r="AM73" s="389" t="str">
        <f>IF(ISBLANK(Values!N278),Values!K278,Values!N278)</f>
        <v/>
      </c>
      <c r="AN73" s="389"/>
      <c r="AO73" s="389"/>
      <c r="AP73" s="389"/>
      <c r="AQ73" s="389"/>
      <c r="AR73" s="5"/>
      <c r="AS73" s="389" t="str">
        <f>IF(ISBLANK(Values!O278),Values!L278,Values!O278)</f>
        <v/>
      </c>
      <c r="AT73" s="389"/>
      <c r="AU73" s="389"/>
      <c r="AV73" s="389"/>
      <c r="AW73" s="389"/>
      <c r="AX73" s="389"/>
      <c r="AY73" s="5"/>
      <c r="AZ73" s="5"/>
      <c r="BA73" s="474"/>
      <c r="BB73" s="474"/>
      <c r="BC73" s="474"/>
      <c r="BD73" s="474"/>
      <c r="BE73" s="474"/>
      <c r="BF73" s="474"/>
      <c r="BG73" s="474"/>
      <c r="BH73" s="474"/>
      <c r="BI73" s="474"/>
      <c r="BJ73" s="474"/>
      <c r="BK73" s="474"/>
      <c r="BL73" s="474"/>
      <c r="BM73" s="474"/>
      <c r="BN73" s="474"/>
      <c r="BO73" s="474"/>
      <c r="BP73" s="474"/>
      <c r="BQ73" s="5"/>
      <c r="BR73" s="5"/>
      <c r="BS73" s="5"/>
      <c r="BT73" s="5"/>
      <c r="BU73" s="5"/>
      <c r="BV73" s="5"/>
      <c r="BW73" s="5"/>
      <c r="BX73" s="5"/>
    </row>
    <row r="74" spans="1:76" ht="20.100000000000001" hidden="1" customHeight="1">
      <c r="A74" s="5"/>
      <c r="B74" s="484" t="str">
        <f>IF(ISBLANK(Values!M254),Values!J254,Values!M254)</f>
        <v/>
      </c>
      <c r="C74" s="484"/>
      <c r="D74" s="484"/>
      <c r="E74" s="484"/>
      <c r="F74" s="484"/>
      <c r="G74" s="484"/>
      <c r="H74" s="484"/>
      <c r="I74" s="484"/>
      <c r="J74" s="484"/>
      <c r="K74" s="484"/>
      <c r="L74" s="484"/>
      <c r="M74" s="5"/>
      <c r="N74" s="389" t="str">
        <f>IF(ISBLANK(Values!N254),Values!K254,Values!N254)</f>
        <v/>
      </c>
      <c r="O74" s="389"/>
      <c r="P74" s="389"/>
      <c r="Q74" s="389"/>
      <c r="R74" s="389"/>
      <c r="S74" s="5"/>
      <c r="T74" s="389" t="str">
        <f>IF(ISBLANK(Values!O254),Values!L254,Values!O254)</f>
        <v/>
      </c>
      <c r="U74" s="389"/>
      <c r="V74" s="389"/>
      <c r="W74" s="389"/>
      <c r="X74" s="389"/>
      <c r="Y74" s="389"/>
      <c r="Z74" s="5"/>
      <c r="AA74" s="484" t="str">
        <f>IF(ISBLANK(Values!M279),Values!J279,Values!M279)</f>
        <v/>
      </c>
      <c r="AB74" s="484"/>
      <c r="AC74" s="484"/>
      <c r="AD74" s="484"/>
      <c r="AE74" s="484"/>
      <c r="AF74" s="484"/>
      <c r="AG74" s="484"/>
      <c r="AH74" s="484"/>
      <c r="AI74" s="484"/>
      <c r="AJ74" s="484"/>
      <c r="AK74" s="484"/>
      <c r="AL74" s="5"/>
      <c r="AM74" s="389" t="str">
        <f>IF(ISBLANK(Values!N279),Values!K279,Values!N279)</f>
        <v/>
      </c>
      <c r="AN74" s="389"/>
      <c r="AO74" s="389"/>
      <c r="AP74" s="389"/>
      <c r="AQ74" s="389"/>
      <c r="AR74" s="5"/>
      <c r="AS74" s="389" t="str">
        <f>IF(ISBLANK(Values!O279),Values!L279,Values!O279)</f>
        <v/>
      </c>
      <c r="AT74" s="389"/>
      <c r="AU74" s="389"/>
      <c r="AV74" s="389"/>
      <c r="AW74" s="389"/>
      <c r="AX74" s="389"/>
      <c r="AY74" s="5"/>
      <c r="AZ74" s="5"/>
      <c r="BA74" s="474"/>
      <c r="BB74" s="474"/>
      <c r="BC74" s="474"/>
      <c r="BD74" s="474"/>
      <c r="BE74" s="474"/>
      <c r="BF74" s="474"/>
      <c r="BG74" s="474"/>
      <c r="BH74" s="474"/>
      <c r="BI74" s="474"/>
      <c r="BJ74" s="474"/>
      <c r="BK74" s="474"/>
      <c r="BL74" s="474"/>
      <c r="BM74" s="474"/>
      <c r="BN74" s="474"/>
      <c r="BO74" s="474"/>
      <c r="BP74" s="474"/>
      <c r="BQ74" s="5"/>
      <c r="BR74" s="5"/>
      <c r="BS74" s="5"/>
      <c r="BT74" s="5"/>
      <c r="BU74" s="5"/>
      <c r="BV74" s="5"/>
      <c r="BW74" s="5"/>
      <c r="BX74" s="5"/>
    </row>
    <row r="75" spans="1:76" ht="20.100000000000001" hidden="1" customHeight="1">
      <c r="A75" s="5"/>
      <c r="B75" s="484" t="str">
        <f>IF(ISBLANK(Values!M255),Values!J255,Values!M255)</f>
        <v/>
      </c>
      <c r="C75" s="484"/>
      <c r="D75" s="484"/>
      <c r="E75" s="484"/>
      <c r="F75" s="484"/>
      <c r="G75" s="484"/>
      <c r="H75" s="484"/>
      <c r="I75" s="484"/>
      <c r="J75" s="484"/>
      <c r="K75" s="484"/>
      <c r="L75" s="484"/>
      <c r="M75" s="5"/>
      <c r="N75" s="389" t="str">
        <f>IF(ISBLANK(Values!N255),Values!K255,Values!N255)</f>
        <v/>
      </c>
      <c r="O75" s="389"/>
      <c r="P75" s="389"/>
      <c r="Q75" s="389"/>
      <c r="R75" s="389"/>
      <c r="S75" s="5"/>
      <c r="T75" s="389" t="str">
        <f>IF(ISBLANK(Values!O255),Values!L255,Values!O255)</f>
        <v/>
      </c>
      <c r="U75" s="389"/>
      <c r="V75" s="389"/>
      <c r="W75" s="389"/>
      <c r="X75" s="389"/>
      <c r="Y75" s="389"/>
      <c r="Z75" s="5"/>
      <c r="AA75" s="484" t="str">
        <f>IF(ISBLANK(Values!M280),Values!J280,Values!M280)</f>
        <v/>
      </c>
      <c r="AB75" s="484"/>
      <c r="AC75" s="484"/>
      <c r="AD75" s="484"/>
      <c r="AE75" s="484"/>
      <c r="AF75" s="484"/>
      <c r="AG75" s="484"/>
      <c r="AH75" s="484"/>
      <c r="AI75" s="484"/>
      <c r="AJ75" s="484"/>
      <c r="AK75" s="484"/>
      <c r="AL75" s="5"/>
      <c r="AM75" s="389" t="str">
        <f>IF(ISBLANK(Values!N280),Values!K280,Values!N280)</f>
        <v/>
      </c>
      <c r="AN75" s="389"/>
      <c r="AO75" s="389"/>
      <c r="AP75" s="389"/>
      <c r="AQ75" s="389"/>
      <c r="AR75" s="5"/>
      <c r="AS75" s="389" t="str">
        <f>IF(ISBLANK(Values!O280),Values!L280,Values!O280)</f>
        <v/>
      </c>
      <c r="AT75" s="389"/>
      <c r="AU75" s="389"/>
      <c r="AV75" s="389"/>
      <c r="AW75" s="389"/>
      <c r="AX75" s="389"/>
      <c r="AY75" s="5"/>
      <c r="AZ75" s="5"/>
      <c r="BA75" s="474"/>
      <c r="BB75" s="474"/>
      <c r="BC75" s="474"/>
      <c r="BD75" s="474"/>
      <c r="BE75" s="474"/>
      <c r="BF75" s="474"/>
      <c r="BG75" s="474"/>
      <c r="BH75" s="474"/>
      <c r="BI75" s="474"/>
      <c r="BJ75" s="474"/>
      <c r="BK75" s="474"/>
      <c r="BL75" s="474"/>
      <c r="BM75" s="474"/>
      <c r="BN75" s="474"/>
      <c r="BO75" s="474"/>
      <c r="BP75" s="474"/>
      <c r="BQ75" s="5"/>
      <c r="BR75" s="5"/>
      <c r="BS75" s="5"/>
      <c r="BT75" s="5"/>
      <c r="BU75" s="5"/>
      <c r="BV75" s="5"/>
      <c r="BW75" s="5"/>
      <c r="BX75" s="5"/>
    </row>
    <row r="76" spans="1:76" ht="20.100000000000001" hidden="1" customHeight="1">
      <c r="A76" s="5"/>
      <c r="B76" s="484" t="str">
        <f>IF(ISBLANK(Values!M256),Values!J256,Values!M256)</f>
        <v/>
      </c>
      <c r="C76" s="484"/>
      <c r="D76" s="484"/>
      <c r="E76" s="484"/>
      <c r="F76" s="484"/>
      <c r="G76" s="484"/>
      <c r="H76" s="484"/>
      <c r="I76" s="484"/>
      <c r="J76" s="484"/>
      <c r="K76" s="484"/>
      <c r="L76" s="484"/>
      <c r="M76" s="5"/>
      <c r="N76" s="389" t="str">
        <f>IF(ISBLANK(Values!N256),Values!K256,Values!N256)</f>
        <v/>
      </c>
      <c r="O76" s="389"/>
      <c r="P76" s="389"/>
      <c r="Q76" s="389"/>
      <c r="R76" s="389"/>
      <c r="S76" s="5"/>
      <c r="T76" s="389" t="str">
        <f>IF(ISBLANK(Values!O256),Values!L256,Values!O256)</f>
        <v/>
      </c>
      <c r="U76" s="389"/>
      <c r="V76" s="389"/>
      <c r="W76" s="389"/>
      <c r="X76" s="389"/>
      <c r="Y76" s="389"/>
      <c r="Z76" s="5"/>
      <c r="AA76" s="484" t="str">
        <f>IF(ISBLANK(Values!M281),Values!J281,Values!M281)</f>
        <v/>
      </c>
      <c r="AB76" s="484"/>
      <c r="AC76" s="484"/>
      <c r="AD76" s="484"/>
      <c r="AE76" s="484"/>
      <c r="AF76" s="484"/>
      <c r="AG76" s="484"/>
      <c r="AH76" s="484"/>
      <c r="AI76" s="484"/>
      <c r="AJ76" s="484"/>
      <c r="AK76" s="484"/>
      <c r="AL76" s="5"/>
      <c r="AM76" s="389" t="str">
        <f>IF(ISBLANK(Values!N281),Values!K281,Values!N281)</f>
        <v/>
      </c>
      <c r="AN76" s="389"/>
      <c r="AO76" s="389"/>
      <c r="AP76" s="389"/>
      <c r="AQ76" s="389"/>
      <c r="AR76" s="5"/>
      <c r="AS76" s="389" t="str">
        <f>IF(ISBLANK(Values!O281),Values!L281,Values!O281)</f>
        <v/>
      </c>
      <c r="AT76" s="389"/>
      <c r="AU76" s="389"/>
      <c r="AV76" s="389"/>
      <c r="AW76" s="389"/>
      <c r="AX76" s="389"/>
      <c r="AY76" s="5"/>
      <c r="AZ76" s="5"/>
      <c r="BA76" s="474"/>
      <c r="BB76" s="474"/>
      <c r="BC76" s="474"/>
      <c r="BD76" s="474"/>
      <c r="BE76" s="474"/>
      <c r="BF76" s="474"/>
      <c r="BG76" s="474"/>
      <c r="BH76" s="474"/>
      <c r="BI76" s="474"/>
      <c r="BJ76" s="474"/>
      <c r="BK76" s="474"/>
      <c r="BL76" s="474"/>
      <c r="BM76" s="474"/>
      <c r="BN76" s="474"/>
      <c r="BO76" s="474"/>
      <c r="BP76" s="474"/>
      <c r="BQ76" s="5"/>
      <c r="BR76" s="5"/>
      <c r="BS76" s="5"/>
      <c r="BT76" s="5"/>
      <c r="BU76" s="5"/>
      <c r="BV76" s="5"/>
      <c r="BW76" s="5"/>
      <c r="BX76" s="5"/>
    </row>
    <row r="77" spans="1:76" ht="20.100000000000001" hidden="1" customHeight="1">
      <c r="A77" s="5"/>
      <c r="B77" s="484" t="str">
        <f>IF(ISBLANK(Values!M257),Values!J257,Values!M257)</f>
        <v/>
      </c>
      <c r="C77" s="484"/>
      <c r="D77" s="484"/>
      <c r="E77" s="484"/>
      <c r="F77" s="484"/>
      <c r="G77" s="484"/>
      <c r="H77" s="484"/>
      <c r="I77" s="484"/>
      <c r="J77" s="484"/>
      <c r="K77" s="484"/>
      <c r="L77" s="484"/>
      <c r="M77" s="5"/>
      <c r="N77" s="389" t="str">
        <f>IF(ISBLANK(Values!N257),Values!K257,Values!N257)</f>
        <v/>
      </c>
      <c r="O77" s="389"/>
      <c r="P77" s="389"/>
      <c r="Q77" s="389"/>
      <c r="R77" s="389"/>
      <c r="S77" s="5"/>
      <c r="T77" s="389" t="str">
        <f>IF(ISBLANK(Values!O257),Values!L257,Values!O257)</f>
        <v/>
      </c>
      <c r="U77" s="389"/>
      <c r="V77" s="389"/>
      <c r="W77" s="389"/>
      <c r="X77" s="389"/>
      <c r="Y77" s="389"/>
      <c r="Z77" s="5"/>
      <c r="AA77" s="484" t="str">
        <f>IF(ISBLANK(Values!M282),Values!J282,Values!M282)</f>
        <v/>
      </c>
      <c r="AB77" s="484"/>
      <c r="AC77" s="484"/>
      <c r="AD77" s="484"/>
      <c r="AE77" s="484"/>
      <c r="AF77" s="484"/>
      <c r="AG77" s="484"/>
      <c r="AH77" s="484"/>
      <c r="AI77" s="484"/>
      <c r="AJ77" s="484"/>
      <c r="AK77" s="484"/>
      <c r="AL77" s="5"/>
      <c r="AM77" s="389" t="str">
        <f>IF(ISBLANK(Values!N282),Values!K282,Values!N282)</f>
        <v/>
      </c>
      <c r="AN77" s="389"/>
      <c r="AO77" s="389"/>
      <c r="AP77" s="389"/>
      <c r="AQ77" s="389"/>
      <c r="AR77" s="5"/>
      <c r="AS77" s="389" t="str">
        <f>IF(ISBLANK(Values!O282),Values!L282,Values!O282)</f>
        <v/>
      </c>
      <c r="AT77" s="389"/>
      <c r="AU77" s="389"/>
      <c r="AV77" s="389"/>
      <c r="AW77" s="389"/>
      <c r="AX77" s="389"/>
      <c r="AY77" s="5"/>
      <c r="AZ77" s="5"/>
      <c r="BA77" s="474"/>
      <c r="BB77" s="474"/>
      <c r="BC77" s="474"/>
      <c r="BD77" s="474"/>
      <c r="BE77" s="474"/>
      <c r="BF77" s="474"/>
      <c r="BG77" s="474"/>
      <c r="BH77" s="474"/>
      <c r="BI77" s="474"/>
      <c r="BJ77" s="474"/>
      <c r="BK77" s="474"/>
      <c r="BL77" s="474"/>
      <c r="BM77" s="474"/>
      <c r="BN77" s="474"/>
      <c r="BO77" s="474"/>
      <c r="BP77" s="474"/>
      <c r="BQ77" s="5"/>
      <c r="BR77" s="5"/>
      <c r="BS77" s="5"/>
      <c r="BT77" s="5"/>
      <c r="BU77" s="5"/>
      <c r="BV77" s="5"/>
      <c r="BW77" s="5"/>
      <c r="BX77" s="5"/>
    </row>
    <row r="78" spans="1:76" ht="20.100000000000001" hidden="1" customHeight="1">
      <c r="A78" s="5"/>
      <c r="B78" s="484" t="str">
        <f>IF(ISBLANK(Values!M258),Values!J258,Values!M258)</f>
        <v/>
      </c>
      <c r="C78" s="484"/>
      <c r="D78" s="484"/>
      <c r="E78" s="484"/>
      <c r="F78" s="484"/>
      <c r="G78" s="484"/>
      <c r="H78" s="484"/>
      <c r="I78" s="484"/>
      <c r="J78" s="484"/>
      <c r="K78" s="484"/>
      <c r="L78" s="484"/>
      <c r="M78" s="5"/>
      <c r="N78" s="389" t="str">
        <f>IF(ISBLANK(Values!N258),Values!K258,Values!N258)</f>
        <v/>
      </c>
      <c r="O78" s="389"/>
      <c r="P78" s="389"/>
      <c r="Q78" s="389"/>
      <c r="R78" s="389"/>
      <c r="S78" s="5"/>
      <c r="T78" s="389" t="str">
        <f>IF(ISBLANK(Values!O258),Values!L258,Values!O258)</f>
        <v/>
      </c>
      <c r="U78" s="389"/>
      <c r="V78" s="389"/>
      <c r="W78" s="389"/>
      <c r="X78" s="389"/>
      <c r="Y78" s="389"/>
      <c r="Z78" s="5"/>
      <c r="AA78" s="484" t="str">
        <f>IF(ISBLANK(Values!M283),Values!J283,Values!M283)</f>
        <v/>
      </c>
      <c r="AB78" s="484"/>
      <c r="AC78" s="484"/>
      <c r="AD78" s="484"/>
      <c r="AE78" s="484"/>
      <c r="AF78" s="484"/>
      <c r="AG78" s="484"/>
      <c r="AH78" s="484"/>
      <c r="AI78" s="484"/>
      <c r="AJ78" s="484"/>
      <c r="AK78" s="484"/>
      <c r="AL78" s="5"/>
      <c r="AM78" s="389" t="str">
        <f>IF(ISBLANK(Values!N283),Values!K283,Values!N283)</f>
        <v/>
      </c>
      <c r="AN78" s="389"/>
      <c r="AO78" s="389"/>
      <c r="AP78" s="389"/>
      <c r="AQ78" s="389"/>
      <c r="AR78" s="5"/>
      <c r="AS78" s="389" t="str">
        <f>IF(ISBLANK(Values!O283),Values!L283,Values!O283)</f>
        <v/>
      </c>
      <c r="AT78" s="389"/>
      <c r="AU78" s="389"/>
      <c r="AV78" s="389"/>
      <c r="AW78" s="389"/>
      <c r="AX78" s="389"/>
      <c r="AY78" s="5"/>
      <c r="AZ78" s="5"/>
      <c r="BA78" s="474"/>
      <c r="BB78" s="474"/>
      <c r="BC78" s="474"/>
      <c r="BD78" s="474"/>
      <c r="BE78" s="474"/>
      <c r="BF78" s="474"/>
      <c r="BG78" s="474"/>
      <c r="BH78" s="474"/>
      <c r="BI78" s="474"/>
      <c r="BJ78" s="474"/>
      <c r="BK78" s="474"/>
      <c r="BL78" s="474"/>
      <c r="BM78" s="474"/>
      <c r="BN78" s="474"/>
      <c r="BO78" s="474"/>
      <c r="BP78" s="474"/>
      <c r="BQ78" s="5"/>
      <c r="BR78" s="5"/>
      <c r="BS78" s="5"/>
      <c r="BT78" s="5"/>
      <c r="BU78" s="5"/>
      <c r="BV78" s="5"/>
      <c r="BW78" s="5"/>
      <c r="BX78" s="5"/>
    </row>
    <row r="79" spans="1:76" ht="20.100000000000001" hidden="1" customHeight="1">
      <c r="A79" s="5"/>
      <c r="B79" s="484" t="str">
        <f>IF(ISBLANK(Values!M259),Values!J259,Values!M259)</f>
        <v/>
      </c>
      <c r="C79" s="484"/>
      <c r="D79" s="484"/>
      <c r="E79" s="484"/>
      <c r="F79" s="484"/>
      <c r="G79" s="484"/>
      <c r="H79" s="484"/>
      <c r="I79" s="484"/>
      <c r="J79" s="484"/>
      <c r="K79" s="484"/>
      <c r="L79" s="484"/>
      <c r="M79" s="5"/>
      <c r="N79" s="389" t="str">
        <f>IF(ISBLANK(Values!N259),Values!K259,Values!N259)</f>
        <v/>
      </c>
      <c r="O79" s="389"/>
      <c r="P79" s="389"/>
      <c r="Q79" s="389"/>
      <c r="R79" s="389"/>
      <c r="S79" s="5"/>
      <c r="T79" s="389" t="str">
        <f>IF(ISBLANK(Values!O259),Values!L259,Values!O259)</f>
        <v/>
      </c>
      <c r="U79" s="389"/>
      <c r="V79" s="389"/>
      <c r="W79" s="389"/>
      <c r="X79" s="389"/>
      <c r="Y79" s="389"/>
      <c r="Z79" s="5"/>
      <c r="AA79" s="484" t="str">
        <f>IF(ISBLANK(Values!M284),Values!J284,Values!M284)</f>
        <v/>
      </c>
      <c r="AB79" s="484"/>
      <c r="AC79" s="484"/>
      <c r="AD79" s="484"/>
      <c r="AE79" s="484"/>
      <c r="AF79" s="484"/>
      <c r="AG79" s="484"/>
      <c r="AH79" s="484"/>
      <c r="AI79" s="484"/>
      <c r="AJ79" s="484"/>
      <c r="AK79" s="484"/>
      <c r="AL79" s="5"/>
      <c r="AM79" s="389" t="str">
        <f>IF(ISBLANK(Values!N284),Values!K284,Values!N284)</f>
        <v/>
      </c>
      <c r="AN79" s="389"/>
      <c r="AO79" s="389"/>
      <c r="AP79" s="389"/>
      <c r="AQ79" s="389"/>
      <c r="AR79" s="5"/>
      <c r="AS79" s="389" t="str">
        <f>IF(ISBLANK(Values!O284),Values!L284,Values!O284)</f>
        <v/>
      </c>
      <c r="AT79" s="389"/>
      <c r="AU79" s="389"/>
      <c r="AV79" s="389"/>
      <c r="AW79" s="389"/>
      <c r="AX79" s="389"/>
      <c r="AY79" s="5"/>
      <c r="AZ79" s="5"/>
      <c r="BA79" s="474"/>
      <c r="BB79" s="474"/>
      <c r="BC79" s="474"/>
      <c r="BD79" s="474"/>
      <c r="BE79" s="474"/>
      <c r="BF79" s="474"/>
      <c r="BG79" s="474"/>
      <c r="BH79" s="474"/>
      <c r="BI79" s="474"/>
      <c r="BJ79" s="474"/>
      <c r="BK79" s="474"/>
      <c r="BL79" s="474"/>
      <c r="BM79" s="474"/>
      <c r="BN79" s="474"/>
      <c r="BO79" s="474"/>
      <c r="BP79" s="474"/>
      <c r="BQ79" s="5"/>
      <c r="BR79" s="5"/>
      <c r="BS79" s="5"/>
      <c r="BT79" s="5"/>
      <c r="BU79" s="5"/>
      <c r="BV79" s="5"/>
      <c r="BW79" s="5"/>
      <c r="BX79" s="5"/>
    </row>
    <row r="80" spans="1:76" ht="20.100000000000001" hidden="1" customHeight="1">
      <c r="A80" s="5"/>
      <c r="B80" s="484" t="str">
        <f>IF(ISBLANK(Values!M260),Values!J260,Values!M260)</f>
        <v/>
      </c>
      <c r="C80" s="484"/>
      <c r="D80" s="484"/>
      <c r="E80" s="484"/>
      <c r="F80" s="484"/>
      <c r="G80" s="484"/>
      <c r="H80" s="484"/>
      <c r="I80" s="484"/>
      <c r="J80" s="484"/>
      <c r="K80" s="484"/>
      <c r="L80" s="484"/>
      <c r="M80" s="5"/>
      <c r="N80" s="389" t="str">
        <f>IF(ISBLANK(Values!N260),Values!K260,Values!N260)</f>
        <v/>
      </c>
      <c r="O80" s="389"/>
      <c r="P80" s="389"/>
      <c r="Q80" s="389"/>
      <c r="R80" s="389"/>
      <c r="S80" s="5"/>
      <c r="T80" s="389" t="str">
        <f>IF(ISBLANK(Values!O260),Values!L260,Values!O260)</f>
        <v/>
      </c>
      <c r="U80" s="389"/>
      <c r="V80" s="389"/>
      <c r="W80" s="389"/>
      <c r="X80" s="389"/>
      <c r="Y80" s="389"/>
      <c r="Z80" s="5"/>
      <c r="AA80" s="484" t="str">
        <f>IF(ISBLANK(Values!M285),Values!J285,Values!M285)</f>
        <v/>
      </c>
      <c r="AB80" s="484"/>
      <c r="AC80" s="484"/>
      <c r="AD80" s="484"/>
      <c r="AE80" s="484"/>
      <c r="AF80" s="484"/>
      <c r="AG80" s="484"/>
      <c r="AH80" s="484"/>
      <c r="AI80" s="484"/>
      <c r="AJ80" s="484"/>
      <c r="AK80" s="484"/>
      <c r="AL80" s="5"/>
      <c r="AM80" s="389" t="str">
        <f>IF(ISBLANK(Values!N285),Values!K285,Values!N285)</f>
        <v/>
      </c>
      <c r="AN80" s="389"/>
      <c r="AO80" s="389"/>
      <c r="AP80" s="389"/>
      <c r="AQ80" s="389"/>
      <c r="AR80" s="5"/>
      <c r="AS80" s="389" t="str">
        <f>IF(ISBLANK(Values!O285),Values!L285,Values!O285)</f>
        <v/>
      </c>
      <c r="AT80" s="389"/>
      <c r="AU80" s="389"/>
      <c r="AV80" s="389"/>
      <c r="AW80" s="389"/>
      <c r="AX80" s="389"/>
      <c r="AY80" s="5"/>
      <c r="AZ80" s="5"/>
      <c r="BA80" s="474"/>
      <c r="BB80" s="474"/>
      <c r="BC80" s="474"/>
      <c r="BD80" s="474"/>
      <c r="BE80" s="474"/>
      <c r="BF80" s="474"/>
      <c r="BG80" s="474"/>
      <c r="BH80" s="474"/>
      <c r="BI80" s="474"/>
      <c r="BJ80" s="474"/>
      <c r="BK80" s="474"/>
      <c r="BL80" s="474"/>
      <c r="BM80" s="474"/>
      <c r="BN80" s="474"/>
      <c r="BO80" s="474"/>
      <c r="BP80" s="474"/>
      <c r="BQ80" s="5"/>
      <c r="BR80" s="5"/>
      <c r="BS80" s="5"/>
      <c r="BT80" s="5"/>
      <c r="BU80" s="5"/>
      <c r="BV80" s="5"/>
      <c r="BW80" s="5"/>
      <c r="BX80" s="5"/>
    </row>
    <row r="81" spans="1:76" ht="20.100000000000001" hidden="1" customHeight="1">
      <c r="A81" s="5"/>
      <c r="B81" s="484" t="str">
        <f>IF(ISBLANK(Values!M261),Values!J261,Values!M261)</f>
        <v/>
      </c>
      <c r="C81" s="484"/>
      <c r="D81" s="484"/>
      <c r="E81" s="484"/>
      <c r="F81" s="484"/>
      <c r="G81" s="484"/>
      <c r="H81" s="484"/>
      <c r="I81" s="484"/>
      <c r="J81" s="484"/>
      <c r="K81" s="484"/>
      <c r="L81" s="484"/>
      <c r="M81" s="5"/>
      <c r="N81" s="389" t="str">
        <f>IF(ISBLANK(Values!N261),Values!K261,Values!N261)</f>
        <v/>
      </c>
      <c r="O81" s="389"/>
      <c r="P81" s="389"/>
      <c r="Q81" s="389"/>
      <c r="R81" s="389"/>
      <c r="S81" s="5"/>
      <c r="T81" s="389" t="str">
        <f>IF(ISBLANK(Values!O261),Values!L261,Values!O261)</f>
        <v/>
      </c>
      <c r="U81" s="389"/>
      <c r="V81" s="389"/>
      <c r="W81" s="389"/>
      <c r="X81" s="389"/>
      <c r="Y81" s="389"/>
      <c r="Z81" s="5"/>
      <c r="AA81" s="484" t="str">
        <f>IF(ISBLANK(Values!M286),Values!J286,Values!M286)</f>
        <v/>
      </c>
      <c r="AB81" s="484"/>
      <c r="AC81" s="484"/>
      <c r="AD81" s="484"/>
      <c r="AE81" s="484"/>
      <c r="AF81" s="484"/>
      <c r="AG81" s="484"/>
      <c r="AH81" s="484"/>
      <c r="AI81" s="484"/>
      <c r="AJ81" s="484"/>
      <c r="AK81" s="484"/>
      <c r="AL81" s="5"/>
      <c r="AM81" s="389" t="str">
        <f>IF(ISBLANK(Values!N286),Values!K286,Values!N286)</f>
        <v/>
      </c>
      <c r="AN81" s="389"/>
      <c r="AO81" s="389"/>
      <c r="AP81" s="389"/>
      <c r="AQ81" s="389"/>
      <c r="AR81" s="5"/>
      <c r="AS81" s="389" t="str">
        <f>IF(ISBLANK(Values!O286),Values!L286,Values!O286)</f>
        <v/>
      </c>
      <c r="AT81" s="389"/>
      <c r="AU81" s="389"/>
      <c r="AV81" s="389"/>
      <c r="AW81" s="389"/>
      <c r="AX81" s="389"/>
      <c r="AY81" s="5"/>
      <c r="AZ81" s="5"/>
      <c r="BA81" s="474"/>
      <c r="BB81" s="474"/>
      <c r="BC81" s="474"/>
      <c r="BD81" s="474"/>
      <c r="BE81" s="474"/>
      <c r="BF81" s="474"/>
      <c r="BG81" s="474"/>
      <c r="BH81" s="474"/>
      <c r="BI81" s="474"/>
      <c r="BJ81" s="474"/>
      <c r="BK81" s="474"/>
      <c r="BL81" s="474"/>
      <c r="BM81" s="474"/>
      <c r="BN81" s="474"/>
      <c r="BO81" s="474"/>
      <c r="BP81" s="474"/>
      <c r="BQ81" s="5"/>
      <c r="BR81" s="5"/>
      <c r="BS81" s="5"/>
      <c r="BT81" s="5"/>
      <c r="BU81" s="5"/>
      <c r="BV81" s="5"/>
      <c r="BW81" s="5"/>
      <c r="BX81" s="5"/>
    </row>
    <row r="82" spans="1:76" ht="20.100000000000001" hidden="1" customHeight="1">
      <c r="A82" s="5"/>
      <c r="B82" s="484" t="str">
        <f>IF(ISBLANK(Values!M262),Values!J262,Values!M262)</f>
        <v/>
      </c>
      <c r="C82" s="484"/>
      <c r="D82" s="484"/>
      <c r="E82" s="484"/>
      <c r="F82" s="484"/>
      <c r="G82" s="484"/>
      <c r="H82" s="484"/>
      <c r="I82" s="484"/>
      <c r="J82" s="484"/>
      <c r="K82" s="484"/>
      <c r="L82" s="484"/>
      <c r="M82" s="5"/>
      <c r="N82" s="389" t="str">
        <f>IF(ISBLANK(Values!N262),Values!K262,Values!N262)</f>
        <v/>
      </c>
      <c r="O82" s="389"/>
      <c r="P82" s="389"/>
      <c r="Q82" s="389"/>
      <c r="R82" s="389"/>
      <c r="S82" s="5"/>
      <c r="T82" s="389" t="str">
        <f>IF(ISBLANK(Values!O262),Values!L262,Values!O262)</f>
        <v/>
      </c>
      <c r="U82" s="389"/>
      <c r="V82" s="389"/>
      <c r="W82" s="389"/>
      <c r="X82" s="389"/>
      <c r="Y82" s="389"/>
      <c r="Z82" s="5"/>
      <c r="AA82" s="484" t="str">
        <f>IF(ISBLANK(Values!M287),Values!J287,Values!M287)</f>
        <v/>
      </c>
      <c r="AB82" s="484"/>
      <c r="AC82" s="484"/>
      <c r="AD82" s="484"/>
      <c r="AE82" s="484"/>
      <c r="AF82" s="484"/>
      <c r="AG82" s="484"/>
      <c r="AH82" s="484"/>
      <c r="AI82" s="484"/>
      <c r="AJ82" s="484"/>
      <c r="AK82" s="484"/>
      <c r="AL82" s="5"/>
      <c r="AM82" s="389" t="str">
        <f>IF(ISBLANK(Values!N287),Values!K287,Values!N287)</f>
        <v/>
      </c>
      <c r="AN82" s="389"/>
      <c r="AO82" s="389"/>
      <c r="AP82" s="389"/>
      <c r="AQ82" s="389"/>
      <c r="AR82" s="5"/>
      <c r="AS82" s="389" t="str">
        <f>IF(ISBLANK(Values!O287),Values!L287,Values!O287)</f>
        <v/>
      </c>
      <c r="AT82" s="389"/>
      <c r="AU82" s="389"/>
      <c r="AV82" s="389"/>
      <c r="AW82" s="389"/>
      <c r="AX82" s="389"/>
      <c r="AY82" s="5"/>
      <c r="AZ82" s="5"/>
      <c r="BA82" s="474"/>
      <c r="BB82" s="474"/>
      <c r="BC82" s="474"/>
      <c r="BD82" s="474"/>
      <c r="BE82" s="474"/>
      <c r="BF82" s="474"/>
      <c r="BG82" s="474"/>
      <c r="BH82" s="474"/>
      <c r="BI82" s="474"/>
      <c r="BJ82" s="474"/>
      <c r="BK82" s="474"/>
      <c r="BL82" s="474"/>
      <c r="BM82" s="474"/>
      <c r="BN82" s="474"/>
      <c r="BO82" s="474"/>
      <c r="BP82" s="474"/>
      <c r="BQ82" s="5"/>
      <c r="BR82" s="5"/>
      <c r="BS82" s="5"/>
      <c r="BT82" s="5"/>
      <c r="BU82" s="5"/>
      <c r="BV82" s="5"/>
      <c r="BW82" s="5"/>
      <c r="BX82" s="5"/>
    </row>
    <row r="83" spans="1:76" ht="20.100000000000001" hidden="1" customHeight="1">
      <c r="A83" s="5"/>
      <c r="B83" s="484" t="str">
        <f>IF(ISBLANK(Values!M263),Values!J263,Values!M263)</f>
        <v/>
      </c>
      <c r="C83" s="484"/>
      <c r="D83" s="484"/>
      <c r="E83" s="484"/>
      <c r="F83" s="484"/>
      <c r="G83" s="484"/>
      <c r="H83" s="484"/>
      <c r="I83" s="484"/>
      <c r="J83" s="484"/>
      <c r="K83" s="484"/>
      <c r="L83" s="484"/>
      <c r="M83" s="5"/>
      <c r="N83" s="389" t="str">
        <f>IF(ISBLANK(Values!N263),Values!K263,Values!N263)</f>
        <v/>
      </c>
      <c r="O83" s="389"/>
      <c r="P83" s="389"/>
      <c r="Q83" s="389"/>
      <c r="R83" s="389"/>
      <c r="S83" s="5"/>
      <c r="T83" s="389" t="str">
        <f>IF(ISBLANK(Values!O263),Values!L263,Values!O263)</f>
        <v/>
      </c>
      <c r="U83" s="389"/>
      <c r="V83" s="389"/>
      <c r="W83" s="389"/>
      <c r="X83" s="389"/>
      <c r="Y83" s="389"/>
      <c r="Z83" s="5"/>
      <c r="AA83" s="484" t="str">
        <f>IF(ISBLANK(Values!M288),Values!J288,Values!M288)</f>
        <v/>
      </c>
      <c r="AB83" s="484"/>
      <c r="AC83" s="484"/>
      <c r="AD83" s="484"/>
      <c r="AE83" s="484"/>
      <c r="AF83" s="484"/>
      <c r="AG83" s="484"/>
      <c r="AH83" s="484"/>
      <c r="AI83" s="484"/>
      <c r="AJ83" s="484"/>
      <c r="AK83" s="484"/>
      <c r="AL83" s="5"/>
      <c r="AM83" s="389" t="str">
        <f>IF(ISBLANK(Values!N288),Values!K288,Values!N288)</f>
        <v/>
      </c>
      <c r="AN83" s="389"/>
      <c r="AO83" s="389"/>
      <c r="AP83" s="389"/>
      <c r="AQ83" s="389"/>
      <c r="AR83" s="5"/>
      <c r="AS83" s="389" t="str">
        <f>IF(ISBLANK(Values!O288),Values!L288,Values!O288)</f>
        <v/>
      </c>
      <c r="AT83" s="389"/>
      <c r="AU83" s="389"/>
      <c r="AV83" s="389"/>
      <c r="AW83" s="389"/>
      <c r="AX83" s="389"/>
      <c r="AY83" s="5"/>
      <c r="AZ83" s="5"/>
      <c r="BA83" s="474"/>
      <c r="BB83" s="474"/>
      <c r="BC83" s="474"/>
      <c r="BD83" s="474"/>
      <c r="BE83" s="474"/>
      <c r="BF83" s="474"/>
      <c r="BG83" s="474"/>
      <c r="BH83" s="474"/>
      <c r="BI83" s="474"/>
      <c r="BJ83" s="474"/>
      <c r="BK83" s="474"/>
      <c r="BL83" s="474"/>
      <c r="BM83" s="474"/>
      <c r="BN83" s="474"/>
      <c r="BO83" s="474"/>
      <c r="BP83" s="474"/>
      <c r="BQ83" s="5"/>
      <c r="BR83" s="5"/>
      <c r="BS83" s="5"/>
      <c r="BT83" s="5"/>
      <c r="BU83" s="5"/>
      <c r="BV83" s="5"/>
      <c r="BW83" s="5"/>
      <c r="BX83" s="5"/>
    </row>
    <row r="84" spans="1:76" ht="20.100000000000001" hidden="1" customHeight="1">
      <c r="A84" s="5"/>
      <c r="B84" s="484" t="str">
        <f>IF(ISBLANK(Values!M264),Values!J264,Values!M264)</f>
        <v/>
      </c>
      <c r="C84" s="484"/>
      <c r="D84" s="484"/>
      <c r="E84" s="484"/>
      <c r="F84" s="484"/>
      <c r="G84" s="484"/>
      <c r="H84" s="484"/>
      <c r="I84" s="484"/>
      <c r="J84" s="484"/>
      <c r="K84" s="484"/>
      <c r="L84" s="484"/>
      <c r="M84" s="5"/>
      <c r="N84" s="389" t="str">
        <f>IF(ISBLANK(Values!N264),Values!K264,Values!N264)</f>
        <v/>
      </c>
      <c r="O84" s="389"/>
      <c r="P84" s="389"/>
      <c r="Q84" s="389"/>
      <c r="R84" s="389"/>
      <c r="S84" s="5"/>
      <c r="T84" s="389" t="str">
        <f>IF(ISBLANK(Values!O264),Values!L264,Values!O264)</f>
        <v/>
      </c>
      <c r="U84" s="389"/>
      <c r="V84" s="389"/>
      <c r="W84" s="389"/>
      <c r="X84" s="389"/>
      <c r="Y84" s="389"/>
      <c r="Z84" s="5"/>
      <c r="AA84" s="484" t="str">
        <f>IF(ISBLANK(Values!M289),Values!J289,Values!M289)</f>
        <v/>
      </c>
      <c r="AB84" s="484"/>
      <c r="AC84" s="484"/>
      <c r="AD84" s="484"/>
      <c r="AE84" s="484"/>
      <c r="AF84" s="484"/>
      <c r="AG84" s="484"/>
      <c r="AH84" s="484"/>
      <c r="AI84" s="484"/>
      <c r="AJ84" s="484"/>
      <c r="AK84" s="484"/>
      <c r="AL84" s="5"/>
      <c r="AM84" s="389" t="str">
        <f>IF(ISBLANK(Values!N289),Values!K289,Values!N289)</f>
        <v/>
      </c>
      <c r="AN84" s="389"/>
      <c r="AO84" s="389"/>
      <c r="AP84" s="389"/>
      <c r="AQ84" s="389"/>
      <c r="AR84" s="5"/>
      <c r="AS84" s="389" t="str">
        <f>IF(ISBLANK(Values!O289),Values!L289,Values!O289)</f>
        <v/>
      </c>
      <c r="AT84" s="389"/>
      <c r="AU84" s="389"/>
      <c r="AV84" s="389"/>
      <c r="AW84" s="389"/>
      <c r="AX84" s="389"/>
      <c r="AY84" s="5"/>
      <c r="AZ84" s="5"/>
      <c r="BA84" s="474"/>
      <c r="BB84" s="474"/>
      <c r="BC84" s="474"/>
      <c r="BD84" s="474"/>
      <c r="BE84" s="474"/>
      <c r="BF84" s="474"/>
      <c r="BG84" s="474"/>
      <c r="BH84" s="474"/>
      <c r="BI84" s="474"/>
      <c r="BJ84" s="474"/>
      <c r="BK84" s="474"/>
      <c r="BL84" s="474"/>
      <c r="BM84" s="474"/>
      <c r="BN84" s="474"/>
      <c r="BO84" s="474"/>
      <c r="BP84" s="474"/>
      <c r="BQ84" s="5"/>
      <c r="BR84" s="5"/>
      <c r="BS84" s="5"/>
      <c r="BT84" s="5"/>
      <c r="BU84" s="5"/>
      <c r="BV84" s="5"/>
      <c r="BW84" s="5"/>
      <c r="BX84" s="5"/>
    </row>
    <row r="85" spans="1:76" ht="20.100000000000001" hidden="1" customHeight="1">
      <c r="A85" s="5"/>
      <c r="B85" s="484" t="str">
        <f>IF(ISBLANK(Values!M265),Values!J265,Values!M265)</f>
        <v/>
      </c>
      <c r="C85" s="484"/>
      <c r="D85" s="484"/>
      <c r="E85" s="484"/>
      <c r="F85" s="484"/>
      <c r="G85" s="484"/>
      <c r="H85" s="484"/>
      <c r="I85" s="484"/>
      <c r="J85" s="484"/>
      <c r="K85" s="484"/>
      <c r="L85" s="484"/>
      <c r="M85" s="5"/>
      <c r="N85" s="389" t="str">
        <f>IF(ISBLANK(Values!N265),Values!K265,Values!N265)</f>
        <v/>
      </c>
      <c r="O85" s="389"/>
      <c r="P85" s="389"/>
      <c r="Q85" s="389"/>
      <c r="R85" s="389"/>
      <c r="S85" s="5"/>
      <c r="T85" s="389" t="str">
        <f>IF(ISBLANK(Values!O265),Values!L265,Values!O265)</f>
        <v/>
      </c>
      <c r="U85" s="389"/>
      <c r="V85" s="389"/>
      <c r="W85" s="389"/>
      <c r="X85" s="389"/>
      <c r="Y85" s="389"/>
      <c r="Z85" s="5"/>
      <c r="AA85" s="484" t="str">
        <f>IF(ISBLANK(Values!M290),Values!J290,Values!M290)</f>
        <v/>
      </c>
      <c r="AB85" s="484"/>
      <c r="AC85" s="484"/>
      <c r="AD85" s="484"/>
      <c r="AE85" s="484"/>
      <c r="AF85" s="484"/>
      <c r="AG85" s="484"/>
      <c r="AH85" s="484"/>
      <c r="AI85" s="484"/>
      <c r="AJ85" s="484"/>
      <c r="AK85" s="484"/>
      <c r="AL85" s="5"/>
      <c r="AM85" s="389" t="str">
        <f>IF(ISBLANK(Values!N290),Values!K290,Values!N290)</f>
        <v/>
      </c>
      <c r="AN85" s="389"/>
      <c r="AO85" s="389"/>
      <c r="AP85" s="389"/>
      <c r="AQ85" s="389"/>
      <c r="AR85" s="5"/>
      <c r="AS85" s="389" t="str">
        <f>IF(ISBLANK(Values!O290),Values!L290,Values!O290)</f>
        <v/>
      </c>
      <c r="AT85" s="389"/>
      <c r="AU85" s="389"/>
      <c r="AV85" s="389"/>
      <c r="AW85" s="389"/>
      <c r="AX85" s="389"/>
      <c r="AY85" s="5"/>
      <c r="AZ85" s="5"/>
      <c r="BA85" s="474"/>
      <c r="BB85" s="474"/>
      <c r="BC85" s="474"/>
      <c r="BD85" s="474"/>
      <c r="BE85" s="474"/>
      <c r="BF85" s="474"/>
      <c r="BG85" s="474"/>
      <c r="BH85" s="474"/>
      <c r="BI85" s="474"/>
      <c r="BJ85" s="474"/>
      <c r="BK85" s="474"/>
      <c r="BL85" s="474"/>
      <c r="BM85" s="474"/>
      <c r="BN85" s="474"/>
      <c r="BO85" s="474"/>
      <c r="BP85" s="474"/>
      <c r="BQ85" s="5"/>
      <c r="BR85" s="5"/>
      <c r="BS85" s="5"/>
      <c r="BT85" s="5"/>
      <c r="BU85" s="5"/>
      <c r="BV85" s="5"/>
      <c r="BW85" s="5"/>
      <c r="BX85" s="5"/>
    </row>
    <row r="86" spans="1:76" ht="20.100000000000001" hidden="1" customHeight="1">
      <c r="A86" s="5"/>
      <c r="B86" s="484" t="str">
        <f>IF(ISBLANK(Values!M266),Values!J266,Values!M266)</f>
        <v/>
      </c>
      <c r="C86" s="484"/>
      <c r="D86" s="484"/>
      <c r="E86" s="484"/>
      <c r="F86" s="484"/>
      <c r="G86" s="484"/>
      <c r="H86" s="484"/>
      <c r="I86" s="484"/>
      <c r="J86" s="484"/>
      <c r="K86" s="484"/>
      <c r="L86" s="484"/>
      <c r="M86" s="5"/>
      <c r="N86" s="389" t="str">
        <f>IF(ISBLANK(Values!N266),Values!K266,Values!N266)</f>
        <v/>
      </c>
      <c r="O86" s="389"/>
      <c r="P86" s="389"/>
      <c r="Q86" s="389"/>
      <c r="R86" s="389"/>
      <c r="S86" s="5"/>
      <c r="T86" s="389" t="str">
        <f>IF(ISBLANK(Values!O266),Values!L266,Values!O266)</f>
        <v/>
      </c>
      <c r="U86" s="389"/>
      <c r="V86" s="389"/>
      <c r="W86" s="389"/>
      <c r="X86" s="389"/>
      <c r="Y86" s="389"/>
      <c r="Z86" s="5"/>
      <c r="AA86" s="484" t="str">
        <f>IF(ISBLANK(Values!M291),Values!J291,Values!M291)</f>
        <v/>
      </c>
      <c r="AB86" s="484"/>
      <c r="AC86" s="484"/>
      <c r="AD86" s="484"/>
      <c r="AE86" s="484"/>
      <c r="AF86" s="484"/>
      <c r="AG86" s="484"/>
      <c r="AH86" s="484"/>
      <c r="AI86" s="484"/>
      <c r="AJ86" s="484"/>
      <c r="AK86" s="484"/>
      <c r="AL86" s="5"/>
      <c r="AM86" s="389" t="str">
        <f>IF(ISBLANK(Values!N291),Values!K291,Values!N291)</f>
        <v/>
      </c>
      <c r="AN86" s="389"/>
      <c r="AO86" s="389"/>
      <c r="AP86" s="389"/>
      <c r="AQ86" s="389"/>
      <c r="AR86" s="5"/>
      <c r="AS86" s="389" t="str">
        <f>IF(ISBLANK(Values!O291),Values!L291,Values!O291)</f>
        <v/>
      </c>
      <c r="AT86" s="389"/>
      <c r="AU86" s="389"/>
      <c r="AV86" s="389"/>
      <c r="AW86" s="389"/>
      <c r="AX86" s="389"/>
      <c r="AY86" s="5"/>
      <c r="AZ86" s="5"/>
      <c r="BA86" s="474"/>
      <c r="BB86" s="474"/>
      <c r="BC86" s="474"/>
      <c r="BD86" s="474"/>
      <c r="BE86" s="474"/>
      <c r="BF86" s="474"/>
      <c r="BG86" s="474"/>
      <c r="BH86" s="474"/>
      <c r="BI86" s="474"/>
      <c r="BJ86" s="474"/>
      <c r="BK86" s="474"/>
      <c r="BL86" s="474"/>
      <c r="BM86" s="474"/>
      <c r="BN86" s="474"/>
      <c r="BO86" s="474"/>
      <c r="BP86" s="474"/>
      <c r="BQ86" s="5"/>
      <c r="BR86" s="5"/>
      <c r="BS86" s="5"/>
      <c r="BT86" s="5"/>
      <c r="BU86" s="5"/>
      <c r="BV86" s="5"/>
      <c r="BW86" s="5"/>
      <c r="BX86" s="5"/>
    </row>
    <row r="87" spans="1:76" ht="20.100000000000001" hidden="1" customHeight="1">
      <c r="A87" s="5"/>
      <c r="B87" s="484" t="str">
        <f>IF(ISBLANK(Values!M267),Values!J267,Values!M267)</f>
        <v/>
      </c>
      <c r="C87" s="484"/>
      <c r="D87" s="484"/>
      <c r="E87" s="484"/>
      <c r="F87" s="484"/>
      <c r="G87" s="484"/>
      <c r="H87" s="484"/>
      <c r="I87" s="484"/>
      <c r="J87" s="484"/>
      <c r="K87" s="484"/>
      <c r="L87" s="484"/>
      <c r="M87" s="5"/>
      <c r="N87" s="389" t="str">
        <f>IF(ISBLANK(Values!N267),Values!K267,Values!N267)</f>
        <v/>
      </c>
      <c r="O87" s="389"/>
      <c r="P87" s="389"/>
      <c r="Q87" s="389"/>
      <c r="R87" s="389"/>
      <c r="S87" s="5"/>
      <c r="T87" s="389" t="str">
        <f>IF(ISBLANK(Values!O267),Values!L267,Values!O267)</f>
        <v/>
      </c>
      <c r="U87" s="389"/>
      <c r="V87" s="389"/>
      <c r="W87" s="389"/>
      <c r="X87" s="389"/>
      <c r="Y87" s="389"/>
      <c r="Z87" s="5"/>
      <c r="AA87" s="484" t="str">
        <f>IF(ISBLANK(Values!M292),Values!J292,Values!M292)</f>
        <v/>
      </c>
      <c r="AB87" s="484"/>
      <c r="AC87" s="484"/>
      <c r="AD87" s="484"/>
      <c r="AE87" s="484"/>
      <c r="AF87" s="484"/>
      <c r="AG87" s="484"/>
      <c r="AH87" s="484"/>
      <c r="AI87" s="484"/>
      <c r="AJ87" s="484"/>
      <c r="AK87" s="484"/>
      <c r="AL87" s="5"/>
      <c r="AM87" s="389" t="str">
        <f>IF(ISBLANK(Values!N292),Values!K292,Values!N292)</f>
        <v/>
      </c>
      <c r="AN87" s="389"/>
      <c r="AO87" s="389"/>
      <c r="AP87" s="389"/>
      <c r="AQ87" s="389"/>
      <c r="AR87" s="5"/>
      <c r="AS87" s="389" t="str">
        <f>IF(ISBLANK(Values!O292),Values!L292,Values!O292)</f>
        <v/>
      </c>
      <c r="AT87" s="389"/>
      <c r="AU87" s="389"/>
      <c r="AV87" s="389"/>
      <c r="AW87" s="389"/>
      <c r="AX87" s="389"/>
      <c r="AY87" s="5"/>
      <c r="AZ87" s="5"/>
      <c r="BA87" s="474"/>
      <c r="BB87" s="474"/>
      <c r="BC87" s="474"/>
      <c r="BD87" s="474"/>
      <c r="BE87" s="474"/>
      <c r="BF87" s="474"/>
      <c r="BG87" s="474"/>
      <c r="BH87" s="474"/>
      <c r="BI87" s="474"/>
      <c r="BJ87" s="474"/>
      <c r="BK87" s="474"/>
      <c r="BL87" s="474"/>
      <c r="BM87" s="474"/>
      <c r="BN87" s="474"/>
      <c r="BO87" s="474"/>
      <c r="BP87" s="474"/>
      <c r="BQ87" s="5"/>
      <c r="BR87" s="5"/>
      <c r="BS87" s="5"/>
      <c r="BT87" s="5"/>
      <c r="BU87" s="5"/>
      <c r="BV87" s="5"/>
      <c r="BW87" s="5"/>
      <c r="BX87" s="5"/>
    </row>
    <row r="88" spans="1:76" ht="20.100000000000001" customHeight="1">
      <c r="A88" s="5"/>
      <c r="B88" s="37"/>
      <c r="C88" s="37"/>
      <c r="D88" s="37"/>
      <c r="E88" s="37"/>
      <c r="F88" s="37"/>
      <c r="G88" s="37"/>
      <c r="H88" s="37"/>
      <c r="I88" s="37"/>
      <c r="J88" s="37"/>
      <c r="K88" s="5"/>
      <c r="L88" s="5"/>
      <c r="M88" s="5"/>
      <c r="N88" s="5"/>
      <c r="O88" s="5"/>
      <c r="P88" s="5"/>
      <c r="Q88" s="5"/>
      <c r="R88" s="5"/>
      <c r="S88" s="5"/>
      <c r="T88" s="5"/>
      <c r="U88" s="5"/>
      <c r="V88" s="5"/>
      <c r="W88" s="5"/>
      <c r="X88" s="5"/>
      <c r="Y88" s="5"/>
      <c r="Z88" s="5"/>
      <c r="AA88" s="5"/>
      <c r="AB88" s="5"/>
      <c r="AC88" s="5"/>
      <c r="AD88" s="5"/>
      <c r="AE88" s="5"/>
      <c r="AF88" s="5"/>
      <c r="AG88" s="5"/>
      <c r="AH88" s="5"/>
      <c r="AI88" s="5"/>
      <c r="AJ88" s="5"/>
      <c r="AK88" s="5"/>
      <c r="AL88" s="5"/>
      <c r="AM88" s="5"/>
      <c r="AN88" s="5"/>
      <c r="AO88" s="5"/>
      <c r="AP88" s="5"/>
      <c r="AQ88" s="5"/>
      <c r="AR88" s="5"/>
      <c r="AS88" s="5"/>
      <c r="AT88" s="5"/>
      <c r="AU88" s="5"/>
      <c r="AV88" s="5"/>
      <c r="AW88" s="5"/>
      <c r="AX88" s="5"/>
      <c r="AY88" s="5"/>
      <c r="AZ88" s="5"/>
      <c r="BA88" s="474"/>
      <c r="BB88" s="474"/>
      <c r="BC88" s="474"/>
      <c r="BD88" s="474"/>
      <c r="BE88" s="474"/>
      <c r="BF88" s="474"/>
      <c r="BG88" s="474"/>
      <c r="BH88" s="474"/>
      <c r="BI88" s="474"/>
      <c r="BJ88" s="474"/>
      <c r="BK88" s="474"/>
      <c r="BL88" s="474"/>
      <c r="BM88" s="474"/>
      <c r="BN88" s="474"/>
      <c r="BO88" s="474"/>
      <c r="BP88" s="474"/>
      <c r="BQ88" s="5"/>
      <c r="BR88" s="5"/>
      <c r="BS88" s="5"/>
      <c r="BT88" s="5"/>
      <c r="BU88" s="5"/>
      <c r="BV88" s="5"/>
      <c r="BW88" s="5"/>
      <c r="BX88" s="5"/>
    </row>
    <row r="89" spans="1:76" ht="20.100000000000001" customHeight="1">
      <c r="A89" s="5"/>
      <c r="B89" s="5"/>
      <c r="C89" s="5"/>
      <c r="D89" s="5"/>
      <c r="E89" s="5"/>
      <c r="F89" s="5"/>
      <c r="G89" s="5"/>
      <c r="H89" s="5"/>
      <c r="I89" s="5"/>
      <c r="J89" s="5"/>
      <c r="K89" s="5"/>
      <c r="L89" s="5"/>
      <c r="M89" s="5"/>
      <c r="N89" s="5"/>
      <c r="O89" s="5"/>
      <c r="P89" s="5"/>
      <c r="Q89" s="5"/>
      <c r="R89" s="5"/>
      <c r="S89" s="5"/>
      <c r="T89" s="5"/>
      <c r="U89" s="5"/>
      <c r="V89" s="5"/>
      <c r="W89" s="5"/>
      <c r="X89" s="385" t="s">
        <v>86</v>
      </c>
      <c r="Y89" s="385"/>
      <c r="Z89" s="385"/>
      <c r="AA89" s="385"/>
      <c r="AB89" s="385"/>
      <c r="AC89" s="5"/>
      <c r="AD89" s="5"/>
      <c r="AE89" s="5"/>
      <c r="AF89" s="5"/>
      <c r="AG89" s="5"/>
      <c r="AH89" s="5"/>
      <c r="AI89" s="6"/>
      <c r="AJ89" s="5"/>
      <c r="AK89" s="5"/>
      <c r="AL89" s="5"/>
      <c r="AM89" s="5"/>
      <c r="AN89" s="5"/>
      <c r="AO89" s="5"/>
      <c r="AP89" s="5"/>
      <c r="AQ89" s="5"/>
      <c r="AR89" s="5"/>
      <c r="AS89" s="5"/>
      <c r="AT89" s="5"/>
      <c r="AU89" s="5"/>
      <c r="AV89" s="5"/>
      <c r="AW89" s="5"/>
      <c r="AX89" s="5"/>
      <c r="AY89" s="5"/>
      <c r="AZ89" s="5"/>
      <c r="BA89" s="5"/>
      <c r="BB89" s="5"/>
      <c r="BC89" s="5"/>
      <c r="BD89" s="5"/>
      <c r="BE89" s="5"/>
      <c r="BF89" s="5"/>
      <c r="BG89" s="5"/>
      <c r="BH89" s="5"/>
      <c r="BI89" s="5"/>
      <c r="BJ89" s="5"/>
      <c r="BK89" s="5"/>
      <c r="BL89" s="5"/>
      <c r="BM89" s="5"/>
      <c r="BN89" s="5"/>
      <c r="BO89" s="5"/>
      <c r="BP89" s="5"/>
      <c r="BQ89" s="5"/>
      <c r="BR89" s="5"/>
      <c r="BS89" s="5"/>
      <c r="BT89" s="5"/>
      <c r="BU89" s="5"/>
      <c r="BV89" s="5"/>
      <c r="BW89" s="5"/>
      <c r="BX89" s="5"/>
    </row>
    <row r="90" spans="1:76" ht="20.100000000000001" customHeight="1">
      <c r="A90" s="5"/>
      <c r="B90" s="5"/>
      <c r="C90" s="5"/>
      <c r="D90" s="5"/>
      <c r="E90" s="5"/>
      <c r="F90" s="5"/>
      <c r="G90" s="5"/>
      <c r="H90" s="5"/>
      <c r="I90" s="5"/>
      <c r="J90" s="5"/>
      <c r="K90" s="5"/>
      <c r="L90" s="5"/>
      <c r="M90" s="5"/>
      <c r="N90" s="5"/>
      <c r="O90" s="5"/>
      <c r="P90" s="5"/>
      <c r="Q90" s="5"/>
      <c r="R90" s="5"/>
      <c r="S90" s="5"/>
      <c r="T90" s="5"/>
      <c r="U90" s="5"/>
      <c r="V90" s="5"/>
      <c r="W90" s="5"/>
      <c r="X90" s="385"/>
      <c r="Y90" s="385"/>
      <c r="Z90" s="385"/>
      <c r="AA90" s="385"/>
      <c r="AB90" s="385"/>
      <c r="AC90" s="5"/>
      <c r="AD90" s="5"/>
      <c r="AE90" s="5"/>
      <c r="AF90" s="5"/>
      <c r="AG90" s="5"/>
      <c r="AH90" s="5"/>
      <c r="AI90" s="5"/>
      <c r="AJ90" s="5"/>
      <c r="AK90" s="5"/>
      <c r="AL90" s="5"/>
      <c r="AM90" s="5"/>
      <c r="AN90" s="5"/>
      <c r="AO90" s="5"/>
      <c r="AP90" s="5"/>
      <c r="AQ90" s="5"/>
      <c r="AR90" s="5"/>
      <c r="AS90" s="5"/>
      <c r="AT90" s="5"/>
      <c r="AU90" s="5"/>
      <c r="AV90" s="5"/>
      <c r="AW90" s="5"/>
      <c r="AX90" s="5"/>
      <c r="AY90" s="5"/>
      <c r="AZ90" s="5"/>
      <c r="BA90" s="5"/>
      <c r="BB90" s="5"/>
      <c r="BC90" s="5"/>
      <c r="BD90" s="5"/>
      <c r="BE90" s="5"/>
      <c r="BF90" s="5"/>
      <c r="BG90" s="5"/>
      <c r="BH90" s="5"/>
      <c r="BI90" s="5"/>
      <c r="BJ90" s="5"/>
      <c r="BK90" s="5"/>
      <c r="BL90" s="5"/>
      <c r="BM90" s="5"/>
      <c r="BN90" s="5"/>
      <c r="BO90" s="5"/>
      <c r="BP90" s="5"/>
      <c r="BQ90" s="5"/>
      <c r="BR90" s="5"/>
      <c r="BS90" s="5"/>
      <c r="BT90" s="5"/>
      <c r="BU90" s="5"/>
      <c r="BV90" s="5"/>
      <c r="BW90" s="5"/>
      <c r="BX90" s="5"/>
    </row>
    <row r="91" spans="1:76" ht="20.100000000000001" customHeight="1">
      <c r="A91" s="5"/>
      <c r="B91" s="382" t="s">
        <v>80</v>
      </c>
      <c r="C91" s="382"/>
      <c r="D91" s="382"/>
      <c r="E91" s="382"/>
      <c r="F91" s="382"/>
      <c r="G91" s="382"/>
      <c r="H91" s="382"/>
      <c r="I91" s="382"/>
      <c r="J91" s="382"/>
      <c r="K91" s="382"/>
      <c r="L91" s="382"/>
      <c r="M91" s="382"/>
      <c r="N91" s="382"/>
      <c r="O91" s="382"/>
      <c r="P91" s="382"/>
      <c r="Q91" s="382"/>
      <c r="R91" s="382"/>
      <c r="S91" s="382"/>
      <c r="T91" s="5"/>
      <c r="U91" s="382" t="s">
        <v>3165</v>
      </c>
      <c r="V91" s="382"/>
      <c r="W91" s="382"/>
      <c r="X91" s="382"/>
      <c r="Y91" s="382"/>
      <c r="Z91" s="5"/>
      <c r="AA91" s="382" t="s">
        <v>80</v>
      </c>
      <c r="AB91" s="382"/>
      <c r="AC91" s="382"/>
      <c r="AD91" s="382"/>
      <c r="AE91" s="382"/>
      <c r="AF91" s="382"/>
      <c r="AG91" s="382"/>
      <c r="AH91" s="382"/>
      <c r="AI91" s="382"/>
      <c r="AJ91" s="382"/>
      <c r="AK91" s="382"/>
      <c r="AL91" s="382"/>
      <c r="AM91" s="382"/>
      <c r="AN91" s="382"/>
      <c r="AO91" s="382"/>
      <c r="AP91" s="382"/>
      <c r="AQ91" s="382"/>
      <c r="AR91" s="382"/>
      <c r="AS91" s="5"/>
      <c r="AT91" s="382" t="s">
        <v>3165</v>
      </c>
      <c r="AU91" s="382"/>
      <c r="AV91" s="382"/>
      <c r="AW91" s="382"/>
      <c r="AX91" s="382"/>
      <c r="AY91" s="5"/>
      <c r="AZ91" s="5"/>
      <c r="BA91" s="5"/>
      <c r="BB91" s="5"/>
      <c r="BC91" s="5"/>
      <c r="BD91" s="5"/>
      <c r="BE91" s="5"/>
      <c r="BF91" s="5"/>
      <c r="BG91" s="5"/>
      <c r="BH91" s="5"/>
      <c r="BI91" s="5"/>
      <c r="BJ91" s="5"/>
      <c r="BK91" s="5"/>
      <c r="BL91" s="5"/>
      <c r="BM91" s="5"/>
      <c r="BN91" s="5"/>
      <c r="BO91" s="5"/>
      <c r="BP91" s="5"/>
      <c r="BQ91" s="5"/>
      <c r="BR91" s="5"/>
      <c r="BS91" s="5"/>
      <c r="BT91" s="5"/>
      <c r="BU91" s="5"/>
      <c r="BV91" s="5"/>
      <c r="BW91" s="5"/>
      <c r="BX91" s="5"/>
    </row>
    <row r="92" spans="1:76" ht="20.100000000000001" customHeight="1">
      <c r="A92" s="5"/>
      <c r="B92" s="484" t="str">
        <f>IF(ISBLANK(Values!M295),Values!J295,Values!M295)</f>
        <v/>
      </c>
      <c r="C92" s="484"/>
      <c r="D92" s="484"/>
      <c r="E92" s="484"/>
      <c r="F92" s="484"/>
      <c r="G92" s="484"/>
      <c r="H92" s="484"/>
      <c r="I92" s="484"/>
      <c r="J92" s="484"/>
      <c r="K92" s="484"/>
      <c r="L92" s="484"/>
      <c r="M92" s="484"/>
      <c r="N92" s="484"/>
      <c r="O92" s="484"/>
      <c r="P92" s="484"/>
      <c r="Q92" s="484"/>
      <c r="R92" s="484"/>
      <c r="S92" s="484"/>
      <c r="T92" s="5"/>
      <c r="U92" s="484" t="str">
        <f>IF(ISBLANK(Values!N295),Values!K295,Values!N295)</f>
        <v/>
      </c>
      <c r="V92" s="484"/>
      <c r="W92" s="484"/>
      <c r="X92" s="484"/>
      <c r="Y92" s="484"/>
      <c r="Z92" s="5"/>
      <c r="AA92" s="484" t="str">
        <f>IF(ISBLANK(Values!M309),Values!J309,Values!M309)</f>
        <v/>
      </c>
      <c r="AB92" s="484"/>
      <c r="AC92" s="484"/>
      <c r="AD92" s="484"/>
      <c r="AE92" s="484"/>
      <c r="AF92" s="484"/>
      <c r="AG92" s="484"/>
      <c r="AH92" s="484"/>
      <c r="AI92" s="484"/>
      <c r="AJ92" s="484"/>
      <c r="AK92" s="484"/>
      <c r="AL92" s="484"/>
      <c r="AM92" s="484"/>
      <c r="AN92" s="484"/>
      <c r="AO92" s="484"/>
      <c r="AP92" s="484"/>
      <c r="AQ92" s="484"/>
      <c r="AR92" s="484"/>
      <c r="AT92" s="484" t="str">
        <f>IF(ISBLANK(Values!N309),Values!K309,Values!N309)</f>
        <v/>
      </c>
      <c r="AU92" s="484"/>
      <c r="AV92" s="484"/>
      <c r="AW92" s="484"/>
      <c r="AX92" s="484"/>
      <c r="AZ92" s="5"/>
      <c r="BA92" s="5"/>
      <c r="BB92" s="5"/>
      <c r="BC92" s="5"/>
      <c r="BD92" s="5"/>
      <c r="BE92" s="5"/>
      <c r="BF92" s="5"/>
      <c r="BG92" s="5"/>
      <c r="BH92" s="5"/>
      <c r="BI92" s="5"/>
      <c r="BJ92" s="5"/>
      <c r="BK92" s="5"/>
      <c r="BL92" s="5"/>
      <c r="BM92" s="5"/>
      <c r="BN92" s="5"/>
      <c r="BO92" s="5"/>
      <c r="BP92" s="5"/>
      <c r="BQ92" s="5"/>
      <c r="BR92" s="5"/>
      <c r="BS92" s="5"/>
      <c r="BT92" s="5"/>
      <c r="BU92" s="5"/>
      <c r="BV92" s="5"/>
      <c r="BW92" s="5"/>
      <c r="BX92" s="5"/>
    </row>
    <row r="93" spans="1:76" ht="20.100000000000001" customHeight="1">
      <c r="A93" s="5"/>
      <c r="B93" s="484" t="str">
        <f>IF(ISBLANK(Values!M296),Values!J296,Values!M296)</f>
        <v/>
      </c>
      <c r="C93" s="484"/>
      <c r="D93" s="484"/>
      <c r="E93" s="484"/>
      <c r="F93" s="484"/>
      <c r="G93" s="484"/>
      <c r="H93" s="484"/>
      <c r="I93" s="484"/>
      <c r="J93" s="484"/>
      <c r="K93" s="484"/>
      <c r="L93" s="484"/>
      <c r="M93" s="484"/>
      <c r="N93" s="484"/>
      <c r="O93" s="484"/>
      <c r="P93" s="484"/>
      <c r="Q93" s="484"/>
      <c r="R93" s="484"/>
      <c r="S93" s="484"/>
      <c r="T93" s="5"/>
      <c r="U93" s="484" t="str">
        <f>IF(ISBLANK(Values!N296),Values!K296,Values!N296)</f>
        <v/>
      </c>
      <c r="V93" s="484"/>
      <c r="W93" s="484"/>
      <c r="X93" s="484"/>
      <c r="Y93" s="484"/>
      <c r="Z93" s="5"/>
      <c r="AA93" s="484" t="str">
        <f>IF(ISBLANK(Values!M310),Values!J310,Values!M310)</f>
        <v/>
      </c>
      <c r="AB93" s="484"/>
      <c r="AC93" s="484"/>
      <c r="AD93" s="484"/>
      <c r="AE93" s="484"/>
      <c r="AF93" s="484"/>
      <c r="AG93" s="484"/>
      <c r="AH93" s="484"/>
      <c r="AI93" s="484"/>
      <c r="AJ93" s="484"/>
      <c r="AK93" s="484"/>
      <c r="AL93" s="484"/>
      <c r="AM93" s="484"/>
      <c r="AN93" s="484"/>
      <c r="AO93" s="484"/>
      <c r="AP93" s="484"/>
      <c r="AQ93" s="484"/>
      <c r="AR93" s="484"/>
      <c r="AT93" s="484" t="str">
        <f>IF(ISBLANK(Values!N310),Values!K310,Values!N310)</f>
        <v/>
      </c>
      <c r="AU93" s="484"/>
      <c r="AV93" s="484"/>
      <c r="AW93" s="484"/>
      <c r="AX93" s="484"/>
      <c r="AZ93" s="5"/>
      <c r="BA93" s="41" t="s">
        <v>3262</v>
      </c>
      <c r="BB93" s="5"/>
      <c r="BC93" s="5"/>
      <c r="BD93" s="5"/>
      <c r="BE93" s="5"/>
      <c r="BF93" s="5"/>
      <c r="BG93" s="5"/>
      <c r="BH93" s="5"/>
      <c r="BI93" s="5"/>
      <c r="BJ93" s="5"/>
      <c r="BK93" s="5"/>
      <c r="BL93" s="5"/>
      <c r="BM93" s="5"/>
      <c r="BN93" s="5"/>
      <c r="BO93" s="5"/>
      <c r="BP93" s="5"/>
      <c r="BQ93" s="5"/>
      <c r="BR93" s="5"/>
      <c r="BS93" s="5"/>
      <c r="BT93" s="5"/>
      <c r="BU93" s="5"/>
      <c r="BV93" s="5"/>
      <c r="BW93" s="5"/>
      <c r="BX93" s="5"/>
    </row>
    <row r="94" spans="1:76" ht="20.100000000000001" customHeight="1">
      <c r="A94" s="5"/>
      <c r="B94" s="484" t="str">
        <f>IF(ISBLANK(Values!M297),Values!J297,Values!M297)</f>
        <v/>
      </c>
      <c r="C94" s="484"/>
      <c r="D94" s="484"/>
      <c r="E94" s="484"/>
      <c r="F94" s="484"/>
      <c r="G94" s="484"/>
      <c r="H94" s="484"/>
      <c r="I94" s="484"/>
      <c r="J94" s="484"/>
      <c r="K94" s="484"/>
      <c r="L94" s="484"/>
      <c r="M94" s="484"/>
      <c r="N94" s="484"/>
      <c r="O94" s="484"/>
      <c r="P94" s="484"/>
      <c r="Q94" s="484"/>
      <c r="R94" s="484"/>
      <c r="S94" s="484"/>
      <c r="T94" s="5"/>
      <c r="U94" s="484" t="str">
        <f>IF(ISBLANK(Values!N297),Values!K297,Values!N297)</f>
        <v/>
      </c>
      <c r="V94" s="484"/>
      <c r="W94" s="484"/>
      <c r="X94" s="484"/>
      <c r="Y94" s="484"/>
      <c r="Z94" s="5"/>
      <c r="AA94" s="484" t="str">
        <f>IF(ISBLANK(Values!M311),Values!J311,Values!M311)</f>
        <v/>
      </c>
      <c r="AB94" s="484"/>
      <c r="AC94" s="484"/>
      <c r="AD94" s="484"/>
      <c r="AE94" s="484"/>
      <c r="AF94" s="484"/>
      <c r="AG94" s="484"/>
      <c r="AH94" s="484"/>
      <c r="AI94" s="484"/>
      <c r="AJ94" s="484"/>
      <c r="AK94" s="484"/>
      <c r="AL94" s="484"/>
      <c r="AM94" s="484"/>
      <c r="AN94" s="484"/>
      <c r="AO94" s="484"/>
      <c r="AP94" s="484"/>
      <c r="AQ94" s="484"/>
      <c r="AR94" s="484"/>
      <c r="AT94" s="484" t="str">
        <f>IF(ISBLANK(Values!N311),Values!K311,Values!N311)</f>
        <v/>
      </c>
      <c r="AU94" s="484"/>
      <c r="AV94" s="484"/>
      <c r="AW94" s="484"/>
      <c r="AX94" s="484"/>
      <c r="AZ94" s="5"/>
      <c r="BA94" s="472">
        <f>Values!$AB$3</f>
        <v>0</v>
      </c>
      <c r="BB94" s="472"/>
      <c r="BC94" s="5"/>
      <c r="BD94" s="5"/>
      <c r="BE94" s="382" t="s">
        <v>3467</v>
      </c>
      <c r="BF94" s="382"/>
      <c r="BG94" s="382"/>
      <c r="BH94" s="382"/>
      <c r="BI94" s="382"/>
      <c r="BJ94" s="382"/>
      <c r="BK94" s="382"/>
      <c r="BL94" s="382"/>
      <c r="BM94" s="382"/>
      <c r="BN94" s="382"/>
      <c r="BO94" s="382"/>
      <c r="BP94" s="382"/>
      <c r="BQ94" s="5"/>
      <c r="BR94" s="5"/>
      <c r="BS94" s="5"/>
      <c r="BT94" s="5"/>
      <c r="BU94" s="5"/>
      <c r="BV94" s="5"/>
      <c r="BW94" s="5"/>
      <c r="BX94" s="5"/>
    </row>
    <row r="95" spans="1:76" ht="20.100000000000001" hidden="1" customHeight="1">
      <c r="A95" s="5"/>
      <c r="B95" s="484" t="str">
        <f>IF(ISBLANK(Values!M298),Values!J298,Values!M298)</f>
        <v/>
      </c>
      <c r="C95" s="484"/>
      <c r="D95" s="484"/>
      <c r="E95" s="484"/>
      <c r="F95" s="484"/>
      <c r="G95" s="484"/>
      <c r="H95" s="484"/>
      <c r="I95" s="484"/>
      <c r="J95" s="484"/>
      <c r="K95" s="484"/>
      <c r="L95" s="484"/>
      <c r="M95" s="484"/>
      <c r="N95" s="484"/>
      <c r="O95" s="484"/>
      <c r="P95" s="484"/>
      <c r="Q95" s="484"/>
      <c r="R95" s="484"/>
      <c r="S95" s="484"/>
      <c r="U95" s="484" t="str">
        <f>IF(ISBLANK(Values!N298),Values!K298,Values!N298)</f>
        <v/>
      </c>
      <c r="V95" s="484"/>
      <c r="W95" s="484"/>
      <c r="X95" s="484"/>
      <c r="Y95" s="484"/>
      <c r="AA95" s="484" t="str">
        <f>IF(ISBLANK(Values!M312),Values!J312,Values!M312)</f>
        <v/>
      </c>
      <c r="AB95" s="484"/>
      <c r="AC95" s="484"/>
      <c r="AD95" s="484"/>
      <c r="AE95" s="484"/>
      <c r="AF95" s="484"/>
      <c r="AG95" s="484"/>
      <c r="AH95" s="484"/>
      <c r="AI95" s="484"/>
      <c r="AJ95" s="484"/>
      <c r="AK95" s="484"/>
      <c r="AL95" s="484"/>
      <c r="AM95" s="484"/>
      <c r="AN95" s="484"/>
      <c r="AO95" s="484"/>
      <c r="AP95" s="484"/>
      <c r="AQ95" s="484"/>
      <c r="AR95" s="484"/>
      <c r="AT95" s="484" t="str">
        <f>IF(ISBLANK(Values!N312),Values!K312,Values!N312)</f>
        <v/>
      </c>
      <c r="AU95" s="484"/>
      <c r="AV95" s="484"/>
      <c r="AW95" s="484"/>
      <c r="AX95" s="484"/>
      <c r="AZ95" s="5"/>
      <c r="BA95" s="5"/>
      <c r="BB95" s="5"/>
      <c r="BC95" s="5"/>
      <c r="BD95" s="5"/>
      <c r="BE95" s="382"/>
      <c r="BF95" s="382"/>
      <c r="BG95" s="382"/>
      <c r="BH95" s="382"/>
      <c r="BI95" s="382"/>
      <c r="BJ95" s="382"/>
      <c r="BK95" s="382"/>
      <c r="BL95" s="382"/>
      <c r="BM95" s="382"/>
      <c r="BN95" s="382"/>
      <c r="BO95" s="382"/>
      <c r="BP95" s="382"/>
      <c r="BQ95" s="5"/>
      <c r="BR95" s="5"/>
      <c r="BS95" s="5"/>
      <c r="BT95" s="5"/>
      <c r="BU95" s="5"/>
      <c r="BV95" s="5"/>
      <c r="BW95" s="5"/>
      <c r="BX95" s="5"/>
    </row>
    <row r="96" spans="1:76" ht="20.100000000000001" hidden="1" customHeight="1">
      <c r="A96" s="5"/>
      <c r="B96" s="484" t="str">
        <f>IF(ISBLANK(Values!M299),Values!J299,Values!M299)</f>
        <v/>
      </c>
      <c r="C96" s="484"/>
      <c r="D96" s="484"/>
      <c r="E96" s="484"/>
      <c r="F96" s="484"/>
      <c r="G96" s="484"/>
      <c r="H96" s="484"/>
      <c r="I96" s="484"/>
      <c r="J96" s="484"/>
      <c r="K96" s="484"/>
      <c r="L96" s="484"/>
      <c r="M96" s="484"/>
      <c r="N96" s="484"/>
      <c r="O96" s="484"/>
      <c r="P96" s="484"/>
      <c r="Q96" s="484"/>
      <c r="R96" s="484"/>
      <c r="S96" s="484"/>
      <c r="U96" s="484" t="str">
        <f>IF(ISBLANK(Values!N299),Values!K299,Values!N299)</f>
        <v/>
      </c>
      <c r="V96" s="484"/>
      <c r="W96" s="484"/>
      <c r="X96" s="484"/>
      <c r="Y96" s="484"/>
      <c r="AA96" s="484" t="str">
        <f>IF(ISBLANK(Values!M313),Values!J313,Values!M313)</f>
        <v/>
      </c>
      <c r="AB96" s="484"/>
      <c r="AC96" s="484"/>
      <c r="AD96" s="484"/>
      <c r="AE96" s="484"/>
      <c r="AF96" s="484"/>
      <c r="AG96" s="484"/>
      <c r="AH96" s="484"/>
      <c r="AI96" s="484"/>
      <c r="AJ96" s="484"/>
      <c r="AK96" s="484"/>
      <c r="AL96" s="484"/>
      <c r="AM96" s="484"/>
      <c r="AN96" s="484"/>
      <c r="AO96" s="484"/>
      <c r="AP96" s="484"/>
      <c r="AQ96" s="484"/>
      <c r="AR96" s="484"/>
      <c r="AT96" s="484" t="str">
        <f>IF(ISBLANK(Values!N313),Values!K313,Values!N313)</f>
        <v/>
      </c>
      <c r="AU96" s="484"/>
      <c r="AV96" s="484"/>
      <c r="AW96" s="484"/>
      <c r="AX96" s="484"/>
      <c r="AZ96" s="5"/>
      <c r="BA96" s="5"/>
      <c r="BB96" s="5"/>
      <c r="BC96" s="5"/>
      <c r="BD96" s="5"/>
      <c r="BE96" s="382"/>
      <c r="BF96" s="382"/>
      <c r="BG96" s="382"/>
      <c r="BH96" s="382"/>
      <c r="BI96" s="382"/>
      <c r="BJ96" s="382"/>
      <c r="BK96" s="382"/>
      <c r="BL96" s="382"/>
      <c r="BM96" s="382"/>
      <c r="BN96" s="382"/>
      <c r="BO96" s="382"/>
      <c r="BP96" s="382"/>
      <c r="BQ96" s="5"/>
      <c r="BR96" s="5"/>
      <c r="BS96" s="5"/>
      <c r="BT96" s="5"/>
      <c r="BU96" s="5"/>
      <c r="BV96" s="5"/>
      <c r="BW96" s="5"/>
      <c r="BX96" s="5"/>
    </row>
    <row r="97" spans="1:76" ht="20.100000000000001" hidden="1" customHeight="1">
      <c r="A97" s="5"/>
      <c r="B97" s="484" t="str">
        <f>IF(ISBLANK(Values!M300),Values!J300,Values!M300)</f>
        <v/>
      </c>
      <c r="C97" s="484"/>
      <c r="D97" s="484"/>
      <c r="E97" s="484"/>
      <c r="F97" s="484"/>
      <c r="G97" s="484"/>
      <c r="H97" s="484"/>
      <c r="I97" s="484"/>
      <c r="J97" s="484"/>
      <c r="K97" s="484"/>
      <c r="L97" s="484"/>
      <c r="M97" s="484"/>
      <c r="N97" s="484"/>
      <c r="O97" s="484"/>
      <c r="P97" s="484"/>
      <c r="Q97" s="484"/>
      <c r="R97" s="484"/>
      <c r="S97" s="484"/>
      <c r="U97" s="484" t="str">
        <f>IF(ISBLANK(Values!N300),Values!K300,Values!N300)</f>
        <v/>
      </c>
      <c r="V97" s="484"/>
      <c r="W97" s="484"/>
      <c r="X97" s="484"/>
      <c r="Y97" s="484"/>
      <c r="AA97" s="484" t="str">
        <f>IF(ISBLANK(Values!M314),Values!J314,Values!M314)</f>
        <v/>
      </c>
      <c r="AB97" s="484"/>
      <c r="AC97" s="484"/>
      <c r="AD97" s="484"/>
      <c r="AE97" s="484"/>
      <c r="AF97" s="484"/>
      <c r="AG97" s="484"/>
      <c r="AH97" s="484"/>
      <c r="AI97" s="484"/>
      <c r="AJ97" s="484"/>
      <c r="AK97" s="484"/>
      <c r="AL97" s="484"/>
      <c r="AM97" s="484"/>
      <c r="AN97" s="484"/>
      <c r="AO97" s="484"/>
      <c r="AP97" s="484"/>
      <c r="AQ97" s="484"/>
      <c r="AR97" s="484"/>
      <c r="AT97" s="484" t="str">
        <f>IF(ISBLANK(Values!N314),Values!K314,Values!N314)</f>
        <v/>
      </c>
      <c r="AU97" s="484"/>
      <c r="AV97" s="484"/>
      <c r="AW97" s="484"/>
      <c r="AX97" s="484"/>
      <c r="AZ97" s="5"/>
      <c r="BA97" s="5"/>
      <c r="BB97" s="5"/>
      <c r="BC97" s="5"/>
      <c r="BD97" s="5"/>
      <c r="BE97" s="382"/>
      <c r="BF97" s="382"/>
      <c r="BG97" s="382"/>
      <c r="BH97" s="382"/>
      <c r="BI97" s="382"/>
      <c r="BJ97" s="382"/>
      <c r="BK97" s="382"/>
      <c r="BL97" s="382"/>
      <c r="BM97" s="382"/>
      <c r="BN97" s="382"/>
      <c r="BO97" s="382"/>
      <c r="BP97" s="382"/>
      <c r="BQ97" s="5"/>
      <c r="BR97" s="5"/>
      <c r="BS97" s="5"/>
      <c r="BT97" s="5"/>
      <c r="BU97" s="5"/>
      <c r="BV97" s="5"/>
      <c r="BW97" s="5"/>
      <c r="BX97" s="5"/>
    </row>
    <row r="98" spans="1:76" ht="20.100000000000001" hidden="1" customHeight="1">
      <c r="A98" s="5"/>
      <c r="B98" s="484" t="str">
        <f>IF(ISBLANK(Values!M301),Values!J301,Values!M301)</f>
        <v/>
      </c>
      <c r="C98" s="484"/>
      <c r="D98" s="484"/>
      <c r="E98" s="484"/>
      <c r="F98" s="484"/>
      <c r="G98" s="484"/>
      <c r="H98" s="484"/>
      <c r="I98" s="484"/>
      <c r="J98" s="484"/>
      <c r="K98" s="484"/>
      <c r="L98" s="484"/>
      <c r="M98" s="484"/>
      <c r="N98" s="484"/>
      <c r="O98" s="484"/>
      <c r="P98" s="484"/>
      <c r="Q98" s="484"/>
      <c r="R98" s="484"/>
      <c r="S98" s="484"/>
      <c r="U98" s="484" t="str">
        <f>IF(ISBLANK(Values!N301),Values!K301,Values!N301)</f>
        <v/>
      </c>
      <c r="V98" s="484"/>
      <c r="W98" s="484"/>
      <c r="X98" s="484"/>
      <c r="Y98" s="484"/>
      <c r="AA98" s="484" t="str">
        <f>IF(ISBLANK(Values!M315),Values!J315,Values!M315)</f>
        <v/>
      </c>
      <c r="AB98" s="484"/>
      <c r="AC98" s="484"/>
      <c r="AD98" s="484"/>
      <c r="AE98" s="484"/>
      <c r="AF98" s="484"/>
      <c r="AG98" s="484"/>
      <c r="AH98" s="484"/>
      <c r="AI98" s="484"/>
      <c r="AJ98" s="484"/>
      <c r="AK98" s="484"/>
      <c r="AL98" s="484"/>
      <c r="AM98" s="484"/>
      <c r="AN98" s="484"/>
      <c r="AO98" s="484"/>
      <c r="AP98" s="484"/>
      <c r="AQ98" s="484"/>
      <c r="AR98" s="484"/>
      <c r="AT98" s="484" t="str">
        <f>IF(ISBLANK(Values!N315),Values!K315,Values!N315)</f>
        <v/>
      </c>
      <c r="AU98" s="484"/>
      <c r="AV98" s="484"/>
      <c r="AW98" s="484"/>
      <c r="AX98" s="484"/>
      <c r="AZ98" s="5"/>
      <c r="BA98" s="5"/>
      <c r="BB98" s="5"/>
      <c r="BC98" s="5"/>
      <c r="BD98" s="5"/>
      <c r="BE98" s="382"/>
      <c r="BF98" s="382"/>
      <c r="BG98" s="382"/>
      <c r="BH98" s="382"/>
      <c r="BI98" s="382"/>
      <c r="BJ98" s="382"/>
      <c r="BK98" s="382"/>
      <c r="BL98" s="382"/>
      <c r="BM98" s="382"/>
      <c r="BN98" s="382"/>
      <c r="BO98" s="382"/>
      <c r="BP98" s="382"/>
      <c r="BQ98" s="5"/>
      <c r="BR98" s="5"/>
      <c r="BS98" s="5"/>
      <c r="BT98" s="5"/>
      <c r="BU98" s="5"/>
      <c r="BV98" s="5"/>
      <c r="BW98" s="5"/>
      <c r="BX98" s="5"/>
    </row>
    <row r="99" spans="1:76" ht="20.100000000000001" hidden="1" customHeight="1">
      <c r="A99" s="5"/>
      <c r="B99" s="484" t="str">
        <f>IF(ISBLANK(Values!M302),Values!J302,Values!M302)</f>
        <v/>
      </c>
      <c r="C99" s="484"/>
      <c r="D99" s="484"/>
      <c r="E99" s="484"/>
      <c r="F99" s="484"/>
      <c r="G99" s="484"/>
      <c r="H99" s="484"/>
      <c r="I99" s="484"/>
      <c r="J99" s="484"/>
      <c r="K99" s="484"/>
      <c r="L99" s="484"/>
      <c r="M99" s="484"/>
      <c r="N99" s="484"/>
      <c r="O99" s="484"/>
      <c r="P99" s="484"/>
      <c r="Q99" s="484"/>
      <c r="R99" s="484"/>
      <c r="S99" s="484"/>
      <c r="U99" s="484" t="str">
        <f>IF(ISBLANK(Values!N302),Values!K302,Values!N302)</f>
        <v/>
      </c>
      <c r="V99" s="484"/>
      <c r="W99" s="484"/>
      <c r="X99" s="484"/>
      <c r="Y99" s="484"/>
      <c r="AA99" s="484" t="str">
        <f>IF(ISBLANK(Values!M316),Values!J316,Values!M316)</f>
        <v/>
      </c>
      <c r="AB99" s="484"/>
      <c r="AC99" s="484"/>
      <c r="AD99" s="484"/>
      <c r="AE99" s="484"/>
      <c r="AF99" s="484"/>
      <c r="AG99" s="484"/>
      <c r="AH99" s="484"/>
      <c r="AI99" s="484"/>
      <c r="AJ99" s="484"/>
      <c r="AK99" s="484"/>
      <c r="AL99" s="484"/>
      <c r="AM99" s="484"/>
      <c r="AN99" s="484"/>
      <c r="AO99" s="484"/>
      <c r="AP99" s="484"/>
      <c r="AQ99" s="484"/>
      <c r="AR99" s="484"/>
      <c r="AT99" s="484" t="str">
        <f>IF(ISBLANK(Values!N316),Values!K316,Values!N316)</f>
        <v/>
      </c>
      <c r="AU99" s="484"/>
      <c r="AV99" s="484"/>
      <c r="AW99" s="484"/>
      <c r="AX99" s="484"/>
      <c r="AZ99" s="5"/>
      <c r="BA99" s="5"/>
      <c r="BB99" s="5"/>
      <c r="BC99" s="5"/>
      <c r="BD99" s="5"/>
      <c r="BE99" s="382"/>
      <c r="BF99" s="382"/>
      <c r="BG99" s="382"/>
      <c r="BH99" s="382"/>
      <c r="BI99" s="382"/>
      <c r="BJ99" s="382"/>
      <c r="BK99" s="382"/>
      <c r="BL99" s="382"/>
      <c r="BM99" s="382"/>
      <c r="BN99" s="382"/>
      <c r="BO99" s="382"/>
      <c r="BP99" s="382"/>
      <c r="BQ99" s="5"/>
      <c r="BR99" s="5"/>
      <c r="BS99" s="5"/>
      <c r="BT99" s="5"/>
      <c r="BU99" s="5"/>
      <c r="BV99" s="5"/>
      <c r="BW99" s="5"/>
      <c r="BX99" s="5"/>
    </row>
    <row r="100" spans="1:76" ht="20.100000000000001" hidden="1" customHeight="1">
      <c r="A100" s="5"/>
      <c r="B100" s="484" t="str">
        <f>IF(ISBLANK(Values!M303),Values!J303,Values!M303)</f>
        <v/>
      </c>
      <c r="C100" s="484"/>
      <c r="D100" s="484"/>
      <c r="E100" s="484"/>
      <c r="F100" s="484"/>
      <c r="G100" s="484"/>
      <c r="H100" s="484"/>
      <c r="I100" s="484"/>
      <c r="J100" s="484"/>
      <c r="K100" s="484"/>
      <c r="L100" s="484"/>
      <c r="M100" s="484"/>
      <c r="N100" s="484"/>
      <c r="O100" s="484"/>
      <c r="P100" s="484"/>
      <c r="Q100" s="484"/>
      <c r="R100" s="484"/>
      <c r="S100" s="484"/>
      <c r="U100" s="484" t="str">
        <f>IF(ISBLANK(Values!N303),Values!K303,Values!N303)</f>
        <v/>
      </c>
      <c r="V100" s="484"/>
      <c r="W100" s="484"/>
      <c r="X100" s="484"/>
      <c r="Y100" s="484"/>
      <c r="AA100" s="484" t="str">
        <f>IF(ISBLANK(Values!M317),Values!J317,Values!M317)</f>
        <v/>
      </c>
      <c r="AB100" s="484"/>
      <c r="AC100" s="484"/>
      <c r="AD100" s="484"/>
      <c r="AE100" s="484"/>
      <c r="AF100" s="484"/>
      <c r="AG100" s="484"/>
      <c r="AH100" s="484"/>
      <c r="AI100" s="484"/>
      <c r="AJ100" s="484"/>
      <c r="AK100" s="484"/>
      <c r="AL100" s="484"/>
      <c r="AM100" s="484"/>
      <c r="AN100" s="484"/>
      <c r="AO100" s="484"/>
      <c r="AP100" s="484"/>
      <c r="AQ100" s="484"/>
      <c r="AR100" s="484"/>
      <c r="AT100" s="484" t="str">
        <f>IF(ISBLANK(Values!N317),Values!K317,Values!N317)</f>
        <v/>
      </c>
      <c r="AU100" s="484"/>
      <c r="AV100" s="484"/>
      <c r="AW100" s="484"/>
      <c r="AX100" s="484"/>
      <c r="AZ100" s="5"/>
      <c r="BA100" s="5"/>
      <c r="BB100" s="5"/>
      <c r="BC100" s="5"/>
      <c r="BD100" s="5"/>
      <c r="BE100" s="382"/>
      <c r="BF100" s="382"/>
      <c r="BG100" s="382"/>
      <c r="BH100" s="382"/>
      <c r="BI100" s="382"/>
      <c r="BJ100" s="382"/>
      <c r="BK100" s="382"/>
      <c r="BL100" s="382"/>
      <c r="BM100" s="382"/>
      <c r="BN100" s="382"/>
      <c r="BO100" s="382"/>
      <c r="BP100" s="382"/>
      <c r="BQ100" s="5"/>
      <c r="BR100" s="5"/>
      <c r="BS100" s="5"/>
      <c r="BT100" s="5"/>
      <c r="BU100" s="5"/>
      <c r="BV100" s="5"/>
      <c r="BW100" s="5"/>
      <c r="BX100" s="5"/>
    </row>
    <row r="101" spans="1:76" ht="20.100000000000001" hidden="1" customHeight="1">
      <c r="A101" s="5"/>
      <c r="B101" s="484" t="str">
        <f>IF(ISBLANK(Values!M304),Values!J304,Values!M304)</f>
        <v/>
      </c>
      <c r="C101" s="484"/>
      <c r="D101" s="484"/>
      <c r="E101" s="484"/>
      <c r="F101" s="484"/>
      <c r="G101" s="484"/>
      <c r="H101" s="484"/>
      <c r="I101" s="484"/>
      <c r="J101" s="484"/>
      <c r="K101" s="484"/>
      <c r="L101" s="484"/>
      <c r="M101" s="484"/>
      <c r="N101" s="484"/>
      <c r="O101" s="484"/>
      <c r="P101" s="484"/>
      <c r="Q101" s="484"/>
      <c r="R101" s="484"/>
      <c r="S101" s="484"/>
      <c r="U101" s="484" t="str">
        <f>IF(ISBLANK(Values!N304),Values!K304,Values!N304)</f>
        <v/>
      </c>
      <c r="V101" s="484"/>
      <c r="W101" s="484"/>
      <c r="X101" s="484"/>
      <c r="Y101" s="484"/>
      <c r="AA101" s="484" t="str">
        <f>IF(ISBLANK(Values!M318),Values!J318,Values!M318)</f>
        <v/>
      </c>
      <c r="AB101" s="484"/>
      <c r="AC101" s="484"/>
      <c r="AD101" s="484"/>
      <c r="AE101" s="484"/>
      <c r="AF101" s="484"/>
      <c r="AG101" s="484"/>
      <c r="AH101" s="484"/>
      <c r="AI101" s="484"/>
      <c r="AJ101" s="484"/>
      <c r="AK101" s="484"/>
      <c r="AL101" s="484"/>
      <c r="AM101" s="484"/>
      <c r="AN101" s="484"/>
      <c r="AO101" s="484"/>
      <c r="AP101" s="484"/>
      <c r="AQ101" s="484"/>
      <c r="AR101" s="484"/>
      <c r="AT101" s="484" t="str">
        <f>IF(ISBLANK(Values!N318),Values!K318,Values!N318)</f>
        <v/>
      </c>
      <c r="AU101" s="484"/>
      <c r="AV101" s="484"/>
      <c r="AW101" s="484"/>
      <c r="AX101" s="484"/>
      <c r="AZ101" s="5"/>
      <c r="BA101" s="5"/>
      <c r="BB101" s="5"/>
      <c r="BC101" s="5"/>
      <c r="BD101" s="5"/>
      <c r="BE101" s="382"/>
      <c r="BF101" s="382"/>
      <c r="BG101" s="382"/>
      <c r="BH101" s="382"/>
      <c r="BI101" s="382"/>
      <c r="BJ101" s="382"/>
      <c r="BK101" s="382"/>
      <c r="BL101" s="382"/>
      <c r="BM101" s="382"/>
      <c r="BN101" s="382"/>
      <c r="BO101" s="382"/>
      <c r="BP101" s="382"/>
      <c r="BQ101" s="5"/>
      <c r="BR101" s="5"/>
      <c r="BS101" s="5"/>
      <c r="BT101" s="5"/>
      <c r="BU101" s="5"/>
      <c r="BV101" s="5"/>
      <c r="BW101" s="5"/>
      <c r="BX101" s="5"/>
    </row>
    <row r="102" spans="1:76" ht="20.100000000000001" hidden="1" customHeight="1">
      <c r="A102" s="5"/>
      <c r="B102" s="484" t="str">
        <f>IF(ISBLANK(Values!M305),Values!J305,Values!M305)</f>
        <v/>
      </c>
      <c r="C102" s="484"/>
      <c r="D102" s="484"/>
      <c r="E102" s="484"/>
      <c r="F102" s="484"/>
      <c r="G102" s="484"/>
      <c r="H102" s="484"/>
      <c r="I102" s="484"/>
      <c r="J102" s="484"/>
      <c r="K102" s="484"/>
      <c r="L102" s="484"/>
      <c r="M102" s="484"/>
      <c r="N102" s="484"/>
      <c r="O102" s="484"/>
      <c r="P102" s="484"/>
      <c r="Q102" s="484"/>
      <c r="R102" s="484"/>
      <c r="S102" s="484"/>
      <c r="U102" s="484" t="str">
        <f>IF(ISBLANK(Values!N305),Values!K305,Values!N305)</f>
        <v/>
      </c>
      <c r="V102" s="484"/>
      <c r="W102" s="484"/>
      <c r="X102" s="484"/>
      <c r="Y102" s="484"/>
      <c r="AA102" s="484" t="str">
        <f>IF(ISBLANK(Values!M319),Values!J319,Values!M319)</f>
        <v/>
      </c>
      <c r="AB102" s="484"/>
      <c r="AC102" s="484"/>
      <c r="AD102" s="484"/>
      <c r="AE102" s="484"/>
      <c r="AF102" s="484"/>
      <c r="AG102" s="484"/>
      <c r="AH102" s="484"/>
      <c r="AI102" s="484"/>
      <c r="AJ102" s="484"/>
      <c r="AK102" s="484"/>
      <c r="AL102" s="484"/>
      <c r="AM102" s="484"/>
      <c r="AN102" s="484"/>
      <c r="AO102" s="484"/>
      <c r="AP102" s="484"/>
      <c r="AQ102" s="484"/>
      <c r="AR102" s="484"/>
      <c r="AT102" s="484" t="str">
        <f>IF(ISBLANK(Values!N319),Values!K319,Values!N319)</f>
        <v/>
      </c>
      <c r="AU102" s="484"/>
      <c r="AV102" s="484"/>
      <c r="AW102" s="484"/>
      <c r="AX102" s="484"/>
      <c r="AZ102" s="5"/>
      <c r="BA102" s="5"/>
      <c r="BB102" s="5"/>
      <c r="BC102" s="5"/>
      <c r="BD102" s="5"/>
      <c r="BE102" s="382"/>
      <c r="BF102" s="382"/>
      <c r="BG102" s="382"/>
      <c r="BH102" s="382"/>
      <c r="BI102" s="382"/>
      <c r="BJ102" s="382"/>
      <c r="BK102" s="382"/>
      <c r="BL102" s="382"/>
      <c r="BM102" s="382"/>
      <c r="BN102" s="382"/>
      <c r="BO102" s="382"/>
      <c r="BP102" s="382"/>
      <c r="BQ102" s="5"/>
      <c r="BR102" s="5"/>
      <c r="BS102" s="5"/>
      <c r="BT102" s="5"/>
      <c r="BU102" s="5"/>
      <c r="BV102" s="5"/>
      <c r="BW102" s="5"/>
      <c r="BX102" s="5"/>
    </row>
    <row r="103" spans="1:76" ht="20.100000000000001" hidden="1" customHeight="1">
      <c r="A103" s="5"/>
      <c r="B103" s="484" t="str">
        <f>IF(ISBLANK(Values!M306),Values!J306,Values!M306)</f>
        <v/>
      </c>
      <c r="C103" s="484"/>
      <c r="D103" s="484"/>
      <c r="E103" s="484"/>
      <c r="F103" s="484"/>
      <c r="G103" s="484"/>
      <c r="H103" s="484"/>
      <c r="I103" s="484"/>
      <c r="J103" s="484"/>
      <c r="K103" s="484"/>
      <c r="L103" s="484"/>
      <c r="M103" s="484"/>
      <c r="N103" s="484"/>
      <c r="O103" s="484"/>
      <c r="P103" s="484"/>
      <c r="Q103" s="484"/>
      <c r="R103" s="484"/>
      <c r="S103" s="484"/>
      <c r="U103" s="484" t="str">
        <f>IF(ISBLANK(Values!N306),Values!K306,Values!N306)</f>
        <v/>
      </c>
      <c r="V103" s="484"/>
      <c r="W103" s="484"/>
      <c r="X103" s="484"/>
      <c r="Y103" s="484"/>
      <c r="AA103" s="484" t="str">
        <f>IF(ISBLANK(Values!M320),Values!J320,Values!M320)</f>
        <v/>
      </c>
      <c r="AB103" s="484"/>
      <c r="AC103" s="484"/>
      <c r="AD103" s="484"/>
      <c r="AE103" s="484"/>
      <c r="AF103" s="484"/>
      <c r="AG103" s="484"/>
      <c r="AH103" s="484"/>
      <c r="AI103" s="484"/>
      <c r="AJ103" s="484"/>
      <c r="AK103" s="484"/>
      <c r="AL103" s="484"/>
      <c r="AM103" s="484"/>
      <c r="AN103" s="484"/>
      <c r="AO103" s="484"/>
      <c r="AP103" s="484"/>
      <c r="AQ103" s="484"/>
      <c r="AR103" s="484"/>
      <c r="AT103" s="484" t="str">
        <f>IF(ISBLANK(Values!N320),Values!K320,Values!N320)</f>
        <v/>
      </c>
      <c r="AU103" s="484"/>
      <c r="AV103" s="484"/>
      <c r="AW103" s="484"/>
      <c r="AX103" s="484"/>
      <c r="AZ103" s="5"/>
      <c r="BA103" s="5"/>
      <c r="BB103" s="5"/>
      <c r="BC103" s="5"/>
      <c r="BD103" s="5"/>
      <c r="BE103" s="382"/>
      <c r="BF103" s="382"/>
      <c r="BG103" s="382"/>
      <c r="BH103" s="382"/>
      <c r="BI103" s="382"/>
      <c r="BJ103" s="382"/>
      <c r="BK103" s="382"/>
      <c r="BL103" s="382"/>
      <c r="BM103" s="382"/>
      <c r="BN103" s="382"/>
      <c r="BO103" s="382"/>
      <c r="BP103" s="382"/>
      <c r="BQ103" s="5"/>
      <c r="BR103" s="5"/>
      <c r="BS103" s="5"/>
      <c r="BT103" s="5"/>
      <c r="BU103" s="5"/>
      <c r="BV103" s="5"/>
      <c r="BW103" s="5"/>
      <c r="BX103" s="5"/>
    </row>
    <row r="104" spans="1:76" ht="20.100000000000001" hidden="1" customHeight="1">
      <c r="A104" s="5"/>
      <c r="B104" s="484" t="str">
        <f>IF(ISBLANK(Values!M307),Values!J307,Values!M307)</f>
        <v/>
      </c>
      <c r="C104" s="484"/>
      <c r="D104" s="484"/>
      <c r="E104" s="484"/>
      <c r="F104" s="484"/>
      <c r="G104" s="484"/>
      <c r="H104" s="484"/>
      <c r="I104" s="484"/>
      <c r="J104" s="484"/>
      <c r="K104" s="484"/>
      <c r="L104" s="484"/>
      <c r="M104" s="484"/>
      <c r="N104" s="484"/>
      <c r="O104" s="484"/>
      <c r="P104" s="484"/>
      <c r="Q104" s="484"/>
      <c r="R104" s="484"/>
      <c r="S104" s="484"/>
      <c r="U104" s="484" t="str">
        <f>IF(ISBLANK(Values!N307),Values!K307,Values!N307)</f>
        <v/>
      </c>
      <c r="V104" s="484"/>
      <c r="W104" s="484"/>
      <c r="X104" s="484"/>
      <c r="Y104" s="484"/>
      <c r="AA104" s="484" t="str">
        <f>IF(ISBLANK(Values!M321),Values!J321,Values!M321)</f>
        <v/>
      </c>
      <c r="AB104" s="484"/>
      <c r="AC104" s="484"/>
      <c r="AD104" s="484"/>
      <c r="AE104" s="484"/>
      <c r="AF104" s="484"/>
      <c r="AG104" s="484"/>
      <c r="AH104" s="484"/>
      <c r="AI104" s="484"/>
      <c r="AJ104" s="484"/>
      <c r="AK104" s="484"/>
      <c r="AL104" s="484"/>
      <c r="AM104" s="484"/>
      <c r="AN104" s="484"/>
      <c r="AO104" s="484"/>
      <c r="AP104" s="484"/>
      <c r="AQ104" s="484"/>
      <c r="AR104" s="484"/>
      <c r="AT104" s="484" t="str">
        <f>IF(ISBLANK(Values!N321),Values!K321,Values!N321)</f>
        <v/>
      </c>
      <c r="AU104" s="484"/>
      <c r="AV104" s="484"/>
      <c r="AW104" s="484"/>
      <c r="AX104" s="484"/>
      <c r="AZ104" s="5"/>
      <c r="BA104" s="5"/>
      <c r="BB104" s="5"/>
      <c r="BC104" s="5"/>
      <c r="BD104" s="5"/>
      <c r="BE104" s="382"/>
      <c r="BF104" s="382"/>
      <c r="BG104" s="382"/>
      <c r="BH104" s="382"/>
      <c r="BI104" s="382"/>
      <c r="BJ104" s="382"/>
      <c r="BK104" s="382"/>
      <c r="BL104" s="382"/>
      <c r="BM104" s="382"/>
      <c r="BN104" s="382"/>
      <c r="BO104" s="382"/>
      <c r="BP104" s="382"/>
      <c r="BQ104" s="5"/>
      <c r="BR104" s="5"/>
      <c r="BS104" s="5"/>
      <c r="BT104" s="5"/>
      <c r="BU104" s="5"/>
      <c r="BV104" s="5"/>
      <c r="BW104" s="5"/>
      <c r="BX104" s="5"/>
    </row>
    <row r="105" spans="1:76" ht="20.100000000000001" hidden="1" customHeight="1">
      <c r="A105" s="5"/>
      <c r="B105" s="484" t="str">
        <f>IF(ISBLANK(Values!M308),Values!J308,Values!M308)</f>
        <v/>
      </c>
      <c r="C105" s="484"/>
      <c r="D105" s="484"/>
      <c r="E105" s="484"/>
      <c r="F105" s="484"/>
      <c r="G105" s="484"/>
      <c r="H105" s="484"/>
      <c r="I105" s="484"/>
      <c r="J105" s="484"/>
      <c r="K105" s="484"/>
      <c r="L105" s="484"/>
      <c r="M105" s="484"/>
      <c r="N105" s="484"/>
      <c r="O105" s="484"/>
      <c r="P105" s="484"/>
      <c r="Q105" s="484"/>
      <c r="R105" s="484"/>
      <c r="S105" s="484"/>
      <c r="U105" s="484" t="str">
        <f>IF(ISBLANK(Values!N308),Values!K308,Values!N308)</f>
        <v/>
      </c>
      <c r="V105" s="484"/>
      <c r="W105" s="484"/>
      <c r="X105" s="484"/>
      <c r="Y105" s="484"/>
      <c r="AA105" s="484" t="str">
        <f>IF(ISBLANK(Values!M322),Values!J322,Values!M322)</f>
        <v/>
      </c>
      <c r="AB105" s="484"/>
      <c r="AC105" s="484"/>
      <c r="AD105" s="484"/>
      <c r="AE105" s="484"/>
      <c r="AF105" s="484"/>
      <c r="AG105" s="484"/>
      <c r="AH105" s="484"/>
      <c r="AI105" s="484"/>
      <c r="AJ105" s="484"/>
      <c r="AK105" s="484"/>
      <c r="AL105" s="484"/>
      <c r="AM105" s="484"/>
      <c r="AN105" s="484"/>
      <c r="AO105" s="484"/>
      <c r="AP105" s="484"/>
      <c r="AQ105" s="484"/>
      <c r="AR105" s="484"/>
      <c r="AT105" s="484" t="str">
        <f>IF(ISBLANK(Values!N322),Values!K322,Values!N322)</f>
        <v/>
      </c>
      <c r="AU105" s="484"/>
      <c r="AV105" s="484"/>
      <c r="AW105" s="484"/>
      <c r="AX105" s="484"/>
      <c r="AZ105" s="5"/>
      <c r="BA105" s="5"/>
      <c r="BB105" s="5"/>
      <c r="BC105" s="5"/>
      <c r="BD105" s="5"/>
      <c r="BE105" s="382"/>
      <c r="BF105" s="382"/>
      <c r="BG105" s="382"/>
      <c r="BH105" s="382"/>
      <c r="BI105" s="382"/>
      <c r="BJ105" s="382"/>
      <c r="BK105" s="382"/>
      <c r="BL105" s="382"/>
      <c r="BM105" s="382"/>
      <c r="BN105" s="382"/>
      <c r="BO105" s="382"/>
      <c r="BP105" s="382"/>
      <c r="BQ105" s="5"/>
      <c r="BR105" s="5"/>
      <c r="BS105" s="5"/>
      <c r="BT105" s="5"/>
      <c r="BU105" s="5"/>
      <c r="BV105" s="5"/>
      <c r="BW105" s="5"/>
      <c r="BX105" s="5"/>
    </row>
    <row r="106" spans="1:76" ht="20.100000000000001" customHeight="1">
      <c r="A106" s="5"/>
      <c r="B106" s="5"/>
      <c r="C106" s="5"/>
      <c r="D106" s="5"/>
      <c r="E106" s="5"/>
      <c r="F106" s="5"/>
      <c r="G106" s="5"/>
      <c r="H106" s="5"/>
      <c r="I106" s="5"/>
      <c r="J106" s="5"/>
      <c r="K106" s="5"/>
      <c r="L106" s="5"/>
      <c r="M106" s="5"/>
      <c r="N106" s="5"/>
      <c r="O106" s="5"/>
      <c r="P106" s="5"/>
      <c r="Q106" s="5"/>
      <c r="R106" s="5"/>
      <c r="S106" s="5"/>
      <c r="T106" s="5"/>
      <c r="U106" s="5"/>
      <c r="V106" s="5"/>
      <c r="W106" s="385" t="s">
        <v>3166</v>
      </c>
      <c r="X106" s="385"/>
      <c r="Y106" s="385"/>
      <c r="Z106" s="385"/>
      <c r="AA106" s="385"/>
      <c r="AB106" s="385"/>
      <c r="AC106" s="385"/>
      <c r="AD106" s="5"/>
      <c r="AE106" s="5"/>
      <c r="AF106" s="5"/>
      <c r="AG106" s="5"/>
      <c r="AH106" s="5"/>
      <c r="AI106" s="6"/>
      <c r="AJ106" s="5"/>
      <c r="AK106" s="5"/>
      <c r="AL106" s="5"/>
      <c r="AM106" s="5"/>
      <c r="AN106" s="5"/>
      <c r="AO106" s="5"/>
      <c r="AP106" s="5"/>
      <c r="AQ106" s="5"/>
      <c r="AR106" s="5"/>
      <c r="AS106" s="5"/>
      <c r="AT106" s="5"/>
      <c r="AU106" s="5"/>
      <c r="AV106" s="5"/>
      <c r="AW106" s="5"/>
      <c r="AX106" s="5"/>
      <c r="AY106" s="5"/>
      <c r="AZ106" s="5"/>
      <c r="BA106" s="5"/>
      <c r="BB106" s="5"/>
      <c r="BC106" s="5"/>
      <c r="BD106" s="5"/>
      <c r="BE106" s="382"/>
      <c r="BF106" s="382"/>
      <c r="BG106" s="382"/>
      <c r="BH106" s="382"/>
      <c r="BI106" s="382"/>
      <c r="BJ106" s="382"/>
      <c r="BK106" s="382"/>
      <c r="BL106" s="382"/>
      <c r="BM106" s="382"/>
      <c r="BN106" s="382"/>
      <c r="BO106" s="382"/>
      <c r="BP106" s="382"/>
      <c r="BQ106" s="5"/>
      <c r="BR106" s="5"/>
      <c r="BS106" s="5"/>
      <c r="BT106" s="5"/>
      <c r="BU106" s="5"/>
      <c r="BV106" s="5"/>
      <c r="BW106" s="5"/>
      <c r="BX106" s="5"/>
    </row>
    <row r="107" spans="1:76" ht="20.100000000000001" customHeight="1">
      <c r="A107" s="5"/>
      <c r="B107" s="5"/>
      <c r="C107" s="5"/>
      <c r="D107" s="5"/>
      <c r="E107" s="5"/>
      <c r="F107" s="5"/>
      <c r="G107" s="5"/>
      <c r="H107" s="5"/>
      <c r="I107" s="5"/>
      <c r="J107" s="5"/>
      <c r="K107" s="5"/>
      <c r="L107" s="5"/>
      <c r="M107" s="5"/>
      <c r="N107" s="5"/>
      <c r="O107" s="5"/>
      <c r="P107" s="5"/>
      <c r="Q107" s="5"/>
      <c r="R107" s="5"/>
      <c r="S107" s="5"/>
      <c r="T107" s="5"/>
      <c r="U107" s="5"/>
      <c r="V107" s="5"/>
      <c r="W107" s="385"/>
      <c r="X107" s="385"/>
      <c r="Y107" s="385"/>
      <c r="Z107" s="385"/>
      <c r="AA107" s="385"/>
      <c r="AB107" s="385"/>
      <c r="AC107" s="385"/>
      <c r="AD107" s="5"/>
      <c r="AE107" s="5"/>
      <c r="AF107" s="5"/>
      <c r="AG107" s="5"/>
      <c r="AH107" s="5"/>
      <c r="AI107" s="5"/>
      <c r="AJ107" s="5"/>
      <c r="AK107" s="5"/>
      <c r="AL107" s="5"/>
      <c r="AM107" s="5"/>
      <c r="AN107" s="5"/>
      <c r="AO107" s="5"/>
      <c r="AP107" s="5"/>
      <c r="AQ107" s="5"/>
      <c r="AR107" s="5"/>
      <c r="AS107" s="5"/>
      <c r="AT107" s="5"/>
      <c r="AU107" s="5"/>
      <c r="AV107" s="5"/>
      <c r="AW107" s="5"/>
      <c r="AX107" s="5"/>
      <c r="AY107" s="5"/>
      <c r="AZ107" s="5"/>
      <c r="BA107" s="5"/>
      <c r="BB107" s="5"/>
      <c r="BC107" s="5"/>
      <c r="BD107" s="5"/>
      <c r="BE107" s="5"/>
      <c r="BF107" s="5"/>
      <c r="BG107" s="5"/>
      <c r="BH107" s="5"/>
      <c r="BI107" s="5"/>
      <c r="BJ107" s="5"/>
      <c r="BK107" s="5"/>
      <c r="BL107" s="5"/>
      <c r="BM107" s="5"/>
      <c r="BN107" s="5"/>
      <c r="BO107" s="5"/>
      <c r="BP107" s="5"/>
      <c r="BQ107" s="5"/>
      <c r="BR107" s="5"/>
      <c r="BS107" s="5"/>
      <c r="BT107" s="5"/>
      <c r="BU107" s="5"/>
      <c r="BV107" s="5"/>
      <c r="BW107" s="5"/>
      <c r="BX107" s="5"/>
    </row>
    <row r="108" spans="1:76" ht="41.25" customHeight="1">
      <c r="A108" s="485" t="str">
        <f>IF(ISBLANK(Values!M325),Values!J325,Values!M325)</f>
        <v/>
      </c>
      <c r="B108" s="485"/>
      <c r="C108" s="485"/>
      <c r="D108" s="485"/>
      <c r="E108" s="485"/>
      <c r="F108" s="485"/>
      <c r="G108" s="485"/>
      <c r="H108" s="485"/>
      <c r="I108" s="485"/>
      <c r="J108" s="485"/>
      <c r="K108" s="485"/>
      <c r="L108" s="485"/>
      <c r="M108" s="485"/>
      <c r="N108" s="485"/>
      <c r="O108" s="485"/>
      <c r="P108" s="485"/>
      <c r="Q108" s="485"/>
      <c r="R108" s="485"/>
      <c r="S108" s="485"/>
      <c r="T108" s="485"/>
      <c r="U108" s="485"/>
      <c r="V108" s="485"/>
      <c r="W108" s="485"/>
      <c r="X108" s="485"/>
      <c r="Y108" s="485"/>
      <c r="Z108" s="485"/>
      <c r="AA108" s="485"/>
      <c r="AB108" s="485"/>
      <c r="AC108" s="485"/>
      <c r="AD108" s="485"/>
      <c r="AE108" s="485"/>
      <c r="AF108" s="485"/>
      <c r="AG108" s="485"/>
      <c r="AH108" s="485"/>
      <c r="AI108" s="485"/>
      <c r="AJ108" s="485"/>
      <c r="AK108" s="485"/>
      <c r="AL108" s="485"/>
      <c r="AM108" s="485"/>
      <c r="AN108" s="485"/>
      <c r="AO108" s="485"/>
      <c r="AP108" s="485"/>
      <c r="AQ108" s="485"/>
      <c r="AR108" s="485"/>
      <c r="AS108" s="485"/>
      <c r="AT108" s="485"/>
      <c r="AU108" s="485"/>
      <c r="AV108" s="485"/>
      <c r="AW108" s="485"/>
      <c r="AX108" s="485"/>
      <c r="AY108" s="485"/>
      <c r="AZ108" s="5"/>
      <c r="BA108" s="471" t="s">
        <v>3468</v>
      </c>
      <c r="BB108" s="472"/>
      <c r="BC108" s="472"/>
      <c r="BD108" s="472"/>
      <c r="BE108" s="472"/>
      <c r="BF108" s="472"/>
      <c r="BG108" s="472"/>
      <c r="BH108" s="472"/>
      <c r="BI108" s="472"/>
      <c r="BJ108" s="472"/>
      <c r="BK108" s="5"/>
      <c r="BL108" s="5"/>
      <c r="BM108" s="5"/>
      <c r="BN108" s="5"/>
      <c r="BO108" s="5"/>
      <c r="BP108" s="5"/>
      <c r="BQ108" s="5"/>
      <c r="BR108" s="5"/>
      <c r="BS108" s="5"/>
      <c r="BT108" s="5"/>
      <c r="BU108" s="5"/>
      <c r="BV108" s="5"/>
      <c r="BW108" s="5"/>
      <c r="BX108" s="5"/>
    </row>
    <row r="109" spans="1:76" ht="20.100000000000001" customHeight="1">
      <c r="A109" s="5"/>
      <c r="B109" s="5"/>
      <c r="C109" s="5"/>
      <c r="D109" s="5"/>
      <c r="E109" s="5"/>
      <c r="F109" s="5"/>
      <c r="G109" s="5"/>
      <c r="H109" s="5"/>
      <c r="I109" s="5"/>
      <c r="J109" s="5"/>
      <c r="K109" s="5"/>
      <c r="L109" s="5"/>
      <c r="M109" s="5"/>
      <c r="N109" s="5"/>
      <c r="O109" s="5"/>
      <c r="P109" s="5"/>
      <c r="R109" s="5"/>
      <c r="S109" s="5"/>
      <c r="T109" s="5"/>
      <c r="U109" s="5"/>
      <c r="V109" s="383" t="s">
        <v>3218</v>
      </c>
      <c r="W109" s="383"/>
      <c r="X109" s="383"/>
      <c r="Y109" s="383"/>
      <c r="Z109" s="383"/>
      <c r="AA109" s="5"/>
      <c r="AB109" s="5"/>
      <c r="AC109" s="5"/>
      <c r="AD109" s="5"/>
      <c r="AE109" s="5"/>
      <c r="AF109" s="5"/>
      <c r="AG109" s="5"/>
      <c r="AH109" s="5"/>
      <c r="AI109" s="6"/>
      <c r="AJ109" s="5"/>
      <c r="AK109" s="5"/>
      <c r="AL109" s="5"/>
      <c r="AM109" s="5"/>
      <c r="AN109" s="5"/>
      <c r="AO109" s="5"/>
      <c r="AP109" s="5"/>
      <c r="AQ109" s="5"/>
      <c r="AR109" s="5"/>
      <c r="AS109" s="5"/>
      <c r="AT109" s="5"/>
      <c r="AU109" s="5"/>
      <c r="AV109" s="5"/>
      <c r="AW109" s="5"/>
      <c r="AX109" s="5"/>
      <c r="AY109" s="5"/>
      <c r="AZ109" s="5"/>
      <c r="BA109" s="5"/>
      <c r="BB109" s="5"/>
      <c r="BC109" s="5"/>
      <c r="BD109" s="5"/>
      <c r="BE109" s="5"/>
      <c r="BF109" s="5"/>
      <c r="BG109" s="5"/>
      <c r="BH109" s="5"/>
      <c r="BI109" s="5"/>
      <c r="BJ109" s="5"/>
      <c r="BK109" s="5"/>
      <c r="BL109" s="5"/>
      <c r="BM109" s="5"/>
      <c r="BN109" s="5"/>
      <c r="BO109" s="5"/>
      <c r="BP109" s="5"/>
      <c r="BQ109" s="5"/>
      <c r="BR109" s="5"/>
      <c r="BS109" s="5"/>
      <c r="BT109" s="5"/>
      <c r="BU109" s="5"/>
      <c r="BV109" s="5"/>
      <c r="BW109" s="5"/>
      <c r="BX109" s="5"/>
    </row>
    <row r="110" spans="1:76" ht="20.100000000000001" customHeight="1">
      <c r="A110" s="5"/>
      <c r="B110" s="5"/>
      <c r="C110" s="5"/>
      <c r="D110" s="5"/>
      <c r="E110" s="5"/>
      <c r="F110" s="5"/>
      <c r="G110" s="5"/>
      <c r="H110" s="5"/>
      <c r="I110" s="5"/>
      <c r="J110" s="5"/>
      <c r="K110" s="5"/>
      <c r="L110" s="5"/>
      <c r="M110" s="5"/>
      <c r="N110" s="5"/>
      <c r="O110" s="5"/>
      <c r="P110" s="5"/>
      <c r="Q110" s="5"/>
      <c r="R110" s="5"/>
      <c r="S110" s="5"/>
      <c r="T110" s="5"/>
      <c r="U110" s="5"/>
      <c r="V110" s="383"/>
      <c r="W110" s="383"/>
      <c r="X110" s="383"/>
      <c r="Y110" s="383"/>
      <c r="Z110" s="383"/>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c r="AY110" s="5"/>
      <c r="AZ110" s="5"/>
      <c r="BA110" s="41" t="s">
        <v>3262</v>
      </c>
      <c r="BB110" s="5"/>
      <c r="BC110" s="5"/>
      <c r="BD110" s="5"/>
      <c r="BE110" s="5"/>
      <c r="BF110" s="5"/>
      <c r="BG110" s="5"/>
      <c r="BH110" s="5"/>
      <c r="BI110" s="5"/>
      <c r="BJ110" s="5"/>
      <c r="BK110" s="5"/>
      <c r="BL110" s="5"/>
      <c r="BM110" s="5"/>
      <c r="BN110" s="5"/>
      <c r="BO110" s="5"/>
      <c r="BP110" s="5"/>
      <c r="BQ110" s="5"/>
      <c r="BR110" s="5"/>
      <c r="BS110" s="5"/>
      <c r="BT110" s="5"/>
      <c r="BU110" s="5"/>
      <c r="BV110" s="5"/>
      <c r="BW110" s="5"/>
      <c r="BX110" s="5"/>
    </row>
    <row r="111" spans="1:76" ht="20.100000000000001" customHeight="1" thickBot="1">
      <c r="A111" s="5"/>
      <c r="B111" s="382" t="s">
        <v>252</v>
      </c>
      <c r="C111" s="382"/>
      <c r="D111" s="382"/>
      <c r="E111" s="382"/>
      <c r="F111" s="382"/>
      <c r="G111" s="5"/>
      <c r="H111" s="384" t="s">
        <v>3164</v>
      </c>
      <c r="I111" s="384"/>
      <c r="J111" s="384"/>
      <c r="K111" s="384"/>
      <c r="L111" s="384"/>
      <c r="M111" s="5"/>
      <c r="N111" s="382" t="s">
        <v>80</v>
      </c>
      <c r="O111" s="382"/>
      <c r="P111" s="382"/>
      <c r="Q111" s="382"/>
      <c r="R111" s="382"/>
      <c r="S111" s="382"/>
      <c r="T111" s="382"/>
      <c r="U111" s="382"/>
      <c r="V111" s="382"/>
      <c r="W111" s="382"/>
      <c r="X111" s="382"/>
      <c r="Y111" s="382"/>
      <c r="Z111" s="382"/>
      <c r="AA111" s="382"/>
      <c r="AB111" s="5"/>
      <c r="AC111" s="382" t="s">
        <v>81</v>
      </c>
      <c r="AD111" s="382"/>
      <c r="AE111" s="382"/>
      <c r="AF111" s="382"/>
      <c r="AG111" s="382"/>
      <c r="AH111" s="5"/>
      <c r="AI111" s="382" t="s">
        <v>82</v>
      </c>
      <c r="AJ111" s="382"/>
      <c r="AK111" s="382"/>
      <c r="AL111" s="382"/>
      <c r="AM111" s="5"/>
      <c r="AN111" s="382" t="s">
        <v>83</v>
      </c>
      <c r="AO111" s="382"/>
      <c r="AP111" s="382"/>
      <c r="AQ111" s="382"/>
      <c r="AR111" s="382"/>
      <c r="AS111" s="5"/>
      <c r="AT111" s="382" t="s">
        <v>84</v>
      </c>
      <c r="AU111" s="382"/>
      <c r="AV111" s="5"/>
      <c r="AW111" s="384" t="s">
        <v>85</v>
      </c>
      <c r="AX111" s="384"/>
      <c r="AY111" s="384"/>
      <c r="AZ111" s="5"/>
      <c r="BA111" s="472">
        <f>Values!$AB$3</f>
        <v>0</v>
      </c>
      <c r="BB111" s="472"/>
      <c r="BC111" s="5"/>
      <c r="BD111" s="5"/>
      <c r="BE111" s="5"/>
      <c r="BF111" s="5"/>
      <c r="BG111" s="5"/>
      <c r="BH111" s="5"/>
      <c r="BI111" s="5"/>
      <c r="BJ111" s="5"/>
      <c r="BK111" s="5"/>
      <c r="BL111" s="5"/>
      <c r="BM111" s="5"/>
      <c r="BN111" s="5"/>
      <c r="BO111" s="5"/>
      <c r="BP111" s="5"/>
      <c r="BQ111" s="5"/>
      <c r="BR111" s="5"/>
      <c r="BS111" s="5"/>
      <c r="BT111" s="5"/>
      <c r="BU111" s="5"/>
      <c r="BV111" s="5"/>
      <c r="BW111" s="5"/>
      <c r="BX111" s="5"/>
    </row>
    <row r="112" spans="1:76" ht="20.100000000000001" customHeight="1">
      <c r="A112" s="376">
        <v>1</v>
      </c>
      <c r="B112" s="378" t="str">
        <f>IFERROR(INDEX(Database_Charms,MATCH($N112,Database_Charms_Names,0),MATCH(B$111,Database_Charms_Values,0)),"")</f>
        <v/>
      </c>
      <c r="C112" s="378"/>
      <c r="D112" s="378"/>
      <c r="E112" s="378"/>
      <c r="F112" s="378"/>
      <c r="G112" s="33"/>
      <c r="H112" s="378" t="str">
        <f>IFERROR(INDEX(Database_Charms,MATCH($N112,Database_Charms_Names,0),MATCH("Ability_Subtype",Database_Charms_Values,0)),"")</f>
        <v/>
      </c>
      <c r="I112" s="378"/>
      <c r="J112" s="378"/>
      <c r="K112" s="378"/>
      <c r="L112" s="378"/>
      <c r="M112" s="23"/>
      <c r="N112" s="378" t="str">
        <f>VLOOKUP(A112,Values!$A$140:$O$239,IF(ISBLANK(VLOOKUP(A112,Values!$A$140:$O$239,13,0)),10,13),0)</f>
        <v/>
      </c>
      <c r="O112" s="378"/>
      <c r="P112" s="378"/>
      <c r="Q112" s="378"/>
      <c r="R112" s="378"/>
      <c r="S112" s="378"/>
      <c r="T112" s="378"/>
      <c r="U112" s="378"/>
      <c r="V112" s="378"/>
      <c r="W112" s="378"/>
      <c r="X112" s="378"/>
      <c r="Y112" s="378"/>
      <c r="Z112" s="378"/>
      <c r="AA112" s="378"/>
      <c r="AB112" s="23"/>
      <c r="AC112" s="302" t="str">
        <f>IFERROR(INDEX(Database_Charms,MATCH($N112,Database_Charms_Names,0),MATCH(AC$111,Database_Charms_Values,0)),"")</f>
        <v/>
      </c>
      <c r="AD112" s="302"/>
      <c r="AE112" s="302"/>
      <c r="AF112" s="302"/>
      <c r="AG112" s="302"/>
      <c r="AH112" s="125"/>
      <c r="AI112" s="302" t="str">
        <f>IFERROR(INDEX(Database_Charms,MATCH($N112,Database_Charms_Names,0),MATCH(AI$111,Database_Charms_Values,0)),"")</f>
        <v/>
      </c>
      <c r="AJ112" s="302"/>
      <c r="AK112" s="302"/>
      <c r="AL112" s="302"/>
      <c r="AM112" s="125"/>
      <c r="AN112" s="302" t="str">
        <f>IFERROR(INDEX(Database_Charms,MATCH($N112,Database_Charms_Names,0),MATCH(AN$111,Database_Charms_Values,0)),"")</f>
        <v/>
      </c>
      <c r="AO112" s="302"/>
      <c r="AP112" s="302"/>
      <c r="AQ112" s="302"/>
      <c r="AR112" s="302"/>
      <c r="AS112" s="125"/>
      <c r="AT112" s="302" t="str">
        <f>IFERROR(INDEX(Database_Charms,MATCH($N112,Database_Charms_Names,0),MATCH(AT$111,Database_Charms_Values,0)),"")</f>
        <v/>
      </c>
      <c r="AU112" s="302"/>
      <c r="AV112" s="125"/>
      <c r="AW112" s="302" t="str">
        <f>IFERROR(INDEX(Database_Charms,MATCH($N112,Database_Charms_Names,0),MATCH(AW$111,Database_Charms_Values,0)),"")</f>
        <v/>
      </c>
      <c r="AX112" s="302"/>
      <c r="AY112" s="302"/>
      <c r="AZ112" s="5"/>
      <c r="BA112" s="475" t="s">
        <v>3451</v>
      </c>
      <c r="BB112" s="476"/>
      <c r="BC112" s="476"/>
      <c r="BD112" s="476"/>
      <c r="BE112" s="476"/>
      <c r="BF112" s="476"/>
      <c r="BG112" s="476"/>
      <c r="BH112" s="476"/>
      <c r="BI112" s="476"/>
      <c r="BJ112" s="476"/>
      <c r="BK112" s="476"/>
      <c r="BL112" s="476"/>
      <c r="BM112" s="476"/>
      <c r="BN112" s="476"/>
      <c r="BO112" s="476"/>
      <c r="BP112" s="476"/>
      <c r="BQ112" s="476"/>
      <c r="BR112" s="476"/>
      <c r="BS112" s="477"/>
      <c r="BT112" s="5"/>
      <c r="BU112" s="5"/>
      <c r="BV112" s="5"/>
      <c r="BW112" s="5"/>
      <c r="BX112" s="5"/>
    </row>
    <row r="113" spans="1:76" ht="39.950000000000003" customHeight="1">
      <c r="A113" s="379"/>
      <c r="B113" s="374" t="str">
        <f>IF(VLOOKUP(A112,Values!$A$140:$T$239,14,0)="",IF(VLOOKUP(A112,Values!$A$140:$T$239,11,0)="",IFERROR(INDEX(Database_Charms,MATCH($N112,Database_Charms_Names,0),MATCH(Charms!$S$1,Database_Charms_Values,0)),""),VLOOKUP(A112,Values!$A$140:$T$239,11,0)),VLOOKUP(A112,Values!$A$140:$T$239,14,0))</f>
        <v/>
      </c>
      <c r="C113" s="374"/>
      <c r="D113" s="374"/>
      <c r="E113" s="374"/>
      <c r="F113" s="374"/>
      <c r="G113" s="374"/>
      <c r="H113" s="374"/>
      <c r="I113" s="374"/>
      <c r="J113" s="374"/>
      <c r="K113" s="374"/>
      <c r="L113" s="374"/>
      <c r="M113" s="374"/>
      <c r="N113" s="374"/>
      <c r="O113" s="374"/>
      <c r="P113" s="374"/>
      <c r="Q113" s="374"/>
      <c r="R113" s="374"/>
      <c r="S113" s="374"/>
      <c r="T113" s="374"/>
      <c r="U113" s="374"/>
      <c r="V113" s="374"/>
      <c r="W113" s="374"/>
      <c r="X113" s="374"/>
      <c r="Y113" s="374"/>
      <c r="Z113" s="374"/>
      <c r="AA113" s="374"/>
      <c r="AB113" s="374"/>
      <c r="AC113" s="374"/>
      <c r="AD113" s="374"/>
      <c r="AE113" s="374"/>
      <c r="AF113" s="374"/>
      <c r="AG113" s="374"/>
      <c r="AH113" s="374"/>
      <c r="AI113" s="374"/>
      <c r="AJ113" s="374"/>
      <c r="AK113" s="374"/>
      <c r="AL113" s="374"/>
      <c r="AM113" s="374"/>
      <c r="AN113" s="374"/>
      <c r="AO113" s="374"/>
      <c r="AP113" s="374"/>
      <c r="AQ113" s="374"/>
      <c r="AR113" s="374"/>
      <c r="AS113" s="374"/>
      <c r="AT113" s="374"/>
      <c r="AU113" s="374"/>
      <c r="AV113" s="374"/>
      <c r="AW113" s="374"/>
      <c r="AX113" s="374"/>
      <c r="AY113" s="374"/>
      <c r="AZ113" s="5"/>
      <c r="BA113" s="478"/>
      <c r="BB113" s="369"/>
      <c r="BC113" s="369"/>
      <c r="BD113" s="369"/>
      <c r="BE113" s="369"/>
      <c r="BF113" s="369"/>
      <c r="BG113" s="369"/>
      <c r="BH113" s="369"/>
      <c r="BI113" s="369"/>
      <c r="BJ113" s="369"/>
      <c r="BK113" s="369"/>
      <c r="BL113" s="369"/>
      <c r="BM113" s="369"/>
      <c r="BN113" s="369"/>
      <c r="BO113" s="369"/>
      <c r="BP113" s="369"/>
      <c r="BQ113" s="369"/>
      <c r="BR113" s="369"/>
      <c r="BS113" s="479"/>
      <c r="BT113" s="5"/>
      <c r="BU113" s="5"/>
      <c r="BV113" s="5"/>
      <c r="BW113" s="5"/>
      <c r="BX113" s="5"/>
    </row>
    <row r="114" spans="1:76" ht="20.100000000000001" customHeight="1">
      <c r="A114" s="376">
        <v>2</v>
      </c>
      <c r="B114" s="378" t="str">
        <f>IFERROR(INDEX(Database_Charms,MATCH($N114,Database_Charms_Names,0),MATCH(B$111,Database_Charms_Values,0)),"")</f>
        <v/>
      </c>
      <c r="C114" s="378"/>
      <c r="D114" s="378"/>
      <c r="E114" s="378"/>
      <c r="F114" s="378"/>
      <c r="G114" s="33"/>
      <c r="H114" s="378" t="str">
        <f>IFERROR(INDEX(Database_Charms,MATCH($N114,Database_Charms_Names,0),MATCH("Ability_Subtype",Database_Charms_Values,0)),"")</f>
        <v/>
      </c>
      <c r="I114" s="378"/>
      <c r="J114" s="378"/>
      <c r="K114" s="378"/>
      <c r="L114" s="378"/>
      <c r="M114" s="23"/>
      <c r="N114" s="378" t="str">
        <f>VLOOKUP(A114,Values!$A$140:$O$239,IF(ISBLANK(VLOOKUP(A114,Values!$A$140:$O$239,13,0)),10,13),0)</f>
        <v/>
      </c>
      <c r="O114" s="378"/>
      <c r="P114" s="378"/>
      <c r="Q114" s="378"/>
      <c r="R114" s="378"/>
      <c r="S114" s="378"/>
      <c r="T114" s="378"/>
      <c r="U114" s="378"/>
      <c r="V114" s="378"/>
      <c r="W114" s="378"/>
      <c r="X114" s="378"/>
      <c r="Y114" s="378"/>
      <c r="Z114" s="378"/>
      <c r="AA114" s="378"/>
      <c r="AB114" s="23"/>
      <c r="AC114" s="302" t="str">
        <f>IFERROR(INDEX(Database_Charms,MATCH($N114,Database_Charms_Names,0),MATCH(AC$111,Database_Charms_Values,0)),"")</f>
        <v/>
      </c>
      <c r="AD114" s="302"/>
      <c r="AE114" s="302"/>
      <c r="AF114" s="302"/>
      <c r="AG114" s="302"/>
      <c r="AH114" s="125"/>
      <c r="AI114" s="302" t="str">
        <f>IFERROR(INDEX(Database_Charms,MATCH($N114,Database_Charms_Names,0),MATCH(AI$111,Database_Charms_Values,0)),"")</f>
        <v/>
      </c>
      <c r="AJ114" s="302"/>
      <c r="AK114" s="302"/>
      <c r="AL114" s="302"/>
      <c r="AM114" s="125"/>
      <c r="AN114" s="302" t="str">
        <f>IFERROR(INDEX(Database_Charms,MATCH($N114,Database_Charms_Names,0),MATCH(AN$111,Database_Charms_Values,0)),"")</f>
        <v/>
      </c>
      <c r="AO114" s="302"/>
      <c r="AP114" s="302"/>
      <c r="AQ114" s="302"/>
      <c r="AR114" s="302"/>
      <c r="AS114" s="125"/>
      <c r="AT114" s="302" t="str">
        <f>IFERROR(INDEX(Database_Charms,MATCH($N114,Database_Charms_Names,0),MATCH(AT$111,Database_Charms_Values,0)),"")</f>
        <v/>
      </c>
      <c r="AU114" s="302"/>
      <c r="AV114" s="125"/>
      <c r="AW114" s="302" t="str">
        <f>IFERROR(INDEX(Database_Charms,MATCH($N114,Database_Charms_Names,0),MATCH(AW$111,Database_Charms_Values,0)),"")</f>
        <v/>
      </c>
      <c r="AX114" s="302"/>
      <c r="AY114" s="302"/>
      <c r="AZ114" s="5"/>
      <c r="BA114" s="478"/>
      <c r="BB114" s="369"/>
      <c r="BC114" s="369"/>
      <c r="BD114" s="369"/>
      <c r="BE114" s="369"/>
      <c r="BF114" s="369"/>
      <c r="BG114" s="369"/>
      <c r="BH114" s="369"/>
      <c r="BI114" s="369"/>
      <c r="BJ114" s="369"/>
      <c r="BK114" s="369"/>
      <c r="BL114" s="369"/>
      <c r="BM114" s="369"/>
      <c r="BN114" s="369"/>
      <c r="BO114" s="369"/>
      <c r="BP114" s="369"/>
      <c r="BQ114" s="369"/>
      <c r="BR114" s="369"/>
      <c r="BS114" s="479"/>
      <c r="BT114" s="5"/>
      <c r="BU114" s="5"/>
      <c r="BV114" s="5"/>
      <c r="BW114" s="5"/>
      <c r="BX114" s="5"/>
    </row>
    <row r="115" spans="1:76" ht="39.950000000000003" customHeight="1" thickBot="1">
      <c r="A115" s="379"/>
      <c r="B115" s="374" t="str">
        <f>IF(VLOOKUP(A114,Values!$A$140:$T$239,14,0)="",IF(VLOOKUP(A114,Values!$A$140:$T$239,11,0)="",IFERROR(INDEX(Database_Charms,MATCH($N114,Database_Charms_Names,0),MATCH(Charms!$S$1,Database_Charms_Values,0)),""),VLOOKUP(A114,Values!$A$140:$T$239,11,0)),VLOOKUP(A114,Values!$A$140:$T$239,14,0))</f>
        <v/>
      </c>
      <c r="C115" s="374"/>
      <c r="D115" s="374"/>
      <c r="E115" s="374"/>
      <c r="F115" s="374"/>
      <c r="G115" s="374"/>
      <c r="H115" s="374"/>
      <c r="I115" s="374"/>
      <c r="J115" s="374"/>
      <c r="K115" s="374"/>
      <c r="L115" s="374"/>
      <c r="M115" s="374"/>
      <c r="N115" s="374"/>
      <c r="O115" s="374"/>
      <c r="P115" s="374"/>
      <c r="Q115" s="374"/>
      <c r="R115" s="374"/>
      <c r="S115" s="374"/>
      <c r="T115" s="374"/>
      <c r="U115" s="374"/>
      <c r="V115" s="374"/>
      <c r="W115" s="374"/>
      <c r="X115" s="374"/>
      <c r="Y115" s="374"/>
      <c r="Z115" s="374"/>
      <c r="AA115" s="374"/>
      <c r="AB115" s="374"/>
      <c r="AC115" s="374"/>
      <c r="AD115" s="374"/>
      <c r="AE115" s="374"/>
      <c r="AF115" s="374"/>
      <c r="AG115" s="374"/>
      <c r="AH115" s="374"/>
      <c r="AI115" s="374"/>
      <c r="AJ115" s="374"/>
      <c r="AK115" s="374"/>
      <c r="AL115" s="374"/>
      <c r="AM115" s="374"/>
      <c r="AN115" s="374"/>
      <c r="AO115" s="374"/>
      <c r="AP115" s="374"/>
      <c r="AQ115" s="374"/>
      <c r="AR115" s="374"/>
      <c r="AS115" s="374"/>
      <c r="AT115" s="374"/>
      <c r="AU115" s="374"/>
      <c r="AV115" s="374"/>
      <c r="AW115" s="374"/>
      <c r="AX115" s="374"/>
      <c r="AY115" s="374"/>
      <c r="AZ115" s="5"/>
      <c r="BA115" s="480"/>
      <c r="BB115" s="481"/>
      <c r="BC115" s="481"/>
      <c r="BD115" s="481"/>
      <c r="BE115" s="481"/>
      <c r="BF115" s="481"/>
      <c r="BG115" s="481"/>
      <c r="BH115" s="481"/>
      <c r="BI115" s="481"/>
      <c r="BJ115" s="481"/>
      <c r="BK115" s="481"/>
      <c r="BL115" s="481"/>
      <c r="BM115" s="481"/>
      <c r="BN115" s="481"/>
      <c r="BO115" s="481"/>
      <c r="BP115" s="481"/>
      <c r="BQ115" s="481"/>
      <c r="BR115" s="481"/>
      <c r="BS115" s="482"/>
      <c r="BT115" s="5"/>
      <c r="BU115" s="5"/>
      <c r="BV115" s="5"/>
      <c r="BW115" s="5"/>
      <c r="BX115" s="5"/>
    </row>
    <row r="116" spans="1:76" ht="20.100000000000001" customHeight="1">
      <c r="A116" s="379">
        <v>3</v>
      </c>
      <c r="B116" s="378" t="str">
        <f>IFERROR(INDEX(Database_Charms,MATCH($N116,Database_Charms_Names,0),MATCH(B$111,Database_Charms_Values,0)),"")</f>
        <v/>
      </c>
      <c r="C116" s="378"/>
      <c r="D116" s="378"/>
      <c r="E116" s="378"/>
      <c r="F116" s="378"/>
      <c r="G116" s="33"/>
      <c r="H116" s="378" t="str">
        <f>IFERROR(INDEX(Database_Charms,MATCH($N116,Database_Charms_Names,0),MATCH("Ability_Subtype",Database_Charms_Values,0)),"")</f>
        <v/>
      </c>
      <c r="I116" s="378"/>
      <c r="J116" s="378"/>
      <c r="K116" s="378"/>
      <c r="L116" s="378"/>
      <c r="M116" s="23"/>
      <c r="N116" s="378" t="str">
        <f>VLOOKUP(A116,Values!$A$140:$O$239,IF(ISBLANK(VLOOKUP(A116,Values!$A$140:$O$239,13,0)),10,13),0)</f>
        <v/>
      </c>
      <c r="O116" s="378"/>
      <c r="P116" s="378"/>
      <c r="Q116" s="378"/>
      <c r="R116" s="378"/>
      <c r="S116" s="378"/>
      <c r="T116" s="378"/>
      <c r="U116" s="378"/>
      <c r="V116" s="378"/>
      <c r="W116" s="378"/>
      <c r="X116" s="378"/>
      <c r="Y116" s="378"/>
      <c r="Z116" s="378"/>
      <c r="AA116" s="378"/>
      <c r="AB116" s="23"/>
      <c r="AC116" s="302" t="str">
        <f>IFERROR(INDEX(Database_Charms,MATCH($N116,Database_Charms_Names,0),MATCH(AC$111,Database_Charms_Values,0)),"")</f>
        <v/>
      </c>
      <c r="AD116" s="302"/>
      <c r="AE116" s="302"/>
      <c r="AF116" s="302"/>
      <c r="AG116" s="302"/>
      <c r="AH116" s="125"/>
      <c r="AI116" s="302" t="str">
        <f>IFERROR(INDEX(Database_Charms,MATCH($N116,Database_Charms_Names,0),MATCH(AI$111,Database_Charms_Values,0)),"")</f>
        <v/>
      </c>
      <c r="AJ116" s="302"/>
      <c r="AK116" s="302"/>
      <c r="AL116" s="302"/>
      <c r="AM116" s="125"/>
      <c r="AN116" s="302" t="str">
        <f>IFERROR(INDEX(Database_Charms,MATCH($N116,Database_Charms_Names,0),MATCH(AN$111,Database_Charms_Values,0)),"")</f>
        <v/>
      </c>
      <c r="AO116" s="302"/>
      <c r="AP116" s="302"/>
      <c r="AQ116" s="302"/>
      <c r="AR116" s="302"/>
      <c r="AS116" s="125"/>
      <c r="AT116" s="302" t="str">
        <f>IFERROR(INDEX(Database_Charms,MATCH($N116,Database_Charms_Names,0),MATCH(AT$111,Database_Charms_Values,0)),"")</f>
        <v/>
      </c>
      <c r="AU116" s="302"/>
      <c r="AV116" s="125"/>
      <c r="AW116" s="302" t="str">
        <f>IFERROR(INDEX(Database_Charms,MATCH($N116,Database_Charms_Names,0),MATCH(AW$111,Database_Charms_Values,0)),"")</f>
        <v/>
      </c>
      <c r="AX116" s="302"/>
      <c r="AY116" s="302"/>
      <c r="AZ116" s="5"/>
      <c r="BA116" s="41"/>
      <c r="BB116" s="5"/>
      <c r="BC116" s="5"/>
      <c r="BD116" s="5"/>
      <c r="BE116" s="5"/>
      <c r="BF116" s="5"/>
      <c r="BG116" s="5"/>
      <c r="BH116" s="5"/>
      <c r="BI116" s="5"/>
      <c r="BJ116" s="5"/>
      <c r="BK116" s="5"/>
      <c r="BL116" s="5"/>
      <c r="BM116" s="5"/>
      <c r="BN116" s="5"/>
      <c r="BO116" s="5"/>
      <c r="BP116" s="5"/>
      <c r="BQ116" s="5"/>
      <c r="BR116" s="5"/>
      <c r="BS116" s="5"/>
      <c r="BT116" s="5"/>
      <c r="BU116" s="5"/>
      <c r="BV116" s="5"/>
      <c r="BW116" s="5"/>
      <c r="BX116" s="5"/>
    </row>
    <row r="117" spans="1:76" ht="39.950000000000003" customHeight="1">
      <c r="A117" s="483"/>
      <c r="B117" s="374" t="str">
        <f>IF(VLOOKUP(A116,Values!$A$140:$T$239,14,0)="",IF(VLOOKUP(A116,Values!$A$140:$T$239,11,0)="",IFERROR(INDEX(Database_Charms,MATCH($N116,Database_Charms_Names,0),MATCH(Charms!$S$1,Database_Charms_Values,0)),""),VLOOKUP(A116,Values!$A$140:$T$239,11,0)),VLOOKUP(A116,Values!$A$140:$T$239,14,0))</f>
        <v/>
      </c>
      <c r="C117" s="374"/>
      <c r="D117" s="374"/>
      <c r="E117" s="374"/>
      <c r="F117" s="374"/>
      <c r="G117" s="374"/>
      <c r="H117" s="374"/>
      <c r="I117" s="374"/>
      <c r="J117" s="374"/>
      <c r="K117" s="374"/>
      <c r="L117" s="374"/>
      <c r="M117" s="374"/>
      <c r="N117" s="374"/>
      <c r="O117" s="374"/>
      <c r="P117" s="374"/>
      <c r="Q117" s="374"/>
      <c r="R117" s="374"/>
      <c r="S117" s="374"/>
      <c r="T117" s="374"/>
      <c r="U117" s="374"/>
      <c r="V117" s="374"/>
      <c r="W117" s="374"/>
      <c r="X117" s="374"/>
      <c r="Y117" s="374"/>
      <c r="Z117" s="374"/>
      <c r="AA117" s="374"/>
      <c r="AB117" s="374"/>
      <c r="AC117" s="374"/>
      <c r="AD117" s="374"/>
      <c r="AE117" s="374"/>
      <c r="AF117" s="374"/>
      <c r="AG117" s="374"/>
      <c r="AH117" s="374"/>
      <c r="AI117" s="374"/>
      <c r="AJ117" s="374"/>
      <c r="AK117" s="374"/>
      <c r="AL117" s="374"/>
      <c r="AM117" s="374"/>
      <c r="AN117" s="374"/>
      <c r="AO117" s="374"/>
      <c r="AP117" s="374"/>
      <c r="AQ117" s="374"/>
      <c r="AR117" s="374"/>
      <c r="AS117" s="374"/>
      <c r="AT117" s="374"/>
      <c r="AU117" s="374"/>
      <c r="AV117" s="374"/>
      <c r="AW117" s="374"/>
      <c r="AX117" s="374"/>
      <c r="AY117" s="374"/>
      <c r="AZ117" s="5"/>
      <c r="BA117" s="369" t="s">
        <v>3469</v>
      </c>
      <c r="BB117" s="369"/>
      <c r="BC117" s="369"/>
      <c r="BD117" s="369"/>
      <c r="BE117" s="369"/>
      <c r="BF117" s="369"/>
      <c r="BG117" s="369"/>
      <c r="BH117" s="369"/>
      <c r="BI117" s="369"/>
      <c r="BJ117" s="369"/>
      <c r="BK117" s="369"/>
      <c r="BL117" s="369"/>
      <c r="BM117" s="369"/>
      <c r="BN117" s="5"/>
      <c r="BO117" s="5"/>
      <c r="BP117" s="5"/>
      <c r="BQ117" s="5"/>
      <c r="BR117" s="5"/>
      <c r="BS117" s="5"/>
      <c r="BT117" s="5"/>
      <c r="BU117" s="5"/>
      <c r="BV117" s="5"/>
      <c r="BW117" s="5"/>
      <c r="BX117" s="5"/>
    </row>
    <row r="118" spans="1:76" ht="20.100000000000001" customHeight="1">
      <c r="A118" s="483">
        <v>4</v>
      </c>
      <c r="B118" s="378" t="str">
        <f>IFERROR(INDEX(Database_Charms,MATCH($N118,Database_Charms_Names,0),MATCH(B$111,Database_Charms_Values,0)),"")</f>
        <v/>
      </c>
      <c r="C118" s="378"/>
      <c r="D118" s="378"/>
      <c r="E118" s="378"/>
      <c r="F118" s="378"/>
      <c r="G118" s="33"/>
      <c r="H118" s="378" t="str">
        <f>IFERROR(INDEX(Database_Charms,MATCH($N118,Database_Charms_Names,0),MATCH("Ability_Subtype",Database_Charms_Values,0)),"")</f>
        <v/>
      </c>
      <c r="I118" s="378"/>
      <c r="J118" s="378"/>
      <c r="K118" s="378"/>
      <c r="L118" s="378"/>
      <c r="M118" s="23"/>
      <c r="N118" s="378" t="str">
        <f>VLOOKUP(A118,Values!$A$140:$O$239,IF(ISBLANK(VLOOKUP(A118,Values!$A$140:$O$239,13,0)),10,13),0)</f>
        <v/>
      </c>
      <c r="O118" s="378"/>
      <c r="P118" s="378"/>
      <c r="Q118" s="378"/>
      <c r="R118" s="378"/>
      <c r="S118" s="378"/>
      <c r="T118" s="378"/>
      <c r="U118" s="378"/>
      <c r="V118" s="378"/>
      <c r="W118" s="378"/>
      <c r="X118" s="378"/>
      <c r="Y118" s="378"/>
      <c r="Z118" s="378"/>
      <c r="AA118" s="378"/>
      <c r="AB118" s="23"/>
      <c r="AC118" s="302" t="str">
        <f>IFERROR(INDEX(Database_Charms,MATCH($N118,Database_Charms_Names,0),MATCH(AC$111,Database_Charms_Values,0)),"")</f>
        <v/>
      </c>
      <c r="AD118" s="302"/>
      <c r="AE118" s="302"/>
      <c r="AF118" s="302"/>
      <c r="AG118" s="302"/>
      <c r="AH118" s="125"/>
      <c r="AI118" s="302" t="str">
        <f>IFERROR(INDEX(Database_Charms,MATCH($N118,Database_Charms_Names,0),MATCH(AI$111,Database_Charms_Values,0)),"")</f>
        <v/>
      </c>
      <c r="AJ118" s="302"/>
      <c r="AK118" s="302"/>
      <c r="AL118" s="302"/>
      <c r="AM118" s="125"/>
      <c r="AN118" s="302" t="str">
        <f>IFERROR(INDEX(Database_Charms,MATCH($N118,Database_Charms_Names,0),MATCH(AN$111,Database_Charms_Values,0)),"")</f>
        <v/>
      </c>
      <c r="AO118" s="302"/>
      <c r="AP118" s="302"/>
      <c r="AQ118" s="302"/>
      <c r="AR118" s="302"/>
      <c r="AS118" s="125"/>
      <c r="AT118" s="302" t="str">
        <f>IFERROR(INDEX(Database_Charms,MATCH($N118,Database_Charms_Names,0),MATCH(AT$111,Database_Charms_Values,0)),"")</f>
        <v/>
      </c>
      <c r="AU118" s="302"/>
      <c r="AV118" s="125"/>
      <c r="AW118" s="302" t="str">
        <f>IFERROR(INDEX(Database_Charms,MATCH($N118,Database_Charms_Names,0),MATCH(AW$111,Database_Charms_Values,0)),"")</f>
        <v/>
      </c>
      <c r="AX118" s="302"/>
      <c r="AY118" s="302"/>
      <c r="AZ118" s="5"/>
      <c r="BA118" s="369"/>
      <c r="BB118" s="369"/>
      <c r="BC118" s="369"/>
      <c r="BD118" s="369"/>
      <c r="BE118" s="369"/>
      <c r="BF118" s="369"/>
      <c r="BG118" s="369"/>
      <c r="BH118" s="369"/>
      <c r="BI118" s="369"/>
      <c r="BJ118" s="369"/>
      <c r="BK118" s="369"/>
      <c r="BL118" s="369"/>
      <c r="BM118" s="369"/>
      <c r="BN118" s="5"/>
      <c r="BO118" s="5"/>
      <c r="BP118" s="5"/>
      <c r="BQ118" s="5"/>
      <c r="BR118" s="5"/>
      <c r="BS118" s="5"/>
      <c r="BT118" s="5"/>
      <c r="BU118" s="5"/>
      <c r="BV118" s="5"/>
      <c r="BW118" s="5"/>
      <c r="BX118" s="5"/>
    </row>
    <row r="119" spans="1:76" ht="39.950000000000003" customHeight="1">
      <c r="A119" s="483"/>
      <c r="B119" s="374" t="str">
        <f>IF(VLOOKUP(A118,Values!$A$140:$T$239,14,0)="",IF(VLOOKUP(A118,Values!$A$140:$T$239,11,0)="",IFERROR(INDEX(Database_Charms,MATCH($N118,Database_Charms_Names,0),MATCH(Charms!$S$1,Database_Charms_Values,0)),""),VLOOKUP(A118,Values!$A$140:$T$239,11,0)),VLOOKUP(A118,Values!$A$140:$T$239,14,0))</f>
        <v/>
      </c>
      <c r="C119" s="374"/>
      <c r="D119" s="374"/>
      <c r="E119" s="374"/>
      <c r="F119" s="374"/>
      <c r="G119" s="374"/>
      <c r="H119" s="374"/>
      <c r="I119" s="374"/>
      <c r="J119" s="374"/>
      <c r="K119" s="374"/>
      <c r="L119" s="374"/>
      <c r="M119" s="374"/>
      <c r="N119" s="374"/>
      <c r="O119" s="374"/>
      <c r="P119" s="374"/>
      <c r="Q119" s="374"/>
      <c r="R119" s="374"/>
      <c r="S119" s="374"/>
      <c r="T119" s="374"/>
      <c r="U119" s="374"/>
      <c r="V119" s="374"/>
      <c r="W119" s="374"/>
      <c r="X119" s="374"/>
      <c r="Y119" s="374"/>
      <c r="Z119" s="374"/>
      <c r="AA119" s="374"/>
      <c r="AB119" s="374"/>
      <c r="AC119" s="374"/>
      <c r="AD119" s="374"/>
      <c r="AE119" s="374"/>
      <c r="AF119" s="374"/>
      <c r="AG119" s="374"/>
      <c r="AH119" s="374"/>
      <c r="AI119" s="374"/>
      <c r="AJ119" s="374"/>
      <c r="AK119" s="374"/>
      <c r="AL119" s="374"/>
      <c r="AM119" s="374"/>
      <c r="AN119" s="374"/>
      <c r="AO119" s="374"/>
      <c r="AP119" s="374"/>
      <c r="AQ119" s="374"/>
      <c r="AR119" s="374"/>
      <c r="AS119" s="374"/>
      <c r="AT119" s="374"/>
      <c r="AU119" s="374"/>
      <c r="AV119" s="374"/>
      <c r="AW119" s="374"/>
      <c r="AX119" s="374"/>
      <c r="AY119" s="374"/>
      <c r="AZ119" s="5"/>
      <c r="BA119" s="5"/>
      <c r="BB119" s="5"/>
      <c r="BC119" s="5"/>
      <c r="BD119" s="5"/>
      <c r="BE119" s="5"/>
      <c r="BF119" s="5"/>
      <c r="BG119" s="5"/>
      <c r="BH119" s="5"/>
      <c r="BI119" s="5"/>
      <c r="BJ119" s="5"/>
      <c r="BK119" s="5"/>
      <c r="BL119" s="5"/>
      <c r="BM119" s="5"/>
      <c r="BN119" s="5"/>
      <c r="BO119" s="5"/>
      <c r="BP119" s="5"/>
      <c r="BQ119" s="5"/>
      <c r="BR119" s="5"/>
      <c r="BS119" s="5"/>
      <c r="BT119" s="5"/>
      <c r="BU119" s="5"/>
      <c r="BV119" s="5"/>
      <c r="BW119" s="5"/>
      <c r="BX119" s="5"/>
    </row>
    <row r="120" spans="1:76" ht="20.100000000000001" customHeight="1">
      <c r="A120" s="483">
        <v>5</v>
      </c>
      <c r="B120" s="378" t="str">
        <f>IFERROR(INDEX(Database_Charms,MATCH($N120,Database_Charms_Names,0),MATCH(B$111,Database_Charms_Values,0)),"")</f>
        <v/>
      </c>
      <c r="C120" s="378"/>
      <c r="D120" s="378"/>
      <c r="E120" s="378"/>
      <c r="F120" s="378"/>
      <c r="G120" s="33"/>
      <c r="H120" s="378" t="str">
        <f>IFERROR(INDEX(Database_Charms,MATCH($N120,Database_Charms_Names,0),MATCH("Ability_Subtype",Database_Charms_Values,0)),"")</f>
        <v/>
      </c>
      <c r="I120" s="378"/>
      <c r="J120" s="378"/>
      <c r="K120" s="378"/>
      <c r="L120" s="378"/>
      <c r="M120" s="23"/>
      <c r="N120" s="378" t="str">
        <f>VLOOKUP(A120,Values!$A$140:$O$239,IF(ISBLANK(VLOOKUP(A120,Values!$A$140:$O$239,13,0)),10,13),0)</f>
        <v/>
      </c>
      <c r="O120" s="378"/>
      <c r="P120" s="378"/>
      <c r="Q120" s="378"/>
      <c r="R120" s="378"/>
      <c r="S120" s="378"/>
      <c r="T120" s="378"/>
      <c r="U120" s="378"/>
      <c r="V120" s="378"/>
      <c r="W120" s="378"/>
      <c r="X120" s="378"/>
      <c r="Y120" s="378"/>
      <c r="Z120" s="378"/>
      <c r="AA120" s="378"/>
      <c r="AB120" s="23"/>
      <c r="AC120" s="302" t="str">
        <f>IFERROR(INDEX(Database_Charms,MATCH($N120,Database_Charms_Names,0),MATCH(AC$111,Database_Charms_Values,0)),"")</f>
        <v/>
      </c>
      <c r="AD120" s="302"/>
      <c r="AE120" s="302"/>
      <c r="AF120" s="302"/>
      <c r="AG120" s="302"/>
      <c r="AH120" s="125"/>
      <c r="AI120" s="302" t="str">
        <f>IFERROR(INDEX(Database_Charms,MATCH($N120,Database_Charms_Names,0),MATCH(AI$111,Database_Charms_Values,0)),"")</f>
        <v/>
      </c>
      <c r="AJ120" s="302"/>
      <c r="AK120" s="302"/>
      <c r="AL120" s="302"/>
      <c r="AM120" s="125"/>
      <c r="AN120" s="302" t="str">
        <f>IFERROR(INDEX(Database_Charms,MATCH($N120,Database_Charms_Names,0),MATCH(AN$111,Database_Charms_Values,0)),"")</f>
        <v/>
      </c>
      <c r="AO120" s="302"/>
      <c r="AP120" s="302"/>
      <c r="AQ120" s="302"/>
      <c r="AR120" s="302"/>
      <c r="AS120" s="125"/>
      <c r="AT120" s="302" t="str">
        <f>IFERROR(INDEX(Database_Charms,MATCH($N120,Database_Charms_Names,0),MATCH(AT$111,Database_Charms_Values,0)),"")</f>
        <v/>
      </c>
      <c r="AU120" s="302"/>
      <c r="AV120" s="125"/>
      <c r="AW120" s="302" t="str">
        <f>IFERROR(INDEX(Database_Charms,MATCH($N120,Database_Charms_Names,0),MATCH(AW$111,Database_Charms_Values,0)),"")</f>
        <v/>
      </c>
      <c r="AX120" s="302"/>
      <c r="AY120" s="302"/>
      <c r="AZ120" s="5"/>
      <c r="BA120" s="5"/>
      <c r="BB120" s="5"/>
      <c r="BC120" s="5"/>
      <c r="BD120" s="5"/>
      <c r="BE120" s="5"/>
      <c r="BF120" s="5"/>
      <c r="BG120" s="5"/>
      <c r="BH120" s="5"/>
      <c r="BI120" s="5"/>
      <c r="BJ120" s="5"/>
      <c r="BK120" s="5"/>
      <c r="BL120" s="5"/>
      <c r="BM120" s="5"/>
      <c r="BN120" s="5"/>
      <c r="BO120" s="5"/>
      <c r="BP120" s="5"/>
      <c r="BQ120" s="5"/>
      <c r="BR120" s="5"/>
      <c r="BS120" s="5"/>
      <c r="BT120" s="5"/>
      <c r="BU120" s="5"/>
      <c r="BV120" s="5"/>
      <c r="BW120" s="5"/>
      <c r="BX120" s="5"/>
    </row>
    <row r="121" spans="1:76" ht="39.950000000000003" customHeight="1">
      <c r="A121" s="483"/>
      <c r="B121" s="374" t="str">
        <f>IF(VLOOKUP(A120,Values!$A$140:$T$239,14,0)="",IF(VLOOKUP(A120,Values!$A$140:$T$239,11,0)="",IFERROR(INDEX(Database_Charms,MATCH($N120,Database_Charms_Names,0),MATCH(Charms!$S$1,Database_Charms_Values,0)),""),VLOOKUP(A120,Values!$A$140:$T$239,11,0)),VLOOKUP(A120,Values!$A$140:$T$239,14,0))</f>
        <v/>
      </c>
      <c r="C121" s="374"/>
      <c r="D121" s="374"/>
      <c r="E121" s="374"/>
      <c r="F121" s="374"/>
      <c r="G121" s="374"/>
      <c r="H121" s="374"/>
      <c r="I121" s="374"/>
      <c r="J121" s="374"/>
      <c r="K121" s="374"/>
      <c r="L121" s="374"/>
      <c r="M121" s="374"/>
      <c r="N121" s="374"/>
      <c r="O121" s="374"/>
      <c r="P121" s="374"/>
      <c r="Q121" s="374"/>
      <c r="R121" s="374"/>
      <c r="S121" s="374"/>
      <c r="T121" s="374"/>
      <c r="U121" s="374"/>
      <c r="V121" s="374"/>
      <c r="W121" s="374"/>
      <c r="X121" s="374"/>
      <c r="Y121" s="374"/>
      <c r="Z121" s="374"/>
      <c r="AA121" s="374"/>
      <c r="AB121" s="374"/>
      <c r="AC121" s="374"/>
      <c r="AD121" s="374"/>
      <c r="AE121" s="374"/>
      <c r="AF121" s="374"/>
      <c r="AG121" s="374"/>
      <c r="AH121" s="374"/>
      <c r="AI121" s="374"/>
      <c r="AJ121" s="374"/>
      <c r="AK121" s="374"/>
      <c r="AL121" s="374"/>
      <c r="AM121" s="374"/>
      <c r="AN121" s="374"/>
      <c r="AO121" s="374"/>
      <c r="AP121" s="374"/>
      <c r="AQ121" s="374"/>
      <c r="AR121" s="374"/>
      <c r="AS121" s="374"/>
      <c r="AT121" s="374"/>
      <c r="AU121" s="374"/>
      <c r="AV121" s="374"/>
      <c r="AW121" s="374"/>
      <c r="AX121" s="374"/>
      <c r="AY121" s="374"/>
      <c r="AZ121" s="5"/>
      <c r="BA121" s="5"/>
      <c r="BB121" s="5"/>
      <c r="BC121" s="5"/>
      <c r="BD121" s="5"/>
      <c r="BE121" s="5"/>
      <c r="BF121" s="5"/>
      <c r="BG121" s="5"/>
      <c r="BH121" s="5"/>
      <c r="BI121" s="5"/>
      <c r="BJ121" s="5"/>
      <c r="BK121" s="5"/>
      <c r="BL121" s="5"/>
      <c r="BM121" s="5"/>
      <c r="BN121" s="5"/>
      <c r="BO121" s="5"/>
      <c r="BP121" s="5"/>
      <c r="BQ121" s="5"/>
      <c r="BR121" s="5"/>
      <c r="BS121" s="5"/>
      <c r="BT121" s="5"/>
      <c r="BU121" s="5"/>
      <c r="BV121" s="5"/>
      <c r="BW121" s="5"/>
      <c r="BX121" s="5"/>
    </row>
    <row r="122" spans="1:76" ht="20.100000000000001" customHeight="1">
      <c r="A122" s="483">
        <v>6</v>
      </c>
      <c r="B122" s="378" t="str">
        <f>IFERROR(INDEX(Database_Charms,MATCH($N122,Database_Charms_Names,0),MATCH(B$111,Database_Charms_Values,0)),"")</f>
        <v/>
      </c>
      <c r="C122" s="378"/>
      <c r="D122" s="378"/>
      <c r="E122" s="378"/>
      <c r="F122" s="378"/>
      <c r="G122" s="33"/>
      <c r="H122" s="378" t="str">
        <f>IFERROR(INDEX(Database_Charms,MATCH($N122,Database_Charms_Names,0),MATCH("Ability_Subtype",Database_Charms_Values,0)),"")</f>
        <v/>
      </c>
      <c r="I122" s="378"/>
      <c r="J122" s="378"/>
      <c r="K122" s="378"/>
      <c r="L122" s="378"/>
      <c r="M122" s="23"/>
      <c r="N122" s="378" t="str">
        <f>VLOOKUP(A122,Values!$A$140:$O$239,IF(ISBLANK(VLOOKUP(A122,Values!$A$140:$O$239,13,0)),10,13),0)</f>
        <v/>
      </c>
      <c r="O122" s="378"/>
      <c r="P122" s="378"/>
      <c r="Q122" s="378"/>
      <c r="R122" s="378"/>
      <c r="S122" s="378"/>
      <c r="T122" s="378"/>
      <c r="U122" s="378"/>
      <c r="V122" s="378"/>
      <c r="W122" s="378"/>
      <c r="X122" s="378"/>
      <c r="Y122" s="378"/>
      <c r="Z122" s="378"/>
      <c r="AA122" s="378"/>
      <c r="AB122" s="23"/>
      <c r="AC122" s="302" t="str">
        <f>IFERROR(INDEX(Database_Charms,MATCH($N122,Database_Charms_Names,0),MATCH(AC$111,Database_Charms_Values,0)),"")</f>
        <v/>
      </c>
      <c r="AD122" s="302"/>
      <c r="AE122" s="302"/>
      <c r="AF122" s="302"/>
      <c r="AG122" s="302"/>
      <c r="AH122" s="125"/>
      <c r="AI122" s="302" t="str">
        <f>IFERROR(INDEX(Database_Charms,MATCH($N122,Database_Charms_Names,0),MATCH(AI$111,Database_Charms_Values,0)),"")</f>
        <v/>
      </c>
      <c r="AJ122" s="302"/>
      <c r="AK122" s="302"/>
      <c r="AL122" s="302"/>
      <c r="AM122" s="125"/>
      <c r="AN122" s="302" t="str">
        <f>IFERROR(INDEX(Database_Charms,MATCH($N122,Database_Charms_Names,0),MATCH(AN$111,Database_Charms_Values,0)),"")</f>
        <v/>
      </c>
      <c r="AO122" s="302"/>
      <c r="AP122" s="302"/>
      <c r="AQ122" s="302"/>
      <c r="AR122" s="302"/>
      <c r="AS122" s="125"/>
      <c r="AT122" s="302" t="str">
        <f>IFERROR(INDEX(Database_Charms,MATCH($N122,Database_Charms_Names,0),MATCH(AT$111,Database_Charms_Values,0)),"")</f>
        <v/>
      </c>
      <c r="AU122" s="302"/>
      <c r="AV122" s="125"/>
      <c r="AW122" s="302" t="str">
        <f>IFERROR(INDEX(Database_Charms,MATCH($N122,Database_Charms_Names,0),MATCH(AW$111,Database_Charms_Values,0)),"")</f>
        <v/>
      </c>
      <c r="AX122" s="302"/>
      <c r="AY122" s="302"/>
      <c r="AZ122" s="5"/>
      <c r="BA122" s="5"/>
      <c r="BB122" s="5"/>
      <c r="BC122" s="5"/>
      <c r="BD122" s="5"/>
      <c r="BE122" s="5"/>
      <c r="BF122" s="5"/>
      <c r="BG122" s="5"/>
      <c r="BH122" s="5"/>
      <c r="BI122" s="5"/>
      <c r="BJ122" s="5"/>
      <c r="BK122" s="5"/>
      <c r="BL122" s="5"/>
      <c r="BM122" s="5"/>
      <c r="BN122" s="5"/>
      <c r="BO122" s="5"/>
      <c r="BP122" s="5"/>
      <c r="BQ122" s="5"/>
      <c r="BR122" s="5"/>
      <c r="BS122" s="5"/>
      <c r="BT122" s="5"/>
      <c r="BU122" s="5"/>
      <c r="BV122" s="5"/>
      <c r="BW122" s="5"/>
      <c r="BX122" s="5"/>
    </row>
    <row r="123" spans="1:76" ht="39.950000000000003" customHeight="1">
      <c r="A123" s="483"/>
      <c r="B123" s="374" t="str">
        <f>IF(VLOOKUP(A122,Values!$A$140:$T$239,14,0)="",IF(VLOOKUP(A122,Values!$A$140:$T$239,11,0)="",IFERROR(INDEX(Database_Charms,MATCH($N122,Database_Charms_Names,0),MATCH(Charms!$S$1,Database_Charms_Values,0)),""),VLOOKUP(A122,Values!$A$140:$T$239,11,0)),VLOOKUP(A122,Values!$A$140:$T$239,14,0))</f>
        <v/>
      </c>
      <c r="C123" s="374"/>
      <c r="D123" s="374"/>
      <c r="E123" s="374"/>
      <c r="F123" s="374"/>
      <c r="G123" s="374"/>
      <c r="H123" s="374"/>
      <c r="I123" s="374"/>
      <c r="J123" s="374"/>
      <c r="K123" s="374"/>
      <c r="L123" s="374"/>
      <c r="M123" s="374"/>
      <c r="N123" s="374"/>
      <c r="O123" s="374"/>
      <c r="P123" s="374"/>
      <c r="Q123" s="374"/>
      <c r="R123" s="374"/>
      <c r="S123" s="374"/>
      <c r="T123" s="374"/>
      <c r="U123" s="374"/>
      <c r="V123" s="374"/>
      <c r="W123" s="374"/>
      <c r="X123" s="374"/>
      <c r="Y123" s="374"/>
      <c r="Z123" s="374"/>
      <c r="AA123" s="374"/>
      <c r="AB123" s="374"/>
      <c r="AC123" s="374"/>
      <c r="AD123" s="374"/>
      <c r="AE123" s="374"/>
      <c r="AF123" s="374"/>
      <c r="AG123" s="374"/>
      <c r="AH123" s="374"/>
      <c r="AI123" s="374"/>
      <c r="AJ123" s="374"/>
      <c r="AK123" s="374"/>
      <c r="AL123" s="374"/>
      <c r="AM123" s="374"/>
      <c r="AN123" s="374"/>
      <c r="AO123" s="374"/>
      <c r="AP123" s="374"/>
      <c r="AQ123" s="374"/>
      <c r="AR123" s="374"/>
      <c r="AS123" s="374"/>
      <c r="AT123" s="374"/>
      <c r="AU123" s="374"/>
      <c r="AV123" s="374"/>
      <c r="AW123" s="374"/>
      <c r="AX123" s="374"/>
      <c r="AY123" s="374"/>
      <c r="AZ123" s="5"/>
      <c r="BA123" s="5"/>
      <c r="BB123" s="5"/>
      <c r="BC123" s="5"/>
      <c r="BD123" s="5"/>
      <c r="BE123" s="5"/>
      <c r="BF123" s="5"/>
      <c r="BG123" s="5"/>
      <c r="BH123" s="5"/>
      <c r="BI123" s="5"/>
      <c r="BJ123" s="5"/>
      <c r="BK123" s="5"/>
      <c r="BL123" s="5"/>
      <c r="BM123" s="5"/>
      <c r="BN123" s="5"/>
      <c r="BO123" s="5"/>
      <c r="BP123" s="5"/>
      <c r="BQ123" s="5"/>
      <c r="BR123" s="5"/>
      <c r="BS123" s="5"/>
      <c r="BT123" s="5"/>
      <c r="BU123" s="5"/>
      <c r="BV123" s="5"/>
      <c r="BW123" s="5"/>
      <c r="BX123" s="5"/>
    </row>
    <row r="124" spans="1:76" ht="20.100000000000001" customHeight="1">
      <c r="A124" s="483">
        <v>7</v>
      </c>
      <c r="B124" s="378" t="str">
        <f>IFERROR(INDEX(Database_Charms,MATCH($N124,Database_Charms_Names,0),MATCH(B$111,Database_Charms_Values,0)),"")</f>
        <v/>
      </c>
      <c r="C124" s="378"/>
      <c r="D124" s="378"/>
      <c r="E124" s="378"/>
      <c r="F124" s="378"/>
      <c r="G124" s="33"/>
      <c r="H124" s="378" t="str">
        <f>IFERROR(INDEX(Database_Charms,MATCH($N124,Database_Charms_Names,0),MATCH("Ability_Subtype",Database_Charms_Values,0)),"")</f>
        <v/>
      </c>
      <c r="I124" s="378"/>
      <c r="J124" s="378"/>
      <c r="K124" s="378"/>
      <c r="L124" s="378"/>
      <c r="M124" s="23"/>
      <c r="N124" s="378" t="str">
        <f>VLOOKUP(A124,Values!$A$140:$O$239,IF(ISBLANK(VLOOKUP(A124,Values!$A$140:$O$239,13,0)),10,13),0)</f>
        <v/>
      </c>
      <c r="O124" s="378"/>
      <c r="P124" s="378"/>
      <c r="Q124" s="378"/>
      <c r="R124" s="378"/>
      <c r="S124" s="378"/>
      <c r="T124" s="378"/>
      <c r="U124" s="378"/>
      <c r="V124" s="378"/>
      <c r="W124" s="378"/>
      <c r="X124" s="378"/>
      <c r="Y124" s="378"/>
      <c r="Z124" s="378"/>
      <c r="AA124" s="378"/>
      <c r="AB124" s="23"/>
      <c r="AC124" s="302" t="str">
        <f>IFERROR(INDEX(Database_Charms,MATCH($N124,Database_Charms_Names,0),MATCH(AC$111,Database_Charms_Values,0)),"")</f>
        <v/>
      </c>
      <c r="AD124" s="302"/>
      <c r="AE124" s="302"/>
      <c r="AF124" s="302"/>
      <c r="AG124" s="302"/>
      <c r="AH124" s="125"/>
      <c r="AI124" s="302" t="str">
        <f>IFERROR(INDEX(Database_Charms,MATCH($N124,Database_Charms_Names,0),MATCH(AI$111,Database_Charms_Values,0)),"")</f>
        <v/>
      </c>
      <c r="AJ124" s="302"/>
      <c r="AK124" s="302"/>
      <c r="AL124" s="302"/>
      <c r="AM124" s="125"/>
      <c r="AN124" s="302" t="str">
        <f>IFERROR(INDEX(Database_Charms,MATCH($N124,Database_Charms_Names,0),MATCH(AN$111,Database_Charms_Values,0)),"")</f>
        <v/>
      </c>
      <c r="AO124" s="302"/>
      <c r="AP124" s="302"/>
      <c r="AQ124" s="302"/>
      <c r="AR124" s="302"/>
      <c r="AS124" s="125"/>
      <c r="AT124" s="302" t="str">
        <f>IFERROR(INDEX(Database_Charms,MATCH($N124,Database_Charms_Names,0),MATCH(AT$111,Database_Charms_Values,0)),"")</f>
        <v/>
      </c>
      <c r="AU124" s="302"/>
      <c r="AV124" s="125"/>
      <c r="AW124" s="302" t="str">
        <f>IFERROR(INDEX(Database_Charms,MATCH($N124,Database_Charms_Names,0),MATCH(AW$111,Database_Charms_Values,0)),"")</f>
        <v/>
      </c>
      <c r="AX124" s="302"/>
      <c r="AY124" s="302"/>
      <c r="AZ124" s="5"/>
      <c r="BA124" s="5"/>
      <c r="BB124" s="5"/>
      <c r="BC124" s="5"/>
      <c r="BD124" s="5"/>
      <c r="BE124" s="5"/>
      <c r="BF124" s="5"/>
      <c r="BG124" s="5"/>
      <c r="BH124" s="5"/>
      <c r="BI124" s="5"/>
      <c r="BJ124" s="5"/>
      <c r="BK124" s="5"/>
      <c r="BL124" s="5"/>
      <c r="BM124" s="5"/>
      <c r="BN124" s="5"/>
      <c r="BO124" s="5"/>
      <c r="BP124" s="5"/>
      <c r="BQ124" s="5"/>
      <c r="BR124" s="5"/>
      <c r="BS124" s="5"/>
      <c r="BT124" s="5"/>
      <c r="BU124" s="5"/>
      <c r="BV124" s="5"/>
      <c r="BW124" s="5"/>
      <c r="BX124" s="5"/>
    </row>
    <row r="125" spans="1:76" ht="39.950000000000003" customHeight="1">
      <c r="A125" s="483"/>
      <c r="B125" s="374" t="str">
        <f>IF(VLOOKUP(A124,Values!$A$140:$T$239,14,0)="",IF(VLOOKUP(A124,Values!$A$140:$T$239,11,0)="",IFERROR(INDEX(Database_Charms,MATCH($N124,Database_Charms_Names,0),MATCH(Charms!$S$1,Database_Charms_Values,0)),""),VLOOKUP(A124,Values!$A$140:$T$239,11,0)),VLOOKUP(A124,Values!$A$140:$T$239,14,0))</f>
        <v/>
      </c>
      <c r="C125" s="374"/>
      <c r="D125" s="374"/>
      <c r="E125" s="374"/>
      <c r="F125" s="374"/>
      <c r="G125" s="374"/>
      <c r="H125" s="374"/>
      <c r="I125" s="374"/>
      <c r="J125" s="374"/>
      <c r="K125" s="374"/>
      <c r="L125" s="374"/>
      <c r="M125" s="374"/>
      <c r="N125" s="374"/>
      <c r="O125" s="374"/>
      <c r="P125" s="374"/>
      <c r="Q125" s="374"/>
      <c r="R125" s="374"/>
      <c r="S125" s="374"/>
      <c r="T125" s="374"/>
      <c r="U125" s="374"/>
      <c r="V125" s="374"/>
      <c r="W125" s="374"/>
      <c r="X125" s="374"/>
      <c r="Y125" s="374"/>
      <c r="Z125" s="374"/>
      <c r="AA125" s="374"/>
      <c r="AB125" s="374"/>
      <c r="AC125" s="374"/>
      <c r="AD125" s="374"/>
      <c r="AE125" s="374"/>
      <c r="AF125" s="374"/>
      <c r="AG125" s="374"/>
      <c r="AH125" s="374"/>
      <c r="AI125" s="374"/>
      <c r="AJ125" s="374"/>
      <c r="AK125" s="374"/>
      <c r="AL125" s="374"/>
      <c r="AM125" s="374"/>
      <c r="AN125" s="374"/>
      <c r="AO125" s="374"/>
      <c r="AP125" s="374"/>
      <c r="AQ125" s="374"/>
      <c r="AR125" s="374"/>
      <c r="AS125" s="374"/>
      <c r="AT125" s="374"/>
      <c r="AU125" s="374"/>
      <c r="AV125" s="374"/>
      <c r="AW125" s="374"/>
      <c r="AX125" s="374"/>
      <c r="AY125" s="374"/>
      <c r="AZ125" s="5"/>
      <c r="BA125" s="5"/>
      <c r="BB125" s="5"/>
      <c r="BC125" s="5"/>
      <c r="BD125" s="5"/>
      <c r="BE125" s="5"/>
      <c r="BF125" s="5"/>
      <c r="BG125" s="5"/>
      <c r="BH125" s="5"/>
      <c r="BI125" s="5"/>
      <c r="BJ125" s="5"/>
      <c r="BK125" s="5"/>
      <c r="BL125" s="5"/>
      <c r="BM125" s="5"/>
      <c r="BN125" s="5"/>
      <c r="BO125" s="5"/>
      <c r="BP125" s="5"/>
      <c r="BQ125" s="5"/>
      <c r="BR125" s="5"/>
      <c r="BS125" s="5"/>
      <c r="BT125" s="5"/>
      <c r="BU125" s="5"/>
      <c r="BV125" s="5"/>
      <c r="BW125" s="5"/>
      <c r="BX125" s="5"/>
    </row>
    <row r="126" spans="1:76" ht="20.100000000000001" customHeight="1">
      <c r="A126" s="483">
        <v>8</v>
      </c>
      <c r="B126" s="378" t="str">
        <f>IFERROR(INDEX(Database_Charms,MATCH($N126,Database_Charms_Names,0),MATCH(B$111,Database_Charms_Values,0)),"")</f>
        <v/>
      </c>
      <c r="C126" s="378"/>
      <c r="D126" s="378"/>
      <c r="E126" s="378"/>
      <c r="F126" s="378"/>
      <c r="G126" s="33"/>
      <c r="H126" s="378" t="str">
        <f>IFERROR(INDEX(Database_Charms,MATCH($N126,Database_Charms_Names,0),MATCH("Ability_Subtype",Database_Charms_Values,0)),"")</f>
        <v/>
      </c>
      <c r="I126" s="378"/>
      <c r="J126" s="378"/>
      <c r="K126" s="378"/>
      <c r="L126" s="378"/>
      <c r="M126" s="23"/>
      <c r="N126" s="378" t="str">
        <f>VLOOKUP(A126,Values!$A$140:$O$239,IF(ISBLANK(VLOOKUP(A126,Values!$A$140:$O$239,13,0)),10,13),0)</f>
        <v/>
      </c>
      <c r="O126" s="378"/>
      <c r="P126" s="378"/>
      <c r="Q126" s="378"/>
      <c r="R126" s="378"/>
      <c r="S126" s="378"/>
      <c r="T126" s="378"/>
      <c r="U126" s="378"/>
      <c r="V126" s="378"/>
      <c r="W126" s="378"/>
      <c r="X126" s="378"/>
      <c r="Y126" s="378"/>
      <c r="Z126" s="378"/>
      <c r="AA126" s="378"/>
      <c r="AB126" s="23"/>
      <c r="AC126" s="302" t="str">
        <f>IFERROR(INDEX(Database_Charms,MATCH($N126,Database_Charms_Names,0),MATCH(AC$111,Database_Charms_Values,0)),"")</f>
        <v/>
      </c>
      <c r="AD126" s="302"/>
      <c r="AE126" s="302"/>
      <c r="AF126" s="302"/>
      <c r="AG126" s="302"/>
      <c r="AH126" s="125"/>
      <c r="AI126" s="302" t="str">
        <f>IFERROR(INDEX(Database_Charms,MATCH($N126,Database_Charms_Names,0),MATCH(AI$111,Database_Charms_Values,0)),"")</f>
        <v/>
      </c>
      <c r="AJ126" s="302"/>
      <c r="AK126" s="302"/>
      <c r="AL126" s="302"/>
      <c r="AM126" s="125"/>
      <c r="AN126" s="302" t="str">
        <f>IFERROR(INDEX(Database_Charms,MATCH($N126,Database_Charms_Names,0),MATCH(AN$111,Database_Charms_Values,0)),"")</f>
        <v/>
      </c>
      <c r="AO126" s="302"/>
      <c r="AP126" s="302"/>
      <c r="AQ126" s="302"/>
      <c r="AR126" s="302"/>
      <c r="AS126" s="125"/>
      <c r="AT126" s="302" t="str">
        <f>IFERROR(INDEX(Database_Charms,MATCH($N126,Database_Charms_Names,0),MATCH(AT$111,Database_Charms_Values,0)),"")</f>
        <v/>
      </c>
      <c r="AU126" s="302"/>
      <c r="AV126" s="125"/>
      <c r="AW126" s="302" t="str">
        <f>IFERROR(INDEX(Database_Charms,MATCH($N126,Database_Charms_Names,0),MATCH(AW$111,Database_Charms_Values,0)),"")</f>
        <v/>
      </c>
      <c r="AX126" s="302"/>
      <c r="AY126" s="302"/>
      <c r="AZ126" s="5"/>
      <c r="BA126" s="5"/>
      <c r="BB126" s="5"/>
      <c r="BC126" s="5"/>
      <c r="BD126" s="5"/>
      <c r="BE126" s="5"/>
      <c r="BF126" s="5"/>
      <c r="BG126" s="5"/>
      <c r="BH126" s="5"/>
      <c r="BI126" s="5"/>
      <c r="BJ126" s="5"/>
      <c r="BK126" s="5"/>
      <c r="BL126" s="5"/>
      <c r="BM126" s="5"/>
      <c r="BN126" s="5"/>
      <c r="BO126" s="5"/>
      <c r="BP126" s="5"/>
      <c r="BQ126" s="5"/>
      <c r="BR126" s="5"/>
      <c r="BS126" s="5"/>
      <c r="BT126" s="5"/>
      <c r="BU126" s="5"/>
      <c r="BV126" s="5"/>
      <c r="BW126" s="5"/>
      <c r="BX126" s="5"/>
    </row>
    <row r="127" spans="1:76" ht="39.950000000000003" customHeight="1">
      <c r="A127" s="483"/>
      <c r="B127" s="374" t="str">
        <f>IF(VLOOKUP(A126,Values!$A$140:$T$239,14,0)="",IF(VLOOKUP(A126,Values!$A$140:$T$239,11,0)="",IFERROR(INDEX(Database_Charms,MATCH($N126,Database_Charms_Names,0),MATCH(Charms!$S$1,Database_Charms_Values,0)),""),VLOOKUP(A126,Values!$A$140:$T$239,11,0)),VLOOKUP(A126,Values!$A$140:$T$239,14,0))</f>
        <v/>
      </c>
      <c r="C127" s="374"/>
      <c r="D127" s="374"/>
      <c r="E127" s="374"/>
      <c r="F127" s="374"/>
      <c r="G127" s="374"/>
      <c r="H127" s="374"/>
      <c r="I127" s="374"/>
      <c r="J127" s="374"/>
      <c r="K127" s="374"/>
      <c r="L127" s="374"/>
      <c r="M127" s="374"/>
      <c r="N127" s="374"/>
      <c r="O127" s="374"/>
      <c r="P127" s="374"/>
      <c r="Q127" s="374"/>
      <c r="R127" s="374"/>
      <c r="S127" s="374"/>
      <c r="T127" s="374"/>
      <c r="U127" s="374"/>
      <c r="V127" s="374"/>
      <c r="W127" s="374"/>
      <c r="X127" s="374"/>
      <c r="Y127" s="374"/>
      <c r="Z127" s="374"/>
      <c r="AA127" s="374"/>
      <c r="AB127" s="374"/>
      <c r="AC127" s="374"/>
      <c r="AD127" s="374"/>
      <c r="AE127" s="374"/>
      <c r="AF127" s="374"/>
      <c r="AG127" s="374"/>
      <c r="AH127" s="374"/>
      <c r="AI127" s="374"/>
      <c r="AJ127" s="374"/>
      <c r="AK127" s="374"/>
      <c r="AL127" s="374"/>
      <c r="AM127" s="374"/>
      <c r="AN127" s="374"/>
      <c r="AO127" s="374"/>
      <c r="AP127" s="374"/>
      <c r="AQ127" s="374"/>
      <c r="AR127" s="374"/>
      <c r="AS127" s="374"/>
      <c r="AT127" s="374"/>
      <c r="AU127" s="374"/>
      <c r="AV127" s="374"/>
      <c r="AW127" s="374"/>
      <c r="AX127" s="374"/>
      <c r="AY127" s="374"/>
      <c r="AZ127" s="5"/>
      <c r="BA127" s="5"/>
      <c r="BB127" s="5"/>
      <c r="BC127" s="5"/>
      <c r="BD127" s="5"/>
      <c r="BE127" s="5"/>
      <c r="BF127" s="5"/>
      <c r="BG127" s="5"/>
      <c r="BH127" s="5"/>
      <c r="BI127" s="5"/>
      <c r="BJ127" s="5"/>
      <c r="BK127" s="5"/>
      <c r="BL127" s="5"/>
      <c r="BM127" s="5"/>
      <c r="BN127" s="5"/>
      <c r="BO127" s="5"/>
      <c r="BP127" s="5"/>
      <c r="BQ127" s="5"/>
      <c r="BR127" s="5"/>
      <c r="BS127" s="5"/>
      <c r="BT127" s="5"/>
      <c r="BU127" s="5"/>
      <c r="BV127" s="5"/>
      <c r="BW127" s="5"/>
      <c r="BX127" s="5"/>
    </row>
    <row r="128" spans="1:76" ht="20.100000000000001" customHeight="1">
      <c r="A128" s="483">
        <v>9</v>
      </c>
      <c r="B128" s="378" t="str">
        <f>IFERROR(INDEX(Database_Charms,MATCH($N128,Database_Charms_Names,0),MATCH(B$111,Database_Charms_Values,0)),"")</f>
        <v/>
      </c>
      <c r="C128" s="378"/>
      <c r="D128" s="378"/>
      <c r="E128" s="378"/>
      <c r="F128" s="378"/>
      <c r="G128" s="33"/>
      <c r="H128" s="378" t="str">
        <f>IFERROR(INDEX(Database_Charms,MATCH($N128,Database_Charms_Names,0),MATCH("Ability_Subtype",Database_Charms_Values,0)),"")</f>
        <v/>
      </c>
      <c r="I128" s="378"/>
      <c r="J128" s="378"/>
      <c r="K128" s="378"/>
      <c r="L128" s="378"/>
      <c r="M128" s="23"/>
      <c r="N128" s="378" t="str">
        <f>VLOOKUP(A128,Values!$A$140:$O$239,IF(ISBLANK(VLOOKUP(A128,Values!$A$140:$O$239,13,0)),10,13),0)</f>
        <v/>
      </c>
      <c r="O128" s="378"/>
      <c r="P128" s="378"/>
      <c r="Q128" s="378"/>
      <c r="R128" s="378"/>
      <c r="S128" s="378"/>
      <c r="T128" s="378"/>
      <c r="U128" s="378"/>
      <c r="V128" s="378"/>
      <c r="W128" s="378"/>
      <c r="X128" s="378"/>
      <c r="Y128" s="378"/>
      <c r="Z128" s="378"/>
      <c r="AA128" s="378"/>
      <c r="AB128" s="23"/>
      <c r="AC128" s="302" t="str">
        <f>IFERROR(INDEX(Database_Charms,MATCH($N128,Database_Charms_Names,0),MATCH(AC$111,Database_Charms_Values,0)),"")</f>
        <v/>
      </c>
      <c r="AD128" s="302"/>
      <c r="AE128" s="302"/>
      <c r="AF128" s="302"/>
      <c r="AG128" s="302"/>
      <c r="AH128" s="125"/>
      <c r="AI128" s="302" t="str">
        <f>IFERROR(INDEX(Database_Charms,MATCH($N128,Database_Charms_Names,0),MATCH(AI$111,Database_Charms_Values,0)),"")</f>
        <v/>
      </c>
      <c r="AJ128" s="302"/>
      <c r="AK128" s="302"/>
      <c r="AL128" s="302"/>
      <c r="AM128" s="125"/>
      <c r="AN128" s="302" t="str">
        <f>IFERROR(INDEX(Database_Charms,MATCH($N128,Database_Charms_Names,0),MATCH(AN$111,Database_Charms_Values,0)),"")</f>
        <v/>
      </c>
      <c r="AO128" s="302"/>
      <c r="AP128" s="302"/>
      <c r="AQ128" s="302"/>
      <c r="AR128" s="302"/>
      <c r="AS128" s="125"/>
      <c r="AT128" s="302" t="str">
        <f>IFERROR(INDEX(Database_Charms,MATCH($N128,Database_Charms_Names,0),MATCH(AT$111,Database_Charms_Values,0)),"")</f>
        <v/>
      </c>
      <c r="AU128" s="302"/>
      <c r="AV128" s="125"/>
      <c r="AW128" s="302" t="str">
        <f>IFERROR(INDEX(Database_Charms,MATCH($N128,Database_Charms_Names,0),MATCH(AW$111,Database_Charms_Values,0)),"")</f>
        <v/>
      </c>
      <c r="AX128" s="302"/>
      <c r="AY128" s="302"/>
      <c r="AZ128" s="5"/>
      <c r="BA128" s="41" t="s">
        <v>3262</v>
      </c>
      <c r="BB128" s="5"/>
      <c r="BC128" s="5"/>
      <c r="BD128" s="5"/>
      <c r="BE128" s="5"/>
      <c r="BF128" s="5"/>
      <c r="BG128" s="5"/>
      <c r="BH128" s="5"/>
      <c r="BI128" s="5"/>
      <c r="BJ128" s="5"/>
      <c r="BK128" s="5"/>
      <c r="BL128" s="5"/>
      <c r="BM128" s="5"/>
      <c r="BN128" s="5"/>
      <c r="BO128" s="5"/>
      <c r="BP128" s="5"/>
      <c r="BQ128" s="5"/>
      <c r="BR128" s="5"/>
      <c r="BS128" s="5"/>
      <c r="BT128" s="5"/>
      <c r="BU128" s="5"/>
      <c r="BV128" s="5"/>
      <c r="BW128" s="5"/>
      <c r="BX128" s="5"/>
    </row>
    <row r="129" spans="1:76" ht="39.950000000000003" customHeight="1">
      <c r="A129" s="483"/>
      <c r="B129" s="374" t="str">
        <f>IF(VLOOKUP(A128,Values!$A$140:$T$239,14,0)="",IF(VLOOKUP(A128,Values!$A$140:$T$239,11,0)="",IFERROR(INDEX(Database_Charms,MATCH($N128,Database_Charms_Names,0),MATCH(Charms!$S$1,Database_Charms_Values,0)),""),VLOOKUP(A128,Values!$A$140:$T$239,11,0)),VLOOKUP(A128,Values!$A$140:$T$239,14,0))</f>
        <v/>
      </c>
      <c r="C129" s="374"/>
      <c r="D129" s="374"/>
      <c r="E129" s="374"/>
      <c r="F129" s="374"/>
      <c r="G129" s="374"/>
      <c r="H129" s="374"/>
      <c r="I129" s="374"/>
      <c r="J129" s="374"/>
      <c r="K129" s="374"/>
      <c r="L129" s="374"/>
      <c r="M129" s="374"/>
      <c r="N129" s="374"/>
      <c r="O129" s="374"/>
      <c r="P129" s="374"/>
      <c r="Q129" s="374"/>
      <c r="R129" s="374"/>
      <c r="S129" s="374"/>
      <c r="T129" s="374"/>
      <c r="U129" s="374"/>
      <c r="V129" s="374"/>
      <c r="W129" s="374"/>
      <c r="X129" s="374"/>
      <c r="Y129" s="374"/>
      <c r="Z129" s="374"/>
      <c r="AA129" s="374"/>
      <c r="AB129" s="374"/>
      <c r="AC129" s="374"/>
      <c r="AD129" s="374"/>
      <c r="AE129" s="374"/>
      <c r="AF129" s="374"/>
      <c r="AG129" s="374"/>
      <c r="AH129" s="374"/>
      <c r="AI129" s="374"/>
      <c r="AJ129" s="374"/>
      <c r="AK129" s="374"/>
      <c r="AL129" s="374"/>
      <c r="AM129" s="374"/>
      <c r="AN129" s="374"/>
      <c r="AO129" s="374"/>
      <c r="AP129" s="374"/>
      <c r="AQ129" s="374"/>
      <c r="AR129" s="374"/>
      <c r="AS129" s="374"/>
      <c r="AT129" s="374"/>
      <c r="AU129" s="374"/>
      <c r="AV129" s="374"/>
      <c r="AW129" s="374"/>
      <c r="AX129" s="374"/>
      <c r="AY129" s="374"/>
      <c r="AZ129" s="5"/>
      <c r="BA129" s="472">
        <f>Values!$AB$3</f>
        <v>0</v>
      </c>
      <c r="BB129" s="472"/>
      <c r="BC129" s="5"/>
      <c r="BD129" s="5"/>
      <c r="BE129" s="5"/>
      <c r="BF129" s="5"/>
      <c r="BG129" s="5"/>
      <c r="BH129" s="5"/>
      <c r="BI129" s="5"/>
      <c r="BJ129" s="5"/>
      <c r="BK129" s="5"/>
      <c r="BL129" s="5"/>
      <c r="BM129" s="5"/>
      <c r="BN129" s="5"/>
      <c r="BO129" s="5"/>
      <c r="BP129" s="5"/>
      <c r="BQ129" s="5"/>
      <c r="BR129" s="5"/>
      <c r="BS129" s="5"/>
      <c r="BT129" s="5"/>
      <c r="BU129" s="5"/>
      <c r="BV129" s="5"/>
      <c r="BW129" s="5"/>
      <c r="BX129" s="5"/>
    </row>
    <row r="130" spans="1:76" ht="20.100000000000001" customHeight="1">
      <c r="A130" s="483">
        <v>10</v>
      </c>
      <c r="B130" s="378" t="str">
        <f>IFERROR(INDEX(Database_Charms,MATCH($N130,Database_Charms_Names,0),MATCH(B$111,Database_Charms_Values,0)),"")</f>
        <v/>
      </c>
      <c r="C130" s="378"/>
      <c r="D130" s="378"/>
      <c r="E130" s="378"/>
      <c r="F130" s="378"/>
      <c r="G130" s="33"/>
      <c r="H130" s="378" t="str">
        <f>IFERROR(INDEX(Database_Charms,MATCH($N130,Database_Charms_Names,0),MATCH("Ability_Subtype",Database_Charms_Values,0)),"")</f>
        <v/>
      </c>
      <c r="I130" s="378"/>
      <c r="J130" s="378"/>
      <c r="K130" s="378"/>
      <c r="L130" s="378"/>
      <c r="M130" s="23"/>
      <c r="N130" s="378" t="str">
        <f>VLOOKUP(A130,Values!$A$140:$O$239,IF(ISBLANK(VLOOKUP(A130,Values!$A$140:$O$239,13,0)),10,13),0)</f>
        <v/>
      </c>
      <c r="O130" s="378"/>
      <c r="P130" s="378"/>
      <c r="Q130" s="378"/>
      <c r="R130" s="378"/>
      <c r="S130" s="378"/>
      <c r="T130" s="378"/>
      <c r="U130" s="378"/>
      <c r="V130" s="378"/>
      <c r="W130" s="378"/>
      <c r="X130" s="378"/>
      <c r="Y130" s="378"/>
      <c r="Z130" s="378"/>
      <c r="AA130" s="378"/>
      <c r="AB130" s="23"/>
      <c r="AC130" s="302" t="str">
        <f>IFERROR(INDEX(Database_Charms,MATCH($N130,Database_Charms_Names,0),MATCH(AC$111,Database_Charms_Values,0)),"")</f>
        <v/>
      </c>
      <c r="AD130" s="302"/>
      <c r="AE130" s="302"/>
      <c r="AF130" s="302"/>
      <c r="AG130" s="302"/>
      <c r="AH130" s="125"/>
      <c r="AI130" s="302" t="str">
        <f>IFERROR(INDEX(Database_Charms,MATCH($N130,Database_Charms_Names,0),MATCH(AI$111,Database_Charms_Values,0)),"")</f>
        <v/>
      </c>
      <c r="AJ130" s="302"/>
      <c r="AK130" s="302"/>
      <c r="AL130" s="302"/>
      <c r="AM130" s="125"/>
      <c r="AN130" s="302" t="str">
        <f>IFERROR(INDEX(Database_Charms,MATCH($N130,Database_Charms_Names,0),MATCH(AN$111,Database_Charms_Values,0)),"")</f>
        <v/>
      </c>
      <c r="AO130" s="302"/>
      <c r="AP130" s="302"/>
      <c r="AQ130" s="302"/>
      <c r="AR130" s="302"/>
      <c r="AS130" s="125"/>
      <c r="AT130" s="302" t="str">
        <f>IFERROR(INDEX(Database_Charms,MATCH($N130,Database_Charms_Names,0),MATCH(AT$111,Database_Charms_Values,0)),"")</f>
        <v/>
      </c>
      <c r="AU130" s="302"/>
      <c r="AV130" s="125"/>
      <c r="AW130" s="302" t="str">
        <f>IFERROR(INDEX(Database_Charms,MATCH($N130,Database_Charms_Names,0),MATCH(AW$111,Database_Charms_Values,0)),"")</f>
        <v/>
      </c>
      <c r="AX130" s="302"/>
      <c r="AY130" s="302"/>
      <c r="AZ130" s="5"/>
      <c r="BA130" s="5"/>
      <c r="BB130" s="5"/>
      <c r="BC130" s="5"/>
      <c r="BD130" s="5"/>
      <c r="BE130" s="5"/>
      <c r="BF130" s="5"/>
      <c r="BG130" s="5"/>
      <c r="BH130" s="5"/>
      <c r="BI130" s="5"/>
      <c r="BJ130" s="5"/>
      <c r="BK130" s="5"/>
      <c r="BL130" s="5"/>
      <c r="BM130" s="5"/>
      <c r="BN130" s="5"/>
      <c r="BO130" s="5"/>
      <c r="BP130" s="5"/>
      <c r="BQ130" s="5"/>
      <c r="BR130" s="5"/>
      <c r="BS130" s="5"/>
      <c r="BT130" s="5"/>
      <c r="BU130" s="5"/>
      <c r="BV130" s="5"/>
      <c r="BW130" s="5"/>
      <c r="BX130" s="5"/>
    </row>
    <row r="131" spans="1:76" ht="39.950000000000003" customHeight="1">
      <c r="A131" s="483"/>
      <c r="B131" s="374" t="str">
        <f>IF(VLOOKUP(A130,Values!$A$140:$T$239,14,0)="",IF(VLOOKUP(A130,Values!$A$140:$T$239,11,0)="",IFERROR(INDEX(Database_Charms,MATCH($N130,Database_Charms_Names,0),MATCH(Charms!$S$1,Database_Charms_Values,0)),""),VLOOKUP(A130,Values!$A$140:$T$239,11,0)),VLOOKUP(A130,Values!$A$140:$T$239,14,0))</f>
        <v/>
      </c>
      <c r="C131" s="374"/>
      <c r="D131" s="374"/>
      <c r="E131" s="374"/>
      <c r="F131" s="374"/>
      <c r="G131" s="374"/>
      <c r="H131" s="374"/>
      <c r="I131" s="374"/>
      <c r="J131" s="374"/>
      <c r="K131" s="374"/>
      <c r="L131" s="374"/>
      <c r="M131" s="374"/>
      <c r="N131" s="374"/>
      <c r="O131" s="374"/>
      <c r="P131" s="374"/>
      <c r="Q131" s="374"/>
      <c r="R131" s="374"/>
      <c r="S131" s="374"/>
      <c r="T131" s="374"/>
      <c r="U131" s="374"/>
      <c r="V131" s="374"/>
      <c r="W131" s="374"/>
      <c r="X131" s="374"/>
      <c r="Y131" s="374"/>
      <c r="Z131" s="374"/>
      <c r="AA131" s="374"/>
      <c r="AB131" s="374"/>
      <c r="AC131" s="374"/>
      <c r="AD131" s="374"/>
      <c r="AE131" s="374"/>
      <c r="AF131" s="374"/>
      <c r="AG131" s="374"/>
      <c r="AH131" s="374"/>
      <c r="AI131" s="374"/>
      <c r="AJ131" s="374"/>
      <c r="AK131" s="374"/>
      <c r="AL131" s="374"/>
      <c r="AM131" s="374"/>
      <c r="AN131" s="374"/>
      <c r="AO131" s="374"/>
      <c r="AP131" s="374"/>
      <c r="AQ131" s="374"/>
      <c r="AR131" s="374"/>
      <c r="AS131" s="374"/>
      <c r="AT131" s="374"/>
      <c r="AU131" s="374"/>
      <c r="AV131" s="374"/>
      <c r="AW131" s="374"/>
      <c r="AX131" s="374"/>
      <c r="AY131" s="374"/>
      <c r="AZ131" s="5"/>
      <c r="BA131" s="5"/>
      <c r="BB131" s="5"/>
      <c r="BC131" s="5"/>
      <c r="BD131" s="5"/>
      <c r="BE131" s="5"/>
      <c r="BF131" s="5"/>
      <c r="BG131" s="5"/>
      <c r="BH131" s="5"/>
      <c r="BI131" s="5"/>
      <c r="BJ131" s="5"/>
      <c r="BK131" s="5"/>
      <c r="BL131" s="5"/>
      <c r="BM131" s="5"/>
      <c r="BN131" s="5"/>
      <c r="BO131" s="5"/>
      <c r="BP131" s="5"/>
      <c r="BQ131" s="5"/>
      <c r="BR131" s="5"/>
      <c r="BS131" s="5"/>
      <c r="BT131" s="5"/>
      <c r="BU131" s="5"/>
      <c r="BV131" s="5"/>
      <c r="BW131" s="5"/>
      <c r="BX131" s="5"/>
    </row>
    <row r="132" spans="1:76" ht="20.100000000000001" customHeight="1">
      <c r="A132" s="483">
        <v>11</v>
      </c>
      <c r="B132" s="378" t="str">
        <f>IFERROR(INDEX(Database_Charms,MATCH($N132,Database_Charms_Names,0),MATCH(B$111,Database_Charms_Values,0)),"")</f>
        <v/>
      </c>
      <c r="C132" s="378"/>
      <c r="D132" s="378"/>
      <c r="E132" s="378"/>
      <c r="F132" s="378"/>
      <c r="G132" s="33"/>
      <c r="H132" s="378" t="str">
        <f>IFERROR(INDEX(Database_Charms,MATCH($N132,Database_Charms_Names,0),MATCH("Ability_Subtype",Database_Charms_Values,0)),"")</f>
        <v/>
      </c>
      <c r="I132" s="378"/>
      <c r="J132" s="378"/>
      <c r="K132" s="378"/>
      <c r="L132" s="378"/>
      <c r="M132" s="23"/>
      <c r="N132" s="378" t="str">
        <f>VLOOKUP(A132,Values!$A$140:$O$239,IF(ISBLANK(VLOOKUP(A132,Values!$A$140:$O$239,13,0)),10,13),0)</f>
        <v/>
      </c>
      <c r="O132" s="378"/>
      <c r="P132" s="378"/>
      <c r="Q132" s="378"/>
      <c r="R132" s="378"/>
      <c r="S132" s="378"/>
      <c r="T132" s="378"/>
      <c r="U132" s="378"/>
      <c r="V132" s="378"/>
      <c r="W132" s="378"/>
      <c r="X132" s="378"/>
      <c r="Y132" s="378"/>
      <c r="Z132" s="378"/>
      <c r="AA132" s="378"/>
      <c r="AB132" s="23"/>
      <c r="AC132" s="302" t="str">
        <f>IFERROR(INDEX(Database_Charms,MATCH($N132,Database_Charms_Names,0),MATCH(AC$111,Database_Charms_Values,0)),"")</f>
        <v/>
      </c>
      <c r="AD132" s="302"/>
      <c r="AE132" s="302"/>
      <c r="AF132" s="302"/>
      <c r="AG132" s="302"/>
      <c r="AH132" s="125"/>
      <c r="AI132" s="302" t="str">
        <f>IFERROR(INDEX(Database_Charms,MATCH($N132,Database_Charms_Names,0),MATCH(AI$111,Database_Charms_Values,0)),"")</f>
        <v/>
      </c>
      <c r="AJ132" s="302"/>
      <c r="AK132" s="302"/>
      <c r="AL132" s="302"/>
      <c r="AM132" s="125"/>
      <c r="AN132" s="302" t="str">
        <f>IFERROR(INDEX(Database_Charms,MATCH($N132,Database_Charms_Names,0),MATCH(AN$111,Database_Charms_Values,0)),"")</f>
        <v/>
      </c>
      <c r="AO132" s="302"/>
      <c r="AP132" s="302"/>
      <c r="AQ132" s="302"/>
      <c r="AR132" s="302"/>
      <c r="AS132" s="125"/>
      <c r="AT132" s="302" t="str">
        <f>IFERROR(INDEX(Database_Charms,MATCH($N132,Database_Charms_Names,0),MATCH(AT$111,Database_Charms_Values,0)),"")</f>
        <v/>
      </c>
      <c r="AU132" s="302"/>
      <c r="AV132" s="125"/>
      <c r="AW132" s="302" t="str">
        <f>IFERROR(INDEX(Database_Charms,MATCH($N132,Database_Charms_Names,0),MATCH(AW$111,Database_Charms_Values,0)),"")</f>
        <v/>
      </c>
      <c r="AX132" s="302"/>
      <c r="AY132" s="302"/>
      <c r="AZ132" s="5"/>
      <c r="BA132" s="5"/>
      <c r="BB132" s="5"/>
      <c r="BC132" s="5"/>
      <c r="BD132" s="5"/>
      <c r="BE132" s="5"/>
      <c r="BF132" s="5"/>
      <c r="BG132" s="5"/>
      <c r="BH132" s="5"/>
      <c r="BI132" s="5"/>
      <c r="BJ132" s="5"/>
      <c r="BK132" s="5"/>
      <c r="BL132" s="5"/>
      <c r="BM132" s="5"/>
      <c r="BN132" s="5"/>
      <c r="BO132" s="5"/>
      <c r="BP132" s="5"/>
      <c r="BQ132" s="5"/>
      <c r="BR132" s="5"/>
      <c r="BS132" s="5"/>
      <c r="BT132" s="5"/>
      <c r="BU132" s="5"/>
      <c r="BV132" s="5"/>
      <c r="BW132" s="5"/>
      <c r="BX132" s="5"/>
    </row>
    <row r="133" spans="1:76" ht="39.950000000000003" customHeight="1">
      <c r="A133" s="483"/>
      <c r="B133" s="374" t="str">
        <f>IF(VLOOKUP(A132,Values!$A$140:$T$239,14,0)="",IF(VLOOKUP(A132,Values!$A$140:$T$239,11,0)="",IFERROR(INDEX(Database_Charms,MATCH($N132,Database_Charms_Names,0),MATCH(Charms!$S$1,Database_Charms_Values,0)),""),VLOOKUP(A132,Values!$A$140:$T$239,11,0)),VLOOKUP(A132,Values!$A$140:$T$239,14,0))</f>
        <v/>
      </c>
      <c r="C133" s="374"/>
      <c r="D133" s="374"/>
      <c r="E133" s="374"/>
      <c r="F133" s="374"/>
      <c r="G133" s="374"/>
      <c r="H133" s="374"/>
      <c r="I133" s="374"/>
      <c r="J133" s="374"/>
      <c r="K133" s="374"/>
      <c r="L133" s="374"/>
      <c r="M133" s="374"/>
      <c r="N133" s="374"/>
      <c r="O133" s="374"/>
      <c r="P133" s="374"/>
      <c r="Q133" s="374"/>
      <c r="R133" s="374"/>
      <c r="S133" s="374"/>
      <c r="T133" s="374"/>
      <c r="U133" s="374"/>
      <c r="V133" s="374"/>
      <c r="W133" s="374"/>
      <c r="X133" s="374"/>
      <c r="Y133" s="374"/>
      <c r="Z133" s="374"/>
      <c r="AA133" s="374"/>
      <c r="AB133" s="374"/>
      <c r="AC133" s="374"/>
      <c r="AD133" s="374"/>
      <c r="AE133" s="374"/>
      <c r="AF133" s="374"/>
      <c r="AG133" s="374"/>
      <c r="AH133" s="374"/>
      <c r="AI133" s="374"/>
      <c r="AJ133" s="374"/>
      <c r="AK133" s="374"/>
      <c r="AL133" s="374"/>
      <c r="AM133" s="374"/>
      <c r="AN133" s="374"/>
      <c r="AO133" s="374"/>
      <c r="AP133" s="374"/>
      <c r="AQ133" s="374"/>
      <c r="AR133" s="374"/>
      <c r="AS133" s="374"/>
      <c r="AT133" s="374"/>
      <c r="AU133" s="374"/>
      <c r="AV133" s="374"/>
      <c r="AW133" s="374"/>
      <c r="AX133" s="374"/>
      <c r="AY133" s="374"/>
      <c r="AZ133" s="5"/>
      <c r="BA133" s="5"/>
      <c r="BB133" s="5"/>
      <c r="BC133" s="5"/>
      <c r="BD133" s="5"/>
      <c r="BE133" s="5"/>
      <c r="BF133" s="5"/>
      <c r="BG133" s="5"/>
      <c r="BH133" s="5"/>
      <c r="BI133" s="5"/>
      <c r="BJ133" s="5"/>
      <c r="BK133" s="5"/>
      <c r="BL133" s="5"/>
      <c r="BM133" s="5"/>
      <c r="BN133" s="5"/>
      <c r="BO133" s="5"/>
      <c r="BP133" s="5"/>
      <c r="BQ133" s="5"/>
      <c r="BR133" s="5"/>
      <c r="BS133" s="5"/>
      <c r="BT133" s="5"/>
      <c r="BU133" s="5"/>
      <c r="BV133" s="5"/>
      <c r="BW133" s="5"/>
      <c r="BX133" s="5"/>
    </row>
    <row r="134" spans="1:76" ht="20.100000000000001" customHeight="1">
      <c r="A134" s="483">
        <v>12</v>
      </c>
      <c r="B134" s="378" t="str">
        <f>IFERROR(INDEX(Database_Charms,MATCH($N134,Database_Charms_Names,0),MATCH(B$111,Database_Charms_Values,0)),"")</f>
        <v/>
      </c>
      <c r="C134" s="378"/>
      <c r="D134" s="378"/>
      <c r="E134" s="378"/>
      <c r="F134" s="378"/>
      <c r="G134" s="33"/>
      <c r="H134" s="378" t="str">
        <f>IFERROR(INDEX(Database_Charms,MATCH($N134,Database_Charms_Names,0),MATCH("Ability_Subtype",Database_Charms_Values,0)),"")</f>
        <v/>
      </c>
      <c r="I134" s="378"/>
      <c r="J134" s="378"/>
      <c r="K134" s="378"/>
      <c r="L134" s="378"/>
      <c r="M134" s="23"/>
      <c r="N134" s="378" t="str">
        <f>VLOOKUP(A134,Values!$A$140:$O$239,IF(ISBLANK(VLOOKUP(A134,Values!$A$140:$O$239,13,0)),10,13),0)</f>
        <v/>
      </c>
      <c r="O134" s="378"/>
      <c r="P134" s="378"/>
      <c r="Q134" s="378"/>
      <c r="R134" s="378"/>
      <c r="S134" s="378"/>
      <c r="T134" s="378"/>
      <c r="U134" s="378"/>
      <c r="V134" s="378"/>
      <c r="W134" s="378"/>
      <c r="X134" s="378"/>
      <c r="Y134" s="378"/>
      <c r="Z134" s="378"/>
      <c r="AA134" s="378"/>
      <c r="AB134" s="23"/>
      <c r="AC134" s="302" t="str">
        <f>IFERROR(INDEX(Database_Charms,MATCH($N134,Database_Charms_Names,0),MATCH(AC$111,Database_Charms_Values,0)),"")</f>
        <v/>
      </c>
      <c r="AD134" s="302"/>
      <c r="AE134" s="302"/>
      <c r="AF134" s="302"/>
      <c r="AG134" s="302"/>
      <c r="AH134" s="125"/>
      <c r="AI134" s="302" t="str">
        <f>IFERROR(INDEX(Database_Charms,MATCH($N134,Database_Charms_Names,0),MATCH(AI$111,Database_Charms_Values,0)),"")</f>
        <v/>
      </c>
      <c r="AJ134" s="302"/>
      <c r="AK134" s="302"/>
      <c r="AL134" s="302"/>
      <c r="AM134" s="125"/>
      <c r="AN134" s="302" t="str">
        <f>IFERROR(INDEX(Database_Charms,MATCH($N134,Database_Charms_Names,0),MATCH(AN$111,Database_Charms_Values,0)),"")</f>
        <v/>
      </c>
      <c r="AO134" s="302"/>
      <c r="AP134" s="302"/>
      <c r="AQ134" s="302"/>
      <c r="AR134" s="302"/>
      <c r="AS134" s="125"/>
      <c r="AT134" s="302" t="str">
        <f>IFERROR(INDEX(Database_Charms,MATCH($N134,Database_Charms_Names,0),MATCH(AT$111,Database_Charms_Values,0)),"")</f>
        <v/>
      </c>
      <c r="AU134" s="302"/>
      <c r="AV134" s="125"/>
      <c r="AW134" s="302" t="str">
        <f>IFERROR(INDEX(Database_Charms,MATCH($N134,Database_Charms_Names,0),MATCH(AW$111,Database_Charms_Values,0)),"")</f>
        <v/>
      </c>
      <c r="AX134" s="302"/>
      <c r="AY134" s="302"/>
      <c r="AZ134" s="5"/>
      <c r="BA134" s="5"/>
      <c r="BB134" s="5"/>
      <c r="BC134" s="5"/>
      <c r="BD134" s="5"/>
      <c r="BE134" s="5"/>
      <c r="BF134" s="5"/>
      <c r="BG134" s="5"/>
      <c r="BH134" s="5"/>
      <c r="BI134" s="5"/>
      <c r="BJ134" s="5"/>
      <c r="BK134" s="5"/>
      <c r="BL134" s="5"/>
      <c r="BM134" s="5"/>
      <c r="BN134" s="5"/>
      <c r="BO134" s="5"/>
      <c r="BP134" s="5"/>
      <c r="BQ134" s="5"/>
      <c r="BR134" s="5"/>
      <c r="BS134" s="5"/>
      <c r="BT134" s="5"/>
      <c r="BU134" s="5"/>
      <c r="BV134" s="5"/>
      <c r="BW134" s="5"/>
      <c r="BX134" s="5"/>
    </row>
    <row r="135" spans="1:76" ht="39.950000000000003" customHeight="1">
      <c r="A135" s="483"/>
      <c r="B135" s="374" t="str">
        <f>IF(VLOOKUP(A134,Values!$A$140:$T$239,14,0)="",IF(VLOOKUP(A134,Values!$A$140:$T$239,11,0)="",IFERROR(INDEX(Database_Charms,MATCH($N134,Database_Charms_Names,0),MATCH(Charms!$S$1,Database_Charms_Values,0)),""),VLOOKUP(A134,Values!$A$140:$T$239,11,0)),VLOOKUP(A134,Values!$A$140:$T$239,14,0))</f>
        <v/>
      </c>
      <c r="C135" s="374"/>
      <c r="D135" s="374"/>
      <c r="E135" s="374"/>
      <c r="F135" s="374"/>
      <c r="G135" s="374"/>
      <c r="H135" s="374"/>
      <c r="I135" s="374"/>
      <c r="J135" s="374"/>
      <c r="K135" s="374"/>
      <c r="L135" s="374"/>
      <c r="M135" s="374"/>
      <c r="N135" s="374"/>
      <c r="O135" s="374"/>
      <c r="P135" s="374"/>
      <c r="Q135" s="374"/>
      <c r="R135" s="374"/>
      <c r="S135" s="374"/>
      <c r="T135" s="374"/>
      <c r="U135" s="374"/>
      <c r="V135" s="374"/>
      <c r="W135" s="374"/>
      <c r="X135" s="374"/>
      <c r="Y135" s="374"/>
      <c r="Z135" s="374"/>
      <c r="AA135" s="374"/>
      <c r="AB135" s="374"/>
      <c r="AC135" s="374"/>
      <c r="AD135" s="374"/>
      <c r="AE135" s="374"/>
      <c r="AF135" s="374"/>
      <c r="AG135" s="374"/>
      <c r="AH135" s="374"/>
      <c r="AI135" s="374"/>
      <c r="AJ135" s="374"/>
      <c r="AK135" s="374"/>
      <c r="AL135" s="374"/>
      <c r="AM135" s="374"/>
      <c r="AN135" s="374"/>
      <c r="AO135" s="374"/>
      <c r="AP135" s="374"/>
      <c r="AQ135" s="374"/>
      <c r="AR135" s="374"/>
      <c r="AS135" s="374"/>
      <c r="AT135" s="374"/>
      <c r="AU135" s="374"/>
      <c r="AV135" s="374"/>
      <c r="AW135" s="374"/>
      <c r="AX135" s="374"/>
      <c r="AY135" s="374"/>
      <c r="AZ135" s="5"/>
      <c r="BA135" s="5"/>
      <c r="BB135" s="5"/>
      <c r="BC135" s="5"/>
      <c r="BD135" s="5"/>
      <c r="BE135" s="5"/>
      <c r="BF135" s="5"/>
      <c r="BG135" s="5"/>
      <c r="BH135" s="5"/>
      <c r="BI135" s="5"/>
      <c r="BJ135" s="5"/>
      <c r="BK135" s="5"/>
      <c r="BL135" s="5"/>
      <c r="BM135" s="5"/>
      <c r="BN135" s="5"/>
      <c r="BO135" s="5"/>
      <c r="BP135" s="5"/>
      <c r="BQ135" s="5"/>
      <c r="BR135" s="5"/>
      <c r="BS135" s="5"/>
      <c r="BT135" s="5"/>
      <c r="BU135" s="5"/>
      <c r="BV135" s="5"/>
      <c r="BW135" s="5"/>
      <c r="BX135" s="5"/>
    </row>
    <row r="136" spans="1:76" ht="20.100000000000001" customHeight="1">
      <c r="A136" s="483">
        <v>13</v>
      </c>
      <c r="B136" s="378" t="str">
        <f>IFERROR(INDEX(Database_Charms,MATCH($N136,Database_Charms_Names,0),MATCH(B$111,Database_Charms_Values,0)),"")</f>
        <v/>
      </c>
      <c r="C136" s="378"/>
      <c r="D136" s="378"/>
      <c r="E136" s="378"/>
      <c r="F136" s="378"/>
      <c r="G136" s="33"/>
      <c r="H136" s="378" t="str">
        <f>IFERROR(INDEX(Database_Charms,MATCH($N136,Database_Charms_Names,0),MATCH("Ability_Subtype",Database_Charms_Values,0)),"")</f>
        <v/>
      </c>
      <c r="I136" s="378"/>
      <c r="J136" s="378"/>
      <c r="K136" s="378"/>
      <c r="L136" s="378"/>
      <c r="M136" s="23"/>
      <c r="N136" s="378" t="str">
        <f>VLOOKUP(A136,Values!$A$140:$O$239,IF(ISBLANK(VLOOKUP(A136,Values!$A$140:$O$239,13,0)),10,13),0)</f>
        <v/>
      </c>
      <c r="O136" s="378"/>
      <c r="P136" s="378"/>
      <c r="Q136" s="378"/>
      <c r="R136" s="378"/>
      <c r="S136" s="378"/>
      <c r="T136" s="378"/>
      <c r="U136" s="378"/>
      <c r="V136" s="378"/>
      <c r="W136" s="378"/>
      <c r="X136" s="378"/>
      <c r="Y136" s="378"/>
      <c r="Z136" s="378"/>
      <c r="AA136" s="378"/>
      <c r="AB136" s="23"/>
      <c r="AC136" s="302" t="str">
        <f>IFERROR(INDEX(Database_Charms,MATCH($N136,Database_Charms_Names,0),MATCH(AC$111,Database_Charms_Values,0)),"")</f>
        <v/>
      </c>
      <c r="AD136" s="302"/>
      <c r="AE136" s="302"/>
      <c r="AF136" s="302"/>
      <c r="AG136" s="302"/>
      <c r="AH136" s="125"/>
      <c r="AI136" s="302" t="str">
        <f>IFERROR(INDEX(Database_Charms,MATCH($N136,Database_Charms_Names,0),MATCH(AI$111,Database_Charms_Values,0)),"")</f>
        <v/>
      </c>
      <c r="AJ136" s="302"/>
      <c r="AK136" s="302"/>
      <c r="AL136" s="302"/>
      <c r="AM136" s="125"/>
      <c r="AN136" s="302" t="str">
        <f>IFERROR(INDEX(Database_Charms,MATCH($N136,Database_Charms_Names,0),MATCH(AN$111,Database_Charms_Values,0)),"")</f>
        <v/>
      </c>
      <c r="AO136" s="302"/>
      <c r="AP136" s="302"/>
      <c r="AQ136" s="302"/>
      <c r="AR136" s="302"/>
      <c r="AS136" s="125"/>
      <c r="AT136" s="302" t="str">
        <f>IFERROR(INDEX(Database_Charms,MATCH($N136,Database_Charms_Names,0),MATCH(AT$111,Database_Charms_Values,0)),"")</f>
        <v/>
      </c>
      <c r="AU136" s="302"/>
      <c r="AV136" s="125"/>
      <c r="AW136" s="302" t="str">
        <f>IFERROR(INDEX(Database_Charms,MATCH($N136,Database_Charms_Names,0),MATCH(AW$111,Database_Charms_Values,0)),"")</f>
        <v/>
      </c>
      <c r="AX136" s="302"/>
      <c r="AY136" s="302"/>
      <c r="AZ136" s="5"/>
      <c r="BA136" s="5"/>
      <c r="BB136" s="5"/>
      <c r="BC136" s="5"/>
      <c r="BD136" s="5"/>
      <c r="BE136" s="5"/>
      <c r="BF136" s="5"/>
      <c r="BG136" s="5"/>
      <c r="BH136" s="5"/>
      <c r="BI136" s="5"/>
      <c r="BJ136" s="5"/>
      <c r="BK136" s="5"/>
      <c r="BL136" s="5"/>
      <c r="BM136" s="5"/>
      <c r="BN136" s="5"/>
      <c r="BO136" s="5"/>
      <c r="BP136" s="5"/>
      <c r="BQ136" s="5"/>
      <c r="BR136" s="5"/>
      <c r="BS136" s="5"/>
      <c r="BT136" s="5"/>
      <c r="BU136" s="5"/>
      <c r="BV136" s="5"/>
      <c r="BW136" s="5"/>
      <c r="BX136" s="5"/>
    </row>
    <row r="137" spans="1:76" ht="39.950000000000003" customHeight="1">
      <c r="A137" s="483"/>
      <c r="B137" s="374" t="str">
        <f>IF(VLOOKUP(A136,Values!$A$140:$T$239,14,0)="",IF(VLOOKUP(A136,Values!$A$140:$T$239,11,0)="",IFERROR(INDEX(Database_Charms,MATCH($N136,Database_Charms_Names,0),MATCH(Charms!$S$1,Database_Charms_Values,0)),""),VLOOKUP(A136,Values!$A$140:$T$239,11,0)),VLOOKUP(A136,Values!$A$140:$T$239,14,0))</f>
        <v/>
      </c>
      <c r="C137" s="374"/>
      <c r="D137" s="374"/>
      <c r="E137" s="374"/>
      <c r="F137" s="374"/>
      <c r="G137" s="374"/>
      <c r="H137" s="374"/>
      <c r="I137" s="374"/>
      <c r="J137" s="374"/>
      <c r="K137" s="374"/>
      <c r="L137" s="374"/>
      <c r="M137" s="374"/>
      <c r="N137" s="374"/>
      <c r="O137" s="374"/>
      <c r="P137" s="374"/>
      <c r="Q137" s="374"/>
      <c r="R137" s="374"/>
      <c r="S137" s="374"/>
      <c r="T137" s="374"/>
      <c r="U137" s="374"/>
      <c r="V137" s="374"/>
      <c r="W137" s="374"/>
      <c r="X137" s="374"/>
      <c r="Y137" s="374"/>
      <c r="Z137" s="374"/>
      <c r="AA137" s="374"/>
      <c r="AB137" s="374"/>
      <c r="AC137" s="374"/>
      <c r="AD137" s="374"/>
      <c r="AE137" s="374"/>
      <c r="AF137" s="374"/>
      <c r="AG137" s="374"/>
      <c r="AH137" s="374"/>
      <c r="AI137" s="374"/>
      <c r="AJ137" s="374"/>
      <c r="AK137" s="374"/>
      <c r="AL137" s="374"/>
      <c r="AM137" s="374"/>
      <c r="AN137" s="374"/>
      <c r="AO137" s="374"/>
      <c r="AP137" s="374"/>
      <c r="AQ137" s="374"/>
      <c r="AR137" s="374"/>
      <c r="AS137" s="374"/>
      <c r="AT137" s="374"/>
      <c r="AU137" s="374"/>
      <c r="AV137" s="374"/>
      <c r="AW137" s="374"/>
      <c r="AX137" s="374"/>
      <c r="AY137" s="374"/>
      <c r="AZ137" s="5"/>
      <c r="BA137" s="5"/>
      <c r="BB137" s="5"/>
      <c r="BC137" s="5"/>
      <c r="BD137" s="5"/>
      <c r="BE137" s="5"/>
      <c r="BF137" s="5"/>
      <c r="BG137" s="5"/>
      <c r="BH137" s="5"/>
      <c r="BI137" s="5"/>
      <c r="BJ137" s="5"/>
      <c r="BK137" s="5"/>
      <c r="BL137" s="5"/>
      <c r="BM137" s="5"/>
      <c r="BN137" s="5"/>
      <c r="BO137" s="5"/>
      <c r="BP137" s="5"/>
      <c r="BQ137" s="5"/>
      <c r="BR137" s="5"/>
      <c r="BS137" s="5"/>
      <c r="BT137" s="5"/>
      <c r="BU137" s="5"/>
      <c r="BV137" s="5"/>
      <c r="BW137" s="5"/>
      <c r="BX137" s="5"/>
    </row>
    <row r="138" spans="1:76" ht="20.100000000000001" customHeight="1">
      <c r="A138" s="483">
        <v>14</v>
      </c>
      <c r="B138" s="378" t="str">
        <f>IFERROR(INDEX(Database_Charms,MATCH($N138,Database_Charms_Names,0),MATCH(B$111,Database_Charms_Values,0)),"")</f>
        <v/>
      </c>
      <c r="C138" s="378"/>
      <c r="D138" s="378"/>
      <c r="E138" s="378"/>
      <c r="F138" s="378"/>
      <c r="G138" s="33"/>
      <c r="H138" s="378" t="str">
        <f>IFERROR(INDEX(Database_Charms,MATCH($N138,Database_Charms_Names,0),MATCH("Ability_Subtype",Database_Charms_Values,0)),"")</f>
        <v/>
      </c>
      <c r="I138" s="378"/>
      <c r="J138" s="378"/>
      <c r="K138" s="378"/>
      <c r="L138" s="378"/>
      <c r="M138" s="23"/>
      <c r="N138" s="378" t="str">
        <f>VLOOKUP(A138,Values!$A$140:$O$239,IF(ISBLANK(VLOOKUP(A138,Values!$A$140:$O$239,13,0)),10,13),0)</f>
        <v/>
      </c>
      <c r="O138" s="378"/>
      <c r="P138" s="378"/>
      <c r="Q138" s="378"/>
      <c r="R138" s="378"/>
      <c r="S138" s="378"/>
      <c r="T138" s="378"/>
      <c r="U138" s="378"/>
      <c r="V138" s="378"/>
      <c r="W138" s="378"/>
      <c r="X138" s="378"/>
      <c r="Y138" s="378"/>
      <c r="Z138" s="378"/>
      <c r="AA138" s="378"/>
      <c r="AB138" s="23"/>
      <c r="AC138" s="302" t="str">
        <f>IFERROR(INDEX(Database_Charms,MATCH($N138,Database_Charms_Names,0),MATCH(AC$111,Database_Charms_Values,0)),"")</f>
        <v/>
      </c>
      <c r="AD138" s="302"/>
      <c r="AE138" s="302"/>
      <c r="AF138" s="302"/>
      <c r="AG138" s="302"/>
      <c r="AH138" s="125"/>
      <c r="AI138" s="302" t="str">
        <f>IFERROR(INDEX(Database_Charms,MATCH($N138,Database_Charms_Names,0),MATCH(AI$111,Database_Charms_Values,0)),"")</f>
        <v/>
      </c>
      <c r="AJ138" s="302"/>
      <c r="AK138" s="302"/>
      <c r="AL138" s="302"/>
      <c r="AM138" s="125"/>
      <c r="AN138" s="302" t="str">
        <f>IFERROR(INDEX(Database_Charms,MATCH($N138,Database_Charms_Names,0),MATCH(AN$111,Database_Charms_Values,0)),"")</f>
        <v/>
      </c>
      <c r="AO138" s="302"/>
      <c r="AP138" s="302"/>
      <c r="AQ138" s="302"/>
      <c r="AR138" s="302"/>
      <c r="AS138" s="125"/>
      <c r="AT138" s="302" t="str">
        <f>IFERROR(INDEX(Database_Charms,MATCH($N138,Database_Charms_Names,0),MATCH(AT$111,Database_Charms_Values,0)),"")</f>
        <v/>
      </c>
      <c r="AU138" s="302"/>
      <c r="AV138" s="125"/>
      <c r="AW138" s="302" t="str">
        <f>IFERROR(INDEX(Database_Charms,MATCH($N138,Database_Charms_Names,0),MATCH(AW$111,Database_Charms_Values,0)),"")</f>
        <v/>
      </c>
      <c r="AX138" s="302"/>
      <c r="AY138" s="302"/>
      <c r="AZ138" s="5"/>
      <c r="BA138" s="5"/>
      <c r="BB138" s="5"/>
      <c r="BC138" s="5"/>
      <c r="BD138" s="5"/>
      <c r="BE138" s="5"/>
      <c r="BF138" s="5"/>
      <c r="BG138" s="5"/>
      <c r="BH138" s="5"/>
      <c r="BI138" s="5"/>
      <c r="BJ138" s="5"/>
      <c r="BK138" s="5"/>
      <c r="BL138" s="5"/>
      <c r="BM138" s="5"/>
      <c r="BN138" s="5"/>
      <c r="BO138" s="5"/>
      <c r="BP138" s="5"/>
      <c r="BQ138" s="5"/>
      <c r="BR138" s="5"/>
      <c r="BS138" s="5"/>
      <c r="BT138" s="5"/>
      <c r="BU138" s="5"/>
      <c r="BV138" s="5"/>
      <c r="BW138" s="5"/>
      <c r="BX138" s="5"/>
    </row>
    <row r="139" spans="1:76" ht="39.950000000000003" customHeight="1">
      <c r="A139" s="483"/>
      <c r="B139" s="374" t="str">
        <f>IF(VLOOKUP(A138,Values!$A$140:$T$239,14,0)="",IF(VLOOKUP(A138,Values!$A$140:$T$239,11,0)="",IFERROR(INDEX(Database_Charms,MATCH($N138,Database_Charms_Names,0),MATCH(Charms!$S$1,Database_Charms_Values,0)),""),VLOOKUP(A138,Values!$A$140:$T$239,11,0)),VLOOKUP(A138,Values!$A$140:$T$239,14,0))</f>
        <v/>
      </c>
      <c r="C139" s="374"/>
      <c r="D139" s="374"/>
      <c r="E139" s="374"/>
      <c r="F139" s="374"/>
      <c r="G139" s="374"/>
      <c r="H139" s="374"/>
      <c r="I139" s="374"/>
      <c r="J139" s="374"/>
      <c r="K139" s="374"/>
      <c r="L139" s="374"/>
      <c r="M139" s="374"/>
      <c r="N139" s="374"/>
      <c r="O139" s="374"/>
      <c r="P139" s="374"/>
      <c r="Q139" s="374"/>
      <c r="R139" s="374"/>
      <c r="S139" s="374"/>
      <c r="T139" s="374"/>
      <c r="U139" s="374"/>
      <c r="V139" s="374"/>
      <c r="W139" s="374"/>
      <c r="X139" s="374"/>
      <c r="Y139" s="374"/>
      <c r="Z139" s="374"/>
      <c r="AA139" s="374"/>
      <c r="AB139" s="374"/>
      <c r="AC139" s="374"/>
      <c r="AD139" s="374"/>
      <c r="AE139" s="374"/>
      <c r="AF139" s="374"/>
      <c r="AG139" s="374"/>
      <c r="AH139" s="374"/>
      <c r="AI139" s="374"/>
      <c r="AJ139" s="374"/>
      <c r="AK139" s="374"/>
      <c r="AL139" s="374"/>
      <c r="AM139" s="374"/>
      <c r="AN139" s="374"/>
      <c r="AO139" s="374"/>
      <c r="AP139" s="374"/>
      <c r="AQ139" s="374"/>
      <c r="AR139" s="374"/>
      <c r="AS139" s="374"/>
      <c r="AT139" s="374"/>
      <c r="AU139" s="374"/>
      <c r="AV139" s="374"/>
      <c r="AW139" s="374"/>
      <c r="AX139" s="374"/>
      <c r="AY139" s="374"/>
      <c r="AZ139" s="5"/>
      <c r="BA139" s="5"/>
      <c r="BB139" s="5"/>
      <c r="BC139" s="5"/>
      <c r="BD139" s="5"/>
      <c r="BE139" s="5"/>
      <c r="BF139" s="5"/>
      <c r="BG139" s="5"/>
      <c r="BH139" s="5"/>
      <c r="BI139" s="5"/>
      <c r="BJ139" s="5"/>
      <c r="BK139" s="5"/>
      <c r="BL139" s="5"/>
      <c r="BM139" s="5"/>
      <c r="BN139" s="5"/>
      <c r="BO139" s="5"/>
      <c r="BP139" s="5"/>
      <c r="BQ139" s="5"/>
      <c r="BR139" s="5"/>
      <c r="BS139" s="5"/>
      <c r="BT139" s="5"/>
      <c r="BU139" s="5"/>
      <c r="BV139" s="5"/>
      <c r="BW139" s="5"/>
      <c r="BX139" s="5"/>
    </row>
    <row r="140" spans="1:76" ht="20.100000000000001" customHeight="1">
      <c r="A140" s="483">
        <v>15</v>
      </c>
      <c r="B140" s="378" t="str">
        <f>IFERROR(INDEX(Database_Charms,MATCH($N140,Database_Charms_Names,0),MATCH(B$111,Database_Charms_Values,0)),"")</f>
        <v/>
      </c>
      <c r="C140" s="378"/>
      <c r="D140" s="378"/>
      <c r="E140" s="378"/>
      <c r="F140" s="378"/>
      <c r="G140" s="33"/>
      <c r="H140" s="378" t="str">
        <f>IFERROR(INDEX(Database_Charms,MATCH($N140,Database_Charms_Names,0),MATCH("Ability_Subtype",Database_Charms_Values,0)),"")</f>
        <v/>
      </c>
      <c r="I140" s="378"/>
      <c r="J140" s="378"/>
      <c r="K140" s="378"/>
      <c r="L140" s="378"/>
      <c r="M140" s="23"/>
      <c r="N140" s="378" t="str">
        <f>VLOOKUP(A140,Values!$A$140:$O$239,IF(ISBLANK(VLOOKUP(A140,Values!$A$140:$O$239,13,0)),10,13),0)</f>
        <v/>
      </c>
      <c r="O140" s="378"/>
      <c r="P140" s="378"/>
      <c r="Q140" s="378"/>
      <c r="R140" s="378"/>
      <c r="S140" s="378"/>
      <c r="T140" s="378"/>
      <c r="U140" s="378"/>
      <c r="V140" s="378"/>
      <c r="W140" s="378"/>
      <c r="X140" s="378"/>
      <c r="Y140" s="378"/>
      <c r="Z140" s="378"/>
      <c r="AA140" s="378"/>
      <c r="AB140" s="23"/>
      <c r="AC140" s="302" t="str">
        <f>IFERROR(INDEX(Database_Charms,MATCH($N140,Database_Charms_Names,0),MATCH(AC$111,Database_Charms_Values,0)),"")</f>
        <v/>
      </c>
      <c r="AD140" s="302"/>
      <c r="AE140" s="302"/>
      <c r="AF140" s="302"/>
      <c r="AG140" s="302"/>
      <c r="AH140" s="125"/>
      <c r="AI140" s="302" t="str">
        <f>IFERROR(INDEX(Database_Charms,MATCH($N140,Database_Charms_Names,0),MATCH(AI$111,Database_Charms_Values,0)),"")</f>
        <v/>
      </c>
      <c r="AJ140" s="302"/>
      <c r="AK140" s="302"/>
      <c r="AL140" s="302"/>
      <c r="AM140" s="125"/>
      <c r="AN140" s="302" t="str">
        <f>IFERROR(INDEX(Database_Charms,MATCH($N140,Database_Charms_Names,0),MATCH(AN$111,Database_Charms_Values,0)),"")</f>
        <v/>
      </c>
      <c r="AO140" s="302"/>
      <c r="AP140" s="302"/>
      <c r="AQ140" s="302"/>
      <c r="AR140" s="302"/>
      <c r="AS140" s="125"/>
      <c r="AT140" s="302" t="str">
        <f>IFERROR(INDEX(Database_Charms,MATCH($N140,Database_Charms_Names,0),MATCH(AT$111,Database_Charms_Values,0)),"")</f>
        <v/>
      </c>
      <c r="AU140" s="302"/>
      <c r="AV140" s="125"/>
      <c r="AW140" s="302" t="str">
        <f>IFERROR(INDEX(Database_Charms,MATCH($N140,Database_Charms_Names,0),MATCH(AW$111,Database_Charms_Values,0)),"")</f>
        <v/>
      </c>
      <c r="AX140" s="302"/>
      <c r="AY140" s="302"/>
      <c r="AZ140" s="5"/>
      <c r="BA140" s="5"/>
      <c r="BB140" s="5"/>
      <c r="BC140" s="5"/>
      <c r="BD140" s="5"/>
      <c r="BE140" s="5"/>
      <c r="BF140" s="5"/>
      <c r="BG140" s="5"/>
      <c r="BH140" s="5"/>
      <c r="BI140" s="5"/>
      <c r="BJ140" s="5"/>
      <c r="BK140" s="5"/>
      <c r="BL140" s="5"/>
      <c r="BM140" s="5"/>
      <c r="BN140" s="5"/>
      <c r="BO140" s="5"/>
      <c r="BP140" s="5"/>
      <c r="BQ140" s="5"/>
      <c r="BR140" s="5"/>
      <c r="BS140" s="5"/>
      <c r="BT140" s="5"/>
      <c r="BU140" s="5"/>
      <c r="BV140" s="5"/>
      <c r="BW140" s="5"/>
      <c r="BX140" s="5"/>
    </row>
    <row r="141" spans="1:76" ht="39.950000000000003" customHeight="1">
      <c r="A141" s="483"/>
      <c r="B141" s="374" t="str">
        <f>IF(VLOOKUP(A140,Values!$A$140:$T$239,14,0)="",IF(VLOOKUP(A140,Values!$A$140:$T$239,11,0)="",IFERROR(INDEX(Database_Charms,MATCH($N140,Database_Charms_Names,0),MATCH(Charms!$S$1,Database_Charms_Values,0)),""),VLOOKUP(A140,Values!$A$140:$T$239,11,0)),VLOOKUP(A140,Values!$A$140:$T$239,14,0))</f>
        <v/>
      </c>
      <c r="C141" s="374"/>
      <c r="D141" s="374"/>
      <c r="E141" s="374"/>
      <c r="F141" s="374"/>
      <c r="G141" s="374"/>
      <c r="H141" s="374"/>
      <c r="I141" s="374"/>
      <c r="J141" s="374"/>
      <c r="K141" s="374"/>
      <c r="L141" s="374"/>
      <c r="M141" s="374"/>
      <c r="N141" s="374"/>
      <c r="O141" s="374"/>
      <c r="P141" s="374"/>
      <c r="Q141" s="374"/>
      <c r="R141" s="374"/>
      <c r="S141" s="374"/>
      <c r="T141" s="374"/>
      <c r="U141" s="374"/>
      <c r="V141" s="374"/>
      <c r="W141" s="374"/>
      <c r="X141" s="374"/>
      <c r="Y141" s="374"/>
      <c r="Z141" s="374"/>
      <c r="AA141" s="374"/>
      <c r="AB141" s="374"/>
      <c r="AC141" s="374"/>
      <c r="AD141" s="374"/>
      <c r="AE141" s="374"/>
      <c r="AF141" s="374"/>
      <c r="AG141" s="374"/>
      <c r="AH141" s="374"/>
      <c r="AI141" s="374"/>
      <c r="AJ141" s="374"/>
      <c r="AK141" s="374"/>
      <c r="AL141" s="374"/>
      <c r="AM141" s="374"/>
      <c r="AN141" s="374"/>
      <c r="AO141" s="374"/>
      <c r="AP141" s="374"/>
      <c r="AQ141" s="374"/>
      <c r="AR141" s="374"/>
      <c r="AS141" s="374"/>
      <c r="AT141" s="374"/>
      <c r="AU141" s="374"/>
      <c r="AV141" s="374"/>
      <c r="AW141" s="374"/>
      <c r="AX141" s="374"/>
      <c r="AY141" s="374"/>
      <c r="AZ141" s="5"/>
      <c r="BA141" s="41" t="s">
        <v>3262</v>
      </c>
      <c r="BB141" s="5"/>
      <c r="BC141" s="5"/>
      <c r="BD141" s="5"/>
      <c r="BE141" s="5"/>
      <c r="BF141" s="5"/>
      <c r="BG141" s="5"/>
      <c r="BH141" s="5"/>
      <c r="BI141" s="5"/>
      <c r="BJ141" s="5"/>
      <c r="BK141" s="5"/>
      <c r="BL141" s="5"/>
      <c r="BM141" s="5"/>
      <c r="BN141" s="5"/>
      <c r="BO141" s="5"/>
      <c r="BP141" s="5"/>
      <c r="BQ141" s="5"/>
      <c r="BR141" s="5"/>
      <c r="BS141" s="5"/>
      <c r="BT141" s="5"/>
      <c r="BU141" s="5"/>
      <c r="BV141" s="5"/>
      <c r="BW141" s="5"/>
      <c r="BX141" s="5"/>
    </row>
    <row r="142" spans="1:76" ht="20.100000000000001" customHeight="1">
      <c r="A142" s="483">
        <v>16</v>
      </c>
      <c r="B142" s="378" t="str">
        <f>IFERROR(INDEX(Database_Charms,MATCH($N142,Database_Charms_Names,0),MATCH(B$111,Database_Charms_Values,0)),"")</f>
        <v/>
      </c>
      <c r="C142" s="378"/>
      <c r="D142" s="378"/>
      <c r="E142" s="378"/>
      <c r="F142" s="378"/>
      <c r="G142" s="33"/>
      <c r="H142" s="378" t="str">
        <f>IFERROR(INDEX(Database_Charms,MATCH($N142,Database_Charms_Names,0),MATCH("Ability_Subtype",Database_Charms_Values,0)),"")</f>
        <v/>
      </c>
      <c r="I142" s="378"/>
      <c r="J142" s="378"/>
      <c r="K142" s="378"/>
      <c r="L142" s="378"/>
      <c r="M142" s="23"/>
      <c r="N142" s="378" t="str">
        <f>VLOOKUP(A142,Values!$A$140:$O$239,IF(ISBLANK(VLOOKUP(A142,Values!$A$140:$O$239,13,0)),10,13),0)</f>
        <v/>
      </c>
      <c r="O142" s="378"/>
      <c r="P142" s="378"/>
      <c r="Q142" s="378"/>
      <c r="R142" s="378"/>
      <c r="S142" s="378"/>
      <c r="T142" s="378"/>
      <c r="U142" s="378"/>
      <c r="V142" s="378"/>
      <c r="W142" s="378"/>
      <c r="X142" s="378"/>
      <c r="Y142" s="378"/>
      <c r="Z142" s="378"/>
      <c r="AA142" s="378"/>
      <c r="AB142" s="23"/>
      <c r="AC142" s="302" t="str">
        <f>IFERROR(INDEX(Database_Charms,MATCH($N142,Database_Charms_Names,0),MATCH(AC$111,Database_Charms_Values,0)),"")</f>
        <v/>
      </c>
      <c r="AD142" s="302"/>
      <c r="AE142" s="302"/>
      <c r="AF142" s="302"/>
      <c r="AG142" s="302"/>
      <c r="AH142" s="125"/>
      <c r="AI142" s="302" t="str">
        <f>IFERROR(INDEX(Database_Charms,MATCH($N142,Database_Charms_Names,0),MATCH(AI$111,Database_Charms_Values,0)),"")</f>
        <v/>
      </c>
      <c r="AJ142" s="302"/>
      <c r="AK142" s="302"/>
      <c r="AL142" s="302"/>
      <c r="AM142" s="125"/>
      <c r="AN142" s="302" t="str">
        <f>IFERROR(INDEX(Database_Charms,MATCH($N142,Database_Charms_Names,0),MATCH(AN$111,Database_Charms_Values,0)),"")</f>
        <v/>
      </c>
      <c r="AO142" s="302"/>
      <c r="AP142" s="302"/>
      <c r="AQ142" s="302"/>
      <c r="AR142" s="302"/>
      <c r="AS142" s="125"/>
      <c r="AT142" s="302" t="str">
        <f>IFERROR(INDEX(Database_Charms,MATCH($N142,Database_Charms_Names,0),MATCH(AT$111,Database_Charms_Values,0)),"")</f>
        <v/>
      </c>
      <c r="AU142" s="302"/>
      <c r="AV142" s="125"/>
      <c r="AW142" s="302" t="str">
        <f>IFERROR(INDEX(Database_Charms,MATCH($N142,Database_Charms_Names,0),MATCH(AW$111,Database_Charms_Values,0)),"")</f>
        <v/>
      </c>
      <c r="AX142" s="302"/>
      <c r="AY142" s="302"/>
      <c r="AZ142" s="5"/>
      <c r="BA142" s="472">
        <f>Values!$AB$3</f>
        <v>0</v>
      </c>
      <c r="BB142" s="472"/>
      <c r="BC142" s="5"/>
      <c r="BD142" s="5"/>
      <c r="BE142" s="5"/>
      <c r="BF142" s="5"/>
      <c r="BG142" s="5"/>
      <c r="BH142" s="5"/>
      <c r="BI142" s="5"/>
      <c r="BJ142" s="5"/>
      <c r="BK142" s="5"/>
      <c r="BL142" s="5"/>
      <c r="BM142" s="5"/>
      <c r="BN142" s="5"/>
      <c r="BO142" s="5"/>
      <c r="BP142" s="5"/>
      <c r="BQ142" s="5"/>
      <c r="BR142" s="5"/>
      <c r="BS142" s="5"/>
      <c r="BT142" s="5"/>
      <c r="BU142" s="5"/>
      <c r="BV142" s="5"/>
      <c r="BW142" s="5"/>
      <c r="BX142" s="5"/>
    </row>
    <row r="143" spans="1:76" ht="39.950000000000003" customHeight="1">
      <c r="A143" s="483"/>
      <c r="B143" s="374" t="str">
        <f>IF(VLOOKUP(A142,Values!$A$140:$T$239,14,0)="",IF(VLOOKUP(A142,Values!$A$140:$T$239,11,0)="",IFERROR(INDEX(Database_Charms,MATCH($N142,Database_Charms_Names,0),MATCH(Charms!$S$1,Database_Charms_Values,0)),""),VLOOKUP(A142,Values!$A$140:$T$239,11,0)),VLOOKUP(A142,Values!$A$140:$T$239,14,0))</f>
        <v/>
      </c>
      <c r="C143" s="374"/>
      <c r="D143" s="374"/>
      <c r="E143" s="374"/>
      <c r="F143" s="374"/>
      <c r="G143" s="374"/>
      <c r="H143" s="374"/>
      <c r="I143" s="374"/>
      <c r="J143" s="374"/>
      <c r="K143" s="374"/>
      <c r="L143" s="374"/>
      <c r="M143" s="374"/>
      <c r="N143" s="374"/>
      <c r="O143" s="374"/>
      <c r="P143" s="374"/>
      <c r="Q143" s="374"/>
      <c r="R143" s="374"/>
      <c r="S143" s="374"/>
      <c r="T143" s="374"/>
      <c r="U143" s="374"/>
      <c r="V143" s="374"/>
      <c r="W143" s="374"/>
      <c r="X143" s="374"/>
      <c r="Y143" s="374"/>
      <c r="Z143" s="374"/>
      <c r="AA143" s="374"/>
      <c r="AB143" s="374"/>
      <c r="AC143" s="374"/>
      <c r="AD143" s="374"/>
      <c r="AE143" s="374"/>
      <c r="AF143" s="374"/>
      <c r="AG143" s="374"/>
      <c r="AH143" s="374"/>
      <c r="AI143" s="374"/>
      <c r="AJ143" s="374"/>
      <c r="AK143" s="374"/>
      <c r="AL143" s="374"/>
      <c r="AM143" s="374"/>
      <c r="AN143" s="374"/>
      <c r="AO143" s="374"/>
      <c r="AP143" s="374"/>
      <c r="AQ143" s="374"/>
      <c r="AR143" s="374"/>
      <c r="AS143" s="374"/>
      <c r="AT143" s="374"/>
      <c r="AU143" s="374"/>
      <c r="AV143" s="374"/>
      <c r="AW143" s="374"/>
      <c r="AX143" s="374"/>
      <c r="AY143" s="374"/>
      <c r="AZ143" s="5"/>
      <c r="BA143" s="5"/>
      <c r="BB143" s="5"/>
      <c r="BC143" s="5"/>
      <c r="BD143" s="5"/>
      <c r="BE143" s="5"/>
      <c r="BF143" s="5"/>
      <c r="BG143" s="5"/>
      <c r="BH143" s="5"/>
      <c r="BI143" s="5"/>
      <c r="BJ143" s="5"/>
      <c r="BK143" s="5"/>
      <c r="BL143" s="5"/>
      <c r="BM143" s="5"/>
      <c r="BN143" s="5"/>
      <c r="BO143" s="5"/>
      <c r="BP143" s="5"/>
      <c r="BQ143" s="5"/>
      <c r="BR143" s="5"/>
      <c r="BS143" s="5"/>
      <c r="BT143" s="5"/>
      <c r="BU143" s="5"/>
      <c r="BV143" s="5"/>
      <c r="BW143" s="5"/>
      <c r="BX143" s="5"/>
    </row>
    <row r="144" spans="1:76" ht="20.100000000000001" customHeight="1">
      <c r="A144" s="483">
        <v>17</v>
      </c>
      <c r="B144" s="378" t="str">
        <f>IFERROR(INDEX(Database_Charms,MATCH($N144,Database_Charms_Names,0),MATCH(B$111,Database_Charms_Values,0)),"")</f>
        <v/>
      </c>
      <c r="C144" s="378"/>
      <c r="D144" s="378"/>
      <c r="E144" s="378"/>
      <c r="F144" s="378"/>
      <c r="G144" s="33"/>
      <c r="H144" s="378" t="str">
        <f>IFERROR(INDEX(Database_Charms,MATCH($N144,Database_Charms_Names,0),MATCH("Ability_Subtype",Database_Charms_Values,0)),"")</f>
        <v/>
      </c>
      <c r="I144" s="378"/>
      <c r="J144" s="378"/>
      <c r="K144" s="378"/>
      <c r="L144" s="378"/>
      <c r="M144" s="23"/>
      <c r="N144" s="378" t="str">
        <f>VLOOKUP(A144,Values!$A$140:$O$239,IF(ISBLANK(VLOOKUP(A144,Values!$A$140:$O$239,13,0)),10,13),0)</f>
        <v/>
      </c>
      <c r="O144" s="378"/>
      <c r="P144" s="378"/>
      <c r="Q144" s="378"/>
      <c r="R144" s="378"/>
      <c r="S144" s="378"/>
      <c r="T144" s="378"/>
      <c r="U144" s="378"/>
      <c r="V144" s="378"/>
      <c r="W144" s="378"/>
      <c r="X144" s="378"/>
      <c r="Y144" s="378"/>
      <c r="Z144" s="378"/>
      <c r="AA144" s="378"/>
      <c r="AB144" s="23"/>
      <c r="AC144" s="302" t="str">
        <f>IFERROR(INDEX(Database_Charms,MATCH($N144,Database_Charms_Names,0),MATCH(AC$111,Database_Charms_Values,0)),"")</f>
        <v/>
      </c>
      <c r="AD144" s="302"/>
      <c r="AE144" s="302"/>
      <c r="AF144" s="302"/>
      <c r="AG144" s="302"/>
      <c r="AH144" s="125"/>
      <c r="AI144" s="302" t="str">
        <f>IFERROR(INDEX(Database_Charms,MATCH($N144,Database_Charms_Names,0),MATCH(AI$111,Database_Charms_Values,0)),"")</f>
        <v/>
      </c>
      <c r="AJ144" s="302"/>
      <c r="AK144" s="302"/>
      <c r="AL144" s="302"/>
      <c r="AM144" s="125"/>
      <c r="AN144" s="302" t="str">
        <f>IFERROR(INDEX(Database_Charms,MATCH($N144,Database_Charms_Names,0),MATCH(AN$111,Database_Charms_Values,0)),"")</f>
        <v/>
      </c>
      <c r="AO144" s="302"/>
      <c r="AP144" s="302"/>
      <c r="AQ144" s="302"/>
      <c r="AR144" s="302"/>
      <c r="AS144" s="125"/>
      <c r="AT144" s="302" t="str">
        <f>IFERROR(INDEX(Database_Charms,MATCH($N144,Database_Charms_Names,0),MATCH(AT$111,Database_Charms_Values,0)),"")</f>
        <v/>
      </c>
      <c r="AU144" s="302"/>
      <c r="AV144" s="125"/>
      <c r="AW144" s="302" t="str">
        <f>IFERROR(INDEX(Database_Charms,MATCH($N144,Database_Charms_Names,0),MATCH(AW$111,Database_Charms_Values,0)),"")</f>
        <v/>
      </c>
      <c r="AX144" s="302"/>
      <c r="AY144" s="302"/>
      <c r="AZ144" s="5"/>
      <c r="BA144" s="5"/>
      <c r="BB144" s="5"/>
      <c r="BC144" s="5"/>
      <c r="BD144" s="5"/>
      <c r="BE144" s="5"/>
      <c r="BF144" s="5"/>
      <c r="BG144" s="5"/>
      <c r="BH144" s="5"/>
      <c r="BI144" s="5"/>
      <c r="BJ144" s="5"/>
      <c r="BK144" s="5"/>
      <c r="BL144" s="5"/>
      <c r="BM144" s="5"/>
      <c r="BN144" s="5"/>
      <c r="BO144" s="5"/>
      <c r="BP144" s="5"/>
      <c r="BQ144" s="5"/>
      <c r="BR144" s="5"/>
      <c r="BS144" s="5"/>
      <c r="BT144" s="5"/>
      <c r="BU144" s="5"/>
      <c r="BV144" s="5"/>
      <c r="BW144" s="5"/>
      <c r="BX144" s="5"/>
    </row>
    <row r="145" spans="1:76" ht="39.950000000000003" customHeight="1">
      <c r="A145" s="483"/>
      <c r="B145" s="374" t="str">
        <f>IF(VLOOKUP(A144,Values!$A$140:$T$239,14,0)="",IF(VLOOKUP(A144,Values!$A$140:$T$239,11,0)="",IFERROR(INDEX(Database_Charms,MATCH($N144,Database_Charms_Names,0),MATCH(Charms!$S$1,Database_Charms_Values,0)),""),VLOOKUP(A144,Values!$A$140:$T$239,11,0)),VLOOKUP(A144,Values!$A$140:$T$239,14,0))</f>
        <v/>
      </c>
      <c r="C145" s="374"/>
      <c r="D145" s="374"/>
      <c r="E145" s="374"/>
      <c r="F145" s="374"/>
      <c r="G145" s="374"/>
      <c r="H145" s="374"/>
      <c r="I145" s="374"/>
      <c r="J145" s="374"/>
      <c r="K145" s="374"/>
      <c r="L145" s="374"/>
      <c r="M145" s="374"/>
      <c r="N145" s="374"/>
      <c r="O145" s="374"/>
      <c r="P145" s="374"/>
      <c r="Q145" s="374"/>
      <c r="R145" s="374"/>
      <c r="S145" s="374"/>
      <c r="T145" s="374"/>
      <c r="U145" s="374"/>
      <c r="V145" s="374"/>
      <c r="W145" s="374"/>
      <c r="X145" s="374"/>
      <c r="Y145" s="374"/>
      <c r="Z145" s="374"/>
      <c r="AA145" s="374"/>
      <c r="AB145" s="374"/>
      <c r="AC145" s="374"/>
      <c r="AD145" s="374"/>
      <c r="AE145" s="374"/>
      <c r="AF145" s="374"/>
      <c r="AG145" s="374"/>
      <c r="AH145" s="374"/>
      <c r="AI145" s="374"/>
      <c r="AJ145" s="374"/>
      <c r="AK145" s="374"/>
      <c r="AL145" s="374"/>
      <c r="AM145" s="374"/>
      <c r="AN145" s="374"/>
      <c r="AO145" s="374"/>
      <c r="AP145" s="374"/>
      <c r="AQ145" s="374"/>
      <c r="AR145" s="374"/>
      <c r="AS145" s="374"/>
      <c r="AT145" s="374"/>
      <c r="AU145" s="374"/>
      <c r="AV145" s="374"/>
      <c r="AW145" s="374"/>
      <c r="AX145" s="374"/>
      <c r="AY145" s="374"/>
      <c r="AZ145" s="5"/>
      <c r="BA145" s="5"/>
      <c r="BB145" s="5"/>
      <c r="BC145" s="5"/>
      <c r="BD145" s="5"/>
      <c r="BE145" s="5"/>
      <c r="BF145" s="5"/>
      <c r="BG145" s="5"/>
      <c r="BH145" s="5"/>
      <c r="BI145" s="5"/>
      <c r="BJ145" s="5"/>
      <c r="BK145" s="5"/>
      <c r="BL145" s="5"/>
      <c r="BM145" s="5"/>
      <c r="BN145" s="5"/>
      <c r="BO145" s="5"/>
      <c r="BP145" s="5"/>
      <c r="BQ145" s="5"/>
      <c r="BR145" s="5"/>
      <c r="BS145" s="5"/>
      <c r="BT145" s="5"/>
      <c r="BU145" s="5"/>
      <c r="BV145" s="5"/>
      <c r="BW145" s="5"/>
      <c r="BX145" s="5"/>
    </row>
    <row r="146" spans="1:76" ht="20.100000000000001" customHeight="1">
      <c r="A146" s="483">
        <v>18</v>
      </c>
      <c r="B146" s="378" t="str">
        <f>IFERROR(INDEX(Database_Charms,MATCH($N146,Database_Charms_Names,0),MATCH(B$111,Database_Charms_Values,0)),"")</f>
        <v/>
      </c>
      <c r="C146" s="378"/>
      <c r="D146" s="378"/>
      <c r="E146" s="378"/>
      <c r="F146" s="378"/>
      <c r="G146" s="33"/>
      <c r="H146" s="378" t="str">
        <f>IFERROR(INDEX(Database_Charms,MATCH($N146,Database_Charms_Names,0),MATCH("Ability_Subtype",Database_Charms_Values,0)),"")</f>
        <v/>
      </c>
      <c r="I146" s="378"/>
      <c r="J146" s="378"/>
      <c r="K146" s="378"/>
      <c r="L146" s="378"/>
      <c r="M146" s="23"/>
      <c r="N146" s="378" t="str">
        <f>VLOOKUP(A146,Values!$A$140:$O$239,IF(ISBLANK(VLOOKUP(A146,Values!$A$140:$O$239,13,0)),10,13),0)</f>
        <v/>
      </c>
      <c r="O146" s="378"/>
      <c r="P146" s="378"/>
      <c r="Q146" s="378"/>
      <c r="R146" s="378"/>
      <c r="S146" s="378"/>
      <c r="T146" s="378"/>
      <c r="U146" s="378"/>
      <c r="V146" s="378"/>
      <c r="W146" s="378"/>
      <c r="X146" s="378"/>
      <c r="Y146" s="378"/>
      <c r="Z146" s="378"/>
      <c r="AA146" s="378"/>
      <c r="AB146" s="23"/>
      <c r="AC146" s="302" t="str">
        <f>IFERROR(INDEX(Database_Charms,MATCH($N146,Database_Charms_Names,0),MATCH(AC$111,Database_Charms_Values,0)),"")</f>
        <v/>
      </c>
      <c r="AD146" s="302"/>
      <c r="AE146" s="302"/>
      <c r="AF146" s="302"/>
      <c r="AG146" s="302"/>
      <c r="AH146" s="125"/>
      <c r="AI146" s="302" t="str">
        <f>IFERROR(INDEX(Database_Charms,MATCH($N146,Database_Charms_Names,0),MATCH(AI$111,Database_Charms_Values,0)),"")</f>
        <v/>
      </c>
      <c r="AJ146" s="302"/>
      <c r="AK146" s="302"/>
      <c r="AL146" s="302"/>
      <c r="AM146" s="125"/>
      <c r="AN146" s="302" t="str">
        <f>IFERROR(INDEX(Database_Charms,MATCH($N146,Database_Charms_Names,0),MATCH(AN$111,Database_Charms_Values,0)),"")</f>
        <v/>
      </c>
      <c r="AO146" s="302"/>
      <c r="AP146" s="302"/>
      <c r="AQ146" s="302"/>
      <c r="AR146" s="302"/>
      <c r="AS146" s="125"/>
      <c r="AT146" s="302" t="str">
        <f>IFERROR(INDEX(Database_Charms,MATCH($N146,Database_Charms_Names,0),MATCH(AT$111,Database_Charms_Values,0)),"")</f>
        <v/>
      </c>
      <c r="AU146" s="302"/>
      <c r="AV146" s="125"/>
      <c r="AW146" s="302" t="str">
        <f>IFERROR(INDEX(Database_Charms,MATCH($N146,Database_Charms_Names,0),MATCH(AW$111,Database_Charms_Values,0)),"")</f>
        <v/>
      </c>
      <c r="AX146" s="302"/>
      <c r="AY146" s="302"/>
      <c r="AZ146" s="5"/>
      <c r="BA146" s="5"/>
      <c r="BB146" s="5"/>
      <c r="BC146" s="5"/>
      <c r="BD146" s="5"/>
      <c r="BE146" s="5"/>
      <c r="BF146" s="5"/>
      <c r="BG146" s="5"/>
      <c r="BH146" s="5"/>
      <c r="BI146" s="5"/>
      <c r="BJ146" s="5"/>
      <c r="BK146" s="5"/>
      <c r="BL146" s="5"/>
      <c r="BM146" s="5"/>
      <c r="BN146" s="5"/>
      <c r="BO146" s="5"/>
      <c r="BP146" s="5"/>
      <c r="BQ146" s="5"/>
      <c r="BR146" s="5"/>
      <c r="BS146" s="5"/>
      <c r="BT146" s="5"/>
      <c r="BU146" s="5"/>
      <c r="BV146" s="5"/>
      <c r="BW146" s="5"/>
      <c r="BX146" s="5"/>
    </row>
    <row r="147" spans="1:76" ht="39.950000000000003" customHeight="1">
      <c r="A147" s="483"/>
      <c r="B147" s="374" t="str">
        <f>IF(VLOOKUP(A146,Values!$A$140:$T$239,14,0)="",IF(VLOOKUP(A146,Values!$A$140:$T$239,11,0)="",IFERROR(INDEX(Database_Charms,MATCH($N146,Database_Charms_Names,0),MATCH(Charms!$S$1,Database_Charms_Values,0)),""),VLOOKUP(A146,Values!$A$140:$T$239,11,0)),VLOOKUP(A146,Values!$A$140:$T$239,14,0))</f>
        <v/>
      </c>
      <c r="C147" s="374"/>
      <c r="D147" s="374"/>
      <c r="E147" s="374"/>
      <c r="F147" s="374"/>
      <c r="G147" s="374"/>
      <c r="H147" s="374"/>
      <c r="I147" s="374"/>
      <c r="J147" s="374"/>
      <c r="K147" s="374"/>
      <c r="L147" s="374"/>
      <c r="M147" s="374"/>
      <c r="N147" s="374"/>
      <c r="O147" s="374"/>
      <c r="P147" s="374"/>
      <c r="Q147" s="374"/>
      <c r="R147" s="374"/>
      <c r="S147" s="374"/>
      <c r="T147" s="374"/>
      <c r="U147" s="374"/>
      <c r="V147" s="374"/>
      <c r="W147" s="374"/>
      <c r="X147" s="374"/>
      <c r="Y147" s="374"/>
      <c r="Z147" s="374"/>
      <c r="AA147" s="374"/>
      <c r="AB147" s="374"/>
      <c r="AC147" s="374"/>
      <c r="AD147" s="374"/>
      <c r="AE147" s="374"/>
      <c r="AF147" s="374"/>
      <c r="AG147" s="374"/>
      <c r="AH147" s="374"/>
      <c r="AI147" s="374"/>
      <c r="AJ147" s="374"/>
      <c r="AK147" s="374"/>
      <c r="AL147" s="374"/>
      <c r="AM147" s="374"/>
      <c r="AN147" s="374"/>
      <c r="AO147" s="374"/>
      <c r="AP147" s="374"/>
      <c r="AQ147" s="374"/>
      <c r="AR147" s="374"/>
      <c r="AS147" s="374"/>
      <c r="AT147" s="374"/>
      <c r="AU147" s="374"/>
      <c r="AV147" s="374"/>
      <c r="AW147" s="374"/>
      <c r="AX147" s="374"/>
      <c r="AY147" s="374"/>
      <c r="AZ147" s="5"/>
      <c r="BA147" s="41" t="s">
        <v>3262</v>
      </c>
      <c r="BB147" s="5"/>
      <c r="BC147" s="5"/>
      <c r="BD147" s="5"/>
      <c r="BE147" s="5"/>
      <c r="BF147" s="5"/>
      <c r="BG147" s="5"/>
      <c r="BH147" s="5"/>
      <c r="BI147" s="5"/>
      <c r="BJ147" s="5"/>
      <c r="BK147" s="5"/>
      <c r="BL147" s="5"/>
      <c r="BM147" s="5"/>
      <c r="BN147" s="5"/>
      <c r="BO147" s="5"/>
      <c r="BP147" s="5"/>
      <c r="BQ147" s="5"/>
      <c r="BR147" s="5"/>
      <c r="BS147" s="5"/>
      <c r="BT147" s="5"/>
      <c r="BU147" s="5"/>
      <c r="BV147" s="5"/>
      <c r="BW147" s="5"/>
      <c r="BX147" s="5"/>
    </row>
    <row r="148" spans="1:76" ht="20.100000000000001" customHeight="1">
      <c r="A148" s="483">
        <v>19</v>
      </c>
      <c r="B148" s="378" t="str">
        <f>IFERROR(INDEX(Database_Charms,MATCH($N148,Database_Charms_Names,0),MATCH(B$111,Database_Charms_Values,0)),"")</f>
        <v/>
      </c>
      <c r="C148" s="378"/>
      <c r="D148" s="378"/>
      <c r="E148" s="378"/>
      <c r="F148" s="378"/>
      <c r="G148" s="33"/>
      <c r="H148" s="378" t="str">
        <f>IFERROR(INDEX(Database_Charms,MATCH($N148,Database_Charms_Names,0),MATCH("Ability_Subtype",Database_Charms_Values,0)),"")</f>
        <v/>
      </c>
      <c r="I148" s="378"/>
      <c r="J148" s="378"/>
      <c r="K148" s="378"/>
      <c r="L148" s="378"/>
      <c r="M148" s="23"/>
      <c r="N148" s="378" t="str">
        <f>VLOOKUP(A148,Values!$A$140:$O$239,IF(ISBLANK(VLOOKUP(A148,Values!$A$140:$O$239,13,0)),10,13),0)</f>
        <v/>
      </c>
      <c r="O148" s="378"/>
      <c r="P148" s="378"/>
      <c r="Q148" s="378"/>
      <c r="R148" s="378"/>
      <c r="S148" s="378"/>
      <c r="T148" s="378"/>
      <c r="U148" s="378"/>
      <c r="V148" s="378"/>
      <c r="W148" s="378"/>
      <c r="X148" s="378"/>
      <c r="Y148" s="378"/>
      <c r="Z148" s="378"/>
      <c r="AA148" s="378"/>
      <c r="AB148" s="23"/>
      <c r="AC148" s="302" t="str">
        <f>IFERROR(INDEX(Database_Charms,MATCH($N148,Database_Charms_Names,0),MATCH(AC$111,Database_Charms_Values,0)),"")</f>
        <v/>
      </c>
      <c r="AD148" s="302"/>
      <c r="AE148" s="302"/>
      <c r="AF148" s="302"/>
      <c r="AG148" s="302"/>
      <c r="AH148" s="125"/>
      <c r="AI148" s="302" t="str">
        <f>IFERROR(INDEX(Database_Charms,MATCH($N148,Database_Charms_Names,0),MATCH(AI$111,Database_Charms_Values,0)),"")</f>
        <v/>
      </c>
      <c r="AJ148" s="302"/>
      <c r="AK148" s="302"/>
      <c r="AL148" s="302"/>
      <c r="AM148" s="125"/>
      <c r="AN148" s="302" t="str">
        <f>IFERROR(INDEX(Database_Charms,MATCH($N148,Database_Charms_Names,0),MATCH(AN$111,Database_Charms_Values,0)),"")</f>
        <v/>
      </c>
      <c r="AO148" s="302"/>
      <c r="AP148" s="302"/>
      <c r="AQ148" s="302"/>
      <c r="AR148" s="302"/>
      <c r="AS148" s="125"/>
      <c r="AT148" s="302" t="str">
        <f>IFERROR(INDEX(Database_Charms,MATCH($N148,Database_Charms_Names,0),MATCH(AT$111,Database_Charms_Values,0)),"")</f>
        <v/>
      </c>
      <c r="AU148" s="302"/>
      <c r="AV148" s="125"/>
      <c r="AW148" s="302" t="str">
        <f>IFERROR(INDEX(Database_Charms,MATCH($N148,Database_Charms_Names,0),MATCH(AW$111,Database_Charms_Values,0)),"")</f>
        <v/>
      </c>
      <c r="AX148" s="302"/>
      <c r="AY148" s="302"/>
      <c r="AZ148" s="5"/>
      <c r="BA148" s="472">
        <f>Values!$AB$3</f>
        <v>0</v>
      </c>
      <c r="BB148" s="472"/>
      <c r="BC148" s="5"/>
      <c r="BD148" s="5"/>
      <c r="BE148" s="5"/>
      <c r="BF148" s="5"/>
      <c r="BG148" s="5"/>
      <c r="BH148" s="5"/>
      <c r="BI148" s="5"/>
      <c r="BJ148" s="5"/>
      <c r="BK148" s="5"/>
      <c r="BL148" s="5"/>
      <c r="BM148" s="5"/>
      <c r="BN148" s="5"/>
      <c r="BO148" s="5"/>
      <c r="BP148" s="5"/>
      <c r="BQ148" s="5"/>
      <c r="BR148" s="5"/>
      <c r="BS148" s="5"/>
      <c r="BT148" s="5"/>
      <c r="BU148" s="5"/>
      <c r="BV148" s="5"/>
      <c r="BW148" s="5"/>
      <c r="BX148" s="5"/>
    </row>
    <row r="149" spans="1:76" ht="39.950000000000003" customHeight="1">
      <c r="A149" s="483"/>
      <c r="B149" s="374" t="str">
        <f>IF(VLOOKUP(A148,Values!$A$140:$T$239,14,0)="",IF(VLOOKUP(A148,Values!$A$140:$T$239,11,0)="",IFERROR(INDEX(Database_Charms,MATCH($N148,Database_Charms_Names,0),MATCH(Charms!$S$1,Database_Charms_Values,0)),""),VLOOKUP(A148,Values!$A$140:$T$239,11,0)),VLOOKUP(A148,Values!$A$140:$T$239,14,0))</f>
        <v/>
      </c>
      <c r="C149" s="374"/>
      <c r="D149" s="374"/>
      <c r="E149" s="374"/>
      <c r="F149" s="374"/>
      <c r="G149" s="374"/>
      <c r="H149" s="374"/>
      <c r="I149" s="374"/>
      <c r="J149" s="374"/>
      <c r="K149" s="374"/>
      <c r="L149" s="374"/>
      <c r="M149" s="374"/>
      <c r="N149" s="374"/>
      <c r="O149" s="374"/>
      <c r="P149" s="374"/>
      <c r="Q149" s="374"/>
      <c r="R149" s="374"/>
      <c r="S149" s="374"/>
      <c r="T149" s="374"/>
      <c r="U149" s="374"/>
      <c r="V149" s="374"/>
      <c r="W149" s="374"/>
      <c r="X149" s="374"/>
      <c r="Y149" s="374"/>
      <c r="Z149" s="374"/>
      <c r="AA149" s="374"/>
      <c r="AB149" s="374"/>
      <c r="AC149" s="374"/>
      <c r="AD149" s="374"/>
      <c r="AE149" s="374"/>
      <c r="AF149" s="374"/>
      <c r="AG149" s="374"/>
      <c r="AH149" s="374"/>
      <c r="AI149" s="374"/>
      <c r="AJ149" s="374"/>
      <c r="AK149" s="374"/>
      <c r="AL149" s="374"/>
      <c r="AM149" s="374"/>
      <c r="AN149" s="374"/>
      <c r="AO149" s="374"/>
      <c r="AP149" s="374"/>
      <c r="AQ149" s="374"/>
      <c r="AR149" s="374"/>
      <c r="AS149" s="374"/>
      <c r="AT149" s="374"/>
      <c r="AU149" s="374"/>
      <c r="AV149" s="374"/>
      <c r="AW149" s="374"/>
      <c r="AX149" s="374"/>
      <c r="AY149" s="374"/>
      <c r="AZ149" s="5"/>
      <c r="BA149" s="5"/>
      <c r="BB149" s="5"/>
      <c r="BC149" s="5"/>
      <c r="BD149" s="5"/>
      <c r="BE149" s="5"/>
      <c r="BF149" s="5"/>
      <c r="BG149" s="5"/>
      <c r="BH149" s="5"/>
      <c r="BI149" s="5"/>
      <c r="BJ149" s="5"/>
      <c r="BK149" s="5"/>
      <c r="BL149" s="5"/>
      <c r="BM149" s="5"/>
      <c r="BN149" s="5"/>
      <c r="BO149" s="5"/>
      <c r="BP149" s="5"/>
      <c r="BQ149" s="5"/>
      <c r="BR149" s="5"/>
      <c r="BS149" s="5"/>
      <c r="BT149" s="5"/>
      <c r="BU149" s="5"/>
      <c r="BV149" s="5"/>
      <c r="BW149" s="5"/>
      <c r="BX149" s="5"/>
    </row>
    <row r="150" spans="1:76" ht="20.100000000000001" customHeight="1">
      <c r="A150" s="483">
        <v>20</v>
      </c>
      <c r="B150" s="378" t="str">
        <f>IFERROR(INDEX(Database_Charms,MATCH($N150,Database_Charms_Names,0),MATCH(B$111,Database_Charms_Values,0)),"")</f>
        <v/>
      </c>
      <c r="C150" s="378"/>
      <c r="D150" s="378"/>
      <c r="E150" s="378"/>
      <c r="F150" s="378"/>
      <c r="G150" s="33"/>
      <c r="H150" s="378" t="str">
        <f>IFERROR(INDEX(Database_Charms,MATCH($N150,Database_Charms_Names,0),MATCH("Ability_Subtype",Database_Charms_Values,0)),"")</f>
        <v/>
      </c>
      <c r="I150" s="378"/>
      <c r="J150" s="378"/>
      <c r="K150" s="378"/>
      <c r="L150" s="378"/>
      <c r="M150" s="23"/>
      <c r="N150" s="378" t="str">
        <f>VLOOKUP(A150,Values!$A$140:$O$239,IF(ISBLANK(VLOOKUP(A150,Values!$A$140:$O$239,13,0)),10,13),0)</f>
        <v/>
      </c>
      <c r="O150" s="378"/>
      <c r="P150" s="378"/>
      <c r="Q150" s="378"/>
      <c r="R150" s="378"/>
      <c r="S150" s="378"/>
      <c r="T150" s="378"/>
      <c r="U150" s="378"/>
      <c r="V150" s="378"/>
      <c r="W150" s="378"/>
      <c r="X150" s="378"/>
      <c r="Y150" s="378"/>
      <c r="Z150" s="378"/>
      <c r="AA150" s="378"/>
      <c r="AB150" s="23"/>
      <c r="AC150" s="302" t="str">
        <f>IFERROR(INDEX(Database_Charms,MATCH($N150,Database_Charms_Names,0),MATCH(AC$111,Database_Charms_Values,0)),"")</f>
        <v/>
      </c>
      <c r="AD150" s="302"/>
      <c r="AE150" s="302"/>
      <c r="AF150" s="302"/>
      <c r="AG150" s="302"/>
      <c r="AH150" s="125"/>
      <c r="AI150" s="302" t="str">
        <f>IFERROR(INDEX(Database_Charms,MATCH($N150,Database_Charms_Names,0),MATCH(AI$111,Database_Charms_Values,0)),"")</f>
        <v/>
      </c>
      <c r="AJ150" s="302"/>
      <c r="AK150" s="302"/>
      <c r="AL150" s="302"/>
      <c r="AM150" s="125"/>
      <c r="AN150" s="302" t="str">
        <f>IFERROR(INDEX(Database_Charms,MATCH($N150,Database_Charms_Names,0),MATCH(AN$111,Database_Charms_Values,0)),"")</f>
        <v/>
      </c>
      <c r="AO150" s="302"/>
      <c r="AP150" s="302"/>
      <c r="AQ150" s="302"/>
      <c r="AR150" s="302"/>
      <c r="AS150" s="125"/>
      <c r="AT150" s="302" t="str">
        <f>IFERROR(INDEX(Database_Charms,MATCH($N150,Database_Charms_Names,0),MATCH(AT$111,Database_Charms_Values,0)),"")</f>
        <v/>
      </c>
      <c r="AU150" s="302"/>
      <c r="AV150" s="125"/>
      <c r="AW150" s="302" t="str">
        <f>IFERROR(INDEX(Database_Charms,MATCH($N150,Database_Charms_Names,0),MATCH(AW$111,Database_Charms_Values,0)),"")</f>
        <v/>
      </c>
      <c r="AX150" s="302"/>
      <c r="AY150" s="302"/>
      <c r="AZ150" s="5"/>
      <c r="BA150" s="5"/>
      <c r="BB150" s="5"/>
      <c r="BC150" s="5"/>
      <c r="BD150" s="5"/>
      <c r="BE150" s="5"/>
      <c r="BF150" s="5"/>
      <c r="BG150" s="5"/>
      <c r="BH150" s="5"/>
      <c r="BI150" s="5"/>
      <c r="BJ150" s="5"/>
      <c r="BK150" s="5"/>
      <c r="BL150" s="5"/>
      <c r="BM150" s="5"/>
      <c r="BN150" s="5"/>
      <c r="BO150" s="5"/>
      <c r="BP150" s="5"/>
      <c r="BQ150" s="5"/>
      <c r="BR150" s="5"/>
      <c r="BS150" s="5"/>
      <c r="BT150" s="5"/>
      <c r="BU150" s="5"/>
      <c r="BV150" s="5"/>
      <c r="BW150" s="5"/>
      <c r="BX150" s="5"/>
    </row>
    <row r="151" spans="1:76" ht="39.950000000000003" customHeight="1">
      <c r="A151" s="483"/>
      <c r="B151" s="374" t="str">
        <f>IF(VLOOKUP(A150,Values!$A$140:$T$239,14,0)="",IF(VLOOKUP(A150,Values!$A$140:$T$239,11,0)="",IFERROR(INDEX(Database_Charms,MATCH($N150,Database_Charms_Names,0),MATCH(Charms!$S$1,Database_Charms_Values,0)),""),VLOOKUP(A150,Values!$A$140:$T$239,11,0)),VLOOKUP(A150,Values!$A$140:$T$239,14,0))</f>
        <v/>
      </c>
      <c r="C151" s="374"/>
      <c r="D151" s="374"/>
      <c r="E151" s="374"/>
      <c r="F151" s="374"/>
      <c r="G151" s="374"/>
      <c r="H151" s="374"/>
      <c r="I151" s="374"/>
      <c r="J151" s="374"/>
      <c r="K151" s="374"/>
      <c r="L151" s="374"/>
      <c r="M151" s="374"/>
      <c r="N151" s="374"/>
      <c r="O151" s="374"/>
      <c r="P151" s="374"/>
      <c r="Q151" s="374"/>
      <c r="R151" s="374"/>
      <c r="S151" s="374"/>
      <c r="T151" s="374"/>
      <c r="U151" s="374"/>
      <c r="V151" s="374"/>
      <c r="W151" s="374"/>
      <c r="X151" s="374"/>
      <c r="Y151" s="374"/>
      <c r="Z151" s="374"/>
      <c r="AA151" s="374"/>
      <c r="AB151" s="374"/>
      <c r="AC151" s="374"/>
      <c r="AD151" s="374"/>
      <c r="AE151" s="374"/>
      <c r="AF151" s="374"/>
      <c r="AG151" s="374"/>
      <c r="AH151" s="374"/>
      <c r="AI151" s="374"/>
      <c r="AJ151" s="374"/>
      <c r="AK151" s="374"/>
      <c r="AL151" s="374"/>
      <c r="AM151" s="374"/>
      <c r="AN151" s="374"/>
      <c r="AO151" s="374"/>
      <c r="AP151" s="374"/>
      <c r="AQ151" s="374"/>
      <c r="AR151" s="374"/>
      <c r="AS151" s="374"/>
      <c r="AT151" s="374"/>
      <c r="AU151" s="374"/>
      <c r="AV151" s="374"/>
      <c r="AW151" s="374"/>
      <c r="AX151" s="374"/>
      <c r="AY151" s="374"/>
      <c r="AZ151" s="5"/>
      <c r="BA151" s="5"/>
      <c r="BB151" s="5"/>
      <c r="BC151" s="5"/>
      <c r="BD151" s="5"/>
      <c r="BE151" s="5"/>
      <c r="BF151" s="5"/>
      <c r="BG151" s="5"/>
      <c r="BH151" s="5"/>
      <c r="BI151" s="5"/>
      <c r="BJ151" s="5"/>
      <c r="BK151" s="5"/>
      <c r="BL151" s="5"/>
      <c r="BM151" s="5"/>
      <c r="BN151" s="5"/>
      <c r="BO151" s="5"/>
      <c r="BP151" s="5"/>
      <c r="BQ151" s="5"/>
      <c r="BR151" s="5"/>
      <c r="BS151" s="5"/>
      <c r="BT151" s="5"/>
      <c r="BU151" s="5"/>
      <c r="BV151" s="5"/>
      <c r="BW151" s="5"/>
      <c r="BX151" s="5"/>
    </row>
    <row r="152" spans="1:76" ht="20.100000000000001" customHeight="1">
      <c r="A152" s="483">
        <v>21</v>
      </c>
      <c r="B152" s="378" t="str">
        <f>IFERROR(INDEX(Database_Charms,MATCH($N152,Database_Charms_Names,0),MATCH(B$111,Database_Charms_Values,0)),"")</f>
        <v/>
      </c>
      <c r="C152" s="378"/>
      <c r="D152" s="378"/>
      <c r="E152" s="378"/>
      <c r="F152" s="378"/>
      <c r="G152" s="33"/>
      <c r="H152" s="378" t="str">
        <f>IFERROR(INDEX(Database_Charms,MATCH($N152,Database_Charms_Names,0),MATCH("Ability_Subtype",Database_Charms_Values,0)),"")</f>
        <v/>
      </c>
      <c r="I152" s="378"/>
      <c r="J152" s="378"/>
      <c r="K152" s="378"/>
      <c r="L152" s="378"/>
      <c r="M152" s="23"/>
      <c r="N152" s="378" t="str">
        <f>VLOOKUP(A152,Values!$A$140:$O$239,IF(ISBLANK(VLOOKUP(A152,Values!$A$140:$O$239,13,0)),10,13),0)</f>
        <v/>
      </c>
      <c r="O152" s="378"/>
      <c r="P152" s="378"/>
      <c r="Q152" s="378"/>
      <c r="R152" s="378"/>
      <c r="S152" s="378"/>
      <c r="T152" s="378"/>
      <c r="U152" s="378"/>
      <c r="V152" s="378"/>
      <c r="W152" s="378"/>
      <c r="X152" s="378"/>
      <c r="Y152" s="378"/>
      <c r="Z152" s="378"/>
      <c r="AA152" s="378"/>
      <c r="AB152" s="23"/>
      <c r="AC152" s="302" t="str">
        <f>IFERROR(INDEX(Database_Charms,MATCH($N152,Database_Charms_Names,0),MATCH(AC$111,Database_Charms_Values,0)),"")</f>
        <v/>
      </c>
      <c r="AD152" s="302"/>
      <c r="AE152" s="302"/>
      <c r="AF152" s="302"/>
      <c r="AG152" s="302"/>
      <c r="AH152" s="125"/>
      <c r="AI152" s="302" t="str">
        <f>IFERROR(INDEX(Database_Charms,MATCH($N152,Database_Charms_Names,0),MATCH(AI$111,Database_Charms_Values,0)),"")</f>
        <v/>
      </c>
      <c r="AJ152" s="302"/>
      <c r="AK152" s="302"/>
      <c r="AL152" s="302"/>
      <c r="AM152" s="125"/>
      <c r="AN152" s="302" t="str">
        <f>IFERROR(INDEX(Database_Charms,MATCH($N152,Database_Charms_Names,0),MATCH(AN$111,Database_Charms_Values,0)),"")</f>
        <v/>
      </c>
      <c r="AO152" s="302"/>
      <c r="AP152" s="302"/>
      <c r="AQ152" s="302"/>
      <c r="AR152" s="302"/>
      <c r="AS152" s="125"/>
      <c r="AT152" s="302" t="str">
        <f>IFERROR(INDEX(Database_Charms,MATCH($N152,Database_Charms_Names,0),MATCH(AT$111,Database_Charms_Values,0)),"")</f>
        <v/>
      </c>
      <c r="AU152" s="302"/>
      <c r="AV152" s="125"/>
      <c r="AW152" s="302" t="str">
        <f>IFERROR(INDEX(Database_Charms,MATCH($N152,Database_Charms_Names,0),MATCH(AW$111,Database_Charms_Values,0)),"")</f>
        <v/>
      </c>
      <c r="AX152" s="302"/>
      <c r="AY152" s="302"/>
      <c r="AZ152" s="5"/>
      <c r="BA152" s="5"/>
      <c r="BB152" s="5"/>
      <c r="BC152" s="5"/>
      <c r="BD152" s="5"/>
      <c r="BE152" s="5"/>
      <c r="BF152" s="5"/>
      <c r="BG152" s="5"/>
      <c r="BH152" s="5"/>
      <c r="BI152" s="5"/>
      <c r="BJ152" s="5"/>
      <c r="BK152" s="5"/>
      <c r="BL152" s="5"/>
      <c r="BM152" s="5"/>
      <c r="BN152" s="5"/>
      <c r="BO152" s="5"/>
      <c r="BP152" s="5"/>
      <c r="BQ152" s="5"/>
      <c r="BR152" s="5"/>
      <c r="BS152" s="5"/>
      <c r="BT152" s="5"/>
      <c r="BU152" s="5"/>
      <c r="BV152" s="5"/>
      <c r="BW152" s="5"/>
      <c r="BX152" s="5"/>
    </row>
    <row r="153" spans="1:76" ht="39.950000000000003" customHeight="1">
      <c r="A153" s="483"/>
      <c r="B153" s="374" t="str">
        <f>IF(VLOOKUP(A152,Values!$A$140:$T$239,14,0)="",IF(VLOOKUP(A152,Values!$A$140:$T$239,11,0)="",IFERROR(INDEX(Database_Charms,MATCH($N152,Database_Charms_Names,0),MATCH(Charms!$S$1,Database_Charms_Values,0)),""),VLOOKUP(A152,Values!$A$140:$T$239,11,0)),VLOOKUP(A152,Values!$A$140:$T$239,14,0))</f>
        <v/>
      </c>
      <c r="C153" s="374"/>
      <c r="D153" s="374"/>
      <c r="E153" s="374"/>
      <c r="F153" s="374"/>
      <c r="G153" s="374"/>
      <c r="H153" s="374"/>
      <c r="I153" s="374"/>
      <c r="J153" s="374"/>
      <c r="K153" s="374"/>
      <c r="L153" s="374"/>
      <c r="M153" s="374"/>
      <c r="N153" s="374"/>
      <c r="O153" s="374"/>
      <c r="P153" s="374"/>
      <c r="Q153" s="374"/>
      <c r="R153" s="374"/>
      <c r="S153" s="374"/>
      <c r="T153" s="374"/>
      <c r="U153" s="374"/>
      <c r="V153" s="374"/>
      <c r="W153" s="374"/>
      <c r="X153" s="374"/>
      <c r="Y153" s="374"/>
      <c r="Z153" s="374"/>
      <c r="AA153" s="374"/>
      <c r="AB153" s="374"/>
      <c r="AC153" s="374"/>
      <c r="AD153" s="374"/>
      <c r="AE153" s="374"/>
      <c r="AF153" s="374"/>
      <c r="AG153" s="374"/>
      <c r="AH153" s="374"/>
      <c r="AI153" s="374"/>
      <c r="AJ153" s="374"/>
      <c r="AK153" s="374"/>
      <c r="AL153" s="374"/>
      <c r="AM153" s="374"/>
      <c r="AN153" s="374"/>
      <c r="AO153" s="374"/>
      <c r="AP153" s="374"/>
      <c r="AQ153" s="374"/>
      <c r="AR153" s="374"/>
      <c r="AS153" s="374"/>
      <c r="AT153" s="374"/>
      <c r="AU153" s="374"/>
      <c r="AV153" s="374"/>
      <c r="AW153" s="374"/>
      <c r="AX153" s="374"/>
      <c r="AY153" s="374"/>
      <c r="AZ153" s="5"/>
      <c r="BA153" s="5"/>
      <c r="BB153" s="5"/>
      <c r="BC153" s="5"/>
      <c r="BD153" s="5"/>
      <c r="BE153" s="5"/>
      <c r="BF153" s="5"/>
      <c r="BG153" s="5"/>
      <c r="BH153" s="5"/>
      <c r="BI153" s="5"/>
      <c r="BJ153" s="5"/>
      <c r="BK153" s="5"/>
      <c r="BL153" s="5"/>
      <c r="BM153" s="5"/>
      <c r="BN153" s="5"/>
      <c r="BO153" s="5"/>
      <c r="BP153" s="5"/>
      <c r="BQ153" s="5"/>
      <c r="BR153" s="5"/>
      <c r="BS153" s="5"/>
      <c r="BT153" s="5"/>
      <c r="BU153" s="5"/>
      <c r="BV153" s="5"/>
      <c r="BW153" s="5"/>
      <c r="BX153" s="5"/>
    </row>
    <row r="154" spans="1:76" ht="20.100000000000001" customHeight="1">
      <c r="A154" s="483">
        <v>22</v>
      </c>
      <c r="B154" s="378" t="str">
        <f>IFERROR(INDEX(Database_Charms,MATCH($N154,Database_Charms_Names,0),MATCH(B$111,Database_Charms_Values,0)),"")</f>
        <v/>
      </c>
      <c r="C154" s="378"/>
      <c r="D154" s="378"/>
      <c r="E154" s="378"/>
      <c r="F154" s="378"/>
      <c r="G154" s="33"/>
      <c r="H154" s="378" t="str">
        <f>IFERROR(INDEX(Database_Charms,MATCH($N154,Database_Charms_Names,0),MATCH("Ability_Subtype",Database_Charms_Values,0)),"")</f>
        <v/>
      </c>
      <c r="I154" s="378"/>
      <c r="J154" s="378"/>
      <c r="K154" s="378"/>
      <c r="L154" s="378"/>
      <c r="M154" s="23"/>
      <c r="N154" s="378" t="str">
        <f>VLOOKUP(A154,Values!$A$140:$O$239,IF(ISBLANK(VLOOKUP(A154,Values!$A$140:$O$239,13,0)),10,13),0)</f>
        <v/>
      </c>
      <c r="O154" s="378"/>
      <c r="P154" s="378"/>
      <c r="Q154" s="378"/>
      <c r="R154" s="378"/>
      <c r="S154" s="378"/>
      <c r="T154" s="378"/>
      <c r="U154" s="378"/>
      <c r="V154" s="378"/>
      <c r="W154" s="378"/>
      <c r="X154" s="378"/>
      <c r="Y154" s="378"/>
      <c r="Z154" s="378"/>
      <c r="AA154" s="378"/>
      <c r="AB154" s="23"/>
      <c r="AC154" s="302" t="str">
        <f>IFERROR(INDEX(Database_Charms,MATCH($N154,Database_Charms_Names,0),MATCH(AC$111,Database_Charms_Values,0)),"")</f>
        <v/>
      </c>
      <c r="AD154" s="302"/>
      <c r="AE154" s="302"/>
      <c r="AF154" s="302"/>
      <c r="AG154" s="302"/>
      <c r="AH154" s="125"/>
      <c r="AI154" s="302" t="str">
        <f>IFERROR(INDEX(Database_Charms,MATCH($N154,Database_Charms_Names,0),MATCH(AI$111,Database_Charms_Values,0)),"")</f>
        <v/>
      </c>
      <c r="AJ154" s="302"/>
      <c r="AK154" s="302"/>
      <c r="AL154" s="302"/>
      <c r="AM154" s="125"/>
      <c r="AN154" s="302" t="str">
        <f>IFERROR(INDEX(Database_Charms,MATCH($N154,Database_Charms_Names,0),MATCH(AN$111,Database_Charms_Values,0)),"")</f>
        <v/>
      </c>
      <c r="AO154" s="302"/>
      <c r="AP154" s="302"/>
      <c r="AQ154" s="302"/>
      <c r="AR154" s="302"/>
      <c r="AS154" s="125"/>
      <c r="AT154" s="302" t="str">
        <f>IFERROR(INDEX(Database_Charms,MATCH($N154,Database_Charms_Names,0),MATCH(AT$111,Database_Charms_Values,0)),"")</f>
        <v/>
      </c>
      <c r="AU154" s="302"/>
      <c r="AV154" s="125"/>
      <c r="AW154" s="302" t="str">
        <f>IFERROR(INDEX(Database_Charms,MATCH($N154,Database_Charms_Names,0),MATCH(AW$111,Database_Charms_Values,0)),"")</f>
        <v/>
      </c>
      <c r="AX154" s="302"/>
      <c r="AY154" s="302"/>
      <c r="AZ154" s="5"/>
      <c r="BA154" s="5"/>
      <c r="BB154" s="5"/>
      <c r="BC154" s="5"/>
      <c r="BD154" s="5"/>
      <c r="BE154" s="5"/>
      <c r="BF154" s="5"/>
      <c r="BG154" s="5"/>
      <c r="BH154" s="5"/>
      <c r="BI154" s="5"/>
      <c r="BJ154" s="5"/>
      <c r="BK154" s="5"/>
      <c r="BL154" s="5"/>
      <c r="BM154" s="5"/>
      <c r="BN154" s="5"/>
      <c r="BO154" s="5"/>
      <c r="BP154" s="5"/>
      <c r="BQ154" s="5"/>
      <c r="BR154" s="5"/>
      <c r="BS154" s="5"/>
      <c r="BT154" s="5"/>
      <c r="BU154" s="5"/>
      <c r="BV154" s="5"/>
      <c r="BW154" s="5"/>
      <c r="BX154" s="5"/>
    </row>
    <row r="155" spans="1:76" ht="39.950000000000003" customHeight="1">
      <c r="A155" s="483"/>
      <c r="B155" s="374" t="str">
        <f>IF(VLOOKUP(A154,Values!$A$140:$T$239,14,0)="",IF(VLOOKUP(A154,Values!$A$140:$T$239,11,0)="",IFERROR(INDEX(Database_Charms,MATCH($N154,Database_Charms_Names,0),MATCH(Charms!$S$1,Database_Charms_Values,0)),""),VLOOKUP(A154,Values!$A$140:$T$239,11,0)),VLOOKUP(A154,Values!$A$140:$T$239,14,0))</f>
        <v/>
      </c>
      <c r="C155" s="374"/>
      <c r="D155" s="374"/>
      <c r="E155" s="374"/>
      <c r="F155" s="374"/>
      <c r="G155" s="374"/>
      <c r="H155" s="374"/>
      <c r="I155" s="374"/>
      <c r="J155" s="374"/>
      <c r="K155" s="374"/>
      <c r="L155" s="374"/>
      <c r="M155" s="374"/>
      <c r="N155" s="374"/>
      <c r="O155" s="374"/>
      <c r="P155" s="374"/>
      <c r="Q155" s="374"/>
      <c r="R155" s="374"/>
      <c r="S155" s="374"/>
      <c r="T155" s="374"/>
      <c r="U155" s="374"/>
      <c r="V155" s="374"/>
      <c r="W155" s="374"/>
      <c r="X155" s="374"/>
      <c r="Y155" s="374"/>
      <c r="Z155" s="374"/>
      <c r="AA155" s="374"/>
      <c r="AB155" s="374"/>
      <c r="AC155" s="374"/>
      <c r="AD155" s="374"/>
      <c r="AE155" s="374"/>
      <c r="AF155" s="374"/>
      <c r="AG155" s="374"/>
      <c r="AH155" s="374"/>
      <c r="AI155" s="374"/>
      <c r="AJ155" s="374"/>
      <c r="AK155" s="374"/>
      <c r="AL155" s="374"/>
      <c r="AM155" s="374"/>
      <c r="AN155" s="374"/>
      <c r="AO155" s="374"/>
      <c r="AP155" s="374"/>
      <c r="AQ155" s="374"/>
      <c r="AR155" s="374"/>
      <c r="AS155" s="374"/>
      <c r="AT155" s="374"/>
      <c r="AU155" s="374"/>
      <c r="AV155" s="374"/>
      <c r="AW155" s="374"/>
      <c r="AX155" s="374"/>
      <c r="AY155" s="374"/>
      <c r="AZ155" s="5"/>
      <c r="BA155" s="5"/>
      <c r="BB155" s="5"/>
      <c r="BC155" s="5"/>
      <c r="BD155" s="5"/>
      <c r="BE155" s="5"/>
      <c r="BF155" s="5"/>
      <c r="BG155" s="5"/>
      <c r="BH155" s="5"/>
      <c r="BI155" s="5"/>
      <c r="BJ155" s="5"/>
      <c r="BK155" s="5"/>
      <c r="BL155" s="5"/>
      <c r="BM155" s="5"/>
      <c r="BN155" s="5"/>
      <c r="BO155" s="5"/>
      <c r="BP155" s="5"/>
      <c r="BQ155" s="5"/>
      <c r="BR155" s="5"/>
      <c r="BS155" s="5"/>
      <c r="BT155" s="5"/>
      <c r="BU155" s="5"/>
      <c r="BV155" s="5"/>
      <c r="BW155" s="5"/>
      <c r="BX155" s="5"/>
    </row>
    <row r="156" spans="1:76" ht="20.100000000000001" customHeight="1">
      <c r="A156" s="377">
        <v>23</v>
      </c>
      <c r="B156" s="378" t="str">
        <f>IFERROR(INDEX(Database_Charms,MATCH($N156,Database_Charms_Names,0),MATCH(B$111,Database_Charms_Values,0)),"")</f>
        <v/>
      </c>
      <c r="C156" s="378"/>
      <c r="D156" s="378"/>
      <c r="E156" s="378"/>
      <c r="F156" s="378"/>
      <c r="G156" s="33"/>
      <c r="H156" s="378" t="str">
        <f>IFERROR(INDEX(Database_Charms,MATCH($N156,Database_Charms_Names,0),MATCH("Ability_Subtype",Database_Charms_Values,0)),"")</f>
        <v/>
      </c>
      <c r="I156" s="378"/>
      <c r="J156" s="378"/>
      <c r="K156" s="378"/>
      <c r="L156" s="378"/>
      <c r="M156" s="23"/>
      <c r="N156" s="378" t="str">
        <f>VLOOKUP(A156,Values!$A$140:$O$239,IF(ISBLANK(VLOOKUP(A156,Values!$A$140:$O$239,13,0)),10,13),0)</f>
        <v/>
      </c>
      <c r="O156" s="378"/>
      <c r="P156" s="378"/>
      <c r="Q156" s="378"/>
      <c r="R156" s="378"/>
      <c r="S156" s="378"/>
      <c r="T156" s="378"/>
      <c r="U156" s="378"/>
      <c r="V156" s="378"/>
      <c r="W156" s="378"/>
      <c r="X156" s="378"/>
      <c r="Y156" s="378"/>
      <c r="Z156" s="378"/>
      <c r="AA156" s="378"/>
      <c r="AB156" s="23"/>
      <c r="AC156" s="302" t="str">
        <f>IFERROR(INDEX(Database_Charms,MATCH($N156,Database_Charms_Names,0),MATCH(AC$111,Database_Charms_Values,0)),"")</f>
        <v/>
      </c>
      <c r="AD156" s="302"/>
      <c r="AE156" s="302"/>
      <c r="AF156" s="302"/>
      <c r="AG156" s="302"/>
      <c r="AH156" s="125"/>
      <c r="AI156" s="302" t="str">
        <f>IFERROR(INDEX(Database_Charms,MATCH($N156,Database_Charms_Names,0),MATCH(AI$111,Database_Charms_Values,0)),"")</f>
        <v/>
      </c>
      <c r="AJ156" s="302"/>
      <c r="AK156" s="302"/>
      <c r="AL156" s="302"/>
      <c r="AM156" s="125"/>
      <c r="AN156" s="302" t="str">
        <f>IFERROR(INDEX(Database_Charms,MATCH($N156,Database_Charms_Names,0),MATCH(AN$111,Database_Charms_Values,0)),"")</f>
        <v/>
      </c>
      <c r="AO156" s="302"/>
      <c r="AP156" s="302"/>
      <c r="AQ156" s="302"/>
      <c r="AR156" s="302"/>
      <c r="AS156" s="125"/>
      <c r="AT156" s="302" t="str">
        <f>IFERROR(INDEX(Database_Charms,MATCH($N156,Database_Charms_Names,0),MATCH(AT$111,Database_Charms_Values,0)),"")</f>
        <v/>
      </c>
      <c r="AU156" s="302"/>
      <c r="AV156" s="125"/>
      <c r="AW156" s="302" t="str">
        <f>IFERROR(INDEX(Database_Charms,MATCH($N156,Database_Charms_Names,0),MATCH(AW$111,Database_Charms_Values,0)),"")</f>
        <v/>
      </c>
      <c r="AX156" s="302"/>
      <c r="AY156" s="302"/>
      <c r="AZ156" s="5"/>
      <c r="BA156" s="5"/>
      <c r="BB156" s="5"/>
      <c r="BC156" s="5"/>
      <c r="BD156" s="5"/>
      <c r="BE156" s="5"/>
      <c r="BF156" s="5"/>
      <c r="BG156" s="5"/>
      <c r="BH156" s="5"/>
      <c r="BI156" s="5"/>
      <c r="BJ156" s="5"/>
      <c r="BK156" s="5"/>
      <c r="BL156" s="5"/>
      <c r="BM156" s="5"/>
      <c r="BN156" s="5"/>
      <c r="BO156" s="5"/>
      <c r="BP156" s="5"/>
      <c r="BQ156" s="5"/>
      <c r="BR156" s="5"/>
      <c r="BS156" s="5"/>
      <c r="BT156" s="5"/>
      <c r="BU156" s="5"/>
      <c r="BV156" s="5"/>
      <c r="BW156" s="5"/>
      <c r="BX156" s="5"/>
    </row>
    <row r="157" spans="1:76" ht="39.950000000000003" customHeight="1">
      <c r="A157" s="377"/>
      <c r="B157" s="374" t="str">
        <f>IF(VLOOKUP(A156,Values!$A$140:$T$239,14,0)="",IF(VLOOKUP(A156,Values!$A$140:$T$239,11,0)="",IFERROR(INDEX(Database_Charms,MATCH($N156,Database_Charms_Names,0),MATCH(Charms!$S$1,Database_Charms_Values,0)),""),VLOOKUP(A156,Values!$A$140:$T$239,11,0)),VLOOKUP(A156,Values!$A$140:$T$239,14,0))</f>
        <v/>
      </c>
      <c r="C157" s="374"/>
      <c r="D157" s="374"/>
      <c r="E157" s="374"/>
      <c r="F157" s="374"/>
      <c r="G157" s="374"/>
      <c r="H157" s="374"/>
      <c r="I157" s="374"/>
      <c r="J157" s="374"/>
      <c r="K157" s="374"/>
      <c r="L157" s="374"/>
      <c r="M157" s="374"/>
      <c r="N157" s="374"/>
      <c r="O157" s="374"/>
      <c r="P157" s="374"/>
      <c r="Q157" s="374"/>
      <c r="R157" s="374"/>
      <c r="S157" s="374"/>
      <c r="T157" s="374"/>
      <c r="U157" s="374"/>
      <c r="V157" s="374"/>
      <c r="W157" s="374"/>
      <c r="X157" s="374"/>
      <c r="Y157" s="374"/>
      <c r="Z157" s="374"/>
      <c r="AA157" s="374"/>
      <c r="AB157" s="374"/>
      <c r="AC157" s="374"/>
      <c r="AD157" s="374"/>
      <c r="AE157" s="374"/>
      <c r="AF157" s="374"/>
      <c r="AG157" s="374"/>
      <c r="AH157" s="374"/>
      <c r="AI157" s="374"/>
      <c r="AJ157" s="374"/>
      <c r="AK157" s="374"/>
      <c r="AL157" s="374"/>
      <c r="AM157" s="374"/>
      <c r="AN157" s="374"/>
      <c r="AO157" s="374"/>
      <c r="AP157" s="374"/>
      <c r="AQ157" s="374"/>
      <c r="AR157" s="374"/>
      <c r="AS157" s="374"/>
      <c r="AT157" s="374"/>
      <c r="AU157" s="374"/>
      <c r="AV157" s="374"/>
      <c r="AW157" s="374"/>
      <c r="AX157" s="374"/>
      <c r="AY157" s="374"/>
      <c r="AZ157" s="5"/>
      <c r="BA157" s="5"/>
      <c r="BB157" s="5"/>
      <c r="BC157" s="5"/>
      <c r="BD157" s="5"/>
      <c r="BE157" s="5"/>
      <c r="BF157" s="5"/>
      <c r="BG157" s="5"/>
      <c r="BH157" s="5"/>
      <c r="BI157" s="5"/>
      <c r="BJ157" s="5"/>
      <c r="BK157" s="5"/>
      <c r="BL157" s="5"/>
      <c r="BM157" s="5"/>
      <c r="BN157" s="5"/>
      <c r="BO157" s="5"/>
      <c r="BP157" s="5"/>
      <c r="BQ157" s="5"/>
      <c r="BR157" s="5"/>
      <c r="BS157" s="5"/>
      <c r="BT157" s="5"/>
      <c r="BU157" s="5"/>
      <c r="BV157" s="5"/>
      <c r="BW157" s="5"/>
      <c r="BX157" s="5"/>
    </row>
    <row r="158" spans="1:76" ht="20.100000000000001" customHeight="1">
      <c r="A158" s="376">
        <v>24</v>
      </c>
      <c r="B158" s="378" t="str">
        <f>IFERROR(INDEX(Database_Charms,MATCH($N158,Database_Charms_Names,0),MATCH(B$111,Database_Charms_Values,0)),"")</f>
        <v/>
      </c>
      <c r="C158" s="378"/>
      <c r="D158" s="378"/>
      <c r="E158" s="378"/>
      <c r="F158" s="378"/>
      <c r="G158" s="33"/>
      <c r="H158" s="378" t="str">
        <f>IFERROR(INDEX(Database_Charms,MATCH($N158,Database_Charms_Names,0),MATCH("Ability_Subtype",Database_Charms_Values,0)),"")</f>
        <v/>
      </c>
      <c r="I158" s="378"/>
      <c r="J158" s="378"/>
      <c r="K158" s="378"/>
      <c r="L158" s="378"/>
      <c r="M158" s="23"/>
      <c r="N158" s="378" t="str">
        <f>VLOOKUP(A158,Values!$A$140:$O$239,IF(ISBLANK(VLOOKUP(A158,Values!$A$140:$O$239,13,0)),10,13),0)</f>
        <v/>
      </c>
      <c r="O158" s="378"/>
      <c r="P158" s="378"/>
      <c r="Q158" s="378"/>
      <c r="R158" s="378"/>
      <c r="S158" s="378"/>
      <c r="T158" s="378"/>
      <c r="U158" s="378"/>
      <c r="V158" s="378"/>
      <c r="W158" s="378"/>
      <c r="X158" s="378"/>
      <c r="Y158" s="378"/>
      <c r="Z158" s="378"/>
      <c r="AA158" s="378"/>
      <c r="AB158" s="23"/>
      <c r="AC158" s="302" t="str">
        <f>IFERROR(INDEX(Database_Charms,MATCH($N158,Database_Charms_Names,0),MATCH(AC$111,Database_Charms_Values,0)),"")</f>
        <v/>
      </c>
      <c r="AD158" s="302"/>
      <c r="AE158" s="302"/>
      <c r="AF158" s="302"/>
      <c r="AG158" s="302"/>
      <c r="AH158" s="125"/>
      <c r="AI158" s="302" t="str">
        <f>IFERROR(INDEX(Database_Charms,MATCH($N158,Database_Charms_Names,0),MATCH(AI$111,Database_Charms_Values,0)),"")</f>
        <v/>
      </c>
      <c r="AJ158" s="302"/>
      <c r="AK158" s="302"/>
      <c r="AL158" s="302"/>
      <c r="AM158" s="125"/>
      <c r="AN158" s="302" t="str">
        <f>IFERROR(INDEX(Database_Charms,MATCH($N158,Database_Charms_Names,0),MATCH(AN$111,Database_Charms_Values,0)),"")</f>
        <v/>
      </c>
      <c r="AO158" s="302"/>
      <c r="AP158" s="302"/>
      <c r="AQ158" s="302"/>
      <c r="AR158" s="302"/>
      <c r="AS158" s="125"/>
      <c r="AT158" s="302" t="str">
        <f>IFERROR(INDEX(Database_Charms,MATCH($N158,Database_Charms_Names,0),MATCH(AT$111,Database_Charms_Values,0)),"")</f>
        <v/>
      </c>
      <c r="AU158" s="302"/>
      <c r="AV158" s="125"/>
      <c r="AW158" s="302" t="str">
        <f>IFERROR(INDEX(Database_Charms,MATCH($N158,Database_Charms_Names,0),MATCH(AW$111,Database_Charms_Values,0)),"")</f>
        <v/>
      </c>
      <c r="AX158" s="302"/>
      <c r="AY158" s="302"/>
      <c r="AZ158" s="5"/>
      <c r="BA158" s="5"/>
      <c r="BB158" s="5"/>
      <c r="BC158" s="5"/>
      <c r="BD158" s="5"/>
      <c r="BE158" s="5"/>
      <c r="BF158" s="5"/>
      <c r="BG158" s="5"/>
      <c r="BH158" s="5"/>
      <c r="BI158" s="5"/>
      <c r="BJ158" s="5"/>
      <c r="BK158" s="5"/>
      <c r="BL158" s="5"/>
      <c r="BM158" s="5"/>
      <c r="BN158" s="5"/>
      <c r="BO158" s="5"/>
      <c r="BP158" s="5"/>
      <c r="BQ158" s="5"/>
      <c r="BR158" s="5"/>
      <c r="BS158" s="5"/>
      <c r="BT158" s="5"/>
      <c r="BU158" s="5"/>
      <c r="BV158" s="5"/>
      <c r="BW158" s="5"/>
      <c r="BX158" s="5"/>
    </row>
    <row r="159" spans="1:76" ht="39.950000000000003" customHeight="1">
      <c r="A159" s="377"/>
      <c r="B159" s="374" t="str">
        <f>IF(VLOOKUP(A158,Values!$A$140:$T$239,14,0)="",IF(VLOOKUP(A158,Values!$A$140:$T$239,11,0)="",IFERROR(INDEX(Database_Charms,MATCH($N158,Database_Charms_Names,0),MATCH(Charms!$S$1,Database_Charms_Values,0)),""),VLOOKUP(A158,Values!$A$140:$T$239,11,0)),VLOOKUP(A158,Values!$A$140:$T$239,14,0))</f>
        <v/>
      </c>
      <c r="C159" s="374"/>
      <c r="D159" s="374"/>
      <c r="E159" s="374"/>
      <c r="F159" s="374"/>
      <c r="G159" s="374"/>
      <c r="H159" s="374"/>
      <c r="I159" s="374"/>
      <c r="J159" s="374"/>
      <c r="K159" s="374"/>
      <c r="L159" s="374"/>
      <c r="M159" s="374"/>
      <c r="N159" s="374"/>
      <c r="O159" s="374"/>
      <c r="P159" s="374"/>
      <c r="Q159" s="374"/>
      <c r="R159" s="374"/>
      <c r="S159" s="374"/>
      <c r="T159" s="374"/>
      <c r="U159" s="374"/>
      <c r="V159" s="374"/>
      <c r="W159" s="374"/>
      <c r="X159" s="374"/>
      <c r="Y159" s="374"/>
      <c r="Z159" s="374"/>
      <c r="AA159" s="374"/>
      <c r="AB159" s="374"/>
      <c r="AC159" s="374"/>
      <c r="AD159" s="374"/>
      <c r="AE159" s="374"/>
      <c r="AF159" s="374"/>
      <c r="AG159" s="374"/>
      <c r="AH159" s="374"/>
      <c r="AI159" s="374"/>
      <c r="AJ159" s="374"/>
      <c r="AK159" s="374"/>
      <c r="AL159" s="374"/>
      <c r="AM159" s="374"/>
      <c r="AN159" s="374"/>
      <c r="AO159" s="374"/>
      <c r="AP159" s="374"/>
      <c r="AQ159" s="374"/>
      <c r="AR159" s="374"/>
      <c r="AS159" s="374"/>
      <c r="AT159" s="374"/>
      <c r="AU159" s="374"/>
      <c r="AV159" s="374"/>
      <c r="AW159" s="374"/>
      <c r="AX159" s="374"/>
      <c r="AY159" s="374"/>
      <c r="AZ159" s="5"/>
      <c r="BA159" s="41" t="s">
        <v>3262</v>
      </c>
      <c r="BB159" s="5"/>
      <c r="BC159" s="5"/>
      <c r="BD159" s="5"/>
      <c r="BE159" s="5"/>
      <c r="BF159" s="5"/>
      <c r="BG159" s="5"/>
      <c r="BH159" s="5"/>
      <c r="BI159" s="5"/>
      <c r="BJ159" s="5"/>
      <c r="BK159" s="5"/>
      <c r="BL159" s="5"/>
      <c r="BM159" s="5"/>
      <c r="BN159" s="5"/>
      <c r="BO159" s="5"/>
      <c r="BP159" s="5"/>
      <c r="BQ159" s="5"/>
      <c r="BR159" s="5"/>
      <c r="BS159" s="5"/>
      <c r="BT159" s="5"/>
      <c r="BU159" s="5"/>
      <c r="BV159" s="5"/>
      <c r="BW159" s="5"/>
      <c r="BX159" s="5"/>
    </row>
    <row r="160" spans="1:76" ht="20.100000000000001" customHeight="1">
      <c r="A160" s="376">
        <v>25</v>
      </c>
      <c r="B160" s="378" t="str">
        <f>IFERROR(INDEX(Database_Charms,MATCH($N160,Database_Charms_Names,0),MATCH(B$111,Database_Charms_Values,0)),"")</f>
        <v/>
      </c>
      <c r="C160" s="378"/>
      <c r="D160" s="378"/>
      <c r="E160" s="378"/>
      <c r="F160" s="378"/>
      <c r="G160" s="33"/>
      <c r="H160" s="378" t="str">
        <f>IFERROR(INDEX(Database_Charms,MATCH($N160,Database_Charms_Names,0),MATCH("Ability_Subtype",Database_Charms_Values,0)),"")</f>
        <v/>
      </c>
      <c r="I160" s="378"/>
      <c r="J160" s="378"/>
      <c r="K160" s="378"/>
      <c r="L160" s="378"/>
      <c r="M160" s="23"/>
      <c r="N160" s="378" t="str">
        <f>VLOOKUP(A160,Values!$A$140:$O$239,IF(ISBLANK(VLOOKUP(A160,Values!$A$140:$O$239,13,0)),10,13),0)</f>
        <v/>
      </c>
      <c r="O160" s="378"/>
      <c r="P160" s="378"/>
      <c r="Q160" s="378"/>
      <c r="R160" s="378"/>
      <c r="S160" s="378"/>
      <c r="T160" s="378"/>
      <c r="U160" s="378"/>
      <c r="V160" s="378"/>
      <c r="W160" s="378"/>
      <c r="X160" s="378"/>
      <c r="Y160" s="378"/>
      <c r="Z160" s="378"/>
      <c r="AA160" s="378"/>
      <c r="AB160" s="23"/>
      <c r="AC160" s="302" t="str">
        <f>IFERROR(INDEX(Database_Charms,MATCH($N160,Database_Charms_Names,0),MATCH(AC$111,Database_Charms_Values,0)),"")</f>
        <v/>
      </c>
      <c r="AD160" s="302"/>
      <c r="AE160" s="302"/>
      <c r="AF160" s="302"/>
      <c r="AG160" s="302"/>
      <c r="AH160" s="125"/>
      <c r="AI160" s="302" t="str">
        <f>IFERROR(INDEX(Database_Charms,MATCH($N160,Database_Charms_Names,0),MATCH(AI$111,Database_Charms_Values,0)),"")</f>
        <v/>
      </c>
      <c r="AJ160" s="302"/>
      <c r="AK160" s="302"/>
      <c r="AL160" s="302"/>
      <c r="AM160" s="125"/>
      <c r="AN160" s="302" t="str">
        <f>IFERROR(INDEX(Database_Charms,MATCH($N160,Database_Charms_Names,0),MATCH(AN$111,Database_Charms_Values,0)),"")</f>
        <v/>
      </c>
      <c r="AO160" s="302"/>
      <c r="AP160" s="302"/>
      <c r="AQ160" s="302"/>
      <c r="AR160" s="302"/>
      <c r="AS160" s="125"/>
      <c r="AT160" s="302" t="str">
        <f>IFERROR(INDEX(Database_Charms,MATCH($N160,Database_Charms_Names,0),MATCH(AT$111,Database_Charms_Values,0)),"")</f>
        <v/>
      </c>
      <c r="AU160" s="302"/>
      <c r="AV160" s="125"/>
      <c r="AW160" s="302" t="str">
        <f>IFERROR(INDEX(Database_Charms,MATCH($N160,Database_Charms_Names,0),MATCH(AW$111,Database_Charms_Values,0)),"")</f>
        <v/>
      </c>
      <c r="AX160" s="302"/>
      <c r="AY160" s="302"/>
      <c r="AZ160" s="5"/>
      <c r="BA160" s="472">
        <f>Values!$AB$3</f>
        <v>0</v>
      </c>
      <c r="BB160" s="472"/>
      <c r="BC160" s="5"/>
      <c r="BD160" s="5"/>
      <c r="BE160" s="5"/>
      <c r="BF160" s="5"/>
      <c r="BG160" s="5"/>
      <c r="BH160" s="5"/>
      <c r="BI160" s="5"/>
      <c r="BJ160" s="5"/>
      <c r="BK160" s="5"/>
      <c r="BL160" s="5"/>
      <c r="BM160" s="5"/>
      <c r="BN160" s="5"/>
      <c r="BO160" s="5"/>
      <c r="BP160" s="5"/>
      <c r="BQ160" s="5"/>
      <c r="BR160" s="5"/>
      <c r="BS160" s="5"/>
      <c r="BT160" s="5"/>
      <c r="BU160" s="5"/>
      <c r="BV160" s="5"/>
      <c r="BW160" s="5"/>
      <c r="BX160" s="5"/>
    </row>
    <row r="161" spans="1:76" ht="39.950000000000003" customHeight="1">
      <c r="A161" s="377"/>
      <c r="B161" s="374" t="str">
        <f>IF(VLOOKUP(A160,Values!$A$140:$T$239,14,0)="",IF(VLOOKUP(A160,Values!$A$140:$T$239,11,0)="",IFERROR(INDEX(Database_Charms,MATCH($N160,Database_Charms_Names,0),MATCH(Charms!$S$1,Database_Charms_Values,0)),""),VLOOKUP(A160,Values!$A$140:$T$239,11,0)),VLOOKUP(A160,Values!$A$140:$T$239,14,0))</f>
        <v/>
      </c>
      <c r="C161" s="374"/>
      <c r="D161" s="374"/>
      <c r="E161" s="374"/>
      <c r="F161" s="374"/>
      <c r="G161" s="374"/>
      <c r="H161" s="374"/>
      <c r="I161" s="374"/>
      <c r="J161" s="374"/>
      <c r="K161" s="374"/>
      <c r="L161" s="374"/>
      <c r="M161" s="374"/>
      <c r="N161" s="374"/>
      <c r="O161" s="374"/>
      <c r="P161" s="374"/>
      <c r="Q161" s="374"/>
      <c r="R161" s="374"/>
      <c r="S161" s="374"/>
      <c r="T161" s="374"/>
      <c r="U161" s="374"/>
      <c r="V161" s="374"/>
      <c r="W161" s="374"/>
      <c r="X161" s="374"/>
      <c r="Y161" s="374"/>
      <c r="Z161" s="374"/>
      <c r="AA161" s="374"/>
      <c r="AB161" s="374"/>
      <c r="AC161" s="374"/>
      <c r="AD161" s="374"/>
      <c r="AE161" s="374"/>
      <c r="AF161" s="374"/>
      <c r="AG161" s="374"/>
      <c r="AH161" s="374"/>
      <c r="AI161" s="374"/>
      <c r="AJ161" s="374"/>
      <c r="AK161" s="374"/>
      <c r="AL161" s="374"/>
      <c r="AM161" s="374"/>
      <c r="AN161" s="374"/>
      <c r="AO161" s="374"/>
      <c r="AP161" s="374"/>
      <c r="AQ161" s="374"/>
      <c r="AR161" s="374"/>
      <c r="AS161" s="374"/>
      <c r="AT161" s="374"/>
      <c r="AU161" s="374"/>
      <c r="AV161" s="374"/>
      <c r="AW161" s="374"/>
      <c r="AX161" s="374"/>
      <c r="AY161" s="374"/>
      <c r="AZ161" s="5"/>
      <c r="BA161" s="5"/>
      <c r="BB161" s="5"/>
      <c r="BC161" s="5"/>
      <c r="BD161" s="5"/>
      <c r="BE161" s="5"/>
      <c r="BF161" s="5"/>
      <c r="BG161" s="5"/>
      <c r="BH161" s="5"/>
      <c r="BI161" s="5"/>
      <c r="BJ161" s="5"/>
      <c r="BK161" s="5"/>
      <c r="BL161" s="5"/>
      <c r="BM161" s="5"/>
      <c r="BN161" s="5"/>
      <c r="BO161" s="5"/>
      <c r="BP161" s="5"/>
      <c r="BQ161" s="5"/>
      <c r="BR161" s="5"/>
      <c r="BS161" s="5"/>
      <c r="BT161" s="5"/>
      <c r="BU161" s="5"/>
      <c r="BV161" s="5"/>
      <c r="BW161" s="5"/>
      <c r="BX161" s="5"/>
    </row>
    <row r="162" spans="1:76" ht="20.100000000000001" customHeight="1">
      <c r="A162" s="376">
        <v>26</v>
      </c>
      <c r="B162" s="378" t="str">
        <f>IFERROR(INDEX(Database_Charms,MATCH($N162,Database_Charms_Names,0),MATCH(B$111,Database_Charms_Values,0)),"")</f>
        <v/>
      </c>
      <c r="C162" s="378"/>
      <c r="D162" s="378"/>
      <c r="E162" s="378"/>
      <c r="F162" s="378"/>
      <c r="G162" s="33"/>
      <c r="H162" s="378" t="str">
        <f>IFERROR(INDEX(Database_Charms,MATCH($N162,Database_Charms_Names,0),MATCH("Ability_Subtype",Database_Charms_Values,0)),"")</f>
        <v/>
      </c>
      <c r="I162" s="378"/>
      <c r="J162" s="378"/>
      <c r="K162" s="378"/>
      <c r="L162" s="378"/>
      <c r="M162" s="23"/>
      <c r="N162" s="378" t="str">
        <f>VLOOKUP(A162,Values!$A$140:$O$239,IF(ISBLANK(VLOOKUP(A162,Values!$A$140:$O$239,13,0)),10,13),0)</f>
        <v/>
      </c>
      <c r="O162" s="378"/>
      <c r="P162" s="378"/>
      <c r="Q162" s="378"/>
      <c r="R162" s="378"/>
      <c r="S162" s="378"/>
      <c r="T162" s="378"/>
      <c r="U162" s="378"/>
      <c r="V162" s="378"/>
      <c r="W162" s="378"/>
      <c r="X162" s="378"/>
      <c r="Y162" s="378"/>
      <c r="Z162" s="378"/>
      <c r="AA162" s="378"/>
      <c r="AB162" s="23"/>
      <c r="AC162" s="302" t="str">
        <f>IFERROR(INDEX(Database_Charms,MATCH($N162,Database_Charms_Names,0),MATCH(AC$111,Database_Charms_Values,0)),"")</f>
        <v/>
      </c>
      <c r="AD162" s="302"/>
      <c r="AE162" s="302"/>
      <c r="AF162" s="302"/>
      <c r="AG162" s="302"/>
      <c r="AH162" s="125"/>
      <c r="AI162" s="302" t="str">
        <f>IFERROR(INDEX(Database_Charms,MATCH($N162,Database_Charms_Names,0),MATCH(AI$111,Database_Charms_Values,0)),"")</f>
        <v/>
      </c>
      <c r="AJ162" s="302"/>
      <c r="AK162" s="302"/>
      <c r="AL162" s="302"/>
      <c r="AM162" s="125"/>
      <c r="AN162" s="302" t="str">
        <f>IFERROR(INDEX(Database_Charms,MATCH($N162,Database_Charms_Names,0),MATCH(AN$111,Database_Charms_Values,0)),"")</f>
        <v/>
      </c>
      <c r="AO162" s="302"/>
      <c r="AP162" s="302"/>
      <c r="AQ162" s="302"/>
      <c r="AR162" s="302"/>
      <c r="AS162" s="125"/>
      <c r="AT162" s="302" t="str">
        <f>IFERROR(INDEX(Database_Charms,MATCH($N162,Database_Charms_Names,0),MATCH(AT$111,Database_Charms_Values,0)),"")</f>
        <v/>
      </c>
      <c r="AU162" s="302"/>
      <c r="AV162" s="125"/>
      <c r="AW162" s="302" t="str">
        <f>IFERROR(INDEX(Database_Charms,MATCH($N162,Database_Charms_Names,0),MATCH(AW$111,Database_Charms_Values,0)),"")</f>
        <v/>
      </c>
      <c r="AX162" s="302"/>
      <c r="AY162" s="302"/>
      <c r="AZ162" s="5"/>
      <c r="BA162" s="5"/>
      <c r="BB162" s="5"/>
      <c r="BC162" s="5"/>
      <c r="BD162" s="5"/>
      <c r="BE162" s="5"/>
      <c r="BF162" s="5"/>
      <c r="BG162" s="5"/>
      <c r="BH162" s="5"/>
      <c r="BI162" s="5"/>
      <c r="BJ162" s="5"/>
      <c r="BK162" s="5"/>
      <c r="BL162" s="5"/>
      <c r="BM162" s="5"/>
      <c r="BN162" s="5"/>
      <c r="BO162" s="5"/>
      <c r="BP162" s="5"/>
      <c r="BQ162" s="5"/>
      <c r="BR162" s="5"/>
      <c r="BS162" s="5"/>
      <c r="BT162" s="5"/>
      <c r="BU162" s="5"/>
      <c r="BV162" s="5"/>
      <c r="BW162" s="5"/>
      <c r="BX162" s="5"/>
    </row>
    <row r="163" spans="1:76" ht="39.950000000000003" customHeight="1">
      <c r="A163" s="377"/>
      <c r="B163" s="374" t="str">
        <f>IF(VLOOKUP(A162,Values!$A$140:$T$239,14,0)="",IF(VLOOKUP(A162,Values!$A$140:$T$239,11,0)="",IFERROR(INDEX(Database_Charms,MATCH($N162,Database_Charms_Names,0),MATCH(Charms!$S$1,Database_Charms_Values,0)),""),VLOOKUP(A162,Values!$A$140:$T$239,11,0)),VLOOKUP(A162,Values!$A$140:$T$239,14,0))</f>
        <v/>
      </c>
      <c r="C163" s="374"/>
      <c r="D163" s="374"/>
      <c r="E163" s="374"/>
      <c r="F163" s="374"/>
      <c r="G163" s="374"/>
      <c r="H163" s="374"/>
      <c r="I163" s="374"/>
      <c r="J163" s="374"/>
      <c r="K163" s="374"/>
      <c r="L163" s="374"/>
      <c r="M163" s="374"/>
      <c r="N163" s="374"/>
      <c r="O163" s="374"/>
      <c r="P163" s="374"/>
      <c r="Q163" s="374"/>
      <c r="R163" s="374"/>
      <c r="S163" s="374"/>
      <c r="T163" s="374"/>
      <c r="U163" s="374"/>
      <c r="V163" s="374"/>
      <c r="W163" s="374"/>
      <c r="X163" s="374"/>
      <c r="Y163" s="374"/>
      <c r="Z163" s="374"/>
      <c r="AA163" s="374"/>
      <c r="AB163" s="374"/>
      <c r="AC163" s="374"/>
      <c r="AD163" s="374"/>
      <c r="AE163" s="374"/>
      <c r="AF163" s="374"/>
      <c r="AG163" s="374"/>
      <c r="AH163" s="374"/>
      <c r="AI163" s="374"/>
      <c r="AJ163" s="374"/>
      <c r="AK163" s="374"/>
      <c r="AL163" s="374"/>
      <c r="AM163" s="374"/>
      <c r="AN163" s="374"/>
      <c r="AO163" s="374"/>
      <c r="AP163" s="374"/>
      <c r="AQ163" s="374"/>
      <c r="AR163" s="374"/>
      <c r="AS163" s="374"/>
      <c r="AT163" s="374"/>
      <c r="AU163" s="374"/>
      <c r="AV163" s="374"/>
      <c r="AW163" s="374"/>
      <c r="AX163" s="374"/>
      <c r="AY163" s="374"/>
      <c r="AZ163" s="5"/>
      <c r="BA163" s="5"/>
      <c r="BB163" s="5"/>
      <c r="BC163" s="5"/>
      <c r="BD163" s="5"/>
      <c r="BE163" s="5"/>
      <c r="BF163" s="5"/>
      <c r="BG163" s="5"/>
      <c r="BH163" s="5"/>
      <c r="BI163" s="5"/>
      <c r="BJ163" s="5"/>
      <c r="BK163" s="5"/>
      <c r="BL163" s="5"/>
      <c r="BM163" s="5"/>
      <c r="BN163" s="5"/>
      <c r="BO163" s="5"/>
      <c r="BP163" s="5"/>
      <c r="BQ163" s="5"/>
      <c r="BR163" s="5"/>
      <c r="BS163" s="5"/>
      <c r="BT163" s="5"/>
      <c r="BU163" s="5"/>
      <c r="BV163" s="5"/>
      <c r="BW163" s="5"/>
      <c r="BX163" s="5"/>
    </row>
    <row r="164" spans="1:76" ht="20.100000000000001" customHeight="1">
      <c r="A164" s="376">
        <v>27</v>
      </c>
      <c r="B164" s="378" t="str">
        <f>IFERROR(INDEX(Database_Charms,MATCH($N164,Database_Charms_Names,0),MATCH(B$111,Database_Charms_Values,0)),"")</f>
        <v/>
      </c>
      <c r="C164" s="378"/>
      <c r="D164" s="378"/>
      <c r="E164" s="378"/>
      <c r="F164" s="378"/>
      <c r="G164" s="33"/>
      <c r="H164" s="378" t="str">
        <f>IFERROR(INDEX(Database_Charms,MATCH($N164,Database_Charms_Names,0),MATCH("Ability_Subtype",Database_Charms_Values,0)),"")</f>
        <v/>
      </c>
      <c r="I164" s="378"/>
      <c r="J164" s="378"/>
      <c r="K164" s="378"/>
      <c r="L164" s="378"/>
      <c r="M164" s="23"/>
      <c r="N164" s="378" t="str">
        <f>VLOOKUP(A164,Values!$A$140:$O$239,IF(ISBLANK(VLOOKUP(A164,Values!$A$140:$O$239,13,0)),10,13),0)</f>
        <v/>
      </c>
      <c r="O164" s="378"/>
      <c r="P164" s="378"/>
      <c r="Q164" s="378"/>
      <c r="R164" s="378"/>
      <c r="S164" s="378"/>
      <c r="T164" s="378"/>
      <c r="U164" s="378"/>
      <c r="V164" s="378"/>
      <c r="W164" s="378"/>
      <c r="X164" s="378"/>
      <c r="Y164" s="378"/>
      <c r="Z164" s="378"/>
      <c r="AA164" s="378"/>
      <c r="AB164" s="23"/>
      <c r="AC164" s="302" t="str">
        <f>IFERROR(INDEX(Database_Charms,MATCH($N164,Database_Charms_Names,0),MATCH(AC$111,Database_Charms_Values,0)),"")</f>
        <v/>
      </c>
      <c r="AD164" s="302"/>
      <c r="AE164" s="302"/>
      <c r="AF164" s="302"/>
      <c r="AG164" s="302"/>
      <c r="AH164" s="125"/>
      <c r="AI164" s="302" t="str">
        <f>IFERROR(INDEX(Database_Charms,MATCH($N164,Database_Charms_Names,0),MATCH(AI$111,Database_Charms_Values,0)),"")</f>
        <v/>
      </c>
      <c r="AJ164" s="302"/>
      <c r="AK164" s="302"/>
      <c r="AL164" s="302"/>
      <c r="AM164" s="125"/>
      <c r="AN164" s="302" t="str">
        <f>IFERROR(INDEX(Database_Charms,MATCH($N164,Database_Charms_Names,0),MATCH(AN$111,Database_Charms_Values,0)),"")</f>
        <v/>
      </c>
      <c r="AO164" s="302"/>
      <c r="AP164" s="302"/>
      <c r="AQ164" s="302"/>
      <c r="AR164" s="302"/>
      <c r="AS164" s="125"/>
      <c r="AT164" s="302" t="str">
        <f>IFERROR(INDEX(Database_Charms,MATCH($N164,Database_Charms_Names,0),MATCH(AT$111,Database_Charms_Values,0)),"")</f>
        <v/>
      </c>
      <c r="AU164" s="302"/>
      <c r="AV164" s="125"/>
      <c r="AW164" s="302" t="str">
        <f>IFERROR(INDEX(Database_Charms,MATCH($N164,Database_Charms_Names,0),MATCH(AW$111,Database_Charms_Values,0)),"")</f>
        <v/>
      </c>
      <c r="AX164" s="302"/>
      <c r="AY164" s="302"/>
      <c r="AZ164" s="5"/>
      <c r="BA164" s="5"/>
      <c r="BB164" s="5"/>
      <c r="BC164" s="5"/>
      <c r="BD164" s="5"/>
      <c r="BE164" s="5"/>
      <c r="BF164" s="5"/>
      <c r="BG164" s="5"/>
      <c r="BH164" s="5"/>
      <c r="BI164" s="5"/>
      <c r="BJ164" s="5"/>
      <c r="BK164" s="5"/>
      <c r="BL164" s="5"/>
      <c r="BM164" s="5"/>
      <c r="BN164" s="5"/>
      <c r="BO164" s="5"/>
      <c r="BP164" s="5"/>
      <c r="BQ164" s="5"/>
      <c r="BR164" s="5"/>
      <c r="BS164" s="5"/>
      <c r="BT164" s="5"/>
      <c r="BU164" s="5"/>
      <c r="BV164" s="5"/>
      <c r="BW164" s="5"/>
      <c r="BX164" s="5"/>
    </row>
    <row r="165" spans="1:76" ht="39.950000000000003" customHeight="1">
      <c r="A165" s="377"/>
      <c r="B165" s="374" t="str">
        <f>IF(VLOOKUP(A164,Values!$A$140:$T$239,14,0)="",IF(VLOOKUP(A164,Values!$A$140:$T$239,11,0)="",IFERROR(INDEX(Database_Charms,MATCH($N164,Database_Charms_Names,0),MATCH(Charms!$S$1,Database_Charms_Values,0)),""),VLOOKUP(A164,Values!$A$140:$T$239,11,0)),VLOOKUP(A164,Values!$A$140:$T$239,14,0))</f>
        <v/>
      </c>
      <c r="C165" s="374"/>
      <c r="D165" s="374"/>
      <c r="E165" s="374"/>
      <c r="F165" s="374"/>
      <c r="G165" s="374"/>
      <c r="H165" s="374"/>
      <c r="I165" s="374"/>
      <c r="J165" s="374"/>
      <c r="K165" s="374"/>
      <c r="L165" s="374"/>
      <c r="M165" s="374"/>
      <c r="N165" s="374"/>
      <c r="O165" s="374"/>
      <c r="P165" s="374"/>
      <c r="Q165" s="374"/>
      <c r="R165" s="374"/>
      <c r="S165" s="374"/>
      <c r="T165" s="374"/>
      <c r="U165" s="374"/>
      <c r="V165" s="374"/>
      <c r="W165" s="374"/>
      <c r="X165" s="374"/>
      <c r="Y165" s="374"/>
      <c r="Z165" s="374"/>
      <c r="AA165" s="374"/>
      <c r="AB165" s="374"/>
      <c r="AC165" s="374"/>
      <c r="AD165" s="374"/>
      <c r="AE165" s="374"/>
      <c r="AF165" s="374"/>
      <c r="AG165" s="374"/>
      <c r="AH165" s="374"/>
      <c r="AI165" s="374"/>
      <c r="AJ165" s="374"/>
      <c r="AK165" s="374"/>
      <c r="AL165" s="374"/>
      <c r="AM165" s="374"/>
      <c r="AN165" s="374"/>
      <c r="AO165" s="374"/>
      <c r="AP165" s="374"/>
      <c r="AQ165" s="374"/>
      <c r="AR165" s="374"/>
      <c r="AS165" s="374"/>
      <c r="AT165" s="374"/>
      <c r="AU165" s="374"/>
      <c r="AV165" s="374"/>
      <c r="AW165" s="374"/>
      <c r="AX165" s="374"/>
      <c r="AY165" s="374"/>
      <c r="AZ165" s="5"/>
      <c r="BA165" s="5"/>
      <c r="BB165" s="5"/>
      <c r="BC165" s="5"/>
      <c r="BD165" s="5"/>
      <c r="BE165" s="5"/>
      <c r="BF165" s="5"/>
      <c r="BG165" s="5"/>
      <c r="BH165" s="5"/>
      <c r="BI165" s="5"/>
      <c r="BJ165" s="5"/>
      <c r="BK165" s="5"/>
      <c r="BL165" s="5"/>
      <c r="BM165" s="5"/>
      <c r="BN165" s="5"/>
      <c r="BO165" s="5"/>
      <c r="BP165" s="5"/>
      <c r="BQ165" s="5"/>
      <c r="BR165" s="5"/>
      <c r="BS165" s="5"/>
      <c r="BT165" s="5"/>
      <c r="BU165" s="5"/>
      <c r="BV165" s="5"/>
      <c r="BW165" s="5"/>
      <c r="BX165" s="5"/>
    </row>
    <row r="166" spans="1:76" ht="20.100000000000001" customHeight="1">
      <c r="A166" s="376">
        <v>28</v>
      </c>
      <c r="B166" s="378" t="str">
        <f>IFERROR(INDEX(Database_Charms,MATCH($N166,Database_Charms_Names,0),MATCH(B$111,Database_Charms_Values,0)),"")</f>
        <v/>
      </c>
      <c r="C166" s="378"/>
      <c r="D166" s="378"/>
      <c r="E166" s="378"/>
      <c r="F166" s="378"/>
      <c r="G166" s="33"/>
      <c r="H166" s="378" t="str">
        <f>IFERROR(INDEX(Database_Charms,MATCH($N166,Database_Charms_Names,0),MATCH("Ability_Subtype",Database_Charms_Values,0)),"")</f>
        <v/>
      </c>
      <c r="I166" s="378"/>
      <c r="J166" s="378"/>
      <c r="K166" s="378"/>
      <c r="L166" s="378"/>
      <c r="M166" s="23"/>
      <c r="N166" s="378" t="str">
        <f>VLOOKUP(A166,Values!$A$140:$O$239,IF(ISBLANK(VLOOKUP(A166,Values!$A$140:$O$239,13,0)),10,13),0)</f>
        <v/>
      </c>
      <c r="O166" s="378"/>
      <c r="P166" s="378"/>
      <c r="Q166" s="378"/>
      <c r="R166" s="378"/>
      <c r="S166" s="378"/>
      <c r="T166" s="378"/>
      <c r="U166" s="378"/>
      <c r="V166" s="378"/>
      <c r="W166" s="378"/>
      <c r="X166" s="378"/>
      <c r="Y166" s="378"/>
      <c r="Z166" s="378"/>
      <c r="AA166" s="378"/>
      <c r="AB166" s="23"/>
      <c r="AC166" s="302" t="str">
        <f>IFERROR(INDEX(Database_Charms,MATCH($N166,Database_Charms_Names,0),MATCH(AC$111,Database_Charms_Values,0)),"")</f>
        <v/>
      </c>
      <c r="AD166" s="302"/>
      <c r="AE166" s="302"/>
      <c r="AF166" s="302"/>
      <c r="AG166" s="302"/>
      <c r="AH166" s="125"/>
      <c r="AI166" s="302" t="str">
        <f>IFERROR(INDEX(Database_Charms,MATCH($N166,Database_Charms_Names,0),MATCH(AI$111,Database_Charms_Values,0)),"")</f>
        <v/>
      </c>
      <c r="AJ166" s="302"/>
      <c r="AK166" s="302"/>
      <c r="AL166" s="302"/>
      <c r="AM166" s="125"/>
      <c r="AN166" s="302" t="str">
        <f>IFERROR(INDEX(Database_Charms,MATCH($N166,Database_Charms_Names,0),MATCH(AN$111,Database_Charms_Values,0)),"")</f>
        <v/>
      </c>
      <c r="AO166" s="302"/>
      <c r="AP166" s="302"/>
      <c r="AQ166" s="302"/>
      <c r="AR166" s="302"/>
      <c r="AS166" s="125"/>
      <c r="AT166" s="302" t="str">
        <f>IFERROR(INDEX(Database_Charms,MATCH($N166,Database_Charms_Names,0),MATCH(AT$111,Database_Charms_Values,0)),"")</f>
        <v/>
      </c>
      <c r="AU166" s="302"/>
      <c r="AV166" s="125"/>
      <c r="AW166" s="302" t="str">
        <f>IFERROR(INDEX(Database_Charms,MATCH($N166,Database_Charms_Names,0),MATCH(AW$111,Database_Charms_Values,0)),"")</f>
        <v/>
      </c>
      <c r="AX166" s="302"/>
      <c r="AY166" s="302"/>
      <c r="AZ166" s="5"/>
      <c r="BA166" s="5"/>
      <c r="BB166" s="5"/>
      <c r="BC166" s="5"/>
      <c r="BD166" s="5"/>
      <c r="BE166" s="5"/>
      <c r="BF166" s="5"/>
      <c r="BG166" s="5"/>
      <c r="BH166" s="5"/>
      <c r="BI166" s="5"/>
      <c r="BJ166" s="5"/>
      <c r="BK166" s="5"/>
      <c r="BL166" s="5"/>
      <c r="BM166" s="5"/>
      <c r="BN166" s="5"/>
      <c r="BO166" s="5"/>
      <c r="BP166" s="5"/>
      <c r="BQ166" s="5"/>
      <c r="BR166" s="5"/>
      <c r="BS166" s="5"/>
      <c r="BT166" s="5"/>
      <c r="BU166" s="5"/>
      <c r="BV166" s="5"/>
      <c r="BW166" s="5"/>
      <c r="BX166" s="5"/>
    </row>
    <row r="167" spans="1:76" ht="39.950000000000003" customHeight="1">
      <c r="A167" s="377"/>
      <c r="B167" s="374" t="str">
        <f>IF(VLOOKUP(A166,Values!$A$140:$T$239,14,0)="",IF(VLOOKUP(A166,Values!$A$140:$T$239,11,0)="",IFERROR(INDEX(Database_Charms,MATCH($N166,Database_Charms_Names,0),MATCH(Charms!$S$1,Database_Charms_Values,0)),""),VLOOKUP(A166,Values!$A$140:$T$239,11,0)),VLOOKUP(A166,Values!$A$140:$T$239,14,0))</f>
        <v/>
      </c>
      <c r="C167" s="374"/>
      <c r="D167" s="374"/>
      <c r="E167" s="374"/>
      <c r="F167" s="374"/>
      <c r="G167" s="374"/>
      <c r="H167" s="374"/>
      <c r="I167" s="374"/>
      <c r="J167" s="374"/>
      <c r="K167" s="374"/>
      <c r="L167" s="374"/>
      <c r="M167" s="374"/>
      <c r="N167" s="374"/>
      <c r="O167" s="374"/>
      <c r="P167" s="374"/>
      <c r="Q167" s="374"/>
      <c r="R167" s="374"/>
      <c r="S167" s="374"/>
      <c r="T167" s="374"/>
      <c r="U167" s="374"/>
      <c r="V167" s="374"/>
      <c r="W167" s="374"/>
      <c r="X167" s="374"/>
      <c r="Y167" s="374"/>
      <c r="Z167" s="374"/>
      <c r="AA167" s="374"/>
      <c r="AB167" s="374"/>
      <c r="AC167" s="374"/>
      <c r="AD167" s="374"/>
      <c r="AE167" s="374"/>
      <c r="AF167" s="374"/>
      <c r="AG167" s="374"/>
      <c r="AH167" s="374"/>
      <c r="AI167" s="374"/>
      <c r="AJ167" s="374"/>
      <c r="AK167" s="374"/>
      <c r="AL167" s="374"/>
      <c r="AM167" s="374"/>
      <c r="AN167" s="374"/>
      <c r="AO167" s="374"/>
      <c r="AP167" s="374"/>
      <c r="AQ167" s="374"/>
      <c r="AR167" s="374"/>
      <c r="AS167" s="374"/>
      <c r="AT167" s="374"/>
      <c r="AU167" s="374"/>
      <c r="AV167" s="374"/>
      <c r="AW167" s="374"/>
      <c r="AX167" s="374"/>
      <c r="AY167" s="374"/>
      <c r="AZ167" s="5"/>
      <c r="BA167" s="5"/>
      <c r="BB167" s="5"/>
      <c r="BC167" s="5"/>
      <c r="BD167" s="5"/>
      <c r="BE167" s="5"/>
      <c r="BF167" s="5"/>
      <c r="BG167" s="5"/>
      <c r="BH167" s="5"/>
      <c r="BI167" s="5"/>
      <c r="BJ167" s="5"/>
      <c r="BK167" s="5"/>
      <c r="BL167" s="5"/>
      <c r="BM167" s="5"/>
      <c r="BN167" s="5"/>
      <c r="BO167" s="5"/>
      <c r="BP167" s="5"/>
      <c r="BQ167" s="5"/>
      <c r="BR167" s="5"/>
      <c r="BS167" s="5"/>
      <c r="BT167" s="5"/>
      <c r="BU167" s="5"/>
      <c r="BV167" s="5"/>
      <c r="BW167" s="5"/>
      <c r="BX167" s="5"/>
    </row>
    <row r="168" spans="1:76" ht="20.100000000000001" customHeight="1">
      <c r="A168" s="376">
        <v>29</v>
      </c>
      <c r="B168" s="378" t="str">
        <f>IFERROR(INDEX(Database_Charms,MATCH($N168,Database_Charms_Names,0),MATCH(B$111,Database_Charms_Values,0)),"")</f>
        <v/>
      </c>
      <c r="C168" s="378"/>
      <c r="D168" s="378"/>
      <c r="E168" s="378"/>
      <c r="F168" s="378"/>
      <c r="G168" s="33"/>
      <c r="H168" s="378" t="str">
        <f>IFERROR(INDEX(Database_Charms,MATCH($N168,Database_Charms_Names,0),MATCH("Ability_Subtype",Database_Charms_Values,0)),"")</f>
        <v/>
      </c>
      <c r="I168" s="378"/>
      <c r="J168" s="378"/>
      <c r="K168" s="378"/>
      <c r="L168" s="378"/>
      <c r="M168" s="23"/>
      <c r="N168" s="378" t="str">
        <f>VLOOKUP(A168,Values!$A$140:$O$239,IF(ISBLANK(VLOOKUP(A168,Values!$A$140:$O$239,13,0)),10,13),0)</f>
        <v/>
      </c>
      <c r="O168" s="378"/>
      <c r="P168" s="378"/>
      <c r="Q168" s="378"/>
      <c r="R168" s="378"/>
      <c r="S168" s="378"/>
      <c r="T168" s="378"/>
      <c r="U168" s="378"/>
      <c r="V168" s="378"/>
      <c r="W168" s="378"/>
      <c r="X168" s="378"/>
      <c r="Y168" s="378"/>
      <c r="Z168" s="378"/>
      <c r="AA168" s="378"/>
      <c r="AB168" s="23"/>
      <c r="AC168" s="302" t="str">
        <f>IFERROR(INDEX(Database_Charms,MATCH($N168,Database_Charms_Names,0),MATCH(AC$111,Database_Charms_Values,0)),"")</f>
        <v/>
      </c>
      <c r="AD168" s="302"/>
      <c r="AE168" s="302"/>
      <c r="AF168" s="302"/>
      <c r="AG168" s="302"/>
      <c r="AH168" s="125"/>
      <c r="AI168" s="302" t="str">
        <f>IFERROR(INDEX(Database_Charms,MATCH($N168,Database_Charms_Names,0),MATCH(AI$111,Database_Charms_Values,0)),"")</f>
        <v/>
      </c>
      <c r="AJ168" s="302"/>
      <c r="AK168" s="302"/>
      <c r="AL168" s="302"/>
      <c r="AM168" s="125"/>
      <c r="AN168" s="302" t="str">
        <f>IFERROR(INDEX(Database_Charms,MATCH($N168,Database_Charms_Names,0),MATCH(AN$111,Database_Charms_Values,0)),"")</f>
        <v/>
      </c>
      <c r="AO168" s="302"/>
      <c r="AP168" s="302"/>
      <c r="AQ168" s="302"/>
      <c r="AR168" s="302"/>
      <c r="AS168" s="125"/>
      <c r="AT168" s="302" t="str">
        <f>IFERROR(INDEX(Database_Charms,MATCH($N168,Database_Charms_Names,0),MATCH(AT$111,Database_Charms_Values,0)),"")</f>
        <v/>
      </c>
      <c r="AU168" s="302"/>
      <c r="AV168" s="125"/>
      <c r="AW168" s="302" t="str">
        <f>IFERROR(INDEX(Database_Charms,MATCH($N168,Database_Charms_Names,0),MATCH(AW$111,Database_Charms_Values,0)),"")</f>
        <v/>
      </c>
      <c r="AX168" s="302"/>
      <c r="AY168" s="302"/>
      <c r="AZ168" s="5"/>
      <c r="BA168" s="5"/>
      <c r="BB168" s="5"/>
      <c r="BC168" s="5"/>
      <c r="BD168" s="5"/>
      <c r="BE168" s="5"/>
      <c r="BF168" s="5"/>
      <c r="BG168" s="5"/>
      <c r="BH168" s="5"/>
      <c r="BI168" s="5"/>
      <c r="BJ168" s="5"/>
      <c r="BK168" s="5"/>
      <c r="BL168" s="5"/>
      <c r="BM168" s="5"/>
      <c r="BN168" s="5"/>
      <c r="BO168" s="5"/>
      <c r="BP168" s="5"/>
      <c r="BQ168" s="5"/>
      <c r="BR168" s="5"/>
      <c r="BS168" s="5"/>
      <c r="BT168" s="5"/>
      <c r="BU168" s="5"/>
      <c r="BV168" s="5"/>
      <c r="BW168" s="5"/>
      <c r="BX168" s="5"/>
    </row>
    <row r="169" spans="1:76" ht="39.950000000000003" customHeight="1">
      <c r="A169" s="377"/>
      <c r="B169" s="374" t="str">
        <f>IF(VLOOKUP(A168,Values!$A$140:$T$239,14,0)="",IF(VLOOKUP(A168,Values!$A$140:$T$239,11,0)="",IFERROR(INDEX(Database_Charms,MATCH($N168,Database_Charms_Names,0),MATCH(Charms!$S$1,Database_Charms_Values,0)),""),VLOOKUP(A168,Values!$A$140:$T$239,11,0)),VLOOKUP(A168,Values!$A$140:$T$239,14,0))</f>
        <v/>
      </c>
      <c r="C169" s="374"/>
      <c r="D169" s="374"/>
      <c r="E169" s="374"/>
      <c r="F169" s="374"/>
      <c r="G169" s="374"/>
      <c r="H169" s="374"/>
      <c r="I169" s="374"/>
      <c r="J169" s="374"/>
      <c r="K169" s="374"/>
      <c r="L169" s="374"/>
      <c r="M169" s="374"/>
      <c r="N169" s="374"/>
      <c r="O169" s="374"/>
      <c r="P169" s="374"/>
      <c r="Q169" s="374"/>
      <c r="R169" s="374"/>
      <c r="S169" s="374"/>
      <c r="T169" s="374"/>
      <c r="U169" s="374"/>
      <c r="V169" s="374"/>
      <c r="W169" s="374"/>
      <c r="X169" s="374"/>
      <c r="Y169" s="374"/>
      <c r="Z169" s="374"/>
      <c r="AA169" s="374"/>
      <c r="AB169" s="374"/>
      <c r="AC169" s="374"/>
      <c r="AD169" s="374"/>
      <c r="AE169" s="374"/>
      <c r="AF169" s="374"/>
      <c r="AG169" s="374"/>
      <c r="AH169" s="374"/>
      <c r="AI169" s="374"/>
      <c r="AJ169" s="374"/>
      <c r="AK169" s="374"/>
      <c r="AL169" s="374"/>
      <c r="AM169" s="374"/>
      <c r="AN169" s="374"/>
      <c r="AO169" s="374"/>
      <c r="AP169" s="374"/>
      <c r="AQ169" s="374"/>
      <c r="AR169" s="374"/>
      <c r="AS169" s="374"/>
      <c r="AT169" s="374"/>
      <c r="AU169" s="374"/>
      <c r="AV169" s="374"/>
      <c r="AW169" s="374"/>
      <c r="AX169" s="374"/>
      <c r="AY169" s="374"/>
      <c r="AZ169" s="5"/>
      <c r="BA169" s="41" t="s">
        <v>3262</v>
      </c>
      <c r="BB169" s="5"/>
      <c r="BC169" s="5"/>
      <c r="BD169" s="5"/>
      <c r="BE169" s="5"/>
      <c r="BF169" s="5"/>
      <c r="BG169" s="5"/>
      <c r="BH169" s="5"/>
      <c r="BI169" s="5"/>
      <c r="BJ169" s="5"/>
      <c r="BK169" s="5"/>
      <c r="BL169" s="5"/>
      <c r="BM169" s="5"/>
      <c r="BN169" s="5"/>
      <c r="BO169" s="5"/>
      <c r="BP169" s="5"/>
      <c r="BQ169" s="5"/>
      <c r="BR169" s="5"/>
      <c r="BS169" s="5"/>
      <c r="BT169" s="5"/>
      <c r="BU169" s="5"/>
      <c r="BV169" s="5"/>
      <c r="BW169" s="5"/>
      <c r="BX169" s="5"/>
    </row>
    <row r="170" spans="1:76" ht="20.100000000000001" customHeight="1">
      <c r="A170" s="376">
        <v>30</v>
      </c>
      <c r="B170" s="378" t="str">
        <f>IFERROR(INDEX(Database_Charms,MATCH($N170,Database_Charms_Names,0),MATCH(B$111,Database_Charms_Values,0)),"")</f>
        <v/>
      </c>
      <c r="C170" s="378"/>
      <c r="D170" s="378"/>
      <c r="E170" s="378"/>
      <c r="F170" s="378"/>
      <c r="G170" s="33"/>
      <c r="H170" s="378" t="str">
        <f>IFERROR(INDEX(Database_Charms,MATCH($N170,Database_Charms_Names,0),MATCH("Ability_Subtype",Database_Charms_Values,0)),"")</f>
        <v/>
      </c>
      <c r="I170" s="378"/>
      <c r="J170" s="378"/>
      <c r="K170" s="378"/>
      <c r="L170" s="378"/>
      <c r="M170" s="23"/>
      <c r="N170" s="378" t="str">
        <f>VLOOKUP(A170,Values!$A$140:$O$239,IF(ISBLANK(VLOOKUP(A170,Values!$A$140:$O$239,13,0)),10,13),0)</f>
        <v/>
      </c>
      <c r="O170" s="378"/>
      <c r="P170" s="378"/>
      <c r="Q170" s="378"/>
      <c r="R170" s="378"/>
      <c r="S170" s="378"/>
      <c r="T170" s="378"/>
      <c r="U170" s="378"/>
      <c r="V170" s="378"/>
      <c r="W170" s="378"/>
      <c r="X170" s="378"/>
      <c r="Y170" s="378"/>
      <c r="Z170" s="378"/>
      <c r="AA170" s="378"/>
      <c r="AB170" s="23"/>
      <c r="AC170" s="302" t="str">
        <f>IFERROR(INDEX(Database_Charms,MATCH($N170,Database_Charms_Names,0),MATCH(AC$111,Database_Charms_Values,0)),"")</f>
        <v/>
      </c>
      <c r="AD170" s="302"/>
      <c r="AE170" s="302"/>
      <c r="AF170" s="302"/>
      <c r="AG170" s="302"/>
      <c r="AH170" s="125"/>
      <c r="AI170" s="302" t="str">
        <f>IFERROR(INDEX(Database_Charms,MATCH($N170,Database_Charms_Names,0),MATCH(AI$111,Database_Charms_Values,0)),"")</f>
        <v/>
      </c>
      <c r="AJ170" s="302"/>
      <c r="AK170" s="302"/>
      <c r="AL170" s="302"/>
      <c r="AM170" s="125"/>
      <c r="AN170" s="302" t="str">
        <f>IFERROR(INDEX(Database_Charms,MATCH($N170,Database_Charms_Names,0),MATCH(AN$111,Database_Charms_Values,0)),"")</f>
        <v/>
      </c>
      <c r="AO170" s="302"/>
      <c r="AP170" s="302"/>
      <c r="AQ170" s="302"/>
      <c r="AR170" s="302"/>
      <c r="AS170" s="125"/>
      <c r="AT170" s="302" t="str">
        <f>IFERROR(INDEX(Database_Charms,MATCH($N170,Database_Charms_Names,0),MATCH(AT$111,Database_Charms_Values,0)),"")</f>
        <v/>
      </c>
      <c r="AU170" s="302"/>
      <c r="AV170" s="125"/>
      <c r="AW170" s="302" t="str">
        <f>IFERROR(INDEX(Database_Charms,MATCH($N170,Database_Charms_Names,0),MATCH(AW$111,Database_Charms_Values,0)),"")</f>
        <v/>
      </c>
      <c r="AX170" s="302"/>
      <c r="AY170" s="302"/>
      <c r="AZ170" s="5"/>
      <c r="BA170" s="472">
        <f>Values!$AB$3</f>
        <v>0</v>
      </c>
      <c r="BB170" s="472"/>
      <c r="BC170" s="5"/>
      <c r="BD170" s="5"/>
      <c r="BE170" s="5"/>
      <c r="BF170" s="5"/>
      <c r="BG170" s="5"/>
      <c r="BH170" s="5"/>
      <c r="BI170" s="5"/>
      <c r="BJ170" s="5"/>
      <c r="BK170" s="5"/>
      <c r="BL170" s="5"/>
      <c r="BM170" s="5"/>
      <c r="BN170" s="5"/>
      <c r="BO170" s="5"/>
      <c r="BP170" s="5"/>
      <c r="BQ170" s="5"/>
      <c r="BR170" s="5"/>
      <c r="BS170" s="5"/>
      <c r="BT170" s="5"/>
      <c r="BU170" s="5"/>
      <c r="BV170" s="5"/>
      <c r="BW170" s="5"/>
      <c r="BX170" s="5"/>
    </row>
    <row r="171" spans="1:76" ht="39.75" customHeight="1">
      <c r="A171" s="377"/>
      <c r="B171" s="374" t="str">
        <f>IF(VLOOKUP(A170,Values!$A$140:$T$239,14,0)="",IF(VLOOKUP(A170,Values!$A$140:$T$239,11,0)="",IFERROR(INDEX(Database_Charms,MATCH($N170,Database_Charms_Names,0),MATCH(Charms!$S$1,Database_Charms_Values,0)),""),VLOOKUP(A170,Values!$A$140:$T$239,11,0)),VLOOKUP(A170,Values!$A$140:$T$239,14,0))</f>
        <v/>
      </c>
      <c r="C171" s="374"/>
      <c r="D171" s="374"/>
      <c r="E171" s="374"/>
      <c r="F171" s="374"/>
      <c r="G171" s="374"/>
      <c r="H171" s="374"/>
      <c r="I171" s="374"/>
      <c r="J171" s="374"/>
      <c r="K171" s="374"/>
      <c r="L171" s="374"/>
      <c r="M171" s="374"/>
      <c r="N171" s="374"/>
      <c r="O171" s="374"/>
      <c r="P171" s="374"/>
      <c r="Q171" s="374"/>
      <c r="R171" s="374"/>
      <c r="S171" s="374"/>
      <c r="T171" s="374"/>
      <c r="U171" s="374"/>
      <c r="V171" s="374"/>
      <c r="W171" s="374"/>
      <c r="X171" s="374"/>
      <c r="Y171" s="374"/>
      <c r="Z171" s="374"/>
      <c r="AA171" s="374"/>
      <c r="AB171" s="374"/>
      <c r="AC171" s="374"/>
      <c r="AD171" s="374"/>
      <c r="AE171" s="374"/>
      <c r="AF171" s="374"/>
      <c r="AG171" s="374"/>
      <c r="AH171" s="374"/>
      <c r="AI171" s="374"/>
      <c r="AJ171" s="374"/>
      <c r="AK171" s="374"/>
      <c r="AL171" s="374"/>
      <c r="AM171" s="374"/>
      <c r="AN171" s="374"/>
      <c r="AO171" s="374"/>
      <c r="AP171" s="374"/>
      <c r="AQ171" s="374"/>
      <c r="AR171" s="374"/>
      <c r="AS171" s="374"/>
      <c r="AT171" s="374"/>
      <c r="AU171" s="374"/>
      <c r="AV171" s="374"/>
      <c r="AW171" s="374"/>
      <c r="AX171" s="374"/>
      <c r="AY171" s="374"/>
      <c r="AZ171" s="5"/>
      <c r="BA171" s="473" t="s">
        <v>3513</v>
      </c>
      <c r="BB171" s="472"/>
      <c r="BC171" s="472"/>
      <c r="BD171" s="472"/>
      <c r="BE171" s="472"/>
      <c r="BF171" s="472"/>
      <c r="BG171" s="472"/>
      <c r="BH171" s="5"/>
      <c r="BI171" s="5"/>
      <c r="BJ171" s="5"/>
      <c r="BK171" s="5"/>
      <c r="BL171" s="5"/>
      <c r="BM171" s="5"/>
      <c r="BN171" s="5"/>
      <c r="BO171" s="5"/>
      <c r="BP171" s="5"/>
      <c r="BQ171" s="5"/>
      <c r="BR171" s="5"/>
      <c r="BS171" s="5"/>
      <c r="BT171" s="5"/>
      <c r="BU171" s="5"/>
      <c r="BV171" s="5"/>
      <c r="BW171" s="5"/>
      <c r="BX171" s="5"/>
    </row>
    <row r="172" spans="1:76" ht="20.100000000000001" hidden="1" customHeight="1">
      <c r="A172" s="376">
        <v>31</v>
      </c>
      <c r="B172" s="378" t="str">
        <f>IFERROR(INDEX(Database_Charms,MATCH($N172,Database_Charms_Names,0),MATCH(B$111,Database_Charms_Values,0)),"")</f>
        <v/>
      </c>
      <c r="C172" s="378"/>
      <c r="D172" s="378"/>
      <c r="E172" s="378"/>
      <c r="F172" s="378"/>
      <c r="G172" s="33"/>
      <c r="H172" s="378" t="str">
        <f>IFERROR(INDEX(Database_Charms,MATCH($N172,Database_Charms_Names,0),MATCH("Ability_Subtype",Database_Charms_Values,0)),"")</f>
        <v/>
      </c>
      <c r="I172" s="378"/>
      <c r="J172" s="378"/>
      <c r="K172" s="378"/>
      <c r="L172" s="378"/>
      <c r="M172" s="23"/>
      <c r="N172" s="378" t="str">
        <f>VLOOKUP(A172,Values!$A$140:$O$239,IF(ISBLANK(VLOOKUP(A172,Values!$A$140:$O$239,13,0)),10,13),0)</f>
        <v/>
      </c>
      <c r="O172" s="378"/>
      <c r="P172" s="378"/>
      <c r="Q172" s="378"/>
      <c r="R172" s="378"/>
      <c r="S172" s="378"/>
      <c r="T172" s="378"/>
      <c r="U172" s="378"/>
      <c r="V172" s="378"/>
      <c r="W172" s="378"/>
      <c r="X172" s="378"/>
      <c r="Y172" s="378"/>
      <c r="Z172" s="378"/>
      <c r="AA172" s="378"/>
      <c r="AB172" s="23"/>
      <c r="AC172" s="302" t="str">
        <f>IFERROR(INDEX(Database_Charms,MATCH($N172,Database_Charms_Names,0),MATCH(AC$111,Database_Charms_Values,0)),"")</f>
        <v/>
      </c>
      <c r="AD172" s="302"/>
      <c r="AE172" s="302"/>
      <c r="AF172" s="302"/>
      <c r="AG172" s="302"/>
      <c r="AH172" s="125"/>
      <c r="AI172" s="302" t="str">
        <f>IFERROR(INDEX(Database_Charms,MATCH($N172,Database_Charms_Names,0),MATCH(AI$111,Database_Charms_Values,0)),"")</f>
        <v/>
      </c>
      <c r="AJ172" s="302"/>
      <c r="AK172" s="302"/>
      <c r="AL172" s="302"/>
      <c r="AM172" s="125"/>
      <c r="AN172" s="302" t="str">
        <f>IFERROR(INDEX(Database_Charms,MATCH($N172,Database_Charms_Names,0),MATCH(AN$111,Database_Charms_Values,0)),"")</f>
        <v/>
      </c>
      <c r="AO172" s="302"/>
      <c r="AP172" s="302"/>
      <c r="AQ172" s="302"/>
      <c r="AR172" s="302"/>
      <c r="AS172" s="125"/>
      <c r="AT172" s="302" t="str">
        <f>IFERROR(INDEX(Database_Charms,MATCH($N172,Database_Charms_Names,0),MATCH(AT$111,Database_Charms_Values,0)),"")</f>
        <v/>
      </c>
      <c r="AU172" s="302"/>
      <c r="AV172" s="125"/>
      <c r="AW172" s="302" t="str">
        <f>IFERROR(INDEX(Database_Charms,MATCH($N172,Database_Charms_Names,0),MATCH(AW$111,Database_Charms_Values,0)),"")</f>
        <v/>
      </c>
      <c r="AX172" s="302"/>
      <c r="AY172" s="302"/>
      <c r="AZ172" s="5"/>
      <c r="BA172" s="5"/>
      <c r="BB172" s="5"/>
      <c r="BC172" s="5"/>
      <c r="BD172" s="5"/>
      <c r="BE172" s="5"/>
      <c r="BF172" s="5"/>
      <c r="BG172" s="5"/>
      <c r="BH172" s="5"/>
      <c r="BI172" s="5"/>
      <c r="BJ172" s="5"/>
      <c r="BK172" s="5"/>
      <c r="BL172" s="5"/>
      <c r="BM172" s="5"/>
      <c r="BN172" s="5"/>
      <c r="BO172" s="5"/>
      <c r="BP172" s="5"/>
      <c r="BQ172" s="5"/>
      <c r="BR172" s="5"/>
      <c r="BS172" s="5"/>
      <c r="BT172" s="5"/>
      <c r="BU172" s="5"/>
      <c r="BV172" s="5"/>
      <c r="BW172" s="5"/>
      <c r="BX172" s="5"/>
    </row>
    <row r="173" spans="1:76" ht="39.950000000000003" hidden="1" customHeight="1">
      <c r="A173" s="379"/>
      <c r="B173" s="374" t="str">
        <f>IF(VLOOKUP(A172,Values!$A$140:$T$239,14,0)="",IF(VLOOKUP(A172,Values!$A$140:$T$239,11,0)="",IFERROR(INDEX(Database_Charms,MATCH($N172,Database_Charms_Names,0),MATCH(Charms!$S$1,Database_Charms_Values,0)),""),VLOOKUP(A172,Values!$A$140:$T$239,11,0)),VLOOKUP(A172,Values!$A$140:$T$239,14,0))</f>
        <v/>
      </c>
      <c r="C173" s="374"/>
      <c r="D173" s="374"/>
      <c r="E173" s="374"/>
      <c r="F173" s="374"/>
      <c r="G173" s="374"/>
      <c r="H173" s="374"/>
      <c r="I173" s="374"/>
      <c r="J173" s="374"/>
      <c r="K173" s="374"/>
      <c r="L173" s="374"/>
      <c r="M173" s="374"/>
      <c r="N173" s="374"/>
      <c r="O173" s="374"/>
      <c r="P173" s="374"/>
      <c r="Q173" s="374"/>
      <c r="R173" s="374"/>
      <c r="S173" s="374"/>
      <c r="T173" s="374"/>
      <c r="U173" s="374"/>
      <c r="V173" s="374"/>
      <c r="W173" s="374"/>
      <c r="X173" s="374"/>
      <c r="Y173" s="374"/>
      <c r="Z173" s="374"/>
      <c r="AA173" s="374"/>
      <c r="AB173" s="374"/>
      <c r="AC173" s="374"/>
      <c r="AD173" s="374"/>
      <c r="AE173" s="374"/>
      <c r="AF173" s="374"/>
      <c r="AG173" s="374"/>
      <c r="AH173" s="374"/>
      <c r="AI173" s="374"/>
      <c r="AJ173" s="374"/>
      <c r="AK173" s="374"/>
      <c r="AL173" s="374"/>
      <c r="AM173" s="374"/>
      <c r="AN173" s="374"/>
      <c r="AO173" s="374"/>
      <c r="AP173" s="374"/>
      <c r="AQ173" s="374"/>
      <c r="AR173" s="374"/>
      <c r="AS173" s="374"/>
      <c r="AT173" s="374"/>
      <c r="AU173" s="374"/>
      <c r="AV173" s="374"/>
      <c r="AW173" s="374"/>
      <c r="AX173" s="374"/>
      <c r="AY173" s="374"/>
      <c r="AZ173" s="5"/>
      <c r="BA173" s="5"/>
      <c r="BB173" s="5"/>
      <c r="BC173" s="5"/>
      <c r="BD173" s="5"/>
      <c r="BE173" s="5"/>
      <c r="BF173" s="5"/>
      <c r="BG173" s="5"/>
      <c r="BH173" s="5"/>
      <c r="BI173" s="5"/>
      <c r="BJ173" s="5"/>
      <c r="BK173" s="5"/>
      <c r="BL173" s="5"/>
      <c r="BM173" s="5"/>
      <c r="BN173" s="5"/>
      <c r="BO173" s="5"/>
      <c r="BP173" s="5"/>
      <c r="BQ173" s="5"/>
      <c r="BR173" s="5"/>
      <c r="BS173" s="5"/>
      <c r="BT173" s="5"/>
      <c r="BU173" s="5"/>
      <c r="BV173" s="5"/>
      <c r="BW173" s="5"/>
      <c r="BX173" s="5"/>
    </row>
    <row r="174" spans="1:76" ht="20.100000000000001" hidden="1" customHeight="1">
      <c r="A174" s="376">
        <v>32</v>
      </c>
      <c r="B174" s="378" t="str">
        <f>IFERROR(INDEX(Database_Charms,MATCH($N174,Database_Charms_Names,0),MATCH(B$111,Database_Charms_Values,0)),"")</f>
        <v/>
      </c>
      <c r="C174" s="378"/>
      <c r="D174" s="378"/>
      <c r="E174" s="378"/>
      <c r="F174" s="378"/>
      <c r="G174" s="33"/>
      <c r="H174" s="378" t="str">
        <f>IFERROR(INDEX(Database_Charms,MATCH($N174,Database_Charms_Names,0),MATCH("Ability_Subtype",Database_Charms_Values,0)),"")</f>
        <v/>
      </c>
      <c r="I174" s="378"/>
      <c r="J174" s="378"/>
      <c r="K174" s="378"/>
      <c r="L174" s="378"/>
      <c r="M174" s="23"/>
      <c r="N174" s="378" t="str">
        <f>VLOOKUP(A174,Values!$A$140:$O$239,IF(ISBLANK(VLOOKUP(A174,Values!$A$140:$O$239,13,0)),10,13),0)</f>
        <v/>
      </c>
      <c r="O174" s="378"/>
      <c r="P174" s="378"/>
      <c r="Q174" s="378"/>
      <c r="R174" s="378"/>
      <c r="S174" s="378"/>
      <c r="T174" s="378"/>
      <c r="U174" s="378"/>
      <c r="V174" s="378"/>
      <c r="W174" s="378"/>
      <c r="X174" s="378"/>
      <c r="Y174" s="378"/>
      <c r="Z174" s="378"/>
      <c r="AA174" s="378"/>
      <c r="AB174" s="23"/>
      <c r="AC174" s="302" t="str">
        <f>IFERROR(INDEX(Database_Charms,MATCH($N174,Database_Charms_Names,0),MATCH(AC$111,Database_Charms_Values,0)),"")</f>
        <v/>
      </c>
      <c r="AD174" s="302"/>
      <c r="AE174" s="302"/>
      <c r="AF174" s="302"/>
      <c r="AG174" s="302"/>
      <c r="AH174" s="125"/>
      <c r="AI174" s="302" t="str">
        <f>IFERROR(INDEX(Database_Charms,MATCH($N174,Database_Charms_Names,0),MATCH(AI$111,Database_Charms_Values,0)),"")</f>
        <v/>
      </c>
      <c r="AJ174" s="302"/>
      <c r="AK174" s="302"/>
      <c r="AL174" s="302"/>
      <c r="AM174" s="125"/>
      <c r="AN174" s="302" t="str">
        <f>IFERROR(INDEX(Database_Charms,MATCH($N174,Database_Charms_Names,0),MATCH(AN$111,Database_Charms_Values,0)),"")</f>
        <v/>
      </c>
      <c r="AO174" s="302"/>
      <c r="AP174" s="302"/>
      <c r="AQ174" s="302"/>
      <c r="AR174" s="302"/>
      <c r="AS174" s="125"/>
      <c r="AT174" s="302" t="str">
        <f>IFERROR(INDEX(Database_Charms,MATCH($N174,Database_Charms_Names,0),MATCH(AT$111,Database_Charms_Values,0)),"")</f>
        <v/>
      </c>
      <c r="AU174" s="302"/>
      <c r="AV174" s="125"/>
      <c r="AW174" s="302" t="str">
        <f>IFERROR(INDEX(Database_Charms,MATCH($N174,Database_Charms_Names,0),MATCH(AW$111,Database_Charms_Values,0)),"")</f>
        <v/>
      </c>
      <c r="AX174" s="302"/>
      <c r="AY174" s="302"/>
      <c r="AZ174" s="5"/>
      <c r="BA174" s="5"/>
      <c r="BB174" s="5"/>
      <c r="BC174" s="5"/>
      <c r="BD174" s="5"/>
      <c r="BE174" s="5"/>
      <c r="BF174" s="5"/>
      <c r="BG174" s="5"/>
      <c r="BH174" s="5"/>
      <c r="BI174" s="5"/>
      <c r="BJ174" s="5"/>
      <c r="BK174" s="5"/>
      <c r="BL174" s="5"/>
      <c r="BM174" s="5"/>
      <c r="BN174" s="5"/>
      <c r="BO174" s="5"/>
      <c r="BP174" s="5"/>
      <c r="BQ174" s="5"/>
      <c r="BR174" s="5"/>
      <c r="BS174" s="5"/>
      <c r="BT174" s="5"/>
      <c r="BU174" s="5"/>
      <c r="BV174" s="5"/>
      <c r="BW174" s="5"/>
      <c r="BX174" s="5"/>
    </row>
    <row r="175" spans="1:76" ht="39.950000000000003" hidden="1" customHeight="1">
      <c r="A175" s="379"/>
      <c r="B175" s="374" t="str">
        <f>IF(VLOOKUP(A174,Values!$A$140:$T$239,14,0)="",IF(VLOOKUP(A174,Values!$A$140:$T$239,11,0)="",IFERROR(INDEX(Database_Charms,MATCH($N174,Database_Charms_Names,0),MATCH(Charms!$S$1,Database_Charms_Values,0)),""),VLOOKUP(A174,Values!$A$140:$T$239,11,0)),VLOOKUP(A174,Values!$A$140:$T$239,14,0))</f>
        <v/>
      </c>
      <c r="C175" s="374"/>
      <c r="D175" s="374"/>
      <c r="E175" s="374"/>
      <c r="F175" s="374"/>
      <c r="G175" s="374"/>
      <c r="H175" s="374"/>
      <c r="I175" s="374"/>
      <c r="J175" s="374"/>
      <c r="K175" s="374"/>
      <c r="L175" s="374"/>
      <c r="M175" s="374"/>
      <c r="N175" s="374"/>
      <c r="O175" s="374"/>
      <c r="P175" s="374"/>
      <c r="Q175" s="374"/>
      <c r="R175" s="374"/>
      <c r="S175" s="374"/>
      <c r="T175" s="374"/>
      <c r="U175" s="374"/>
      <c r="V175" s="374"/>
      <c r="W175" s="374"/>
      <c r="X175" s="374"/>
      <c r="Y175" s="374"/>
      <c r="Z175" s="374"/>
      <c r="AA175" s="374"/>
      <c r="AB175" s="374"/>
      <c r="AC175" s="374"/>
      <c r="AD175" s="374"/>
      <c r="AE175" s="374"/>
      <c r="AF175" s="374"/>
      <c r="AG175" s="374"/>
      <c r="AH175" s="374"/>
      <c r="AI175" s="374"/>
      <c r="AJ175" s="374"/>
      <c r="AK175" s="374"/>
      <c r="AL175" s="374"/>
      <c r="AM175" s="374"/>
      <c r="AN175" s="374"/>
      <c r="AO175" s="374"/>
      <c r="AP175" s="374"/>
      <c r="AQ175" s="374"/>
      <c r="AR175" s="374"/>
      <c r="AS175" s="374"/>
      <c r="AT175" s="374"/>
      <c r="AU175" s="374"/>
      <c r="AV175" s="374"/>
      <c r="AW175" s="374"/>
      <c r="AX175" s="374"/>
      <c r="AY175" s="374"/>
      <c r="AZ175" s="5"/>
      <c r="BA175" s="5"/>
      <c r="BB175" s="5"/>
      <c r="BC175" s="5"/>
      <c r="BD175" s="5"/>
      <c r="BE175" s="5"/>
      <c r="BF175" s="5"/>
      <c r="BG175" s="5"/>
      <c r="BH175" s="5"/>
      <c r="BI175" s="5"/>
      <c r="BJ175" s="5"/>
      <c r="BK175" s="5"/>
      <c r="BL175" s="5"/>
      <c r="BM175" s="5"/>
      <c r="BN175" s="5"/>
      <c r="BO175" s="5"/>
      <c r="BP175" s="5"/>
      <c r="BQ175" s="5"/>
      <c r="BR175" s="5"/>
      <c r="BS175" s="5"/>
      <c r="BT175" s="5"/>
      <c r="BU175" s="5"/>
      <c r="BV175" s="5"/>
      <c r="BW175" s="5"/>
      <c r="BX175" s="5"/>
    </row>
    <row r="176" spans="1:76" ht="20.100000000000001" hidden="1" customHeight="1">
      <c r="A176" s="376">
        <v>33</v>
      </c>
      <c r="B176" s="378" t="str">
        <f>IFERROR(INDEX(Database_Charms,MATCH($N176,Database_Charms_Names,0),MATCH(B$111,Database_Charms_Values,0)),"")</f>
        <v/>
      </c>
      <c r="C176" s="378"/>
      <c r="D176" s="378"/>
      <c r="E176" s="378"/>
      <c r="F176" s="378"/>
      <c r="G176" s="33"/>
      <c r="H176" s="378" t="str">
        <f>IFERROR(INDEX(Database_Charms,MATCH($N176,Database_Charms_Names,0),MATCH("Ability_Subtype",Database_Charms_Values,0)),"")</f>
        <v/>
      </c>
      <c r="I176" s="378"/>
      <c r="J176" s="378"/>
      <c r="K176" s="378"/>
      <c r="L176" s="378"/>
      <c r="M176" s="23"/>
      <c r="N176" s="378" t="str">
        <f>VLOOKUP(A176,Values!$A$140:$O$239,IF(ISBLANK(VLOOKUP(A176,Values!$A$140:$O$239,13,0)),10,13),0)</f>
        <v/>
      </c>
      <c r="O176" s="378"/>
      <c r="P176" s="378"/>
      <c r="Q176" s="378"/>
      <c r="R176" s="378"/>
      <c r="S176" s="378"/>
      <c r="T176" s="378"/>
      <c r="U176" s="378"/>
      <c r="V176" s="378"/>
      <c r="W176" s="378"/>
      <c r="X176" s="378"/>
      <c r="Y176" s="378"/>
      <c r="Z176" s="378"/>
      <c r="AA176" s="378"/>
      <c r="AB176" s="23"/>
      <c r="AC176" s="302" t="str">
        <f>IFERROR(INDEX(Database_Charms,MATCH($N176,Database_Charms_Names,0),MATCH(AC$111,Database_Charms_Values,0)),"")</f>
        <v/>
      </c>
      <c r="AD176" s="302"/>
      <c r="AE176" s="302"/>
      <c r="AF176" s="302"/>
      <c r="AG176" s="302"/>
      <c r="AH176" s="125"/>
      <c r="AI176" s="302" t="str">
        <f>IFERROR(INDEX(Database_Charms,MATCH($N176,Database_Charms_Names,0),MATCH(AI$111,Database_Charms_Values,0)),"")</f>
        <v/>
      </c>
      <c r="AJ176" s="302"/>
      <c r="AK176" s="302"/>
      <c r="AL176" s="302"/>
      <c r="AM176" s="125"/>
      <c r="AN176" s="302" t="str">
        <f>IFERROR(INDEX(Database_Charms,MATCH($N176,Database_Charms_Names,0),MATCH(AN$111,Database_Charms_Values,0)),"")</f>
        <v/>
      </c>
      <c r="AO176" s="302"/>
      <c r="AP176" s="302"/>
      <c r="AQ176" s="302"/>
      <c r="AR176" s="302"/>
      <c r="AS176" s="125"/>
      <c r="AT176" s="302" t="str">
        <f>IFERROR(INDEX(Database_Charms,MATCH($N176,Database_Charms_Names,0),MATCH(AT$111,Database_Charms_Values,0)),"")</f>
        <v/>
      </c>
      <c r="AU176" s="302"/>
      <c r="AV176" s="125"/>
      <c r="AW176" s="302" t="str">
        <f>IFERROR(INDEX(Database_Charms,MATCH($N176,Database_Charms_Names,0),MATCH(AW$111,Database_Charms_Values,0)),"")</f>
        <v/>
      </c>
      <c r="AX176" s="302"/>
      <c r="AY176" s="302"/>
      <c r="AZ176" s="5"/>
      <c r="BA176" s="5"/>
      <c r="BB176" s="5"/>
      <c r="BC176" s="5"/>
      <c r="BD176" s="5"/>
      <c r="BE176" s="5"/>
      <c r="BF176" s="5"/>
      <c r="BG176" s="5"/>
      <c r="BH176" s="5"/>
      <c r="BI176" s="5"/>
      <c r="BJ176" s="5"/>
      <c r="BK176" s="5"/>
      <c r="BL176" s="5"/>
      <c r="BM176" s="5"/>
      <c r="BN176" s="5"/>
      <c r="BO176" s="5"/>
      <c r="BP176" s="5"/>
      <c r="BQ176" s="5"/>
      <c r="BR176" s="5"/>
      <c r="BS176" s="5"/>
      <c r="BT176" s="5"/>
      <c r="BU176" s="5"/>
      <c r="BV176" s="5"/>
      <c r="BW176" s="5"/>
      <c r="BX176" s="5"/>
    </row>
    <row r="177" spans="1:76" ht="39.950000000000003" hidden="1" customHeight="1">
      <c r="A177" s="379"/>
      <c r="B177" s="374" t="str">
        <f>IF(VLOOKUP(A176,Values!$A$140:$T$239,14,0)="",IF(VLOOKUP(A176,Values!$A$140:$T$239,11,0)="",IFERROR(INDEX(Database_Charms,MATCH($N176,Database_Charms_Names,0),MATCH(Charms!$S$1,Database_Charms_Values,0)),""),VLOOKUP(A176,Values!$A$140:$T$239,11,0)),VLOOKUP(A176,Values!$A$140:$T$239,14,0))</f>
        <v/>
      </c>
      <c r="C177" s="374"/>
      <c r="D177" s="374"/>
      <c r="E177" s="374"/>
      <c r="F177" s="374"/>
      <c r="G177" s="374"/>
      <c r="H177" s="374"/>
      <c r="I177" s="374"/>
      <c r="J177" s="374"/>
      <c r="K177" s="374"/>
      <c r="L177" s="374"/>
      <c r="M177" s="374"/>
      <c r="N177" s="374"/>
      <c r="O177" s="374"/>
      <c r="P177" s="374"/>
      <c r="Q177" s="374"/>
      <c r="R177" s="374"/>
      <c r="S177" s="374"/>
      <c r="T177" s="374"/>
      <c r="U177" s="374"/>
      <c r="V177" s="374"/>
      <c r="W177" s="374"/>
      <c r="X177" s="374"/>
      <c r="Y177" s="374"/>
      <c r="Z177" s="374"/>
      <c r="AA177" s="374"/>
      <c r="AB177" s="374"/>
      <c r="AC177" s="374"/>
      <c r="AD177" s="374"/>
      <c r="AE177" s="374"/>
      <c r="AF177" s="374"/>
      <c r="AG177" s="374"/>
      <c r="AH177" s="374"/>
      <c r="AI177" s="374"/>
      <c r="AJ177" s="374"/>
      <c r="AK177" s="374"/>
      <c r="AL177" s="374"/>
      <c r="AM177" s="374"/>
      <c r="AN177" s="374"/>
      <c r="AO177" s="374"/>
      <c r="AP177" s="374"/>
      <c r="AQ177" s="374"/>
      <c r="AR177" s="374"/>
      <c r="AS177" s="374"/>
      <c r="AT177" s="374"/>
      <c r="AU177" s="374"/>
      <c r="AV177" s="374"/>
      <c r="AW177" s="374"/>
      <c r="AX177" s="374"/>
      <c r="AY177" s="374"/>
      <c r="AZ177" s="5"/>
      <c r="BA177" s="5"/>
      <c r="BB177" s="5"/>
      <c r="BC177" s="5"/>
      <c r="BD177" s="5"/>
      <c r="BE177" s="5"/>
      <c r="BF177" s="5"/>
      <c r="BG177" s="5"/>
      <c r="BH177" s="5"/>
      <c r="BI177" s="5"/>
      <c r="BJ177" s="5"/>
      <c r="BK177" s="5"/>
      <c r="BL177" s="5"/>
      <c r="BM177" s="5"/>
      <c r="BN177" s="5"/>
      <c r="BO177" s="5"/>
      <c r="BP177" s="5"/>
      <c r="BQ177" s="5"/>
      <c r="BR177" s="5"/>
      <c r="BS177" s="5"/>
      <c r="BT177" s="5"/>
      <c r="BU177" s="5"/>
      <c r="BV177" s="5"/>
      <c r="BW177" s="5"/>
      <c r="BX177" s="5"/>
    </row>
    <row r="178" spans="1:76" ht="20.100000000000001" hidden="1" customHeight="1">
      <c r="A178" s="376">
        <v>34</v>
      </c>
      <c r="B178" s="378" t="str">
        <f>IFERROR(INDEX(Database_Charms,MATCH($N178,Database_Charms_Names,0),MATCH(B$111,Database_Charms_Values,0)),"")</f>
        <v/>
      </c>
      <c r="C178" s="378"/>
      <c r="D178" s="378"/>
      <c r="E178" s="378"/>
      <c r="F178" s="378"/>
      <c r="G178" s="33"/>
      <c r="H178" s="378" t="str">
        <f>IFERROR(INDEX(Database_Charms,MATCH($N178,Database_Charms_Names,0),MATCH("Ability_Subtype",Database_Charms_Values,0)),"")</f>
        <v/>
      </c>
      <c r="I178" s="378"/>
      <c r="J178" s="378"/>
      <c r="K178" s="378"/>
      <c r="L178" s="378"/>
      <c r="M178" s="23"/>
      <c r="N178" s="378" t="str">
        <f>VLOOKUP(A178,Values!$A$140:$O$239,IF(ISBLANK(VLOOKUP(A178,Values!$A$140:$O$239,13,0)),10,13),0)</f>
        <v/>
      </c>
      <c r="O178" s="378"/>
      <c r="P178" s="378"/>
      <c r="Q178" s="378"/>
      <c r="R178" s="378"/>
      <c r="S178" s="378"/>
      <c r="T178" s="378"/>
      <c r="U178" s="378"/>
      <c r="V178" s="378"/>
      <c r="W178" s="378"/>
      <c r="X178" s="378"/>
      <c r="Y178" s="378"/>
      <c r="Z178" s="378"/>
      <c r="AA178" s="378"/>
      <c r="AB178" s="23"/>
      <c r="AC178" s="302" t="str">
        <f>IFERROR(INDEX(Database_Charms,MATCH($N178,Database_Charms_Names,0),MATCH(AC$111,Database_Charms_Values,0)),"")</f>
        <v/>
      </c>
      <c r="AD178" s="302"/>
      <c r="AE178" s="302"/>
      <c r="AF178" s="302"/>
      <c r="AG178" s="302"/>
      <c r="AH178" s="125"/>
      <c r="AI178" s="302" t="str">
        <f>IFERROR(INDEX(Database_Charms,MATCH($N178,Database_Charms_Names,0),MATCH(AI$111,Database_Charms_Values,0)),"")</f>
        <v/>
      </c>
      <c r="AJ178" s="302"/>
      <c r="AK178" s="302"/>
      <c r="AL178" s="302"/>
      <c r="AM178" s="125"/>
      <c r="AN178" s="302" t="str">
        <f>IFERROR(INDEX(Database_Charms,MATCH($N178,Database_Charms_Names,0),MATCH(AN$111,Database_Charms_Values,0)),"")</f>
        <v/>
      </c>
      <c r="AO178" s="302"/>
      <c r="AP178" s="302"/>
      <c r="AQ178" s="302"/>
      <c r="AR178" s="302"/>
      <c r="AS178" s="125"/>
      <c r="AT178" s="302" t="str">
        <f>IFERROR(INDEX(Database_Charms,MATCH($N178,Database_Charms_Names,0),MATCH(AT$111,Database_Charms_Values,0)),"")</f>
        <v/>
      </c>
      <c r="AU178" s="302"/>
      <c r="AV178" s="125"/>
      <c r="AW178" s="302" t="str">
        <f>IFERROR(INDEX(Database_Charms,MATCH($N178,Database_Charms_Names,0),MATCH(AW$111,Database_Charms_Values,0)),"")</f>
        <v/>
      </c>
      <c r="AX178" s="302"/>
      <c r="AY178" s="302"/>
      <c r="AZ178" s="5"/>
      <c r="BA178" s="5"/>
      <c r="BB178" s="5"/>
      <c r="BC178" s="5"/>
      <c r="BD178" s="5"/>
      <c r="BE178" s="5"/>
      <c r="BF178" s="5"/>
      <c r="BG178" s="5"/>
      <c r="BH178" s="5"/>
      <c r="BI178" s="5"/>
      <c r="BJ178" s="5"/>
      <c r="BK178" s="5"/>
      <c r="BL178" s="5"/>
      <c r="BM178" s="5"/>
      <c r="BN178" s="5"/>
      <c r="BO178" s="5"/>
      <c r="BP178" s="5"/>
      <c r="BQ178" s="5"/>
      <c r="BR178" s="5"/>
      <c r="BS178" s="5"/>
      <c r="BT178" s="5"/>
      <c r="BU178" s="5"/>
      <c r="BV178" s="5"/>
      <c r="BW178" s="5"/>
      <c r="BX178" s="5"/>
    </row>
    <row r="179" spans="1:76" ht="39.950000000000003" hidden="1" customHeight="1">
      <c r="A179" s="379"/>
      <c r="B179" s="374" t="str">
        <f>IF(VLOOKUP(A178,Values!$A$140:$T$239,14,0)="",IF(VLOOKUP(A178,Values!$A$140:$T$239,11,0)="",IFERROR(INDEX(Database_Charms,MATCH($N178,Database_Charms_Names,0),MATCH(Charms!$S$1,Database_Charms_Values,0)),""),VLOOKUP(A178,Values!$A$140:$T$239,11,0)),VLOOKUP(A178,Values!$A$140:$T$239,14,0))</f>
        <v/>
      </c>
      <c r="C179" s="374"/>
      <c r="D179" s="374"/>
      <c r="E179" s="374"/>
      <c r="F179" s="374"/>
      <c r="G179" s="374"/>
      <c r="H179" s="374"/>
      <c r="I179" s="374"/>
      <c r="J179" s="374"/>
      <c r="K179" s="374"/>
      <c r="L179" s="374"/>
      <c r="M179" s="374"/>
      <c r="N179" s="374"/>
      <c r="O179" s="374"/>
      <c r="P179" s="374"/>
      <c r="Q179" s="374"/>
      <c r="R179" s="374"/>
      <c r="S179" s="374"/>
      <c r="T179" s="374"/>
      <c r="U179" s="374"/>
      <c r="V179" s="374"/>
      <c r="W179" s="374"/>
      <c r="X179" s="374"/>
      <c r="Y179" s="374"/>
      <c r="Z179" s="374"/>
      <c r="AA179" s="374"/>
      <c r="AB179" s="374"/>
      <c r="AC179" s="374"/>
      <c r="AD179" s="374"/>
      <c r="AE179" s="374"/>
      <c r="AF179" s="374"/>
      <c r="AG179" s="374"/>
      <c r="AH179" s="374"/>
      <c r="AI179" s="374"/>
      <c r="AJ179" s="374"/>
      <c r="AK179" s="374"/>
      <c r="AL179" s="374"/>
      <c r="AM179" s="374"/>
      <c r="AN179" s="374"/>
      <c r="AO179" s="374"/>
      <c r="AP179" s="374"/>
      <c r="AQ179" s="374"/>
      <c r="AR179" s="374"/>
      <c r="AS179" s="374"/>
      <c r="AT179" s="374"/>
      <c r="AU179" s="374"/>
      <c r="AV179" s="374"/>
      <c r="AW179" s="374"/>
      <c r="AX179" s="374"/>
      <c r="AY179" s="374"/>
      <c r="AZ179" s="5"/>
      <c r="BA179" s="5"/>
      <c r="BB179" s="5"/>
      <c r="BC179" s="5"/>
      <c r="BD179" s="5"/>
      <c r="BE179" s="5"/>
      <c r="BF179" s="5"/>
      <c r="BG179" s="5"/>
      <c r="BH179" s="5"/>
      <c r="BI179" s="5"/>
      <c r="BJ179" s="5"/>
      <c r="BK179" s="5"/>
      <c r="BL179" s="5"/>
      <c r="BM179" s="5"/>
      <c r="BN179" s="5"/>
      <c r="BO179" s="5"/>
      <c r="BP179" s="5"/>
      <c r="BQ179" s="5"/>
      <c r="BR179" s="5"/>
      <c r="BS179" s="5"/>
      <c r="BT179" s="5"/>
      <c r="BU179" s="5"/>
      <c r="BV179" s="5"/>
      <c r="BW179" s="5"/>
      <c r="BX179" s="5"/>
    </row>
    <row r="180" spans="1:76" ht="20.100000000000001" hidden="1" customHeight="1">
      <c r="A180" s="376">
        <v>35</v>
      </c>
      <c r="B180" s="378" t="str">
        <f>IFERROR(INDEX(Database_Charms,MATCH($N180,Database_Charms_Names,0),MATCH(B$111,Database_Charms_Values,0)),"")</f>
        <v/>
      </c>
      <c r="C180" s="378"/>
      <c r="D180" s="378"/>
      <c r="E180" s="378"/>
      <c r="F180" s="378"/>
      <c r="G180" s="33"/>
      <c r="H180" s="378" t="str">
        <f>IFERROR(INDEX(Database_Charms,MATCH($N180,Database_Charms_Names,0),MATCH("Ability_Subtype",Database_Charms_Values,0)),"")</f>
        <v/>
      </c>
      <c r="I180" s="378"/>
      <c r="J180" s="378"/>
      <c r="K180" s="378"/>
      <c r="L180" s="378"/>
      <c r="M180" s="23"/>
      <c r="N180" s="378" t="str">
        <f>VLOOKUP(A180,Values!$A$140:$O$239,IF(ISBLANK(VLOOKUP(A180,Values!$A$140:$O$239,13,0)),10,13),0)</f>
        <v/>
      </c>
      <c r="O180" s="378"/>
      <c r="P180" s="378"/>
      <c r="Q180" s="378"/>
      <c r="R180" s="378"/>
      <c r="S180" s="378"/>
      <c r="T180" s="378"/>
      <c r="U180" s="378"/>
      <c r="V180" s="378"/>
      <c r="W180" s="378"/>
      <c r="X180" s="378"/>
      <c r="Y180" s="378"/>
      <c r="Z180" s="378"/>
      <c r="AA180" s="378"/>
      <c r="AB180" s="23"/>
      <c r="AC180" s="302" t="str">
        <f>IFERROR(INDEX(Database_Charms,MATCH($N180,Database_Charms_Names,0),MATCH(AC$111,Database_Charms_Values,0)),"")</f>
        <v/>
      </c>
      <c r="AD180" s="302"/>
      <c r="AE180" s="302"/>
      <c r="AF180" s="302"/>
      <c r="AG180" s="302"/>
      <c r="AH180" s="125"/>
      <c r="AI180" s="302" t="str">
        <f>IFERROR(INDEX(Database_Charms,MATCH($N180,Database_Charms_Names,0),MATCH(AI$111,Database_Charms_Values,0)),"")</f>
        <v/>
      </c>
      <c r="AJ180" s="302"/>
      <c r="AK180" s="302"/>
      <c r="AL180" s="302"/>
      <c r="AM180" s="125"/>
      <c r="AN180" s="302" t="str">
        <f>IFERROR(INDEX(Database_Charms,MATCH($N180,Database_Charms_Names,0),MATCH(AN$111,Database_Charms_Values,0)),"")</f>
        <v/>
      </c>
      <c r="AO180" s="302"/>
      <c r="AP180" s="302"/>
      <c r="AQ180" s="302"/>
      <c r="AR180" s="302"/>
      <c r="AS180" s="125"/>
      <c r="AT180" s="302" t="str">
        <f>IFERROR(INDEX(Database_Charms,MATCH($N180,Database_Charms_Names,0),MATCH(AT$111,Database_Charms_Values,0)),"")</f>
        <v/>
      </c>
      <c r="AU180" s="302"/>
      <c r="AV180" s="125"/>
      <c r="AW180" s="302" t="str">
        <f>IFERROR(INDEX(Database_Charms,MATCH($N180,Database_Charms_Names,0),MATCH(AW$111,Database_Charms_Values,0)),"")</f>
        <v/>
      </c>
      <c r="AX180" s="302"/>
      <c r="AY180" s="302"/>
      <c r="AZ180" s="5"/>
      <c r="BA180" s="5"/>
      <c r="BB180" s="5"/>
      <c r="BC180" s="5"/>
      <c r="BD180" s="5"/>
      <c r="BE180" s="5"/>
      <c r="BF180" s="5"/>
      <c r="BG180" s="5"/>
      <c r="BH180" s="5"/>
      <c r="BI180" s="5"/>
      <c r="BJ180" s="5"/>
      <c r="BK180" s="5"/>
      <c r="BL180" s="5"/>
      <c r="BM180" s="5"/>
      <c r="BN180" s="5"/>
      <c r="BO180" s="5"/>
      <c r="BP180" s="5"/>
      <c r="BQ180" s="5"/>
      <c r="BR180" s="5"/>
      <c r="BS180" s="5"/>
      <c r="BT180" s="5"/>
      <c r="BU180" s="5"/>
      <c r="BV180" s="5"/>
      <c r="BW180" s="5"/>
      <c r="BX180" s="5"/>
    </row>
    <row r="181" spans="1:76" ht="39.950000000000003" hidden="1" customHeight="1">
      <c r="A181" s="379"/>
      <c r="B181" s="374" t="str">
        <f>IF(VLOOKUP(A180,Values!$A$140:$T$239,14,0)="",IF(VLOOKUP(A180,Values!$A$140:$T$239,11,0)="",IFERROR(INDEX(Database_Charms,MATCH($N180,Database_Charms_Names,0),MATCH(Charms!$S$1,Database_Charms_Values,0)),""),VLOOKUP(A180,Values!$A$140:$T$239,11,0)),VLOOKUP(A180,Values!$A$140:$T$239,14,0))</f>
        <v/>
      </c>
      <c r="C181" s="374"/>
      <c r="D181" s="374"/>
      <c r="E181" s="374"/>
      <c r="F181" s="374"/>
      <c r="G181" s="374"/>
      <c r="H181" s="374"/>
      <c r="I181" s="374"/>
      <c r="J181" s="374"/>
      <c r="K181" s="374"/>
      <c r="L181" s="374"/>
      <c r="M181" s="374"/>
      <c r="N181" s="374"/>
      <c r="O181" s="374"/>
      <c r="P181" s="374"/>
      <c r="Q181" s="374"/>
      <c r="R181" s="374"/>
      <c r="S181" s="374"/>
      <c r="T181" s="374"/>
      <c r="U181" s="374"/>
      <c r="V181" s="374"/>
      <c r="W181" s="374"/>
      <c r="X181" s="374"/>
      <c r="Y181" s="374"/>
      <c r="Z181" s="374"/>
      <c r="AA181" s="374"/>
      <c r="AB181" s="374"/>
      <c r="AC181" s="374"/>
      <c r="AD181" s="374"/>
      <c r="AE181" s="374"/>
      <c r="AF181" s="374"/>
      <c r="AG181" s="374"/>
      <c r="AH181" s="374"/>
      <c r="AI181" s="374"/>
      <c r="AJ181" s="374"/>
      <c r="AK181" s="374"/>
      <c r="AL181" s="374"/>
      <c r="AM181" s="374"/>
      <c r="AN181" s="374"/>
      <c r="AO181" s="374"/>
      <c r="AP181" s="374"/>
      <c r="AQ181" s="374"/>
      <c r="AR181" s="374"/>
      <c r="AS181" s="374"/>
      <c r="AT181" s="374"/>
      <c r="AU181" s="374"/>
      <c r="AV181" s="374"/>
      <c r="AW181" s="374"/>
      <c r="AX181" s="374"/>
      <c r="AY181" s="374"/>
      <c r="AZ181" s="5"/>
      <c r="BA181" s="5"/>
      <c r="BB181" s="5"/>
      <c r="BC181" s="5"/>
      <c r="BD181" s="5"/>
      <c r="BE181" s="5"/>
      <c r="BF181" s="5"/>
      <c r="BG181" s="5"/>
      <c r="BH181" s="5"/>
      <c r="BI181" s="5"/>
      <c r="BJ181" s="5"/>
      <c r="BK181" s="5"/>
      <c r="BL181" s="5"/>
      <c r="BM181" s="5"/>
      <c r="BN181" s="5"/>
      <c r="BO181" s="5"/>
      <c r="BP181" s="5"/>
      <c r="BQ181" s="5"/>
      <c r="BR181" s="5"/>
      <c r="BS181" s="5"/>
      <c r="BT181" s="5"/>
      <c r="BU181" s="5"/>
      <c r="BV181" s="5"/>
      <c r="BW181" s="5"/>
      <c r="BX181" s="5"/>
    </row>
    <row r="182" spans="1:76" ht="20.100000000000001" hidden="1" customHeight="1">
      <c r="A182" s="376">
        <v>36</v>
      </c>
      <c r="B182" s="378" t="str">
        <f>IFERROR(INDEX(Database_Charms,MATCH($N182,Database_Charms_Names,0),MATCH(B$111,Database_Charms_Values,0)),"")</f>
        <v/>
      </c>
      <c r="C182" s="378"/>
      <c r="D182" s="378"/>
      <c r="E182" s="378"/>
      <c r="F182" s="378"/>
      <c r="G182" s="33"/>
      <c r="H182" s="378" t="str">
        <f>IFERROR(INDEX(Database_Charms,MATCH($N182,Database_Charms_Names,0),MATCH("Ability_Subtype",Database_Charms_Values,0)),"")</f>
        <v/>
      </c>
      <c r="I182" s="378"/>
      <c r="J182" s="378"/>
      <c r="K182" s="378"/>
      <c r="L182" s="378"/>
      <c r="M182" s="23"/>
      <c r="N182" s="378" t="str">
        <f>VLOOKUP(A182,Values!$A$140:$O$239,IF(ISBLANK(VLOOKUP(A182,Values!$A$140:$O$239,13,0)),10,13),0)</f>
        <v/>
      </c>
      <c r="O182" s="378"/>
      <c r="P182" s="378"/>
      <c r="Q182" s="378"/>
      <c r="R182" s="378"/>
      <c r="S182" s="378"/>
      <c r="T182" s="378"/>
      <c r="U182" s="378"/>
      <c r="V182" s="378"/>
      <c r="W182" s="378"/>
      <c r="X182" s="378"/>
      <c r="Y182" s="378"/>
      <c r="Z182" s="378"/>
      <c r="AA182" s="378"/>
      <c r="AB182" s="23"/>
      <c r="AC182" s="302" t="str">
        <f>IFERROR(INDEX(Database_Charms,MATCH($N182,Database_Charms_Names,0),MATCH(AC$111,Database_Charms_Values,0)),"")</f>
        <v/>
      </c>
      <c r="AD182" s="302"/>
      <c r="AE182" s="302"/>
      <c r="AF182" s="302"/>
      <c r="AG182" s="302"/>
      <c r="AH182" s="125"/>
      <c r="AI182" s="302" t="str">
        <f>IFERROR(INDEX(Database_Charms,MATCH($N182,Database_Charms_Names,0),MATCH(AI$111,Database_Charms_Values,0)),"")</f>
        <v/>
      </c>
      <c r="AJ182" s="302"/>
      <c r="AK182" s="302"/>
      <c r="AL182" s="302"/>
      <c r="AM182" s="125"/>
      <c r="AN182" s="302" t="str">
        <f>IFERROR(INDEX(Database_Charms,MATCH($N182,Database_Charms_Names,0),MATCH(AN$111,Database_Charms_Values,0)),"")</f>
        <v/>
      </c>
      <c r="AO182" s="302"/>
      <c r="AP182" s="302"/>
      <c r="AQ182" s="302"/>
      <c r="AR182" s="302"/>
      <c r="AS182" s="125"/>
      <c r="AT182" s="302" t="str">
        <f>IFERROR(INDEX(Database_Charms,MATCH($N182,Database_Charms_Names,0),MATCH(AT$111,Database_Charms_Values,0)),"")</f>
        <v/>
      </c>
      <c r="AU182" s="302"/>
      <c r="AV182" s="125"/>
      <c r="AW182" s="302" t="str">
        <f>IFERROR(INDEX(Database_Charms,MATCH($N182,Database_Charms_Names,0),MATCH(AW$111,Database_Charms_Values,0)),"")</f>
        <v/>
      </c>
      <c r="AX182" s="302"/>
      <c r="AY182" s="302"/>
      <c r="AZ182" s="5"/>
      <c r="BA182" s="5"/>
      <c r="BB182" s="5"/>
      <c r="BC182" s="5"/>
      <c r="BD182" s="5"/>
      <c r="BE182" s="5"/>
      <c r="BF182" s="5"/>
      <c r="BG182" s="5"/>
      <c r="BH182" s="5"/>
      <c r="BI182" s="5"/>
      <c r="BJ182" s="5"/>
      <c r="BK182" s="5"/>
      <c r="BL182" s="5"/>
      <c r="BM182" s="5"/>
      <c r="BN182" s="5"/>
      <c r="BO182" s="5"/>
      <c r="BP182" s="5"/>
      <c r="BQ182" s="5"/>
      <c r="BR182" s="5"/>
      <c r="BS182" s="5"/>
      <c r="BT182" s="5"/>
      <c r="BU182" s="5"/>
      <c r="BV182" s="5"/>
      <c r="BW182" s="5"/>
      <c r="BX182" s="5"/>
    </row>
    <row r="183" spans="1:76" ht="39.950000000000003" hidden="1" customHeight="1">
      <c r="A183" s="379"/>
      <c r="B183" s="374" t="str">
        <f>IF(VLOOKUP(A182,Values!$A$140:$T$239,14,0)="",IF(VLOOKUP(A182,Values!$A$140:$T$239,11,0)="",IFERROR(INDEX(Database_Charms,MATCH($N182,Database_Charms_Names,0),MATCH(Charms!$S$1,Database_Charms_Values,0)),""),VLOOKUP(A182,Values!$A$140:$T$239,11,0)),VLOOKUP(A182,Values!$A$140:$T$239,14,0))</f>
        <v/>
      </c>
      <c r="C183" s="374"/>
      <c r="D183" s="374"/>
      <c r="E183" s="374"/>
      <c r="F183" s="374"/>
      <c r="G183" s="374"/>
      <c r="H183" s="374"/>
      <c r="I183" s="374"/>
      <c r="J183" s="374"/>
      <c r="K183" s="374"/>
      <c r="L183" s="374"/>
      <c r="M183" s="374"/>
      <c r="N183" s="374"/>
      <c r="O183" s="374"/>
      <c r="P183" s="374"/>
      <c r="Q183" s="374"/>
      <c r="R183" s="374"/>
      <c r="S183" s="374"/>
      <c r="T183" s="374"/>
      <c r="U183" s="374"/>
      <c r="V183" s="374"/>
      <c r="W183" s="374"/>
      <c r="X183" s="374"/>
      <c r="Y183" s="374"/>
      <c r="Z183" s="374"/>
      <c r="AA183" s="374"/>
      <c r="AB183" s="374"/>
      <c r="AC183" s="374"/>
      <c r="AD183" s="374"/>
      <c r="AE183" s="374"/>
      <c r="AF183" s="374"/>
      <c r="AG183" s="374"/>
      <c r="AH183" s="374"/>
      <c r="AI183" s="374"/>
      <c r="AJ183" s="374"/>
      <c r="AK183" s="374"/>
      <c r="AL183" s="374"/>
      <c r="AM183" s="374"/>
      <c r="AN183" s="374"/>
      <c r="AO183" s="374"/>
      <c r="AP183" s="374"/>
      <c r="AQ183" s="374"/>
      <c r="AR183" s="374"/>
      <c r="AS183" s="374"/>
      <c r="AT183" s="374"/>
      <c r="AU183" s="374"/>
      <c r="AV183" s="374"/>
      <c r="AW183" s="374"/>
      <c r="AX183" s="374"/>
      <c r="AY183" s="374"/>
      <c r="AZ183" s="5"/>
      <c r="BA183" s="5"/>
      <c r="BB183" s="5"/>
      <c r="BC183" s="5"/>
      <c r="BD183" s="5"/>
      <c r="BE183" s="5"/>
      <c r="BF183" s="5"/>
      <c r="BG183" s="5"/>
      <c r="BH183" s="5"/>
      <c r="BI183" s="5"/>
      <c r="BJ183" s="5"/>
      <c r="BK183" s="5"/>
      <c r="BL183" s="5"/>
      <c r="BM183" s="5"/>
      <c r="BN183" s="5"/>
      <c r="BO183" s="5"/>
      <c r="BP183" s="5"/>
      <c r="BQ183" s="5"/>
      <c r="BR183" s="5"/>
      <c r="BS183" s="5"/>
      <c r="BT183" s="5"/>
      <c r="BU183" s="5"/>
      <c r="BV183" s="5"/>
      <c r="BW183" s="5"/>
      <c r="BX183" s="5"/>
    </row>
    <row r="184" spans="1:76" ht="20.100000000000001" hidden="1" customHeight="1">
      <c r="A184" s="376">
        <v>37</v>
      </c>
      <c r="B184" s="378" t="str">
        <f>IFERROR(INDEX(Database_Charms,MATCH($N184,Database_Charms_Names,0),MATCH(B$111,Database_Charms_Values,0)),"")</f>
        <v/>
      </c>
      <c r="C184" s="378"/>
      <c r="D184" s="378"/>
      <c r="E184" s="378"/>
      <c r="F184" s="378"/>
      <c r="G184" s="33"/>
      <c r="H184" s="378" t="str">
        <f>IFERROR(INDEX(Database_Charms,MATCH($N184,Database_Charms_Names,0),MATCH("Ability_Subtype",Database_Charms_Values,0)),"")</f>
        <v/>
      </c>
      <c r="I184" s="378"/>
      <c r="J184" s="378"/>
      <c r="K184" s="378"/>
      <c r="L184" s="378"/>
      <c r="M184" s="23"/>
      <c r="N184" s="378" t="str">
        <f>VLOOKUP(A184,Values!$A$140:$O$239,IF(ISBLANK(VLOOKUP(A184,Values!$A$140:$O$239,13,0)),10,13),0)</f>
        <v/>
      </c>
      <c r="O184" s="378"/>
      <c r="P184" s="378"/>
      <c r="Q184" s="378"/>
      <c r="R184" s="378"/>
      <c r="S184" s="378"/>
      <c r="T184" s="378"/>
      <c r="U184" s="378"/>
      <c r="V184" s="378"/>
      <c r="W184" s="378"/>
      <c r="X184" s="378"/>
      <c r="Y184" s="378"/>
      <c r="Z184" s="378"/>
      <c r="AA184" s="378"/>
      <c r="AB184" s="23"/>
      <c r="AC184" s="302" t="str">
        <f>IFERROR(INDEX(Database_Charms,MATCH($N184,Database_Charms_Names,0),MATCH(AC$111,Database_Charms_Values,0)),"")</f>
        <v/>
      </c>
      <c r="AD184" s="302"/>
      <c r="AE184" s="302"/>
      <c r="AF184" s="302"/>
      <c r="AG184" s="302"/>
      <c r="AH184" s="125"/>
      <c r="AI184" s="302" t="str">
        <f>IFERROR(INDEX(Database_Charms,MATCH($N184,Database_Charms_Names,0),MATCH(AI$111,Database_Charms_Values,0)),"")</f>
        <v/>
      </c>
      <c r="AJ184" s="302"/>
      <c r="AK184" s="302"/>
      <c r="AL184" s="302"/>
      <c r="AM184" s="125"/>
      <c r="AN184" s="302" t="str">
        <f>IFERROR(INDEX(Database_Charms,MATCH($N184,Database_Charms_Names,0),MATCH(AN$111,Database_Charms_Values,0)),"")</f>
        <v/>
      </c>
      <c r="AO184" s="302"/>
      <c r="AP184" s="302"/>
      <c r="AQ184" s="302"/>
      <c r="AR184" s="302"/>
      <c r="AS184" s="125"/>
      <c r="AT184" s="302" t="str">
        <f>IFERROR(INDEX(Database_Charms,MATCH($N184,Database_Charms_Names,0),MATCH(AT$111,Database_Charms_Values,0)),"")</f>
        <v/>
      </c>
      <c r="AU184" s="302"/>
      <c r="AV184" s="125"/>
      <c r="AW184" s="302" t="str">
        <f>IFERROR(INDEX(Database_Charms,MATCH($N184,Database_Charms_Names,0),MATCH(AW$111,Database_Charms_Values,0)),"")</f>
        <v/>
      </c>
      <c r="AX184" s="302"/>
      <c r="AY184" s="302"/>
      <c r="AZ184" s="5"/>
      <c r="BA184" s="5"/>
      <c r="BB184" s="5"/>
      <c r="BC184" s="5"/>
      <c r="BD184" s="5"/>
      <c r="BE184" s="5"/>
      <c r="BF184" s="5"/>
      <c r="BG184" s="5"/>
      <c r="BH184" s="5"/>
      <c r="BI184" s="5"/>
      <c r="BJ184" s="5"/>
      <c r="BK184" s="5"/>
      <c r="BL184" s="5"/>
      <c r="BM184" s="5"/>
      <c r="BN184" s="5"/>
      <c r="BO184" s="5"/>
      <c r="BP184" s="5"/>
      <c r="BQ184" s="5"/>
      <c r="BR184" s="5"/>
      <c r="BS184" s="5"/>
      <c r="BT184" s="5"/>
      <c r="BU184" s="5"/>
      <c r="BV184" s="5"/>
      <c r="BW184" s="5"/>
      <c r="BX184" s="5"/>
    </row>
    <row r="185" spans="1:76" ht="39.950000000000003" hidden="1" customHeight="1">
      <c r="A185" s="379"/>
      <c r="B185" s="374" t="str">
        <f>IF(VLOOKUP(A184,Values!$A$140:$T$239,14,0)="",IF(VLOOKUP(A184,Values!$A$140:$T$239,11,0)="",IFERROR(INDEX(Database_Charms,MATCH($N184,Database_Charms_Names,0),MATCH(Charms!$S$1,Database_Charms_Values,0)),""),VLOOKUP(A184,Values!$A$140:$T$239,11,0)),VLOOKUP(A184,Values!$A$140:$T$239,14,0))</f>
        <v/>
      </c>
      <c r="C185" s="374"/>
      <c r="D185" s="374"/>
      <c r="E185" s="374"/>
      <c r="F185" s="374"/>
      <c r="G185" s="374"/>
      <c r="H185" s="374"/>
      <c r="I185" s="374"/>
      <c r="J185" s="374"/>
      <c r="K185" s="374"/>
      <c r="L185" s="374"/>
      <c r="M185" s="374"/>
      <c r="N185" s="374"/>
      <c r="O185" s="374"/>
      <c r="P185" s="374"/>
      <c r="Q185" s="374"/>
      <c r="R185" s="374"/>
      <c r="S185" s="374"/>
      <c r="T185" s="374"/>
      <c r="U185" s="374"/>
      <c r="V185" s="374"/>
      <c r="W185" s="374"/>
      <c r="X185" s="374"/>
      <c r="Y185" s="374"/>
      <c r="Z185" s="374"/>
      <c r="AA185" s="374"/>
      <c r="AB185" s="374"/>
      <c r="AC185" s="374"/>
      <c r="AD185" s="374"/>
      <c r="AE185" s="374"/>
      <c r="AF185" s="374"/>
      <c r="AG185" s="374"/>
      <c r="AH185" s="374"/>
      <c r="AI185" s="374"/>
      <c r="AJ185" s="374"/>
      <c r="AK185" s="374"/>
      <c r="AL185" s="374"/>
      <c r="AM185" s="374"/>
      <c r="AN185" s="374"/>
      <c r="AO185" s="374"/>
      <c r="AP185" s="374"/>
      <c r="AQ185" s="374"/>
      <c r="AR185" s="374"/>
      <c r="AS185" s="374"/>
      <c r="AT185" s="374"/>
      <c r="AU185" s="374"/>
      <c r="AV185" s="374"/>
      <c r="AW185" s="374"/>
      <c r="AX185" s="374"/>
      <c r="AY185" s="374"/>
      <c r="AZ185" s="5"/>
      <c r="BA185" s="5"/>
      <c r="BB185" s="5"/>
      <c r="BC185" s="5"/>
      <c r="BD185" s="5"/>
      <c r="BE185" s="5"/>
      <c r="BF185" s="5"/>
      <c r="BG185" s="5"/>
      <c r="BH185" s="5"/>
      <c r="BI185" s="5"/>
      <c r="BJ185" s="5"/>
      <c r="BK185" s="5"/>
      <c r="BL185" s="5"/>
      <c r="BM185" s="5"/>
      <c r="BN185" s="5"/>
      <c r="BO185" s="5"/>
      <c r="BP185" s="5"/>
      <c r="BQ185" s="5"/>
      <c r="BR185" s="5"/>
      <c r="BS185" s="5"/>
      <c r="BT185" s="5"/>
      <c r="BU185" s="5"/>
      <c r="BV185" s="5"/>
      <c r="BW185" s="5"/>
      <c r="BX185" s="5"/>
    </row>
    <row r="186" spans="1:76" ht="20.100000000000001" hidden="1" customHeight="1">
      <c r="A186" s="376">
        <v>38</v>
      </c>
      <c r="B186" s="378" t="str">
        <f>IFERROR(INDEX(Database_Charms,MATCH($N186,Database_Charms_Names,0),MATCH(B$111,Database_Charms_Values,0)),"")</f>
        <v/>
      </c>
      <c r="C186" s="378"/>
      <c r="D186" s="378"/>
      <c r="E186" s="378"/>
      <c r="F186" s="378"/>
      <c r="G186" s="33"/>
      <c r="H186" s="378" t="str">
        <f>IFERROR(INDEX(Database_Charms,MATCH($N186,Database_Charms_Names,0),MATCH("Ability_Subtype",Database_Charms_Values,0)),"")</f>
        <v/>
      </c>
      <c r="I186" s="378"/>
      <c r="J186" s="378"/>
      <c r="K186" s="378"/>
      <c r="L186" s="378"/>
      <c r="M186" s="23"/>
      <c r="N186" s="378" t="str">
        <f>VLOOKUP(A186,Values!$A$140:$O$239,IF(ISBLANK(VLOOKUP(A186,Values!$A$140:$O$239,13,0)),10,13),0)</f>
        <v/>
      </c>
      <c r="O186" s="378"/>
      <c r="P186" s="378"/>
      <c r="Q186" s="378"/>
      <c r="R186" s="378"/>
      <c r="S186" s="378"/>
      <c r="T186" s="378"/>
      <c r="U186" s="378"/>
      <c r="V186" s="378"/>
      <c r="W186" s="378"/>
      <c r="X186" s="378"/>
      <c r="Y186" s="378"/>
      <c r="Z186" s="378"/>
      <c r="AA186" s="378"/>
      <c r="AB186" s="23"/>
      <c r="AC186" s="302" t="str">
        <f>IFERROR(INDEX(Database_Charms,MATCH($N186,Database_Charms_Names,0),MATCH(AC$111,Database_Charms_Values,0)),"")</f>
        <v/>
      </c>
      <c r="AD186" s="302"/>
      <c r="AE186" s="302"/>
      <c r="AF186" s="302"/>
      <c r="AG186" s="302"/>
      <c r="AH186" s="125"/>
      <c r="AI186" s="302" t="str">
        <f>IFERROR(INDEX(Database_Charms,MATCH($N186,Database_Charms_Names,0),MATCH(AI$111,Database_Charms_Values,0)),"")</f>
        <v/>
      </c>
      <c r="AJ186" s="302"/>
      <c r="AK186" s="302"/>
      <c r="AL186" s="302"/>
      <c r="AM186" s="125"/>
      <c r="AN186" s="302" t="str">
        <f>IFERROR(INDEX(Database_Charms,MATCH($N186,Database_Charms_Names,0),MATCH(AN$111,Database_Charms_Values,0)),"")</f>
        <v/>
      </c>
      <c r="AO186" s="302"/>
      <c r="AP186" s="302"/>
      <c r="AQ186" s="302"/>
      <c r="AR186" s="302"/>
      <c r="AS186" s="125"/>
      <c r="AT186" s="302" t="str">
        <f>IFERROR(INDEX(Database_Charms,MATCH($N186,Database_Charms_Names,0),MATCH(AT$111,Database_Charms_Values,0)),"")</f>
        <v/>
      </c>
      <c r="AU186" s="302"/>
      <c r="AV186" s="125"/>
      <c r="AW186" s="302" t="str">
        <f>IFERROR(INDEX(Database_Charms,MATCH($N186,Database_Charms_Names,0),MATCH(AW$111,Database_Charms_Values,0)),"")</f>
        <v/>
      </c>
      <c r="AX186" s="302"/>
      <c r="AY186" s="302"/>
      <c r="AZ186" s="5"/>
      <c r="BA186" s="5"/>
      <c r="BB186" s="5"/>
      <c r="BC186" s="5"/>
      <c r="BD186" s="5"/>
      <c r="BE186" s="5"/>
      <c r="BF186" s="5"/>
      <c r="BG186" s="5"/>
      <c r="BH186" s="5"/>
      <c r="BI186" s="5"/>
      <c r="BJ186" s="5"/>
      <c r="BK186" s="5"/>
      <c r="BL186" s="5"/>
      <c r="BM186" s="5"/>
      <c r="BN186" s="5"/>
      <c r="BO186" s="5"/>
      <c r="BP186" s="5"/>
      <c r="BQ186" s="5"/>
      <c r="BR186" s="5"/>
      <c r="BS186" s="5"/>
      <c r="BT186" s="5"/>
      <c r="BU186" s="5"/>
      <c r="BV186" s="5"/>
      <c r="BW186" s="5"/>
      <c r="BX186" s="5"/>
    </row>
    <row r="187" spans="1:76" ht="39.950000000000003" hidden="1" customHeight="1">
      <c r="A187" s="379"/>
      <c r="B187" s="374" t="str">
        <f>IF(VLOOKUP(A186,Values!$A$140:$T$239,14,0)="",IF(VLOOKUP(A186,Values!$A$140:$T$239,11,0)="",IFERROR(INDEX(Database_Charms,MATCH($N186,Database_Charms_Names,0),MATCH(Charms!$S$1,Database_Charms_Values,0)),""),VLOOKUP(A186,Values!$A$140:$T$239,11,0)),VLOOKUP(A186,Values!$A$140:$T$239,14,0))</f>
        <v/>
      </c>
      <c r="C187" s="374"/>
      <c r="D187" s="374"/>
      <c r="E187" s="374"/>
      <c r="F187" s="374"/>
      <c r="G187" s="374"/>
      <c r="H187" s="374"/>
      <c r="I187" s="374"/>
      <c r="J187" s="374"/>
      <c r="K187" s="374"/>
      <c r="L187" s="374"/>
      <c r="M187" s="374"/>
      <c r="N187" s="374"/>
      <c r="O187" s="374"/>
      <c r="P187" s="374"/>
      <c r="Q187" s="374"/>
      <c r="R187" s="374"/>
      <c r="S187" s="374"/>
      <c r="T187" s="374"/>
      <c r="U187" s="374"/>
      <c r="V187" s="374"/>
      <c r="W187" s="374"/>
      <c r="X187" s="374"/>
      <c r="Y187" s="374"/>
      <c r="Z187" s="374"/>
      <c r="AA187" s="374"/>
      <c r="AB187" s="374"/>
      <c r="AC187" s="374"/>
      <c r="AD187" s="374"/>
      <c r="AE187" s="374"/>
      <c r="AF187" s="374"/>
      <c r="AG187" s="374"/>
      <c r="AH187" s="374"/>
      <c r="AI187" s="374"/>
      <c r="AJ187" s="374"/>
      <c r="AK187" s="374"/>
      <c r="AL187" s="374"/>
      <c r="AM187" s="374"/>
      <c r="AN187" s="374"/>
      <c r="AO187" s="374"/>
      <c r="AP187" s="374"/>
      <c r="AQ187" s="374"/>
      <c r="AR187" s="374"/>
      <c r="AS187" s="374"/>
      <c r="AT187" s="374"/>
      <c r="AU187" s="374"/>
      <c r="AV187" s="374"/>
      <c r="AW187" s="374"/>
      <c r="AX187" s="374"/>
      <c r="AY187" s="374"/>
      <c r="AZ187" s="5"/>
      <c r="BA187" s="5"/>
      <c r="BB187" s="5"/>
      <c r="BC187" s="5"/>
      <c r="BD187" s="5"/>
      <c r="BE187" s="5"/>
      <c r="BF187" s="5"/>
      <c r="BG187" s="5"/>
      <c r="BH187" s="5"/>
      <c r="BI187" s="5"/>
      <c r="BJ187" s="5"/>
      <c r="BK187" s="5"/>
      <c r="BL187" s="5"/>
      <c r="BM187" s="5"/>
      <c r="BN187" s="5"/>
      <c r="BO187" s="5"/>
      <c r="BP187" s="5"/>
      <c r="BQ187" s="5"/>
      <c r="BR187" s="5"/>
      <c r="BS187" s="5"/>
      <c r="BT187" s="5"/>
      <c r="BU187" s="5"/>
      <c r="BV187" s="5"/>
      <c r="BW187" s="5"/>
      <c r="BX187" s="5"/>
    </row>
    <row r="188" spans="1:76" ht="20.100000000000001" hidden="1" customHeight="1">
      <c r="A188" s="376">
        <v>39</v>
      </c>
      <c r="B188" s="378" t="str">
        <f>IFERROR(INDEX(Database_Charms,MATCH($N188,Database_Charms_Names,0),MATCH(B$111,Database_Charms_Values,0)),"")</f>
        <v/>
      </c>
      <c r="C188" s="378"/>
      <c r="D188" s="378"/>
      <c r="E188" s="378"/>
      <c r="F188" s="378"/>
      <c r="G188" s="33"/>
      <c r="H188" s="378" t="str">
        <f>IFERROR(INDEX(Database_Charms,MATCH($N188,Database_Charms_Names,0),MATCH("Ability_Subtype",Database_Charms_Values,0)),"")</f>
        <v/>
      </c>
      <c r="I188" s="378"/>
      <c r="J188" s="378"/>
      <c r="K188" s="378"/>
      <c r="L188" s="378"/>
      <c r="M188" s="23"/>
      <c r="N188" s="378" t="str">
        <f>VLOOKUP(A188,Values!$A$140:$O$239,IF(ISBLANK(VLOOKUP(A188,Values!$A$140:$O$239,13,0)),10,13),0)</f>
        <v/>
      </c>
      <c r="O188" s="378"/>
      <c r="P188" s="378"/>
      <c r="Q188" s="378"/>
      <c r="R188" s="378"/>
      <c r="S188" s="378"/>
      <c r="T188" s="378"/>
      <c r="U188" s="378"/>
      <c r="V188" s="378"/>
      <c r="W188" s="378"/>
      <c r="X188" s="378"/>
      <c r="Y188" s="378"/>
      <c r="Z188" s="378"/>
      <c r="AA188" s="378"/>
      <c r="AB188" s="23"/>
      <c r="AC188" s="302" t="str">
        <f>IFERROR(INDEX(Database_Charms,MATCH($N188,Database_Charms_Names,0),MATCH(AC$111,Database_Charms_Values,0)),"")</f>
        <v/>
      </c>
      <c r="AD188" s="302"/>
      <c r="AE188" s="302"/>
      <c r="AF188" s="302"/>
      <c r="AG188" s="302"/>
      <c r="AH188" s="125"/>
      <c r="AI188" s="302" t="str">
        <f>IFERROR(INDEX(Database_Charms,MATCH($N188,Database_Charms_Names,0),MATCH(AI$111,Database_Charms_Values,0)),"")</f>
        <v/>
      </c>
      <c r="AJ188" s="302"/>
      <c r="AK188" s="302"/>
      <c r="AL188" s="302"/>
      <c r="AM188" s="125"/>
      <c r="AN188" s="302" t="str">
        <f>IFERROR(INDEX(Database_Charms,MATCH($N188,Database_Charms_Names,0),MATCH(AN$111,Database_Charms_Values,0)),"")</f>
        <v/>
      </c>
      <c r="AO188" s="302"/>
      <c r="AP188" s="302"/>
      <c r="AQ188" s="302"/>
      <c r="AR188" s="302"/>
      <c r="AS188" s="125"/>
      <c r="AT188" s="302" t="str">
        <f>IFERROR(INDEX(Database_Charms,MATCH($N188,Database_Charms_Names,0),MATCH(AT$111,Database_Charms_Values,0)),"")</f>
        <v/>
      </c>
      <c r="AU188" s="302"/>
      <c r="AV188" s="125"/>
      <c r="AW188" s="302" t="str">
        <f>IFERROR(INDEX(Database_Charms,MATCH($N188,Database_Charms_Names,0),MATCH(AW$111,Database_Charms_Values,0)),"")</f>
        <v/>
      </c>
      <c r="AX188" s="302"/>
      <c r="AY188" s="302"/>
      <c r="AZ188" s="5"/>
      <c r="BA188" s="5"/>
      <c r="BB188" s="5"/>
      <c r="BC188" s="5"/>
      <c r="BD188" s="5"/>
      <c r="BE188" s="5"/>
      <c r="BF188" s="5"/>
      <c r="BG188" s="5"/>
      <c r="BH188" s="5"/>
      <c r="BI188" s="5"/>
      <c r="BJ188" s="5"/>
      <c r="BK188" s="5"/>
      <c r="BL188" s="5"/>
      <c r="BM188" s="5"/>
      <c r="BN188" s="5"/>
      <c r="BO188" s="5"/>
      <c r="BP188" s="5"/>
      <c r="BQ188" s="5"/>
      <c r="BR188" s="5"/>
      <c r="BS188" s="5"/>
      <c r="BT188" s="5"/>
      <c r="BU188" s="5"/>
      <c r="BV188" s="5"/>
      <c r="BW188" s="5"/>
      <c r="BX188" s="5"/>
    </row>
    <row r="189" spans="1:76" ht="39.950000000000003" hidden="1" customHeight="1">
      <c r="A189" s="379"/>
      <c r="B189" s="374" t="str">
        <f>IF(VLOOKUP(A188,Values!$A$140:$T$239,14,0)="",IF(VLOOKUP(A188,Values!$A$140:$T$239,11,0)="",IFERROR(INDEX(Database_Charms,MATCH($N188,Database_Charms_Names,0),MATCH(Charms!$S$1,Database_Charms_Values,0)),""),VLOOKUP(A188,Values!$A$140:$T$239,11,0)),VLOOKUP(A188,Values!$A$140:$T$239,14,0))</f>
        <v/>
      </c>
      <c r="C189" s="374"/>
      <c r="D189" s="374"/>
      <c r="E189" s="374"/>
      <c r="F189" s="374"/>
      <c r="G189" s="374"/>
      <c r="H189" s="374"/>
      <c r="I189" s="374"/>
      <c r="J189" s="374"/>
      <c r="K189" s="374"/>
      <c r="L189" s="374"/>
      <c r="M189" s="374"/>
      <c r="N189" s="374"/>
      <c r="O189" s="374"/>
      <c r="P189" s="374"/>
      <c r="Q189" s="374"/>
      <c r="R189" s="374"/>
      <c r="S189" s="374"/>
      <c r="T189" s="374"/>
      <c r="U189" s="374"/>
      <c r="V189" s="374"/>
      <c r="W189" s="374"/>
      <c r="X189" s="374"/>
      <c r="Y189" s="374"/>
      <c r="Z189" s="374"/>
      <c r="AA189" s="374"/>
      <c r="AB189" s="374"/>
      <c r="AC189" s="374"/>
      <c r="AD189" s="374"/>
      <c r="AE189" s="374"/>
      <c r="AF189" s="374"/>
      <c r="AG189" s="374"/>
      <c r="AH189" s="374"/>
      <c r="AI189" s="374"/>
      <c r="AJ189" s="374"/>
      <c r="AK189" s="374"/>
      <c r="AL189" s="374"/>
      <c r="AM189" s="374"/>
      <c r="AN189" s="374"/>
      <c r="AO189" s="374"/>
      <c r="AP189" s="374"/>
      <c r="AQ189" s="374"/>
      <c r="AR189" s="374"/>
      <c r="AS189" s="374"/>
      <c r="AT189" s="374"/>
      <c r="AU189" s="374"/>
      <c r="AV189" s="374"/>
      <c r="AW189" s="374"/>
      <c r="AX189" s="374"/>
      <c r="AY189" s="374"/>
      <c r="AZ189" s="5"/>
      <c r="BA189" s="41" t="s">
        <v>3262</v>
      </c>
      <c r="BB189" s="5"/>
      <c r="BC189" s="5"/>
      <c r="BD189" s="5"/>
      <c r="BE189" s="5"/>
      <c r="BF189" s="5"/>
      <c r="BG189" s="5"/>
      <c r="BH189" s="5"/>
      <c r="BI189" s="5"/>
      <c r="BJ189" s="5"/>
      <c r="BK189" s="5"/>
      <c r="BL189" s="5"/>
      <c r="BM189" s="5"/>
      <c r="BN189" s="5"/>
      <c r="BO189" s="5"/>
      <c r="BP189" s="5"/>
      <c r="BQ189" s="5"/>
      <c r="BR189" s="5"/>
      <c r="BS189" s="5"/>
      <c r="BT189" s="5"/>
      <c r="BU189" s="5"/>
      <c r="BV189" s="5"/>
      <c r="BW189" s="5"/>
      <c r="BX189" s="5"/>
    </row>
    <row r="190" spans="1:76" ht="20.100000000000001" hidden="1" customHeight="1">
      <c r="A190" s="376">
        <v>40</v>
      </c>
      <c r="B190" s="378" t="str">
        <f>IFERROR(INDEX(Database_Charms,MATCH($N190,Database_Charms_Names,0),MATCH(B$111,Database_Charms_Values,0)),"")</f>
        <v/>
      </c>
      <c r="C190" s="378"/>
      <c r="D190" s="378"/>
      <c r="E190" s="378"/>
      <c r="F190" s="378"/>
      <c r="G190" s="33"/>
      <c r="H190" s="378" t="str">
        <f>IFERROR(INDEX(Database_Charms,MATCH($N190,Database_Charms_Names,0),MATCH("Ability_Subtype",Database_Charms_Values,0)),"")</f>
        <v/>
      </c>
      <c r="I190" s="378"/>
      <c r="J190" s="378"/>
      <c r="K190" s="378"/>
      <c r="L190" s="378"/>
      <c r="M190" s="23"/>
      <c r="N190" s="378" t="str">
        <f>VLOOKUP(A190,Values!$A$140:$O$239,IF(ISBLANK(VLOOKUP(A190,Values!$A$140:$O$239,13,0)),10,13),0)</f>
        <v/>
      </c>
      <c r="O190" s="378"/>
      <c r="P190" s="378"/>
      <c r="Q190" s="378"/>
      <c r="R190" s="378"/>
      <c r="S190" s="378"/>
      <c r="T190" s="378"/>
      <c r="U190" s="378"/>
      <c r="V190" s="378"/>
      <c r="W190" s="378"/>
      <c r="X190" s="378"/>
      <c r="Y190" s="378"/>
      <c r="Z190" s="378"/>
      <c r="AA190" s="378"/>
      <c r="AB190" s="23"/>
      <c r="AC190" s="302" t="str">
        <f>IFERROR(INDEX(Database_Charms,MATCH($N190,Database_Charms_Names,0),MATCH(AC$111,Database_Charms_Values,0)),"")</f>
        <v/>
      </c>
      <c r="AD190" s="302"/>
      <c r="AE190" s="302"/>
      <c r="AF190" s="302"/>
      <c r="AG190" s="302"/>
      <c r="AH190" s="125"/>
      <c r="AI190" s="302" t="str">
        <f>IFERROR(INDEX(Database_Charms,MATCH($N190,Database_Charms_Names,0),MATCH(AI$111,Database_Charms_Values,0)),"")</f>
        <v/>
      </c>
      <c r="AJ190" s="302"/>
      <c r="AK190" s="302"/>
      <c r="AL190" s="302"/>
      <c r="AM190" s="125"/>
      <c r="AN190" s="302" t="str">
        <f>IFERROR(INDEX(Database_Charms,MATCH($N190,Database_Charms_Names,0),MATCH(AN$111,Database_Charms_Values,0)),"")</f>
        <v/>
      </c>
      <c r="AO190" s="302"/>
      <c r="AP190" s="302"/>
      <c r="AQ190" s="302"/>
      <c r="AR190" s="302"/>
      <c r="AS190" s="125"/>
      <c r="AT190" s="302" t="str">
        <f>IFERROR(INDEX(Database_Charms,MATCH($N190,Database_Charms_Names,0),MATCH(AT$111,Database_Charms_Values,0)),"")</f>
        <v/>
      </c>
      <c r="AU190" s="302"/>
      <c r="AV190" s="125"/>
      <c r="AW190" s="302" t="str">
        <f>IFERROR(INDEX(Database_Charms,MATCH($N190,Database_Charms_Names,0),MATCH(AW$111,Database_Charms_Values,0)),"")</f>
        <v/>
      </c>
      <c r="AX190" s="302"/>
      <c r="AY190" s="302"/>
      <c r="AZ190" s="5"/>
      <c r="BA190" s="382">
        <f>Values!$AB$3</f>
        <v>0</v>
      </c>
      <c r="BB190" s="382"/>
      <c r="BC190" s="5"/>
      <c r="BD190" s="5"/>
      <c r="BE190" s="5"/>
      <c r="BF190" s="5"/>
      <c r="BG190" s="5"/>
      <c r="BH190" s="5"/>
      <c r="BI190" s="5"/>
      <c r="BJ190" s="5"/>
      <c r="BK190" s="5"/>
      <c r="BL190" s="5"/>
      <c r="BM190" s="5"/>
      <c r="BN190" s="5"/>
      <c r="BO190" s="5"/>
      <c r="BP190" s="5"/>
      <c r="BQ190" s="5"/>
      <c r="BR190" s="5"/>
      <c r="BS190" s="5"/>
      <c r="BT190" s="5"/>
      <c r="BU190" s="5"/>
      <c r="BV190" s="5"/>
      <c r="BW190" s="5"/>
      <c r="BX190" s="5"/>
    </row>
    <row r="191" spans="1:76" ht="39.950000000000003" hidden="1" customHeight="1">
      <c r="A191" s="379"/>
      <c r="B191" s="374" t="str">
        <f>IF(VLOOKUP(A190,Values!$A$140:$T$239,14,0)="",IF(VLOOKUP(A190,Values!$A$140:$T$239,11,0)="",IFERROR(INDEX(Database_Charms,MATCH($N190,Database_Charms_Names,0),MATCH(Charms!$S$1,Database_Charms_Values,0)),""),VLOOKUP(A190,Values!$A$140:$T$239,11,0)),VLOOKUP(A190,Values!$A$140:$T$239,14,0))</f>
        <v/>
      </c>
      <c r="C191" s="374"/>
      <c r="D191" s="374"/>
      <c r="E191" s="374"/>
      <c r="F191" s="374"/>
      <c r="G191" s="374"/>
      <c r="H191" s="374"/>
      <c r="I191" s="374"/>
      <c r="J191" s="374"/>
      <c r="K191" s="374"/>
      <c r="L191" s="374"/>
      <c r="M191" s="374"/>
      <c r="N191" s="374"/>
      <c r="O191" s="374"/>
      <c r="P191" s="374"/>
      <c r="Q191" s="374"/>
      <c r="R191" s="374"/>
      <c r="S191" s="374"/>
      <c r="T191" s="374"/>
      <c r="U191" s="374"/>
      <c r="V191" s="374"/>
      <c r="W191" s="374"/>
      <c r="X191" s="374"/>
      <c r="Y191" s="374"/>
      <c r="Z191" s="374"/>
      <c r="AA191" s="374"/>
      <c r="AB191" s="374"/>
      <c r="AC191" s="374"/>
      <c r="AD191" s="374"/>
      <c r="AE191" s="374"/>
      <c r="AF191" s="374"/>
      <c r="AG191" s="374"/>
      <c r="AH191" s="374"/>
      <c r="AI191" s="374"/>
      <c r="AJ191" s="374"/>
      <c r="AK191" s="374"/>
      <c r="AL191" s="374"/>
      <c r="AM191" s="374"/>
      <c r="AN191" s="374"/>
      <c r="AO191" s="374"/>
      <c r="AP191" s="374"/>
      <c r="AQ191" s="374"/>
      <c r="AR191" s="374"/>
      <c r="AS191" s="374"/>
      <c r="AT191" s="374"/>
      <c r="AU191" s="374"/>
      <c r="AV191" s="374"/>
      <c r="AW191" s="374"/>
      <c r="AX191" s="374"/>
      <c r="AY191" s="374"/>
      <c r="AZ191" s="5"/>
      <c r="BA191" s="5"/>
      <c r="BB191" s="5"/>
      <c r="BC191" s="5"/>
      <c r="BD191" s="5"/>
      <c r="BE191" s="5"/>
      <c r="BF191" s="5"/>
      <c r="BG191" s="5"/>
      <c r="BH191" s="5"/>
      <c r="BI191" s="5"/>
      <c r="BJ191" s="5"/>
      <c r="BK191" s="5"/>
      <c r="BL191" s="5"/>
      <c r="BM191" s="5"/>
      <c r="BN191" s="5"/>
      <c r="BO191" s="5"/>
      <c r="BP191" s="5"/>
      <c r="BQ191" s="5"/>
      <c r="BR191" s="5"/>
      <c r="BS191" s="5"/>
      <c r="BT191" s="5"/>
      <c r="BU191" s="5"/>
      <c r="BV191" s="5"/>
      <c r="BW191" s="5"/>
      <c r="BX191" s="5"/>
    </row>
    <row r="192" spans="1:76" ht="20.100000000000001" hidden="1" customHeight="1">
      <c r="A192" s="376">
        <v>41</v>
      </c>
      <c r="B192" s="378" t="str">
        <f>IFERROR(INDEX(Database_Charms,MATCH($N192,Database_Charms_Names,0),MATCH(B$111,Database_Charms_Values,0)),"")</f>
        <v/>
      </c>
      <c r="C192" s="378"/>
      <c r="D192" s="378"/>
      <c r="E192" s="378"/>
      <c r="F192" s="378"/>
      <c r="G192" s="33"/>
      <c r="H192" s="378" t="str">
        <f>IFERROR(INDEX(Database_Charms,MATCH($N192,Database_Charms_Names,0),MATCH("Ability_Subtype",Database_Charms_Values,0)),"")</f>
        <v/>
      </c>
      <c r="I192" s="378"/>
      <c r="J192" s="378"/>
      <c r="K192" s="378"/>
      <c r="L192" s="378"/>
      <c r="M192" s="23"/>
      <c r="N192" s="378" t="str">
        <f>VLOOKUP(A192,Values!$A$140:$O$239,IF(ISBLANK(VLOOKUP(A192,Values!$A$140:$O$239,13,0)),10,13),0)</f>
        <v/>
      </c>
      <c r="O192" s="378"/>
      <c r="P192" s="378"/>
      <c r="Q192" s="378"/>
      <c r="R192" s="378"/>
      <c r="S192" s="378"/>
      <c r="T192" s="378"/>
      <c r="U192" s="378"/>
      <c r="V192" s="378"/>
      <c r="W192" s="378"/>
      <c r="X192" s="378"/>
      <c r="Y192" s="378"/>
      <c r="Z192" s="378"/>
      <c r="AA192" s="378"/>
      <c r="AB192" s="23"/>
      <c r="AC192" s="302" t="str">
        <f>IFERROR(INDEX(Database_Charms,MATCH($N192,Database_Charms_Names,0),MATCH(AC$111,Database_Charms_Values,0)),"")</f>
        <v/>
      </c>
      <c r="AD192" s="302"/>
      <c r="AE192" s="302"/>
      <c r="AF192" s="302"/>
      <c r="AG192" s="302"/>
      <c r="AH192" s="125"/>
      <c r="AI192" s="302" t="str">
        <f>IFERROR(INDEX(Database_Charms,MATCH($N192,Database_Charms_Names,0),MATCH(AI$111,Database_Charms_Values,0)),"")</f>
        <v/>
      </c>
      <c r="AJ192" s="302"/>
      <c r="AK192" s="302"/>
      <c r="AL192" s="302"/>
      <c r="AM192" s="125"/>
      <c r="AN192" s="302" t="str">
        <f>IFERROR(INDEX(Database_Charms,MATCH($N192,Database_Charms_Names,0),MATCH(AN$111,Database_Charms_Values,0)),"")</f>
        <v/>
      </c>
      <c r="AO192" s="302"/>
      <c r="AP192" s="302"/>
      <c r="AQ192" s="302"/>
      <c r="AR192" s="302"/>
      <c r="AS192" s="125"/>
      <c r="AT192" s="302" t="str">
        <f>IFERROR(INDEX(Database_Charms,MATCH($N192,Database_Charms_Names,0),MATCH(AT$111,Database_Charms_Values,0)),"")</f>
        <v/>
      </c>
      <c r="AU192" s="302"/>
      <c r="AV192" s="125"/>
      <c r="AW192" s="302" t="str">
        <f>IFERROR(INDEX(Database_Charms,MATCH($N192,Database_Charms_Names,0),MATCH(AW$111,Database_Charms_Values,0)),"")</f>
        <v/>
      </c>
      <c r="AX192" s="302"/>
      <c r="AY192" s="302"/>
      <c r="AZ192" s="5"/>
      <c r="BA192" s="5"/>
      <c r="BB192" s="5"/>
      <c r="BC192" s="5"/>
      <c r="BD192" s="5"/>
      <c r="BE192" s="5"/>
      <c r="BF192" s="5"/>
      <c r="BG192" s="5"/>
      <c r="BH192" s="5"/>
      <c r="BI192" s="5"/>
      <c r="BJ192" s="5"/>
      <c r="BK192" s="5"/>
      <c r="BL192" s="5"/>
      <c r="BM192" s="5"/>
      <c r="BN192" s="5"/>
      <c r="BO192" s="5"/>
      <c r="BP192" s="5"/>
      <c r="BQ192" s="5"/>
      <c r="BR192" s="5"/>
      <c r="BS192" s="5"/>
      <c r="BT192" s="5"/>
      <c r="BU192" s="5"/>
      <c r="BV192" s="5"/>
      <c r="BW192" s="5"/>
      <c r="BX192" s="5"/>
    </row>
    <row r="193" spans="1:76" ht="39.950000000000003" hidden="1" customHeight="1">
      <c r="A193" s="379"/>
      <c r="B193" s="374" t="str">
        <f>IF(VLOOKUP(A192,Values!$A$140:$T$239,14,0)="",IF(VLOOKUP(A192,Values!$A$140:$T$239,11,0)="",IFERROR(INDEX(Database_Charms,MATCH($N192,Database_Charms_Names,0),MATCH(Charms!$S$1,Database_Charms_Values,0)),""),VLOOKUP(A192,Values!$A$140:$T$239,11,0)),VLOOKUP(A192,Values!$A$140:$T$239,14,0))</f>
        <v/>
      </c>
      <c r="C193" s="374"/>
      <c r="D193" s="374"/>
      <c r="E193" s="374"/>
      <c r="F193" s="374"/>
      <c r="G193" s="374"/>
      <c r="H193" s="374"/>
      <c r="I193" s="374"/>
      <c r="J193" s="374"/>
      <c r="K193" s="374"/>
      <c r="L193" s="374"/>
      <c r="M193" s="374"/>
      <c r="N193" s="374"/>
      <c r="O193" s="374"/>
      <c r="P193" s="374"/>
      <c r="Q193" s="374"/>
      <c r="R193" s="374"/>
      <c r="S193" s="374"/>
      <c r="T193" s="374"/>
      <c r="U193" s="374"/>
      <c r="V193" s="374"/>
      <c r="W193" s="374"/>
      <c r="X193" s="374"/>
      <c r="Y193" s="374"/>
      <c r="Z193" s="374"/>
      <c r="AA193" s="374"/>
      <c r="AB193" s="374"/>
      <c r="AC193" s="374"/>
      <c r="AD193" s="374"/>
      <c r="AE193" s="374"/>
      <c r="AF193" s="374"/>
      <c r="AG193" s="374"/>
      <c r="AH193" s="374"/>
      <c r="AI193" s="374"/>
      <c r="AJ193" s="374"/>
      <c r="AK193" s="374"/>
      <c r="AL193" s="374"/>
      <c r="AM193" s="374"/>
      <c r="AN193" s="374"/>
      <c r="AO193" s="374"/>
      <c r="AP193" s="374"/>
      <c r="AQ193" s="374"/>
      <c r="AR193" s="374"/>
      <c r="AS193" s="374"/>
      <c r="AT193" s="374"/>
      <c r="AU193" s="374"/>
      <c r="AV193" s="374"/>
      <c r="AW193" s="374"/>
      <c r="AX193" s="374"/>
      <c r="AY193" s="374"/>
      <c r="AZ193" s="5"/>
      <c r="BA193" s="5"/>
      <c r="BB193" s="5"/>
      <c r="BC193" s="5"/>
      <c r="BD193" s="5"/>
      <c r="BE193" s="5"/>
      <c r="BF193" s="5"/>
      <c r="BG193" s="5"/>
      <c r="BH193" s="5"/>
      <c r="BI193" s="5"/>
      <c r="BJ193" s="5"/>
      <c r="BK193" s="5"/>
      <c r="BL193" s="5"/>
      <c r="BM193" s="5"/>
      <c r="BN193" s="5"/>
      <c r="BO193" s="5"/>
      <c r="BP193" s="5"/>
      <c r="BQ193" s="5"/>
      <c r="BR193" s="5"/>
      <c r="BS193" s="5"/>
      <c r="BT193" s="5"/>
      <c r="BU193" s="5"/>
      <c r="BV193" s="5"/>
      <c r="BW193" s="5"/>
      <c r="BX193" s="5"/>
    </row>
    <row r="194" spans="1:76" ht="20.100000000000001" hidden="1" customHeight="1">
      <c r="A194" s="376">
        <v>42</v>
      </c>
      <c r="B194" s="378" t="str">
        <f>IFERROR(INDEX(Database_Charms,MATCH($N194,Database_Charms_Names,0),MATCH(B$111,Database_Charms_Values,0)),"")</f>
        <v/>
      </c>
      <c r="C194" s="378"/>
      <c r="D194" s="378"/>
      <c r="E194" s="378"/>
      <c r="F194" s="378"/>
      <c r="G194" s="33"/>
      <c r="H194" s="378" t="str">
        <f>IFERROR(INDEX(Database_Charms,MATCH($N194,Database_Charms_Names,0),MATCH("Ability_Subtype",Database_Charms_Values,0)),"")</f>
        <v/>
      </c>
      <c r="I194" s="378"/>
      <c r="J194" s="378"/>
      <c r="K194" s="378"/>
      <c r="L194" s="378"/>
      <c r="M194" s="23"/>
      <c r="N194" s="378" t="str">
        <f>VLOOKUP(A194,Values!$A$140:$O$239,IF(ISBLANK(VLOOKUP(A194,Values!$A$140:$O$239,13,0)),10,13),0)</f>
        <v/>
      </c>
      <c r="O194" s="378"/>
      <c r="P194" s="378"/>
      <c r="Q194" s="378"/>
      <c r="R194" s="378"/>
      <c r="S194" s="378"/>
      <c r="T194" s="378"/>
      <c r="U194" s="378"/>
      <c r="V194" s="378"/>
      <c r="W194" s="378"/>
      <c r="X194" s="378"/>
      <c r="Y194" s="378"/>
      <c r="Z194" s="378"/>
      <c r="AA194" s="378"/>
      <c r="AB194" s="23"/>
      <c r="AC194" s="302" t="str">
        <f>IFERROR(INDEX(Database_Charms,MATCH($N194,Database_Charms_Names,0),MATCH(AC$111,Database_Charms_Values,0)),"")</f>
        <v/>
      </c>
      <c r="AD194" s="302"/>
      <c r="AE194" s="302"/>
      <c r="AF194" s="302"/>
      <c r="AG194" s="302"/>
      <c r="AH194" s="125"/>
      <c r="AI194" s="302" t="str">
        <f>IFERROR(INDEX(Database_Charms,MATCH($N194,Database_Charms_Names,0),MATCH(AI$111,Database_Charms_Values,0)),"")</f>
        <v/>
      </c>
      <c r="AJ194" s="302"/>
      <c r="AK194" s="302"/>
      <c r="AL194" s="302"/>
      <c r="AM194" s="125"/>
      <c r="AN194" s="302" t="str">
        <f>IFERROR(INDEX(Database_Charms,MATCH($N194,Database_Charms_Names,0),MATCH(AN$111,Database_Charms_Values,0)),"")</f>
        <v/>
      </c>
      <c r="AO194" s="302"/>
      <c r="AP194" s="302"/>
      <c r="AQ194" s="302"/>
      <c r="AR194" s="302"/>
      <c r="AS194" s="125"/>
      <c r="AT194" s="302" t="str">
        <f>IFERROR(INDEX(Database_Charms,MATCH($N194,Database_Charms_Names,0),MATCH(AT$111,Database_Charms_Values,0)),"")</f>
        <v/>
      </c>
      <c r="AU194" s="302"/>
      <c r="AV194" s="125"/>
      <c r="AW194" s="302" t="str">
        <f>IFERROR(INDEX(Database_Charms,MATCH($N194,Database_Charms_Names,0),MATCH(AW$111,Database_Charms_Values,0)),"")</f>
        <v/>
      </c>
      <c r="AX194" s="302"/>
      <c r="AY194" s="302"/>
      <c r="AZ194" s="5"/>
      <c r="BA194" s="5"/>
      <c r="BB194" s="5"/>
      <c r="BC194" s="5"/>
      <c r="BD194" s="5"/>
      <c r="BE194" s="5"/>
      <c r="BF194" s="5"/>
      <c r="BG194" s="5"/>
      <c r="BH194" s="5"/>
      <c r="BI194" s="5"/>
      <c r="BJ194" s="5"/>
      <c r="BK194" s="5"/>
      <c r="BL194" s="5"/>
      <c r="BM194" s="5"/>
      <c r="BN194" s="5"/>
      <c r="BO194" s="5"/>
      <c r="BP194" s="5"/>
      <c r="BQ194" s="5"/>
      <c r="BR194" s="5"/>
      <c r="BS194" s="5"/>
      <c r="BT194" s="5"/>
      <c r="BU194" s="5"/>
      <c r="BV194" s="5"/>
      <c r="BW194" s="5"/>
      <c r="BX194" s="5"/>
    </row>
    <row r="195" spans="1:76" ht="39.950000000000003" hidden="1" customHeight="1">
      <c r="A195" s="379"/>
      <c r="B195" s="374" t="str">
        <f>IF(VLOOKUP(A194,Values!$A$140:$T$239,14,0)="",IF(VLOOKUP(A194,Values!$A$140:$T$239,11,0)="",IFERROR(INDEX(Database_Charms,MATCH($N194,Database_Charms_Names,0),MATCH(Charms!$S$1,Database_Charms_Values,0)),""),VLOOKUP(A194,Values!$A$140:$T$239,11,0)),VLOOKUP(A194,Values!$A$140:$T$239,14,0))</f>
        <v/>
      </c>
      <c r="C195" s="374"/>
      <c r="D195" s="374"/>
      <c r="E195" s="374"/>
      <c r="F195" s="374"/>
      <c r="G195" s="374"/>
      <c r="H195" s="374"/>
      <c r="I195" s="374"/>
      <c r="J195" s="374"/>
      <c r="K195" s="374"/>
      <c r="L195" s="374"/>
      <c r="M195" s="374"/>
      <c r="N195" s="374"/>
      <c r="O195" s="374"/>
      <c r="P195" s="374"/>
      <c r="Q195" s="374"/>
      <c r="R195" s="374"/>
      <c r="S195" s="374"/>
      <c r="T195" s="374"/>
      <c r="U195" s="374"/>
      <c r="V195" s="374"/>
      <c r="W195" s="374"/>
      <c r="X195" s="374"/>
      <c r="Y195" s="374"/>
      <c r="Z195" s="374"/>
      <c r="AA195" s="374"/>
      <c r="AB195" s="374"/>
      <c r="AC195" s="374"/>
      <c r="AD195" s="374"/>
      <c r="AE195" s="374"/>
      <c r="AF195" s="374"/>
      <c r="AG195" s="374"/>
      <c r="AH195" s="374"/>
      <c r="AI195" s="374"/>
      <c r="AJ195" s="374"/>
      <c r="AK195" s="374"/>
      <c r="AL195" s="374"/>
      <c r="AM195" s="374"/>
      <c r="AN195" s="374"/>
      <c r="AO195" s="374"/>
      <c r="AP195" s="374"/>
      <c r="AQ195" s="374"/>
      <c r="AR195" s="374"/>
      <c r="AS195" s="374"/>
      <c r="AT195" s="374"/>
      <c r="AU195" s="374"/>
      <c r="AV195" s="374"/>
      <c r="AW195" s="374"/>
      <c r="AX195" s="374"/>
      <c r="AY195" s="374"/>
      <c r="AZ195" s="5"/>
      <c r="BA195" s="5"/>
      <c r="BB195" s="5"/>
      <c r="BC195" s="5"/>
      <c r="BD195" s="5"/>
      <c r="BE195" s="5"/>
      <c r="BF195" s="5"/>
      <c r="BG195" s="5"/>
      <c r="BH195" s="5"/>
      <c r="BI195" s="5"/>
      <c r="BJ195" s="5"/>
      <c r="BK195" s="5"/>
      <c r="BL195" s="5"/>
      <c r="BM195" s="5"/>
      <c r="BN195" s="5"/>
      <c r="BO195" s="5"/>
      <c r="BP195" s="5"/>
      <c r="BQ195" s="5"/>
      <c r="BR195" s="5"/>
      <c r="BS195" s="5"/>
      <c r="BT195" s="5"/>
      <c r="BU195" s="5"/>
      <c r="BV195" s="5"/>
      <c r="BW195" s="5"/>
      <c r="BX195" s="5"/>
    </row>
    <row r="196" spans="1:76" ht="20.100000000000001" hidden="1" customHeight="1">
      <c r="A196" s="376">
        <v>43</v>
      </c>
      <c r="B196" s="378" t="str">
        <f>IFERROR(INDEX(Database_Charms,MATCH($N196,Database_Charms_Names,0),MATCH(B$111,Database_Charms_Values,0)),"")</f>
        <v/>
      </c>
      <c r="C196" s="378"/>
      <c r="D196" s="378"/>
      <c r="E196" s="378"/>
      <c r="F196" s="378"/>
      <c r="G196" s="33"/>
      <c r="H196" s="378" t="str">
        <f>IFERROR(INDEX(Database_Charms,MATCH($N196,Database_Charms_Names,0),MATCH("Ability_Subtype",Database_Charms_Values,0)),"")</f>
        <v/>
      </c>
      <c r="I196" s="378"/>
      <c r="J196" s="378"/>
      <c r="K196" s="378"/>
      <c r="L196" s="378"/>
      <c r="M196" s="23"/>
      <c r="N196" s="378" t="str">
        <f>VLOOKUP(A196,Values!$A$140:$O$239,IF(ISBLANK(VLOOKUP(A196,Values!$A$140:$O$239,13,0)),10,13),0)</f>
        <v/>
      </c>
      <c r="O196" s="378"/>
      <c r="P196" s="378"/>
      <c r="Q196" s="378"/>
      <c r="R196" s="378"/>
      <c r="S196" s="378"/>
      <c r="T196" s="378"/>
      <c r="U196" s="378"/>
      <c r="V196" s="378"/>
      <c r="W196" s="378"/>
      <c r="X196" s="378"/>
      <c r="Y196" s="378"/>
      <c r="Z196" s="378"/>
      <c r="AA196" s="378"/>
      <c r="AB196" s="23"/>
      <c r="AC196" s="302" t="str">
        <f>IFERROR(INDEX(Database_Charms,MATCH($N196,Database_Charms_Names,0),MATCH(AC$111,Database_Charms_Values,0)),"")</f>
        <v/>
      </c>
      <c r="AD196" s="302"/>
      <c r="AE196" s="302"/>
      <c r="AF196" s="302"/>
      <c r="AG196" s="302"/>
      <c r="AH196" s="125"/>
      <c r="AI196" s="302" t="str">
        <f>IFERROR(INDEX(Database_Charms,MATCH($N196,Database_Charms_Names,0),MATCH(AI$111,Database_Charms_Values,0)),"")</f>
        <v/>
      </c>
      <c r="AJ196" s="302"/>
      <c r="AK196" s="302"/>
      <c r="AL196" s="302"/>
      <c r="AM196" s="125"/>
      <c r="AN196" s="302" t="str">
        <f>IFERROR(INDEX(Database_Charms,MATCH($N196,Database_Charms_Names,0),MATCH(AN$111,Database_Charms_Values,0)),"")</f>
        <v/>
      </c>
      <c r="AO196" s="302"/>
      <c r="AP196" s="302"/>
      <c r="AQ196" s="302"/>
      <c r="AR196" s="302"/>
      <c r="AS196" s="125"/>
      <c r="AT196" s="302" t="str">
        <f>IFERROR(INDEX(Database_Charms,MATCH($N196,Database_Charms_Names,0),MATCH(AT$111,Database_Charms_Values,0)),"")</f>
        <v/>
      </c>
      <c r="AU196" s="302"/>
      <c r="AV196" s="125"/>
      <c r="AW196" s="302" t="str">
        <f>IFERROR(INDEX(Database_Charms,MATCH($N196,Database_Charms_Names,0),MATCH(AW$111,Database_Charms_Values,0)),"")</f>
        <v/>
      </c>
      <c r="AX196" s="302"/>
      <c r="AY196" s="302"/>
      <c r="AZ196" s="5"/>
      <c r="BA196" s="5"/>
      <c r="BB196" s="5"/>
      <c r="BC196" s="5"/>
      <c r="BD196" s="5"/>
      <c r="BE196" s="5"/>
      <c r="BF196" s="5"/>
      <c r="BG196" s="5"/>
      <c r="BH196" s="5"/>
      <c r="BI196" s="5"/>
      <c r="BJ196" s="5"/>
      <c r="BK196" s="5"/>
      <c r="BL196" s="5"/>
      <c r="BM196" s="5"/>
      <c r="BN196" s="5"/>
      <c r="BO196" s="5"/>
      <c r="BP196" s="5"/>
      <c r="BQ196" s="5"/>
      <c r="BR196" s="5"/>
      <c r="BS196" s="5"/>
      <c r="BT196" s="5"/>
      <c r="BU196" s="5"/>
      <c r="BV196" s="5"/>
      <c r="BW196" s="5"/>
      <c r="BX196" s="5"/>
    </row>
    <row r="197" spans="1:76" ht="39.950000000000003" hidden="1" customHeight="1">
      <c r="A197" s="379"/>
      <c r="B197" s="374" t="str">
        <f>IF(VLOOKUP(A196,Values!$A$140:$T$239,14,0)="",IF(VLOOKUP(A196,Values!$A$140:$T$239,11,0)="",IFERROR(INDEX(Database_Charms,MATCH($N196,Database_Charms_Names,0),MATCH(Charms!$S$1,Database_Charms_Values,0)),""),VLOOKUP(A196,Values!$A$140:$T$239,11,0)),VLOOKUP(A196,Values!$A$140:$T$239,14,0))</f>
        <v/>
      </c>
      <c r="C197" s="374"/>
      <c r="D197" s="374"/>
      <c r="E197" s="374"/>
      <c r="F197" s="374"/>
      <c r="G197" s="374"/>
      <c r="H197" s="374"/>
      <c r="I197" s="374"/>
      <c r="J197" s="374"/>
      <c r="K197" s="374"/>
      <c r="L197" s="374"/>
      <c r="M197" s="374"/>
      <c r="N197" s="374"/>
      <c r="O197" s="374"/>
      <c r="P197" s="374"/>
      <c r="Q197" s="374"/>
      <c r="R197" s="374"/>
      <c r="S197" s="374"/>
      <c r="T197" s="374"/>
      <c r="U197" s="374"/>
      <c r="V197" s="374"/>
      <c r="W197" s="374"/>
      <c r="X197" s="374"/>
      <c r="Y197" s="374"/>
      <c r="Z197" s="374"/>
      <c r="AA197" s="374"/>
      <c r="AB197" s="374"/>
      <c r="AC197" s="374"/>
      <c r="AD197" s="374"/>
      <c r="AE197" s="374"/>
      <c r="AF197" s="374"/>
      <c r="AG197" s="374"/>
      <c r="AH197" s="374"/>
      <c r="AI197" s="374"/>
      <c r="AJ197" s="374"/>
      <c r="AK197" s="374"/>
      <c r="AL197" s="374"/>
      <c r="AM197" s="374"/>
      <c r="AN197" s="374"/>
      <c r="AO197" s="374"/>
      <c r="AP197" s="374"/>
      <c r="AQ197" s="374"/>
      <c r="AR197" s="374"/>
      <c r="AS197" s="374"/>
      <c r="AT197" s="374"/>
      <c r="AU197" s="374"/>
      <c r="AV197" s="374"/>
      <c r="AW197" s="374"/>
      <c r="AX197" s="374"/>
      <c r="AY197" s="374"/>
      <c r="AZ197" s="5"/>
      <c r="BA197" s="5"/>
      <c r="BB197" s="5"/>
      <c r="BC197" s="5"/>
      <c r="BD197" s="5"/>
      <c r="BE197" s="5"/>
      <c r="BF197" s="5"/>
      <c r="BG197" s="5"/>
      <c r="BH197" s="5"/>
      <c r="BI197" s="5"/>
      <c r="BJ197" s="5"/>
      <c r="BK197" s="5"/>
      <c r="BL197" s="5"/>
      <c r="BM197" s="5"/>
      <c r="BN197" s="5"/>
      <c r="BO197" s="5"/>
      <c r="BP197" s="5"/>
      <c r="BQ197" s="5"/>
      <c r="BR197" s="5"/>
      <c r="BS197" s="5"/>
      <c r="BT197" s="5"/>
      <c r="BU197" s="5"/>
      <c r="BV197" s="5"/>
      <c r="BW197" s="5"/>
      <c r="BX197" s="5"/>
    </row>
    <row r="198" spans="1:76" ht="20.100000000000001" hidden="1" customHeight="1">
      <c r="A198" s="376">
        <v>44</v>
      </c>
      <c r="B198" s="378" t="str">
        <f>IFERROR(INDEX(Database_Charms,MATCH($N198,Database_Charms_Names,0),MATCH(B$111,Database_Charms_Values,0)),"")</f>
        <v/>
      </c>
      <c r="C198" s="378"/>
      <c r="D198" s="378"/>
      <c r="E198" s="378"/>
      <c r="F198" s="378"/>
      <c r="G198" s="33"/>
      <c r="H198" s="378" t="str">
        <f>IFERROR(INDEX(Database_Charms,MATCH($N198,Database_Charms_Names,0),MATCH("Ability_Subtype",Database_Charms_Values,0)),"")</f>
        <v/>
      </c>
      <c r="I198" s="378"/>
      <c r="J198" s="378"/>
      <c r="K198" s="378"/>
      <c r="L198" s="378"/>
      <c r="M198" s="23"/>
      <c r="N198" s="378" t="str">
        <f>VLOOKUP(A198,Values!$A$140:$O$239,IF(ISBLANK(VLOOKUP(A198,Values!$A$140:$O$239,13,0)),10,13),0)</f>
        <v/>
      </c>
      <c r="O198" s="378"/>
      <c r="P198" s="378"/>
      <c r="Q198" s="378"/>
      <c r="R198" s="378"/>
      <c r="S198" s="378"/>
      <c r="T198" s="378"/>
      <c r="U198" s="378"/>
      <c r="V198" s="378"/>
      <c r="W198" s="378"/>
      <c r="X198" s="378"/>
      <c r="Y198" s="378"/>
      <c r="Z198" s="378"/>
      <c r="AA198" s="378"/>
      <c r="AB198" s="23"/>
      <c r="AC198" s="302" t="str">
        <f>IFERROR(INDEX(Database_Charms,MATCH($N198,Database_Charms_Names,0),MATCH(AC$111,Database_Charms_Values,0)),"")</f>
        <v/>
      </c>
      <c r="AD198" s="302"/>
      <c r="AE198" s="302"/>
      <c r="AF198" s="302"/>
      <c r="AG198" s="302"/>
      <c r="AH198" s="125"/>
      <c r="AI198" s="302" t="str">
        <f>IFERROR(INDEX(Database_Charms,MATCH($N198,Database_Charms_Names,0),MATCH(AI$111,Database_Charms_Values,0)),"")</f>
        <v/>
      </c>
      <c r="AJ198" s="302"/>
      <c r="AK198" s="302"/>
      <c r="AL198" s="302"/>
      <c r="AM198" s="125"/>
      <c r="AN198" s="302" t="str">
        <f>IFERROR(INDEX(Database_Charms,MATCH($N198,Database_Charms_Names,0),MATCH(AN$111,Database_Charms_Values,0)),"")</f>
        <v/>
      </c>
      <c r="AO198" s="302"/>
      <c r="AP198" s="302"/>
      <c r="AQ198" s="302"/>
      <c r="AR198" s="302"/>
      <c r="AS198" s="125"/>
      <c r="AT198" s="302" t="str">
        <f>IFERROR(INDEX(Database_Charms,MATCH($N198,Database_Charms_Names,0),MATCH(AT$111,Database_Charms_Values,0)),"")</f>
        <v/>
      </c>
      <c r="AU198" s="302"/>
      <c r="AV198" s="125"/>
      <c r="AW198" s="302" t="str">
        <f>IFERROR(INDEX(Database_Charms,MATCH($N198,Database_Charms_Names,0),MATCH(AW$111,Database_Charms_Values,0)),"")</f>
        <v/>
      </c>
      <c r="AX198" s="302"/>
      <c r="AY198" s="302"/>
      <c r="AZ198" s="5"/>
      <c r="BA198" s="5"/>
      <c r="BB198" s="5"/>
      <c r="BC198" s="5"/>
      <c r="BD198" s="5"/>
      <c r="BE198" s="5"/>
      <c r="BF198" s="5"/>
      <c r="BG198" s="5"/>
      <c r="BH198" s="5"/>
      <c r="BI198" s="5"/>
      <c r="BJ198" s="5"/>
      <c r="BK198" s="5"/>
      <c r="BL198" s="5"/>
      <c r="BM198" s="5"/>
      <c r="BN198" s="5"/>
      <c r="BO198" s="5"/>
      <c r="BP198" s="5"/>
      <c r="BQ198" s="5"/>
      <c r="BR198" s="5"/>
      <c r="BS198" s="5"/>
      <c r="BT198" s="5"/>
      <c r="BU198" s="5"/>
      <c r="BV198" s="5"/>
      <c r="BW198" s="5"/>
      <c r="BX198" s="5"/>
    </row>
    <row r="199" spans="1:76" ht="39.950000000000003" hidden="1" customHeight="1">
      <c r="A199" s="379"/>
      <c r="B199" s="374" t="str">
        <f>IF(VLOOKUP(A198,Values!$A$140:$T$239,14,0)="",IF(VLOOKUP(A198,Values!$A$140:$T$239,11,0)="",IFERROR(INDEX(Database_Charms,MATCH($N198,Database_Charms_Names,0),MATCH(Charms!$S$1,Database_Charms_Values,0)),""),VLOOKUP(A198,Values!$A$140:$T$239,11,0)),VLOOKUP(A198,Values!$A$140:$T$239,14,0))</f>
        <v/>
      </c>
      <c r="C199" s="374"/>
      <c r="D199" s="374"/>
      <c r="E199" s="374"/>
      <c r="F199" s="374"/>
      <c r="G199" s="374"/>
      <c r="H199" s="374"/>
      <c r="I199" s="374"/>
      <c r="J199" s="374"/>
      <c r="K199" s="374"/>
      <c r="L199" s="374"/>
      <c r="M199" s="374"/>
      <c r="N199" s="374"/>
      <c r="O199" s="374"/>
      <c r="P199" s="374"/>
      <c r="Q199" s="374"/>
      <c r="R199" s="374"/>
      <c r="S199" s="374"/>
      <c r="T199" s="374"/>
      <c r="U199" s="374"/>
      <c r="V199" s="374"/>
      <c r="W199" s="374"/>
      <c r="X199" s="374"/>
      <c r="Y199" s="374"/>
      <c r="Z199" s="374"/>
      <c r="AA199" s="374"/>
      <c r="AB199" s="374"/>
      <c r="AC199" s="374"/>
      <c r="AD199" s="374"/>
      <c r="AE199" s="374"/>
      <c r="AF199" s="374"/>
      <c r="AG199" s="374"/>
      <c r="AH199" s="374"/>
      <c r="AI199" s="374"/>
      <c r="AJ199" s="374"/>
      <c r="AK199" s="374"/>
      <c r="AL199" s="374"/>
      <c r="AM199" s="374"/>
      <c r="AN199" s="374"/>
      <c r="AO199" s="374"/>
      <c r="AP199" s="374"/>
      <c r="AQ199" s="374"/>
      <c r="AR199" s="374"/>
      <c r="AS199" s="374"/>
      <c r="AT199" s="374"/>
      <c r="AU199" s="374"/>
      <c r="AV199" s="374"/>
      <c r="AW199" s="374"/>
      <c r="AX199" s="374"/>
      <c r="AY199" s="374"/>
      <c r="AZ199" s="5"/>
      <c r="BA199" s="5"/>
      <c r="BB199" s="5"/>
      <c r="BC199" s="5"/>
      <c r="BD199" s="5"/>
      <c r="BE199" s="5"/>
      <c r="BF199" s="5"/>
      <c r="BG199" s="5"/>
      <c r="BH199" s="5"/>
      <c r="BI199" s="5"/>
      <c r="BJ199" s="5"/>
      <c r="BK199" s="5"/>
      <c r="BL199" s="5"/>
      <c r="BM199" s="5"/>
      <c r="BN199" s="5"/>
      <c r="BO199" s="5"/>
      <c r="BP199" s="5"/>
      <c r="BQ199" s="5"/>
      <c r="BR199" s="5"/>
      <c r="BS199" s="5"/>
      <c r="BT199" s="5"/>
      <c r="BU199" s="5"/>
      <c r="BV199" s="5"/>
      <c r="BW199" s="5"/>
      <c r="BX199" s="5"/>
    </row>
    <row r="200" spans="1:76" ht="20.100000000000001" hidden="1" customHeight="1">
      <c r="A200" s="376">
        <v>45</v>
      </c>
      <c r="B200" s="378" t="str">
        <f>IFERROR(INDEX(Database_Charms,MATCH($N200,Database_Charms_Names,0),MATCH(B$111,Database_Charms_Values,0)),"")</f>
        <v/>
      </c>
      <c r="C200" s="378"/>
      <c r="D200" s="378"/>
      <c r="E200" s="378"/>
      <c r="F200" s="378"/>
      <c r="G200" s="33"/>
      <c r="H200" s="378" t="str">
        <f>IFERROR(INDEX(Database_Charms,MATCH($N200,Database_Charms_Names,0),MATCH("Ability_Subtype",Database_Charms_Values,0)),"")</f>
        <v/>
      </c>
      <c r="I200" s="378"/>
      <c r="J200" s="378"/>
      <c r="K200" s="378"/>
      <c r="L200" s="378"/>
      <c r="M200" s="23"/>
      <c r="N200" s="378" t="str">
        <f>VLOOKUP(A200,Values!$A$140:$O$239,IF(ISBLANK(VLOOKUP(A200,Values!$A$140:$O$239,13,0)),10,13),0)</f>
        <v/>
      </c>
      <c r="O200" s="378"/>
      <c r="P200" s="378"/>
      <c r="Q200" s="378"/>
      <c r="R200" s="378"/>
      <c r="S200" s="378"/>
      <c r="T200" s="378"/>
      <c r="U200" s="378"/>
      <c r="V200" s="378"/>
      <c r="W200" s="378"/>
      <c r="X200" s="378"/>
      <c r="Y200" s="378"/>
      <c r="Z200" s="378"/>
      <c r="AA200" s="378"/>
      <c r="AB200" s="23"/>
      <c r="AC200" s="302" t="str">
        <f>IFERROR(INDEX(Database_Charms,MATCH($N200,Database_Charms_Names,0),MATCH(AC$111,Database_Charms_Values,0)),"")</f>
        <v/>
      </c>
      <c r="AD200" s="302"/>
      <c r="AE200" s="302"/>
      <c r="AF200" s="302"/>
      <c r="AG200" s="302"/>
      <c r="AH200" s="125"/>
      <c r="AI200" s="302" t="str">
        <f>IFERROR(INDEX(Database_Charms,MATCH($N200,Database_Charms_Names,0),MATCH(AI$111,Database_Charms_Values,0)),"")</f>
        <v/>
      </c>
      <c r="AJ200" s="302"/>
      <c r="AK200" s="302"/>
      <c r="AL200" s="302"/>
      <c r="AM200" s="125"/>
      <c r="AN200" s="302" t="str">
        <f>IFERROR(INDEX(Database_Charms,MATCH($N200,Database_Charms_Names,0),MATCH(AN$111,Database_Charms_Values,0)),"")</f>
        <v/>
      </c>
      <c r="AO200" s="302"/>
      <c r="AP200" s="302"/>
      <c r="AQ200" s="302"/>
      <c r="AR200" s="302"/>
      <c r="AS200" s="125"/>
      <c r="AT200" s="302" t="str">
        <f>IFERROR(INDEX(Database_Charms,MATCH($N200,Database_Charms_Names,0),MATCH(AT$111,Database_Charms_Values,0)),"")</f>
        <v/>
      </c>
      <c r="AU200" s="302"/>
      <c r="AV200" s="125"/>
      <c r="AW200" s="302" t="str">
        <f>IFERROR(INDEX(Database_Charms,MATCH($N200,Database_Charms_Names,0),MATCH(AW$111,Database_Charms_Values,0)),"")</f>
        <v/>
      </c>
      <c r="AX200" s="302"/>
      <c r="AY200" s="302"/>
      <c r="AZ200" s="5"/>
      <c r="BA200" s="5"/>
      <c r="BB200" s="5"/>
      <c r="BC200" s="5"/>
      <c r="BD200" s="5"/>
      <c r="BE200" s="5"/>
      <c r="BF200" s="5"/>
      <c r="BG200" s="5"/>
      <c r="BH200" s="5"/>
      <c r="BI200" s="5"/>
      <c r="BJ200" s="5"/>
      <c r="BK200" s="5"/>
      <c r="BL200" s="5"/>
      <c r="BM200" s="5"/>
      <c r="BN200" s="5"/>
      <c r="BO200" s="5"/>
      <c r="BP200" s="5"/>
      <c r="BQ200" s="5"/>
      <c r="BR200" s="5"/>
      <c r="BS200" s="5"/>
      <c r="BT200" s="5"/>
      <c r="BU200" s="5"/>
      <c r="BV200" s="5"/>
      <c r="BW200" s="5"/>
      <c r="BX200" s="5"/>
    </row>
    <row r="201" spans="1:76" ht="39.950000000000003" hidden="1" customHeight="1">
      <c r="A201" s="379"/>
      <c r="B201" s="374" t="str">
        <f>IF(VLOOKUP(A200,Values!$A$140:$T$239,14,0)="",IF(VLOOKUP(A200,Values!$A$140:$T$239,11,0)="",IFERROR(INDEX(Database_Charms,MATCH($N200,Database_Charms_Names,0),MATCH(Charms!$S$1,Database_Charms_Values,0)),""),VLOOKUP(A200,Values!$A$140:$T$239,11,0)),VLOOKUP(A200,Values!$A$140:$T$239,14,0))</f>
        <v/>
      </c>
      <c r="C201" s="374"/>
      <c r="D201" s="374"/>
      <c r="E201" s="374"/>
      <c r="F201" s="374"/>
      <c r="G201" s="374"/>
      <c r="H201" s="374"/>
      <c r="I201" s="374"/>
      <c r="J201" s="374"/>
      <c r="K201" s="374"/>
      <c r="L201" s="374"/>
      <c r="M201" s="374"/>
      <c r="N201" s="374"/>
      <c r="O201" s="374"/>
      <c r="P201" s="374"/>
      <c r="Q201" s="374"/>
      <c r="R201" s="374"/>
      <c r="S201" s="374"/>
      <c r="T201" s="374"/>
      <c r="U201" s="374"/>
      <c r="V201" s="374"/>
      <c r="W201" s="374"/>
      <c r="X201" s="374"/>
      <c r="Y201" s="374"/>
      <c r="Z201" s="374"/>
      <c r="AA201" s="374"/>
      <c r="AB201" s="374"/>
      <c r="AC201" s="374"/>
      <c r="AD201" s="374"/>
      <c r="AE201" s="374"/>
      <c r="AF201" s="374"/>
      <c r="AG201" s="374"/>
      <c r="AH201" s="374"/>
      <c r="AI201" s="374"/>
      <c r="AJ201" s="374"/>
      <c r="AK201" s="374"/>
      <c r="AL201" s="374"/>
      <c r="AM201" s="374"/>
      <c r="AN201" s="374"/>
      <c r="AO201" s="374"/>
      <c r="AP201" s="374"/>
      <c r="AQ201" s="374"/>
      <c r="AR201" s="374"/>
      <c r="AS201" s="374"/>
      <c r="AT201" s="374"/>
      <c r="AU201" s="374"/>
      <c r="AV201" s="374"/>
      <c r="AW201" s="374"/>
      <c r="AX201" s="374"/>
      <c r="AY201" s="374"/>
      <c r="AZ201" s="5"/>
      <c r="BA201" s="41" t="s">
        <v>3262</v>
      </c>
      <c r="BB201" s="5"/>
      <c r="BC201" s="5"/>
      <c r="BD201" s="5"/>
      <c r="BE201" s="5"/>
      <c r="BF201" s="5"/>
      <c r="BG201" s="5"/>
      <c r="BH201" s="5"/>
      <c r="BI201" s="5"/>
      <c r="BJ201" s="5"/>
      <c r="BK201" s="5"/>
      <c r="BL201" s="5"/>
      <c r="BM201" s="5"/>
      <c r="BN201" s="5"/>
      <c r="BO201" s="5"/>
      <c r="BP201" s="5"/>
      <c r="BQ201" s="5"/>
      <c r="BR201" s="5"/>
      <c r="BS201" s="5"/>
      <c r="BT201" s="5"/>
      <c r="BU201" s="5"/>
      <c r="BV201" s="5"/>
      <c r="BW201" s="5"/>
      <c r="BX201" s="5"/>
    </row>
    <row r="202" spans="1:76" ht="20.100000000000001" hidden="1" customHeight="1">
      <c r="A202" s="376">
        <v>46</v>
      </c>
      <c r="B202" s="378" t="str">
        <f>IFERROR(INDEX(Database_Charms,MATCH($N202,Database_Charms_Names,0),MATCH(B$111,Database_Charms_Values,0)),"")</f>
        <v/>
      </c>
      <c r="C202" s="378"/>
      <c r="D202" s="378"/>
      <c r="E202" s="378"/>
      <c r="F202" s="378"/>
      <c r="G202" s="33"/>
      <c r="H202" s="378" t="str">
        <f>IFERROR(INDEX(Database_Charms,MATCH($N202,Database_Charms_Names,0),MATCH("Ability_Subtype",Database_Charms_Values,0)),"")</f>
        <v/>
      </c>
      <c r="I202" s="378"/>
      <c r="J202" s="378"/>
      <c r="K202" s="378"/>
      <c r="L202" s="378"/>
      <c r="M202" s="23"/>
      <c r="N202" s="378" t="str">
        <f>VLOOKUP(A202,Values!$A$140:$O$239,IF(ISBLANK(VLOOKUP(A202,Values!$A$140:$O$239,13,0)),10,13),0)</f>
        <v/>
      </c>
      <c r="O202" s="378"/>
      <c r="P202" s="378"/>
      <c r="Q202" s="378"/>
      <c r="R202" s="378"/>
      <c r="S202" s="378"/>
      <c r="T202" s="378"/>
      <c r="U202" s="378"/>
      <c r="V202" s="378"/>
      <c r="W202" s="378"/>
      <c r="X202" s="378"/>
      <c r="Y202" s="378"/>
      <c r="Z202" s="378"/>
      <c r="AA202" s="378"/>
      <c r="AB202" s="23"/>
      <c r="AC202" s="302" t="str">
        <f>IFERROR(INDEX(Database_Charms,MATCH($N202,Database_Charms_Names,0),MATCH(AC$111,Database_Charms_Values,0)),"")</f>
        <v/>
      </c>
      <c r="AD202" s="302"/>
      <c r="AE202" s="302"/>
      <c r="AF202" s="302"/>
      <c r="AG202" s="302"/>
      <c r="AH202" s="125"/>
      <c r="AI202" s="302" t="str">
        <f>IFERROR(INDEX(Database_Charms,MATCH($N202,Database_Charms_Names,0),MATCH(AI$111,Database_Charms_Values,0)),"")</f>
        <v/>
      </c>
      <c r="AJ202" s="302"/>
      <c r="AK202" s="302"/>
      <c r="AL202" s="302"/>
      <c r="AM202" s="125"/>
      <c r="AN202" s="302" t="str">
        <f>IFERROR(INDEX(Database_Charms,MATCH($N202,Database_Charms_Names,0),MATCH(AN$111,Database_Charms_Values,0)),"")</f>
        <v/>
      </c>
      <c r="AO202" s="302"/>
      <c r="AP202" s="302"/>
      <c r="AQ202" s="302"/>
      <c r="AR202" s="302"/>
      <c r="AS202" s="125"/>
      <c r="AT202" s="302" t="str">
        <f>IFERROR(INDEX(Database_Charms,MATCH($N202,Database_Charms_Names,0),MATCH(AT$111,Database_Charms_Values,0)),"")</f>
        <v/>
      </c>
      <c r="AU202" s="302"/>
      <c r="AV202" s="125"/>
      <c r="AW202" s="302" t="str">
        <f>IFERROR(INDEX(Database_Charms,MATCH($N202,Database_Charms_Names,0),MATCH(AW$111,Database_Charms_Values,0)),"")</f>
        <v/>
      </c>
      <c r="AX202" s="302"/>
      <c r="AY202" s="302"/>
      <c r="AZ202" s="5"/>
      <c r="BA202" s="382">
        <f>Values!$AB$3</f>
        <v>0</v>
      </c>
      <c r="BB202" s="382"/>
      <c r="BC202" s="5"/>
      <c r="BD202" s="5"/>
      <c r="BE202" s="5"/>
      <c r="BF202" s="5"/>
      <c r="BG202" s="5"/>
      <c r="BH202" s="5"/>
      <c r="BI202" s="5"/>
      <c r="BJ202" s="5"/>
      <c r="BK202" s="5"/>
      <c r="BL202" s="5"/>
      <c r="BM202" s="5"/>
      <c r="BN202" s="5"/>
      <c r="BO202" s="5"/>
      <c r="BP202" s="5"/>
      <c r="BQ202" s="5"/>
      <c r="BR202" s="5"/>
      <c r="BS202" s="5"/>
      <c r="BT202" s="5"/>
      <c r="BU202" s="5"/>
      <c r="BV202" s="5"/>
      <c r="BW202" s="5"/>
      <c r="BX202" s="5"/>
    </row>
    <row r="203" spans="1:76" ht="39.950000000000003" hidden="1" customHeight="1">
      <c r="A203" s="379"/>
      <c r="B203" s="374" t="str">
        <f>IF(VLOOKUP(A202,Values!$A$140:$T$239,14,0)="",IF(VLOOKUP(A202,Values!$A$140:$T$239,11,0)="",IFERROR(INDEX(Database_Charms,MATCH($N202,Database_Charms_Names,0),MATCH(Charms!$S$1,Database_Charms_Values,0)),""),VLOOKUP(A202,Values!$A$140:$T$239,11,0)),VLOOKUP(A202,Values!$A$140:$T$239,14,0))</f>
        <v/>
      </c>
      <c r="C203" s="374"/>
      <c r="D203" s="374"/>
      <c r="E203" s="374"/>
      <c r="F203" s="374"/>
      <c r="G203" s="374"/>
      <c r="H203" s="374"/>
      <c r="I203" s="374"/>
      <c r="J203" s="374"/>
      <c r="K203" s="374"/>
      <c r="L203" s="374"/>
      <c r="M203" s="374"/>
      <c r="N203" s="374"/>
      <c r="O203" s="374"/>
      <c r="P203" s="374"/>
      <c r="Q203" s="374"/>
      <c r="R203" s="374"/>
      <c r="S203" s="374"/>
      <c r="T203" s="374"/>
      <c r="U203" s="374"/>
      <c r="V203" s="374"/>
      <c r="W203" s="374"/>
      <c r="X203" s="374"/>
      <c r="Y203" s="374"/>
      <c r="Z203" s="374"/>
      <c r="AA203" s="374"/>
      <c r="AB203" s="374"/>
      <c r="AC203" s="374"/>
      <c r="AD203" s="374"/>
      <c r="AE203" s="374"/>
      <c r="AF203" s="374"/>
      <c r="AG203" s="374"/>
      <c r="AH203" s="374"/>
      <c r="AI203" s="374"/>
      <c r="AJ203" s="374"/>
      <c r="AK203" s="374"/>
      <c r="AL203" s="374"/>
      <c r="AM203" s="374"/>
      <c r="AN203" s="374"/>
      <c r="AO203" s="374"/>
      <c r="AP203" s="374"/>
      <c r="AQ203" s="374"/>
      <c r="AR203" s="374"/>
      <c r="AS203" s="374"/>
      <c r="AT203" s="374"/>
      <c r="AU203" s="374"/>
      <c r="AV203" s="374"/>
      <c r="AW203" s="374"/>
      <c r="AX203" s="374"/>
      <c r="AY203" s="374"/>
      <c r="AZ203" s="5"/>
      <c r="BA203" s="5"/>
      <c r="BB203" s="5"/>
      <c r="BC203" s="5"/>
      <c r="BD203" s="5"/>
      <c r="BE203" s="5"/>
      <c r="BF203" s="5"/>
      <c r="BG203" s="5"/>
      <c r="BH203" s="5"/>
      <c r="BI203" s="5"/>
      <c r="BJ203" s="5"/>
      <c r="BK203" s="5"/>
      <c r="BL203" s="5"/>
      <c r="BM203" s="5"/>
      <c r="BN203" s="5"/>
      <c r="BO203" s="5"/>
      <c r="BP203" s="5"/>
      <c r="BQ203" s="5"/>
      <c r="BR203" s="5"/>
      <c r="BS203" s="5"/>
      <c r="BT203" s="5"/>
      <c r="BU203" s="5"/>
      <c r="BV203" s="5"/>
      <c r="BW203" s="5"/>
      <c r="BX203" s="5"/>
    </row>
    <row r="204" spans="1:76" ht="20.100000000000001" hidden="1" customHeight="1">
      <c r="A204" s="376">
        <v>47</v>
      </c>
      <c r="B204" s="378" t="str">
        <f>IFERROR(INDEX(Database_Charms,MATCH($N204,Database_Charms_Names,0),MATCH(B$111,Database_Charms_Values,0)),"")</f>
        <v/>
      </c>
      <c r="C204" s="378"/>
      <c r="D204" s="378"/>
      <c r="E204" s="378"/>
      <c r="F204" s="378"/>
      <c r="G204" s="33"/>
      <c r="H204" s="378" t="str">
        <f>IFERROR(INDEX(Database_Charms,MATCH($N204,Database_Charms_Names,0),MATCH("Ability_Subtype",Database_Charms_Values,0)),"")</f>
        <v/>
      </c>
      <c r="I204" s="378"/>
      <c r="J204" s="378"/>
      <c r="K204" s="378"/>
      <c r="L204" s="378"/>
      <c r="M204" s="23"/>
      <c r="N204" s="378" t="str">
        <f>VLOOKUP(A204,Values!$A$140:$O$239,IF(ISBLANK(VLOOKUP(A204,Values!$A$140:$O$239,13,0)),10,13),0)</f>
        <v/>
      </c>
      <c r="O204" s="378"/>
      <c r="P204" s="378"/>
      <c r="Q204" s="378"/>
      <c r="R204" s="378"/>
      <c r="S204" s="378"/>
      <c r="T204" s="378"/>
      <c r="U204" s="378"/>
      <c r="V204" s="378"/>
      <c r="W204" s="378"/>
      <c r="X204" s="378"/>
      <c r="Y204" s="378"/>
      <c r="Z204" s="378"/>
      <c r="AA204" s="378"/>
      <c r="AB204" s="23"/>
      <c r="AC204" s="302" t="str">
        <f>IFERROR(INDEX(Database_Charms,MATCH($N204,Database_Charms_Names,0),MATCH(AC$111,Database_Charms_Values,0)),"")</f>
        <v/>
      </c>
      <c r="AD204" s="302"/>
      <c r="AE204" s="302"/>
      <c r="AF204" s="302"/>
      <c r="AG204" s="302"/>
      <c r="AH204" s="125"/>
      <c r="AI204" s="302" t="str">
        <f>IFERROR(INDEX(Database_Charms,MATCH($N204,Database_Charms_Names,0),MATCH(AI$111,Database_Charms_Values,0)),"")</f>
        <v/>
      </c>
      <c r="AJ204" s="302"/>
      <c r="AK204" s="302"/>
      <c r="AL204" s="302"/>
      <c r="AM204" s="125"/>
      <c r="AN204" s="302" t="str">
        <f>IFERROR(INDEX(Database_Charms,MATCH($N204,Database_Charms_Names,0),MATCH(AN$111,Database_Charms_Values,0)),"")</f>
        <v/>
      </c>
      <c r="AO204" s="302"/>
      <c r="AP204" s="302"/>
      <c r="AQ204" s="302"/>
      <c r="AR204" s="302"/>
      <c r="AS204" s="125"/>
      <c r="AT204" s="302" t="str">
        <f>IFERROR(INDEX(Database_Charms,MATCH($N204,Database_Charms_Names,0),MATCH(AT$111,Database_Charms_Values,0)),"")</f>
        <v/>
      </c>
      <c r="AU204" s="302"/>
      <c r="AV204" s="125"/>
      <c r="AW204" s="302" t="str">
        <f>IFERROR(INDEX(Database_Charms,MATCH($N204,Database_Charms_Names,0),MATCH(AW$111,Database_Charms_Values,0)),"")</f>
        <v/>
      </c>
      <c r="AX204" s="302"/>
      <c r="AY204" s="302"/>
      <c r="AZ204" s="5"/>
      <c r="BA204" s="5"/>
      <c r="BB204" s="5"/>
      <c r="BC204" s="5"/>
      <c r="BD204" s="5"/>
      <c r="BE204" s="5"/>
      <c r="BF204" s="5"/>
      <c r="BG204" s="5"/>
      <c r="BH204" s="5"/>
      <c r="BI204" s="5"/>
      <c r="BJ204" s="5"/>
      <c r="BK204" s="5"/>
      <c r="BL204" s="5"/>
      <c r="BM204" s="5"/>
      <c r="BN204" s="5"/>
      <c r="BO204" s="5"/>
      <c r="BP204" s="5"/>
      <c r="BQ204" s="5"/>
      <c r="BR204" s="5"/>
      <c r="BS204" s="5"/>
      <c r="BT204" s="5"/>
      <c r="BU204" s="5"/>
      <c r="BV204" s="5"/>
      <c r="BW204" s="5"/>
      <c r="BX204" s="5"/>
    </row>
    <row r="205" spans="1:76" ht="39.950000000000003" hidden="1" customHeight="1">
      <c r="A205" s="379"/>
      <c r="B205" s="374" t="str">
        <f>IF(VLOOKUP(A204,Values!$A$140:$T$239,14,0)="",IF(VLOOKUP(A204,Values!$A$140:$T$239,11,0)="",IFERROR(INDEX(Database_Charms,MATCH($N204,Database_Charms_Names,0),MATCH(Charms!$S$1,Database_Charms_Values,0)),""),VLOOKUP(A204,Values!$A$140:$T$239,11,0)),VLOOKUP(A204,Values!$A$140:$T$239,14,0))</f>
        <v/>
      </c>
      <c r="C205" s="374"/>
      <c r="D205" s="374"/>
      <c r="E205" s="374"/>
      <c r="F205" s="374"/>
      <c r="G205" s="374"/>
      <c r="H205" s="374"/>
      <c r="I205" s="374"/>
      <c r="J205" s="374"/>
      <c r="K205" s="374"/>
      <c r="L205" s="374"/>
      <c r="M205" s="374"/>
      <c r="N205" s="374"/>
      <c r="O205" s="374"/>
      <c r="P205" s="374"/>
      <c r="Q205" s="374"/>
      <c r="R205" s="374"/>
      <c r="S205" s="374"/>
      <c r="T205" s="374"/>
      <c r="U205" s="374"/>
      <c r="V205" s="374"/>
      <c r="W205" s="374"/>
      <c r="X205" s="374"/>
      <c r="Y205" s="374"/>
      <c r="Z205" s="374"/>
      <c r="AA205" s="374"/>
      <c r="AB205" s="374"/>
      <c r="AC205" s="374"/>
      <c r="AD205" s="374"/>
      <c r="AE205" s="374"/>
      <c r="AF205" s="374"/>
      <c r="AG205" s="374"/>
      <c r="AH205" s="374"/>
      <c r="AI205" s="374"/>
      <c r="AJ205" s="374"/>
      <c r="AK205" s="374"/>
      <c r="AL205" s="374"/>
      <c r="AM205" s="374"/>
      <c r="AN205" s="374"/>
      <c r="AO205" s="374"/>
      <c r="AP205" s="374"/>
      <c r="AQ205" s="374"/>
      <c r="AR205" s="374"/>
      <c r="AS205" s="374"/>
      <c r="AT205" s="374"/>
      <c r="AU205" s="374"/>
      <c r="AV205" s="374"/>
      <c r="AW205" s="374"/>
      <c r="AX205" s="374"/>
      <c r="AY205" s="374"/>
      <c r="AZ205" s="5"/>
      <c r="BA205" s="5"/>
      <c r="BB205" s="5"/>
      <c r="BC205" s="5"/>
      <c r="BD205" s="5"/>
      <c r="BE205" s="5"/>
      <c r="BF205" s="5"/>
      <c r="BG205" s="5"/>
      <c r="BH205" s="5"/>
      <c r="BI205" s="5"/>
      <c r="BJ205" s="5"/>
      <c r="BK205" s="5"/>
      <c r="BL205" s="5"/>
      <c r="BM205" s="5"/>
      <c r="BN205" s="5"/>
      <c r="BO205" s="5"/>
      <c r="BP205" s="5"/>
      <c r="BQ205" s="5"/>
      <c r="BR205" s="5"/>
      <c r="BS205" s="5"/>
      <c r="BT205" s="5"/>
      <c r="BU205" s="5"/>
      <c r="BV205" s="5"/>
      <c r="BW205" s="5"/>
      <c r="BX205" s="5"/>
    </row>
    <row r="206" spans="1:76" ht="20.100000000000001" hidden="1" customHeight="1">
      <c r="A206" s="376">
        <v>48</v>
      </c>
      <c r="B206" s="378" t="str">
        <f>IFERROR(INDEX(Database_Charms,MATCH($N206,Database_Charms_Names,0),MATCH(B$111,Database_Charms_Values,0)),"")</f>
        <v/>
      </c>
      <c r="C206" s="378"/>
      <c r="D206" s="378"/>
      <c r="E206" s="378"/>
      <c r="F206" s="378"/>
      <c r="G206" s="33"/>
      <c r="H206" s="378" t="str">
        <f>IFERROR(INDEX(Database_Charms,MATCH($N206,Database_Charms_Names,0),MATCH("Ability_Subtype",Database_Charms_Values,0)),"")</f>
        <v/>
      </c>
      <c r="I206" s="378"/>
      <c r="J206" s="378"/>
      <c r="K206" s="378"/>
      <c r="L206" s="378"/>
      <c r="M206" s="23"/>
      <c r="N206" s="378" t="str">
        <f>VLOOKUP(A206,Values!$A$140:$O$239,IF(ISBLANK(VLOOKUP(A206,Values!$A$140:$O$239,13,0)),10,13),0)</f>
        <v/>
      </c>
      <c r="O206" s="378"/>
      <c r="P206" s="378"/>
      <c r="Q206" s="378"/>
      <c r="R206" s="378"/>
      <c r="S206" s="378"/>
      <c r="T206" s="378"/>
      <c r="U206" s="378"/>
      <c r="V206" s="378"/>
      <c r="W206" s="378"/>
      <c r="X206" s="378"/>
      <c r="Y206" s="378"/>
      <c r="Z206" s="378"/>
      <c r="AA206" s="378"/>
      <c r="AB206" s="23"/>
      <c r="AC206" s="302" t="str">
        <f>IFERROR(INDEX(Database_Charms,MATCH($N206,Database_Charms_Names,0),MATCH(AC$111,Database_Charms_Values,0)),"")</f>
        <v/>
      </c>
      <c r="AD206" s="302"/>
      <c r="AE206" s="302"/>
      <c r="AF206" s="302"/>
      <c r="AG206" s="302"/>
      <c r="AH206" s="125"/>
      <c r="AI206" s="302" t="str">
        <f>IFERROR(INDEX(Database_Charms,MATCH($N206,Database_Charms_Names,0),MATCH(AI$111,Database_Charms_Values,0)),"")</f>
        <v/>
      </c>
      <c r="AJ206" s="302"/>
      <c r="AK206" s="302"/>
      <c r="AL206" s="302"/>
      <c r="AM206" s="125"/>
      <c r="AN206" s="302" t="str">
        <f>IFERROR(INDEX(Database_Charms,MATCH($N206,Database_Charms_Names,0),MATCH(AN$111,Database_Charms_Values,0)),"")</f>
        <v/>
      </c>
      <c r="AO206" s="302"/>
      <c r="AP206" s="302"/>
      <c r="AQ206" s="302"/>
      <c r="AR206" s="302"/>
      <c r="AS206" s="125"/>
      <c r="AT206" s="302" t="str">
        <f>IFERROR(INDEX(Database_Charms,MATCH($N206,Database_Charms_Names,0),MATCH(AT$111,Database_Charms_Values,0)),"")</f>
        <v/>
      </c>
      <c r="AU206" s="302"/>
      <c r="AV206" s="125"/>
      <c r="AW206" s="302" t="str">
        <f>IFERROR(INDEX(Database_Charms,MATCH($N206,Database_Charms_Names,0),MATCH(AW$111,Database_Charms_Values,0)),"")</f>
        <v/>
      </c>
      <c r="AX206" s="302"/>
      <c r="AY206" s="302"/>
      <c r="AZ206" s="5"/>
      <c r="BA206" s="5"/>
      <c r="BB206" s="5"/>
      <c r="BC206" s="5"/>
      <c r="BD206" s="5"/>
      <c r="BE206" s="5"/>
      <c r="BF206" s="5"/>
      <c r="BG206" s="5"/>
      <c r="BH206" s="5"/>
      <c r="BI206" s="5"/>
      <c r="BJ206" s="5"/>
      <c r="BK206" s="5"/>
      <c r="BL206" s="5"/>
      <c r="BM206" s="5"/>
      <c r="BN206" s="5"/>
      <c r="BO206" s="5"/>
      <c r="BP206" s="5"/>
      <c r="BQ206" s="5"/>
      <c r="BR206" s="5"/>
      <c r="BS206" s="5"/>
      <c r="BT206" s="5"/>
      <c r="BU206" s="5"/>
      <c r="BV206" s="5"/>
      <c r="BW206" s="5"/>
      <c r="BX206" s="5"/>
    </row>
    <row r="207" spans="1:76" ht="39.950000000000003" hidden="1" customHeight="1">
      <c r="A207" s="379"/>
      <c r="B207" s="374" t="str">
        <f>IF(VLOOKUP(A206,Values!$A$140:$T$239,14,0)="",IF(VLOOKUP(A206,Values!$A$140:$T$239,11,0)="",IFERROR(INDEX(Database_Charms,MATCH($N206,Database_Charms_Names,0),MATCH(Charms!$S$1,Database_Charms_Values,0)),""),VLOOKUP(A206,Values!$A$140:$T$239,11,0)),VLOOKUP(A206,Values!$A$140:$T$239,14,0))</f>
        <v/>
      </c>
      <c r="C207" s="374"/>
      <c r="D207" s="374"/>
      <c r="E207" s="374"/>
      <c r="F207" s="374"/>
      <c r="G207" s="374"/>
      <c r="H207" s="374"/>
      <c r="I207" s="374"/>
      <c r="J207" s="374"/>
      <c r="K207" s="374"/>
      <c r="L207" s="374"/>
      <c r="M207" s="374"/>
      <c r="N207" s="374"/>
      <c r="O207" s="374"/>
      <c r="P207" s="374"/>
      <c r="Q207" s="374"/>
      <c r="R207" s="374"/>
      <c r="S207" s="374"/>
      <c r="T207" s="374"/>
      <c r="U207" s="374"/>
      <c r="V207" s="374"/>
      <c r="W207" s="374"/>
      <c r="X207" s="374"/>
      <c r="Y207" s="374"/>
      <c r="Z207" s="374"/>
      <c r="AA207" s="374"/>
      <c r="AB207" s="374"/>
      <c r="AC207" s="374"/>
      <c r="AD207" s="374"/>
      <c r="AE207" s="374"/>
      <c r="AF207" s="374"/>
      <c r="AG207" s="374"/>
      <c r="AH207" s="374"/>
      <c r="AI207" s="374"/>
      <c r="AJ207" s="374"/>
      <c r="AK207" s="374"/>
      <c r="AL207" s="374"/>
      <c r="AM207" s="374"/>
      <c r="AN207" s="374"/>
      <c r="AO207" s="374"/>
      <c r="AP207" s="374"/>
      <c r="AQ207" s="374"/>
      <c r="AR207" s="374"/>
      <c r="AS207" s="374"/>
      <c r="AT207" s="374"/>
      <c r="AU207" s="374"/>
      <c r="AV207" s="374"/>
      <c r="AW207" s="374"/>
      <c r="AX207" s="374"/>
      <c r="AY207" s="374"/>
      <c r="AZ207" s="5"/>
      <c r="BA207" s="5"/>
      <c r="BB207" s="5"/>
      <c r="BC207" s="5"/>
      <c r="BD207" s="5"/>
      <c r="BE207" s="5"/>
      <c r="BF207" s="5"/>
      <c r="BG207" s="5"/>
      <c r="BH207" s="5"/>
      <c r="BI207" s="5"/>
      <c r="BJ207" s="5"/>
      <c r="BK207" s="5"/>
      <c r="BL207" s="5"/>
      <c r="BM207" s="5"/>
      <c r="BN207" s="5"/>
      <c r="BO207" s="5"/>
      <c r="BP207" s="5"/>
      <c r="BQ207" s="5"/>
      <c r="BR207" s="5"/>
      <c r="BS207" s="5"/>
      <c r="BT207" s="5"/>
      <c r="BU207" s="5"/>
      <c r="BV207" s="5"/>
      <c r="BW207" s="5"/>
      <c r="BX207" s="5"/>
    </row>
    <row r="208" spans="1:76" ht="20.100000000000001" hidden="1" customHeight="1">
      <c r="A208" s="376">
        <v>49</v>
      </c>
      <c r="B208" s="378" t="str">
        <f>IFERROR(INDEX(Database_Charms,MATCH($N208,Database_Charms_Names,0),MATCH(B$111,Database_Charms_Values,0)),"")</f>
        <v/>
      </c>
      <c r="C208" s="378"/>
      <c r="D208" s="378"/>
      <c r="E208" s="378"/>
      <c r="F208" s="378"/>
      <c r="G208" s="33"/>
      <c r="H208" s="378" t="str">
        <f>IFERROR(INDEX(Database_Charms,MATCH($N208,Database_Charms_Names,0),MATCH("Ability_Subtype",Database_Charms_Values,0)),"")</f>
        <v/>
      </c>
      <c r="I208" s="378"/>
      <c r="J208" s="378"/>
      <c r="K208" s="378"/>
      <c r="L208" s="378"/>
      <c r="M208" s="23"/>
      <c r="N208" s="378" t="str">
        <f>VLOOKUP(A208,Values!$A$140:$O$239,IF(ISBLANK(VLOOKUP(A208,Values!$A$140:$O$239,13,0)),10,13),0)</f>
        <v/>
      </c>
      <c r="O208" s="378"/>
      <c r="P208" s="378"/>
      <c r="Q208" s="378"/>
      <c r="R208" s="378"/>
      <c r="S208" s="378"/>
      <c r="T208" s="378"/>
      <c r="U208" s="378"/>
      <c r="V208" s="378"/>
      <c r="W208" s="378"/>
      <c r="X208" s="378"/>
      <c r="Y208" s="378"/>
      <c r="Z208" s="378"/>
      <c r="AA208" s="378"/>
      <c r="AB208" s="23"/>
      <c r="AC208" s="302" t="str">
        <f>IFERROR(INDEX(Database_Charms,MATCH($N208,Database_Charms_Names,0),MATCH(AC$111,Database_Charms_Values,0)),"")</f>
        <v/>
      </c>
      <c r="AD208" s="302"/>
      <c r="AE208" s="302"/>
      <c r="AF208" s="302"/>
      <c r="AG208" s="302"/>
      <c r="AH208" s="125"/>
      <c r="AI208" s="302" t="str">
        <f>IFERROR(INDEX(Database_Charms,MATCH($N208,Database_Charms_Names,0),MATCH(AI$111,Database_Charms_Values,0)),"")</f>
        <v/>
      </c>
      <c r="AJ208" s="302"/>
      <c r="AK208" s="302"/>
      <c r="AL208" s="302"/>
      <c r="AM208" s="125"/>
      <c r="AN208" s="302" t="str">
        <f>IFERROR(INDEX(Database_Charms,MATCH($N208,Database_Charms_Names,0),MATCH(AN$111,Database_Charms_Values,0)),"")</f>
        <v/>
      </c>
      <c r="AO208" s="302"/>
      <c r="AP208" s="302"/>
      <c r="AQ208" s="302"/>
      <c r="AR208" s="302"/>
      <c r="AS208" s="125"/>
      <c r="AT208" s="302" t="str">
        <f>IFERROR(INDEX(Database_Charms,MATCH($N208,Database_Charms_Names,0),MATCH(AT$111,Database_Charms_Values,0)),"")</f>
        <v/>
      </c>
      <c r="AU208" s="302"/>
      <c r="AV208" s="125"/>
      <c r="AW208" s="302" t="str">
        <f>IFERROR(INDEX(Database_Charms,MATCH($N208,Database_Charms_Names,0),MATCH(AW$111,Database_Charms_Values,0)),"")</f>
        <v/>
      </c>
      <c r="AX208" s="302"/>
      <c r="AY208" s="302"/>
      <c r="AZ208" s="5"/>
      <c r="BA208" s="5"/>
      <c r="BB208" s="5"/>
      <c r="BC208" s="5"/>
      <c r="BD208" s="5"/>
      <c r="BE208" s="5"/>
      <c r="BF208" s="5"/>
      <c r="BG208" s="5"/>
      <c r="BH208" s="5"/>
      <c r="BI208" s="5"/>
      <c r="BJ208" s="5"/>
      <c r="BK208" s="5"/>
      <c r="BL208" s="5"/>
      <c r="BM208" s="5"/>
      <c r="BN208" s="5"/>
      <c r="BO208" s="5"/>
      <c r="BP208" s="5"/>
      <c r="BQ208" s="5"/>
      <c r="BR208" s="5"/>
      <c r="BS208" s="5"/>
      <c r="BT208" s="5"/>
      <c r="BU208" s="5"/>
      <c r="BV208" s="5"/>
      <c r="BW208" s="5"/>
      <c r="BX208" s="5"/>
    </row>
    <row r="209" spans="1:76" ht="39.950000000000003" hidden="1" customHeight="1">
      <c r="A209" s="379"/>
      <c r="B209" s="374" t="str">
        <f>IF(VLOOKUP(A208,Values!$A$140:$T$239,14,0)="",IF(VLOOKUP(A208,Values!$A$140:$T$239,11,0)="",IFERROR(INDEX(Database_Charms,MATCH($N208,Database_Charms_Names,0),MATCH(Charms!$S$1,Database_Charms_Values,0)),""),VLOOKUP(A208,Values!$A$140:$T$239,11,0)),VLOOKUP(A208,Values!$A$140:$T$239,14,0))</f>
        <v/>
      </c>
      <c r="C209" s="374"/>
      <c r="D209" s="374"/>
      <c r="E209" s="374"/>
      <c r="F209" s="374"/>
      <c r="G209" s="374"/>
      <c r="H209" s="374"/>
      <c r="I209" s="374"/>
      <c r="J209" s="374"/>
      <c r="K209" s="374"/>
      <c r="L209" s="374"/>
      <c r="M209" s="374"/>
      <c r="N209" s="374"/>
      <c r="O209" s="374"/>
      <c r="P209" s="374"/>
      <c r="Q209" s="374"/>
      <c r="R209" s="374"/>
      <c r="S209" s="374"/>
      <c r="T209" s="374"/>
      <c r="U209" s="374"/>
      <c r="V209" s="374"/>
      <c r="W209" s="374"/>
      <c r="X209" s="374"/>
      <c r="Y209" s="374"/>
      <c r="Z209" s="374"/>
      <c r="AA209" s="374"/>
      <c r="AB209" s="374"/>
      <c r="AC209" s="374"/>
      <c r="AD209" s="374"/>
      <c r="AE209" s="374"/>
      <c r="AF209" s="374"/>
      <c r="AG209" s="374"/>
      <c r="AH209" s="374"/>
      <c r="AI209" s="374"/>
      <c r="AJ209" s="374"/>
      <c r="AK209" s="374"/>
      <c r="AL209" s="374"/>
      <c r="AM209" s="374"/>
      <c r="AN209" s="374"/>
      <c r="AO209" s="374"/>
      <c r="AP209" s="374"/>
      <c r="AQ209" s="374"/>
      <c r="AR209" s="374"/>
      <c r="AS209" s="374"/>
      <c r="AT209" s="374"/>
      <c r="AU209" s="374"/>
      <c r="AV209" s="374"/>
      <c r="AW209" s="374"/>
      <c r="AX209" s="374"/>
      <c r="AY209" s="374"/>
      <c r="AZ209" s="5"/>
      <c r="BA209" s="5"/>
      <c r="BB209" s="5"/>
      <c r="BC209" s="5"/>
      <c r="BD209" s="5"/>
      <c r="BE209" s="5"/>
      <c r="BF209" s="5"/>
      <c r="BG209" s="5"/>
      <c r="BH209" s="5"/>
      <c r="BI209" s="5"/>
      <c r="BJ209" s="5"/>
      <c r="BK209" s="5"/>
      <c r="BL209" s="5"/>
      <c r="BM209" s="5"/>
      <c r="BN209" s="5"/>
      <c r="BO209" s="5"/>
      <c r="BP209" s="5"/>
      <c r="BQ209" s="5"/>
      <c r="BR209" s="5"/>
      <c r="BS209" s="5"/>
      <c r="BT209" s="5"/>
      <c r="BU209" s="5"/>
      <c r="BV209" s="5"/>
      <c r="BW209" s="5"/>
      <c r="BX209" s="5"/>
    </row>
    <row r="210" spans="1:76" ht="20.100000000000001" hidden="1" customHeight="1">
      <c r="A210" s="376">
        <v>50</v>
      </c>
      <c r="B210" s="378" t="str">
        <f>IFERROR(VLOOKUP($N210,Charms!$B:$K,5,0),"")</f>
        <v/>
      </c>
      <c r="C210" s="378"/>
      <c r="D210" s="378"/>
      <c r="E210" s="378"/>
      <c r="F210" s="378"/>
      <c r="G210" s="33"/>
      <c r="H210" s="378" t="str">
        <f>IFERROR(VLOOKUP($N210,Charms!$B:$K,6,0),B210)</f>
        <v/>
      </c>
      <c r="I210" s="378"/>
      <c r="J210" s="378"/>
      <c r="K210" s="378"/>
      <c r="L210" s="378"/>
      <c r="M210" s="23"/>
      <c r="N210" s="378" t="str">
        <f>VLOOKUP(A210,Values!$A$140:$O$239,IF(ISBLANK(VLOOKUP(A210,Values!$A$140:$O$239,13,0)),10,13),0)</f>
        <v/>
      </c>
      <c r="O210" s="378"/>
      <c r="P210" s="378"/>
      <c r="Q210" s="378"/>
      <c r="R210" s="378"/>
      <c r="S210" s="378"/>
      <c r="T210" s="378"/>
      <c r="U210" s="378"/>
      <c r="V210" s="378"/>
      <c r="W210" s="378"/>
      <c r="X210" s="378"/>
      <c r="Y210" s="378"/>
      <c r="Z210" s="378"/>
      <c r="AA210" s="378"/>
      <c r="AB210" s="23"/>
      <c r="AC210" s="302" t="str">
        <f>IFERROR(INDEX(Database_Charms,MATCH($N210,Database_Charms_Names,0),MATCH(AC$111,Database_Charms_Values,0)),"")</f>
        <v/>
      </c>
      <c r="AD210" s="302"/>
      <c r="AE210" s="302"/>
      <c r="AF210" s="302"/>
      <c r="AG210" s="302"/>
      <c r="AH210" s="125"/>
      <c r="AI210" s="302" t="str">
        <f>IFERROR(INDEX(Database_Charms,MATCH($N210,Database_Charms_Names,0),MATCH(AI$111,Database_Charms_Values,0)),"")</f>
        <v/>
      </c>
      <c r="AJ210" s="302"/>
      <c r="AK210" s="302"/>
      <c r="AL210" s="302"/>
      <c r="AM210" s="125"/>
      <c r="AN210" s="302" t="str">
        <f>IFERROR(INDEX(Database_Charms,MATCH($N210,Database_Charms_Names,0),MATCH(AN$111,Database_Charms_Values,0)),"")</f>
        <v/>
      </c>
      <c r="AO210" s="302"/>
      <c r="AP210" s="302"/>
      <c r="AQ210" s="302"/>
      <c r="AR210" s="302"/>
      <c r="AS210" s="125"/>
      <c r="AT210" s="302" t="str">
        <f>IFERROR(INDEX(Database_Charms,MATCH($N210,Database_Charms_Names,0),MATCH(AT$111,Database_Charms_Values,0)),"")</f>
        <v/>
      </c>
      <c r="AU210" s="302"/>
      <c r="AV210" s="125"/>
      <c r="AW210" s="302" t="str">
        <f>IFERROR(INDEX(Database_Charms,MATCH($N210,Database_Charms_Names,0),MATCH(AW$111,Database_Charms_Values,0)),"")</f>
        <v/>
      </c>
      <c r="AX210" s="302"/>
      <c r="AY210" s="302"/>
      <c r="AZ210" s="5"/>
      <c r="BA210" s="41" t="s">
        <v>3262</v>
      </c>
      <c r="BB210" s="5"/>
      <c r="BC210" s="5"/>
      <c r="BD210" s="5"/>
      <c r="BE210" s="5"/>
      <c r="BF210" s="5"/>
      <c r="BG210" s="5"/>
      <c r="BH210" s="5"/>
      <c r="BI210" s="5"/>
      <c r="BJ210" s="5"/>
      <c r="BK210" s="5"/>
      <c r="BL210" s="5"/>
      <c r="BM210" s="5"/>
      <c r="BN210" s="5"/>
      <c r="BO210" s="5"/>
      <c r="BP210" s="5"/>
      <c r="BQ210" s="5"/>
      <c r="BR210" s="5"/>
      <c r="BS210" s="5"/>
      <c r="BT210" s="5"/>
      <c r="BU210" s="5"/>
      <c r="BV210" s="5"/>
      <c r="BW210" s="5"/>
      <c r="BX210" s="5"/>
    </row>
    <row r="211" spans="1:76" ht="39.950000000000003" hidden="1" customHeight="1">
      <c r="A211" s="377"/>
      <c r="B211" s="372" t="str">
        <f>IF(VLOOKUP(A210,Values!$A$140:$T$239,14,0)="",IF(VLOOKUP(A210,Values!$A$140:$T$239,11,0)="",IFERROR(INDEX(Database_Charms,MATCH($N210,Database_Charms_Names,0),MATCH(Charms!S99,Database_Charms_Values,0)),""),VLOOKUP(A210,Values!$A$140:$T$239,11,0)),VLOOKUP(A210,Values!$A$140:$T$239,14,0))</f>
        <v/>
      </c>
      <c r="C211" s="372"/>
      <c r="D211" s="372"/>
      <c r="E211" s="372"/>
      <c r="F211" s="372"/>
      <c r="G211" s="372"/>
      <c r="H211" s="372"/>
      <c r="I211" s="372"/>
      <c r="J211" s="372"/>
      <c r="K211" s="372"/>
      <c r="L211" s="372"/>
      <c r="M211" s="372"/>
      <c r="N211" s="372"/>
      <c r="O211" s="372"/>
      <c r="P211" s="372"/>
      <c r="Q211" s="372"/>
      <c r="R211" s="372"/>
      <c r="S211" s="372"/>
      <c r="T211" s="372"/>
      <c r="U211" s="372"/>
      <c r="V211" s="372"/>
      <c r="W211" s="372"/>
      <c r="X211" s="372"/>
      <c r="Y211" s="372"/>
      <c r="Z211" s="372"/>
      <c r="AA211" s="372"/>
      <c r="AB211" s="372"/>
      <c r="AC211" s="372"/>
      <c r="AD211" s="372"/>
      <c r="AE211" s="372"/>
      <c r="AF211" s="372"/>
      <c r="AG211" s="372"/>
      <c r="AH211" s="372"/>
      <c r="AI211" s="372"/>
      <c r="AJ211" s="372"/>
      <c r="AK211" s="372"/>
      <c r="AL211" s="372"/>
      <c r="AM211" s="372"/>
      <c r="AN211" s="372"/>
      <c r="AO211" s="372"/>
      <c r="AP211" s="372"/>
      <c r="AQ211" s="372"/>
      <c r="AR211" s="372"/>
      <c r="AS211" s="372"/>
      <c r="AT211" s="372"/>
      <c r="AU211" s="372"/>
      <c r="AV211" s="372"/>
      <c r="AW211" s="372"/>
      <c r="AX211" s="372"/>
      <c r="AY211" s="372"/>
      <c r="AZ211" s="5"/>
      <c r="BA211" s="382">
        <f>Values!$AB$3</f>
        <v>0</v>
      </c>
      <c r="BB211" s="382"/>
      <c r="BC211" s="5"/>
      <c r="BD211" s="5"/>
      <c r="BE211" s="5"/>
      <c r="BF211" s="5"/>
      <c r="BG211" s="5"/>
      <c r="BH211" s="5"/>
      <c r="BI211" s="5"/>
      <c r="BJ211" s="5"/>
      <c r="BK211" s="5"/>
      <c r="BL211" s="5"/>
      <c r="BM211" s="5"/>
      <c r="BN211" s="5"/>
      <c r="BO211" s="5"/>
      <c r="BP211" s="5"/>
      <c r="BQ211" s="5"/>
      <c r="BR211" s="5"/>
      <c r="BS211" s="5"/>
      <c r="BT211" s="5"/>
      <c r="BU211" s="5"/>
      <c r="BV211" s="5"/>
      <c r="BW211" s="5"/>
      <c r="BX211" s="5"/>
    </row>
    <row r="212" spans="1:76" ht="20.100000000000001" customHeight="1">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c r="AY212" s="5"/>
      <c r="AZ212" s="5"/>
      <c r="BA212" s="5"/>
      <c r="BB212" s="5"/>
      <c r="BC212" s="5"/>
      <c r="BD212" s="5"/>
      <c r="BE212" s="5"/>
      <c r="BF212" s="5"/>
      <c r="BG212" s="5"/>
      <c r="BH212" s="5"/>
      <c r="BI212" s="5"/>
      <c r="BJ212" s="5"/>
      <c r="BK212" s="5"/>
      <c r="BL212" s="5"/>
      <c r="BM212" s="5"/>
      <c r="BN212" s="5"/>
      <c r="BO212" s="5"/>
      <c r="BP212" s="5"/>
      <c r="BQ212" s="5"/>
      <c r="BR212" s="5"/>
      <c r="BS212" s="5"/>
      <c r="BT212" s="5"/>
      <c r="BU212" s="5"/>
      <c r="BV212" s="5"/>
      <c r="BW212" s="5"/>
      <c r="BX212" s="5"/>
    </row>
    <row r="213" spans="1:76" ht="20.100000000000001" hidden="1" customHeight="1"/>
  </sheetData>
  <sheetProtection formatRows="0" selectLockedCells="1"/>
  <mergeCells count="1097">
    <mergeCell ref="BA211:BB211"/>
    <mergeCell ref="B211:AY211"/>
    <mergeCell ref="AW210:AY210"/>
    <mergeCell ref="AT210:AU210"/>
    <mergeCell ref="B209:AY209"/>
    <mergeCell ref="AW208:AY208"/>
    <mergeCell ref="AT208:AU208"/>
    <mergeCell ref="B205:AY205"/>
    <mergeCell ref="AW204:AY204"/>
    <mergeCell ref="AT204:AU204"/>
    <mergeCell ref="B203:AY203"/>
    <mergeCell ref="AW202:AY202"/>
    <mergeCell ref="AT202:AU202"/>
    <mergeCell ref="AN200:AR200"/>
    <mergeCell ref="AI200:AL200"/>
    <mergeCell ref="AC200:AG200"/>
    <mergeCell ref="B199:AY199"/>
    <mergeCell ref="B200:F200"/>
    <mergeCell ref="H200:L200"/>
    <mergeCell ref="N200:AA200"/>
    <mergeCell ref="AN206:AR206"/>
    <mergeCell ref="B201:AY201"/>
    <mergeCell ref="BA9:BB9"/>
    <mergeCell ref="BD10:BL10"/>
    <mergeCell ref="BG23:BI23"/>
    <mergeCell ref="BJ23:BQ23"/>
    <mergeCell ref="BD24:BF24"/>
    <mergeCell ref="BG24:BI24"/>
    <mergeCell ref="BJ24:BQ24"/>
    <mergeCell ref="BD25:BF25"/>
    <mergeCell ref="BG25:BI25"/>
    <mergeCell ref="BJ25:BQ25"/>
    <mergeCell ref="BD26:BF26"/>
    <mergeCell ref="BG26:BI26"/>
    <mergeCell ref="BJ26:BQ26"/>
    <mergeCell ref="BD27:BF27"/>
    <mergeCell ref="BG27:BI27"/>
    <mergeCell ref="BJ27:BQ27"/>
    <mergeCell ref="BD28:BF28"/>
    <mergeCell ref="BG28:BI28"/>
    <mergeCell ref="BJ28:BQ28"/>
    <mergeCell ref="BD11:BQ12"/>
    <mergeCell ref="BD14:BF14"/>
    <mergeCell ref="BG14:BI14"/>
    <mergeCell ref="BJ14:BQ14"/>
    <mergeCell ref="BD15:BF15"/>
    <mergeCell ref="BG15:BI15"/>
    <mergeCell ref="BJ15:BQ15"/>
    <mergeCell ref="BD31:BF31"/>
    <mergeCell ref="BG31:BI31"/>
    <mergeCell ref="BJ31:BQ31"/>
    <mergeCell ref="BD16:BF16"/>
    <mergeCell ref="BG16:BI16"/>
    <mergeCell ref="BJ16:BQ16"/>
    <mergeCell ref="BD17:BF17"/>
    <mergeCell ref="BG17:BI17"/>
    <mergeCell ref="BJ17:BQ17"/>
    <mergeCell ref="BD18:BF18"/>
    <mergeCell ref="BG18:BI18"/>
    <mergeCell ref="BJ18:BQ18"/>
    <mergeCell ref="BD19:BF19"/>
    <mergeCell ref="BG19:BI19"/>
    <mergeCell ref="BJ19:BQ19"/>
    <mergeCell ref="BD20:BF20"/>
    <mergeCell ref="BG20:BI20"/>
    <mergeCell ref="BJ20:BQ20"/>
    <mergeCell ref="BD21:BF21"/>
    <mergeCell ref="BG21:BI21"/>
    <mergeCell ref="BJ21:BQ21"/>
    <mergeCell ref="BD22:BF22"/>
    <mergeCell ref="BG22:BI22"/>
    <mergeCell ref="BJ22:BQ22"/>
    <mergeCell ref="BD23:BF23"/>
    <mergeCell ref="BD29:BF29"/>
    <mergeCell ref="BG29:BI29"/>
    <mergeCell ref="BJ29:BQ29"/>
    <mergeCell ref="BD30:BF30"/>
    <mergeCell ref="BG30:BI30"/>
    <mergeCell ref="BJ30:BQ30"/>
    <mergeCell ref="BA171:BG171"/>
    <mergeCell ref="BA34:BB34"/>
    <mergeCell ref="BA37:BB37"/>
    <mergeCell ref="BA52:BB52"/>
    <mergeCell ref="BA94:BB94"/>
    <mergeCell ref="BA111:BB111"/>
    <mergeCell ref="BA129:BB129"/>
    <mergeCell ref="BA142:BB142"/>
    <mergeCell ref="G18:I18"/>
    <mergeCell ref="BA38:BK39"/>
    <mergeCell ref="AW20:AY20"/>
    <mergeCell ref="E21:I21"/>
    <mergeCell ref="J21:L21"/>
    <mergeCell ref="P21:T21"/>
    <mergeCell ref="V21:AF21"/>
    <mergeCell ref="AH21:AQ21"/>
    <mergeCell ref="AS21:AT21"/>
    <mergeCell ref="AW21:AY21"/>
    <mergeCell ref="E20:I20"/>
    <mergeCell ref="J20:L20"/>
    <mergeCell ref="P20:T20"/>
    <mergeCell ref="V20:AF20"/>
    <mergeCell ref="AH20:AQ20"/>
    <mergeCell ref="AS20:AT20"/>
    <mergeCell ref="AW18:AY18"/>
    <mergeCell ref="E19:I19"/>
    <mergeCell ref="J19:L19"/>
    <mergeCell ref="P19:T19"/>
    <mergeCell ref="V19:AF19"/>
    <mergeCell ref="AH19:AQ19"/>
    <mergeCell ref="AS19:AT19"/>
    <mergeCell ref="J18:L18"/>
    <mergeCell ref="S4:AC4"/>
    <mergeCell ref="P2:R2"/>
    <mergeCell ref="S2:AC2"/>
    <mergeCell ref="AD2:AG2"/>
    <mergeCell ref="AH2:AT2"/>
    <mergeCell ref="P3:R3"/>
    <mergeCell ref="S3:AC3"/>
    <mergeCell ref="AD3:AF3"/>
    <mergeCell ref="AG3:AT3"/>
    <mergeCell ref="AI37:AJ37"/>
    <mergeCell ref="AQ37:AR37"/>
    <mergeCell ref="AW37:AX37"/>
    <mergeCell ref="AC37:AD37"/>
    <mergeCell ref="AS7:AU7"/>
    <mergeCell ref="G8:L8"/>
    <mergeCell ref="M8:O8"/>
    <mergeCell ref="W8:AB8"/>
    <mergeCell ref="AC8:AE8"/>
    <mergeCell ref="AM8:AR8"/>
    <mergeCell ref="AS8:AU8"/>
    <mergeCell ref="P4:R4"/>
    <mergeCell ref="AD4:AH4"/>
    <mergeCell ref="AI4:AT4"/>
    <mergeCell ref="V5:Z6"/>
    <mergeCell ref="G7:L7"/>
    <mergeCell ref="M7:O7"/>
    <mergeCell ref="W7:AB7"/>
    <mergeCell ref="AC7:AE7"/>
    <mergeCell ref="AM7:AR7"/>
    <mergeCell ref="AS12:AT12"/>
    <mergeCell ref="AW12:AY12"/>
    <mergeCell ref="E13:I13"/>
    <mergeCell ref="J13:L13"/>
    <mergeCell ref="P13:T13"/>
    <mergeCell ref="V13:AF13"/>
    <mergeCell ref="AH13:AQ13"/>
    <mergeCell ref="AS13:AT13"/>
    <mergeCell ref="AW13:AY13"/>
    <mergeCell ref="F10:J11"/>
    <mergeCell ref="V10:Z11"/>
    <mergeCell ref="AN10:AR11"/>
    <mergeCell ref="P12:T12"/>
    <mergeCell ref="V12:AF12"/>
    <mergeCell ref="AH12:AQ12"/>
    <mergeCell ref="G9:L9"/>
    <mergeCell ref="M9:O9"/>
    <mergeCell ref="W9:AB9"/>
    <mergeCell ref="AC9:AE9"/>
    <mergeCell ref="AM9:AR9"/>
    <mergeCell ref="AS9:AU9"/>
    <mergeCell ref="AW16:AY16"/>
    <mergeCell ref="E17:I17"/>
    <mergeCell ref="J17:L17"/>
    <mergeCell ref="P17:T17"/>
    <mergeCell ref="V17:AF17"/>
    <mergeCell ref="AH17:AQ17"/>
    <mergeCell ref="AS17:AT17"/>
    <mergeCell ref="AW17:AY17"/>
    <mergeCell ref="E16:I16"/>
    <mergeCell ref="J16:L16"/>
    <mergeCell ref="P16:T16"/>
    <mergeCell ref="V16:AF16"/>
    <mergeCell ref="AH16:AQ16"/>
    <mergeCell ref="AS16:AT16"/>
    <mergeCell ref="AW14:AY14"/>
    <mergeCell ref="E15:I15"/>
    <mergeCell ref="J15:L15"/>
    <mergeCell ref="P15:T15"/>
    <mergeCell ref="V15:AF15"/>
    <mergeCell ref="AH15:AQ15"/>
    <mergeCell ref="AS15:AT15"/>
    <mergeCell ref="AW15:AY15"/>
    <mergeCell ref="E14:I14"/>
    <mergeCell ref="J14:L14"/>
    <mergeCell ref="P14:T14"/>
    <mergeCell ref="V14:AF14"/>
    <mergeCell ref="AH14:AQ14"/>
    <mergeCell ref="AS14:AT14"/>
    <mergeCell ref="P18:T18"/>
    <mergeCell ref="V18:AF18"/>
    <mergeCell ref="AH18:AQ18"/>
    <mergeCell ref="AS18:AT18"/>
    <mergeCell ref="AH24:AQ24"/>
    <mergeCell ref="AS24:AT24"/>
    <mergeCell ref="AW24:AY24"/>
    <mergeCell ref="E25:I25"/>
    <mergeCell ref="J25:L25"/>
    <mergeCell ref="P25:V25"/>
    <mergeCell ref="Y25:AF25"/>
    <mergeCell ref="AH25:AQ25"/>
    <mergeCell ref="AS25:AT25"/>
    <mergeCell ref="AW25:AY25"/>
    <mergeCell ref="AW22:AY22"/>
    <mergeCell ref="E23:I23"/>
    <mergeCell ref="J23:L23"/>
    <mergeCell ref="Z23:AE24"/>
    <mergeCell ref="AH23:AQ23"/>
    <mergeCell ref="AS23:AT23"/>
    <mergeCell ref="AW23:AY23"/>
    <mergeCell ref="E24:I24"/>
    <mergeCell ref="J24:L24"/>
    <mergeCell ref="E22:I22"/>
    <mergeCell ref="J22:L22"/>
    <mergeCell ref="P22:T22"/>
    <mergeCell ref="V22:AF22"/>
    <mergeCell ref="AH22:AQ22"/>
    <mergeCell ref="AS22:AT22"/>
    <mergeCell ref="AW19:AY19"/>
    <mergeCell ref="AW28:AY28"/>
    <mergeCell ref="E29:I29"/>
    <mergeCell ref="J29:L29"/>
    <mergeCell ref="AH29:AQ29"/>
    <mergeCell ref="AS29:AT29"/>
    <mergeCell ref="AW29:AY29"/>
    <mergeCell ref="E28:I28"/>
    <mergeCell ref="J28:L28"/>
    <mergeCell ref="P28:U29"/>
    <mergeCell ref="Z28:AD29"/>
    <mergeCell ref="AH28:AQ28"/>
    <mergeCell ref="AS28:AT28"/>
    <mergeCell ref="AW26:AY26"/>
    <mergeCell ref="E27:I27"/>
    <mergeCell ref="J27:L27"/>
    <mergeCell ref="P27:V27"/>
    <mergeCell ref="AH27:AQ27"/>
    <mergeCell ref="AS27:AT27"/>
    <mergeCell ref="AW27:AY27"/>
    <mergeCell ref="E26:I26"/>
    <mergeCell ref="J26:L26"/>
    <mergeCell ref="P26:V26"/>
    <mergeCell ref="Y26:AF26"/>
    <mergeCell ref="AH26:AQ26"/>
    <mergeCell ref="AS26:AT26"/>
    <mergeCell ref="AB32:AC32"/>
    <mergeCell ref="AE32:AF32"/>
    <mergeCell ref="AH32:AQ32"/>
    <mergeCell ref="AS32:AT32"/>
    <mergeCell ref="AW32:AY32"/>
    <mergeCell ref="E33:I33"/>
    <mergeCell ref="J33:L33"/>
    <mergeCell ref="X33:AA33"/>
    <mergeCell ref="AB33:AC33"/>
    <mergeCell ref="AW30:AY30"/>
    <mergeCell ref="E31:I31"/>
    <mergeCell ref="J31:L31"/>
    <mergeCell ref="P31:U32"/>
    <mergeCell ref="AH31:AQ31"/>
    <mergeCell ref="AS31:AT31"/>
    <mergeCell ref="AW31:AY31"/>
    <mergeCell ref="E32:I32"/>
    <mergeCell ref="J32:L32"/>
    <mergeCell ref="X32:AA32"/>
    <mergeCell ref="E30:I30"/>
    <mergeCell ref="J30:L30"/>
    <mergeCell ref="O30:V30"/>
    <mergeCell ref="Y30:AE30"/>
    <mergeCell ref="AH30:AQ30"/>
    <mergeCell ref="AS30:AT30"/>
    <mergeCell ref="O33:V34"/>
    <mergeCell ref="AW34:AY34"/>
    <mergeCell ref="E35:I35"/>
    <mergeCell ref="J35:L35"/>
    <mergeCell ref="P35:U36"/>
    <mergeCell ref="AA35:AE36"/>
    <mergeCell ref="AP35:AW36"/>
    <mergeCell ref="E36:I36"/>
    <mergeCell ref="J36:L36"/>
    <mergeCell ref="AE33:AF33"/>
    <mergeCell ref="AH33:AQ33"/>
    <mergeCell ref="AS33:AT33"/>
    <mergeCell ref="AW33:AY33"/>
    <mergeCell ref="E34:I34"/>
    <mergeCell ref="J34:L34"/>
    <mergeCell ref="X34:AA34"/>
    <mergeCell ref="AB34:AF34"/>
    <mergeCell ref="AH34:AQ34"/>
    <mergeCell ref="AS34:AT34"/>
    <mergeCell ref="E42:I42"/>
    <mergeCell ref="J42:L42"/>
    <mergeCell ref="X42:AA42"/>
    <mergeCell ref="R42:W42"/>
    <mergeCell ref="AR42:AX42"/>
    <mergeCell ref="AD39:AH40"/>
    <mergeCell ref="X41:AA41"/>
    <mergeCell ref="R41:W41"/>
    <mergeCell ref="AL41:AN41"/>
    <mergeCell ref="AR41:AX41"/>
    <mergeCell ref="E37:I37"/>
    <mergeCell ref="J37:L37"/>
    <mergeCell ref="E38:I38"/>
    <mergeCell ref="J38:L38"/>
    <mergeCell ref="C39:K40"/>
    <mergeCell ref="N42:Q42"/>
    <mergeCell ref="AB41:AC41"/>
    <mergeCell ref="AB42:AC42"/>
    <mergeCell ref="AC38:AD38"/>
    <mergeCell ref="AQ38:AR38"/>
    <mergeCell ref="O37:V38"/>
    <mergeCell ref="E45:I45"/>
    <mergeCell ref="J45:L45"/>
    <mergeCell ref="X45:AA45"/>
    <mergeCell ref="R45:W45"/>
    <mergeCell ref="AR45:AX45"/>
    <mergeCell ref="E44:I44"/>
    <mergeCell ref="J44:L44"/>
    <mergeCell ref="X44:AA44"/>
    <mergeCell ref="R44:W44"/>
    <mergeCell ref="AR44:AX44"/>
    <mergeCell ref="E43:I43"/>
    <mergeCell ref="J43:L43"/>
    <mergeCell ref="X43:AA43"/>
    <mergeCell ref="R43:W43"/>
    <mergeCell ref="AR43:AX43"/>
    <mergeCell ref="N43:Q43"/>
    <mergeCell ref="N44:Q44"/>
    <mergeCell ref="N45:Q45"/>
    <mergeCell ref="AB43:AC43"/>
    <mergeCell ref="AB44:AC44"/>
    <mergeCell ref="AB45:AC45"/>
    <mergeCell ref="X48:AA48"/>
    <mergeCell ref="R48:W48"/>
    <mergeCell ref="AR48:AX48"/>
    <mergeCell ref="X49:AA49"/>
    <mergeCell ref="R49:W49"/>
    <mergeCell ref="AR49:AX49"/>
    <mergeCell ref="E47:I47"/>
    <mergeCell ref="J47:L47"/>
    <mergeCell ref="X47:AA47"/>
    <mergeCell ref="R47:W47"/>
    <mergeCell ref="AR47:AX47"/>
    <mergeCell ref="E46:I46"/>
    <mergeCell ref="J46:L46"/>
    <mergeCell ref="X46:AA46"/>
    <mergeCell ref="R46:W46"/>
    <mergeCell ref="AR46:AX46"/>
    <mergeCell ref="N46:Q46"/>
    <mergeCell ref="N47:Q47"/>
    <mergeCell ref="N48:Q48"/>
    <mergeCell ref="N49:Q49"/>
    <mergeCell ref="AB46:AC46"/>
    <mergeCell ref="AB47:AC47"/>
    <mergeCell ref="AB48:AC48"/>
    <mergeCell ref="AB49:AC49"/>
    <mergeCell ref="A58:A59"/>
    <mergeCell ref="B58:B59"/>
    <mergeCell ref="B55:G55"/>
    <mergeCell ref="I55:J55"/>
    <mergeCell ref="V55:AA55"/>
    <mergeCell ref="B56:G56"/>
    <mergeCell ref="I56:J56"/>
    <mergeCell ref="V56:AA56"/>
    <mergeCell ref="T52:T53"/>
    <mergeCell ref="AB52:AB53"/>
    <mergeCell ref="B53:G53"/>
    <mergeCell ref="I53:J53"/>
    <mergeCell ref="B54:G54"/>
    <mergeCell ref="I54:J54"/>
    <mergeCell ref="V54:AA54"/>
    <mergeCell ref="K52:K53"/>
    <mergeCell ref="L52:L53"/>
    <mergeCell ref="M52:M53"/>
    <mergeCell ref="N52:N53"/>
    <mergeCell ref="P52:P53"/>
    <mergeCell ref="R52:R53"/>
    <mergeCell ref="N64:R64"/>
    <mergeCell ref="T64:Y64"/>
    <mergeCell ref="AM64:AQ64"/>
    <mergeCell ref="AS64:AX64"/>
    <mergeCell ref="AS62:AX62"/>
    <mergeCell ref="N63:R63"/>
    <mergeCell ref="T63:Y63"/>
    <mergeCell ref="AM63:AQ63"/>
    <mergeCell ref="AS63:AX63"/>
    <mergeCell ref="X60:AB61"/>
    <mergeCell ref="B62:J62"/>
    <mergeCell ref="N62:R62"/>
    <mergeCell ref="T62:Y62"/>
    <mergeCell ref="AA62:AI62"/>
    <mergeCell ref="AM62:AQ62"/>
    <mergeCell ref="B63:L63"/>
    <mergeCell ref="B64:L64"/>
    <mergeCell ref="AA63:AK63"/>
    <mergeCell ref="AA64:AK64"/>
    <mergeCell ref="N67:R67"/>
    <mergeCell ref="T67:Y67"/>
    <mergeCell ref="AM67:AQ67"/>
    <mergeCell ref="AS67:AX67"/>
    <mergeCell ref="N66:R66"/>
    <mergeCell ref="T66:Y66"/>
    <mergeCell ref="AM66:AQ66"/>
    <mergeCell ref="AS66:AX66"/>
    <mergeCell ref="N65:R65"/>
    <mergeCell ref="T65:Y65"/>
    <mergeCell ref="AM65:AQ65"/>
    <mergeCell ref="AS65:AX65"/>
    <mergeCell ref="B65:L65"/>
    <mergeCell ref="B66:L66"/>
    <mergeCell ref="B67:L67"/>
    <mergeCell ref="AA65:AK65"/>
    <mergeCell ref="AA66:AK66"/>
    <mergeCell ref="AA67:AK67"/>
    <mergeCell ref="N70:R70"/>
    <mergeCell ref="T70:Y70"/>
    <mergeCell ref="AM70:AQ70"/>
    <mergeCell ref="AS70:AX70"/>
    <mergeCell ref="N69:R69"/>
    <mergeCell ref="T69:Y69"/>
    <mergeCell ref="AM69:AQ69"/>
    <mergeCell ref="AS69:AX69"/>
    <mergeCell ref="N68:R68"/>
    <mergeCell ref="T68:Y68"/>
    <mergeCell ref="AM68:AQ68"/>
    <mergeCell ref="AS68:AX68"/>
    <mergeCell ref="B68:L68"/>
    <mergeCell ref="B69:L69"/>
    <mergeCell ref="B70:L70"/>
    <mergeCell ref="AA68:AK68"/>
    <mergeCell ref="AA69:AK69"/>
    <mergeCell ref="AA70:AK70"/>
    <mergeCell ref="N73:R73"/>
    <mergeCell ref="T73:Y73"/>
    <mergeCell ref="AM73:AQ73"/>
    <mergeCell ref="AS73:AX73"/>
    <mergeCell ref="N72:R72"/>
    <mergeCell ref="T72:Y72"/>
    <mergeCell ref="AM72:AQ72"/>
    <mergeCell ref="AS72:AX72"/>
    <mergeCell ref="N71:R71"/>
    <mergeCell ref="T71:Y71"/>
    <mergeCell ref="AM71:AQ71"/>
    <mergeCell ref="AS71:AX71"/>
    <mergeCell ref="B71:L71"/>
    <mergeCell ref="B72:L72"/>
    <mergeCell ref="B73:L73"/>
    <mergeCell ref="AA71:AK71"/>
    <mergeCell ref="AA72:AK72"/>
    <mergeCell ref="AA73:AK73"/>
    <mergeCell ref="N76:R76"/>
    <mergeCell ref="T76:Y76"/>
    <mergeCell ref="AM76:AQ76"/>
    <mergeCell ref="AS76:AX76"/>
    <mergeCell ref="N75:R75"/>
    <mergeCell ref="T75:Y75"/>
    <mergeCell ref="AM75:AQ75"/>
    <mergeCell ref="AS75:AX75"/>
    <mergeCell ref="N74:R74"/>
    <mergeCell ref="T74:Y74"/>
    <mergeCell ref="AM74:AQ74"/>
    <mergeCell ref="AS74:AX74"/>
    <mergeCell ref="B74:L74"/>
    <mergeCell ref="B75:L75"/>
    <mergeCell ref="B76:L76"/>
    <mergeCell ref="AA74:AK74"/>
    <mergeCell ref="AA75:AK75"/>
    <mergeCell ref="AA76:AK76"/>
    <mergeCell ref="N79:R79"/>
    <mergeCell ref="T79:Y79"/>
    <mergeCell ref="AM79:AQ79"/>
    <mergeCell ref="AS79:AX79"/>
    <mergeCell ref="N78:R78"/>
    <mergeCell ref="T78:Y78"/>
    <mergeCell ref="AM78:AQ78"/>
    <mergeCell ref="AS78:AX78"/>
    <mergeCell ref="N77:R77"/>
    <mergeCell ref="T77:Y77"/>
    <mergeCell ref="AM77:AQ77"/>
    <mergeCell ref="AS77:AX77"/>
    <mergeCell ref="B77:L77"/>
    <mergeCell ref="B78:L78"/>
    <mergeCell ref="B79:L79"/>
    <mergeCell ref="AA77:AK77"/>
    <mergeCell ref="AA78:AK78"/>
    <mergeCell ref="AA79:AK79"/>
    <mergeCell ref="N82:R82"/>
    <mergeCell ref="T82:Y82"/>
    <mergeCell ref="AM82:AQ82"/>
    <mergeCell ref="AS82:AX82"/>
    <mergeCell ref="N81:R81"/>
    <mergeCell ref="T81:Y81"/>
    <mergeCell ref="AM81:AQ81"/>
    <mergeCell ref="AS81:AX81"/>
    <mergeCell ref="N80:R80"/>
    <mergeCell ref="T80:Y80"/>
    <mergeCell ref="AM80:AQ80"/>
    <mergeCell ref="AS80:AX80"/>
    <mergeCell ref="B80:L80"/>
    <mergeCell ref="B81:L81"/>
    <mergeCell ref="B82:L82"/>
    <mergeCell ref="AA80:AK80"/>
    <mergeCell ref="AA81:AK81"/>
    <mergeCell ref="AA82:AK82"/>
    <mergeCell ref="N85:R85"/>
    <mergeCell ref="T85:Y85"/>
    <mergeCell ref="AM85:AQ85"/>
    <mergeCell ref="AS85:AX85"/>
    <mergeCell ref="N84:R84"/>
    <mergeCell ref="T84:Y84"/>
    <mergeCell ref="AM84:AQ84"/>
    <mergeCell ref="AS84:AX84"/>
    <mergeCell ref="N83:R83"/>
    <mergeCell ref="T83:Y83"/>
    <mergeCell ref="AM83:AQ83"/>
    <mergeCell ref="AS83:AX83"/>
    <mergeCell ref="B83:L83"/>
    <mergeCell ref="B84:L84"/>
    <mergeCell ref="B85:L85"/>
    <mergeCell ref="AA83:AK83"/>
    <mergeCell ref="AA84:AK84"/>
    <mergeCell ref="AA85:AK85"/>
    <mergeCell ref="X89:AB90"/>
    <mergeCell ref="B91:S91"/>
    <mergeCell ref="U91:Y91"/>
    <mergeCell ref="AA91:AR91"/>
    <mergeCell ref="AT91:AX91"/>
    <mergeCell ref="B92:S92"/>
    <mergeCell ref="U92:Y92"/>
    <mergeCell ref="AA92:AR92"/>
    <mergeCell ref="AT92:AX92"/>
    <mergeCell ref="N87:R87"/>
    <mergeCell ref="T87:Y87"/>
    <mergeCell ref="AM87:AQ87"/>
    <mergeCell ref="AS87:AX87"/>
    <mergeCell ref="N86:R86"/>
    <mergeCell ref="T86:Y86"/>
    <mergeCell ref="AM86:AQ86"/>
    <mergeCell ref="AS86:AX86"/>
    <mergeCell ref="B86:L86"/>
    <mergeCell ref="B87:L87"/>
    <mergeCell ref="AA86:AK86"/>
    <mergeCell ref="AA87:AK87"/>
    <mergeCell ref="B97:S97"/>
    <mergeCell ref="U97:Y97"/>
    <mergeCell ref="AA97:AR97"/>
    <mergeCell ref="AT97:AX97"/>
    <mergeCell ref="B98:S98"/>
    <mergeCell ref="U98:Y98"/>
    <mergeCell ref="AA98:AR98"/>
    <mergeCell ref="AT98:AX98"/>
    <mergeCell ref="B95:S95"/>
    <mergeCell ref="U95:Y95"/>
    <mergeCell ref="AA95:AR95"/>
    <mergeCell ref="AT95:AX95"/>
    <mergeCell ref="B96:S96"/>
    <mergeCell ref="U96:Y96"/>
    <mergeCell ref="AA96:AR96"/>
    <mergeCell ref="AT96:AX96"/>
    <mergeCell ref="B93:S93"/>
    <mergeCell ref="U93:Y93"/>
    <mergeCell ref="AA93:AR93"/>
    <mergeCell ref="AT93:AX93"/>
    <mergeCell ref="B94:S94"/>
    <mergeCell ref="U94:Y94"/>
    <mergeCell ref="AA94:AR94"/>
    <mergeCell ref="AT94:AX94"/>
    <mergeCell ref="B103:S103"/>
    <mergeCell ref="U103:Y103"/>
    <mergeCell ref="AA103:AR103"/>
    <mergeCell ref="AT103:AX103"/>
    <mergeCell ref="B104:S104"/>
    <mergeCell ref="U104:Y104"/>
    <mergeCell ref="AA104:AR104"/>
    <mergeCell ref="AT104:AX104"/>
    <mergeCell ref="B101:S101"/>
    <mergeCell ref="U101:Y101"/>
    <mergeCell ref="AA101:AR101"/>
    <mergeCell ref="AT101:AX101"/>
    <mergeCell ref="B102:S102"/>
    <mergeCell ref="U102:Y102"/>
    <mergeCell ref="AA102:AR102"/>
    <mergeCell ref="AT102:AX102"/>
    <mergeCell ref="B99:S99"/>
    <mergeCell ref="U99:Y99"/>
    <mergeCell ref="AA99:AR99"/>
    <mergeCell ref="AT99:AX99"/>
    <mergeCell ref="B100:S100"/>
    <mergeCell ref="U100:Y100"/>
    <mergeCell ref="AA100:AR100"/>
    <mergeCell ref="AT100:AX100"/>
    <mergeCell ref="AN111:AR111"/>
    <mergeCell ref="AT111:AU111"/>
    <mergeCell ref="AW111:AY111"/>
    <mergeCell ref="A112:A113"/>
    <mergeCell ref="B112:F112"/>
    <mergeCell ref="H112:L112"/>
    <mergeCell ref="N112:AA112"/>
    <mergeCell ref="AC112:AG112"/>
    <mergeCell ref="AI112:AL112"/>
    <mergeCell ref="AN112:AR112"/>
    <mergeCell ref="V109:Z110"/>
    <mergeCell ref="B111:F111"/>
    <mergeCell ref="H111:L111"/>
    <mergeCell ref="N111:AA111"/>
    <mergeCell ref="AC111:AG111"/>
    <mergeCell ref="AI111:AL111"/>
    <mergeCell ref="B105:S105"/>
    <mergeCell ref="U105:Y105"/>
    <mergeCell ref="AA105:AR105"/>
    <mergeCell ref="AT105:AX105"/>
    <mergeCell ref="W106:AC107"/>
    <mergeCell ref="A108:AY108"/>
    <mergeCell ref="A118:A119"/>
    <mergeCell ref="B118:F118"/>
    <mergeCell ref="H118:L118"/>
    <mergeCell ref="N118:AA118"/>
    <mergeCell ref="AC118:AG118"/>
    <mergeCell ref="AI118:AL118"/>
    <mergeCell ref="AN118:AR118"/>
    <mergeCell ref="AT122:AU122"/>
    <mergeCell ref="AW122:AY122"/>
    <mergeCell ref="B123:AY123"/>
    <mergeCell ref="AT114:AU114"/>
    <mergeCell ref="AW114:AY114"/>
    <mergeCell ref="B115:AY115"/>
    <mergeCell ref="A116:A117"/>
    <mergeCell ref="AT112:AU112"/>
    <mergeCell ref="AW112:AY112"/>
    <mergeCell ref="B113:AY113"/>
    <mergeCell ref="A114:A115"/>
    <mergeCell ref="B114:F114"/>
    <mergeCell ref="H114:L114"/>
    <mergeCell ref="N114:AA114"/>
    <mergeCell ref="AC114:AG114"/>
    <mergeCell ref="AI114:AL114"/>
    <mergeCell ref="AN114:AR114"/>
    <mergeCell ref="AT118:AU118"/>
    <mergeCell ref="AW118:AY118"/>
    <mergeCell ref="B119:AY119"/>
    <mergeCell ref="AT120:AU120"/>
    <mergeCell ref="AW120:AY120"/>
    <mergeCell ref="B121:AY121"/>
    <mergeCell ref="A122:A123"/>
    <mergeCell ref="B122:F122"/>
    <mergeCell ref="H122:L122"/>
    <mergeCell ref="N122:AA122"/>
    <mergeCell ref="AC122:AG122"/>
    <mergeCell ref="AI122:AL122"/>
    <mergeCell ref="AN122:AR122"/>
    <mergeCell ref="A120:A121"/>
    <mergeCell ref="B120:F120"/>
    <mergeCell ref="H120:L120"/>
    <mergeCell ref="N120:AA120"/>
    <mergeCell ref="AC120:AG120"/>
    <mergeCell ref="AI120:AL120"/>
    <mergeCell ref="AN120:AR120"/>
    <mergeCell ref="AT126:AU126"/>
    <mergeCell ref="AW126:AY126"/>
    <mergeCell ref="B127:AY127"/>
    <mergeCell ref="A128:A129"/>
    <mergeCell ref="B128:F128"/>
    <mergeCell ref="H128:L128"/>
    <mergeCell ref="N128:AA128"/>
    <mergeCell ref="AC128:AG128"/>
    <mergeCell ref="AI128:AL128"/>
    <mergeCell ref="AN128:AR128"/>
    <mergeCell ref="AT124:AU124"/>
    <mergeCell ref="AW124:AY124"/>
    <mergeCell ref="B125:AY125"/>
    <mergeCell ref="A126:A127"/>
    <mergeCell ref="B126:F126"/>
    <mergeCell ref="H126:L126"/>
    <mergeCell ref="N126:AA126"/>
    <mergeCell ref="AC126:AG126"/>
    <mergeCell ref="AI126:AL126"/>
    <mergeCell ref="AN126:AR126"/>
    <mergeCell ref="A124:A125"/>
    <mergeCell ref="B124:F124"/>
    <mergeCell ref="H124:L124"/>
    <mergeCell ref="N124:AA124"/>
    <mergeCell ref="AC124:AG124"/>
    <mergeCell ref="AI124:AL124"/>
    <mergeCell ref="AN124:AR124"/>
    <mergeCell ref="AT130:AU130"/>
    <mergeCell ref="AW130:AY130"/>
    <mergeCell ref="B131:AY131"/>
    <mergeCell ref="A132:A133"/>
    <mergeCell ref="B132:F132"/>
    <mergeCell ref="H132:L132"/>
    <mergeCell ref="N132:AA132"/>
    <mergeCell ref="AC132:AG132"/>
    <mergeCell ref="AI132:AL132"/>
    <mergeCell ref="AN132:AR132"/>
    <mergeCell ref="AT128:AU128"/>
    <mergeCell ref="AW128:AY128"/>
    <mergeCell ref="B129:AY129"/>
    <mergeCell ref="A130:A131"/>
    <mergeCell ref="B130:F130"/>
    <mergeCell ref="H130:L130"/>
    <mergeCell ref="N130:AA130"/>
    <mergeCell ref="AC130:AG130"/>
    <mergeCell ref="AI130:AL130"/>
    <mergeCell ref="AN130:AR130"/>
    <mergeCell ref="AT134:AU134"/>
    <mergeCell ref="AW134:AY134"/>
    <mergeCell ref="B135:AY135"/>
    <mergeCell ref="A136:A137"/>
    <mergeCell ref="B136:F136"/>
    <mergeCell ref="H136:L136"/>
    <mergeCell ref="N136:AA136"/>
    <mergeCell ref="AC136:AG136"/>
    <mergeCell ref="AI136:AL136"/>
    <mergeCell ref="AN136:AR136"/>
    <mergeCell ref="AT132:AU132"/>
    <mergeCell ref="AW132:AY132"/>
    <mergeCell ref="B133:AY133"/>
    <mergeCell ref="A134:A135"/>
    <mergeCell ref="B134:F134"/>
    <mergeCell ref="H134:L134"/>
    <mergeCell ref="N134:AA134"/>
    <mergeCell ref="AC134:AG134"/>
    <mergeCell ref="AI134:AL134"/>
    <mergeCell ref="AN134:AR134"/>
    <mergeCell ref="AT138:AU138"/>
    <mergeCell ref="AW138:AY138"/>
    <mergeCell ref="B139:AY139"/>
    <mergeCell ref="A140:A141"/>
    <mergeCell ref="B140:F140"/>
    <mergeCell ref="H140:L140"/>
    <mergeCell ref="N140:AA140"/>
    <mergeCell ref="AC140:AG140"/>
    <mergeCell ref="AI140:AL140"/>
    <mergeCell ref="AN140:AR140"/>
    <mergeCell ref="AT136:AU136"/>
    <mergeCell ref="AW136:AY136"/>
    <mergeCell ref="B137:AY137"/>
    <mergeCell ref="A138:A139"/>
    <mergeCell ref="B138:F138"/>
    <mergeCell ref="H138:L138"/>
    <mergeCell ref="N138:AA138"/>
    <mergeCell ref="AC138:AG138"/>
    <mergeCell ref="AI138:AL138"/>
    <mergeCell ref="AN138:AR138"/>
    <mergeCell ref="AT144:AU144"/>
    <mergeCell ref="AW144:AY144"/>
    <mergeCell ref="B145:AY145"/>
    <mergeCell ref="AT142:AU142"/>
    <mergeCell ref="AW142:AY142"/>
    <mergeCell ref="B143:AY143"/>
    <mergeCell ref="A144:A145"/>
    <mergeCell ref="B144:F144"/>
    <mergeCell ref="H144:L144"/>
    <mergeCell ref="N144:AA144"/>
    <mergeCell ref="AC144:AG144"/>
    <mergeCell ref="AI144:AL144"/>
    <mergeCell ref="AN144:AR144"/>
    <mergeCell ref="AT140:AU140"/>
    <mergeCell ref="AW140:AY140"/>
    <mergeCell ref="B141:AY141"/>
    <mergeCell ref="A142:A143"/>
    <mergeCell ref="B142:F142"/>
    <mergeCell ref="H142:L142"/>
    <mergeCell ref="N142:AA142"/>
    <mergeCell ref="AC142:AG142"/>
    <mergeCell ref="AI142:AL142"/>
    <mergeCell ref="AN142:AR142"/>
    <mergeCell ref="AT148:AU148"/>
    <mergeCell ref="AW148:AY148"/>
    <mergeCell ref="B149:AY149"/>
    <mergeCell ref="A150:A151"/>
    <mergeCell ref="B150:F150"/>
    <mergeCell ref="H150:L150"/>
    <mergeCell ref="N150:AA150"/>
    <mergeCell ref="AC150:AG150"/>
    <mergeCell ref="AI150:AL150"/>
    <mergeCell ref="AN150:AR150"/>
    <mergeCell ref="AT146:AU146"/>
    <mergeCell ref="AW146:AY146"/>
    <mergeCell ref="B147:AY147"/>
    <mergeCell ref="A148:A149"/>
    <mergeCell ref="B148:F148"/>
    <mergeCell ref="H148:L148"/>
    <mergeCell ref="N148:AA148"/>
    <mergeCell ref="AC148:AG148"/>
    <mergeCell ref="AI148:AL148"/>
    <mergeCell ref="AN148:AR148"/>
    <mergeCell ref="A146:A147"/>
    <mergeCell ref="B146:F146"/>
    <mergeCell ref="H146:L146"/>
    <mergeCell ref="N146:AA146"/>
    <mergeCell ref="AC146:AG146"/>
    <mergeCell ref="AI146:AL146"/>
    <mergeCell ref="AN146:AR146"/>
    <mergeCell ref="AT152:AU152"/>
    <mergeCell ref="AW152:AY152"/>
    <mergeCell ref="B153:AY153"/>
    <mergeCell ref="A154:A155"/>
    <mergeCell ref="B154:F154"/>
    <mergeCell ref="H154:L154"/>
    <mergeCell ref="N154:AA154"/>
    <mergeCell ref="AC154:AG154"/>
    <mergeCell ref="AI154:AL154"/>
    <mergeCell ref="AN154:AR154"/>
    <mergeCell ref="AT150:AU150"/>
    <mergeCell ref="AW150:AY150"/>
    <mergeCell ref="B151:AY151"/>
    <mergeCell ref="A152:A153"/>
    <mergeCell ref="B152:F152"/>
    <mergeCell ref="H152:L152"/>
    <mergeCell ref="N152:AA152"/>
    <mergeCell ref="AC152:AG152"/>
    <mergeCell ref="AI152:AL152"/>
    <mergeCell ref="AN152:AR152"/>
    <mergeCell ref="AT156:AU156"/>
    <mergeCell ref="AW156:AY156"/>
    <mergeCell ref="B157:AY157"/>
    <mergeCell ref="A158:A159"/>
    <mergeCell ref="B158:F158"/>
    <mergeCell ref="H158:L158"/>
    <mergeCell ref="N158:AA158"/>
    <mergeCell ref="AC158:AG158"/>
    <mergeCell ref="AI158:AL158"/>
    <mergeCell ref="AN158:AR158"/>
    <mergeCell ref="AT154:AU154"/>
    <mergeCell ref="AW154:AY154"/>
    <mergeCell ref="B155:AY155"/>
    <mergeCell ref="A156:A157"/>
    <mergeCell ref="B156:F156"/>
    <mergeCell ref="H156:L156"/>
    <mergeCell ref="N156:AA156"/>
    <mergeCell ref="AC156:AG156"/>
    <mergeCell ref="AI156:AL156"/>
    <mergeCell ref="AN156:AR156"/>
    <mergeCell ref="AT160:AU160"/>
    <mergeCell ref="AW160:AY160"/>
    <mergeCell ref="B161:AY161"/>
    <mergeCell ref="A162:A163"/>
    <mergeCell ref="B162:F162"/>
    <mergeCell ref="H162:L162"/>
    <mergeCell ref="N162:AA162"/>
    <mergeCell ref="AC162:AG162"/>
    <mergeCell ref="AI162:AL162"/>
    <mergeCell ref="AN162:AR162"/>
    <mergeCell ref="AT158:AU158"/>
    <mergeCell ref="AW158:AY158"/>
    <mergeCell ref="B159:AY159"/>
    <mergeCell ref="A160:A161"/>
    <mergeCell ref="B160:F160"/>
    <mergeCell ref="H160:L160"/>
    <mergeCell ref="N160:AA160"/>
    <mergeCell ref="AC160:AG160"/>
    <mergeCell ref="AI160:AL160"/>
    <mergeCell ref="AN160:AR160"/>
    <mergeCell ref="AT164:AU164"/>
    <mergeCell ref="AW164:AY164"/>
    <mergeCell ref="B165:AY165"/>
    <mergeCell ref="A166:A167"/>
    <mergeCell ref="B166:F166"/>
    <mergeCell ref="H166:L166"/>
    <mergeCell ref="N166:AA166"/>
    <mergeCell ref="AC166:AG166"/>
    <mergeCell ref="AI166:AL166"/>
    <mergeCell ref="AN166:AR166"/>
    <mergeCell ref="AT162:AU162"/>
    <mergeCell ref="AW162:AY162"/>
    <mergeCell ref="B163:AY163"/>
    <mergeCell ref="A164:A165"/>
    <mergeCell ref="B164:F164"/>
    <mergeCell ref="H164:L164"/>
    <mergeCell ref="N164:AA164"/>
    <mergeCell ref="AC164:AG164"/>
    <mergeCell ref="AI164:AL164"/>
    <mergeCell ref="AN164:AR164"/>
    <mergeCell ref="AT168:AU168"/>
    <mergeCell ref="AW168:AY168"/>
    <mergeCell ref="B169:AY169"/>
    <mergeCell ref="A170:A171"/>
    <mergeCell ref="B170:F170"/>
    <mergeCell ref="H170:L170"/>
    <mergeCell ref="N170:AA170"/>
    <mergeCell ref="AC170:AG170"/>
    <mergeCell ref="AI170:AL170"/>
    <mergeCell ref="AN170:AR170"/>
    <mergeCell ref="AT166:AU166"/>
    <mergeCell ref="AW166:AY166"/>
    <mergeCell ref="B167:AY167"/>
    <mergeCell ref="A168:A169"/>
    <mergeCell ref="B168:F168"/>
    <mergeCell ref="H168:L168"/>
    <mergeCell ref="N168:AA168"/>
    <mergeCell ref="AC168:AG168"/>
    <mergeCell ref="AI168:AL168"/>
    <mergeCell ref="AN168:AR168"/>
    <mergeCell ref="AT172:AU172"/>
    <mergeCell ref="AW172:AY172"/>
    <mergeCell ref="B173:AY173"/>
    <mergeCell ref="A174:A175"/>
    <mergeCell ref="B174:F174"/>
    <mergeCell ref="H174:L174"/>
    <mergeCell ref="N174:AA174"/>
    <mergeCell ref="AC174:AG174"/>
    <mergeCell ref="AI174:AL174"/>
    <mergeCell ref="AN174:AR174"/>
    <mergeCell ref="AT170:AU170"/>
    <mergeCell ref="AW170:AY170"/>
    <mergeCell ref="B171:AY171"/>
    <mergeCell ref="A172:A173"/>
    <mergeCell ref="B172:F172"/>
    <mergeCell ref="H172:L172"/>
    <mergeCell ref="N172:AA172"/>
    <mergeCell ref="AC172:AG172"/>
    <mergeCell ref="AI172:AL172"/>
    <mergeCell ref="AN172:AR172"/>
    <mergeCell ref="AT178:AU178"/>
    <mergeCell ref="AW178:AY178"/>
    <mergeCell ref="B179:AY179"/>
    <mergeCell ref="AT176:AU176"/>
    <mergeCell ref="AW176:AY176"/>
    <mergeCell ref="B177:AY177"/>
    <mergeCell ref="A178:A179"/>
    <mergeCell ref="B178:F178"/>
    <mergeCell ref="H178:L178"/>
    <mergeCell ref="N178:AA178"/>
    <mergeCell ref="AC178:AG178"/>
    <mergeCell ref="AI178:AL178"/>
    <mergeCell ref="AN178:AR178"/>
    <mergeCell ref="AT174:AU174"/>
    <mergeCell ref="AW174:AY174"/>
    <mergeCell ref="B175:AY175"/>
    <mergeCell ref="A176:A177"/>
    <mergeCell ref="B176:F176"/>
    <mergeCell ref="H176:L176"/>
    <mergeCell ref="N176:AA176"/>
    <mergeCell ref="AC176:AG176"/>
    <mergeCell ref="AI176:AL176"/>
    <mergeCell ref="AN176:AR176"/>
    <mergeCell ref="AT180:AU180"/>
    <mergeCell ref="AW180:AY180"/>
    <mergeCell ref="B181:AY181"/>
    <mergeCell ref="A182:A183"/>
    <mergeCell ref="B182:F182"/>
    <mergeCell ref="H182:L182"/>
    <mergeCell ref="N182:AA182"/>
    <mergeCell ref="AC182:AG182"/>
    <mergeCell ref="AI182:AL182"/>
    <mergeCell ref="AN182:AR182"/>
    <mergeCell ref="A180:A181"/>
    <mergeCell ref="B180:F180"/>
    <mergeCell ref="H180:L180"/>
    <mergeCell ref="N180:AA180"/>
    <mergeCell ref="AC180:AG180"/>
    <mergeCell ref="AI180:AL180"/>
    <mergeCell ref="AN180:AR180"/>
    <mergeCell ref="AT184:AU184"/>
    <mergeCell ref="AW184:AY184"/>
    <mergeCell ref="B185:AY185"/>
    <mergeCell ref="A186:A187"/>
    <mergeCell ref="B186:F186"/>
    <mergeCell ref="H186:L186"/>
    <mergeCell ref="N186:AA186"/>
    <mergeCell ref="AC186:AG186"/>
    <mergeCell ref="AI186:AL186"/>
    <mergeCell ref="AN186:AR186"/>
    <mergeCell ref="AT182:AU182"/>
    <mergeCell ref="AW182:AY182"/>
    <mergeCell ref="B183:AY183"/>
    <mergeCell ref="A184:A185"/>
    <mergeCell ref="B184:F184"/>
    <mergeCell ref="H184:L184"/>
    <mergeCell ref="N184:AA184"/>
    <mergeCell ref="AC184:AG184"/>
    <mergeCell ref="AI184:AL184"/>
    <mergeCell ref="AN184:AR184"/>
    <mergeCell ref="B187:AY187"/>
    <mergeCell ref="AW186:AY186"/>
    <mergeCell ref="AT186:AU186"/>
    <mergeCell ref="A192:A193"/>
    <mergeCell ref="B192:F192"/>
    <mergeCell ref="H192:L192"/>
    <mergeCell ref="N192:AA192"/>
    <mergeCell ref="AC192:AG192"/>
    <mergeCell ref="AI192:AL192"/>
    <mergeCell ref="AN192:AR192"/>
    <mergeCell ref="AW192:AY192"/>
    <mergeCell ref="AT188:AU188"/>
    <mergeCell ref="AW188:AY188"/>
    <mergeCell ref="B189:AY189"/>
    <mergeCell ref="A190:A191"/>
    <mergeCell ref="B190:F190"/>
    <mergeCell ref="H190:L190"/>
    <mergeCell ref="N190:AA190"/>
    <mergeCell ref="AC190:AG190"/>
    <mergeCell ref="AI190:AL190"/>
    <mergeCell ref="AN190:AR190"/>
    <mergeCell ref="A188:A189"/>
    <mergeCell ref="B188:F188"/>
    <mergeCell ref="H188:L188"/>
    <mergeCell ref="N188:AA188"/>
    <mergeCell ref="AC188:AG188"/>
    <mergeCell ref="AI188:AL188"/>
    <mergeCell ref="AN188:AR188"/>
    <mergeCell ref="B193:AY193"/>
    <mergeCell ref="AT192:AU192"/>
    <mergeCell ref="B191:AY191"/>
    <mergeCell ref="AW190:AY190"/>
    <mergeCell ref="AT190:AU190"/>
    <mergeCell ref="A198:A199"/>
    <mergeCell ref="B198:F198"/>
    <mergeCell ref="H198:L198"/>
    <mergeCell ref="N198:AA198"/>
    <mergeCell ref="AC198:AG198"/>
    <mergeCell ref="AI198:AL198"/>
    <mergeCell ref="AN198:AR198"/>
    <mergeCell ref="AT194:AU194"/>
    <mergeCell ref="AW194:AY194"/>
    <mergeCell ref="B195:AY195"/>
    <mergeCell ref="A196:A197"/>
    <mergeCell ref="B196:F196"/>
    <mergeCell ref="H196:L196"/>
    <mergeCell ref="N196:AA196"/>
    <mergeCell ref="AC196:AG196"/>
    <mergeCell ref="AI196:AL196"/>
    <mergeCell ref="AN196:AR196"/>
    <mergeCell ref="A194:A195"/>
    <mergeCell ref="B194:F194"/>
    <mergeCell ref="H194:L194"/>
    <mergeCell ref="N194:AA194"/>
    <mergeCell ref="AC194:AG194"/>
    <mergeCell ref="AI194:AL194"/>
    <mergeCell ref="AN194:AR194"/>
    <mergeCell ref="AW198:AY198"/>
    <mergeCell ref="AT198:AU198"/>
    <mergeCell ref="B197:AY197"/>
    <mergeCell ref="AW196:AY196"/>
    <mergeCell ref="AT196:AU196"/>
    <mergeCell ref="A202:A203"/>
    <mergeCell ref="B202:F202"/>
    <mergeCell ref="H202:L202"/>
    <mergeCell ref="N202:AA202"/>
    <mergeCell ref="AC202:AG202"/>
    <mergeCell ref="AI202:AL202"/>
    <mergeCell ref="AN202:AR202"/>
    <mergeCell ref="A200:A201"/>
    <mergeCell ref="A210:A211"/>
    <mergeCell ref="B210:F210"/>
    <mergeCell ref="H210:L210"/>
    <mergeCell ref="N210:AA210"/>
    <mergeCell ref="AC210:AG210"/>
    <mergeCell ref="AI210:AL210"/>
    <mergeCell ref="AN210:AR210"/>
    <mergeCell ref="AT206:AU206"/>
    <mergeCell ref="AW206:AY206"/>
    <mergeCell ref="B207:AY207"/>
    <mergeCell ref="A208:A209"/>
    <mergeCell ref="B208:F208"/>
    <mergeCell ref="H208:L208"/>
    <mergeCell ref="N208:AA208"/>
    <mergeCell ref="AC208:AG208"/>
    <mergeCell ref="AI208:AL208"/>
    <mergeCell ref="AN208:AR208"/>
    <mergeCell ref="A206:A207"/>
    <mergeCell ref="B206:F206"/>
    <mergeCell ref="H206:L206"/>
    <mergeCell ref="N206:AA206"/>
    <mergeCell ref="AC206:AG206"/>
    <mergeCell ref="AI206:AL206"/>
    <mergeCell ref="B116:F116"/>
    <mergeCell ref="H116:L116"/>
    <mergeCell ref="N116:AA116"/>
    <mergeCell ref="AC116:AG116"/>
    <mergeCell ref="AI116:AL116"/>
    <mergeCell ref="AN116:AR116"/>
    <mergeCell ref="AT116:AU116"/>
    <mergeCell ref="AW116:AY116"/>
    <mergeCell ref="B117:AY117"/>
    <mergeCell ref="BA3:BR4"/>
    <mergeCell ref="BA7:BL8"/>
    <mergeCell ref="P23:V24"/>
    <mergeCell ref="A204:A205"/>
    <mergeCell ref="B204:F204"/>
    <mergeCell ref="H204:L204"/>
    <mergeCell ref="N204:AA204"/>
    <mergeCell ref="AC204:AG204"/>
    <mergeCell ref="AI204:AL204"/>
    <mergeCell ref="AN204:AR204"/>
    <mergeCell ref="AZ42:BT45"/>
    <mergeCell ref="BA108:BJ108"/>
    <mergeCell ref="BA117:BM118"/>
    <mergeCell ref="BA148:BB148"/>
    <mergeCell ref="BA160:BB160"/>
    <mergeCell ref="BA170:BB170"/>
    <mergeCell ref="BA190:BB190"/>
    <mergeCell ref="BA202:BB202"/>
    <mergeCell ref="BA68:BP88"/>
    <mergeCell ref="BE94:BP106"/>
    <mergeCell ref="BA112:BS115"/>
    <mergeCell ref="AT200:AU200"/>
    <mergeCell ref="AW200:AY200"/>
  </mergeCells>
  <conditionalFormatting sqref="AW13:AY13">
    <cfRule type="expression" dxfId="2" priority="3">
      <formula>AU13=0</formula>
    </cfRule>
  </conditionalFormatting>
  <conditionalFormatting sqref="AW14:AY34">
    <cfRule type="expression" dxfId="1" priority="2">
      <formula>AU14=0</formula>
    </cfRule>
  </conditionalFormatting>
  <dataValidations xWindow="461" yWindow="619" count="5">
    <dataValidation type="list" allowBlank="1" showInputMessage="1" sqref="B172:F172 B152:F152 B134:F134 B132:F132 B150:F150 B170:F170 B164:F164 B146:F146 B144:F144 B184:F184 B182:F182 B186:F186 B148:F148 B162:F162 B188:F188 B166:F166 B168:F168 B174:F174 B210:F210 B142:F142 B154:F154 B114:F114 B112:F112 B126:F126 B124:F124 B128:F128 B130:F130 B136:F136 B138:F138 B140:F140 B116:F116 B118:F118 B120:F120 B122:F122 B156:F156 B158:F158 B176:F176 B178:F178 B160:F160 B180:F180 B192:F192 B190:F190 B204:F204 B202:F202 B206:F206 B208:F208 B194:F194 B196:F196 B198:F198 B200:F200" xr:uid="{00000000-0002-0000-0300-000000000000}">
      <formula1>List_abilities</formula1>
    </dataValidation>
    <dataValidation allowBlank="1" showInputMessage="1" sqref="AS13:AT34" xr:uid="{00000000-0002-0000-0300-000001000000}"/>
    <dataValidation type="list" allowBlank="1" showInputMessage="1" showErrorMessage="1" sqref="C13:C38 C42:C47" xr:uid="{00000000-0002-0000-0300-000002000000}">
      <formula1>spe_abilities</formula1>
    </dataValidation>
    <dataValidation type="list" allowBlank="1" showInputMessage="1" sqref="AH13:AQ34" xr:uid="{00000000-0002-0000-0300-000003000000}">
      <formula1>list_merits</formula1>
    </dataValidation>
    <dataValidation type="list" allowBlank="1" showInputMessage="1" sqref="P25:V27" xr:uid="{00000000-0002-0000-0300-000006000000}">
      <formula1>list_Martial_Arts</formula1>
    </dataValidation>
  </dataValidations>
  <printOptions horizontalCentered="1" verticalCentered="1"/>
  <pageMargins left="0.23622047244094491" right="0.23622047244094491" top="0.15748031496062992" bottom="0.15748031496062992" header="0" footer="0"/>
  <pageSetup paperSize="9" scale="67" fitToHeight="0" pageOrder="overThenDown" orientation="portrait" useFirstPageNumber="1" horizontalDpi="360" verticalDpi="360" r:id="rId1"/>
  <headerFooter alignWithMargins="0">
    <oddFooter>&amp;LE3 Character Sheet Generator&amp;Cv3.9&amp;RBy Refhi Verner &amp; Yoyoda76</oddFooter>
  </headerFooter>
  <rowBreaks count="3" manualBreakCount="3">
    <brk id="59" max="50" man="1"/>
    <brk id="133" max="50" man="1"/>
    <brk id="173" max="50" man="1"/>
  </rowBreaks>
  <drawing r:id="rId2"/>
  <legacyDrawing r:id="rId3"/>
  <mc:AlternateContent xmlns:mc="http://schemas.openxmlformats.org/markup-compatibility/2006">
    <mc:Choice Requires="x14">
      <controls>
        <mc:AlternateContent xmlns:mc="http://schemas.openxmlformats.org/markup-compatibility/2006">
          <mc:Choice Requires="x14">
            <control shapeId="65537" r:id="rId4" name="Spinner 1">
              <controlPr defaultSize="0" print="0" autoPict="0">
                <anchor moveWithCells="1" sizeWithCells="1">
                  <from>
                    <xdr:col>4</xdr:col>
                    <xdr:colOff>9525</xdr:colOff>
                    <xdr:row>6</xdr:row>
                    <xdr:rowOff>19050</xdr:rowOff>
                  </from>
                  <to>
                    <xdr:col>4</xdr:col>
                    <xdr:colOff>190500</xdr:colOff>
                    <xdr:row>7</xdr:row>
                    <xdr:rowOff>0</xdr:rowOff>
                  </to>
                </anchor>
              </controlPr>
            </control>
          </mc:Choice>
        </mc:AlternateContent>
        <mc:AlternateContent xmlns:mc="http://schemas.openxmlformats.org/markup-compatibility/2006">
          <mc:Choice Requires="x14">
            <control shapeId="65538" r:id="rId5" name="Spinner 2">
              <controlPr defaultSize="0" print="0" autoPict="0">
                <anchor moveWithCells="1" sizeWithCells="1">
                  <from>
                    <xdr:col>4</xdr:col>
                    <xdr:colOff>9525</xdr:colOff>
                    <xdr:row>7</xdr:row>
                    <xdr:rowOff>19050</xdr:rowOff>
                  </from>
                  <to>
                    <xdr:col>4</xdr:col>
                    <xdr:colOff>190500</xdr:colOff>
                    <xdr:row>8</xdr:row>
                    <xdr:rowOff>0</xdr:rowOff>
                  </to>
                </anchor>
              </controlPr>
            </control>
          </mc:Choice>
        </mc:AlternateContent>
        <mc:AlternateContent xmlns:mc="http://schemas.openxmlformats.org/markup-compatibility/2006">
          <mc:Choice Requires="x14">
            <control shapeId="65539" r:id="rId6" name="Spinner 3">
              <controlPr defaultSize="0" print="0" autoPict="0">
                <anchor moveWithCells="1" sizeWithCells="1">
                  <from>
                    <xdr:col>4</xdr:col>
                    <xdr:colOff>9525</xdr:colOff>
                    <xdr:row>8</xdr:row>
                    <xdr:rowOff>19050</xdr:rowOff>
                  </from>
                  <to>
                    <xdr:col>4</xdr:col>
                    <xdr:colOff>190500</xdr:colOff>
                    <xdr:row>9</xdr:row>
                    <xdr:rowOff>0</xdr:rowOff>
                  </to>
                </anchor>
              </controlPr>
            </control>
          </mc:Choice>
        </mc:AlternateContent>
        <mc:AlternateContent xmlns:mc="http://schemas.openxmlformats.org/markup-compatibility/2006">
          <mc:Choice Requires="x14">
            <control shapeId="65540" r:id="rId7" name="Spinner 4">
              <controlPr defaultSize="0" print="0" autoPict="0">
                <anchor moveWithCells="1" sizeWithCells="1">
                  <from>
                    <xdr:col>20</xdr:col>
                    <xdr:colOff>9525</xdr:colOff>
                    <xdr:row>6</xdr:row>
                    <xdr:rowOff>19050</xdr:rowOff>
                  </from>
                  <to>
                    <xdr:col>20</xdr:col>
                    <xdr:colOff>190500</xdr:colOff>
                    <xdr:row>7</xdr:row>
                    <xdr:rowOff>0</xdr:rowOff>
                  </to>
                </anchor>
              </controlPr>
            </control>
          </mc:Choice>
        </mc:AlternateContent>
        <mc:AlternateContent xmlns:mc="http://schemas.openxmlformats.org/markup-compatibility/2006">
          <mc:Choice Requires="x14">
            <control shapeId="65541" r:id="rId8" name="Spinner 5">
              <controlPr defaultSize="0" print="0" autoPict="0">
                <anchor moveWithCells="1" sizeWithCells="1">
                  <from>
                    <xdr:col>20</xdr:col>
                    <xdr:colOff>9525</xdr:colOff>
                    <xdr:row>7</xdr:row>
                    <xdr:rowOff>19050</xdr:rowOff>
                  </from>
                  <to>
                    <xdr:col>20</xdr:col>
                    <xdr:colOff>190500</xdr:colOff>
                    <xdr:row>8</xdr:row>
                    <xdr:rowOff>0</xdr:rowOff>
                  </to>
                </anchor>
              </controlPr>
            </control>
          </mc:Choice>
        </mc:AlternateContent>
        <mc:AlternateContent xmlns:mc="http://schemas.openxmlformats.org/markup-compatibility/2006">
          <mc:Choice Requires="x14">
            <control shapeId="65542" r:id="rId9" name="Spinner 6">
              <controlPr defaultSize="0" print="0" autoPict="0">
                <anchor moveWithCells="1" sizeWithCells="1">
                  <from>
                    <xdr:col>20</xdr:col>
                    <xdr:colOff>9525</xdr:colOff>
                    <xdr:row>8</xdr:row>
                    <xdr:rowOff>19050</xdr:rowOff>
                  </from>
                  <to>
                    <xdr:col>20</xdr:col>
                    <xdr:colOff>190500</xdr:colOff>
                    <xdr:row>9</xdr:row>
                    <xdr:rowOff>0</xdr:rowOff>
                  </to>
                </anchor>
              </controlPr>
            </control>
          </mc:Choice>
        </mc:AlternateContent>
        <mc:AlternateContent xmlns:mc="http://schemas.openxmlformats.org/markup-compatibility/2006">
          <mc:Choice Requires="x14">
            <control shapeId="65543" r:id="rId10" name="Spinner 7">
              <controlPr defaultSize="0" print="0" autoPict="0">
                <anchor moveWithCells="1" sizeWithCells="1">
                  <from>
                    <xdr:col>36</xdr:col>
                    <xdr:colOff>9525</xdr:colOff>
                    <xdr:row>6</xdr:row>
                    <xdr:rowOff>19050</xdr:rowOff>
                  </from>
                  <to>
                    <xdr:col>36</xdr:col>
                    <xdr:colOff>190500</xdr:colOff>
                    <xdr:row>7</xdr:row>
                    <xdr:rowOff>0</xdr:rowOff>
                  </to>
                </anchor>
              </controlPr>
            </control>
          </mc:Choice>
        </mc:AlternateContent>
        <mc:AlternateContent xmlns:mc="http://schemas.openxmlformats.org/markup-compatibility/2006">
          <mc:Choice Requires="x14">
            <control shapeId="65544" r:id="rId11" name="Spinner 8">
              <controlPr defaultSize="0" print="0" autoPict="0">
                <anchor moveWithCells="1" sizeWithCells="1">
                  <from>
                    <xdr:col>36</xdr:col>
                    <xdr:colOff>9525</xdr:colOff>
                    <xdr:row>7</xdr:row>
                    <xdr:rowOff>19050</xdr:rowOff>
                  </from>
                  <to>
                    <xdr:col>36</xdr:col>
                    <xdr:colOff>190500</xdr:colOff>
                    <xdr:row>8</xdr:row>
                    <xdr:rowOff>0</xdr:rowOff>
                  </to>
                </anchor>
              </controlPr>
            </control>
          </mc:Choice>
        </mc:AlternateContent>
        <mc:AlternateContent xmlns:mc="http://schemas.openxmlformats.org/markup-compatibility/2006">
          <mc:Choice Requires="x14">
            <control shapeId="65545" r:id="rId12" name="Spinner 9">
              <controlPr defaultSize="0" print="0" autoPict="0">
                <anchor moveWithCells="1" sizeWithCells="1">
                  <from>
                    <xdr:col>36</xdr:col>
                    <xdr:colOff>9525</xdr:colOff>
                    <xdr:row>8</xdr:row>
                    <xdr:rowOff>19050</xdr:rowOff>
                  </from>
                  <to>
                    <xdr:col>36</xdr:col>
                    <xdr:colOff>190500</xdr:colOff>
                    <xdr:row>9</xdr:row>
                    <xdr:rowOff>0</xdr:rowOff>
                  </to>
                </anchor>
              </controlPr>
            </control>
          </mc:Choice>
        </mc:AlternateContent>
        <mc:AlternateContent xmlns:mc="http://schemas.openxmlformats.org/markup-compatibility/2006">
          <mc:Choice Requires="x14">
            <control shapeId="65546" r:id="rId13" name="Spinner 10">
              <controlPr defaultSize="0" print="0" autoPict="0">
                <anchor moveWithCells="1" sizeWithCells="1">
                  <from>
                    <xdr:col>0</xdr:col>
                    <xdr:colOff>9525</xdr:colOff>
                    <xdr:row>12</xdr:row>
                    <xdr:rowOff>19050</xdr:rowOff>
                  </from>
                  <to>
                    <xdr:col>0</xdr:col>
                    <xdr:colOff>190500</xdr:colOff>
                    <xdr:row>13</xdr:row>
                    <xdr:rowOff>0</xdr:rowOff>
                  </to>
                </anchor>
              </controlPr>
            </control>
          </mc:Choice>
        </mc:AlternateContent>
        <mc:AlternateContent xmlns:mc="http://schemas.openxmlformats.org/markup-compatibility/2006">
          <mc:Choice Requires="x14">
            <control shapeId="65547" r:id="rId14" name="Spinner 11">
              <controlPr defaultSize="0" print="0" autoPict="0">
                <anchor moveWithCells="1" sizeWithCells="1">
                  <from>
                    <xdr:col>0</xdr:col>
                    <xdr:colOff>9525</xdr:colOff>
                    <xdr:row>13</xdr:row>
                    <xdr:rowOff>19050</xdr:rowOff>
                  </from>
                  <to>
                    <xdr:col>0</xdr:col>
                    <xdr:colOff>190500</xdr:colOff>
                    <xdr:row>14</xdr:row>
                    <xdr:rowOff>0</xdr:rowOff>
                  </to>
                </anchor>
              </controlPr>
            </control>
          </mc:Choice>
        </mc:AlternateContent>
        <mc:AlternateContent xmlns:mc="http://schemas.openxmlformats.org/markup-compatibility/2006">
          <mc:Choice Requires="x14">
            <control shapeId="65548" r:id="rId15" name="Spinner 12">
              <controlPr defaultSize="0" print="0" autoPict="0">
                <anchor moveWithCells="1" sizeWithCells="1">
                  <from>
                    <xdr:col>0</xdr:col>
                    <xdr:colOff>9525</xdr:colOff>
                    <xdr:row>14</xdr:row>
                    <xdr:rowOff>19050</xdr:rowOff>
                  </from>
                  <to>
                    <xdr:col>0</xdr:col>
                    <xdr:colOff>190500</xdr:colOff>
                    <xdr:row>15</xdr:row>
                    <xdr:rowOff>0</xdr:rowOff>
                  </to>
                </anchor>
              </controlPr>
            </control>
          </mc:Choice>
        </mc:AlternateContent>
        <mc:AlternateContent xmlns:mc="http://schemas.openxmlformats.org/markup-compatibility/2006">
          <mc:Choice Requires="x14">
            <control shapeId="65549" r:id="rId16" name="Spinner 13">
              <controlPr defaultSize="0" print="0" autoPict="0">
                <anchor moveWithCells="1" sizeWithCells="1">
                  <from>
                    <xdr:col>0</xdr:col>
                    <xdr:colOff>9525</xdr:colOff>
                    <xdr:row>15</xdr:row>
                    <xdr:rowOff>19050</xdr:rowOff>
                  </from>
                  <to>
                    <xdr:col>0</xdr:col>
                    <xdr:colOff>190500</xdr:colOff>
                    <xdr:row>16</xdr:row>
                    <xdr:rowOff>0</xdr:rowOff>
                  </to>
                </anchor>
              </controlPr>
            </control>
          </mc:Choice>
        </mc:AlternateContent>
        <mc:AlternateContent xmlns:mc="http://schemas.openxmlformats.org/markup-compatibility/2006">
          <mc:Choice Requires="x14">
            <control shapeId="65550" r:id="rId17" name="Spinner 14">
              <controlPr defaultSize="0" print="0" autoPict="0">
                <anchor moveWithCells="1" sizeWithCells="1">
                  <from>
                    <xdr:col>0</xdr:col>
                    <xdr:colOff>9525</xdr:colOff>
                    <xdr:row>16</xdr:row>
                    <xdr:rowOff>19050</xdr:rowOff>
                  </from>
                  <to>
                    <xdr:col>0</xdr:col>
                    <xdr:colOff>190500</xdr:colOff>
                    <xdr:row>17</xdr:row>
                    <xdr:rowOff>0</xdr:rowOff>
                  </to>
                </anchor>
              </controlPr>
            </control>
          </mc:Choice>
        </mc:AlternateContent>
        <mc:AlternateContent xmlns:mc="http://schemas.openxmlformats.org/markup-compatibility/2006">
          <mc:Choice Requires="x14">
            <control shapeId="65551" r:id="rId18" name="Spinner 15">
              <controlPr defaultSize="0" print="0" autoPict="0">
                <anchor moveWithCells="1" sizeWithCells="1">
                  <from>
                    <xdr:col>0</xdr:col>
                    <xdr:colOff>9525</xdr:colOff>
                    <xdr:row>17</xdr:row>
                    <xdr:rowOff>19050</xdr:rowOff>
                  </from>
                  <to>
                    <xdr:col>0</xdr:col>
                    <xdr:colOff>190500</xdr:colOff>
                    <xdr:row>18</xdr:row>
                    <xdr:rowOff>0</xdr:rowOff>
                  </to>
                </anchor>
              </controlPr>
            </control>
          </mc:Choice>
        </mc:AlternateContent>
        <mc:AlternateContent xmlns:mc="http://schemas.openxmlformats.org/markup-compatibility/2006">
          <mc:Choice Requires="x14">
            <control shapeId="65552" r:id="rId19" name="Spinner 16">
              <controlPr defaultSize="0" print="0" autoPict="0">
                <anchor moveWithCells="1" sizeWithCells="1">
                  <from>
                    <xdr:col>0</xdr:col>
                    <xdr:colOff>9525</xdr:colOff>
                    <xdr:row>18</xdr:row>
                    <xdr:rowOff>19050</xdr:rowOff>
                  </from>
                  <to>
                    <xdr:col>0</xdr:col>
                    <xdr:colOff>190500</xdr:colOff>
                    <xdr:row>19</xdr:row>
                    <xdr:rowOff>0</xdr:rowOff>
                  </to>
                </anchor>
              </controlPr>
            </control>
          </mc:Choice>
        </mc:AlternateContent>
        <mc:AlternateContent xmlns:mc="http://schemas.openxmlformats.org/markup-compatibility/2006">
          <mc:Choice Requires="x14">
            <control shapeId="65553" r:id="rId20" name="Spinner 17">
              <controlPr defaultSize="0" print="0" autoPict="0">
                <anchor moveWithCells="1" sizeWithCells="1">
                  <from>
                    <xdr:col>0</xdr:col>
                    <xdr:colOff>9525</xdr:colOff>
                    <xdr:row>19</xdr:row>
                    <xdr:rowOff>19050</xdr:rowOff>
                  </from>
                  <to>
                    <xdr:col>0</xdr:col>
                    <xdr:colOff>190500</xdr:colOff>
                    <xdr:row>20</xdr:row>
                    <xdr:rowOff>0</xdr:rowOff>
                  </to>
                </anchor>
              </controlPr>
            </control>
          </mc:Choice>
        </mc:AlternateContent>
        <mc:AlternateContent xmlns:mc="http://schemas.openxmlformats.org/markup-compatibility/2006">
          <mc:Choice Requires="x14">
            <control shapeId="65554" r:id="rId21" name="Spinner 18">
              <controlPr defaultSize="0" print="0" autoPict="0">
                <anchor moveWithCells="1" sizeWithCells="1">
                  <from>
                    <xdr:col>0</xdr:col>
                    <xdr:colOff>9525</xdr:colOff>
                    <xdr:row>20</xdr:row>
                    <xdr:rowOff>19050</xdr:rowOff>
                  </from>
                  <to>
                    <xdr:col>0</xdr:col>
                    <xdr:colOff>190500</xdr:colOff>
                    <xdr:row>21</xdr:row>
                    <xdr:rowOff>0</xdr:rowOff>
                  </to>
                </anchor>
              </controlPr>
            </control>
          </mc:Choice>
        </mc:AlternateContent>
        <mc:AlternateContent xmlns:mc="http://schemas.openxmlformats.org/markup-compatibility/2006">
          <mc:Choice Requires="x14">
            <control shapeId="65555" r:id="rId22" name="Spinner 19">
              <controlPr defaultSize="0" print="0" autoPict="0">
                <anchor moveWithCells="1" sizeWithCells="1">
                  <from>
                    <xdr:col>0</xdr:col>
                    <xdr:colOff>9525</xdr:colOff>
                    <xdr:row>21</xdr:row>
                    <xdr:rowOff>19050</xdr:rowOff>
                  </from>
                  <to>
                    <xdr:col>0</xdr:col>
                    <xdr:colOff>190500</xdr:colOff>
                    <xdr:row>22</xdr:row>
                    <xdr:rowOff>0</xdr:rowOff>
                  </to>
                </anchor>
              </controlPr>
            </control>
          </mc:Choice>
        </mc:AlternateContent>
        <mc:AlternateContent xmlns:mc="http://schemas.openxmlformats.org/markup-compatibility/2006">
          <mc:Choice Requires="x14">
            <control shapeId="65556" r:id="rId23" name="Spinner 20">
              <controlPr defaultSize="0" print="0" autoPict="0">
                <anchor moveWithCells="1" sizeWithCells="1">
                  <from>
                    <xdr:col>0</xdr:col>
                    <xdr:colOff>9525</xdr:colOff>
                    <xdr:row>22</xdr:row>
                    <xdr:rowOff>19050</xdr:rowOff>
                  </from>
                  <to>
                    <xdr:col>0</xdr:col>
                    <xdr:colOff>190500</xdr:colOff>
                    <xdr:row>23</xdr:row>
                    <xdr:rowOff>0</xdr:rowOff>
                  </to>
                </anchor>
              </controlPr>
            </control>
          </mc:Choice>
        </mc:AlternateContent>
        <mc:AlternateContent xmlns:mc="http://schemas.openxmlformats.org/markup-compatibility/2006">
          <mc:Choice Requires="x14">
            <control shapeId="65557" r:id="rId24" name="Spinner 21">
              <controlPr defaultSize="0" print="0" autoPict="0">
                <anchor moveWithCells="1" sizeWithCells="1">
                  <from>
                    <xdr:col>0</xdr:col>
                    <xdr:colOff>9525</xdr:colOff>
                    <xdr:row>23</xdr:row>
                    <xdr:rowOff>19050</xdr:rowOff>
                  </from>
                  <to>
                    <xdr:col>0</xdr:col>
                    <xdr:colOff>190500</xdr:colOff>
                    <xdr:row>24</xdr:row>
                    <xdr:rowOff>0</xdr:rowOff>
                  </to>
                </anchor>
              </controlPr>
            </control>
          </mc:Choice>
        </mc:AlternateContent>
        <mc:AlternateContent xmlns:mc="http://schemas.openxmlformats.org/markup-compatibility/2006">
          <mc:Choice Requires="x14">
            <control shapeId="65558" r:id="rId25" name="Spinner 22">
              <controlPr defaultSize="0" print="0" autoPict="0">
                <anchor moveWithCells="1" sizeWithCells="1">
                  <from>
                    <xdr:col>0</xdr:col>
                    <xdr:colOff>9525</xdr:colOff>
                    <xdr:row>24</xdr:row>
                    <xdr:rowOff>19050</xdr:rowOff>
                  </from>
                  <to>
                    <xdr:col>0</xdr:col>
                    <xdr:colOff>190500</xdr:colOff>
                    <xdr:row>25</xdr:row>
                    <xdr:rowOff>0</xdr:rowOff>
                  </to>
                </anchor>
              </controlPr>
            </control>
          </mc:Choice>
        </mc:AlternateContent>
        <mc:AlternateContent xmlns:mc="http://schemas.openxmlformats.org/markup-compatibility/2006">
          <mc:Choice Requires="x14">
            <control shapeId="65559" r:id="rId26" name="Spinner 23">
              <controlPr defaultSize="0" print="0" autoPict="0">
                <anchor moveWithCells="1" sizeWithCells="1">
                  <from>
                    <xdr:col>0</xdr:col>
                    <xdr:colOff>9525</xdr:colOff>
                    <xdr:row>25</xdr:row>
                    <xdr:rowOff>19050</xdr:rowOff>
                  </from>
                  <to>
                    <xdr:col>0</xdr:col>
                    <xdr:colOff>190500</xdr:colOff>
                    <xdr:row>26</xdr:row>
                    <xdr:rowOff>0</xdr:rowOff>
                  </to>
                </anchor>
              </controlPr>
            </control>
          </mc:Choice>
        </mc:AlternateContent>
        <mc:AlternateContent xmlns:mc="http://schemas.openxmlformats.org/markup-compatibility/2006">
          <mc:Choice Requires="x14">
            <control shapeId="65560" r:id="rId27" name="Spinner 24">
              <controlPr defaultSize="0" print="0" autoPict="0">
                <anchor moveWithCells="1" sizeWithCells="1">
                  <from>
                    <xdr:col>0</xdr:col>
                    <xdr:colOff>9525</xdr:colOff>
                    <xdr:row>26</xdr:row>
                    <xdr:rowOff>19050</xdr:rowOff>
                  </from>
                  <to>
                    <xdr:col>0</xdr:col>
                    <xdr:colOff>190500</xdr:colOff>
                    <xdr:row>27</xdr:row>
                    <xdr:rowOff>0</xdr:rowOff>
                  </to>
                </anchor>
              </controlPr>
            </control>
          </mc:Choice>
        </mc:AlternateContent>
        <mc:AlternateContent xmlns:mc="http://schemas.openxmlformats.org/markup-compatibility/2006">
          <mc:Choice Requires="x14">
            <control shapeId="65561" r:id="rId28" name="Spinner 25">
              <controlPr defaultSize="0" print="0" autoPict="0">
                <anchor moveWithCells="1" sizeWithCells="1">
                  <from>
                    <xdr:col>0</xdr:col>
                    <xdr:colOff>9525</xdr:colOff>
                    <xdr:row>27</xdr:row>
                    <xdr:rowOff>19050</xdr:rowOff>
                  </from>
                  <to>
                    <xdr:col>0</xdr:col>
                    <xdr:colOff>190500</xdr:colOff>
                    <xdr:row>28</xdr:row>
                    <xdr:rowOff>0</xdr:rowOff>
                  </to>
                </anchor>
              </controlPr>
            </control>
          </mc:Choice>
        </mc:AlternateContent>
        <mc:AlternateContent xmlns:mc="http://schemas.openxmlformats.org/markup-compatibility/2006">
          <mc:Choice Requires="x14">
            <control shapeId="65562" r:id="rId29" name="Spinner 26">
              <controlPr defaultSize="0" print="0" autoPict="0">
                <anchor moveWithCells="1" sizeWithCells="1">
                  <from>
                    <xdr:col>0</xdr:col>
                    <xdr:colOff>9525</xdr:colOff>
                    <xdr:row>28</xdr:row>
                    <xdr:rowOff>19050</xdr:rowOff>
                  </from>
                  <to>
                    <xdr:col>0</xdr:col>
                    <xdr:colOff>190500</xdr:colOff>
                    <xdr:row>29</xdr:row>
                    <xdr:rowOff>0</xdr:rowOff>
                  </to>
                </anchor>
              </controlPr>
            </control>
          </mc:Choice>
        </mc:AlternateContent>
        <mc:AlternateContent xmlns:mc="http://schemas.openxmlformats.org/markup-compatibility/2006">
          <mc:Choice Requires="x14">
            <control shapeId="65563" r:id="rId30" name="Spinner 27">
              <controlPr defaultSize="0" print="0" autoPict="0">
                <anchor moveWithCells="1" sizeWithCells="1">
                  <from>
                    <xdr:col>0</xdr:col>
                    <xdr:colOff>9525</xdr:colOff>
                    <xdr:row>29</xdr:row>
                    <xdr:rowOff>19050</xdr:rowOff>
                  </from>
                  <to>
                    <xdr:col>0</xdr:col>
                    <xdr:colOff>190500</xdr:colOff>
                    <xdr:row>30</xdr:row>
                    <xdr:rowOff>0</xdr:rowOff>
                  </to>
                </anchor>
              </controlPr>
            </control>
          </mc:Choice>
        </mc:AlternateContent>
        <mc:AlternateContent xmlns:mc="http://schemas.openxmlformats.org/markup-compatibility/2006">
          <mc:Choice Requires="x14">
            <control shapeId="65564" r:id="rId31" name="Spinner 28">
              <controlPr defaultSize="0" print="0" autoPict="0">
                <anchor moveWithCells="1" sizeWithCells="1">
                  <from>
                    <xdr:col>0</xdr:col>
                    <xdr:colOff>9525</xdr:colOff>
                    <xdr:row>30</xdr:row>
                    <xdr:rowOff>19050</xdr:rowOff>
                  </from>
                  <to>
                    <xdr:col>0</xdr:col>
                    <xdr:colOff>190500</xdr:colOff>
                    <xdr:row>31</xdr:row>
                    <xdr:rowOff>0</xdr:rowOff>
                  </to>
                </anchor>
              </controlPr>
            </control>
          </mc:Choice>
        </mc:AlternateContent>
        <mc:AlternateContent xmlns:mc="http://schemas.openxmlformats.org/markup-compatibility/2006">
          <mc:Choice Requires="x14">
            <control shapeId="65565" r:id="rId32" name="Spinner 29">
              <controlPr defaultSize="0" print="0" autoPict="0">
                <anchor moveWithCells="1" sizeWithCells="1">
                  <from>
                    <xdr:col>0</xdr:col>
                    <xdr:colOff>9525</xdr:colOff>
                    <xdr:row>31</xdr:row>
                    <xdr:rowOff>19050</xdr:rowOff>
                  </from>
                  <to>
                    <xdr:col>0</xdr:col>
                    <xdr:colOff>190500</xdr:colOff>
                    <xdr:row>32</xdr:row>
                    <xdr:rowOff>0</xdr:rowOff>
                  </to>
                </anchor>
              </controlPr>
            </control>
          </mc:Choice>
        </mc:AlternateContent>
        <mc:AlternateContent xmlns:mc="http://schemas.openxmlformats.org/markup-compatibility/2006">
          <mc:Choice Requires="x14">
            <control shapeId="65566" r:id="rId33" name="Spinner 30">
              <controlPr defaultSize="0" print="0" autoPict="0">
                <anchor moveWithCells="1" sizeWithCells="1">
                  <from>
                    <xdr:col>0</xdr:col>
                    <xdr:colOff>9525</xdr:colOff>
                    <xdr:row>32</xdr:row>
                    <xdr:rowOff>19050</xdr:rowOff>
                  </from>
                  <to>
                    <xdr:col>0</xdr:col>
                    <xdr:colOff>190500</xdr:colOff>
                    <xdr:row>33</xdr:row>
                    <xdr:rowOff>0</xdr:rowOff>
                  </to>
                </anchor>
              </controlPr>
            </control>
          </mc:Choice>
        </mc:AlternateContent>
        <mc:AlternateContent xmlns:mc="http://schemas.openxmlformats.org/markup-compatibility/2006">
          <mc:Choice Requires="x14">
            <control shapeId="65567" r:id="rId34" name="Spinner 31">
              <controlPr defaultSize="0" print="0" autoPict="0">
                <anchor moveWithCells="1" sizeWithCells="1">
                  <from>
                    <xdr:col>0</xdr:col>
                    <xdr:colOff>9525</xdr:colOff>
                    <xdr:row>33</xdr:row>
                    <xdr:rowOff>19050</xdr:rowOff>
                  </from>
                  <to>
                    <xdr:col>0</xdr:col>
                    <xdr:colOff>190500</xdr:colOff>
                    <xdr:row>34</xdr:row>
                    <xdr:rowOff>0</xdr:rowOff>
                  </to>
                </anchor>
              </controlPr>
            </control>
          </mc:Choice>
        </mc:AlternateContent>
        <mc:AlternateContent xmlns:mc="http://schemas.openxmlformats.org/markup-compatibility/2006">
          <mc:Choice Requires="x14">
            <control shapeId="65568" r:id="rId35" name="Spinner 32">
              <controlPr defaultSize="0" print="0" autoPict="0">
                <anchor moveWithCells="1" sizeWithCells="1">
                  <from>
                    <xdr:col>0</xdr:col>
                    <xdr:colOff>9525</xdr:colOff>
                    <xdr:row>34</xdr:row>
                    <xdr:rowOff>19050</xdr:rowOff>
                  </from>
                  <to>
                    <xdr:col>0</xdr:col>
                    <xdr:colOff>190500</xdr:colOff>
                    <xdr:row>35</xdr:row>
                    <xdr:rowOff>0</xdr:rowOff>
                  </to>
                </anchor>
              </controlPr>
            </control>
          </mc:Choice>
        </mc:AlternateContent>
        <mc:AlternateContent xmlns:mc="http://schemas.openxmlformats.org/markup-compatibility/2006">
          <mc:Choice Requires="x14">
            <control shapeId="65569" r:id="rId36" name="Spinner 33">
              <controlPr defaultSize="0" print="0" autoPict="0">
                <anchor moveWithCells="1" sizeWithCells="1">
                  <from>
                    <xdr:col>0</xdr:col>
                    <xdr:colOff>9525</xdr:colOff>
                    <xdr:row>35</xdr:row>
                    <xdr:rowOff>19050</xdr:rowOff>
                  </from>
                  <to>
                    <xdr:col>0</xdr:col>
                    <xdr:colOff>190500</xdr:colOff>
                    <xdr:row>36</xdr:row>
                    <xdr:rowOff>0</xdr:rowOff>
                  </to>
                </anchor>
              </controlPr>
            </control>
          </mc:Choice>
        </mc:AlternateContent>
        <mc:AlternateContent xmlns:mc="http://schemas.openxmlformats.org/markup-compatibility/2006">
          <mc:Choice Requires="x14">
            <control shapeId="65570" r:id="rId37" name="Spinner 34">
              <controlPr defaultSize="0" print="0" autoPict="0">
                <anchor moveWithCells="1" sizeWithCells="1">
                  <from>
                    <xdr:col>0</xdr:col>
                    <xdr:colOff>9525</xdr:colOff>
                    <xdr:row>36</xdr:row>
                    <xdr:rowOff>19050</xdr:rowOff>
                  </from>
                  <to>
                    <xdr:col>0</xdr:col>
                    <xdr:colOff>190500</xdr:colOff>
                    <xdr:row>37</xdr:row>
                    <xdr:rowOff>0</xdr:rowOff>
                  </to>
                </anchor>
              </controlPr>
            </control>
          </mc:Choice>
        </mc:AlternateContent>
        <mc:AlternateContent xmlns:mc="http://schemas.openxmlformats.org/markup-compatibility/2006">
          <mc:Choice Requires="x14">
            <control shapeId="65571" r:id="rId38" name="Spinner 35">
              <controlPr defaultSize="0" print="0" autoPict="0">
                <anchor moveWithCells="1" sizeWithCells="1">
                  <from>
                    <xdr:col>0</xdr:col>
                    <xdr:colOff>9525</xdr:colOff>
                    <xdr:row>37</xdr:row>
                    <xdr:rowOff>19050</xdr:rowOff>
                  </from>
                  <to>
                    <xdr:col>0</xdr:col>
                    <xdr:colOff>190500</xdr:colOff>
                    <xdr:row>38</xdr:row>
                    <xdr:rowOff>0</xdr:rowOff>
                  </to>
                </anchor>
              </controlPr>
            </control>
          </mc:Choice>
        </mc:AlternateContent>
        <mc:AlternateContent xmlns:mc="http://schemas.openxmlformats.org/markup-compatibility/2006">
          <mc:Choice Requires="x14">
            <control shapeId="65572" r:id="rId39" name="Spinner 36">
              <controlPr defaultSize="0" print="0" autoPict="0">
                <anchor moveWithCells="1" sizeWithCells="1">
                  <from>
                    <xdr:col>0</xdr:col>
                    <xdr:colOff>9525</xdr:colOff>
                    <xdr:row>41</xdr:row>
                    <xdr:rowOff>19050</xdr:rowOff>
                  </from>
                  <to>
                    <xdr:col>0</xdr:col>
                    <xdr:colOff>190500</xdr:colOff>
                    <xdr:row>42</xdr:row>
                    <xdr:rowOff>0</xdr:rowOff>
                  </to>
                </anchor>
              </controlPr>
            </control>
          </mc:Choice>
        </mc:AlternateContent>
        <mc:AlternateContent xmlns:mc="http://schemas.openxmlformats.org/markup-compatibility/2006">
          <mc:Choice Requires="x14">
            <control shapeId="65573" r:id="rId40" name="Spinner 37">
              <controlPr defaultSize="0" print="0" autoPict="0">
                <anchor moveWithCells="1" sizeWithCells="1">
                  <from>
                    <xdr:col>0</xdr:col>
                    <xdr:colOff>9525</xdr:colOff>
                    <xdr:row>42</xdr:row>
                    <xdr:rowOff>19050</xdr:rowOff>
                  </from>
                  <to>
                    <xdr:col>0</xdr:col>
                    <xdr:colOff>190500</xdr:colOff>
                    <xdr:row>43</xdr:row>
                    <xdr:rowOff>0</xdr:rowOff>
                  </to>
                </anchor>
              </controlPr>
            </control>
          </mc:Choice>
        </mc:AlternateContent>
        <mc:AlternateContent xmlns:mc="http://schemas.openxmlformats.org/markup-compatibility/2006">
          <mc:Choice Requires="x14">
            <control shapeId="65574" r:id="rId41" name="Spinner 38">
              <controlPr defaultSize="0" print="0" autoPict="0">
                <anchor moveWithCells="1" sizeWithCells="1">
                  <from>
                    <xdr:col>0</xdr:col>
                    <xdr:colOff>9525</xdr:colOff>
                    <xdr:row>43</xdr:row>
                    <xdr:rowOff>19050</xdr:rowOff>
                  </from>
                  <to>
                    <xdr:col>0</xdr:col>
                    <xdr:colOff>190500</xdr:colOff>
                    <xdr:row>44</xdr:row>
                    <xdr:rowOff>0</xdr:rowOff>
                  </to>
                </anchor>
              </controlPr>
            </control>
          </mc:Choice>
        </mc:AlternateContent>
        <mc:AlternateContent xmlns:mc="http://schemas.openxmlformats.org/markup-compatibility/2006">
          <mc:Choice Requires="x14">
            <control shapeId="65575" r:id="rId42" name="Spinner 39">
              <controlPr defaultSize="0" print="0" autoPict="0">
                <anchor moveWithCells="1" sizeWithCells="1">
                  <from>
                    <xdr:col>0</xdr:col>
                    <xdr:colOff>9525</xdr:colOff>
                    <xdr:row>44</xdr:row>
                    <xdr:rowOff>19050</xdr:rowOff>
                  </from>
                  <to>
                    <xdr:col>0</xdr:col>
                    <xdr:colOff>190500</xdr:colOff>
                    <xdr:row>45</xdr:row>
                    <xdr:rowOff>0</xdr:rowOff>
                  </to>
                </anchor>
              </controlPr>
            </control>
          </mc:Choice>
        </mc:AlternateContent>
        <mc:AlternateContent xmlns:mc="http://schemas.openxmlformats.org/markup-compatibility/2006">
          <mc:Choice Requires="x14">
            <control shapeId="65576" r:id="rId43" name="Spinner 40">
              <controlPr defaultSize="0" print="0" autoPict="0">
                <anchor moveWithCells="1" sizeWithCells="1">
                  <from>
                    <xdr:col>0</xdr:col>
                    <xdr:colOff>9525</xdr:colOff>
                    <xdr:row>45</xdr:row>
                    <xdr:rowOff>19050</xdr:rowOff>
                  </from>
                  <to>
                    <xdr:col>0</xdr:col>
                    <xdr:colOff>190500</xdr:colOff>
                    <xdr:row>46</xdr:row>
                    <xdr:rowOff>0</xdr:rowOff>
                  </to>
                </anchor>
              </controlPr>
            </control>
          </mc:Choice>
        </mc:AlternateContent>
        <mc:AlternateContent xmlns:mc="http://schemas.openxmlformats.org/markup-compatibility/2006">
          <mc:Choice Requires="x14">
            <control shapeId="65577" r:id="rId44" name="Spinner 41">
              <controlPr defaultSize="0" print="0" autoPict="0">
                <anchor moveWithCells="1" sizeWithCells="1">
                  <from>
                    <xdr:col>0</xdr:col>
                    <xdr:colOff>9525</xdr:colOff>
                    <xdr:row>46</xdr:row>
                    <xdr:rowOff>19050</xdr:rowOff>
                  </from>
                  <to>
                    <xdr:col>0</xdr:col>
                    <xdr:colOff>190500</xdr:colOff>
                    <xdr:row>47</xdr:row>
                    <xdr:rowOff>0</xdr:rowOff>
                  </to>
                </anchor>
              </controlPr>
            </control>
          </mc:Choice>
        </mc:AlternateContent>
        <mc:AlternateContent xmlns:mc="http://schemas.openxmlformats.org/markup-compatibility/2006">
          <mc:Choice Requires="x14">
            <control shapeId="65579" r:id="rId45" name="Check Box 43">
              <controlPr defaultSize="0" autoFill="0" autoLine="0" autoPict="0" altText="">
                <anchor moveWithCells="1">
                  <from>
                    <xdr:col>11</xdr:col>
                    <xdr:colOff>180975</xdr:colOff>
                    <xdr:row>42</xdr:row>
                    <xdr:rowOff>0</xdr:rowOff>
                  </from>
                  <to>
                    <xdr:col>13</xdr:col>
                    <xdr:colOff>9525</xdr:colOff>
                    <xdr:row>42</xdr:row>
                    <xdr:rowOff>238125</xdr:rowOff>
                  </to>
                </anchor>
              </controlPr>
            </control>
          </mc:Choice>
        </mc:AlternateContent>
        <mc:AlternateContent xmlns:mc="http://schemas.openxmlformats.org/markup-compatibility/2006">
          <mc:Choice Requires="x14">
            <control shapeId="65580" r:id="rId46" name="Check Box 44">
              <controlPr defaultSize="0" autoFill="0" autoLine="0" autoPict="0" altText="">
                <anchor moveWithCells="1">
                  <from>
                    <xdr:col>11</xdr:col>
                    <xdr:colOff>180975</xdr:colOff>
                    <xdr:row>43</xdr:row>
                    <xdr:rowOff>9525</xdr:rowOff>
                  </from>
                  <to>
                    <xdr:col>13</xdr:col>
                    <xdr:colOff>9525</xdr:colOff>
                    <xdr:row>44</xdr:row>
                    <xdr:rowOff>0</xdr:rowOff>
                  </to>
                </anchor>
              </controlPr>
            </control>
          </mc:Choice>
        </mc:AlternateContent>
        <mc:AlternateContent xmlns:mc="http://schemas.openxmlformats.org/markup-compatibility/2006">
          <mc:Choice Requires="x14">
            <control shapeId="65581" r:id="rId47" name="Check Box 45">
              <controlPr defaultSize="0" autoFill="0" autoLine="0" autoPict="0" altText="">
                <anchor moveWithCells="1">
                  <from>
                    <xdr:col>11</xdr:col>
                    <xdr:colOff>180975</xdr:colOff>
                    <xdr:row>44</xdr:row>
                    <xdr:rowOff>9525</xdr:rowOff>
                  </from>
                  <to>
                    <xdr:col>13</xdr:col>
                    <xdr:colOff>9525</xdr:colOff>
                    <xdr:row>45</xdr:row>
                    <xdr:rowOff>0</xdr:rowOff>
                  </to>
                </anchor>
              </controlPr>
            </control>
          </mc:Choice>
        </mc:AlternateContent>
        <mc:AlternateContent xmlns:mc="http://schemas.openxmlformats.org/markup-compatibility/2006">
          <mc:Choice Requires="x14">
            <control shapeId="65582" r:id="rId48" name="Check Box 46">
              <controlPr defaultSize="0" autoFill="0" autoLine="0" autoPict="0" altText="">
                <anchor moveWithCells="1">
                  <from>
                    <xdr:col>11</xdr:col>
                    <xdr:colOff>180975</xdr:colOff>
                    <xdr:row>45</xdr:row>
                    <xdr:rowOff>9525</xdr:rowOff>
                  </from>
                  <to>
                    <xdr:col>13</xdr:col>
                    <xdr:colOff>9525</xdr:colOff>
                    <xdr:row>46</xdr:row>
                    <xdr:rowOff>0</xdr:rowOff>
                  </to>
                </anchor>
              </controlPr>
            </control>
          </mc:Choice>
        </mc:AlternateContent>
        <mc:AlternateContent xmlns:mc="http://schemas.openxmlformats.org/markup-compatibility/2006">
          <mc:Choice Requires="x14">
            <control shapeId="65583" r:id="rId49" name="Check Box 47">
              <controlPr defaultSize="0" autoFill="0" autoLine="0" autoPict="0" altText="">
                <anchor moveWithCells="1">
                  <from>
                    <xdr:col>11</xdr:col>
                    <xdr:colOff>180975</xdr:colOff>
                    <xdr:row>47</xdr:row>
                    <xdr:rowOff>9525</xdr:rowOff>
                  </from>
                  <to>
                    <xdr:col>13</xdr:col>
                    <xdr:colOff>9525</xdr:colOff>
                    <xdr:row>48</xdr:row>
                    <xdr:rowOff>0</xdr:rowOff>
                  </to>
                </anchor>
              </controlPr>
            </control>
          </mc:Choice>
        </mc:AlternateContent>
        <mc:AlternateContent xmlns:mc="http://schemas.openxmlformats.org/markup-compatibility/2006">
          <mc:Choice Requires="x14">
            <control shapeId="65584" r:id="rId50" name="Check Box 48">
              <controlPr defaultSize="0" autoFill="0" autoLine="0" autoPict="0" altText="">
                <anchor moveWithCells="1">
                  <from>
                    <xdr:col>11</xdr:col>
                    <xdr:colOff>180975</xdr:colOff>
                    <xdr:row>46</xdr:row>
                    <xdr:rowOff>9525</xdr:rowOff>
                  </from>
                  <to>
                    <xdr:col>13</xdr:col>
                    <xdr:colOff>9525</xdr:colOff>
                    <xdr:row>47</xdr:row>
                    <xdr:rowOff>0</xdr:rowOff>
                  </to>
                </anchor>
              </controlPr>
            </control>
          </mc:Choice>
        </mc:AlternateContent>
        <mc:AlternateContent xmlns:mc="http://schemas.openxmlformats.org/markup-compatibility/2006">
          <mc:Choice Requires="x14">
            <control shapeId="65585" r:id="rId51" name="Check Box 49">
              <controlPr defaultSize="0" autoFill="0" autoLine="0" autoPict="0" altText="">
                <anchor moveWithCells="1">
                  <from>
                    <xdr:col>11</xdr:col>
                    <xdr:colOff>180975</xdr:colOff>
                    <xdr:row>48</xdr:row>
                    <xdr:rowOff>9525</xdr:rowOff>
                  </from>
                  <to>
                    <xdr:col>13</xdr:col>
                    <xdr:colOff>9525</xdr:colOff>
                    <xdr:row>49</xdr:row>
                    <xdr:rowOff>0</xdr:rowOff>
                  </to>
                </anchor>
              </controlPr>
            </control>
          </mc:Choice>
        </mc:AlternateContent>
        <mc:AlternateContent xmlns:mc="http://schemas.openxmlformats.org/markup-compatibility/2006">
          <mc:Choice Requires="x14">
            <control shapeId="65586" r:id="rId52" name="Spinner 50">
              <controlPr defaultSize="0" print="0" autoPict="0">
                <anchor moveWithCells="1" sizeWithCells="1">
                  <from>
                    <xdr:col>47</xdr:col>
                    <xdr:colOff>9525</xdr:colOff>
                    <xdr:row>12</xdr:row>
                    <xdr:rowOff>0</xdr:rowOff>
                  </from>
                  <to>
                    <xdr:col>47</xdr:col>
                    <xdr:colOff>190500</xdr:colOff>
                    <xdr:row>12</xdr:row>
                    <xdr:rowOff>228600</xdr:rowOff>
                  </to>
                </anchor>
              </controlPr>
            </control>
          </mc:Choice>
        </mc:AlternateContent>
        <mc:AlternateContent xmlns:mc="http://schemas.openxmlformats.org/markup-compatibility/2006">
          <mc:Choice Requires="x14">
            <control shapeId="65587" r:id="rId53" name="Spinner 51">
              <controlPr defaultSize="0" print="0" autoPict="0">
                <anchor moveWithCells="1" sizeWithCells="1">
                  <from>
                    <xdr:col>47</xdr:col>
                    <xdr:colOff>9525</xdr:colOff>
                    <xdr:row>13</xdr:row>
                    <xdr:rowOff>0</xdr:rowOff>
                  </from>
                  <to>
                    <xdr:col>47</xdr:col>
                    <xdr:colOff>190500</xdr:colOff>
                    <xdr:row>13</xdr:row>
                    <xdr:rowOff>228600</xdr:rowOff>
                  </to>
                </anchor>
              </controlPr>
            </control>
          </mc:Choice>
        </mc:AlternateContent>
        <mc:AlternateContent xmlns:mc="http://schemas.openxmlformats.org/markup-compatibility/2006">
          <mc:Choice Requires="x14">
            <control shapeId="65588" r:id="rId54" name="Spinner 52">
              <controlPr defaultSize="0" print="0" autoPict="0">
                <anchor moveWithCells="1" sizeWithCells="1">
                  <from>
                    <xdr:col>47</xdr:col>
                    <xdr:colOff>9525</xdr:colOff>
                    <xdr:row>14</xdr:row>
                    <xdr:rowOff>0</xdr:rowOff>
                  </from>
                  <to>
                    <xdr:col>47</xdr:col>
                    <xdr:colOff>190500</xdr:colOff>
                    <xdr:row>14</xdr:row>
                    <xdr:rowOff>228600</xdr:rowOff>
                  </to>
                </anchor>
              </controlPr>
            </control>
          </mc:Choice>
        </mc:AlternateContent>
        <mc:AlternateContent xmlns:mc="http://schemas.openxmlformats.org/markup-compatibility/2006">
          <mc:Choice Requires="x14">
            <control shapeId="65589" r:id="rId55" name="Spinner 53">
              <controlPr defaultSize="0" print="0" autoPict="0">
                <anchor moveWithCells="1" sizeWithCells="1">
                  <from>
                    <xdr:col>47</xdr:col>
                    <xdr:colOff>9525</xdr:colOff>
                    <xdr:row>15</xdr:row>
                    <xdr:rowOff>0</xdr:rowOff>
                  </from>
                  <to>
                    <xdr:col>47</xdr:col>
                    <xdr:colOff>190500</xdr:colOff>
                    <xdr:row>15</xdr:row>
                    <xdr:rowOff>228600</xdr:rowOff>
                  </to>
                </anchor>
              </controlPr>
            </control>
          </mc:Choice>
        </mc:AlternateContent>
        <mc:AlternateContent xmlns:mc="http://schemas.openxmlformats.org/markup-compatibility/2006">
          <mc:Choice Requires="x14">
            <control shapeId="65590" r:id="rId56" name="Spinner 54">
              <controlPr defaultSize="0" print="0" autoPict="0">
                <anchor moveWithCells="1" sizeWithCells="1">
                  <from>
                    <xdr:col>47</xdr:col>
                    <xdr:colOff>9525</xdr:colOff>
                    <xdr:row>16</xdr:row>
                    <xdr:rowOff>0</xdr:rowOff>
                  </from>
                  <to>
                    <xdr:col>47</xdr:col>
                    <xdr:colOff>190500</xdr:colOff>
                    <xdr:row>16</xdr:row>
                    <xdr:rowOff>228600</xdr:rowOff>
                  </to>
                </anchor>
              </controlPr>
            </control>
          </mc:Choice>
        </mc:AlternateContent>
        <mc:AlternateContent xmlns:mc="http://schemas.openxmlformats.org/markup-compatibility/2006">
          <mc:Choice Requires="x14">
            <control shapeId="65591" r:id="rId57" name="Spinner 55">
              <controlPr defaultSize="0" print="0" autoPict="0">
                <anchor moveWithCells="1" sizeWithCells="1">
                  <from>
                    <xdr:col>47</xdr:col>
                    <xdr:colOff>9525</xdr:colOff>
                    <xdr:row>17</xdr:row>
                    <xdr:rowOff>0</xdr:rowOff>
                  </from>
                  <to>
                    <xdr:col>47</xdr:col>
                    <xdr:colOff>190500</xdr:colOff>
                    <xdr:row>17</xdr:row>
                    <xdr:rowOff>228600</xdr:rowOff>
                  </to>
                </anchor>
              </controlPr>
            </control>
          </mc:Choice>
        </mc:AlternateContent>
        <mc:AlternateContent xmlns:mc="http://schemas.openxmlformats.org/markup-compatibility/2006">
          <mc:Choice Requires="x14">
            <control shapeId="65592" r:id="rId58" name="Spinner 56">
              <controlPr defaultSize="0" print="0" autoPict="0">
                <anchor moveWithCells="1" sizeWithCells="1">
                  <from>
                    <xdr:col>47</xdr:col>
                    <xdr:colOff>9525</xdr:colOff>
                    <xdr:row>18</xdr:row>
                    <xdr:rowOff>0</xdr:rowOff>
                  </from>
                  <to>
                    <xdr:col>47</xdr:col>
                    <xdr:colOff>190500</xdr:colOff>
                    <xdr:row>18</xdr:row>
                    <xdr:rowOff>228600</xdr:rowOff>
                  </to>
                </anchor>
              </controlPr>
            </control>
          </mc:Choice>
        </mc:AlternateContent>
        <mc:AlternateContent xmlns:mc="http://schemas.openxmlformats.org/markup-compatibility/2006">
          <mc:Choice Requires="x14">
            <control shapeId="65593" r:id="rId59" name="Spinner 57">
              <controlPr defaultSize="0" print="0" autoPict="0">
                <anchor moveWithCells="1" sizeWithCells="1">
                  <from>
                    <xdr:col>47</xdr:col>
                    <xdr:colOff>9525</xdr:colOff>
                    <xdr:row>19</xdr:row>
                    <xdr:rowOff>0</xdr:rowOff>
                  </from>
                  <to>
                    <xdr:col>47</xdr:col>
                    <xdr:colOff>190500</xdr:colOff>
                    <xdr:row>19</xdr:row>
                    <xdr:rowOff>228600</xdr:rowOff>
                  </to>
                </anchor>
              </controlPr>
            </control>
          </mc:Choice>
        </mc:AlternateContent>
        <mc:AlternateContent xmlns:mc="http://schemas.openxmlformats.org/markup-compatibility/2006">
          <mc:Choice Requires="x14">
            <control shapeId="65594" r:id="rId60" name="Spinner 58">
              <controlPr defaultSize="0" print="0" autoPict="0">
                <anchor moveWithCells="1" sizeWithCells="1">
                  <from>
                    <xdr:col>47</xdr:col>
                    <xdr:colOff>9525</xdr:colOff>
                    <xdr:row>20</xdr:row>
                    <xdr:rowOff>0</xdr:rowOff>
                  </from>
                  <to>
                    <xdr:col>47</xdr:col>
                    <xdr:colOff>190500</xdr:colOff>
                    <xdr:row>20</xdr:row>
                    <xdr:rowOff>228600</xdr:rowOff>
                  </to>
                </anchor>
              </controlPr>
            </control>
          </mc:Choice>
        </mc:AlternateContent>
        <mc:AlternateContent xmlns:mc="http://schemas.openxmlformats.org/markup-compatibility/2006">
          <mc:Choice Requires="x14">
            <control shapeId="65595" r:id="rId61" name="Spinner 59">
              <controlPr defaultSize="0" print="0" autoPict="0">
                <anchor moveWithCells="1" sizeWithCells="1">
                  <from>
                    <xdr:col>47</xdr:col>
                    <xdr:colOff>9525</xdr:colOff>
                    <xdr:row>21</xdr:row>
                    <xdr:rowOff>0</xdr:rowOff>
                  </from>
                  <to>
                    <xdr:col>47</xdr:col>
                    <xdr:colOff>190500</xdr:colOff>
                    <xdr:row>21</xdr:row>
                    <xdr:rowOff>228600</xdr:rowOff>
                  </to>
                </anchor>
              </controlPr>
            </control>
          </mc:Choice>
        </mc:AlternateContent>
        <mc:AlternateContent xmlns:mc="http://schemas.openxmlformats.org/markup-compatibility/2006">
          <mc:Choice Requires="x14">
            <control shapeId="65596" r:id="rId62" name="Spinner 60">
              <controlPr defaultSize="0" print="0" autoPict="0">
                <anchor moveWithCells="1" sizeWithCells="1">
                  <from>
                    <xdr:col>47</xdr:col>
                    <xdr:colOff>9525</xdr:colOff>
                    <xdr:row>22</xdr:row>
                    <xdr:rowOff>0</xdr:rowOff>
                  </from>
                  <to>
                    <xdr:col>47</xdr:col>
                    <xdr:colOff>190500</xdr:colOff>
                    <xdr:row>22</xdr:row>
                    <xdr:rowOff>228600</xdr:rowOff>
                  </to>
                </anchor>
              </controlPr>
            </control>
          </mc:Choice>
        </mc:AlternateContent>
        <mc:AlternateContent xmlns:mc="http://schemas.openxmlformats.org/markup-compatibility/2006">
          <mc:Choice Requires="x14">
            <control shapeId="65597" r:id="rId63" name="Spinner 61">
              <controlPr defaultSize="0" print="0" autoPict="0">
                <anchor moveWithCells="1" sizeWithCells="1">
                  <from>
                    <xdr:col>47</xdr:col>
                    <xdr:colOff>9525</xdr:colOff>
                    <xdr:row>23</xdr:row>
                    <xdr:rowOff>0</xdr:rowOff>
                  </from>
                  <to>
                    <xdr:col>47</xdr:col>
                    <xdr:colOff>190500</xdr:colOff>
                    <xdr:row>23</xdr:row>
                    <xdr:rowOff>228600</xdr:rowOff>
                  </to>
                </anchor>
              </controlPr>
            </control>
          </mc:Choice>
        </mc:AlternateContent>
        <mc:AlternateContent xmlns:mc="http://schemas.openxmlformats.org/markup-compatibility/2006">
          <mc:Choice Requires="x14">
            <control shapeId="65598" r:id="rId64" name="Spinner 62">
              <controlPr defaultSize="0" print="0" autoPict="0">
                <anchor moveWithCells="1" sizeWithCells="1">
                  <from>
                    <xdr:col>47</xdr:col>
                    <xdr:colOff>9525</xdr:colOff>
                    <xdr:row>24</xdr:row>
                    <xdr:rowOff>0</xdr:rowOff>
                  </from>
                  <to>
                    <xdr:col>47</xdr:col>
                    <xdr:colOff>190500</xdr:colOff>
                    <xdr:row>24</xdr:row>
                    <xdr:rowOff>228600</xdr:rowOff>
                  </to>
                </anchor>
              </controlPr>
            </control>
          </mc:Choice>
        </mc:AlternateContent>
        <mc:AlternateContent xmlns:mc="http://schemas.openxmlformats.org/markup-compatibility/2006">
          <mc:Choice Requires="x14">
            <control shapeId="65599" r:id="rId65" name="Spinner 63">
              <controlPr defaultSize="0" print="0" autoPict="0">
                <anchor moveWithCells="1" sizeWithCells="1">
                  <from>
                    <xdr:col>47</xdr:col>
                    <xdr:colOff>9525</xdr:colOff>
                    <xdr:row>25</xdr:row>
                    <xdr:rowOff>0</xdr:rowOff>
                  </from>
                  <to>
                    <xdr:col>47</xdr:col>
                    <xdr:colOff>190500</xdr:colOff>
                    <xdr:row>25</xdr:row>
                    <xdr:rowOff>228600</xdr:rowOff>
                  </to>
                </anchor>
              </controlPr>
            </control>
          </mc:Choice>
        </mc:AlternateContent>
        <mc:AlternateContent xmlns:mc="http://schemas.openxmlformats.org/markup-compatibility/2006">
          <mc:Choice Requires="x14">
            <control shapeId="65600" r:id="rId66" name="Spinner 64">
              <controlPr defaultSize="0" print="0" autoPict="0">
                <anchor moveWithCells="1" sizeWithCells="1">
                  <from>
                    <xdr:col>47</xdr:col>
                    <xdr:colOff>9525</xdr:colOff>
                    <xdr:row>26</xdr:row>
                    <xdr:rowOff>0</xdr:rowOff>
                  </from>
                  <to>
                    <xdr:col>47</xdr:col>
                    <xdr:colOff>190500</xdr:colOff>
                    <xdr:row>26</xdr:row>
                    <xdr:rowOff>228600</xdr:rowOff>
                  </to>
                </anchor>
              </controlPr>
            </control>
          </mc:Choice>
        </mc:AlternateContent>
        <mc:AlternateContent xmlns:mc="http://schemas.openxmlformats.org/markup-compatibility/2006">
          <mc:Choice Requires="x14">
            <control shapeId="65601" r:id="rId67" name="Spinner 65">
              <controlPr defaultSize="0" print="0" autoPict="0">
                <anchor moveWithCells="1" sizeWithCells="1">
                  <from>
                    <xdr:col>47</xdr:col>
                    <xdr:colOff>9525</xdr:colOff>
                    <xdr:row>27</xdr:row>
                    <xdr:rowOff>0</xdr:rowOff>
                  </from>
                  <to>
                    <xdr:col>47</xdr:col>
                    <xdr:colOff>190500</xdr:colOff>
                    <xdr:row>27</xdr:row>
                    <xdr:rowOff>228600</xdr:rowOff>
                  </to>
                </anchor>
              </controlPr>
            </control>
          </mc:Choice>
        </mc:AlternateContent>
        <mc:AlternateContent xmlns:mc="http://schemas.openxmlformats.org/markup-compatibility/2006">
          <mc:Choice Requires="x14">
            <control shapeId="65602" r:id="rId68" name="Spinner 66">
              <controlPr defaultSize="0" print="0" autoPict="0">
                <anchor moveWithCells="1" sizeWithCells="1">
                  <from>
                    <xdr:col>47</xdr:col>
                    <xdr:colOff>9525</xdr:colOff>
                    <xdr:row>28</xdr:row>
                    <xdr:rowOff>0</xdr:rowOff>
                  </from>
                  <to>
                    <xdr:col>47</xdr:col>
                    <xdr:colOff>190500</xdr:colOff>
                    <xdr:row>28</xdr:row>
                    <xdr:rowOff>228600</xdr:rowOff>
                  </to>
                </anchor>
              </controlPr>
            </control>
          </mc:Choice>
        </mc:AlternateContent>
        <mc:AlternateContent xmlns:mc="http://schemas.openxmlformats.org/markup-compatibility/2006">
          <mc:Choice Requires="x14">
            <control shapeId="65603" r:id="rId69" name="Spinner 67">
              <controlPr defaultSize="0" print="0" autoPict="0">
                <anchor moveWithCells="1" sizeWithCells="1">
                  <from>
                    <xdr:col>47</xdr:col>
                    <xdr:colOff>9525</xdr:colOff>
                    <xdr:row>29</xdr:row>
                    <xdr:rowOff>0</xdr:rowOff>
                  </from>
                  <to>
                    <xdr:col>47</xdr:col>
                    <xdr:colOff>190500</xdr:colOff>
                    <xdr:row>29</xdr:row>
                    <xdr:rowOff>228600</xdr:rowOff>
                  </to>
                </anchor>
              </controlPr>
            </control>
          </mc:Choice>
        </mc:AlternateContent>
        <mc:AlternateContent xmlns:mc="http://schemas.openxmlformats.org/markup-compatibility/2006">
          <mc:Choice Requires="x14">
            <control shapeId="65604" r:id="rId70" name="Spinner 68">
              <controlPr defaultSize="0" print="0" autoPict="0">
                <anchor moveWithCells="1" sizeWithCells="1">
                  <from>
                    <xdr:col>47</xdr:col>
                    <xdr:colOff>9525</xdr:colOff>
                    <xdr:row>30</xdr:row>
                    <xdr:rowOff>0</xdr:rowOff>
                  </from>
                  <to>
                    <xdr:col>47</xdr:col>
                    <xdr:colOff>190500</xdr:colOff>
                    <xdr:row>30</xdr:row>
                    <xdr:rowOff>228600</xdr:rowOff>
                  </to>
                </anchor>
              </controlPr>
            </control>
          </mc:Choice>
        </mc:AlternateContent>
        <mc:AlternateContent xmlns:mc="http://schemas.openxmlformats.org/markup-compatibility/2006">
          <mc:Choice Requires="x14">
            <control shapeId="65605" r:id="rId71" name="Spinner 69">
              <controlPr defaultSize="0" print="0" autoPict="0">
                <anchor moveWithCells="1" sizeWithCells="1">
                  <from>
                    <xdr:col>47</xdr:col>
                    <xdr:colOff>9525</xdr:colOff>
                    <xdr:row>31</xdr:row>
                    <xdr:rowOff>0</xdr:rowOff>
                  </from>
                  <to>
                    <xdr:col>47</xdr:col>
                    <xdr:colOff>190500</xdr:colOff>
                    <xdr:row>31</xdr:row>
                    <xdr:rowOff>228600</xdr:rowOff>
                  </to>
                </anchor>
              </controlPr>
            </control>
          </mc:Choice>
        </mc:AlternateContent>
        <mc:AlternateContent xmlns:mc="http://schemas.openxmlformats.org/markup-compatibility/2006">
          <mc:Choice Requires="x14">
            <control shapeId="65606" r:id="rId72" name="Spinner 70">
              <controlPr defaultSize="0" print="0" autoPict="0">
                <anchor moveWithCells="1" sizeWithCells="1">
                  <from>
                    <xdr:col>47</xdr:col>
                    <xdr:colOff>9525</xdr:colOff>
                    <xdr:row>32</xdr:row>
                    <xdr:rowOff>0</xdr:rowOff>
                  </from>
                  <to>
                    <xdr:col>47</xdr:col>
                    <xdr:colOff>190500</xdr:colOff>
                    <xdr:row>32</xdr:row>
                    <xdr:rowOff>228600</xdr:rowOff>
                  </to>
                </anchor>
              </controlPr>
            </control>
          </mc:Choice>
        </mc:AlternateContent>
        <mc:AlternateContent xmlns:mc="http://schemas.openxmlformats.org/markup-compatibility/2006">
          <mc:Choice Requires="x14">
            <control shapeId="65607" r:id="rId73" name="Spinner 71">
              <controlPr defaultSize="0" print="0" autoPict="0">
                <anchor moveWithCells="1" sizeWithCells="1">
                  <from>
                    <xdr:col>47</xdr:col>
                    <xdr:colOff>9525</xdr:colOff>
                    <xdr:row>33</xdr:row>
                    <xdr:rowOff>0</xdr:rowOff>
                  </from>
                  <to>
                    <xdr:col>47</xdr:col>
                    <xdr:colOff>190500</xdr:colOff>
                    <xdr:row>33</xdr:row>
                    <xdr:rowOff>228600</xdr:rowOff>
                  </to>
                </anchor>
              </controlPr>
            </control>
          </mc:Choice>
        </mc:AlternateContent>
        <mc:AlternateContent xmlns:mc="http://schemas.openxmlformats.org/markup-compatibility/2006">
          <mc:Choice Requires="x14">
            <control shapeId="65658" r:id="rId74" name="Check Box 122">
              <controlPr defaultSize="0" autoFill="0" autoLine="0" autoPict="0" altText="">
                <anchor moveWithCells="1">
                  <from>
                    <xdr:col>11</xdr:col>
                    <xdr:colOff>180975</xdr:colOff>
                    <xdr:row>41</xdr:row>
                    <xdr:rowOff>9525</xdr:rowOff>
                  </from>
                  <to>
                    <xdr:col>13</xdr:col>
                    <xdr:colOff>9525</xdr:colOff>
                    <xdr:row>42</xdr:row>
                    <xdr:rowOff>0</xdr:rowOff>
                  </to>
                </anchor>
              </controlPr>
            </control>
          </mc:Choice>
        </mc:AlternateContent>
        <mc:AlternateContent xmlns:mc="http://schemas.openxmlformats.org/markup-compatibility/2006">
          <mc:Choice Requires="x14">
            <control shapeId="65666" r:id="rId75" name="Check Box 130">
              <controlPr defaultSize="0" autoFill="0" autoLine="0" autoPict="0" altText="">
                <anchor moveWithCells="1">
                  <from>
                    <xdr:col>44</xdr:col>
                    <xdr:colOff>28575</xdr:colOff>
                    <xdr:row>52</xdr:row>
                    <xdr:rowOff>9525</xdr:rowOff>
                  </from>
                  <to>
                    <xdr:col>45</xdr:col>
                    <xdr:colOff>66675</xdr:colOff>
                    <xdr:row>53</xdr:row>
                    <xdr:rowOff>0</xdr:rowOff>
                  </to>
                </anchor>
              </controlPr>
            </control>
          </mc:Choice>
        </mc:AlternateContent>
        <mc:AlternateContent xmlns:mc="http://schemas.openxmlformats.org/markup-compatibility/2006">
          <mc:Choice Requires="x14">
            <control shapeId="65667" r:id="rId76" name="Check Box 131">
              <controlPr defaultSize="0" autoFill="0" autoLine="0" autoPict="0" altText="">
                <anchor moveWithCells="1">
                  <from>
                    <xdr:col>44</xdr:col>
                    <xdr:colOff>28575</xdr:colOff>
                    <xdr:row>53</xdr:row>
                    <xdr:rowOff>9525</xdr:rowOff>
                  </from>
                  <to>
                    <xdr:col>45</xdr:col>
                    <xdr:colOff>66675</xdr:colOff>
                    <xdr:row>54</xdr:row>
                    <xdr:rowOff>0</xdr:rowOff>
                  </to>
                </anchor>
              </controlPr>
            </control>
          </mc:Choice>
        </mc:AlternateContent>
        <mc:AlternateContent xmlns:mc="http://schemas.openxmlformats.org/markup-compatibility/2006">
          <mc:Choice Requires="x14">
            <control shapeId="65668" r:id="rId77" name="Check Box 132">
              <controlPr defaultSize="0" autoFill="0" autoLine="0" autoPict="0" altText="">
                <anchor moveWithCells="1">
                  <from>
                    <xdr:col>44</xdr:col>
                    <xdr:colOff>28575</xdr:colOff>
                    <xdr:row>54</xdr:row>
                    <xdr:rowOff>9525</xdr:rowOff>
                  </from>
                  <to>
                    <xdr:col>45</xdr:col>
                    <xdr:colOff>66675</xdr:colOff>
                    <xdr:row>55</xdr:row>
                    <xdr:rowOff>0</xdr:rowOff>
                  </to>
                </anchor>
              </controlPr>
            </control>
          </mc:Choice>
        </mc:AlternateContent>
        <mc:AlternateContent xmlns:mc="http://schemas.openxmlformats.org/markup-compatibility/2006">
          <mc:Choice Requires="x14">
            <control shapeId="65669" r:id="rId78" name="Check Box 133">
              <controlPr defaultSize="0" autoFill="0" autoLine="0" autoPict="0" altText="">
                <anchor moveWithCells="1">
                  <from>
                    <xdr:col>33</xdr:col>
                    <xdr:colOff>28575</xdr:colOff>
                    <xdr:row>52</xdr:row>
                    <xdr:rowOff>9525</xdr:rowOff>
                  </from>
                  <to>
                    <xdr:col>34</xdr:col>
                    <xdr:colOff>47625</xdr:colOff>
                    <xdr:row>53</xdr:row>
                    <xdr:rowOff>0</xdr:rowOff>
                  </to>
                </anchor>
              </controlPr>
            </control>
          </mc:Choice>
        </mc:AlternateContent>
        <mc:AlternateContent xmlns:mc="http://schemas.openxmlformats.org/markup-compatibility/2006">
          <mc:Choice Requires="x14">
            <control shapeId="65670" r:id="rId79" name="Check Box 134">
              <controlPr defaultSize="0" autoFill="0" autoLine="0" autoPict="0" altText="">
                <anchor moveWithCells="1">
                  <from>
                    <xdr:col>33</xdr:col>
                    <xdr:colOff>28575</xdr:colOff>
                    <xdr:row>53</xdr:row>
                    <xdr:rowOff>9525</xdr:rowOff>
                  </from>
                  <to>
                    <xdr:col>34</xdr:col>
                    <xdr:colOff>47625</xdr:colOff>
                    <xdr:row>54</xdr:row>
                    <xdr:rowOff>0</xdr:rowOff>
                  </to>
                </anchor>
              </controlPr>
            </control>
          </mc:Choice>
        </mc:AlternateContent>
        <mc:AlternateContent xmlns:mc="http://schemas.openxmlformats.org/markup-compatibility/2006">
          <mc:Choice Requires="x14">
            <control shapeId="65671" r:id="rId80" name="Check Box 135">
              <controlPr defaultSize="0" autoFill="0" autoLine="0" autoPict="0" altText="">
                <anchor moveWithCells="1">
                  <from>
                    <xdr:col>33</xdr:col>
                    <xdr:colOff>28575</xdr:colOff>
                    <xdr:row>54</xdr:row>
                    <xdr:rowOff>9525</xdr:rowOff>
                  </from>
                  <to>
                    <xdr:col>34</xdr:col>
                    <xdr:colOff>57150</xdr:colOff>
                    <xdr:row>55</xdr:row>
                    <xdr:rowOff>0</xdr:rowOff>
                  </to>
                </anchor>
              </controlPr>
            </control>
          </mc:Choice>
        </mc:AlternateContent>
        <mc:AlternateContent xmlns:mc="http://schemas.openxmlformats.org/markup-compatibility/2006">
          <mc:Choice Requires="x14">
            <control shapeId="65672" r:id="rId81" name="Check Box 136">
              <controlPr defaultSize="0" autoFill="0" autoLine="0" autoPict="0" altText="">
                <anchor moveWithCells="1">
                  <from>
                    <xdr:col>20</xdr:col>
                    <xdr:colOff>28575</xdr:colOff>
                    <xdr:row>53</xdr:row>
                    <xdr:rowOff>9525</xdr:rowOff>
                  </from>
                  <to>
                    <xdr:col>21</xdr:col>
                    <xdr:colOff>66675</xdr:colOff>
                    <xdr:row>54</xdr:row>
                    <xdr:rowOff>0</xdr:rowOff>
                  </to>
                </anchor>
              </controlPr>
            </control>
          </mc:Choice>
        </mc:AlternateContent>
        <mc:AlternateContent xmlns:mc="http://schemas.openxmlformats.org/markup-compatibility/2006">
          <mc:Choice Requires="x14">
            <control shapeId="65673" r:id="rId82" name="Check Box 137">
              <controlPr defaultSize="0" autoFill="0" autoLine="0" autoPict="0" altText="">
                <anchor moveWithCells="1">
                  <from>
                    <xdr:col>20</xdr:col>
                    <xdr:colOff>28575</xdr:colOff>
                    <xdr:row>54</xdr:row>
                    <xdr:rowOff>9525</xdr:rowOff>
                  </from>
                  <to>
                    <xdr:col>21</xdr:col>
                    <xdr:colOff>66675</xdr:colOff>
                    <xdr:row>55</xdr:row>
                    <xdr:rowOff>0</xdr:rowOff>
                  </to>
                </anchor>
              </controlPr>
            </control>
          </mc:Choice>
        </mc:AlternateContent>
        <mc:AlternateContent xmlns:mc="http://schemas.openxmlformats.org/markup-compatibility/2006">
          <mc:Choice Requires="x14">
            <control shapeId="65674" r:id="rId83" name="Check Box 138">
              <controlPr defaultSize="0" autoFill="0" autoLine="0" autoPict="0" altText="">
                <anchor moveWithCells="1">
                  <from>
                    <xdr:col>20</xdr:col>
                    <xdr:colOff>28575</xdr:colOff>
                    <xdr:row>55</xdr:row>
                    <xdr:rowOff>9525</xdr:rowOff>
                  </from>
                  <to>
                    <xdr:col>21</xdr:col>
                    <xdr:colOff>66675</xdr:colOff>
                    <xdr:row>56</xdr:row>
                    <xdr:rowOff>0</xdr:rowOff>
                  </to>
                </anchor>
              </controlPr>
            </control>
          </mc:Choice>
        </mc:AlternateContent>
        <mc:AlternateContent xmlns:mc="http://schemas.openxmlformats.org/markup-compatibility/2006">
          <mc:Choice Requires="x14">
            <control shapeId="65790" r:id="rId84" name="Spinner 254">
              <controlPr defaultSize="0" print="0" autoPict="0">
                <anchor moveWithCells="1" sizeWithCells="1">
                  <from>
                    <xdr:col>22</xdr:col>
                    <xdr:colOff>161925</xdr:colOff>
                    <xdr:row>24</xdr:row>
                    <xdr:rowOff>0</xdr:rowOff>
                  </from>
                  <to>
                    <xdr:col>23</xdr:col>
                    <xdr:colOff>142875</xdr:colOff>
                    <xdr:row>24</xdr:row>
                    <xdr:rowOff>238125</xdr:rowOff>
                  </to>
                </anchor>
              </controlPr>
            </control>
          </mc:Choice>
        </mc:AlternateContent>
        <mc:AlternateContent xmlns:mc="http://schemas.openxmlformats.org/markup-compatibility/2006">
          <mc:Choice Requires="x14">
            <control shapeId="132837" r:id="rId85" name="Label 3813">
              <controlPr defaultSize="0" print="0" autoFill="0" autoLine="0" autoPict="0" altText="">
                <anchor moveWithCells="1" sizeWithCells="1">
                  <from>
                    <xdr:col>0</xdr:col>
                    <xdr:colOff>0</xdr:colOff>
                    <xdr:row>10</xdr:row>
                    <xdr:rowOff>228600</xdr:rowOff>
                  </from>
                  <to>
                    <xdr:col>1</xdr:col>
                    <xdr:colOff>190500</xdr:colOff>
                    <xdr:row>12</xdr:row>
                    <xdr:rowOff>0</xdr:rowOff>
                  </to>
                </anchor>
              </controlPr>
            </control>
          </mc:Choice>
        </mc:AlternateContent>
        <mc:AlternateContent xmlns:mc="http://schemas.openxmlformats.org/markup-compatibility/2006">
          <mc:Choice Requires="x14">
            <control shapeId="132838" r:id="rId86" name="Label 3814">
              <controlPr defaultSize="0" print="0" autoFill="0" autoLine="0" autoPict="0" altText="">
                <anchor moveWithCells="1" sizeWithCells="1">
                  <from>
                    <xdr:col>48</xdr:col>
                    <xdr:colOff>123825</xdr:colOff>
                    <xdr:row>11</xdr:row>
                    <xdr:rowOff>0</xdr:rowOff>
                  </from>
                  <to>
                    <xdr:col>51</xdr:col>
                    <xdr:colOff>0</xdr:colOff>
                    <xdr:row>12</xdr:row>
                    <xdr:rowOff>28575</xdr:rowOff>
                  </to>
                </anchor>
              </controlPr>
            </control>
          </mc:Choice>
        </mc:AlternateContent>
        <mc:AlternateContent xmlns:mc="http://schemas.openxmlformats.org/markup-compatibility/2006">
          <mc:Choice Requires="x14">
            <control shapeId="132839" r:id="rId87" name="Label 3815">
              <controlPr defaultSize="0" print="0" autoFill="0" autoLine="0" autoPict="0" altText="">
                <anchor moveWithCells="1" sizeWithCells="1">
                  <from>
                    <xdr:col>0</xdr:col>
                    <xdr:colOff>0</xdr:colOff>
                    <xdr:row>39</xdr:row>
                    <xdr:rowOff>200025</xdr:rowOff>
                  </from>
                  <to>
                    <xdr:col>1</xdr:col>
                    <xdr:colOff>190500</xdr:colOff>
                    <xdr:row>40</xdr:row>
                    <xdr:rowOff>219075</xdr:rowOff>
                  </to>
                </anchor>
              </controlPr>
            </control>
          </mc:Choice>
        </mc:AlternateContent>
      </controls>
    </mc:Choice>
  </mc:AlternateContent>
  <extLst>
    <ext xmlns:x14="http://schemas.microsoft.com/office/spreadsheetml/2009/9/main" uri="{78C0D931-6437-407d-A8EE-F0AAD7539E65}">
      <x14:conditionalFormattings>
        <x14:conditionalFormatting xmlns:xm="http://schemas.microsoft.com/office/excel/2006/main">
          <x14:cfRule type="expression" priority="1" id="{23FC4116-B799-47EC-9400-2F738FE50560}">
            <xm:f>AND(COUNTIF($AH$13:$AH$40,"Martial_Artist")=0,Values!$S$37&gt;0)</xm:f>
            <x14:dxf>
              <fill>
                <patternFill>
                  <bgColor rgb="FFFF0000"/>
                </patternFill>
              </fill>
            </x14:dxf>
          </x14:cfRule>
          <xm:sqref>J25:L25</xm:sqref>
        </x14:conditionalFormatting>
      </x14:conditionalFormattings>
    </ext>
    <ext xmlns:x14="http://schemas.microsoft.com/office/spreadsheetml/2009/9/main" uri="{CCE6A557-97BC-4b89-ADB6-D9C93CAAB3DF}">
      <x14:dataValidations xmlns:xm="http://schemas.microsoft.com/office/excel/2006/main" xWindow="461" yWindow="619" count="10">
        <x14:dataValidation type="list" allowBlank="1" showInputMessage="1" xr:uid="{00000000-0002-0000-0300-000004000000}">
          <x14:formula1>
            <xm:f>INDIRECT("CharmAb!C"&amp;MATCH(B112,CharmAb!B:B,0)&amp;":C"&amp;(MATCH(B112,CharmAb!B:B,0)+COUNTIF(CharmAb!B:B,B112)-1))</xm:f>
          </x14:formula1>
          <xm:sqref>H170:L170 H172:L172 H182:L182 H184:L184 H174:L174 H176:L176 H178:L178 H180:L180 H132:L132 H134:L134 H144:L144 H146:L146 H136:L136 H150:L150 H210:L210 H112:L112 H138:L138 H140:L140 H152:L152 H162:L162 H164:L164 H114:L114 H124:L124 H126:L126 H142:L142 H148:L148 H154:L154 H156:L156 H116:L116 H118:L118 H120:L120 H122:L122 H128:L128 H130:L130 H158:L158 H160:L160 H166:L166 H168:L168 H186:L186 H188:L188 H190:L190 H192:L192 H202:L202 H204:L204 H194:L194 H196:L196 H198:L198 H200:L200 H206:L206 H208:L208</xm:sqref>
        </x14:dataValidation>
        <x14:dataValidation type="list" errorStyle="warning" allowBlank="1" showInputMessage="1" showErrorMessage="1" xr:uid="{00000000-0002-0000-0300-000007000000}">
          <x14:formula1>
            <xm:f>Intimacies!$A$1:$A$2</xm:f>
          </x14:formula1>
          <xm:sqref>N63:R87 AM63:AQ87</xm:sqref>
        </x14:dataValidation>
        <x14:dataValidation type="list" allowBlank="1" showInputMessage="1" xr:uid="{00000000-0002-0000-0300-000008000000}">
          <x14:formula1>
            <xm:f>Armor!$B$2:$B$7</xm:f>
          </x14:formula1>
          <xm:sqref>I54:J56</xm:sqref>
        </x14:dataValidation>
        <x14:dataValidation type="list" errorStyle="warning" allowBlank="1" showInputMessage="1" showErrorMessage="1" xr:uid="{00000000-0002-0000-0300-000009000000}">
          <x14:formula1>
            <xm:f>Castes!$B$3:$B$9</xm:f>
          </x14:formula1>
          <xm:sqref>S4:AC4</xm:sqref>
        </x14:dataValidation>
        <x14:dataValidation type="list" allowBlank="1" showInputMessage="1" showErrorMessage="1" xr:uid="{00000000-0002-0000-0300-00000A000000}">
          <x14:formula1>
            <xm:f>Values!$B$25:$B$58</xm:f>
          </x14:formula1>
          <xm:sqref>P13:T22</xm:sqref>
        </x14:dataValidation>
        <x14:dataValidation type="list" errorStyle="information" allowBlank="1" showErrorMessage="1" errorTitle="nope" promptTitle="Choose Weapon Type" prompt="M/A = Mortal/Artefact_x000a_M/T/A = Melee/Thrown/Archery_x000a_L/M/H = Light/Melee/Heavy" xr:uid="{00000000-0002-0000-0300-00000B000000}">
          <x14:formula1>
            <xm:f>Weapons!$B$2:$B$98</xm:f>
          </x14:formula1>
          <xm:sqref>N42:Q49</xm:sqref>
        </x14:dataValidation>
        <x14:dataValidation type="list" allowBlank="1" showInputMessage="1" promptTitle="Ability used for value calcul" prompt="The &quot;0&quot; at the end of Martial Abilities can be changed by entering an additionnal ability on &quot;Creation_1&quot;" xr:uid="{00000000-0002-0000-0300-00000C000000}">
          <x14:formula1>
            <xm:f>Weapons!$A$102:$A$112</xm:f>
          </x14:formula1>
          <xm:sqref>X42:AA49</xm:sqref>
        </x14:dataValidation>
        <x14:dataValidation type="list" allowBlank="1" showInputMessage="1" showErrorMessage="1" promptTitle="Attribute used for value calcul" prompt="If empty, default attribute used is DEX" xr:uid="{00000000-0002-0000-0300-00000D000000}">
          <x14:formula1>
            <xm:f>Weapons!$A$142:$A$150</xm:f>
          </x14:formula1>
          <xm:sqref>AB42:AC49</xm:sqref>
        </x14:dataValidation>
        <x14:dataValidation type="list" errorStyle="warning" allowBlank="1" showInputMessage="1" showErrorMessage="1" xr:uid="{00000000-0002-0000-0300-00000E000000}">
          <x14:formula1>
            <xm:f>Intimacies!$D$3:$D$5</xm:f>
          </x14:formula1>
          <xm:sqref>T63:Y87 AS63:AX87</xm:sqref>
        </x14:dataValidation>
        <x14:dataValidation type="list" allowBlank="1" showInputMessage="1" xr:uid="{00000000-0002-0000-0300-000005000000}">
          <x14:formula1>
            <xm:f>INDIRECT("CharmPrerequisites!M"&amp;MATCH(H112,CharmPrerequisites!A:A,0)&amp;":M"&amp;(MATCH(H112,CharmPrerequisites!A:A,0)+COUNTIF(CharmPrerequisites!A:A,H112)-1))</xm:f>
          </x14:formula1>
          <xm:sqref>N174:AA174 N172:AA172 N186:AA186 N184:AA184 N170:AA170 N176:AA176 N178:AA178 N180:AA180 N136:AA136 N134:AA134 N148:AA148 N146:AA146 N132:AA132 N154:AA154 N210:AA210 N116:AA116 N138:AA138 N140:AA140 N152:AA152 N166:AA166 N164:AA164 N114:AA114 N128:AA128 N126:AA126 N142:AA142 N144:AA144 N150:AA150 N156:AA156 N112:AA112 N118:AA118 N120:AA120 N122:AA122 N124:AA124 N130:AA130 N158:AA158 N160:AA160 N162:AA162 N168:AA168 N182:AA182 N188:AA188 N194:AA194 N192:AA192 N206:AA206 N204:AA204 N190:AA190 N196:AA196 N198:AA198 N200:AA200 N202:AA202 N208:AA208</xm:sqref>
        </x14:dataValidation>
      </x14:dataValidations>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Feuil3"/>
  <dimension ref="A1:AH325"/>
  <sheetViews>
    <sheetView workbookViewId="0">
      <selection activeCell="D1" sqref="D1:F1"/>
    </sheetView>
  </sheetViews>
  <sheetFormatPr baseColWidth="10" defaultColWidth="10.625" defaultRowHeight="14.25"/>
  <cols>
    <col min="1" max="1" width="13.625" style="129" customWidth="1"/>
    <col min="2" max="2" width="7.875" style="129" customWidth="1"/>
    <col min="3" max="3" width="2.875" style="130" customWidth="1"/>
    <col min="4" max="4" width="7.375" style="130" bestFit="1" customWidth="1"/>
    <col min="5" max="5" width="6.75" style="130" bestFit="1" customWidth="1"/>
    <col min="6" max="6" width="9.625" style="130" bestFit="1" customWidth="1"/>
    <col min="7" max="7" width="8.375" style="130" bestFit="1" customWidth="1"/>
    <col min="8" max="8" width="6.75" style="130" bestFit="1" customWidth="1"/>
    <col min="9" max="9" width="9.625" style="130" bestFit="1" customWidth="1"/>
    <col min="10" max="10" width="5.875" style="130" bestFit="1" customWidth="1"/>
    <col min="11" max="11" width="6.75" style="130" bestFit="1" customWidth="1"/>
    <col min="12" max="12" width="9.625" style="130" bestFit="1" customWidth="1"/>
    <col min="13" max="14" width="4.625" style="152" customWidth="1"/>
    <col min="15" max="15" width="5.5" style="152" bestFit="1" customWidth="1"/>
    <col min="16" max="16" width="5.75" style="130" customWidth="1"/>
    <col min="17" max="17" width="4.625" style="130" customWidth="1"/>
    <col min="18" max="18" width="5.5" style="130" bestFit="1" customWidth="1"/>
    <col min="19" max="19" width="6.125" style="130" customWidth="1"/>
    <col min="20" max="20" width="4.625" style="130" customWidth="1"/>
    <col min="21" max="21" width="5.5" style="130" bestFit="1" customWidth="1"/>
    <col min="22" max="22" width="11" style="129" customWidth="1"/>
    <col min="23" max="26" width="4.625" style="129" customWidth="1"/>
    <col min="27" max="27" width="6.625" style="129" customWidth="1"/>
    <col min="28" max="28" width="7.125" style="129" bestFit="1" customWidth="1"/>
    <col min="29" max="16384" width="10.625" style="129"/>
  </cols>
  <sheetData>
    <row r="1" spans="1:34">
      <c r="A1" s="128" t="s">
        <v>3433</v>
      </c>
      <c r="D1" s="542" t="s">
        <v>3227</v>
      </c>
      <c r="E1" s="542"/>
      <c r="F1" s="542"/>
      <c r="G1" s="543" t="s">
        <v>3266</v>
      </c>
      <c r="H1" s="543"/>
      <c r="I1" s="543"/>
      <c r="J1" s="545" t="s">
        <v>3268</v>
      </c>
      <c r="K1" s="545"/>
      <c r="L1" s="545"/>
      <c r="M1" s="546" t="s">
        <v>3269</v>
      </c>
      <c r="N1" s="546"/>
      <c r="O1" s="546"/>
      <c r="P1" s="544" t="s">
        <v>3267</v>
      </c>
      <c r="Q1" s="544"/>
      <c r="R1" s="544"/>
      <c r="S1" s="540" t="s">
        <v>3272</v>
      </c>
      <c r="T1" s="540"/>
      <c r="U1" s="540"/>
      <c r="W1" s="540" t="s">
        <v>3270</v>
      </c>
      <c r="X1" s="540"/>
      <c r="Y1" s="540"/>
      <c r="Z1" s="540"/>
      <c r="AA1" s="540" t="s">
        <v>3271</v>
      </c>
      <c r="AB1" s="540"/>
    </row>
    <row r="2" spans="1:34" ht="128.25">
      <c r="A2" s="131" t="s">
        <v>87</v>
      </c>
      <c r="B2" s="132" t="s">
        <v>88</v>
      </c>
      <c r="C2" s="132" t="s">
        <v>89</v>
      </c>
      <c r="D2" s="133" t="s">
        <v>3263</v>
      </c>
      <c r="E2" s="133" t="s">
        <v>3264</v>
      </c>
      <c r="F2" s="133" t="s">
        <v>3265</v>
      </c>
      <c r="G2" s="134" t="s">
        <v>3263</v>
      </c>
      <c r="H2" s="134" t="s">
        <v>3264</v>
      </c>
      <c r="I2" s="134" t="s">
        <v>3265</v>
      </c>
      <c r="J2" s="135" t="s">
        <v>3263</v>
      </c>
      <c r="K2" s="135" t="s">
        <v>3264</v>
      </c>
      <c r="L2" s="135" t="s">
        <v>3265</v>
      </c>
      <c r="M2" s="136" t="s">
        <v>3263</v>
      </c>
      <c r="N2" s="136" t="s">
        <v>3264</v>
      </c>
      <c r="O2" s="136" t="s">
        <v>3265</v>
      </c>
      <c r="P2" s="137" t="s">
        <v>3263</v>
      </c>
      <c r="Q2" s="137" t="s">
        <v>3264</v>
      </c>
      <c r="R2" s="137" t="s">
        <v>3265</v>
      </c>
      <c r="S2" s="135" t="s">
        <v>3263</v>
      </c>
      <c r="T2" s="135" t="s">
        <v>3264</v>
      </c>
      <c r="U2" s="135" t="s">
        <v>3265</v>
      </c>
      <c r="W2" s="134" t="s">
        <v>3225</v>
      </c>
      <c r="X2" s="541" t="s">
        <v>3226</v>
      </c>
      <c r="Y2" s="541"/>
      <c r="Z2" s="541"/>
      <c r="AA2" s="138" t="s">
        <v>3242</v>
      </c>
      <c r="AB2" s="139" t="s">
        <v>3243</v>
      </c>
    </row>
    <row r="3" spans="1:34" ht="28.5">
      <c r="A3" s="140" t="s">
        <v>90</v>
      </c>
      <c r="B3" s="140"/>
      <c r="C3" s="141"/>
      <c r="D3" s="142"/>
      <c r="E3" s="142"/>
      <c r="F3" s="142"/>
      <c r="G3" s="143"/>
      <c r="H3" s="143"/>
      <c r="I3" s="143"/>
      <c r="J3" s="144"/>
      <c r="K3" s="144"/>
      <c r="L3" s="144"/>
      <c r="M3" s="145"/>
      <c r="N3" s="145"/>
      <c r="O3" s="145"/>
      <c r="P3" s="146"/>
      <c r="Q3" s="146"/>
      <c r="R3" s="146"/>
      <c r="S3" s="144"/>
      <c r="T3" s="144"/>
      <c r="U3" s="144"/>
      <c r="W3" s="147"/>
      <c r="X3" s="148" t="s">
        <v>3240</v>
      </c>
      <c r="Y3" s="149" t="s">
        <v>3235</v>
      </c>
      <c r="Z3" s="150" t="s">
        <v>3236</v>
      </c>
      <c r="AA3" s="151" t="str">
        <f>IFERROR(W23+W59+W71+W95+W97+W240,"Some attributes points needs to be adjusted in creation_1 before you can proceed &gt;:-(")</f>
        <v>Some attributes points needs to be adjusted in creation_1 before you can proceed &gt;:-(</v>
      </c>
      <c r="AB3" s="217">
        <f>Z23+Z59+Z71+Z95+Z97+Z240+SUM(Creation_XP!BG14:BI31)</f>
        <v>0</v>
      </c>
    </row>
    <row r="4" spans="1:34">
      <c r="A4" s="129" t="s">
        <v>80</v>
      </c>
      <c r="D4" s="142">
        <f>Creation_1!S2</f>
        <v>0</v>
      </c>
      <c r="E4" s="142"/>
      <c r="F4" s="142"/>
      <c r="G4" s="143"/>
      <c r="H4" s="143"/>
      <c r="I4" s="143"/>
      <c r="J4" s="144">
        <f>D4</f>
        <v>0</v>
      </c>
      <c r="K4" s="144"/>
      <c r="L4" s="144"/>
      <c r="M4" s="145"/>
      <c r="N4" s="145"/>
      <c r="O4" s="145"/>
      <c r="P4" s="146"/>
      <c r="Q4" s="146"/>
      <c r="R4" s="146"/>
      <c r="S4" s="144">
        <f t="shared" ref="S4:S8" si="0">IF(ISBLANK(M4),J4,M4)</f>
        <v>0</v>
      </c>
      <c r="T4" s="144"/>
      <c r="U4" s="144"/>
      <c r="W4" s="147"/>
      <c r="X4" s="149"/>
      <c r="Y4" s="149"/>
      <c r="Z4" s="150"/>
    </row>
    <row r="5" spans="1:34">
      <c r="A5" s="129" t="s">
        <v>91</v>
      </c>
      <c r="D5" s="142">
        <f>Creation_1!S3</f>
        <v>0</v>
      </c>
      <c r="E5" s="142"/>
      <c r="F5" s="142"/>
      <c r="G5" s="143"/>
      <c r="H5" s="143"/>
      <c r="I5" s="143"/>
      <c r="J5" s="144">
        <f>D5</f>
        <v>0</v>
      </c>
      <c r="K5" s="144"/>
      <c r="L5" s="144"/>
      <c r="M5" s="145"/>
      <c r="N5" s="145"/>
      <c r="O5" s="145"/>
      <c r="P5" s="146"/>
      <c r="Q5" s="146"/>
      <c r="R5" s="146"/>
      <c r="S5" s="144">
        <f t="shared" si="0"/>
        <v>0</v>
      </c>
      <c r="T5" s="144"/>
      <c r="U5" s="144"/>
      <c r="W5" s="147"/>
      <c r="X5" s="149"/>
      <c r="Y5" s="149"/>
      <c r="Z5" s="150"/>
    </row>
    <row r="6" spans="1:34">
      <c r="A6" s="129" t="s">
        <v>92</v>
      </c>
      <c r="D6" s="142">
        <f>Creation_1!S4</f>
        <v>0</v>
      </c>
      <c r="E6" s="142"/>
      <c r="F6" s="142"/>
      <c r="G6" s="143"/>
      <c r="H6" s="143"/>
      <c r="I6" s="143"/>
      <c r="J6" s="144">
        <f>D6</f>
        <v>0</v>
      </c>
      <c r="K6" s="144"/>
      <c r="L6" s="144"/>
      <c r="M6" s="145"/>
      <c r="N6" s="145"/>
      <c r="O6" s="145"/>
      <c r="P6" s="146"/>
      <c r="Q6" s="146"/>
      <c r="R6" s="146"/>
      <c r="S6" s="144">
        <f>IF(ISBLANK(M6),J6,M6)</f>
        <v>0</v>
      </c>
      <c r="T6" s="144"/>
      <c r="U6" s="144"/>
      <c r="W6" s="147"/>
      <c r="X6" s="149"/>
      <c r="Y6" s="149"/>
      <c r="Z6" s="150"/>
      <c r="AB6" s="18" t="s">
        <v>3910</v>
      </c>
    </row>
    <row r="7" spans="1:34">
      <c r="A7" s="129" t="s">
        <v>94</v>
      </c>
      <c r="D7" s="142">
        <f>Creation_1!AH2</f>
        <v>0</v>
      </c>
      <c r="E7" s="142"/>
      <c r="F7" s="142"/>
      <c r="G7" s="143"/>
      <c r="H7" s="143"/>
      <c r="I7" s="143"/>
      <c r="J7" s="144">
        <f>D7</f>
        <v>0</v>
      </c>
      <c r="K7" s="144"/>
      <c r="L7" s="144"/>
      <c r="M7" s="145"/>
      <c r="N7" s="145"/>
      <c r="O7" s="145"/>
      <c r="P7" s="146"/>
      <c r="Q7" s="146"/>
      <c r="R7" s="146"/>
      <c r="S7" s="144">
        <f t="shared" si="0"/>
        <v>0</v>
      </c>
      <c r="T7" s="144"/>
      <c r="U7" s="144"/>
      <c r="W7" s="147"/>
      <c r="X7" s="149"/>
      <c r="Y7" s="149"/>
      <c r="Z7" s="150"/>
      <c r="AB7" s="129">
        <f>CharmPrerequisites!Q1</f>
        <v>0</v>
      </c>
    </row>
    <row r="8" spans="1:34">
      <c r="A8" s="129" t="s">
        <v>95</v>
      </c>
      <c r="D8" s="142">
        <f>Creation_1!AG3</f>
        <v>0</v>
      </c>
      <c r="E8" s="142"/>
      <c r="F8" s="142"/>
      <c r="G8" s="143"/>
      <c r="H8" s="143"/>
      <c r="I8" s="143"/>
      <c r="J8" s="144">
        <f>D8</f>
        <v>0</v>
      </c>
      <c r="K8" s="144"/>
      <c r="L8" s="144"/>
      <c r="M8" s="145"/>
      <c r="N8" s="145"/>
      <c r="O8" s="145"/>
      <c r="P8" s="146"/>
      <c r="Q8" s="146"/>
      <c r="R8" s="146"/>
      <c r="S8" s="144">
        <f t="shared" si="0"/>
        <v>0</v>
      </c>
      <c r="T8" s="144"/>
      <c r="U8" s="144"/>
      <c r="W8" s="147"/>
      <c r="X8" s="149"/>
      <c r="Y8" s="149"/>
      <c r="Z8" s="150"/>
    </row>
    <row r="9" spans="1:34">
      <c r="A9" s="18"/>
      <c r="W9" s="147"/>
      <c r="X9" s="149"/>
      <c r="Y9" s="149"/>
      <c r="Z9" s="150"/>
    </row>
    <row r="10" spans="1:34">
      <c r="A10" s="140" t="s">
        <v>96</v>
      </c>
      <c r="B10" s="140"/>
      <c r="C10" s="141"/>
      <c r="D10" s="142"/>
      <c r="E10" s="142" t="s">
        <v>3275</v>
      </c>
      <c r="F10" s="220" t="s">
        <v>3274</v>
      </c>
      <c r="G10" s="143"/>
      <c r="H10" s="143"/>
      <c r="I10" s="143"/>
      <c r="J10" s="144"/>
      <c r="K10" s="144" t="str">
        <f>E10</f>
        <v>Grade</v>
      </c>
      <c r="L10" s="221" t="s">
        <v>3274</v>
      </c>
      <c r="M10" s="145"/>
      <c r="N10" s="145"/>
      <c r="O10" s="145"/>
      <c r="P10" s="146"/>
      <c r="Q10" s="146"/>
      <c r="R10" s="146"/>
      <c r="S10" s="144"/>
      <c r="T10" s="153" t="str">
        <f>IF(ISBLANK(N10),K10,N10)</f>
        <v>Grade</v>
      </c>
      <c r="U10" s="221" t="s">
        <v>3274</v>
      </c>
      <c r="W10" s="147"/>
      <c r="X10" s="149"/>
      <c r="Y10" s="149"/>
      <c r="Z10" s="150"/>
      <c r="AB10" s="18"/>
    </row>
    <row r="11" spans="1:34">
      <c r="A11" s="129" t="s">
        <v>97</v>
      </c>
      <c r="B11" s="129" t="s">
        <v>3455</v>
      </c>
      <c r="C11" s="130">
        <f>1+$AB$7</f>
        <v>1</v>
      </c>
      <c r="D11" s="142">
        <v>0</v>
      </c>
      <c r="E11" s="142"/>
      <c r="F11" s="142">
        <f>Creation_1!F7</f>
        <v>0</v>
      </c>
      <c r="G11" s="143">
        <v>0</v>
      </c>
      <c r="H11" s="143"/>
      <c r="I11" s="143"/>
      <c r="J11" s="144">
        <f>SUM(C11,D11,G11)</f>
        <v>1</v>
      </c>
      <c r="K11" s="144"/>
      <c r="L11" s="144">
        <f>F11</f>
        <v>0</v>
      </c>
      <c r="M11" s="145"/>
      <c r="N11" s="145"/>
      <c r="O11" s="145"/>
      <c r="P11" s="154">
        <v>0</v>
      </c>
      <c r="Q11" s="146"/>
      <c r="R11" s="146"/>
      <c r="S11" s="153">
        <f>IF(ISBLANK(M11),J11,M11)+P11</f>
        <v>1</v>
      </c>
      <c r="T11" s="144"/>
      <c r="U11" s="153">
        <f>IF(ISBLANK(O11),L11,O11)</f>
        <v>0</v>
      </c>
      <c r="W11" s="235" t="e">
        <f>IF("Lunar"=VLOOKUP($D$6,Castes!$B$2:$C$25,2,FALSE),G11*(3*OR(F11="F",F11="C")+4*($D$6="Casteless")+5*(F11=0)*($D$6&lt;&gt;"Casteless")),G11*(IF($E$14=Crea_Pts_xp!$A$4,3,4)))</f>
        <v>#N/A</v>
      </c>
      <c r="X11" s="149">
        <f>IF(ISBLANK(M11),J11,M11)</f>
        <v>1</v>
      </c>
      <c r="Y11" s="149">
        <f>S11</f>
        <v>1</v>
      </c>
      <c r="Z11" s="237">
        <f>IF(U11=0,4,3)*0.5*(Y11*(Y11-1)-X11*(X11-1))-(Y11-X11)*($S$6="Casteless")</f>
        <v>0</v>
      </c>
      <c r="AA11" s="18"/>
      <c r="AB11" s="18"/>
      <c r="AD11" s="18"/>
      <c r="AF11" s="18"/>
      <c r="AH11" s="18"/>
    </row>
    <row r="12" spans="1:34">
      <c r="A12" s="129" t="s">
        <v>98</v>
      </c>
      <c r="B12" s="129" t="s">
        <v>3454</v>
      </c>
      <c r="C12" s="263">
        <f t="shared" ref="C12:C13" si="1">1+$AB$7</f>
        <v>1</v>
      </c>
      <c r="D12" s="142">
        <v>0</v>
      </c>
      <c r="E12" s="142"/>
      <c r="F12" s="142">
        <f>Creation_1!F8</f>
        <v>0</v>
      </c>
      <c r="G12" s="143">
        <v>0</v>
      </c>
      <c r="H12" s="143"/>
      <c r="I12" s="143"/>
      <c r="J12" s="144">
        <f>SUM(C12,D12,G12)</f>
        <v>1</v>
      </c>
      <c r="K12" s="144"/>
      <c r="L12" s="144">
        <f>F12</f>
        <v>0</v>
      </c>
      <c r="M12" s="145"/>
      <c r="N12" s="145"/>
      <c r="O12" s="145"/>
      <c r="P12" s="146">
        <v>0</v>
      </c>
      <c r="Q12" s="146"/>
      <c r="R12" s="146"/>
      <c r="S12" s="144">
        <f>IF(ISBLANK(M12),J12,M12)+P12</f>
        <v>1</v>
      </c>
      <c r="T12" s="144"/>
      <c r="U12" s="153">
        <f>IF(ISBLANK(O12),L12,O12)</f>
        <v>0</v>
      </c>
      <c r="W12" s="235" t="e">
        <f>IF("Lunar"=VLOOKUP($D$6,Castes!$B$2:$C$25,2,FALSE),G12*(3*OR(F12="F",F12="C")+4*($D$6="Casteless")+5*(F12=0)*($D$6&lt;&gt;"Casteless")),G12*(IF($E$14=Crea_Pts_xp!$A$4,3,4)))</f>
        <v>#N/A</v>
      </c>
      <c r="X12" s="149">
        <f>IF(ISBLANK(M12),J12,M12)</f>
        <v>1</v>
      </c>
      <c r="Y12" s="149">
        <f>S12</f>
        <v>1</v>
      </c>
      <c r="Z12" s="237">
        <f t="shared" ref="Z12:Z13" si="2">IF(U12=0,4,3)*0.5*(Y12*(Y12-1)-X12*(X12-1))-(Y12-X12)*($S$6="Casteless")</f>
        <v>0</v>
      </c>
      <c r="AB12" s="18"/>
    </row>
    <row r="13" spans="1:34">
      <c r="A13" s="129" t="s">
        <v>99</v>
      </c>
      <c r="B13" s="129" t="s">
        <v>3082</v>
      </c>
      <c r="C13" s="263">
        <f t="shared" si="1"/>
        <v>1</v>
      </c>
      <c r="D13" s="142">
        <v>0</v>
      </c>
      <c r="E13" s="142"/>
      <c r="F13" s="142">
        <f>Creation_1!F9</f>
        <v>0</v>
      </c>
      <c r="G13" s="143">
        <v>0</v>
      </c>
      <c r="H13" s="143"/>
      <c r="I13" s="143"/>
      <c r="J13" s="144">
        <f>SUM(C13,D13,G13)</f>
        <v>1</v>
      </c>
      <c r="K13" s="144"/>
      <c r="L13" s="144">
        <f>F13</f>
        <v>0</v>
      </c>
      <c r="M13" s="145"/>
      <c r="N13" s="145"/>
      <c r="O13" s="145"/>
      <c r="P13" s="146">
        <v>0</v>
      </c>
      <c r="Q13" s="146"/>
      <c r="R13" s="146"/>
      <c r="S13" s="144">
        <f>IF(ISBLANK(M13),J13,M13)+P13</f>
        <v>1</v>
      </c>
      <c r="T13" s="144"/>
      <c r="U13" s="153">
        <f>IF(ISBLANK(O13),L13,O13)</f>
        <v>0</v>
      </c>
      <c r="W13" s="235" t="e">
        <f>IF("Lunar"=VLOOKUP($D$6,Castes!$B$2:$C$25,2,FALSE),G13*(3*OR(F13="F",F13="C")+4*($D$6="Casteless")+5*(F13=0)*($D$6&lt;&gt;"Casteless")),G13*(IF($E$14=Crea_Pts_xp!$A$4,3,4)))</f>
        <v>#N/A</v>
      </c>
      <c r="X13" s="149">
        <f>IF(ISBLANK(M13),J13,M13)</f>
        <v>1</v>
      </c>
      <c r="Y13" s="149">
        <f>S13</f>
        <v>1</v>
      </c>
      <c r="Z13" s="237">
        <f t="shared" si="2"/>
        <v>0</v>
      </c>
      <c r="AB13" s="18"/>
    </row>
    <row r="14" spans="1:34">
      <c r="A14" s="155" t="s">
        <v>1421</v>
      </c>
      <c r="B14" s="155"/>
      <c r="C14" s="144"/>
      <c r="D14" s="156">
        <f>SUM(D11:D13)</f>
        <v>0</v>
      </c>
      <c r="E14" s="157" t="e">
        <f>VLOOKUP(A14,Creation_1!$BI$10:$ZZ$12,52,FALSE)</f>
        <v>#N/A</v>
      </c>
      <c r="F14" s="142"/>
      <c r="G14" s="158">
        <f>SUM(G11:G13)</f>
        <v>0</v>
      </c>
      <c r="H14" s="143"/>
      <c r="I14" s="143"/>
      <c r="J14" s="144"/>
      <c r="K14" s="159" t="e">
        <f>E14</f>
        <v>#N/A</v>
      </c>
      <c r="L14" s="144"/>
      <c r="M14" s="145"/>
      <c r="N14" s="145"/>
      <c r="O14" s="145"/>
      <c r="P14" s="146"/>
      <c r="Q14" s="146"/>
      <c r="R14" s="146"/>
      <c r="S14" s="144"/>
      <c r="T14" s="160" t="e">
        <f>IF(ISBLANK(N14),K14,N14)</f>
        <v>#N/A</v>
      </c>
      <c r="U14" s="144"/>
      <c r="W14" s="236"/>
      <c r="X14" s="149"/>
      <c r="Y14" s="149"/>
      <c r="Z14" s="237"/>
      <c r="AB14" s="18"/>
    </row>
    <row r="15" spans="1:34">
      <c r="A15" s="129" t="s">
        <v>100</v>
      </c>
      <c r="B15" s="129" t="s">
        <v>3456</v>
      </c>
      <c r="C15" s="263">
        <f t="shared" ref="C15:C17" si="3">1+$AB$7</f>
        <v>1</v>
      </c>
      <c r="D15" s="142">
        <v>0</v>
      </c>
      <c r="E15" s="161"/>
      <c r="F15" s="142">
        <f>Creation_1!V7</f>
        <v>0</v>
      </c>
      <c r="G15" s="143">
        <v>0</v>
      </c>
      <c r="H15" s="143"/>
      <c r="I15" s="143"/>
      <c r="J15" s="144">
        <f>SUM(C15,D15,G15)</f>
        <v>1</v>
      </c>
      <c r="K15" s="144"/>
      <c r="L15" s="144">
        <f>F15</f>
        <v>0</v>
      </c>
      <c r="M15" s="145"/>
      <c r="N15" s="145"/>
      <c r="O15" s="145"/>
      <c r="P15" s="146"/>
      <c r="Q15" s="146"/>
      <c r="R15" s="146"/>
      <c r="S15" s="144">
        <f>IF(ISBLANK(M15),J15,M15)+P15</f>
        <v>1</v>
      </c>
      <c r="T15" s="144"/>
      <c r="U15" s="153">
        <f t="shared" ref="U15:U17" si="4">IF(ISBLANK(O15),L15,O15)</f>
        <v>0</v>
      </c>
      <c r="W15" s="235" t="e">
        <f>IF("Lunar"=VLOOKUP($D$6,Castes!$B$2:$C$25,2,FALSE),G15*(3*OR(F15="F",F15="C")+4*($D$6="Casteless")+5*(F15=0)*($D$6&lt;&gt;"Casteless")),G15*(IF($E$18=Crea_Pts_xp!$A$4,3,4)))</f>
        <v>#N/A</v>
      </c>
      <c r="X15" s="149">
        <f>IF(ISBLANK(M15),J15,M15)</f>
        <v>1</v>
      </c>
      <c r="Y15" s="149">
        <f>S15</f>
        <v>1</v>
      </c>
      <c r="Z15" s="237">
        <f t="shared" ref="Z15:Z17" si="5">IF(U15=0,4,3)*0.5*(Y15*(Y15-1)-X15*(X15-1))-(Y15-X15)*($S$6="Casteless")</f>
        <v>0</v>
      </c>
    </row>
    <row r="16" spans="1:34">
      <c r="A16" s="129" t="s">
        <v>101</v>
      </c>
      <c r="B16" s="129" t="s">
        <v>3457</v>
      </c>
      <c r="C16" s="263">
        <f t="shared" si="3"/>
        <v>1</v>
      </c>
      <c r="D16" s="142">
        <v>0</v>
      </c>
      <c r="E16" s="161"/>
      <c r="F16" s="142">
        <f>Creation_1!V8</f>
        <v>0</v>
      </c>
      <c r="G16" s="143">
        <v>0</v>
      </c>
      <c r="H16" s="143"/>
      <c r="I16" s="143"/>
      <c r="J16" s="144">
        <f>SUM(C16,D16,G16)</f>
        <v>1</v>
      </c>
      <c r="K16" s="144"/>
      <c r="L16" s="144">
        <f>F16</f>
        <v>0</v>
      </c>
      <c r="M16" s="145"/>
      <c r="N16" s="145"/>
      <c r="O16" s="145"/>
      <c r="P16" s="146">
        <v>0</v>
      </c>
      <c r="Q16" s="146"/>
      <c r="R16" s="146"/>
      <c r="S16" s="144">
        <f>IF(ISBLANK(M16),J16,M16)+P16</f>
        <v>1</v>
      </c>
      <c r="T16" s="144"/>
      <c r="U16" s="153">
        <f t="shared" si="4"/>
        <v>0</v>
      </c>
      <c r="W16" s="235" t="e">
        <f>IF("Lunar"=VLOOKUP($D$6,Castes!$B$2:$C$25,2,FALSE),G16*(3*OR(F16="F",F16="C")+4*($D$6="Casteless")+5*(F16=0)*($D$6&lt;&gt;"Casteless")),G16*(IF($E$18=Crea_Pts_xp!$A$4,3,4)))</f>
        <v>#N/A</v>
      </c>
      <c r="X16" s="149">
        <f>IF(ISBLANK(M16),J16,M16)</f>
        <v>1</v>
      </c>
      <c r="Y16" s="149">
        <f>S16</f>
        <v>1</v>
      </c>
      <c r="Z16" s="237">
        <f t="shared" si="5"/>
        <v>0</v>
      </c>
    </row>
    <row r="17" spans="1:26">
      <c r="A17" s="129" t="s">
        <v>102</v>
      </c>
      <c r="B17" s="129" t="s">
        <v>3458</v>
      </c>
      <c r="C17" s="263">
        <f t="shared" si="3"/>
        <v>1</v>
      </c>
      <c r="D17" s="142">
        <v>0</v>
      </c>
      <c r="E17" s="161"/>
      <c r="F17" s="142">
        <f>Creation_1!V9</f>
        <v>0</v>
      </c>
      <c r="G17" s="143">
        <v>0</v>
      </c>
      <c r="H17" s="143"/>
      <c r="I17" s="143"/>
      <c r="J17" s="144">
        <f>SUM(C17,D17,G17)</f>
        <v>1</v>
      </c>
      <c r="K17" s="144"/>
      <c r="L17" s="144">
        <f>F17</f>
        <v>0</v>
      </c>
      <c r="M17" s="145"/>
      <c r="N17" s="145"/>
      <c r="O17" s="145"/>
      <c r="P17" s="146">
        <v>0</v>
      </c>
      <c r="Q17" s="146"/>
      <c r="R17" s="146"/>
      <c r="S17" s="144">
        <f>IF(ISBLANK(M17),J17,M17)+P17</f>
        <v>1</v>
      </c>
      <c r="T17" s="144"/>
      <c r="U17" s="153">
        <f t="shared" si="4"/>
        <v>0</v>
      </c>
      <c r="W17" s="235" t="e">
        <f>IF("Lunar"=VLOOKUP($D$6,Castes!$B$2:$C$25,2,FALSE),G17*(3*OR(F17="F",F17="C")+4*($D$6="Casteless")+5*(F17=0)*($D$6&lt;&gt;"Casteless")),G17*(IF($E$18=Crea_Pts_xp!$A$4,3,4)))</f>
        <v>#N/A</v>
      </c>
      <c r="X17" s="149">
        <f>IF(ISBLANK(M17),J17,M17)</f>
        <v>1</v>
      </c>
      <c r="Y17" s="149">
        <f>S17</f>
        <v>1</v>
      </c>
      <c r="Z17" s="237">
        <f t="shared" si="5"/>
        <v>0</v>
      </c>
    </row>
    <row r="18" spans="1:26">
      <c r="A18" s="155" t="s">
        <v>1422</v>
      </c>
      <c r="B18" s="155"/>
      <c r="C18" s="144"/>
      <c r="D18" s="156">
        <f>SUM(D15:D17)</f>
        <v>0</v>
      </c>
      <c r="E18" s="157" t="e">
        <f>VLOOKUP(A18,Creation_1!$BI$10:$ZZ$12,52,FALSE)</f>
        <v>#N/A</v>
      </c>
      <c r="F18" s="142"/>
      <c r="G18" s="158">
        <f>SUM(G15:G17)</f>
        <v>0</v>
      </c>
      <c r="H18" s="143"/>
      <c r="I18" s="143"/>
      <c r="J18" s="144"/>
      <c r="K18" s="159" t="e">
        <f>E18</f>
        <v>#N/A</v>
      </c>
      <c r="L18" s="144"/>
      <c r="M18" s="145"/>
      <c r="N18" s="145"/>
      <c r="O18" s="145"/>
      <c r="P18" s="146"/>
      <c r="Q18" s="146"/>
      <c r="R18" s="146"/>
      <c r="S18" s="144"/>
      <c r="T18" s="160" t="e">
        <f>IF(ISBLANK(N18),K18,N18)</f>
        <v>#N/A</v>
      </c>
      <c r="U18" s="144"/>
      <c r="W18" s="236"/>
      <c r="X18" s="149"/>
      <c r="Y18" s="149"/>
      <c r="Z18" s="237"/>
    </row>
    <row r="19" spans="1:26">
      <c r="A19" s="129" t="s">
        <v>103</v>
      </c>
      <c r="B19" s="129" t="s">
        <v>3459</v>
      </c>
      <c r="C19" s="263">
        <f t="shared" ref="C19:C21" si="6">1+$AB$7</f>
        <v>1</v>
      </c>
      <c r="D19" s="142">
        <v>0</v>
      </c>
      <c r="E19" s="161"/>
      <c r="F19" s="142">
        <f>Creation_1!AL7</f>
        <v>0</v>
      </c>
      <c r="G19" s="143">
        <v>0</v>
      </c>
      <c r="H19" s="143"/>
      <c r="I19" s="143"/>
      <c r="J19" s="144">
        <f>SUM(C19,D19,G19)</f>
        <v>1</v>
      </c>
      <c r="K19" s="144"/>
      <c r="L19" s="144">
        <f>F19</f>
        <v>0</v>
      </c>
      <c r="M19" s="145"/>
      <c r="N19" s="145"/>
      <c r="O19" s="145"/>
      <c r="P19" s="146"/>
      <c r="Q19" s="146"/>
      <c r="R19" s="146"/>
      <c r="S19" s="144">
        <f>IF(ISBLANK(M19),J19,M19)+P19</f>
        <v>1</v>
      </c>
      <c r="T19" s="144"/>
      <c r="U19" s="153">
        <f t="shared" ref="U19:U21" si="7">IF(ISBLANK(O19),L19,O19)</f>
        <v>0</v>
      </c>
      <c r="W19" s="235" t="e">
        <f>IF("Lunar"=VLOOKUP($D$6,Castes!$B$2:$C$25,2,FALSE),G19*(3*OR(F19="F",F19="C")+4*($D$6="Casteless")+5*(F19=0)*($D$6&lt;&gt;"Casteless")),G19*(IF($E$22=Crea_Pts_xp!$A$4,3,4)))</f>
        <v>#N/A</v>
      </c>
      <c r="X19" s="149">
        <f>IF(ISBLANK(M19),J19,M19)</f>
        <v>1</v>
      </c>
      <c r="Y19" s="149">
        <f>S19</f>
        <v>1</v>
      </c>
      <c r="Z19" s="237">
        <f t="shared" ref="Z19:Z21" si="8">IF(U19=0,4,3)*0.5*(Y19*(Y19-1)-X19*(X19-1))-(Y19-X19)*($S$6="Casteless")</f>
        <v>0</v>
      </c>
    </row>
    <row r="20" spans="1:26">
      <c r="A20" s="129" t="s">
        <v>104</v>
      </c>
      <c r="B20" s="129" t="s">
        <v>3460</v>
      </c>
      <c r="C20" s="263">
        <f t="shared" si="6"/>
        <v>1</v>
      </c>
      <c r="D20" s="142">
        <v>0</v>
      </c>
      <c r="E20" s="161"/>
      <c r="F20" s="142">
        <f>Creation_1!AL8</f>
        <v>0</v>
      </c>
      <c r="G20" s="143">
        <v>0</v>
      </c>
      <c r="H20" s="143"/>
      <c r="I20" s="143"/>
      <c r="J20" s="144">
        <f>SUM(C20,D20,G20)</f>
        <v>1</v>
      </c>
      <c r="K20" s="144"/>
      <c r="L20" s="144">
        <f>F20</f>
        <v>0</v>
      </c>
      <c r="M20" s="145"/>
      <c r="N20" s="145"/>
      <c r="O20" s="145"/>
      <c r="P20" s="146"/>
      <c r="Q20" s="146"/>
      <c r="R20" s="146"/>
      <c r="S20" s="144">
        <f>IF(ISBLANK(M20),J20,M20)+P20</f>
        <v>1</v>
      </c>
      <c r="T20" s="144"/>
      <c r="U20" s="153">
        <f t="shared" si="7"/>
        <v>0</v>
      </c>
      <c r="W20" s="235" t="e">
        <f>IF("Lunar"=VLOOKUP($D$6,Castes!$B$2:$C$25,2,FALSE),G20*(3*OR(F20="F",F20="C")+4*($D$6="Casteless")+5*(F20=0)*($D$6&lt;&gt;"Casteless")),G20*(IF($E$22=Crea_Pts_xp!$A$4,3,4)))</f>
        <v>#N/A</v>
      </c>
      <c r="X20" s="149">
        <f>IF(ISBLANK(M20),J20,M20)</f>
        <v>1</v>
      </c>
      <c r="Y20" s="149">
        <f>S20</f>
        <v>1</v>
      </c>
      <c r="Z20" s="237">
        <f t="shared" si="8"/>
        <v>0</v>
      </c>
    </row>
    <row r="21" spans="1:26">
      <c r="A21" s="129" t="s">
        <v>105</v>
      </c>
      <c r="B21" s="129" t="s">
        <v>3461</v>
      </c>
      <c r="C21" s="263">
        <f t="shared" si="6"/>
        <v>1</v>
      </c>
      <c r="D21" s="142">
        <v>0</v>
      </c>
      <c r="E21" s="161"/>
      <c r="F21" s="142">
        <f>Creation_1!AL9</f>
        <v>0</v>
      </c>
      <c r="G21" s="143">
        <v>0</v>
      </c>
      <c r="H21" s="143"/>
      <c r="I21" s="143"/>
      <c r="J21" s="144">
        <f>SUM(C21,D21,G21)</f>
        <v>1</v>
      </c>
      <c r="K21" s="144"/>
      <c r="L21" s="144">
        <f>F21</f>
        <v>0</v>
      </c>
      <c r="M21" s="145"/>
      <c r="N21" s="145"/>
      <c r="O21" s="145"/>
      <c r="P21" s="146">
        <v>0</v>
      </c>
      <c r="Q21" s="146"/>
      <c r="R21" s="146"/>
      <c r="S21" s="144">
        <f>IF(ISBLANK(M21),J21,M21)+P21</f>
        <v>1</v>
      </c>
      <c r="T21" s="144"/>
      <c r="U21" s="153">
        <f t="shared" si="7"/>
        <v>0</v>
      </c>
      <c r="W21" s="235" t="e">
        <f>IF("Lunar"=VLOOKUP($D$6,Castes!$B$2:$C$25,2,FALSE),G21*(3*OR(F21="F",F21="C")+4*($D$6="Casteless")+5*(F21=0)*($D$6&lt;&gt;"Casteless")),G21*(IF($E$22=Crea_Pts_xp!$A$4,3,4)))</f>
        <v>#N/A</v>
      </c>
      <c r="X21" s="149">
        <f>IF(ISBLANK(M21),J21,M21)</f>
        <v>1</v>
      </c>
      <c r="Y21" s="149">
        <f>S21</f>
        <v>1</v>
      </c>
      <c r="Z21" s="237">
        <f t="shared" si="8"/>
        <v>0</v>
      </c>
    </row>
    <row r="22" spans="1:26">
      <c r="A22" s="155" t="s">
        <v>1423</v>
      </c>
      <c r="B22" s="155"/>
      <c r="C22" s="144"/>
      <c r="D22" s="156">
        <f>SUM(D19:D21)</f>
        <v>0</v>
      </c>
      <c r="E22" s="157" t="e">
        <f>VLOOKUP(A22,Creation_1!$BI$10:$ZZ$12,52,FALSE)</f>
        <v>#N/A</v>
      </c>
      <c r="F22" s="142"/>
      <c r="G22" s="158">
        <f>SUM(G19:G21)</f>
        <v>0</v>
      </c>
      <c r="H22" s="143"/>
      <c r="I22" s="143"/>
      <c r="J22" s="144"/>
      <c r="K22" s="159" t="e">
        <f>E22</f>
        <v>#N/A</v>
      </c>
      <c r="L22" s="144"/>
      <c r="M22" s="145"/>
      <c r="N22" s="145"/>
      <c r="O22" s="145"/>
      <c r="P22" s="146"/>
      <c r="Q22" s="146"/>
      <c r="R22" s="146"/>
      <c r="S22" s="144"/>
      <c r="T22" s="160" t="e">
        <f>IF(ISBLANK(N22),K22,N22)</f>
        <v>#N/A</v>
      </c>
      <c r="U22" s="144"/>
      <c r="W22" s="235"/>
      <c r="X22" s="149"/>
      <c r="Y22" s="149"/>
      <c r="Z22" s="237"/>
    </row>
    <row r="23" spans="1:26">
      <c r="A23" s="162" t="s">
        <v>55</v>
      </c>
      <c r="B23" s="162"/>
      <c r="C23" s="159"/>
      <c r="D23" s="163">
        <f>SUM(D11:D13,D15:D17,D19:D21)</f>
        <v>0</v>
      </c>
      <c r="W23" s="151" t="e">
        <f>SUM(W11:W13,W15:W17,W19:W21)</f>
        <v>#N/A</v>
      </c>
      <c r="Z23" s="238">
        <f>SUM(Z11:Z13,Z15:Z17,Z19:Z21)</f>
        <v>0</v>
      </c>
    </row>
    <row r="24" spans="1:26">
      <c r="A24" s="140" t="s">
        <v>106</v>
      </c>
      <c r="B24" s="140" t="str">
        <f>Values!A24</f>
        <v>Abilities</v>
      </c>
      <c r="C24" s="141"/>
      <c r="D24" s="130" t="s">
        <v>3273</v>
      </c>
      <c r="E24" s="130" t="s">
        <v>3274</v>
      </c>
      <c r="F24" s="130" t="s">
        <v>3444</v>
      </c>
      <c r="G24" s="130" t="s">
        <v>3277</v>
      </c>
      <c r="J24" s="130" t="s">
        <v>3273</v>
      </c>
      <c r="K24" s="130" t="s">
        <v>3274</v>
      </c>
      <c r="L24" s="130" t="s">
        <v>3444</v>
      </c>
      <c r="M24" s="152" t="s">
        <v>3273</v>
      </c>
      <c r="N24" s="152" t="s">
        <v>3274</v>
      </c>
      <c r="O24" s="152" t="s">
        <v>3444</v>
      </c>
      <c r="R24" s="130" t="s">
        <v>3444</v>
      </c>
      <c r="S24" s="130" t="s">
        <v>3273</v>
      </c>
      <c r="T24" s="130" t="s">
        <v>3274</v>
      </c>
      <c r="Z24" s="18"/>
    </row>
    <row r="25" spans="1:26">
      <c r="A25" s="129" t="s">
        <v>20</v>
      </c>
      <c r="B25" s="129" t="str">
        <f>Values!A25</f>
        <v>Archery</v>
      </c>
      <c r="C25" s="263">
        <f>$AB$7</f>
        <v>0</v>
      </c>
      <c r="D25" s="142">
        <v>0</v>
      </c>
      <c r="E25" s="161" t="str">
        <f>Creation_1!D13</f>
        <v/>
      </c>
      <c r="F25" s="142"/>
      <c r="G25" s="143">
        <v>0</v>
      </c>
      <c r="H25" s="143"/>
      <c r="I25" s="143"/>
      <c r="J25" s="144">
        <f t="shared" ref="J25:J50" si="9">SUM(C25,D25,G25)</f>
        <v>0</v>
      </c>
      <c r="K25" s="144" t="str">
        <f>E25</f>
        <v/>
      </c>
      <c r="L25" s="144"/>
      <c r="M25" s="145"/>
      <c r="N25" s="145"/>
      <c r="O25" s="145"/>
      <c r="P25" s="146"/>
      <c r="Q25" s="146"/>
      <c r="R25" s="146"/>
      <c r="S25" s="144">
        <f t="shared" ref="S25:S58" si="10">IF(ISBLANK(M25),J25,M25)+P25</f>
        <v>0</v>
      </c>
      <c r="T25" s="153" t="str">
        <f>IF(ISBLANK(N25),K25,N25)</f>
        <v/>
      </c>
      <c r="U25" s="144"/>
      <c r="W25" s="147" t="str">
        <f>IF(G25&gt;0,IF(OR(E25="C",E25="S",E25="F"),G25,G25*2),"")</f>
        <v/>
      </c>
      <c r="X25" s="149">
        <f t="shared" ref="X25:X50" si="11">IF(ISBLANK(M25),J25,M25)</f>
        <v>0</v>
      </c>
      <c r="Y25" s="149">
        <f>S25</f>
        <v>0</v>
      </c>
      <c r="Z25" s="237">
        <f>2*0.5*(Y25*(Y25-1)-X25*(X25-1))-OR(T25="S",T25="C",T25="F")*(Y25-X25-AND(X25=0,Y25&gt;0))+3*AND(X25=0,Y25&gt;0)</f>
        <v>0</v>
      </c>
    </row>
    <row r="26" spans="1:26">
      <c r="A26" s="129" t="s">
        <v>22</v>
      </c>
      <c r="B26" s="129" t="str">
        <f>Values!A26</f>
        <v>Athletics</v>
      </c>
      <c r="C26" s="263">
        <f t="shared" ref="C26:C50" si="12">$AB$7</f>
        <v>0</v>
      </c>
      <c r="D26" s="142">
        <v>0</v>
      </c>
      <c r="E26" s="161" t="str">
        <f>Creation_1!D14</f>
        <v/>
      </c>
      <c r="F26" s="142"/>
      <c r="G26" s="143">
        <v>0</v>
      </c>
      <c r="H26" s="143"/>
      <c r="I26" s="143"/>
      <c r="J26" s="144">
        <f t="shared" si="9"/>
        <v>0</v>
      </c>
      <c r="K26" s="144" t="str">
        <f t="shared" ref="K26:K50" si="13">E26</f>
        <v/>
      </c>
      <c r="L26" s="144"/>
      <c r="M26" s="145"/>
      <c r="N26" s="145"/>
      <c r="O26" s="145"/>
      <c r="P26" s="146"/>
      <c r="Q26" s="146"/>
      <c r="R26" s="146"/>
      <c r="S26" s="144">
        <f t="shared" si="10"/>
        <v>0</v>
      </c>
      <c r="T26" s="153" t="str">
        <f t="shared" ref="T26:T50" si="14">IF(ISBLANK(N26),K26,N26)</f>
        <v/>
      </c>
      <c r="U26" s="144"/>
      <c r="W26" s="147" t="str">
        <f t="shared" ref="W26:W50" si="15">IF(G26&gt;0,IF(OR(E26="C",E26="S",E26="F"),G26,G26*2),"")</f>
        <v/>
      </c>
      <c r="X26" s="149">
        <f t="shared" si="11"/>
        <v>0</v>
      </c>
      <c r="Y26" s="149">
        <f t="shared" ref="Y26:Y50" si="16">S26</f>
        <v>0</v>
      </c>
      <c r="Z26" s="237">
        <f t="shared" ref="Z26:Z50" si="17">2*0.5*(Y26*(Y26-1)-X26*(X26-1))-OR(T26="S",T26="C",T26="F")*(Y26-X26-AND(X26=0,Y26&gt;0))+3*AND(X26=0,Y26&gt;0)</f>
        <v>0</v>
      </c>
    </row>
    <row r="27" spans="1:26">
      <c r="A27" s="129" t="s">
        <v>23</v>
      </c>
      <c r="B27" s="129" t="str">
        <f>Values!A27</f>
        <v>Awareness</v>
      </c>
      <c r="C27" s="263">
        <f t="shared" si="12"/>
        <v>0</v>
      </c>
      <c r="D27" s="142">
        <v>0</v>
      </c>
      <c r="E27" s="161" t="str">
        <f>Creation_1!D15</f>
        <v/>
      </c>
      <c r="F27" s="142"/>
      <c r="G27" s="143">
        <v>0</v>
      </c>
      <c r="H27" s="143"/>
      <c r="I27" s="143"/>
      <c r="J27" s="144">
        <f t="shared" si="9"/>
        <v>0</v>
      </c>
      <c r="K27" s="144" t="str">
        <f t="shared" si="13"/>
        <v/>
      </c>
      <c r="L27" s="144"/>
      <c r="M27" s="145"/>
      <c r="N27" s="145"/>
      <c r="O27" s="145"/>
      <c r="P27" s="146"/>
      <c r="Q27" s="146"/>
      <c r="R27" s="146"/>
      <c r="S27" s="144">
        <f t="shared" si="10"/>
        <v>0</v>
      </c>
      <c r="T27" s="153" t="str">
        <f t="shared" si="14"/>
        <v/>
      </c>
      <c r="U27" s="144"/>
      <c r="W27" s="147" t="str">
        <f t="shared" si="15"/>
        <v/>
      </c>
      <c r="X27" s="149">
        <f t="shared" si="11"/>
        <v>0</v>
      </c>
      <c r="Y27" s="149">
        <f t="shared" si="16"/>
        <v>0</v>
      </c>
      <c r="Z27" s="237">
        <f t="shared" si="17"/>
        <v>0</v>
      </c>
    </row>
    <row r="28" spans="1:26">
      <c r="A28" s="129" t="s">
        <v>24</v>
      </c>
      <c r="B28" s="129" t="str">
        <f>Values!A28</f>
        <v>Brawl</v>
      </c>
      <c r="C28" s="263">
        <f t="shared" si="12"/>
        <v>0</v>
      </c>
      <c r="D28" s="142">
        <v>0</v>
      </c>
      <c r="E28" s="161" t="str">
        <f>Creation_1!D16</f>
        <v/>
      </c>
      <c r="F28" s="142"/>
      <c r="G28" s="143">
        <v>0</v>
      </c>
      <c r="H28" s="143"/>
      <c r="I28" s="143"/>
      <c r="J28" s="144">
        <f t="shared" si="9"/>
        <v>0</v>
      </c>
      <c r="K28" s="144" t="str">
        <f t="shared" si="13"/>
        <v/>
      </c>
      <c r="L28" s="144"/>
      <c r="M28" s="145"/>
      <c r="N28" s="145"/>
      <c r="O28" s="145"/>
      <c r="P28" s="146"/>
      <c r="Q28" s="146"/>
      <c r="R28" s="146"/>
      <c r="S28" s="144">
        <f t="shared" si="10"/>
        <v>0</v>
      </c>
      <c r="T28" s="153" t="str">
        <f t="shared" si="14"/>
        <v/>
      </c>
      <c r="U28" s="144"/>
      <c r="W28" s="147" t="str">
        <f t="shared" si="15"/>
        <v/>
      </c>
      <c r="X28" s="149">
        <f t="shared" si="11"/>
        <v>0</v>
      </c>
      <c r="Y28" s="149">
        <f t="shared" si="16"/>
        <v>0</v>
      </c>
      <c r="Z28" s="237">
        <f t="shared" si="17"/>
        <v>0</v>
      </c>
    </row>
    <row r="29" spans="1:26">
      <c r="A29" s="129" t="s">
        <v>25</v>
      </c>
      <c r="B29" s="129" t="str">
        <f>Values!A29</f>
        <v>Bureaucracy</v>
      </c>
      <c r="C29" s="263">
        <f t="shared" si="12"/>
        <v>0</v>
      </c>
      <c r="D29" s="142">
        <v>0</v>
      </c>
      <c r="E29" s="161" t="str">
        <f>Creation_1!D17</f>
        <v/>
      </c>
      <c r="F29" s="142"/>
      <c r="G29" s="143">
        <v>0</v>
      </c>
      <c r="H29" s="143"/>
      <c r="I29" s="143"/>
      <c r="J29" s="144">
        <f t="shared" si="9"/>
        <v>0</v>
      </c>
      <c r="K29" s="144" t="str">
        <f t="shared" si="13"/>
        <v/>
      </c>
      <c r="L29" s="144"/>
      <c r="M29" s="145"/>
      <c r="N29" s="145"/>
      <c r="O29" s="145"/>
      <c r="P29" s="146"/>
      <c r="Q29" s="146"/>
      <c r="R29" s="146"/>
      <c r="S29" s="144">
        <f t="shared" si="10"/>
        <v>0</v>
      </c>
      <c r="T29" s="153" t="str">
        <f t="shared" si="14"/>
        <v/>
      </c>
      <c r="U29" s="144"/>
      <c r="W29" s="147" t="str">
        <f t="shared" si="15"/>
        <v/>
      </c>
      <c r="X29" s="149">
        <f t="shared" si="11"/>
        <v>0</v>
      </c>
      <c r="Y29" s="149">
        <f t="shared" si="16"/>
        <v>0</v>
      </c>
      <c r="Z29" s="237">
        <f t="shared" si="17"/>
        <v>0</v>
      </c>
    </row>
    <row r="30" spans="1:26">
      <c r="A30" s="129" t="s">
        <v>26</v>
      </c>
      <c r="B30" s="129" t="str">
        <f>Values!A30</f>
        <v>Craft</v>
      </c>
      <c r="C30" s="263">
        <f t="shared" si="12"/>
        <v>0</v>
      </c>
      <c r="D30" s="142">
        <v>0</v>
      </c>
      <c r="E30" s="161" t="str">
        <f>Creation_1!D18</f>
        <v/>
      </c>
      <c r="F30" s="142">
        <f>Creation_1!H18</f>
        <v>0</v>
      </c>
      <c r="G30" s="143">
        <v>0</v>
      </c>
      <c r="H30" s="143" t="str">
        <f>Creation_BP!H18</f>
        <v/>
      </c>
      <c r="I30" s="143"/>
      <c r="J30" s="144">
        <f t="shared" si="9"/>
        <v>0</v>
      </c>
      <c r="K30" s="144" t="str">
        <f t="shared" si="13"/>
        <v/>
      </c>
      <c r="L30" s="144" t="str">
        <f>H30</f>
        <v/>
      </c>
      <c r="M30" s="145"/>
      <c r="N30" s="145"/>
      <c r="O30" s="145"/>
      <c r="P30" s="146"/>
      <c r="Q30" s="146"/>
      <c r="R30" s="146" t="str">
        <f>Creation_XP!G18</f>
        <v/>
      </c>
      <c r="S30" s="144">
        <f t="shared" si="10"/>
        <v>0</v>
      </c>
      <c r="T30" s="153" t="str">
        <f t="shared" si="14"/>
        <v/>
      </c>
      <c r="U30" s="144" t="str">
        <f>R30</f>
        <v/>
      </c>
      <c r="W30" s="147" t="str">
        <f t="shared" si="15"/>
        <v/>
      </c>
      <c r="X30" s="149">
        <f t="shared" si="11"/>
        <v>0</v>
      </c>
      <c r="Y30" s="149">
        <f t="shared" si="16"/>
        <v>0</v>
      </c>
      <c r="Z30" s="237">
        <f t="shared" si="17"/>
        <v>0</v>
      </c>
    </row>
    <row r="31" spans="1:26">
      <c r="A31" s="129" t="s">
        <v>27</v>
      </c>
      <c r="B31" s="129" t="str">
        <f>Values!A31</f>
        <v>Dodge</v>
      </c>
      <c r="C31" s="263">
        <f t="shared" si="12"/>
        <v>0</v>
      </c>
      <c r="D31" s="142">
        <v>0</v>
      </c>
      <c r="E31" s="161" t="str">
        <f>Creation_1!D19</f>
        <v/>
      </c>
      <c r="F31" s="142"/>
      <c r="G31" s="143">
        <v>0</v>
      </c>
      <c r="H31" s="143"/>
      <c r="I31" s="143"/>
      <c r="J31" s="144">
        <f t="shared" si="9"/>
        <v>0</v>
      </c>
      <c r="K31" s="144" t="str">
        <f t="shared" si="13"/>
        <v/>
      </c>
      <c r="L31" s="144"/>
      <c r="M31" s="145"/>
      <c r="N31" s="145"/>
      <c r="O31" s="145"/>
      <c r="P31" s="146"/>
      <c r="Q31" s="146"/>
      <c r="R31" s="146"/>
      <c r="S31" s="144">
        <f t="shared" si="10"/>
        <v>0</v>
      </c>
      <c r="T31" s="153" t="str">
        <f t="shared" si="14"/>
        <v/>
      </c>
      <c r="U31" s="144"/>
      <c r="W31" s="147" t="str">
        <f t="shared" si="15"/>
        <v/>
      </c>
      <c r="X31" s="149">
        <f t="shared" si="11"/>
        <v>0</v>
      </c>
      <c r="Y31" s="149">
        <f t="shared" si="16"/>
        <v>0</v>
      </c>
      <c r="Z31" s="237">
        <f t="shared" si="17"/>
        <v>0</v>
      </c>
    </row>
    <row r="32" spans="1:26">
      <c r="A32" s="129" t="s">
        <v>28</v>
      </c>
      <c r="B32" s="129" t="str">
        <f>Values!A32</f>
        <v>Integrity</v>
      </c>
      <c r="C32" s="263">
        <f t="shared" si="12"/>
        <v>0</v>
      </c>
      <c r="D32" s="142">
        <v>0</v>
      </c>
      <c r="E32" s="161" t="str">
        <f>Creation_1!D20</f>
        <v/>
      </c>
      <c r="F32" s="142"/>
      <c r="G32" s="143">
        <v>0</v>
      </c>
      <c r="H32" s="143"/>
      <c r="I32" s="143"/>
      <c r="J32" s="144">
        <f t="shared" si="9"/>
        <v>0</v>
      </c>
      <c r="K32" s="144" t="str">
        <f t="shared" si="13"/>
        <v/>
      </c>
      <c r="L32" s="144"/>
      <c r="M32" s="145"/>
      <c r="N32" s="145"/>
      <c r="O32" s="145"/>
      <c r="P32" s="146"/>
      <c r="Q32" s="146"/>
      <c r="R32" s="146"/>
      <c r="S32" s="144">
        <f t="shared" si="10"/>
        <v>0</v>
      </c>
      <c r="T32" s="153" t="str">
        <f t="shared" si="14"/>
        <v/>
      </c>
      <c r="U32" s="144"/>
      <c r="W32" s="147" t="str">
        <f t="shared" si="15"/>
        <v/>
      </c>
      <c r="X32" s="149">
        <f t="shared" si="11"/>
        <v>0</v>
      </c>
      <c r="Y32" s="149">
        <f t="shared" si="16"/>
        <v>0</v>
      </c>
      <c r="Z32" s="237">
        <f t="shared" si="17"/>
        <v>0</v>
      </c>
    </row>
    <row r="33" spans="1:26">
      <c r="A33" s="129" t="s">
        <v>29</v>
      </c>
      <c r="B33" s="129" t="str">
        <f>Values!A33</f>
        <v>Investigation</v>
      </c>
      <c r="C33" s="263">
        <f t="shared" si="12"/>
        <v>0</v>
      </c>
      <c r="D33" s="142">
        <v>0</v>
      </c>
      <c r="E33" s="161" t="str">
        <f>Creation_1!D21</f>
        <v/>
      </c>
      <c r="F33" s="142"/>
      <c r="G33" s="143">
        <v>0</v>
      </c>
      <c r="H33" s="143"/>
      <c r="I33" s="143"/>
      <c r="J33" s="144">
        <f t="shared" si="9"/>
        <v>0</v>
      </c>
      <c r="K33" s="144" t="str">
        <f t="shared" si="13"/>
        <v/>
      </c>
      <c r="L33" s="144"/>
      <c r="M33" s="145"/>
      <c r="N33" s="145"/>
      <c r="O33" s="145"/>
      <c r="P33" s="146"/>
      <c r="Q33" s="146"/>
      <c r="R33" s="146"/>
      <c r="S33" s="144">
        <f t="shared" si="10"/>
        <v>0</v>
      </c>
      <c r="T33" s="153" t="str">
        <f t="shared" si="14"/>
        <v/>
      </c>
      <c r="U33" s="144"/>
      <c r="W33" s="147" t="str">
        <f t="shared" si="15"/>
        <v/>
      </c>
      <c r="X33" s="149">
        <f t="shared" si="11"/>
        <v>0</v>
      </c>
      <c r="Y33" s="149">
        <f t="shared" si="16"/>
        <v>0</v>
      </c>
      <c r="Z33" s="237">
        <f t="shared" si="17"/>
        <v>0</v>
      </c>
    </row>
    <row r="34" spans="1:26">
      <c r="A34" s="129" t="s">
        <v>30</v>
      </c>
      <c r="B34" s="129" t="str">
        <f>Values!A34</f>
        <v>Larceny</v>
      </c>
      <c r="C34" s="263">
        <f t="shared" si="12"/>
        <v>0</v>
      </c>
      <c r="D34" s="142">
        <v>0</v>
      </c>
      <c r="E34" s="161" t="str">
        <f>Creation_1!D22</f>
        <v/>
      </c>
      <c r="F34" s="142"/>
      <c r="G34" s="143">
        <v>0</v>
      </c>
      <c r="H34" s="143"/>
      <c r="I34" s="143"/>
      <c r="J34" s="144">
        <f t="shared" si="9"/>
        <v>0</v>
      </c>
      <c r="K34" s="144" t="str">
        <f t="shared" si="13"/>
        <v/>
      </c>
      <c r="L34" s="144"/>
      <c r="M34" s="145"/>
      <c r="N34" s="145"/>
      <c r="O34" s="145"/>
      <c r="P34" s="146"/>
      <c r="Q34" s="146"/>
      <c r="R34" s="146"/>
      <c r="S34" s="144">
        <f t="shared" si="10"/>
        <v>0</v>
      </c>
      <c r="T34" s="153" t="str">
        <f t="shared" si="14"/>
        <v/>
      </c>
      <c r="U34" s="144"/>
      <c r="W34" s="147" t="str">
        <f t="shared" si="15"/>
        <v/>
      </c>
      <c r="X34" s="149">
        <f t="shared" si="11"/>
        <v>0</v>
      </c>
      <c r="Y34" s="149">
        <f t="shared" si="16"/>
        <v>0</v>
      </c>
      <c r="Z34" s="237">
        <f t="shared" si="17"/>
        <v>0</v>
      </c>
    </row>
    <row r="35" spans="1:26">
      <c r="A35" s="129" t="s">
        <v>31</v>
      </c>
      <c r="B35" s="129" t="str">
        <f>Values!A35</f>
        <v>Linguistics</v>
      </c>
      <c r="C35" s="263">
        <f t="shared" si="12"/>
        <v>0</v>
      </c>
      <c r="D35" s="142">
        <v>0</v>
      </c>
      <c r="E35" s="161" t="str">
        <f>Creation_1!D23</f>
        <v/>
      </c>
      <c r="F35" s="142"/>
      <c r="G35" s="143">
        <v>0</v>
      </c>
      <c r="H35" s="143"/>
      <c r="I35" s="143"/>
      <c r="J35" s="144">
        <f t="shared" si="9"/>
        <v>0</v>
      </c>
      <c r="K35" s="144" t="str">
        <f t="shared" si="13"/>
        <v/>
      </c>
      <c r="L35" s="144"/>
      <c r="M35" s="145"/>
      <c r="N35" s="145"/>
      <c r="O35" s="145"/>
      <c r="P35" s="146"/>
      <c r="Q35" s="146"/>
      <c r="R35" s="146"/>
      <c r="S35" s="144">
        <f t="shared" si="10"/>
        <v>0</v>
      </c>
      <c r="T35" s="153" t="str">
        <f t="shared" si="14"/>
        <v/>
      </c>
      <c r="U35" s="144"/>
      <c r="W35" s="147" t="str">
        <f t="shared" si="15"/>
        <v/>
      </c>
      <c r="X35" s="149">
        <f t="shared" si="11"/>
        <v>0</v>
      </c>
      <c r="Y35" s="149">
        <f t="shared" si="16"/>
        <v>0</v>
      </c>
      <c r="Z35" s="237">
        <f t="shared" si="17"/>
        <v>0</v>
      </c>
    </row>
    <row r="36" spans="1:26">
      <c r="A36" s="129" t="s">
        <v>34</v>
      </c>
      <c r="B36" s="129" t="str">
        <f>Values!A36</f>
        <v>Lore</v>
      </c>
      <c r="C36" s="263">
        <f t="shared" si="12"/>
        <v>0</v>
      </c>
      <c r="D36" s="142">
        <v>0</v>
      </c>
      <c r="E36" s="161" t="str">
        <f>Creation_1!D24</f>
        <v/>
      </c>
      <c r="F36" s="142"/>
      <c r="G36" s="143">
        <v>0</v>
      </c>
      <c r="H36" s="143"/>
      <c r="I36" s="143"/>
      <c r="J36" s="144">
        <f t="shared" si="9"/>
        <v>0</v>
      </c>
      <c r="K36" s="144" t="str">
        <f t="shared" si="13"/>
        <v/>
      </c>
      <c r="L36" s="144"/>
      <c r="M36" s="145"/>
      <c r="N36" s="145"/>
      <c r="O36" s="145"/>
      <c r="P36" s="146"/>
      <c r="Q36" s="146"/>
      <c r="R36" s="146"/>
      <c r="S36" s="144">
        <f t="shared" si="10"/>
        <v>0</v>
      </c>
      <c r="T36" s="153" t="str">
        <f t="shared" si="14"/>
        <v/>
      </c>
      <c r="U36" s="144"/>
      <c r="W36" s="147" t="str">
        <f t="shared" si="15"/>
        <v/>
      </c>
      <c r="X36" s="149">
        <f t="shared" si="11"/>
        <v>0</v>
      </c>
      <c r="Y36" s="149">
        <f t="shared" si="16"/>
        <v>0</v>
      </c>
      <c r="Z36" s="237">
        <f t="shared" si="17"/>
        <v>0</v>
      </c>
    </row>
    <row r="37" spans="1:26">
      <c r="A37" s="129" t="s">
        <v>37</v>
      </c>
      <c r="B37" s="129" t="str">
        <f>Values!A37</f>
        <v>Martial Arts</v>
      </c>
      <c r="C37" s="263">
        <f t="shared" si="12"/>
        <v>0</v>
      </c>
      <c r="D37" s="142">
        <v>0</v>
      </c>
      <c r="E37" s="161">
        <f>IF(Creation_1!D25="",0,Creation_1!D25)</f>
        <v>0</v>
      </c>
      <c r="F37" s="142"/>
      <c r="G37" s="143">
        <v>0</v>
      </c>
      <c r="H37" s="143"/>
      <c r="I37" s="143"/>
      <c r="J37" s="144">
        <f t="shared" si="9"/>
        <v>0</v>
      </c>
      <c r="K37" s="144">
        <f t="shared" si="13"/>
        <v>0</v>
      </c>
      <c r="L37" s="144"/>
      <c r="M37" s="145"/>
      <c r="N37" s="145"/>
      <c r="O37" s="145"/>
      <c r="P37" s="146"/>
      <c r="Q37" s="146"/>
      <c r="R37" s="146"/>
      <c r="S37" s="144">
        <f t="shared" si="10"/>
        <v>0</v>
      </c>
      <c r="T37" s="153">
        <f t="shared" si="14"/>
        <v>0</v>
      </c>
      <c r="U37" s="144"/>
      <c r="W37" s="147" t="str">
        <f t="shared" si="15"/>
        <v/>
      </c>
      <c r="X37" s="149">
        <f t="shared" si="11"/>
        <v>0</v>
      </c>
      <c r="Y37" s="149">
        <f t="shared" si="16"/>
        <v>0</v>
      </c>
      <c r="Z37" s="237">
        <f t="shared" si="17"/>
        <v>0</v>
      </c>
    </row>
    <row r="38" spans="1:26">
      <c r="A38" s="129" t="s">
        <v>38</v>
      </c>
      <c r="B38" s="129" t="str">
        <f>Values!A38</f>
        <v>Medicine</v>
      </c>
      <c r="C38" s="263">
        <f t="shared" si="12"/>
        <v>0</v>
      </c>
      <c r="D38" s="142">
        <v>0</v>
      </c>
      <c r="E38" s="161" t="str">
        <f>Creation_1!D26</f>
        <v/>
      </c>
      <c r="F38" s="142"/>
      <c r="G38" s="143">
        <v>0</v>
      </c>
      <c r="H38" s="143"/>
      <c r="I38" s="143"/>
      <c r="J38" s="144">
        <f t="shared" si="9"/>
        <v>0</v>
      </c>
      <c r="K38" s="144" t="str">
        <f t="shared" si="13"/>
        <v/>
      </c>
      <c r="L38" s="144"/>
      <c r="M38" s="145"/>
      <c r="N38" s="145"/>
      <c r="O38" s="145"/>
      <c r="P38" s="146"/>
      <c r="Q38" s="146"/>
      <c r="R38" s="146"/>
      <c r="S38" s="144">
        <f t="shared" si="10"/>
        <v>0</v>
      </c>
      <c r="T38" s="153" t="str">
        <f t="shared" si="14"/>
        <v/>
      </c>
      <c r="U38" s="144"/>
      <c r="W38" s="147" t="str">
        <f t="shared" si="15"/>
        <v/>
      </c>
      <c r="X38" s="149">
        <f t="shared" si="11"/>
        <v>0</v>
      </c>
      <c r="Y38" s="149">
        <f t="shared" si="16"/>
        <v>0</v>
      </c>
      <c r="Z38" s="237">
        <f t="shared" si="17"/>
        <v>0</v>
      </c>
    </row>
    <row r="39" spans="1:26">
      <c r="A39" s="129" t="s">
        <v>39</v>
      </c>
      <c r="B39" s="129" t="str">
        <f>Values!A39</f>
        <v>Melee</v>
      </c>
      <c r="C39" s="263">
        <f t="shared" si="12"/>
        <v>0</v>
      </c>
      <c r="D39" s="142">
        <v>0</v>
      </c>
      <c r="E39" s="161" t="str">
        <f>Creation_1!D27</f>
        <v/>
      </c>
      <c r="F39" s="142"/>
      <c r="G39" s="143">
        <v>0</v>
      </c>
      <c r="H39" s="143"/>
      <c r="I39" s="143"/>
      <c r="J39" s="144">
        <f t="shared" si="9"/>
        <v>0</v>
      </c>
      <c r="K39" s="144" t="str">
        <f t="shared" si="13"/>
        <v/>
      </c>
      <c r="L39" s="144"/>
      <c r="M39" s="145"/>
      <c r="N39" s="145"/>
      <c r="O39" s="145"/>
      <c r="P39" s="146"/>
      <c r="Q39" s="146"/>
      <c r="R39" s="146"/>
      <c r="S39" s="144">
        <f t="shared" si="10"/>
        <v>0</v>
      </c>
      <c r="T39" s="153" t="str">
        <f t="shared" si="14"/>
        <v/>
      </c>
      <c r="U39" s="144"/>
      <c r="W39" s="147" t="str">
        <f t="shared" si="15"/>
        <v/>
      </c>
      <c r="X39" s="149">
        <f t="shared" si="11"/>
        <v>0</v>
      </c>
      <c r="Y39" s="149">
        <f t="shared" si="16"/>
        <v>0</v>
      </c>
      <c r="Z39" s="237">
        <f t="shared" si="17"/>
        <v>0</v>
      </c>
    </row>
    <row r="40" spans="1:26">
      <c r="A40" s="129" t="s">
        <v>42</v>
      </c>
      <c r="B40" s="129" t="str">
        <f>Values!A40</f>
        <v>Occult</v>
      </c>
      <c r="C40" s="263">
        <f t="shared" si="12"/>
        <v>0</v>
      </c>
      <c r="D40" s="142">
        <v>0</v>
      </c>
      <c r="E40" s="161" t="str">
        <f>Creation_1!D28</f>
        <v/>
      </c>
      <c r="F40" s="142"/>
      <c r="G40" s="143">
        <v>0</v>
      </c>
      <c r="H40" s="143"/>
      <c r="I40" s="143"/>
      <c r="J40" s="144">
        <f t="shared" si="9"/>
        <v>0</v>
      </c>
      <c r="K40" s="144" t="str">
        <f t="shared" si="13"/>
        <v/>
      </c>
      <c r="L40" s="144"/>
      <c r="M40" s="145"/>
      <c r="N40" s="145"/>
      <c r="O40" s="145"/>
      <c r="P40" s="146"/>
      <c r="Q40" s="146"/>
      <c r="R40" s="146"/>
      <c r="S40" s="144">
        <f t="shared" si="10"/>
        <v>0</v>
      </c>
      <c r="T40" s="153" t="str">
        <f t="shared" si="14"/>
        <v/>
      </c>
      <c r="U40" s="144"/>
      <c r="W40" s="147" t="str">
        <f t="shared" si="15"/>
        <v/>
      </c>
      <c r="X40" s="149">
        <f t="shared" si="11"/>
        <v>0</v>
      </c>
      <c r="Y40" s="149">
        <f t="shared" si="16"/>
        <v>0</v>
      </c>
      <c r="Z40" s="237">
        <f t="shared" si="17"/>
        <v>0</v>
      </c>
    </row>
    <row r="41" spans="1:26">
      <c r="A41" s="129" t="s">
        <v>43</v>
      </c>
      <c r="B41" s="129" t="str">
        <f>Values!A41</f>
        <v>Performance</v>
      </c>
      <c r="C41" s="263">
        <f t="shared" si="12"/>
        <v>0</v>
      </c>
      <c r="D41" s="142">
        <v>0</v>
      </c>
      <c r="E41" s="161" t="str">
        <f>Creation_1!D29</f>
        <v/>
      </c>
      <c r="F41" s="142"/>
      <c r="G41" s="143">
        <v>0</v>
      </c>
      <c r="H41" s="143"/>
      <c r="I41" s="143"/>
      <c r="J41" s="144">
        <f t="shared" si="9"/>
        <v>0</v>
      </c>
      <c r="K41" s="144" t="str">
        <f t="shared" si="13"/>
        <v/>
      </c>
      <c r="L41" s="144"/>
      <c r="M41" s="145"/>
      <c r="N41" s="145"/>
      <c r="O41" s="145"/>
      <c r="P41" s="146"/>
      <c r="Q41" s="146"/>
      <c r="R41" s="146"/>
      <c r="S41" s="144">
        <f t="shared" si="10"/>
        <v>0</v>
      </c>
      <c r="T41" s="153" t="str">
        <f t="shared" si="14"/>
        <v/>
      </c>
      <c r="U41" s="144"/>
      <c r="W41" s="147" t="str">
        <f t="shared" si="15"/>
        <v/>
      </c>
      <c r="X41" s="149">
        <f t="shared" si="11"/>
        <v>0</v>
      </c>
      <c r="Y41" s="149">
        <f t="shared" si="16"/>
        <v>0</v>
      </c>
      <c r="Z41" s="237">
        <f t="shared" si="17"/>
        <v>0</v>
      </c>
    </row>
    <row r="42" spans="1:26">
      <c r="A42" s="129" t="s">
        <v>44</v>
      </c>
      <c r="B42" s="129" t="str">
        <f>Values!A42</f>
        <v>Presence</v>
      </c>
      <c r="C42" s="263">
        <f t="shared" si="12"/>
        <v>0</v>
      </c>
      <c r="D42" s="142">
        <v>0</v>
      </c>
      <c r="E42" s="161" t="str">
        <f>Creation_1!D30</f>
        <v/>
      </c>
      <c r="F42" s="142"/>
      <c r="G42" s="143">
        <v>0</v>
      </c>
      <c r="H42" s="143"/>
      <c r="I42" s="143"/>
      <c r="J42" s="144">
        <f t="shared" si="9"/>
        <v>0</v>
      </c>
      <c r="K42" s="144" t="str">
        <f t="shared" si="13"/>
        <v/>
      </c>
      <c r="L42" s="144"/>
      <c r="M42" s="145"/>
      <c r="N42" s="145"/>
      <c r="O42" s="145"/>
      <c r="P42" s="146"/>
      <c r="Q42" s="146"/>
      <c r="R42" s="146"/>
      <c r="S42" s="144">
        <f t="shared" si="10"/>
        <v>0</v>
      </c>
      <c r="T42" s="153" t="str">
        <f t="shared" si="14"/>
        <v/>
      </c>
      <c r="U42" s="144"/>
      <c r="W42" s="147" t="str">
        <f t="shared" si="15"/>
        <v/>
      </c>
      <c r="X42" s="149">
        <f t="shared" si="11"/>
        <v>0</v>
      </c>
      <c r="Y42" s="149">
        <f t="shared" si="16"/>
        <v>0</v>
      </c>
      <c r="Z42" s="237">
        <f t="shared" si="17"/>
        <v>0</v>
      </c>
    </row>
    <row r="43" spans="1:26">
      <c r="A43" s="129" t="s">
        <v>45</v>
      </c>
      <c r="B43" s="129" t="str">
        <f>Values!A43</f>
        <v>Resistance</v>
      </c>
      <c r="C43" s="263">
        <f t="shared" si="12"/>
        <v>0</v>
      </c>
      <c r="D43" s="142">
        <v>0</v>
      </c>
      <c r="E43" s="161" t="str">
        <f>Creation_1!D31</f>
        <v/>
      </c>
      <c r="F43" s="142"/>
      <c r="G43" s="143">
        <v>0</v>
      </c>
      <c r="H43" s="143"/>
      <c r="I43" s="143"/>
      <c r="J43" s="144">
        <f t="shared" si="9"/>
        <v>0</v>
      </c>
      <c r="K43" s="144" t="str">
        <f t="shared" si="13"/>
        <v/>
      </c>
      <c r="L43" s="144"/>
      <c r="M43" s="145"/>
      <c r="N43" s="145"/>
      <c r="O43" s="145"/>
      <c r="P43" s="146"/>
      <c r="Q43" s="146"/>
      <c r="R43" s="146"/>
      <c r="S43" s="144">
        <f t="shared" si="10"/>
        <v>0</v>
      </c>
      <c r="T43" s="153" t="str">
        <f t="shared" si="14"/>
        <v/>
      </c>
      <c r="U43" s="144"/>
      <c r="W43" s="147" t="str">
        <f t="shared" si="15"/>
        <v/>
      </c>
      <c r="X43" s="149">
        <f t="shared" si="11"/>
        <v>0</v>
      </c>
      <c r="Y43" s="149">
        <f t="shared" si="16"/>
        <v>0</v>
      </c>
      <c r="Z43" s="237">
        <f t="shared" si="17"/>
        <v>0</v>
      </c>
    </row>
    <row r="44" spans="1:26">
      <c r="A44" s="129" t="s">
        <v>46</v>
      </c>
      <c r="B44" s="129" t="str">
        <f>Values!A44</f>
        <v>Ride</v>
      </c>
      <c r="C44" s="263">
        <f t="shared" si="12"/>
        <v>0</v>
      </c>
      <c r="D44" s="142">
        <v>0</v>
      </c>
      <c r="E44" s="161" t="str">
        <f>Creation_1!D32</f>
        <v/>
      </c>
      <c r="F44" s="142"/>
      <c r="G44" s="143">
        <v>0</v>
      </c>
      <c r="H44" s="143"/>
      <c r="I44" s="143"/>
      <c r="J44" s="144">
        <f t="shared" si="9"/>
        <v>0</v>
      </c>
      <c r="K44" s="144" t="str">
        <f t="shared" si="13"/>
        <v/>
      </c>
      <c r="L44" s="144"/>
      <c r="M44" s="145"/>
      <c r="N44" s="145"/>
      <c r="O44" s="145"/>
      <c r="P44" s="146"/>
      <c r="Q44" s="146"/>
      <c r="R44" s="146"/>
      <c r="S44" s="144">
        <f t="shared" si="10"/>
        <v>0</v>
      </c>
      <c r="T44" s="153" t="str">
        <f t="shared" si="14"/>
        <v/>
      </c>
      <c r="U44" s="144"/>
      <c r="W44" s="147" t="str">
        <f t="shared" si="15"/>
        <v/>
      </c>
      <c r="X44" s="149">
        <f t="shared" si="11"/>
        <v>0</v>
      </c>
      <c r="Y44" s="149">
        <f t="shared" si="16"/>
        <v>0</v>
      </c>
      <c r="Z44" s="237">
        <f t="shared" si="17"/>
        <v>0</v>
      </c>
    </row>
    <row r="45" spans="1:26">
      <c r="A45" s="129" t="s">
        <v>47</v>
      </c>
      <c r="B45" s="129" t="str">
        <f>Values!A45</f>
        <v>Sail</v>
      </c>
      <c r="C45" s="263">
        <f t="shared" si="12"/>
        <v>0</v>
      </c>
      <c r="D45" s="142">
        <v>0</v>
      </c>
      <c r="E45" s="161" t="str">
        <f>Creation_1!D33</f>
        <v/>
      </c>
      <c r="F45" s="142"/>
      <c r="G45" s="143">
        <v>0</v>
      </c>
      <c r="H45" s="143"/>
      <c r="I45" s="143"/>
      <c r="J45" s="144">
        <f t="shared" si="9"/>
        <v>0</v>
      </c>
      <c r="K45" s="144" t="str">
        <f t="shared" si="13"/>
        <v/>
      </c>
      <c r="L45" s="144"/>
      <c r="M45" s="145"/>
      <c r="N45" s="145"/>
      <c r="O45" s="145"/>
      <c r="P45" s="146"/>
      <c r="Q45" s="146"/>
      <c r="R45" s="146"/>
      <c r="S45" s="144">
        <f t="shared" si="10"/>
        <v>0</v>
      </c>
      <c r="T45" s="153" t="str">
        <f t="shared" si="14"/>
        <v/>
      </c>
      <c r="U45" s="144"/>
      <c r="W45" s="147" t="str">
        <f t="shared" si="15"/>
        <v/>
      </c>
      <c r="X45" s="149">
        <f t="shared" si="11"/>
        <v>0</v>
      </c>
      <c r="Y45" s="149">
        <f t="shared" si="16"/>
        <v>0</v>
      </c>
      <c r="Z45" s="237">
        <f t="shared" si="17"/>
        <v>0</v>
      </c>
    </row>
    <row r="46" spans="1:26">
      <c r="A46" s="129" t="s">
        <v>50</v>
      </c>
      <c r="B46" s="129" t="str">
        <f>Values!A46</f>
        <v>Socialize</v>
      </c>
      <c r="C46" s="263">
        <f t="shared" si="12"/>
        <v>0</v>
      </c>
      <c r="D46" s="142">
        <v>0</v>
      </c>
      <c r="E46" s="161" t="str">
        <f>Creation_1!D34</f>
        <v/>
      </c>
      <c r="F46" s="142"/>
      <c r="G46" s="143">
        <v>0</v>
      </c>
      <c r="H46" s="143"/>
      <c r="I46" s="143"/>
      <c r="J46" s="144">
        <f t="shared" si="9"/>
        <v>0</v>
      </c>
      <c r="K46" s="144" t="str">
        <f t="shared" si="13"/>
        <v/>
      </c>
      <c r="L46" s="144"/>
      <c r="M46" s="145"/>
      <c r="N46" s="145"/>
      <c r="O46" s="145"/>
      <c r="P46" s="146"/>
      <c r="Q46" s="146"/>
      <c r="R46" s="146"/>
      <c r="S46" s="144">
        <f t="shared" si="10"/>
        <v>0</v>
      </c>
      <c r="T46" s="153" t="str">
        <f t="shared" si="14"/>
        <v/>
      </c>
      <c r="U46" s="144"/>
      <c r="W46" s="147" t="str">
        <f t="shared" si="15"/>
        <v/>
      </c>
      <c r="X46" s="149">
        <f t="shared" si="11"/>
        <v>0</v>
      </c>
      <c r="Y46" s="149">
        <f t="shared" si="16"/>
        <v>0</v>
      </c>
      <c r="Z46" s="237">
        <f t="shared" si="17"/>
        <v>0</v>
      </c>
    </row>
    <row r="47" spans="1:26">
      <c r="A47" s="129" t="s">
        <v>51</v>
      </c>
      <c r="B47" s="129" t="str">
        <f>Values!A47</f>
        <v>Stealth</v>
      </c>
      <c r="C47" s="263">
        <f t="shared" si="12"/>
        <v>0</v>
      </c>
      <c r="D47" s="142">
        <v>0</v>
      </c>
      <c r="E47" s="161" t="str">
        <f>Creation_1!D35</f>
        <v/>
      </c>
      <c r="F47" s="142"/>
      <c r="G47" s="143">
        <v>0</v>
      </c>
      <c r="H47" s="143"/>
      <c r="I47" s="143"/>
      <c r="J47" s="144">
        <f t="shared" si="9"/>
        <v>0</v>
      </c>
      <c r="K47" s="144" t="str">
        <f t="shared" si="13"/>
        <v/>
      </c>
      <c r="L47" s="144"/>
      <c r="M47" s="145"/>
      <c r="N47" s="145"/>
      <c r="O47" s="145"/>
      <c r="P47" s="146"/>
      <c r="Q47" s="146"/>
      <c r="R47" s="146"/>
      <c r="S47" s="144">
        <f t="shared" si="10"/>
        <v>0</v>
      </c>
      <c r="T47" s="153" t="str">
        <f t="shared" si="14"/>
        <v/>
      </c>
      <c r="U47" s="144"/>
      <c r="W47" s="147" t="str">
        <f t="shared" si="15"/>
        <v/>
      </c>
      <c r="X47" s="149">
        <f t="shared" si="11"/>
        <v>0</v>
      </c>
      <c r="Y47" s="149">
        <f t="shared" si="16"/>
        <v>0</v>
      </c>
      <c r="Z47" s="237">
        <f t="shared" si="17"/>
        <v>0</v>
      </c>
    </row>
    <row r="48" spans="1:26">
      <c r="A48" s="129" t="s">
        <v>56</v>
      </c>
      <c r="B48" s="129" t="str">
        <f>Values!A48</f>
        <v>Survival</v>
      </c>
      <c r="C48" s="263">
        <f t="shared" si="12"/>
        <v>0</v>
      </c>
      <c r="D48" s="142">
        <v>0</v>
      </c>
      <c r="E48" s="161" t="str">
        <f>Creation_1!D36</f>
        <v/>
      </c>
      <c r="F48" s="142"/>
      <c r="G48" s="143">
        <v>0</v>
      </c>
      <c r="H48" s="143"/>
      <c r="I48" s="143"/>
      <c r="J48" s="144">
        <f t="shared" si="9"/>
        <v>0</v>
      </c>
      <c r="K48" s="144" t="str">
        <f t="shared" si="13"/>
        <v/>
      </c>
      <c r="L48" s="144"/>
      <c r="M48" s="145"/>
      <c r="N48" s="145"/>
      <c r="O48" s="145"/>
      <c r="P48" s="146"/>
      <c r="Q48" s="146"/>
      <c r="R48" s="146"/>
      <c r="S48" s="144">
        <f t="shared" si="10"/>
        <v>0</v>
      </c>
      <c r="T48" s="153" t="str">
        <f t="shared" si="14"/>
        <v/>
      </c>
      <c r="U48" s="144"/>
      <c r="W48" s="147" t="str">
        <f t="shared" si="15"/>
        <v/>
      </c>
      <c r="X48" s="149">
        <f t="shared" si="11"/>
        <v>0</v>
      </c>
      <c r="Y48" s="149">
        <f t="shared" si="16"/>
        <v>0</v>
      </c>
      <c r="Z48" s="237">
        <f t="shared" si="17"/>
        <v>0</v>
      </c>
    </row>
    <row r="49" spans="1:27">
      <c r="A49" s="129" t="s">
        <v>57</v>
      </c>
      <c r="B49" s="129" t="str">
        <f>Values!A49</f>
        <v>Thrown</v>
      </c>
      <c r="C49" s="263">
        <f t="shared" si="12"/>
        <v>0</v>
      </c>
      <c r="D49" s="142">
        <v>0</v>
      </c>
      <c r="E49" s="161" t="str">
        <f>Creation_1!D37</f>
        <v/>
      </c>
      <c r="F49" s="142"/>
      <c r="G49" s="143">
        <v>0</v>
      </c>
      <c r="H49" s="143"/>
      <c r="I49" s="143"/>
      <c r="J49" s="144">
        <f t="shared" si="9"/>
        <v>0</v>
      </c>
      <c r="K49" s="144" t="str">
        <f t="shared" si="13"/>
        <v/>
      </c>
      <c r="L49" s="144"/>
      <c r="M49" s="145"/>
      <c r="N49" s="145"/>
      <c r="O49" s="145"/>
      <c r="P49" s="146"/>
      <c r="Q49" s="146"/>
      <c r="R49" s="146"/>
      <c r="S49" s="144">
        <f t="shared" si="10"/>
        <v>0</v>
      </c>
      <c r="T49" s="153" t="str">
        <f t="shared" si="14"/>
        <v/>
      </c>
      <c r="U49" s="144"/>
      <c r="W49" s="147" t="str">
        <f t="shared" si="15"/>
        <v/>
      </c>
      <c r="X49" s="149">
        <f t="shared" si="11"/>
        <v>0</v>
      </c>
      <c r="Y49" s="149">
        <f t="shared" si="16"/>
        <v>0</v>
      </c>
      <c r="Z49" s="237">
        <f t="shared" si="17"/>
        <v>0</v>
      </c>
    </row>
    <row r="50" spans="1:27">
      <c r="A50" s="129" t="s">
        <v>59</v>
      </c>
      <c r="B50" s="129" t="str">
        <f>Values!A50</f>
        <v>War</v>
      </c>
      <c r="C50" s="263">
        <f t="shared" si="12"/>
        <v>0</v>
      </c>
      <c r="D50" s="142">
        <v>0</v>
      </c>
      <c r="E50" s="161" t="str">
        <f>Creation_1!D38</f>
        <v/>
      </c>
      <c r="F50" s="142"/>
      <c r="G50" s="143">
        <v>0</v>
      </c>
      <c r="H50" s="143"/>
      <c r="I50" s="143"/>
      <c r="J50" s="144">
        <f t="shared" si="9"/>
        <v>0</v>
      </c>
      <c r="K50" s="144" t="str">
        <f t="shared" si="13"/>
        <v/>
      </c>
      <c r="L50" s="144"/>
      <c r="M50" s="145"/>
      <c r="N50" s="145"/>
      <c r="O50" s="145"/>
      <c r="P50" s="146"/>
      <c r="Q50" s="146"/>
      <c r="R50" s="146"/>
      <c r="S50" s="144">
        <f t="shared" si="10"/>
        <v>0</v>
      </c>
      <c r="T50" s="153" t="str">
        <f t="shared" si="14"/>
        <v/>
      </c>
      <c r="U50" s="144"/>
      <c r="W50" s="147" t="str">
        <f t="shared" si="15"/>
        <v/>
      </c>
      <c r="X50" s="149">
        <f t="shared" si="11"/>
        <v>0</v>
      </c>
      <c r="Y50" s="149">
        <f t="shared" si="16"/>
        <v>0</v>
      </c>
      <c r="Z50" s="237">
        <f t="shared" si="17"/>
        <v>0</v>
      </c>
    </row>
    <row r="51" spans="1:27">
      <c r="A51" s="18" t="s">
        <v>2984</v>
      </c>
      <c r="S51" s="130" t="e">
        <f>IF(VLOOKUP($S$6,Castes!$B$2:$D$25,3,0)=Castes!D22,Values!S20,S40)</f>
        <v>#N/A</v>
      </c>
      <c r="T51" s="224" t="str">
        <f>T40</f>
        <v/>
      </c>
      <c r="Y51" s="18"/>
      <c r="Z51" s="18"/>
    </row>
    <row r="52" spans="1:27">
      <c r="A52" s="140" t="s">
        <v>61</v>
      </c>
      <c r="B52" s="140"/>
      <c r="D52" s="130" t="s">
        <v>3277</v>
      </c>
      <c r="E52" s="130" t="s">
        <v>3274</v>
      </c>
      <c r="F52" s="130" t="s">
        <v>3276</v>
      </c>
      <c r="G52" s="130" t="s">
        <v>3277</v>
      </c>
      <c r="J52" s="130" t="s">
        <v>3273</v>
      </c>
      <c r="K52" s="130" t="s">
        <v>3274</v>
      </c>
      <c r="L52" s="130" t="s">
        <v>3276</v>
      </c>
      <c r="M52" s="152" t="s">
        <v>3273</v>
      </c>
      <c r="N52" s="152" t="s">
        <v>3274</v>
      </c>
      <c r="O52" s="152" t="s">
        <v>3276</v>
      </c>
      <c r="P52" s="130" t="s">
        <v>3273</v>
      </c>
      <c r="Q52" s="130" t="s">
        <v>3274</v>
      </c>
      <c r="R52" s="130" t="s">
        <v>3276</v>
      </c>
      <c r="S52" s="130" t="s">
        <v>3273</v>
      </c>
      <c r="T52" s="130" t="s">
        <v>3274</v>
      </c>
      <c r="U52" s="130" t="s">
        <v>3276</v>
      </c>
      <c r="Z52" s="18"/>
    </row>
    <row r="53" spans="1:27">
      <c r="A53" s="129" t="s">
        <v>62</v>
      </c>
      <c r="C53" s="263">
        <f t="shared" ref="C53:C58" si="18">$AB$7</f>
        <v>0</v>
      </c>
      <c r="D53" s="142">
        <v>0</v>
      </c>
      <c r="E53" s="161" t="str">
        <f>Creation_1!C43</f>
        <v/>
      </c>
      <c r="F53" s="161">
        <f>Creation_1!E43</f>
        <v>0</v>
      </c>
      <c r="G53" s="143">
        <v>0</v>
      </c>
      <c r="H53" s="143"/>
      <c r="I53" s="143"/>
      <c r="J53" s="144">
        <f t="shared" ref="J53:J58" si="19">SUM(C53,D53,G53)</f>
        <v>0</v>
      </c>
      <c r="K53" s="144" t="str">
        <f t="shared" ref="K53:L58" si="20">E53</f>
        <v/>
      </c>
      <c r="L53" s="144">
        <f t="shared" si="20"/>
        <v>0</v>
      </c>
      <c r="M53" s="145"/>
      <c r="N53" s="145"/>
      <c r="O53" s="145"/>
      <c r="P53" s="146"/>
      <c r="Q53" s="154" t="str">
        <f>Creation_XP!C42</f>
        <v/>
      </c>
      <c r="R53" s="146" t="str">
        <f>Creation_XP!E42</f>
        <v/>
      </c>
      <c r="S53" s="144">
        <f t="shared" si="10"/>
        <v>0</v>
      </c>
      <c r="T53" s="153" t="str">
        <f>IF(ISBLANK(Q53),IF(ISBLANK(N53),K53,N53),Q53)</f>
        <v/>
      </c>
      <c r="U53" s="153" t="str">
        <f>IF(ISBLANK(R53),IF(ISBLANK(O53),L53,O53),R53)</f>
        <v/>
      </c>
      <c r="W53" s="147" t="str">
        <f t="shared" ref="W53:W58" si="21">IF(G53&gt;0,IF(OR(E53="C",E53="S",E53="F"),G53,G53*2),"")</f>
        <v/>
      </c>
      <c r="X53" s="149">
        <f t="shared" ref="X53:X58" si="22">IF(ISBLANK(M53),J53,M53)</f>
        <v>0</v>
      </c>
      <c r="Y53" s="149">
        <f t="shared" ref="Y53:Y58" si="23">S53</f>
        <v>0</v>
      </c>
      <c r="Z53" s="237">
        <f t="shared" ref="Z53:Z58" si="24">2*0.5*(Y53*(Y53-1)-X53*(X53-1))-OR(T53="S",T53="C",T53="F")*(Y53-X53-AND(X53=0,Y53&gt;0))+3*AND(X53=0,Y53&gt;0)</f>
        <v>0</v>
      </c>
    </row>
    <row r="54" spans="1:27">
      <c r="A54" s="129" t="s">
        <v>63</v>
      </c>
      <c r="C54" s="263">
        <f t="shared" si="18"/>
        <v>0</v>
      </c>
      <c r="D54" s="142">
        <v>0</v>
      </c>
      <c r="E54" s="161" t="str">
        <f>Creation_1!C44</f>
        <v/>
      </c>
      <c r="F54" s="161">
        <f>Creation_1!E44</f>
        <v>0</v>
      </c>
      <c r="G54" s="143">
        <v>0</v>
      </c>
      <c r="H54" s="143"/>
      <c r="I54" s="143"/>
      <c r="J54" s="144">
        <f t="shared" si="19"/>
        <v>0</v>
      </c>
      <c r="K54" s="144" t="str">
        <f t="shared" si="20"/>
        <v/>
      </c>
      <c r="L54" s="144">
        <f t="shared" si="20"/>
        <v>0</v>
      </c>
      <c r="M54" s="145"/>
      <c r="N54" s="145"/>
      <c r="O54" s="145"/>
      <c r="P54" s="146"/>
      <c r="Q54" s="154" t="str">
        <f>Creation_XP!C43</f>
        <v/>
      </c>
      <c r="R54" s="146" t="str">
        <f>Creation_XP!E43</f>
        <v/>
      </c>
      <c r="S54" s="144">
        <f t="shared" si="10"/>
        <v>0</v>
      </c>
      <c r="T54" s="153" t="str">
        <f t="shared" ref="T54:T58" si="25">IF(ISBLANK(Q54),IF(ISBLANK(N54),K54,N54),Q54)</f>
        <v/>
      </c>
      <c r="U54" s="153" t="str">
        <f t="shared" ref="U54:U58" si="26">IF(ISBLANK(R54),IF(ISBLANK(O54),L54,O54),R54)</f>
        <v/>
      </c>
      <c r="W54" s="147" t="str">
        <f t="shared" si="21"/>
        <v/>
      </c>
      <c r="X54" s="149">
        <f t="shared" si="22"/>
        <v>0</v>
      </c>
      <c r="Y54" s="149">
        <f t="shared" si="23"/>
        <v>0</v>
      </c>
      <c r="Z54" s="237">
        <f t="shared" si="24"/>
        <v>0</v>
      </c>
    </row>
    <row r="55" spans="1:27">
      <c r="A55" s="129" t="s">
        <v>64</v>
      </c>
      <c r="C55" s="263">
        <f t="shared" si="18"/>
        <v>0</v>
      </c>
      <c r="D55" s="142">
        <v>0</v>
      </c>
      <c r="E55" s="161" t="str">
        <f>Creation_1!C45</f>
        <v/>
      </c>
      <c r="F55" s="161">
        <f>Creation_1!E45</f>
        <v>0</v>
      </c>
      <c r="G55" s="143">
        <v>0</v>
      </c>
      <c r="H55" s="143"/>
      <c r="I55" s="143"/>
      <c r="J55" s="144">
        <f t="shared" si="19"/>
        <v>0</v>
      </c>
      <c r="K55" s="144" t="str">
        <f t="shared" si="20"/>
        <v/>
      </c>
      <c r="L55" s="144">
        <f t="shared" si="20"/>
        <v>0</v>
      </c>
      <c r="M55" s="145"/>
      <c r="N55" s="145"/>
      <c r="O55" s="145"/>
      <c r="P55" s="146"/>
      <c r="Q55" s="154" t="str">
        <f>Creation_XP!C44</f>
        <v/>
      </c>
      <c r="R55" s="146" t="str">
        <f>Creation_XP!E44</f>
        <v/>
      </c>
      <c r="S55" s="144">
        <f t="shared" si="10"/>
        <v>0</v>
      </c>
      <c r="T55" s="153" t="str">
        <f t="shared" si="25"/>
        <v/>
      </c>
      <c r="U55" s="153" t="str">
        <f t="shared" si="26"/>
        <v/>
      </c>
      <c r="W55" s="147" t="str">
        <f t="shared" si="21"/>
        <v/>
      </c>
      <c r="X55" s="149">
        <f t="shared" si="22"/>
        <v>0</v>
      </c>
      <c r="Y55" s="149">
        <f t="shared" si="23"/>
        <v>0</v>
      </c>
      <c r="Z55" s="237">
        <f t="shared" si="24"/>
        <v>0</v>
      </c>
    </row>
    <row r="56" spans="1:27">
      <c r="A56" s="129" t="s">
        <v>65</v>
      </c>
      <c r="C56" s="263">
        <f t="shared" si="18"/>
        <v>0</v>
      </c>
      <c r="D56" s="142">
        <v>0</v>
      </c>
      <c r="E56" s="161" t="str">
        <f>Creation_1!C46</f>
        <v/>
      </c>
      <c r="F56" s="161">
        <f>Creation_1!E46</f>
        <v>0</v>
      </c>
      <c r="G56" s="143">
        <v>0</v>
      </c>
      <c r="H56" s="143"/>
      <c r="I56" s="143"/>
      <c r="J56" s="144">
        <f t="shared" si="19"/>
        <v>0</v>
      </c>
      <c r="K56" s="144" t="str">
        <f t="shared" si="20"/>
        <v/>
      </c>
      <c r="L56" s="144">
        <f t="shared" si="20"/>
        <v>0</v>
      </c>
      <c r="M56" s="145"/>
      <c r="N56" s="145"/>
      <c r="O56" s="145"/>
      <c r="P56" s="146"/>
      <c r="Q56" s="154" t="str">
        <f>Creation_XP!C45</f>
        <v/>
      </c>
      <c r="R56" s="146" t="str">
        <f>Creation_XP!E45</f>
        <v/>
      </c>
      <c r="S56" s="144">
        <f t="shared" si="10"/>
        <v>0</v>
      </c>
      <c r="T56" s="153" t="str">
        <f t="shared" si="25"/>
        <v/>
      </c>
      <c r="U56" s="153" t="str">
        <f t="shared" si="26"/>
        <v/>
      </c>
      <c r="W56" s="147" t="str">
        <f t="shared" si="21"/>
        <v/>
      </c>
      <c r="X56" s="149">
        <f t="shared" si="22"/>
        <v>0</v>
      </c>
      <c r="Y56" s="149">
        <f t="shared" si="23"/>
        <v>0</v>
      </c>
      <c r="Z56" s="237">
        <f t="shared" si="24"/>
        <v>0</v>
      </c>
    </row>
    <row r="57" spans="1:27">
      <c r="A57" s="129" t="s">
        <v>66</v>
      </c>
      <c r="C57" s="263">
        <f t="shared" si="18"/>
        <v>0</v>
      </c>
      <c r="D57" s="142">
        <v>0</v>
      </c>
      <c r="E57" s="161" t="str">
        <f>Creation_1!C47</f>
        <v/>
      </c>
      <c r="F57" s="161">
        <f>Creation_1!E47</f>
        <v>0</v>
      </c>
      <c r="G57" s="143">
        <v>0</v>
      </c>
      <c r="H57" s="143"/>
      <c r="I57" s="143"/>
      <c r="J57" s="144">
        <f t="shared" si="19"/>
        <v>0</v>
      </c>
      <c r="K57" s="144" t="str">
        <f t="shared" si="20"/>
        <v/>
      </c>
      <c r="L57" s="144">
        <f t="shared" si="20"/>
        <v>0</v>
      </c>
      <c r="M57" s="145"/>
      <c r="N57" s="145"/>
      <c r="O57" s="145"/>
      <c r="P57" s="146"/>
      <c r="Q57" s="154" t="str">
        <f>Creation_XP!C46</f>
        <v/>
      </c>
      <c r="R57" s="146" t="str">
        <f>Creation_XP!E46</f>
        <v/>
      </c>
      <c r="S57" s="144">
        <f t="shared" si="10"/>
        <v>0</v>
      </c>
      <c r="T57" s="153" t="str">
        <f t="shared" si="25"/>
        <v/>
      </c>
      <c r="U57" s="153" t="str">
        <f t="shared" si="26"/>
        <v/>
      </c>
      <c r="W57" s="147" t="str">
        <f t="shared" si="21"/>
        <v/>
      </c>
      <c r="X57" s="149">
        <f t="shared" si="22"/>
        <v>0</v>
      </c>
      <c r="Y57" s="149">
        <f t="shared" si="23"/>
        <v>0</v>
      </c>
      <c r="Z57" s="237">
        <f t="shared" si="24"/>
        <v>0</v>
      </c>
    </row>
    <row r="58" spans="1:27">
      <c r="A58" s="129" t="s">
        <v>67</v>
      </c>
      <c r="C58" s="263">
        <f t="shared" si="18"/>
        <v>0</v>
      </c>
      <c r="D58" s="142">
        <v>0</v>
      </c>
      <c r="E58" s="161" t="str">
        <f>Creation_1!C48</f>
        <v/>
      </c>
      <c r="F58" s="161">
        <f>Creation_1!E48</f>
        <v>0</v>
      </c>
      <c r="G58" s="143">
        <v>0</v>
      </c>
      <c r="H58" s="143"/>
      <c r="I58" s="143"/>
      <c r="J58" s="144">
        <f t="shared" si="19"/>
        <v>0</v>
      </c>
      <c r="K58" s="144" t="str">
        <f t="shared" si="20"/>
        <v/>
      </c>
      <c r="L58" s="144">
        <f t="shared" si="20"/>
        <v>0</v>
      </c>
      <c r="M58" s="145"/>
      <c r="N58" s="145"/>
      <c r="O58" s="145"/>
      <c r="P58" s="146"/>
      <c r="Q58" s="154" t="str">
        <f>Creation_XP!C47</f>
        <v/>
      </c>
      <c r="R58" s="146" t="str">
        <f>Creation_XP!E47</f>
        <v/>
      </c>
      <c r="S58" s="144">
        <f t="shared" si="10"/>
        <v>0</v>
      </c>
      <c r="T58" s="153" t="str">
        <f t="shared" si="25"/>
        <v/>
      </c>
      <c r="U58" s="153" t="str">
        <f t="shared" si="26"/>
        <v/>
      </c>
      <c r="W58" s="147" t="str">
        <f t="shared" si="21"/>
        <v/>
      </c>
      <c r="X58" s="149">
        <f t="shared" si="22"/>
        <v>0</v>
      </c>
      <c r="Y58" s="149">
        <f t="shared" si="23"/>
        <v>0</v>
      </c>
      <c r="Z58" s="237">
        <f t="shared" si="24"/>
        <v>0</v>
      </c>
    </row>
    <row r="59" spans="1:27">
      <c r="A59" s="18" t="s">
        <v>7347</v>
      </c>
      <c r="D59" s="163">
        <f>SUM(D25:D58)</f>
        <v>0</v>
      </c>
      <c r="G59" s="165">
        <f>SUM(G25:G58)</f>
        <v>0</v>
      </c>
      <c r="S59" s="144">
        <v>5</v>
      </c>
      <c r="T59" s="144"/>
      <c r="U59" s="144"/>
      <c r="W59" s="151">
        <f>SUM(W25:W58)</f>
        <v>0</v>
      </c>
      <c r="Z59" s="164">
        <f>SUM(Z25:Z58)</f>
        <v>0</v>
      </c>
    </row>
    <row r="60" spans="1:27">
      <c r="A60" s="140" t="s">
        <v>107</v>
      </c>
      <c r="D60" s="130" t="s">
        <v>3279</v>
      </c>
      <c r="E60" s="129" t="s">
        <v>80</v>
      </c>
      <c r="F60" s="130" t="s">
        <v>3278</v>
      </c>
      <c r="G60" s="130" t="s">
        <v>3279</v>
      </c>
      <c r="H60" s="129" t="s">
        <v>80</v>
      </c>
      <c r="I60" s="130" t="s">
        <v>3278</v>
      </c>
      <c r="J60" s="130" t="str">
        <f>G60</f>
        <v>New ?</v>
      </c>
      <c r="K60" s="130" t="str">
        <f>H60</f>
        <v>Name</v>
      </c>
      <c r="L60" s="130" t="str">
        <f>I60</f>
        <v>Abilit</v>
      </c>
      <c r="N60" s="152" t="str">
        <f>K60</f>
        <v>Name</v>
      </c>
      <c r="O60" s="152" t="str">
        <f>L60</f>
        <v>Abilit</v>
      </c>
      <c r="S60" s="144"/>
      <c r="T60" s="144" t="s">
        <v>80</v>
      </c>
      <c r="U60" s="144" t="s">
        <v>3278</v>
      </c>
    </row>
    <row r="61" spans="1:27">
      <c r="A61" s="129" t="s">
        <v>108</v>
      </c>
      <c r="D61" s="142">
        <f>IF(Creation_1!V13&lt;&gt;0,1,0)</f>
        <v>0</v>
      </c>
      <c r="E61" s="161">
        <f>Creation_1!V13</f>
        <v>0</v>
      </c>
      <c r="F61" s="142">
        <f>Creation_1!P13</f>
        <v>0</v>
      </c>
      <c r="G61" s="143">
        <f>IF(Creation_1!V13&lt;&gt;Creation_BP!V13,1,0)</f>
        <v>0</v>
      </c>
      <c r="H61" s="143" t="str">
        <f>Creation_BP!V13</f>
        <v/>
      </c>
      <c r="I61" s="143" t="str">
        <f>Creation_BP!P13</f>
        <v/>
      </c>
      <c r="J61" s="144">
        <f t="shared" ref="J61:J70" si="27">G61</f>
        <v>0</v>
      </c>
      <c r="K61" s="144" t="str">
        <f t="shared" ref="K61:K70" si="28">H61</f>
        <v/>
      </c>
      <c r="L61" s="144" t="str">
        <f t="shared" ref="L61:L70" si="29">I61</f>
        <v/>
      </c>
      <c r="M61" s="145"/>
      <c r="N61" s="145"/>
      <c r="O61" s="145"/>
      <c r="P61" s="146"/>
      <c r="Q61" s="146" t="str">
        <f>Creation_XP!V13</f>
        <v/>
      </c>
      <c r="R61" s="146" t="str">
        <f>Creation_XP!P13</f>
        <v/>
      </c>
      <c r="S61" s="144"/>
      <c r="T61" s="144" t="str">
        <f>Q61</f>
        <v/>
      </c>
      <c r="U61" s="144" t="str">
        <f>R61</f>
        <v/>
      </c>
      <c r="W61" s="147"/>
      <c r="X61" s="149" t="str">
        <f>IF(ISBLANK(N61),K61,N61)</f>
        <v/>
      </c>
      <c r="Y61" s="149" t="str">
        <f>Q61</f>
        <v/>
      </c>
      <c r="Z61" s="150">
        <f>IF(Y61&lt;&gt;X61,3,0)</f>
        <v>0</v>
      </c>
      <c r="AA61" s="166"/>
    </row>
    <row r="62" spans="1:27">
      <c r="A62" s="129" t="s">
        <v>109</v>
      </c>
      <c r="D62" s="142">
        <f>IF(Creation_1!V14&lt;&gt;0,1,0)</f>
        <v>0</v>
      </c>
      <c r="E62" s="161">
        <f>Creation_1!V14</f>
        <v>0</v>
      </c>
      <c r="F62" s="142">
        <f>Creation_1!P14</f>
        <v>0</v>
      </c>
      <c r="G62" s="143">
        <f>IF(Creation_1!V14&lt;&gt;Creation_BP!V14,1,0)</f>
        <v>0</v>
      </c>
      <c r="H62" s="143" t="str">
        <f>Creation_BP!V14</f>
        <v/>
      </c>
      <c r="I62" s="143" t="str">
        <f>Creation_BP!P14</f>
        <v/>
      </c>
      <c r="J62" s="144">
        <f t="shared" si="27"/>
        <v>0</v>
      </c>
      <c r="K62" s="144" t="str">
        <f t="shared" si="28"/>
        <v/>
      </c>
      <c r="L62" s="144" t="str">
        <f t="shared" si="29"/>
        <v/>
      </c>
      <c r="M62" s="145"/>
      <c r="N62" s="145"/>
      <c r="O62" s="145"/>
      <c r="P62" s="146"/>
      <c r="Q62" s="146" t="str">
        <f>Creation_XP!V14</f>
        <v/>
      </c>
      <c r="R62" s="146" t="str">
        <f>Creation_XP!P14</f>
        <v/>
      </c>
      <c r="S62" s="144"/>
      <c r="T62" s="144" t="str">
        <f t="shared" ref="T62:T70" si="30">Q62</f>
        <v/>
      </c>
      <c r="U62" s="144" t="str">
        <f t="shared" ref="U62:U70" si="31">R62</f>
        <v/>
      </c>
      <c r="W62" s="147"/>
      <c r="X62" s="149" t="str">
        <f t="shared" ref="X62:X70" si="32">IF(ISBLANK(N62),K62,N62)</f>
        <v/>
      </c>
      <c r="Y62" s="149" t="str">
        <f t="shared" ref="Y62:Y70" si="33">Q62</f>
        <v/>
      </c>
      <c r="Z62" s="150">
        <f t="shared" ref="Z62:Z70" si="34">IF(Y62&lt;&gt;X62,3,0)</f>
        <v>0</v>
      </c>
      <c r="AA62" s="166"/>
    </row>
    <row r="63" spans="1:27">
      <c r="A63" s="129" t="s">
        <v>110</v>
      </c>
      <c r="D63" s="142">
        <f>IF(Creation_1!V15&lt;&gt;0,1,0)</f>
        <v>0</v>
      </c>
      <c r="E63" s="161">
        <f>Creation_1!V15</f>
        <v>0</v>
      </c>
      <c r="F63" s="142">
        <f>Creation_1!P15</f>
        <v>0</v>
      </c>
      <c r="G63" s="143">
        <f>IF(Creation_1!V15&lt;&gt;Creation_BP!V15,1,0)</f>
        <v>0</v>
      </c>
      <c r="H63" s="143" t="str">
        <f>Creation_BP!V15</f>
        <v/>
      </c>
      <c r="I63" s="143" t="str">
        <f>Creation_BP!P15</f>
        <v/>
      </c>
      <c r="J63" s="144">
        <f t="shared" si="27"/>
        <v>0</v>
      </c>
      <c r="K63" s="144" t="str">
        <f t="shared" si="28"/>
        <v/>
      </c>
      <c r="L63" s="144" t="str">
        <f t="shared" si="29"/>
        <v/>
      </c>
      <c r="M63" s="145"/>
      <c r="N63" s="145"/>
      <c r="O63" s="145"/>
      <c r="P63" s="146"/>
      <c r="Q63" s="146" t="str">
        <f>Creation_XP!V15</f>
        <v/>
      </c>
      <c r="R63" s="146" t="str">
        <f>Creation_XP!P15</f>
        <v/>
      </c>
      <c r="S63" s="144"/>
      <c r="T63" s="144" t="str">
        <f t="shared" si="30"/>
        <v/>
      </c>
      <c r="U63" s="144" t="str">
        <f t="shared" si="31"/>
        <v/>
      </c>
      <c r="W63" s="147"/>
      <c r="X63" s="149" t="str">
        <f t="shared" si="32"/>
        <v/>
      </c>
      <c r="Y63" s="149" t="str">
        <f t="shared" si="33"/>
        <v/>
      </c>
      <c r="Z63" s="150">
        <f t="shared" si="34"/>
        <v>0</v>
      </c>
      <c r="AA63" s="166"/>
    </row>
    <row r="64" spans="1:27">
      <c r="A64" s="129" t="s">
        <v>111</v>
      </c>
      <c r="D64" s="142">
        <f>IF(Creation_1!V16&lt;&gt;0,1,0)</f>
        <v>0</v>
      </c>
      <c r="E64" s="161">
        <f>Creation_1!V16</f>
        <v>0</v>
      </c>
      <c r="F64" s="142">
        <f>Creation_1!P16</f>
        <v>0</v>
      </c>
      <c r="G64" s="143">
        <f>IF(Creation_1!V16&lt;&gt;Creation_BP!V16,1,0)</f>
        <v>0</v>
      </c>
      <c r="H64" s="143" t="str">
        <f>Creation_BP!V16</f>
        <v/>
      </c>
      <c r="I64" s="143" t="str">
        <f>Creation_BP!P16</f>
        <v/>
      </c>
      <c r="J64" s="144">
        <f t="shared" si="27"/>
        <v>0</v>
      </c>
      <c r="K64" s="144" t="str">
        <f t="shared" si="28"/>
        <v/>
      </c>
      <c r="L64" s="144" t="str">
        <f t="shared" si="29"/>
        <v/>
      </c>
      <c r="M64" s="145"/>
      <c r="N64" s="145"/>
      <c r="O64" s="145"/>
      <c r="P64" s="146"/>
      <c r="Q64" s="146" t="str">
        <f>Creation_XP!V16</f>
        <v/>
      </c>
      <c r="R64" s="146" t="str">
        <f>Creation_XP!P16</f>
        <v/>
      </c>
      <c r="S64" s="144"/>
      <c r="T64" s="144" t="str">
        <f t="shared" si="30"/>
        <v/>
      </c>
      <c r="U64" s="144" t="str">
        <f t="shared" si="31"/>
        <v/>
      </c>
      <c r="W64" s="147"/>
      <c r="X64" s="149" t="str">
        <f t="shared" si="32"/>
        <v/>
      </c>
      <c r="Y64" s="149" t="str">
        <f t="shared" si="33"/>
        <v/>
      </c>
      <c r="Z64" s="150">
        <f t="shared" si="34"/>
        <v>0</v>
      </c>
      <c r="AA64" s="166"/>
    </row>
    <row r="65" spans="1:27">
      <c r="A65" s="129" t="s">
        <v>112</v>
      </c>
      <c r="D65" s="142">
        <f>IF(Creation_1!V17&lt;&gt;0,1,0)</f>
        <v>0</v>
      </c>
      <c r="E65" s="161">
        <f>Creation_1!V17</f>
        <v>0</v>
      </c>
      <c r="F65" s="142">
        <f>Creation_1!P17</f>
        <v>0</v>
      </c>
      <c r="G65" s="143">
        <f>IF(Creation_1!V17&lt;&gt;Creation_BP!V17,1,0)</f>
        <v>0</v>
      </c>
      <c r="H65" s="143" t="str">
        <f>Creation_BP!V17</f>
        <v/>
      </c>
      <c r="I65" s="143" t="str">
        <f>Creation_BP!P17</f>
        <v/>
      </c>
      <c r="J65" s="144">
        <f t="shared" si="27"/>
        <v>0</v>
      </c>
      <c r="K65" s="144" t="str">
        <f t="shared" si="28"/>
        <v/>
      </c>
      <c r="L65" s="144" t="str">
        <f t="shared" si="29"/>
        <v/>
      </c>
      <c r="M65" s="145"/>
      <c r="N65" s="145"/>
      <c r="O65" s="145"/>
      <c r="P65" s="146"/>
      <c r="Q65" s="146" t="str">
        <f>Creation_XP!V17</f>
        <v/>
      </c>
      <c r="R65" s="146" t="str">
        <f>Creation_XP!P17</f>
        <v/>
      </c>
      <c r="S65" s="144"/>
      <c r="T65" s="144" t="str">
        <f t="shared" si="30"/>
        <v/>
      </c>
      <c r="U65" s="144" t="str">
        <f t="shared" si="31"/>
        <v/>
      </c>
      <c r="W65" s="147"/>
      <c r="X65" s="149" t="str">
        <f t="shared" si="32"/>
        <v/>
      </c>
      <c r="Y65" s="149" t="str">
        <f t="shared" si="33"/>
        <v/>
      </c>
      <c r="Z65" s="150">
        <f t="shared" si="34"/>
        <v>0</v>
      </c>
      <c r="AA65" s="166"/>
    </row>
    <row r="66" spans="1:27">
      <c r="A66" s="129" t="s">
        <v>113</v>
      </c>
      <c r="D66" s="142">
        <f>IF(Creation_1!V18&lt;&gt;0,1,0)</f>
        <v>0</v>
      </c>
      <c r="E66" s="161">
        <f>Creation_1!V18</f>
        <v>0</v>
      </c>
      <c r="F66" s="142">
        <f>Creation_1!P18</f>
        <v>0</v>
      </c>
      <c r="G66" s="143">
        <f>IF(Creation_1!V18&lt;&gt;Creation_BP!V18,1,0)</f>
        <v>0</v>
      </c>
      <c r="H66" s="143" t="str">
        <f>Creation_BP!V18</f>
        <v/>
      </c>
      <c r="I66" s="143" t="str">
        <f>Creation_BP!P18</f>
        <v/>
      </c>
      <c r="J66" s="144">
        <f t="shared" si="27"/>
        <v>0</v>
      </c>
      <c r="K66" s="144" t="str">
        <f t="shared" si="28"/>
        <v/>
      </c>
      <c r="L66" s="144" t="str">
        <f t="shared" si="29"/>
        <v/>
      </c>
      <c r="M66" s="145"/>
      <c r="N66" s="145"/>
      <c r="O66" s="145"/>
      <c r="P66" s="146"/>
      <c r="Q66" s="146" t="str">
        <f>Creation_XP!V18</f>
        <v/>
      </c>
      <c r="R66" s="146" t="str">
        <f>Creation_XP!P18</f>
        <v/>
      </c>
      <c r="S66" s="144"/>
      <c r="T66" s="144" t="str">
        <f t="shared" si="30"/>
        <v/>
      </c>
      <c r="U66" s="144" t="str">
        <f t="shared" si="31"/>
        <v/>
      </c>
      <c r="W66" s="147"/>
      <c r="X66" s="149" t="str">
        <f t="shared" si="32"/>
        <v/>
      </c>
      <c r="Y66" s="149" t="str">
        <f t="shared" si="33"/>
        <v/>
      </c>
      <c r="Z66" s="150">
        <f t="shared" si="34"/>
        <v>0</v>
      </c>
      <c r="AA66" s="166"/>
    </row>
    <row r="67" spans="1:27">
      <c r="A67" s="129" t="s">
        <v>114</v>
      </c>
      <c r="D67" s="142">
        <f>IF(Creation_1!V19&lt;&gt;0,1,0)</f>
        <v>0</v>
      </c>
      <c r="E67" s="161">
        <f>Creation_1!V19</f>
        <v>0</v>
      </c>
      <c r="F67" s="142">
        <f>Creation_1!P19</f>
        <v>0</v>
      </c>
      <c r="G67" s="143">
        <f>IF(Creation_1!V19&lt;&gt;Creation_BP!V19,1,0)</f>
        <v>0</v>
      </c>
      <c r="H67" s="143" t="str">
        <f>Creation_BP!V19</f>
        <v/>
      </c>
      <c r="I67" s="143" t="str">
        <f>Creation_BP!P19</f>
        <v/>
      </c>
      <c r="J67" s="144">
        <f t="shared" si="27"/>
        <v>0</v>
      </c>
      <c r="K67" s="144" t="str">
        <f t="shared" si="28"/>
        <v/>
      </c>
      <c r="L67" s="144" t="str">
        <f t="shared" si="29"/>
        <v/>
      </c>
      <c r="M67" s="145"/>
      <c r="N67" s="145"/>
      <c r="O67" s="145"/>
      <c r="P67" s="146"/>
      <c r="Q67" s="146" t="str">
        <f>Creation_XP!V19</f>
        <v/>
      </c>
      <c r="R67" s="146" t="str">
        <f>Creation_XP!P19</f>
        <v/>
      </c>
      <c r="S67" s="144"/>
      <c r="T67" s="144" t="str">
        <f t="shared" si="30"/>
        <v/>
      </c>
      <c r="U67" s="144" t="str">
        <f t="shared" si="31"/>
        <v/>
      </c>
      <c r="W67" s="147"/>
      <c r="X67" s="149" t="str">
        <f t="shared" si="32"/>
        <v/>
      </c>
      <c r="Y67" s="149" t="str">
        <f t="shared" si="33"/>
        <v/>
      </c>
      <c r="Z67" s="150">
        <f t="shared" si="34"/>
        <v>0</v>
      </c>
      <c r="AA67" s="166"/>
    </row>
    <row r="68" spans="1:27">
      <c r="A68" s="129" t="s">
        <v>115</v>
      </c>
      <c r="D68" s="142">
        <f>IF(Creation_1!V20&lt;&gt;0,1,0)</f>
        <v>0</v>
      </c>
      <c r="E68" s="161">
        <f>Creation_1!V20</f>
        <v>0</v>
      </c>
      <c r="F68" s="142">
        <f>Creation_1!P20</f>
        <v>0</v>
      </c>
      <c r="G68" s="143">
        <f>IF(Creation_1!V20&lt;&gt;Creation_BP!V20,1,0)</f>
        <v>0</v>
      </c>
      <c r="H68" s="143" t="str">
        <f>Creation_BP!V20</f>
        <v/>
      </c>
      <c r="I68" s="143" t="str">
        <f>Creation_BP!P20</f>
        <v/>
      </c>
      <c r="J68" s="144">
        <f t="shared" si="27"/>
        <v>0</v>
      </c>
      <c r="K68" s="144" t="str">
        <f t="shared" si="28"/>
        <v/>
      </c>
      <c r="L68" s="144" t="str">
        <f t="shared" si="29"/>
        <v/>
      </c>
      <c r="M68" s="145"/>
      <c r="N68" s="145"/>
      <c r="O68" s="145"/>
      <c r="P68" s="146"/>
      <c r="Q68" s="146" t="str">
        <f>Creation_XP!V20</f>
        <v/>
      </c>
      <c r="R68" s="146" t="str">
        <f>Creation_XP!P20</f>
        <v/>
      </c>
      <c r="S68" s="144"/>
      <c r="T68" s="144" t="str">
        <f t="shared" si="30"/>
        <v/>
      </c>
      <c r="U68" s="144" t="str">
        <f t="shared" si="31"/>
        <v/>
      </c>
      <c r="W68" s="147"/>
      <c r="X68" s="149" t="str">
        <f t="shared" si="32"/>
        <v/>
      </c>
      <c r="Y68" s="149" t="str">
        <f t="shared" si="33"/>
        <v/>
      </c>
      <c r="Z68" s="150">
        <f t="shared" si="34"/>
        <v>0</v>
      </c>
      <c r="AA68" s="166"/>
    </row>
    <row r="69" spans="1:27">
      <c r="A69" s="129" t="s">
        <v>116</v>
      </c>
      <c r="D69" s="142">
        <f>IF(Creation_1!V21&lt;&gt;0,1,0)</f>
        <v>0</v>
      </c>
      <c r="E69" s="161">
        <f>Creation_1!V21</f>
        <v>0</v>
      </c>
      <c r="F69" s="142">
        <f>Creation_1!P21</f>
        <v>0</v>
      </c>
      <c r="G69" s="143">
        <f>IF(Creation_1!V21&lt;&gt;Creation_BP!V21,1,0)</f>
        <v>0</v>
      </c>
      <c r="H69" s="143" t="str">
        <f>Creation_BP!V21</f>
        <v/>
      </c>
      <c r="I69" s="143" t="str">
        <f>Creation_BP!P21</f>
        <v/>
      </c>
      <c r="J69" s="144">
        <f t="shared" si="27"/>
        <v>0</v>
      </c>
      <c r="K69" s="144" t="str">
        <f t="shared" si="28"/>
        <v/>
      </c>
      <c r="L69" s="144" t="str">
        <f t="shared" si="29"/>
        <v/>
      </c>
      <c r="M69" s="145"/>
      <c r="N69" s="145"/>
      <c r="O69" s="145"/>
      <c r="P69" s="146"/>
      <c r="Q69" s="146" t="str">
        <f>Creation_XP!V21</f>
        <v/>
      </c>
      <c r="R69" s="146" t="str">
        <f>Creation_XP!P21</f>
        <v/>
      </c>
      <c r="S69" s="144"/>
      <c r="T69" s="144" t="str">
        <f t="shared" si="30"/>
        <v/>
      </c>
      <c r="U69" s="144" t="str">
        <f t="shared" si="31"/>
        <v/>
      </c>
      <c r="W69" s="147"/>
      <c r="X69" s="149" t="str">
        <f t="shared" si="32"/>
        <v/>
      </c>
      <c r="Y69" s="149" t="str">
        <f t="shared" si="33"/>
        <v/>
      </c>
      <c r="Z69" s="150">
        <f t="shared" si="34"/>
        <v>0</v>
      </c>
      <c r="AA69" s="166"/>
    </row>
    <row r="70" spans="1:27">
      <c r="A70" s="129" t="s">
        <v>117</v>
      </c>
      <c r="D70" s="142">
        <f>IF(Creation_1!V22&lt;&gt;0,1,0)</f>
        <v>0</v>
      </c>
      <c r="E70" s="161">
        <f>Creation_1!V22</f>
        <v>0</v>
      </c>
      <c r="F70" s="142">
        <f>Creation_1!P22</f>
        <v>0</v>
      </c>
      <c r="G70" s="143">
        <f>IF(Creation_1!V22&lt;&gt;Creation_BP!V22,1,0)</f>
        <v>0</v>
      </c>
      <c r="H70" s="143" t="str">
        <f>Creation_BP!V22</f>
        <v/>
      </c>
      <c r="I70" s="143" t="str">
        <f>Creation_BP!P22</f>
        <v/>
      </c>
      <c r="J70" s="144">
        <f t="shared" si="27"/>
        <v>0</v>
      </c>
      <c r="K70" s="144" t="str">
        <f t="shared" si="28"/>
        <v/>
      </c>
      <c r="L70" s="144" t="str">
        <f t="shared" si="29"/>
        <v/>
      </c>
      <c r="M70" s="145"/>
      <c r="N70" s="145"/>
      <c r="O70" s="145"/>
      <c r="P70" s="146"/>
      <c r="Q70" s="146" t="str">
        <f>Creation_XP!V22</f>
        <v/>
      </c>
      <c r="R70" s="146" t="str">
        <f>Creation_XP!P22</f>
        <v/>
      </c>
      <c r="S70" s="144"/>
      <c r="T70" s="144" t="str">
        <f t="shared" si="30"/>
        <v/>
      </c>
      <c r="U70" s="144" t="str">
        <f t="shared" si="31"/>
        <v/>
      </c>
      <c r="W70" s="147"/>
      <c r="X70" s="149" t="str">
        <f t="shared" si="32"/>
        <v/>
      </c>
      <c r="Y70" s="149" t="str">
        <f t="shared" si="33"/>
        <v/>
      </c>
      <c r="Z70" s="150">
        <f t="shared" si="34"/>
        <v>0</v>
      </c>
      <c r="AA70" s="166"/>
    </row>
    <row r="71" spans="1:27">
      <c r="D71" s="163">
        <f>SUM(D61:D70)</f>
        <v>0</v>
      </c>
      <c r="G71" s="165">
        <f>SUM(G61:G70)</f>
        <v>0</v>
      </c>
      <c r="S71" s="144"/>
      <c r="T71" s="144"/>
      <c r="U71" s="144"/>
      <c r="W71" s="165">
        <f>G71</f>
        <v>0</v>
      </c>
      <c r="Z71" s="164">
        <f>SUM(Z61:Z70)</f>
        <v>0</v>
      </c>
    </row>
    <row r="72" spans="1:27" ht="28.5">
      <c r="A72" s="140" t="s">
        <v>118</v>
      </c>
      <c r="D72" s="130" t="s">
        <v>3277</v>
      </c>
      <c r="E72" s="140" t="s">
        <v>80</v>
      </c>
      <c r="F72" s="141" t="s">
        <v>3241</v>
      </c>
      <c r="G72" s="130" t="s">
        <v>3280</v>
      </c>
      <c r="H72" s="140" t="s">
        <v>80</v>
      </c>
      <c r="I72" s="141" t="s">
        <v>3241</v>
      </c>
      <c r="J72" s="130" t="s">
        <v>3281</v>
      </c>
      <c r="K72" s="140" t="s">
        <v>80</v>
      </c>
      <c r="L72" s="141" t="s">
        <v>3241</v>
      </c>
      <c r="M72" s="152" t="s">
        <v>3277</v>
      </c>
      <c r="N72" s="167" t="s">
        <v>80</v>
      </c>
      <c r="O72" s="168" t="s">
        <v>3241</v>
      </c>
      <c r="P72" s="130" t="s">
        <v>3277</v>
      </c>
      <c r="Q72" s="140" t="s">
        <v>80</v>
      </c>
      <c r="R72" s="141" t="s">
        <v>3241</v>
      </c>
      <c r="S72" s="130" t="s">
        <v>3277</v>
      </c>
      <c r="T72" s="140" t="s">
        <v>80</v>
      </c>
      <c r="U72" s="141" t="s">
        <v>3241</v>
      </c>
      <c r="X72" s="169" t="s">
        <v>3240</v>
      </c>
      <c r="Y72" s="129" t="s">
        <v>3235</v>
      </c>
      <c r="Z72" s="129" t="s">
        <v>3236</v>
      </c>
    </row>
    <row r="73" spans="1:27">
      <c r="A73" s="129" t="s">
        <v>119</v>
      </c>
      <c r="D73" s="142">
        <v>0</v>
      </c>
      <c r="E73" s="161">
        <f>Creation_1!AH13</f>
        <v>0</v>
      </c>
      <c r="F73" s="142">
        <f>Creation_1!AS13</f>
        <v>0</v>
      </c>
      <c r="G73" s="143">
        <v>0</v>
      </c>
      <c r="H73" s="143" t="str">
        <f>Creation_BP!AH13</f>
        <v/>
      </c>
      <c r="I73" s="143" t="str">
        <f>Creation_BP!AS13</f>
        <v/>
      </c>
      <c r="J73" s="144">
        <f>SUM(D73,G73)</f>
        <v>0</v>
      </c>
      <c r="K73" s="144" t="str">
        <f>H73</f>
        <v/>
      </c>
      <c r="L73" s="144" t="str">
        <f>I73</f>
        <v/>
      </c>
      <c r="M73" s="145"/>
      <c r="N73" s="145"/>
      <c r="O73" s="145"/>
      <c r="P73" s="146">
        <v>0</v>
      </c>
      <c r="Q73" s="146" t="str">
        <f>Creation_XP!AH13</f>
        <v/>
      </c>
      <c r="R73" s="146" t="str">
        <f>Creation_XP!AS13</f>
        <v/>
      </c>
      <c r="S73" s="144">
        <f>IF(ISBLANK(M73),J73,M73)+P73</f>
        <v>0</v>
      </c>
      <c r="T73" s="144" t="str">
        <f>Q73</f>
        <v/>
      </c>
      <c r="U73" s="144" t="str">
        <f>R73</f>
        <v/>
      </c>
      <c r="W73" s="147">
        <f>G73</f>
        <v>0</v>
      </c>
      <c r="X73" s="149">
        <f t="shared" ref="X73" si="35">IF(ISBLANK(M73),J73,M73)</f>
        <v>0</v>
      </c>
      <c r="Y73" s="149">
        <f t="shared" ref="Y73" si="36">S73</f>
        <v>0</v>
      </c>
      <c r="Z73" s="150">
        <f t="shared" ref="Z73:Z94" si="37">IFERROR(INDEX(MeritsMatrice,MATCH($T73,MeritList,0),MATCH(Y73,MeritHead,0))-INDEX(MeritsMatrice,MATCH($T73,MeritList,0),MATCH(X73,MeritHead,0)),0)</f>
        <v>0</v>
      </c>
    </row>
    <row r="74" spans="1:27">
      <c r="A74" s="129" t="s">
        <v>120</v>
      </c>
      <c r="D74" s="142">
        <v>0</v>
      </c>
      <c r="E74" s="161">
        <f>Creation_1!AH14</f>
        <v>0</v>
      </c>
      <c r="F74" s="142">
        <f>Creation_1!AS14</f>
        <v>0</v>
      </c>
      <c r="G74" s="143">
        <v>0</v>
      </c>
      <c r="H74" s="143" t="str">
        <f>Creation_BP!AH14</f>
        <v/>
      </c>
      <c r="I74" s="143" t="str">
        <f>Creation_BP!AS14</f>
        <v/>
      </c>
      <c r="J74" s="144">
        <f t="shared" ref="J74:J94" si="38">SUM(D74,G74)</f>
        <v>0</v>
      </c>
      <c r="K74" s="144" t="str">
        <f t="shared" ref="K74:K94" si="39">H74</f>
        <v/>
      </c>
      <c r="L74" s="144" t="str">
        <f t="shared" ref="L74:L94" si="40">I74</f>
        <v/>
      </c>
      <c r="M74" s="145"/>
      <c r="N74" s="145"/>
      <c r="O74" s="145"/>
      <c r="P74" s="146"/>
      <c r="Q74" s="146" t="str">
        <f>Creation_XP!AH14</f>
        <v/>
      </c>
      <c r="R74" s="146" t="str">
        <f>Creation_XP!AS14</f>
        <v/>
      </c>
      <c r="S74" s="144">
        <f t="shared" ref="S74:S94" si="41">IF(ISBLANK(M74),J74,M74)+P74</f>
        <v>0</v>
      </c>
      <c r="T74" s="144" t="str">
        <f t="shared" ref="T74:T94" si="42">Q74</f>
        <v/>
      </c>
      <c r="U74" s="144" t="str">
        <f t="shared" ref="U74:U94" si="43">R74</f>
        <v/>
      </c>
      <c r="W74" s="147">
        <f t="shared" ref="W74:W94" si="44">G74</f>
        <v>0</v>
      </c>
      <c r="X74" s="149">
        <f t="shared" ref="X74:X94" si="45">IF(ISBLANK(M74),J74,M74)</f>
        <v>0</v>
      </c>
      <c r="Y74" s="149">
        <f t="shared" ref="Y74:Y94" si="46">S74</f>
        <v>0</v>
      </c>
      <c r="Z74" s="150">
        <f t="shared" si="37"/>
        <v>0</v>
      </c>
    </row>
    <row r="75" spans="1:27">
      <c r="A75" s="129" t="s">
        <v>121</v>
      </c>
      <c r="D75" s="142">
        <v>0</v>
      </c>
      <c r="E75" s="161">
        <f>Creation_1!AH15</f>
        <v>0</v>
      </c>
      <c r="F75" s="142">
        <f>Creation_1!AS15</f>
        <v>0</v>
      </c>
      <c r="G75" s="143">
        <v>0</v>
      </c>
      <c r="H75" s="143" t="str">
        <f>Creation_BP!AH15</f>
        <v/>
      </c>
      <c r="I75" s="143" t="str">
        <f>Creation_BP!AS15</f>
        <v/>
      </c>
      <c r="J75" s="144">
        <f t="shared" si="38"/>
        <v>0</v>
      </c>
      <c r="K75" s="144" t="str">
        <f t="shared" si="39"/>
        <v/>
      </c>
      <c r="L75" s="144" t="str">
        <f t="shared" si="40"/>
        <v/>
      </c>
      <c r="M75" s="145"/>
      <c r="N75" s="145"/>
      <c r="O75" s="145"/>
      <c r="P75" s="146"/>
      <c r="Q75" s="146" t="str">
        <f>Creation_XP!AH15</f>
        <v/>
      </c>
      <c r="R75" s="146" t="str">
        <f>Creation_XP!AS15</f>
        <v/>
      </c>
      <c r="S75" s="144">
        <f t="shared" si="41"/>
        <v>0</v>
      </c>
      <c r="T75" s="144" t="str">
        <f t="shared" si="42"/>
        <v/>
      </c>
      <c r="U75" s="144" t="str">
        <f t="shared" si="43"/>
        <v/>
      </c>
      <c r="W75" s="147">
        <f t="shared" si="44"/>
        <v>0</v>
      </c>
      <c r="X75" s="149">
        <f t="shared" si="45"/>
        <v>0</v>
      </c>
      <c r="Y75" s="149">
        <f t="shared" si="46"/>
        <v>0</v>
      </c>
      <c r="Z75" s="150">
        <f t="shared" si="37"/>
        <v>0</v>
      </c>
    </row>
    <row r="76" spans="1:27">
      <c r="A76" s="129" t="s">
        <v>122</v>
      </c>
      <c r="D76" s="142">
        <v>0</v>
      </c>
      <c r="E76" s="161">
        <f>Creation_1!AH16</f>
        <v>0</v>
      </c>
      <c r="F76" s="142">
        <f>Creation_1!AS16</f>
        <v>0</v>
      </c>
      <c r="G76" s="143">
        <v>0</v>
      </c>
      <c r="H76" s="143" t="str">
        <f>Creation_BP!AH16</f>
        <v/>
      </c>
      <c r="I76" s="143" t="str">
        <f>Creation_BP!AS16</f>
        <v/>
      </c>
      <c r="J76" s="144">
        <f t="shared" si="38"/>
        <v>0</v>
      </c>
      <c r="K76" s="144" t="str">
        <f t="shared" si="39"/>
        <v/>
      </c>
      <c r="L76" s="144" t="str">
        <f t="shared" si="40"/>
        <v/>
      </c>
      <c r="M76" s="145"/>
      <c r="N76" s="145"/>
      <c r="O76" s="145"/>
      <c r="P76" s="146"/>
      <c r="Q76" s="146" t="str">
        <f>Creation_XP!AH16</f>
        <v/>
      </c>
      <c r="R76" s="146" t="str">
        <f>Creation_XP!AS16</f>
        <v/>
      </c>
      <c r="S76" s="144">
        <f t="shared" si="41"/>
        <v>0</v>
      </c>
      <c r="T76" s="144" t="str">
        <f t="shared" si="42"/>
        <v/>
      </c>
      <c r="U76" s="144" t="str">
        <f t="shared" si="43"/>
        <v/>
      </c>
      <c r="W76" s="147">
        <f t="shared" si="44"/>
        <v>0</v>
      </c>
      <c r="X76" s="149">
        <f t="shared" si="45"/>
        <v>0</v>
      </c>
      <c r="Y76" s="149">
        <f t="shared" si="46"/>
        <v>0</v>
      </c>
      <c r="Z76" s="150">
        <f t="shared" si="37"/>
        <v>0</v>
      </c>
    </row>
    <row r="77" spans="1:27">
      <c r="A77" s="129" t="s">
        <v>123</v>
      </c>
      <c r="D77" s="142">
        <v>0</v>
      </c>
      <c r="E77" s="161">
        <f>Creation_1!AH17</f>
        <v>0</v>
      </c>
      <c r="F77" s="142">
        <f>Creation_1!AS17</f>
        <v>0</v>
      </c>
      <c r="G77" s="143">
        <v>0</v>
      </c>
      <c r="H77" s="143" t="str">
        <f>Creation_BP!AH17</f>
        <v/>
      </c>
      <c r="I77" s="143" t="str">
        <f>Creation_BP!AS17</f>
        <v/>
      </c>
      <c r="J77" s="144">
        <f t="shared" si="38"/>
        <v>0</v>
      </c>
      <c r="K77" s="144" t="str">
        <f t="shared" si="39"/>
        <v/>
      </c>
      <c r="L77" s="144" t="str">
        <f t="shared" si="40"/>
        <v/>
      </c>
      <c r="M77" s="145"/>
      <c r="N77" s="145"/>
      <c r="O77" s="145"/>
      <c r="P77" s="146"/>
      <c r="Q77" s="146" t="str">
        <f>Creation_XP!AH17</f>
        <v/>
      </c>
      <c r="R77" s="146" t="str">
        <f>Creation_XP!AS17</f>
        <v/>
      </c>
      <c r="S77" s="144">
        <f t="shared" si="41"/>
        <v>0</v>
      </c>
      <c r="T77" s="144" t="str">
        <f t="shared" si="42"/>
        <v/>
      </c>
      <c r="U77" s="144" t="str">
        <f t="shared" si="43"/>
        <v/>
      </c>
      <c r="W77" s="147">
        <f t="shared" si="44"/>
        <v>0</v>
      </c>
      <c r="X77" s="149">
        <f t="shared" si="45"/>
        <v>0</v>
      </c>
      <c r="Y77" s="149">
        <f t="shared" si="46"/>
        <v>0</v>
      </c>
      <c r="Z77" s="150">
        <f t="shared" si="37"/>
        <v>0</v>
      </c>
    </row>
    <row r="78" spans="1:27">
      <c r="A78" s="129" t="s">
        <v>124</v>
      </c>
      <c r="D78" s="142">
        <v>0</v>
      </c>
      <c r="E78" s="161">
        <f>Creation_1!AH18</f>
        <v>0</v>
      </c>
      <c r="F78" s="142">
        <f>Creation_1!AS18</f>
        <v>0</v>
      </c>
      <c r="G78" s="143">
        <v>0</v>
      </c>
      <c r="H78" s="143" t="str">
        <f>Creation_BP!AH18</f>
        <v/>
      </c>
      <c r="I78" s="143" t="str">
        <f>Creation_BP!AS18</f>
        <v/>
      </c>
      <c r="J78" s="144">
        <f t="shared" si="38"/>
        <v>0</v>
      </c>
      <c r="K78" s="144" t="str">
        <f t="shared" si="39"/>
        <v/>
      </c>
      <c r="L78" s="144" t="str">
        <f t="shared" si="40"/>
        <v/>
      </c>
      <c r="M78" s="145"/>
      <c r="N78" s="145"/>
      <c r="O78" s="145"/>
      <c r="P78" s="146"/>
      <c r="Q78" s="146" t="str">
        <f>Creation_XP!AH18</f>
        <v/>
      </c>
      <c r="R78" s="146" t="str">
        <f>Creation_XP!AS18</f>
        <v/>
      </c>
      <c r="S78" s="144">
        <f t="shared" si="41"/>
        <v>0</v>
      </c>
      <c r="T78" s="144" t="str">
        <f t="shared" si="42"/>
        <v/>
      </c>
      <c r="U78" s="144" t="str">
        <f t="shared" si="43"/>
        <v/>
      </c>
      <c r="W78" s="147">
        <f t="shared" si="44"/>
        <v>0</v>
      </c>
      <c r="X78" s="149">
        <f t="shared" si="45"/>
        <v>0</v>
      </c>
      <c r="Y78" s="149">
        <f t="shared" si="46"/>
        <v>0</v>
      </c>
      <c r="Z78" s="150">
        <f t="shared" si="37"/>
        <v>0</v>
      </c>
    </row>
    <row r="79" spans="1:27">
      <c r="A79" s="129" t="s">
        <v>125</v>
      </c>
      <c r="D79" s="142">
        <v>0</v>
      </c>
      <c r="E79" s="161">
        <f>Creation_1!AH19</f>
        <v>0</v>
      </c>
      <c r="F79" s="142">
        <f>Creation_1!AS19</f>
        <v>0</v>
      </c>
      <c r="G79" s="143">
        <v>0</v>
      </c>
      <c r="H79" s="143" t="str">
        <f>Creation_BP!AH19</f>
        <v/>
      </c>
      <c r="I79" s="143" t="str">
        <f>Creation_BP!AS19</f>
        <v/>
      </c>
      <c r="J79" s="144">
        <f t="shared" si="38"/>
        <v>0</v>
      </c>
      <c r="K79" s="144" t="str">
        <f t="shared" si="39"/>
        <v/>
      </c>
      <c r="L79" s="144" t="str">
        <f t="shared" si="40"/>
        <v/>
      </c>
      <c r="M79" s="145"/>
      <c r="N79" s="145"/>
      <c r="O79" s="145"/>
      <c r="P79" s="146"/>
      <c r="Q79" s="146" t="str">
        <f>Creation_XP!AH19</f>
        <v/>
      </c>
      <c r="R79" s="146" t="str">
        <f>Creation_XP!AS19</f>
        <v/>
      </c>
      <c r="S79" s="144">
        <f t="shared" si="41"/>
        <v>0</v>
      </c>
      <c r="T79" s="144" t="str">
        <f t="shared" si="42"/>
        <v/>
      </c>
      <c r="U79" s="144" t="str">
        <f t="shared" si="43"/>
        <v/>
      </c>
      <c r="W79" s="147">
        <f t="shared" si="44"/>
        <v>0</v>
      </c>
      <c r="X79" s="149">
        <f t="shared" si="45"/>
        <v>0</v>
      </c>
      <c r="Y79" s="149">
        <f t="shared" si="46"/>
        <v>0</v>
      </c>
      <c r="Z79" s="150">
        <f t="shared" si="37"/>
        <v>0</v>
      </c>
    </row>
    <row r="80" spans="1:27">
      <c r="A80" s="129" t="s">
        <v>126</v>
      </c>
      <c r="D80" s="142">
        <v>0</v>
      </c>
      <c r="E80" s="161">
        <f>Creation_1!AH20</f>
        <v>0</v>
      </c>
      <c r="F80" s="142">
        <f>Creation_1!AS20</f>
        <v>0</v>
      </c>
      <c r="G80" s="143">
        <v>0</v>
      </c>
      <c r="H80" s="143" t="str">
        <f>Creation_BP!AH20</f>
        <v/>
      </c>
      <c r="I80" s="143" t="str">
        <f>Creation_BP!AS20</f>
        <v/>
      </c>
      <c r="J80" s="144">
        <f t="shared" si="38"/>
        <v>0</v>
      </c>
      <c r="K80" s="144" t="str">
        <f t="shared" si="39"/>
        <v/>
      </c>
      <c r="L80" s="144" t="str">
        <f t="shared" si="40"/>
        <v/>
      </c>
      <c r="M80" s="145"/>
      <c r="N80" s="145"/>
      <c r="O80" s="145"/>
      <c r="P80" s="146"/>
      <c r="Q80" s="146" t="str">
        <f>Creation_XP!AH20</f>
        <v/>
      </c>
      <c r="R80" s="146" t="str">
        <f>Creation_XP!AS20</f>
        <v/>
      </c>
      <c r="S80" s="144">
        <f t="shared" si="41"/>
        <v>0</v>
      </c>
      <c r="T80" s="144" t="str">
        <f t="shared" si="42"/>
        <v/>
      </c>
      <c r="U80" s="144" t="str">
        <f t="shared" si="43"/>
        <v/>
      </c>
      <c r="W80" s="147">
        <f t="shared" si="44"/>
        <v>0</v>
      </c>
      <c r="X80" s="149">
        <f t="shared" si="45"/>
        <v>0</v>
      </c>
      <c r="Y80" s="149">
        <f t="shared" si="46"/>
        <v>0</v>
      </c>
      <c r="Z80" s="150">
        <f t="shared" si="37"/>
        <v>0</v>
      </c>
    </row>
    <row r="81" spans="1:26">
      <c r="A81" s="129" t="s">
        <v>127</v>
      </c>
      <c r="D81" s="142">
        <v>0</v>
      </c>
      <c r="E81" s="161">
        <f>Creation_1!AH21</f>
        <v>0</v>
      </c>
      <c r="F81" s="142">
        <f>Creation_1!AS21</f>
        <v>0</v>
      </c>
      <c r="G81" s="143">
        <v>0</v>
      </c>
      <c r="H81" s="143" t="str">
        <f>Creation_BP!AH21</f>
        <v/>
      </c>
      <c r="I81" s="143" t="str">
        <f>Creation_BP!AS21</f>
        <v/>
      </c>
      <c r="J81" s="144">
        <f t="shared" si="38"/>
        <v>0</v>
      </c>
      <c r="K81" s="144" t="str">
        <f t="shared" si="39"/>
        <v/>
      </c>
      <c r="L81" s="144" t="str">
        <f t="shared" si="40"/>
        <v/>
      </c>
      <c r="M81" s="145"/>
      <c r="N81" s="145"/>
      <c r="O81" s="145"/>
      <c r="P81" s="146">
        <v>0</v>
      </c>
      <c r="Q81" s="146" t="str">
        <f>Creation_XP!AH21</f>
        <v/>
      </c>
      <c r="R81" s="146" t="str">
        <f>Creation_XP!AS21</f>
        <v/>
      </c>
      <c r="S81" s="144">
        <f t="shared" si="41"/>
        <v>0</v>
      </c>
      <c r="T81" s="144" t="str">
        <f t="shared" si="42"/>
        <v/>
      </c>
      <c r="U81" s="144" t="str">
        <f t="shared" si="43"/>
        <v/>
      </c>
      <c r="W81" s="147">
        <f t="shared" si="44"/>
        <v>0</v>
      </c>
      <c r="X81" s="149">
        <f t="shared" si="45"/>
        <v>0</v>
      </c>
      <c r="Y81" s="149">
        <f t="shared" si="46"/>
        <v>0</v>
      </c>
      <c r="Z81" s="150">
        <f t="shared" si="37"/>
        <v>0</v>
      </c>
    </row>
    <row r="82" spans="1:26">
      <c r="A82" s="129" t="s">
        <v>128</v>
      </c>
      <c r="D82" s="142">
        <v>0</v>
      </c>
      <c r="E82" s="161">
        <f>Creation_1!AH22</f>
        <v>0</v>
      </c>
      <c r="F82" s="142">
        <f>Creation_1!AS22</f>
        <v>0</v>
      </c>
      <c r="G82" s="143">
        <v>0</v>
      </c>
      <c r="H82" s="143" t="str">
        <f>Creation_BP!AH22</f>
        <v/>
      </c>
      <c r="I82" s="143" t="str">
        <f>Creation_BP!AS22</f>
        <v/>
      </c>
      <c r="J82" s="144">
        <f t="shared" si="38"/>
        <v>0</v>
      </c>
      <c r="K82" s="144" t="str">
        <f t="shared" si="39"/>
        <v/>
      </c>
      <c r="L82" s="144" t="str">
        <f t="shared" si="40"/>
        <v/>
      </c>
      <c r="M82" s="145"/>
      <c r="N82" s="145"/>
      <c r="O82" s="145"/>
      <c r="P82" s="146"/>
      <c r="Q82" s="146" t="str">
        <f>Creation_XP!AH22</f>
        <v/>
      </c>
      <c r="R82" s="146" t="str">
        <f>Creation_XP!AS22</f>
        <v/>
      </c>
      <c r="S82" s="144">
        <f t="shared" si="41"/>
        <v>0</v>
      </c>
      <c r="T82" s="144" t="str">
        <f t="shared" si="42"/>
        <v/>
      </c>
      <c r="U82" s="144" t="str">
        <f t="shared" si="43"/>
        <v/>
      </c>
      <c r="W82" s="147">
        <f t="shared" si="44"/>
        <v>0</v>
      </c>
      <c r="X82" s="149">
        <f t="shared" si="45"/>
        <v>0</v>
      </c>
      <c r="Y82" s="149">
        <f t="shared" si="46"/>
        <v>0</v>
      </c>
      <c r="Z82" s="150">
        <f t="shared" si="37"/>
        <v>0</v>
      </c>
    </row>
    <row r="83" spans="1:26">
      <c r="A83" s="129" t="s">
        <v>129</v>
      </c>
      <c r="D83" s="142">
        <v>0</v>
      </c>
      <c r="E83" s="161">
        <f>Creation_1!AH23</f>
        <v>0</v>
      </c>
      <c r="F83" s="142">
        <f>Creation_1!AS23</f>
        <v>0</v>
      </c>
      <c r="G83" s="143">
        <v>0</v>
      </c>
      <c r="H83" s="143" t="str">
        <f>Creation_BP!AH23</f>
        <v/>
      </c>
      <c r="I83" s="143" t="str">
        <f>Creation_BP!AS23</f>
        <v/>
      </c>
      <c r="J83" s="144">
        <f t="shared" si="38"/>
        <v>0</v>
      </c>
      <c r="K83" s="144" t="str">
        <f t="shared" si="39"/>
        <v/>
      </c>
      <c r="L83" s="144" t="str">
        <f t="shared" si="40"/>
        <v/>
      </c>
      <c r="M83" s="145"/>
      <c r="N83" s="145"/>
      <c r="O83" s="145"/>
      <c r="P83" s="146"/>
      <c r="Q83" s="146" t="str">
        <f>Creation_XP!AH23</f>
        <v/>
      </c>
      <c r="R83" s="146" t="str">
        <f>Creation_XP!AS23</f>
        <v/>
      </c>
      <c r="S83" s="144">
        <f t="shared" si="41"/>
        <v>0</v>
      </c>
      <c r="T83" s="144" t="str">
        <f t="shared" si="42"/>
        <v/>
      </c>
      <c r="U83" s="144" t="str">
        <f t="shared" si="43"/>
        <v/>
      </c>
      <c r="W83" s="147">
        <f t="shared" si="44"/>
        <v>0</v>
      </c>
      <c r="X83" s="149">
        <f t="shared" si="45"/>
        <v>0</v>
      </c>
      <c r="Y83" s="149">
        <f t="shared" si="46"/>
        <v>0</v>
      </c>
      <c r="Z83" s="150">
        <f t="shared" si="37"/>
        <v>0</v>
      </c>
    </row>
    <row r="84" spans="1:26">
      <c r="A84" s="129" t="s">
        <v>130</v>
      </c>
      <c r="D84" s="142">
        <v>0</v>
      </c>
      <c r="E84" s="161">
        <f>Creation_1!AH24</f>
        <v>0</v>
      </c>
      <c r="F84" s="142">
        <f>Creation_1!AS24</f>
        <v>0</v>
      </c>
      <c r="G84" s="143">
        <v>0</v>
      </c>
      <c r="H84" s="143" t="str">
        <f>Creation_BP!AH24</f>
        <v/>
      </c>
      <c r="I84" s="143" t="str">
        <f>Creation_BP!AS24</f>
        <v/>
      </c>
      <c r="J84" s="144">
        <f t="shared" si="38"/>
        <v>0</v>
      </c>
      <c r="K84" s="144" t="str">
        <f t="shared" si="39"/>
        <v/>
      </c>
      <c r="L84" s="144" t="str">
        <f t="shared" si="40"/>
        <v/>
      </c>
      <c r="M84" s="145"/>
      <c r="N84" s="145"/>
      <c r="O84" s="145"/>
      <c r="P84" s="146"/>
      <c r="Q84" s="146" t="str">
        <f>Creation_XP!AH24</f>
        <v/>
      </c>
      <c r="R84" s="146" t="str">
        <f>Creation_XP!AS24</f>
        <v/>
      </c>
      <c r="S84" s="144">
        <f t="shared" si="41"/>
        <v>0</v>
      </c>
      <c r="T84" s="144" t="str">
        <f t="shared" si="42"/>
        <v/>
      </c>
      <c r="U84" s="144" t="str">
        <f t="shared" si="43"/>
        <v/>
      </c>
      <c r="W84" s="147">
        <f t="shared" si="44"/>
        <v>0</v>
      </c>
      <c r="X84" s="149">
        <f t="shared" si="45"/>
        <v>0</v>
      </c>
      <c r="Y84" s="149">
        <f t="shared" si="46"/>
        <v>0</v>
      </c>
      <c r="Z84" s="150">
        <f t="shared" si="37"/>
        <v>0</v>
      </c>
    </row>
    <row r="85" spans="1:26">
      <c r="A85" s="129" t="s">
        <v>131</v>
      </c>
      <c r="D85" s="142">
        <v>0</v>
      </c>
      <c r="E85" s="161">
        <f>Creation_1!AH25</f>
        <v>0</v>
      </c>
      <c r="F85" s="142">
        <f>Creation_1!AS25</f>
        <v>0</v>
      </c>
      <c r="G85" s="143">
        <v>0</v>
      </c>
      <c r="H85" s="143" t="str">
        <f>Creation_BP!AH25</f>
        <v/>
      </c>
      <c r="I85" s="143" t="str">
        <f>Creation_BP!AS25</f>
        <v/>
      </c>
      <c r="J85" s="144">
        <f t="shared" si="38"/>
        <v>0</v>
      </c>
      <c r="K85" s="144" t="str">
        <f t="shared" si="39"/>
        <v/>
      </c>
      <c r="L85" s="144" t="str">
        <f t="shared" si="40"/>
        <v/>
      </c>
      <c r="M85" s="145"/>
      <c r="N85" s="145"/>
      <c r="O85" s="145"/>
      <c r="P85" s="146"/>
      <c r="Q85" s="146" t="str">
        <f>Creation_XP!AH25</f>
        <v/>
      </c>
      <c r="R85" s="146" t="str">
        <f>Creation_XP!AS25</f>
        <v/>
      </c>
      <c r="S85" s="144">
        <f t="shared" si="41"/>
        <v>0</v>
      </c>
      <c r="T85" s="144" t="str">
        <f t="shared" si="42"/>
        <v/>
      </c>
      <c r="U85" s="144" t="str">
        <f t="shared" si="43"/>
        <v/>
      </c>
      <c r="W85" s="147">
        <f t="shared" si="44"/>
        <v>0</v>
      </c>
      <c r="X85" s="149">
        <f t="shared" si="45"/>
        <v>0</v>
      </c>
      <c r="Y85" s="149">
        <f t="shared" si="46"/>
        <v>0</v>
      </c>
      <c r="Z85" s="150">
        <f t="shared" si="37"/>
        <v>0</v>
      </c>
    </row>
    <row r="86" spans="1:26">
      <c r="A86" s="129" t="s">
        <v>132</v>
      </c>
      <c r="D86" s="142">
        <v>0</v>
      </c>
      <c r="E86" s="161">
        <f>Creation_1!AH26</f>
        <v>0</v>
      </c>
      <c r="F86" s="142">
        <f>Creation_1!AS26</f>
        <v>0</v>
      </c>
      <c r="G86" s="143">
        <v>0</v>
      </c>
      <c r="H86" s="143" t="str">
        <f>Creation_BP!AH26</f>
        <v/>
      </c>
      <c r="I86" s="143" t="str">
        <f>Creation_BP!AS26</f>
        <v/>
      </c>
      <c r="J86" s="144">
        <f t="shared" si="38"/>
        <v>0</v>
      </c>
      <c r="K86" s="144" t="str">
        <f t="shared" si="39"/>
        <v/>
      </c>
      <c r="L86" s="144" t="str">
        <f t="shared" si="40"/>
        <v/>
      </c>
      <c r="M86" s="145"/>
      <c r="N86" s="145"/>
      <c r="O86" s="145"/>
      <c r="P86" s="146"/>
      <c r="Q86" s="146" t="str">
        <f>Creation_XP!AH26</f>
        <v/>
      </c>
      <c r="R86" s="146" t="str">
        <f>Creation_XP!AS26</f>
        <v/>
      </c>
      <c r="S86" s="144">
        <f t="shared" si="41"/>
        <v>0</v>
      </c>
      <c r="T86" s="144" t="str">
        <f t="shared" si="42"/>
        <v/>
      </c>
      <c r="U86" s="144" t="str">
        <f t="shared" si="43"/>
        <v/>
      </c>
      <c r="W86" s="147">
        <f t="shared" si="44"/>
        <v>0</v>
      </c>
      <c r="X86" s="149">
        <f t="shared" si="45"/>
        <v>0</v>
      </c>
      <c r="Y86" s="149">
        <f t="shared" si="46"/>
        <v>0</v>
      </c>
      <c r="Z86" s="150">
        <f t="shared" si="37"/>
        <v>0</v>
      </c>
    </row>
    <row r="87" spans="1:26">
      <c r="A87" s="129" t="s">
        <v>133</v>
      </c>
      <c r="D87" s="142">
        <v>0</v>
      </c>
      <c r="E87" s="161">
        <f>Creation_1!AH27</f>
        <v>0</v>
      </c>
      <c r="F87" s="142">
        <f>Creation_1!AS27</f>
        <v>0</v>
      </c>
      <c r="G87" s="143">
        <v>0</v>
      </c>
      <c r="H87" s="143" t="str">
        <f>Creation_BP!AH27</f>
        <v/>
      </c>
      <c r="I87" s="143" t="str">
        <f>Creation_BP!AS27</f>
        <v/>
      </c>
      <c r="J87" s="144">
        <f t="shared" si="38"/>
        <v>0</v>
      </c>
      <c r="K87" s="144" t="str">
        <f t="shared" si="39"/>
        <v/>
      </c>
      <c r="L87" s="144" t="str">
        <f t="shared" si="40"/>
        <v/>
      </c>
      <c r="M87" s="145"/>
      <c r="N87" s="145"/>
      <c r="O87" s="145"/>
      <c r="P87" s="146"/>
      <c r="Q87" s="146" t="str">
        <f>Creation_XP!AH27</f>
        <v/>
      </c>
      <c r="R87" s="146" t="str">
        <f>Creation_XP!AS27</f>
        <v/>
      </c>
      <c r="S87" s="144">
        <f t="shared" si="41"/>
        <v>0</v>
      </c>
      <c r="T87" s="144" t="str">
        <f t="shared" si="42"/>
        <v/>
      </c>
      <c r="U87" s="144" t="str">
        <f t="shared" si="43"/>
        <v/>
      </c>
      <c r="W87" s="147">
        <f t="shared" si="44"/>
        <v>0</v>
      </c>
      <c r="X87" s="149">
        <f t="shared" si="45"/>
        <v>0</v>
      </c>
      <c r="Y87" s="149">
        <f t="shared" si="46"/>
        <v>0</v>
      </c>
      <c r="Z87" s="150">
        <f t="shared" si="37"/>
        <v>0</v>
      </c>
    </row>
    <row r="88" spans="1:26">
      <c r="A88" s="129" t="s">
        <v>134</v>
      </c>
      <c r="D88" s="142">
        <v>0</v>
      </c>
      <c r="E88" s="161">
        <f>Creation_1!AH28</f>
        <v>0</v>
      </c>
      <c r="F88" s="142">
        <f>Creation_1!AS28</f>
        <v>0</v>
      </c>
      <c r="G88" s="143">
        <v>0</v>
      </c>
      <c r="H88" s="143" t="str">
        <f>Creation_BP!AH28</f>
        <v/>
      </c>
      <c r="I88" s="143" t="str">
        <f>Creation_BP!AS28</f>
        <v/>
      </c>
      <c r="J88" s="144">
        <f t="shared" si="38"/>
        <v>0</v>
      </c>
      <c r="K88" s="144" t="str">
        <f t="shared" si="39"/>
        <v/>
      </c>
      <c r="L88" s="144" t="str">
        <f t="shared" si="40"/>
        <v/>
      </c>
      <c r="M88" s="145"/>
      <c r="N88" s="145"/>
      <c r="O88" s="145"/>
      <c r="P88" s="146"/>
      <c r="Q88" s="146" t="str">
        <f>Creation_XP!AH28</f>
        <v/>
      </c>
      <c r="R88" s="146" t="str">
        <f>Creation_XP!AS28</f>
        <v/>
      </c>
      <c r="S88" s="144">
        <f t="shared" si="41"/>
        <v>0</v>
      </c>
      <c r="T88" s="144" t="str">
        <f t="shared" si="42"/>
        <v/>
      </c>
      <c r="U88" s="144" t="str">
        <f t="shared" si="43"/>
        <v/>
      </c>
      <c r="W88" s="147">
        <f t="shared" si="44"/>
        <v>0</v>
      </c>
      <c r="X88" s="149">
        <f t="shared" si="45"/>
        <v>0</v>
      </c>
      <c r="Y88" s="149">
        <f t="shared" si="46"/>
        <v>0</v>
      </c>
      <c r="Z88" s="150">
        <f t="shared" si="37"/>
        <v>0</v>
      </c>
    </row>
    <row r="89" spans="1:26">
      <c r="A89" s="129" t="s">
        <v>135</v>
      </c>
      <c r="D89" s="142">
        <v>0</v>
      </c>
      <c r="E89" s="161">
        <f>Creation_1!AH29</f>
        <v>0</v>
      </c>
      <c r="F89" s="142">
        <f>Creation_1!AS29</f>
        <v>0</v>
      </c>
      <c r="G89" s="143">
        <v>0</v>
      </c>
      <c r="H89" s="143" t="str">
        <f>Creation_BP!AH29</f>
        <v/>
      </c>
      <c r="I89" s="143" t="str">
        <f>Creation_BP!AS29</f>
        <v/>
      </c>
      <c r="J89" s="144">
        <f t="shared" si="38"/>
        <v>0</v>
      </c>
      <c r="K89" s="144" t="str">
        <f t="shared" si="39"/>
        <v/>
      </c>
      <c r="L89" s="144" t="str">
        <f t="shared" si="40"/>
        <v/>
      </c>
      <c r="M89" s="145"/>
      <c r="N89" s="145"/>
      <c r="O89" s="145"/>
      <c r="P89" s="146"/>
      <c r="Q89" s="146" t="str">
        <f>Creation_XP!AH29</f>
        <v/>
      </c>
      <c r="R89" s="146" t="str">
        <f>Creation_XP!AS29</f>
        <v/>
      </c>
      <c r="S89" s="144">
        <f t="shared" si="41"/>
        <v>0</v>
      </c>
      <c r="T89" s="144" t="str">
        <f t="shared" si="42"/>
        <v/>
      </c>
      <c r="U89" s="144" t="str">
        <f t="shared" si="43"/>
        <v/>
      </c>
      <c r="W89" s="147">
        <f t="shared" si="44"/>
        <v>0</v>
      </c>
      <c r="X89" s="149">
        <f t="shared" si="45"/>
        <v>0</v>
      </c>
      <c r="Y89" s="149">
        <f t="shared" si="46"/>
        <v>0</v>
      </c>
      <c r="Z89" s="150">
        <f t="shared" si="37"/>
        <v>0</v>
      </c>
    </row>
    <row r="90" spans="1:26">
      <c r="A90" s="129" t="s">
        <v>136</v>
      </c>
      <c r="D90" s="142">
        <v>0</v>
      </c>
      <c r="E90" s="161">
        <f>Creation_1!AH30</f>
        <v>0</v>
      </c>
      <c r="F90" s="142">
        <f>Creation_1!AS30</f>
        <v>0</v>
      </c>
      <c r="G90" s="143">
        <v>0</v>
      </c>
      <c r="H90" s="143" t="str">
        <f>Creation_BP!AH30</f>
        <v/>
      </c>
      <c r="I90" s="143" t="str">
        <f>Creation_BP!AS30</f>
        <v/>
      </c>
      <c r="J90" s="144">
        <f t="shared" si="38"/>
        <v>0</v>
      </c>
      <c r="K90" s="144" t="str">
        <f t="shared" si="39"/>
        <v/>
      </c>
      <c r="L90" s="144" t="str">
        <f t="shared" si="40"/>
        <v/>
      </c>
      <c r="M90" s="145"/>
      <c r="N90" s="145"/>
      <c r="O90" s="145"/>
      <c r="P90" s="146"/>
      <c r="Q90" s="146" t="str">
        <f>Creation_XP!AH30</f>
        <v/>
      </c>
      <c r="R90" s="146" t="str">
        <f>Creation_XP!AS30</f>
        <v/>
      </c>
      <c r="S90" s="144">
        <f t="shared" si="41"/>
        <v>0</v>
      </c>
      <c r="T90" s="144" t="str">
        <f t="shared" si="42"/>
        <v/>
      </c>
      <c r="U90" s="144" t="str">
        <f t="shared" si="43"/>
        <v/>
      </c>
      <c r="W90" s="147">
        <f t="shared" si="44"/>
        <v>0</v>
      </c>
      <c r="X90" s="149">
        <f t="shared" si="45"/>
        <v>0</v>
      </c>
      <c r="Y90" s="149">
        <f t="shared" si="46"/>
        <v>0</v>
      </c>
      <c r="Z90" s="150">
        <f t="shared" si="37"/>
        <v>0</v>
      </c>
    </row>
    <row r="91" spans="1:26">
      <c r="A91" s="129" t="s">
        <v>137</v>
      </c>
      <c r="D91" s="142">
        <v>0</v>
      </c>
      <c r="E91" s="161">
        <f>Creation_1!AH31</f>
        <v>0</v>
      </c>
      <c r="F91" s="142">
        <f>Creation_1!AS31</f>
        <v>0</v>
      </c>
      <c r="G91" s="143">
        <v>0</v>
      </c>
      <c r="H91" s="143" t="str">
        <f>Creation_BP!AH31</f>
        <v/>
      </c>
      <c r="I91" s="143" t="str">
        <f>Creation_BP!AS31</f>
        <v/>
      </c>
      <c r="J91" s="144">
        <f t="shared" si="38"/>
        <v>0</v>
      </c>
      <c r="K91" s="144" t="str">
        <f t="shared" si="39"/>
        <v/>
      </c>
      <c r="L91" s="144" t="str">
        <f t="shared" si="40"/>
        <v/>
      </c>
      <c r="M91" s="145"/>
      <c r="N91" s="145"/>
      <c r="O91" s="145"/>
      <c r="P91" s="146"/>
      <c r="Q91" s="146" t="str">
        <f>Creation_XP!AH31</f>
        <v/>
      </c>
      <c r="R91" s="146" t="str">
        <f>Creation_XP!AS31</f>
        <v/>
      </c>
      <c r="S91" s="144">
        <f t="shared" si="41"/>
        <v>0</v>
      </c>
      <c r="T91" s="144" t="str">
        <f t="shared" si="42"/>
        <v/>
      </c>
      <c r="U91" s="144" t="str">
        <f t="shared" si="43"/>
        <v/>
      </c>
      <c r="W91" s="147">
        <f t="shared" si="44"/>
        <v>0</v>
      </c>
      <c r="X91" s="149">
        <f t="shared" si="45"/>
        <v>0</v>
      </c>
      <c r="Y91" s="149">
        <f t="shared" si="46"/>
        <v>0</v>
      </c>
      <c r="Z91" s="150">
        <f t="shared" si="37"/>
        <v>0</v>
      </c>
    </row>
    <row r="92" spans="1:26">
      <c r="A92" s="129" t="s">
        <v>138</v>
      </c>
      <c r="D92" s="142">
        <v>0</v>
      </c>
      <c r="E92" s="161">
        <f>Creation_1!AH32</f>
        <v>0</v>
      </c>
      <c r="F92" s="142">
        <f>Creation_1!AS32</f>
        <v>0</v>
      </c>
      <c r="G92" s="143">
        <v>0</v>
      </c>
      <c r="H92" s="143" t="str">
        <f>Creation_BP!AH32</f>
        <v/>
      </c>
      <c r="I92" s="143" t="str">
        <f>Creation_BP!AS32</f>
        <v/>
      </c>
      <c r="J92" s="144">
        <f t="shared" si="38"/>
        <v>0</v>
      </c>
      <c r="K92" s="144" t="str">
        <f t="shared" si="39"/>
        <v/>
      </c>
      <c r="L92" s="144" t="str">
        <f t="shared" si="40"/>
        <v/>
      </c>
      <c r="M92" s="145"/>
      <c r="N92" s="145"/>
      <c r="O92" s="145"/>
      <c r="P92" s="146"/>
      <c r="Q92" s="146" t="str">
        <f>Creation_XP!AH32</f>
        <v/>
      </c>
      <c r="R92" s="146" t="str">
        <f>Creation_XP!AS32</f>
        <v/>
      </c>
      <c r="S92" s="144">
        <f t="shared" si="41"/>
        <v>0</v>
      </c>
      <c r="T92" s="144" t="str">
        <f t="shared" si="42"/>
        <v/>
      </c>
      <c r="U92" s="144" t="str">
        <f t="shared" si="43"/>
        <v/>
      </c>
      <c r="W92" s="147">
        <f t="shared" si="44"/>
        <v>0</v>
      </c>
      <c r="X92" s="149">
        <f t="shared" si="45"/>
        <v>0</v>
      </c>
      <c r="Y92" s="149">
        <f t="shared" si="46"/>
        <v>0</v>
      </c>
      <c r="Z92" s="150">
        <f t="shared" si="37"/>
        <v>0</v>
      </c>
    </row>
    <row r="93" spans="1:26">
      <c r="A93" s="129" t="s">
        <v>3079</v>
      </c>
      <c r="D93" s="142">
        <v>0</v>
      </c>
      <c r="E93" s="161">
        <f>Creation_1!AH33</f>
        <v>0</v>
      </c>
      <c r="F93" s="142">
        <f>Creation_1!AS33</f>
        <v>0</v>
      </c>
      <c r="G93" s="143">
        <v>0</v>
      </c>
      <c r="H93" s="143" t="str">
        <f>Creation_BP!AH33</f>
        <v/>
      </c>
      <c r="I93" s="143" t="str">
        <f>Creation_BP!AS33</f>
        <v/>
      </c>
      <c r="J93" s="144">
        <f t="shared" si="38"/>
        <v>0</v>
      </c>
      <c r="K93" s="144" t="str">
        <f t="shared" si="39"/>
        <v/>
      </c>
      <c r="L93" s="144" t="str">
        <f t="shared" si="40"/>
        <v/>
      </c>
      <c r="M93" s="145"/>
      <c r="N93" s="145"/>
      <c r="O93" s="145"/>
      <c r="P93" s="146"/>
      <c r="Q93" s="146" t="str">
        <f>Creation_XP!AH33</f>
        <v/>
      </c>
      <c r="R93" s="146" t="str">
        <f>Creation_XP!AS33</f>
        <v/>
      </c>
      <c r="S93" s="144">
        <f t="shared" si="41"/>
        <v>0</v>
      </c>
      <c r="T93" s="144" t="str">
        <f t="shared" si="42"/>
        <v/>
      </c>
      <c r="U93" s="144" t="str">
        <f t="shared" si="43"/>
        <v/>
      </c>
      <c r="W93" s="147">
        <f t="shared" si="44"/>
        <v>0</v>
      </c>
      <c r="X93" s="149">
        <f t="shared" si="45"/>
        <v>0</v>
      </c>
      <c r="Y93" s="149">
        <f t="shared" si="46"/>
        <v>0</v>
      </c>
      <c r="Z93" s="150">
        <f t="shared" si="37"/>
        <v>0</v>
      </c>
    </row>
    <row r="94" spans="1:26">
      <c r="A94" s="129" t="s">
        <v>3080</v>
      </c>
      <c r="D94" s="142">
        <v>0</v>
      </c>
      <c r="E94" s="161">
        <f>Creation_1!AH34</f>
        <v>0</v>
      </c>
      <c r="F94" s="142">
        <f>Creation_1!AS34</f>
        <v>0</v>
      </c>
      <c r="G94" s="143">
        <v>0</v>
      </c>
      <c r="H94" s="143" t="str">
        <f>Creation_BP!AH34</f>
        <v/>
      </c>
      <c r="I94" s="143" t="str">
        <f>Creation_BP!AS34</f>
        <v/>
      </c>
      <c r="J94" s="144">
        <f t="shared" si="38"/>
        <v>0</v>
      </c>
      <c r="K94" s="144" t="str">
        <f t="shared" si="39"/>
        <v/>
      </c>
      <c r="L94" s="144" t="str">
        <f t="shared" si="40"/>
        <v/>
      </c>
      <c r="M94" s="145"/>
      <c r="N94" s="145"/>
      <c r="O94" s="145"/>
      <c r="P94" s="146"/>
      <c r="Q94" s="146" t="str">
        <f>Creation_XP!AH34</f>
        <v/>
      </c>
      <c r="R94" s="146" t="str">
        <f>Creation_XP!AS34</f>
        <v/>
      </c>
      <c r="S94" s="144">
        <f t="shared" si="41"/>
        <v>0</v>
      </c>
      <c r="T94" s="144" t="str">
        <f t="shared" si="42"/>
        <v/>
      </c>
      <c r="U94" s="144" t="str">
        <f t="shared" si="43"/>
        <v/>
      </c>
      <c r="W94" s="147">
        <f t="shared" si="44"/>
        <v>0</v>
      </c>
      <c r="X94" s="149">
        <f t="shared" si="45"/>
        <v>0</v>
      </c>
      <c r="Y94" s="149">
        <f t="shared" si="46"/>
        <v>0</v>
      </c>
      <c r="Z94" s="150">
        <f t="shared" si="37"/>
        <v>0</v>
      </c>
    </row>
    <row r="95" spans="1:26">
      <c r="D95" s="163">
        <f>SUM(D73:D94)</f>
        <v>0</v>
      </c>
      <c r="G95" s="165">
        <f>SUM(G73:G94)</f>
        <v>0</v>
      </c>
      <c r="W95" s="165">
        <f>G95</f>
        <v>0</v>
      </c>
      <c r="Z95" s="164">
        <f>SUM(Z73:Z94)</f>
        <v>0</v>
      </c>
    </row>
    <row r="96" spans="1:26">
      <c r="A96" s="140" t="s">
        <v>139</v>
      </c>
    </row>
    <row r="97" spans="1:27">
      <c r="A97" s="129" t="s">
        <v>140</v>
      </c>
      <c r="C97" s="130">
        <f>VLOOKUP(A97,Crea_Pts_xp!A1:C8,IF($S$6="Mortal",3,2),0)</f>
        <v>5</v>
      </c>
      <c r="D97" s="170" t="s">
        <v>3076</v>
      </c>
      <c r="E97" s="170"/>
      <c r="F97" s="170"/>
      <c r="G97" s="143"/>
      <c r="H97" s="143"/>
      <c r="I97" s="143"/>
      <c r="J97" s="144">
        <f>C97+G97</f>
        <v>5</v>
      </c>
      <c r="K97" s="144"/>
      <c r="L97" s="144"/>
      <c r="M97" s="145"/>
      <c r="N97" s="145"/>
      <c r="O97" s="145"/>
      <c r="S97" s="144">
        <f>IF(ISBLANK(M97),J97,M97)+P97</f>
        <v>5</v>
      </c>
      <c r="T97" s="144"/>
      <c r="U97" s="144"/>
      <c r="W97" s="147">
        <f>G97*2</f>
        <v>0</v>
      </c>
      <c r="X97" s="149"/>
      <c r="Y97" s="149"/>
      <c r="Z97" s="150">
        <f>P97*8</f>
        <v>0</v>
      </c>
    </row>
    <row r="98" spans="1:27" ht="15">
      <c r="A98" s="129" t="s">
        <v>141</v>
      </c>
      <c r="S98" s="144">
        <f>VLOOKUP(1,Z101:AA104,2,0)+AB7</f>
        <v>1</v>
      </c>
      <c r="T98" s="223"/>
      <c r="U98" s="223"/>
      <c r="V98" s="222"/>
    </row>
    <row r="99" spans="1:27" ht="15">
      <c r="A99" s="129" t="s">
        <v>3284</v>
      </c>
      <c r="D99" s="142">
        <f>Creation_1!O33</f>
        <v>0</v>
      </c>
      <c r="J99" s="144">
        <f>D99</f>
        <v>0</v>
      </c>
      <c r="S99" s="144">
        <f>IF(ISBLANK(M99),J99,M99)</f>
        <v>0</v>
      </c>
      <c r="T99" s="144"/>
      <c r="U99" s="144"/>
      <c r="V99" s="222"/>
      <c r="W99" s="18"/>
    </row>
    <row r="100" spans="1:27" ht="15">
      <c r="A100" s="129" t="s">
        <v>3285</v>
      </c>
      <c r="M100" s="145"/>
      <c r="N100" s="145"/>
      <c r="P100" s="146">
        <f>Creation_XP!AC37</f>
        <v>0</v>
      </c>
      <c r="Q100" s="146">
        <f>Creation_XP!AI37</f>
        <v>0</v>
      </c>
      <c r="S100" s="144">
        <f>P100</f>
        <v>0</v>
      </c>
      <c r="T100" s="144">
        <f t="shared" ref="T100:T101" si="47">Q100</f>
        <v>0</v>
      </c>
      <c r="V100" s="222"/>
      <c r="W100" s="222"/>
      <c r="X100" s="222"/>
      <c r="Y100" s="222"/>
      <c r="Z100" s="222" t="s">
        <v>3587</v>
      </c>
      <c r="AA100" s="222" t="s">
        <v>3588</v>
      </c>
    </row>
    <row r="101" spans="1:27" ht="15">
      <c r="A101" s="129" t="s">
        <v>3286</v>
      </c>
      <c r="M101" s="145"/>
      <c r="N101" s="145"/>
      <c r="P101" s="146">
        <f>Creation_XP!AQ37</f>
        <v>0</v>
      </c>
      <c r="Q101" s="146">
        <f>Creation_XP!AW37</f>
        <v>0</v>
      </c>
      <c r="S101" s="144">
        <f t="shared" ref="S101" si="48">P101</f>
        <v>0</v>
      </c>
      <c r="T101" s="144">
        <f t="shared" si="47"/>
        <v>0</v>
      </c>
      <c r="W101" s="222" t="s">
        <v>3585</v>
      </c>
      <c r="X101" s="222"/>
      <c r="Y101" s="222"/>
      <c r="Z101" s="222">
        <f>AND(Z102=0,Z103=0,Z104=0)*1</f>
        <v>1</v>
      </c>
      <c r="AA101" s="222">
        <f>VLOOKUP(T100-S100,Table_Essence_Regular,2,1)</f>
        <v>1</v>
      </c>
    </row>
    <row r="102" spans="1:27" ht="15">
      <c r="M102" s="152" t="s">
        <v>3295</v>
      </c>
      <c r="N102" s="152" t="s">
        <v>3296</v>
      </c>
      <c r="P102" s="130" t="s">
        <v>3295</v>
      </c>
      <c r="Q102" s="130" t="s">
        <v>3296</v>
      </c>
      <c r="W102" s="222" t="s">
        <v>3583</v>
      </c>
      <c r="X102" s="222"/>
      <c r="Y102" s="222"/>
      <c r="Z102" s="222">
        <f>COUNTIF(Exalt_DB,S6)</f>
        <v>0</v>
      </c>
      <c r="AA102" s="222">
        <f>VLOOKUP(T100-S100,Table_Essence_DB,2,1)</f>
        <v>2</v>
      </c>
    </row>
    <row r="103" spans="1:27" ht="15">
      <c r="A103" s="140" t="s">
        <v>142</v>
      </c>
      <c r="D103" s="130" t="s">
        <v>3202</v>
      </c>
      <c r="W103" s="222" t="s">
        <v>3586</v>
      </c>
      <c r="X103" s="222"/>
      <c r="Y103" s="222"/>
      <c r="Z103" s="222">
        <f>COUNTIF(Exalt_DBJH,S6)</f>
        <v>0</v>
      </c>
      <c r="AA103" s="222">
        <f>VLOOKUP(T100-S100,Table_Essence_DBJH,2,1)</f>
        <v>1</v>
      </c>
    </row>
    <row r="104" spans="1:27" ht="15">
      <c r="A104" s="129" t="s">
        <v>3200</v>
      </c>
      <c r="D104" s="161" t="b">
        <v>0</v>
      </c>
      <c r="J104" s="144" t="b">
        <f>D104</f>
        <v>0</v>
      </c>
      <c r="K104" s="144"/>
      <c r="L104" s="144"/>
      <c r="M104" s="145"/>
      <c r="N104" s="145"/>
      <c r="O104" s="145"/>
      <c r="P104" s="146" t="b">
        <f>IF(ISBLANK(M104),J104,M104)</f>
        <v>0</v>
      </c>
      <c r="S104" s="144" t="b">
        <f>P104</f>
        <v>0</v>
      </c>
      <c r="T104" s="144"/>
      <c r="U104" s="144"/>
      <c r="W104" s="222" t="s">
        <v>3584</v>
      </c>
      <c r="X104" s="222"/>
      <c r="Y104" s="222"/>
      <c r="Z104" s="222">
        <f>COUNTIF(Exalt_Mortal,S6)</f>
        <v>0</v>
      </c>
      <c r="AA104" s="222">
        <f>1</f>
        <v>1</v>
      </c>
    </row>
    <row r="105" spans="1:27">
      <c r="A105" s="129" t="s">
        <v>72</v>
      </c>
      <c r="D105" s="161" t="b">
        <v>0</v>
      </c>
      <c r="J105" s="144" t="b">
        <f t="shared" ref="J105:J109" si="49">D105</f>
        <v>0</v>
      </c>
      <c r="K105" s="144"/>
      <c r="L105" s="144"/>
      <c r="M105" s="145"/>
      <c r="N105" s="145"/>
      <c r="O105" s="145"/>
      <c r="P105" s="146" t="b">
        <f>IF(ISBLANK(M105),J105,M105)</f>
        <v>0</v>
      </c>
      <c r="S105" s="144" t="b">
        <f t="shared" ref="S105:S109" si="50">P105</f>
        <v>0</v>
      </c>
      <c r="T105" s="144"/>
      <c r="U105" s="144"/>
    </row>
    <row r="106" spans="1:27">
      <c r="A106" s="129" t="s">
        <v>74</v>
      </c>
      <c r="D106" s="161" t="b">
        <v>0</v>
      </c>
      <c r="J106" s="144" t="b">
        <f t="shared" si="49"/>
        <v>0</v>
      </c>
      <c r="K106" s="144"/>
      <c r="L106" s="144"/>
      <c r="M106" s="145"/>
      <c r="N106" s="145"/>
      <c r="O106" s="145"/>
      <c r="P106" s="146" t="b">
        <f>IF(ISBLANK(M106),J106,M106)</f>
        <v>0</v>
      </c>
      <c r="S106" s="144" t="b">
        <f t="shared" si="50"/>
        <v>0</v>
      </c>
      <c r="T106" s="144"/>
      <c r="U106" s="144"/>
    </row>
    <row r="107" spans="1:27">
      <c r="A107" s="129" t="s">
        <v>77</v>
      </c>
      <c r="D107" s="161" t="b">
        <v>0</v>
      </c>
      <c r="J107" s="144" t="b">
        <f t="shared" si="49"/>
        <v>0</v>
      </c>
      <c r="K107" s="144"/>
      <c r="L107" s="144"/>
      <c r="M107" s="145"/>
      <c r="N107" s="145"/>
      <c r="O107" s="145"/>
      <c r="P107" s="146" t="b">
        <f t="shared" ref="P107:P109" si="51">IF(ISBLANK(M107),J107,M107)</f>
        <v>0</v>
      </c>
      <c r="S107" s="144" t="b">
        <f t="shared" si="50"/>
        <v>0</v>
      </c>
      <c r="T107" s="144"/>
      <c r="U107" s="144"/>
    </row>
    <row r="108" spans="1:27">
      <c r="A108" s="129" t="s">
        <v>75</v>
      </c>
      <c r="D108" s="161" t="b">
        <v>0</v>
      </c>
      <c r="J108" s="144" t="b">
        <f t="shared" si="49"/>
        <v>0</v>
      </c>
      <c r="K108" s="144"/>
      <c r="L108" s="144"/>
      <c r="M108" s="145"/>
      <c r="N108" s="145"/>
      <c r="O108" s="145"/>
      <c r="P108" s="146" t="b">
        <f t="shared" si="51"/>
        <v>0</v>
      </c>
      <c r="S108" s="144" t="b">
        <f t="shared" si="50"/>
        <v>0</v>
      </c>
      <c r="T108" s="144"/>
      <c r="U108" s="144"/>
    </row>
    <row r="109" spans="1:27">
      <c r="A109" s="129" t="s">
        <v>76</v>
      </c>
      <c r="D109" s="161" t="b">
        <v>0</v>
      </c>
      <c r="J109" s="144" t="b">
        <f t="shared" si="49"/>
        <v>0</v>
      </c>
      <c r="K109" s="144"/>
      <c r="L109" s="144"/>
      <c r="M109" s="145"/>
      <c r="N109" s="145"/>
      <c r="O109" s="145"/>
      <c r="P109" s="146" t="b">
        <f t="shared" si="51"/>
        <v>0</v>
      </c>
      <c r="S109" s="144" t="b">
        <f t="shared" si="50"/>
        <v>0</v>
      </c>
      <c r="T109" s="144"/>
      <c r="U109" s="144"/>
    </row>
    <row r="110" spans="1:27">
      <c r="S110" s="144"/>
      <c r="T110" s="144"/>
      <c r="U110" s="144"/>
    </row>
    <row r="111" spans="1:27">
      <c r="A111" s="140" t="s">
        <v>68</v>
      </c>
      <c r="D111" s="129" t="s">
        <v>80</v>
      </c>
      <c r="E111" s="130" t="s">
        <v>81</v>
      </c>
      <c r="F111" s="130" t="s">
        <v>3093</v>
      </c>
      <c r="G111" s="129" t="s">
        <v>80</v>
      </c>
      <c r="H111" s="130" t="s">
        <v>81</v>
      </c>
      <c r="J111" s="129" t="s">
        <v>80</v>
      </c>
      <c r="K111" s="130" t="s">
        <v>81</v>
      </c>
      <c r="L111" s="130" t="s">
        <v>3093</v>
      </c>
      <c r="M111" s="171" t="s">
        <v>80</v>
      </c>
      <c r="N111" s="152" t="s">
        <v>81</v>
      </c>
      <c r="O111" s="152" t="s">
        <v>3093</v>
      </c>
      <c r="P111" s="129" t="s">
        <v>80</v>
      </c>
      <c r="Q111" s="130" t="s">
        <v>81</v>
      </c>
      <c r="R111" s="130" t="s">
        <v>3093</v>
      </c>
      <c r="S111" s="129" t="s">
        <v>80</v>
      </c>
      <c r="T111" s="130" t="s">
        <v>81</v>
      </c>
      <c r="U111" s="130" t="s">
        <v>3093</v>
      </c>
    </row>
    <row r="112" spans="1:27">
      <c r="A112" s="140" t="s">
        <v>3291</v>
      </c>
      <c r="D112" s="129" t="s">
        <v>60</v>
      </c>
      <c r="G112" s="129" t="s">
        <v>60</v>
      </c>
      <c r="J112" s="129" t="s">
        <v>60</v>
      </c>
      <c r="M112" s="171" t="s">
        <v>60</v>
      </c>
      <c r="P112" s="129" t="s">
        <v>60</v>
      </c>
      <c r="S112" s="129" t="s">
        <v>60</v>
      </c>
    </row>
    <row r="113" spans="1:31">
      <c r="A113" s="129" t="s">
        <v>3215</v>
      </c>
      <c r="D113" s="161" t="str">
        <f>Creation_1!B54</f>
        <v>None</v>
      </c>
      <c r="E113" s="142">
        <f>Creation_1!I54</f>
        <v>0</v>
      </c>
      <c r="F113" s="142" t="b">
        <v>0</v>
      </c>
      <c r="G113" s="143" t="str">
        <f>Creation_BP!B54</f>
        <v>None</v>
      </c>
      <c r="H113" s="143" t="str">
        <f>Creation_BP!I54</f>
        <v/>
      </c>
      <c r="J113" s="144" t="str">
        <f>G113</f>
        <v>None</v>
      </c>
      <c r="K113" s="144" t="str">
        <f>H113</f>
        <v/>
      </c>
      <c r="L113" s="144" t="b">
        <f>F113</f>
        <v>0</v>
      </c>
      <c r="M113" s="145"/>
      <c r="N113" s="145"/>
      <c r="O113" s="145"/>
      <c r="P113" s="146" t="str">
        <f>Creation_XP!$B$54</f>
        <v>None</v>
      </c>
      <c r="Q113" s="146" t="str">
        <f>Creation_XP!$I$54</f>
        <v/>
      </c>
      <c r="R113" s="146" t="b">
        <f>IF(ISBLANK(O113),L113,O113)</f>
        <v>0</v>
      </c>
      <c r="S113" s="144" t="str">
        <f t="shared" ref="S113:T113" si="52">P113</f>
        <v>None</v>
      </c>
      <c r="T113" s="144" t="str">
        <f t="shared" si="52"/>
        <v/>
      </c>
      <c r="U113" s="144" t="b">
        <f>R113</f>
        <v>0</v>
      </c>
    </row>
    <row r="114" spans="1:31">
      <c r="A114" s="129" t="s">
        <v>3292</v>
      </c>
      <c r="D114" s="161">
        <f>Creation_1!V54</f>
        <v>0</v>
      </c>
      <c r="G114" s="143" t="str">
        <f>Creation_BP!V54</f>
        <v/>
      </c>
      <c r="J114" s="144" t="str">
        <f>G114</f>
        <v/>
      </c>
      <c r="M114" s="145"/>
      <c r="P114" s="146" t="str">
        <f>Creation_XP!$V$54</f>
        <v/>
      </c>
      <c r="S114" s="144" t="str">
        <f>P114</f>
        <v/>
      </c>
    </row>
    <row r="115" spans="1:31">
      <c r="A115" s="129" t="s">
        <v>3216</v>
      </c>
      <c r="D115" s="161">
        <f>Creation_1!B55</f>
        <v>0</v>
      </c>
      <c r="E115" s="142" t="b">
        <v>0</v>
      </c>
      <c r="F115" s="142" t="b">
        <v>0</v>
      </c>
      <c r="G115" s="143" t="str">
        <f>Creation_BP!B55</f>
        <v/>
      </c>
      <c r="H115" s="143" t="str">
        <f>Creation_BP!I55</f>
        <v/>
      </c>
      <c r="J115" s="144" t="str">
        <f>G115</f>
        <v/>
      </c>
      <c r="K115" s="144" t="str">
        <f>H115</f>
        <v/>
      </c>
      <c r="L115" s="144" t="b">
        <f>F115</f>
        <v>0</v>
      </c>
      <c r="M115" s="145"/>
      <c r="N115" s="145"/>
      <c r="O115" s="145"/>
      <c r="P115" s="146" t="str">
        <f>Creation_XP!$B$55</f>
        <v/>
      </c>
      <c r="Q115" s="146" t="str">
        <f>Creation_XP!$I$55</f>
        <v/>
      </c>
      <c r="R115" s="146" t="b">
        <f>IF(ISBLANK(O115),L115,O115)</f>
        <v>0</v>
      </c>
      <c r="S115" s="144" t="str">
        <f t="shared" ref="S115:S118" si="53">P115</f>
        <v/>
      </c>
      <c r="T115" s="144" t="str">
        <f t="shared" ref="T115:U115" si="54">Q115</f>
        <v/>
      </c>
      <c r="U115" s="144" t="b">
        <f t="shared" si="54"/>
        <v>0</v>
      </c>
    </row>
    <row r="116" spans="1:31">
      <c r="A116" s="129" t="s">
        <v>3293</v>
      </c>
      <c r="D116" s="161">
        <f>Creation_1!V55</f>
        <v>0</v>
      </c>
      <c r="G116" s="143" t="str">
        <f>Creation_BP!V55</f>
        <v/>
      </c>
      <c r="J116" s="144" t="str">
        <f>G116</f>
        <v/>
      </c>
      <c r="M116" s="145"/>
      <c r="P116" s="146" t="str">
        <f>Creation_XP!$V$55</f>
        <v/>
      </c>
      <c r="S116" s="144" t="str">
        <f t="shared" si="53"/>
        <v/>
      </c>
    </row>
    <row r="117" spans="1:31">
      <c r="A117" s="129" t="s">
        <v>3224</v>
      </c>
      <c r="D117" s="161">
        <f>Creation_1!B56</f>
        <v>0</v>
      </c>
      <c r="E117" s="142">
        <f>Creation_1!I56</f>
        <v>0</v>
      </c>
      <c r="F117" s="142" t="b">
        <v>0</v>
      </c>
      <c r="G117" s="143" t="str">
        <f>Creation_BP!B56</f>
        <v/>
      </c>
      <c r="H117" s="143" t="str">
        <f>Creation_BP!I56</f>
        <v/>
      </c>
      <c r="J117" s="144" t="str">
        <f>G117</f>
        <v/>
      </c>
      <c r="K117" s="144" t="str">
        <f>H117</f>
        <v/>
      </c>
      <c r="L117" s="144" t="b">
        <f>F117</f>
        <v>0</v>
      </c>
      <c r="M117" s="145"/>
      <c r="N117" s="145"/>
      <c r="O117" s="145"/>
      <c r="P117" s="146" t="str">
        <f>Creation_XP!$B$56</f>
        <v/>
      </c>
      <c r="Q117" s="146" t="str">
        <f>Creation_XP!$I$56</f>
        <v/>
      </c>
      <c r="R117" s="146" t="b">
        <f>IF(ISBLANK(O117),L117,O117)</f>
        <v>0</v>
      </c>
      <c r="S117" s="144" t="str">
        <f t="shared" si="53"/>
        <v/>
      </c>
      <c r="T117" s="144" t="str">
        <f t="shared" ref="T117:U117" si="55">Q117</f>
        <v/>
      </c>
      <c r="U117" s="144" t="b">
        <f t="shared" si="55"/>
        <v>0</v>
      </c>
    </row>
    <row r="118" spans="1:31">
      <c r="A118" s="129" t="s">
        <v>3294</v>
      </c>
      <c r="D118" s="161">
        <f>Creation_1!V56</f>
        <v>0</v>
      </c>
      <c r="G118" s="143" t="str">
        <f>Creation_BP!V56</f>
        <v/>
      </c>
      <c r="J118" s="144" t="str">
        <f>G118</f>
        <v/>
      </c>
      <c r="M118" s="145"/>
      <c r="P118" s="146" t="str">
        <f>Creation_XP!$V$56</f>
        <v/>
      </c>
      <c r="S118" s="144" t="str">
        <f t="shared" si="53"/>
        <v/>
      </c>
    </row>
    <row r="120" spans="1:31">
      <c r="A120" s="140" t="s">
        <v>3084</v>
      </c>
      <c r="D120" s="129" t="s">
        <v>80</v>
      </c>
      <c r="E120" s="130" t="s">
        <v>81</v>
      </c>
      <c r="F120" s="130" t="s">
        <v>3093</v>
      </c>
      <c r="G120" s="129" t="s">
        <v>80</v>
      </c>
      <c r="H120" s="130" t="s">
        <v>81</v>
      </c>
      <c r="I120" s="130" t="s">
        <v>3093</v>
      </c>
      <c r="J120" s="129" t="s">
        <v>80</v>
      </c>
      <c r="K120" s="130" t="s">
        <v>81</v>
      </c>
      <c r="L120" s="130" t="s">
        <v>3093</v>
      </c>
      <c r="M120" s="171" t="s">
        <v>80</v>
      </c>
      <c r="N120" s="152" t="s">
        <v>81</v>
      </c>
      <c r="O120" s="152" t="s">
        <v>3093</v>
      </c>
      <c r="P120" s="129" t="s">
        <v>80</v>
      </c>
      <c r="Q120" s="130" t="s">
        <v>81</v>
      </c>
      <c r="R120" s="130" t="s">
        <v>3093</v>
      </c>
      <c r="S120" s="129" t="s">
        <v>80</v>
      </c>
      <c r="T120" s="130" t="s">
        <v>81</v>
      </c>
      <c r="U120" s="130" t="s">
        <v>3093</v>
      </c>
      <c r="V120" s="130"/>
      <c r="W120" s="130"/>
      <c r="X120" s="130"/>
      <c r="Y120" s="130"/>
      <c r="Z120" s="130"/>
      <c r="AA120" s="130"/>
      <c r="AB120" s="130"/>
      <c r="AC120" s="130"/>
      <c r="AD120" s="130"/>
      <c r="AE120" s="130"/>
    </row>
    <row r="121" spans="1:31">
      <c r="A121" s="140"/>
      <c r="D121" s="130" t="s">
        <v>3155</v>
      </c>
      <c r="E121" s="144" t="s">
        <v>60</v>
      </c>
      <c r="F121" s="130" t="s">
        <v>3464</v>
      </c>
      <c r="G121" s="130" t="s">
        <v>3155</v>
      </c>
      <c r="H121" s="144" t="s">
        <v>60</v>
      </c>
      <c r="I121" s="130" t="s">
        <v>3464</v>
      </c>
      <c r="J121" s="130" t="s">
        <v>3155</v>
      </c>
      <c r="K121" s="144" t="s">
        <v>60</v>
      </c>
      <c r="L121" s="130" t="s">
        <v>3464</v>
      </c>
      <c r="M121" s="152" t="s">
        <v>3155</v>
      </c>
      <c r="N121" s="172" t="s">
        <v>60</v>
      </c>
      <c r="O121" s="130" t="s">
        <v>3464</v>
      </c>
      <c r="P121" s="130" t="s">
        <v>3155</v>
      </c>
      <c r="Q121" s="144" t="s">
        <v>60</v>
      </c>
      <c r="R121" s="130" t="s">
        <v>3464</v>
      </c>
      <c r="S121" s="130" t="s">
        <v>3155</v>
      </c>
      <c r="T121" s="144" t="s">
        <v>60</v>
      </c>
      <c r="U121" s="130" t="s">
        <v>3464</v>
      </c>
      <c r="V121" s="130"/>
      <c r="W121" s="130"/>
      <c r="X121" s="130"/>
      <c r="Y121" s="130"/>
      <c r="Z121" s="130"/>
      <c r="AA121" s="130"/>
      <c r="AB121" s="130"/>
      <c r="AC121" s="130"/>
      <c r="AD121" s="130"/>
      <c r="AE121" s="130"/>
    </row>
    <row r="122" spans="1:31">
      <c r="A122" s="129" t="s">
        <v>3085</v>
      </c>
      <c r="D122" s="161" t="str">
        <f>Creation_1!R42</f>
        <v>Unarmed</v>
      </c>
      <c r="E122" s="142" t="str">
        <f>Creation_1!N42</f>
        <v>Unarmed</v>
      </c>
      <c r="F122" s="142" t="b">
        <v>0</v>
      </c>
      <c r="G122" s="143" t="str">
        <f ca="1">INDIRECT("Creation_BP!S"&amp;42+(ROWS($A$122:$A123)/2-1))</f>
        <v>Unarmed</v>
      </c>
      <c r="H122" s="143" t="str">
        <f ca="1">INDIRECT("Creation_BP!O"&amp;42+(ROWS($A$122:$A123)/2-1))</f>
        <v>Unarmed</v>
      </c>
      <c r="J122" s="144" t="str">
        <f ca="1">G122</f>
        <v>Unarmed</v>
      </c>
      <c r="K122" s="144" t="str">
        <f ca="1">H122</f>
        <v>Unarmed</v>
      </c>
      <c r="L122" s="144" t="b">
        <f>F122</f>
        <v>0</v>
      </c>
      <c r="M122" s="145"/>
      <c r="N122" s="145"/>
      <c r="O122" s="145"/>
      <c r="P122" s="146" t="str">
        <f ca="1">INDIRECT("Creation_XP!R"&amp;42+(ROWS($A$122:$A123)/2-1))</f>
        <v>Unarmed</v>
      </c>
      <c r="Q122" s="146" t="str">
        <f ca="1">INDIRECT("Creation_XP!N"&amp;42+(ROWS($A$122:$A123)/2-1))</f>
        <v>Unarmed</v>
      </c>
      <c r="R122" s="146" t="b">
        <f>IF(ISBLANK(O122),L122,O122)</f>
        <v>0</v>
      </c>
      <c r="S122" s="144" t="str">
        <f ca="1">IF(P122=0,"",P122)</f>
        <v>Unarmed</v>
      </c>
      <c r="T122" s="144" t="str">
        <f ca="1">Q122</f>
        <v>Unarmed</v>
      </c>
      <c r="U122" s="144" t="b">
        <f t="shared" ref="U122" si="56">R122</f>
        <v>0</v>
      </c>
      <c r="V122" s="130"/>
      <c r="W122" s="130"/>
      <c r="X122" s="130"/>
      <c r="Y122" s="130"/>
      <c r="Z122" s="130"/>
    </row>
    <row r="123" spans="1:31">
      <c r="D123" s="142" t="str">
        <f>Creation_1!X42</f>
        <v>Brawl</v>
      </c>
      <c r="E123" s="142" t="str">
        <f>Creation_1!AR42</f>
        <v>Bashing</v>
      </c>
      <c r="F123" s="142">
        <f>Creation_1!AB42</f>
        <v>0</v>
      </c>
      <c r="G123" s="143" t="str">
        <f ca="1">INDIRECT("Creation_BP!X"&amp;42+(ROWS($A$122:$A123)/2-1))</f>
        <v>Brawl</v>
      </c>
      <c r="H123" s="143" t="str">
        <f ca="1">INDIRECT("Creation_BP!AR"&amp;42+(ROWS($A$122:$A123)/2-1))</f>
        <v>Bashing</v>
      </c>
      <c r="I123" s="143" t="str">
        <f ca="1">INDIRECT("Creation_BP!AB"&amp;42+(ROWS($A$122:$A123)/2-1))</f>
        <v/>
      </c>
      <c r="J123" s="144" t="str">
        <f t="shared" ref="J123:K137" ca="1" si="57">G123</f>
        <v>Brawl</v>
      </c>
      <c r="K123" s="144" t="str">
        <f t="shared" ca="1" si="57"/>
        <v>Bashing</v>
      </c>
      <c r="L123" s="144" t="str">
        <f ca="1">I123</f>
        <v/>
      </c>
      <c r="M123" s="145"/>
      <c r="N123" s="145"/>
      <c r="P123" s="146" t="str">
        <f ca="1">INDIRECT("Creation_XP!X"&amp;42+(ROWS($A$122:$A123)/2-1))</f>
        <v>Brawl</v>
      </c>
      <c r="Q123" s="146" t="str">
        <f ca="1">INDIRECT("Creation_XP!AR"&amp;42+(ROWS($A$122:$A123)/2-1))</f>
        <v>Bashing</v>
      </c>
      <c r="R123" s="146" t="str">
        <f ca="1">INDIRECT("Creation_XP!AB"&amp;42+(ROWS($A$122:$A123)/2-1))</f>
        <v/>
      </c>
      <c r="S123" s="144" t="str">
        <f t="shared" ref="S123:T137" ca="1" si="58">P123</f>
        <v>Brawl</v>
      </c>
      <c r="T123" s="144" t="str">
        <f t="shared" ca="1" si="58"/>
        <v>Bashing</v>
      </c>
      <c r="V123" s="130"/>
      <c r="W123" s="130"/>
      <c r="X123" s="130"/>
      <c r="Y123" s="130"/>
      <c r="Z123" s="130"/>
    </row>
    <row r="124" spans="1:31">
      <c r="A124" s="129" t="s">
        <v>3086</v>
      </c>
      <c r="D124" s="161">
        <f>Creation_1!R43</f>
        <v>0</v>
      </c>
      <c r="E124" s="142">
        <f>Creation_1!N43</f>
        <v>0</v>
      </c>
      <c r="F124" s="142" t="b">
        <v>0</v>
      </c>
      <c r="G124" s="143" t="str">
        <f ca="1">INDIRECT("Creation_BP!S"&amp;42+(ROWS($A$122:$A125)/2-1))</f>
        <v/>
      </c>
      <c r="H124" s="143" t="str">
        <f ca="1">INDIRECT("Creation_BP!O"&amp;42+(ROWS($A$122:$A125)/2-1))</f>
        <v/>
      </c>
      <c r="J124" s="144" t="str">
        <f t="shared" ca="1" si="57"/>
        <v/>
      </c>
      <c r="K124" s="144" t="str">
        <f t="shared" ca="1" si="57"/>
        <v/>
      </c>
      <c r="L124" s="144" t="b">
        <f>F124</f>
        <v>0</v>
      </c>
      <c r="M124" s="145"/>
      <c r="N124" s="145"/>
      <c r="O124" s="145"/>
      <c r="P124" s="146" t="str">
        <f ca="1">INDIRECT("Creation_XP!R"&amp;42+(ROWS($A$122:$A125)/2-1))</f>
        <v/>
      </c>
      <c r="Q124" s="146" t="str">
        <f ca="1">INDIRECT("Creation_XP!N"&amp;42+(ROWS($A$122:$A125)/2-1))</f>
        <v/>
      </c>
      <c r="R124" s="146" t="b">
        <f>IF(ISBLANK(O124),L124,O124)</f>
        <v>0</v>
      </c>
      <c r="S124" s="144" t="str">
        <f ca="1">IF(P124=0,"",P124)</f>
        <v/>
      </c>
      <c r="T124" s="144" t="str">
        <f t="shared" ca="1" si="58"/>
        <v/>
      </c>
      <c r="U124" s="144" t="b">
        <f t="shared" ref="U124" si="59">R124</f>
        <v>0</v>
      </c>
      <c r="V124" s="130"/>
      <c r="W124" s="130"/>
      <c r="X124" s="130"/>
      <c r="Y124" s="130"/>
      <c r="Z124" s="130"/>
    </row>
    <row r="125" spans="1:31">
      <c r="D125" s="142">
        <f>Creation_1!X43</f>
        <v>0</v>
      </c>
      <c r="E125" s="142">
        <f>Creation_1!AR43</f>
        <v>0</v>
      </c>
      <c r="F125" s="142">
        <f>Creation_1!AB43</f>
        <v>0</v>
      </c>
      <c r="G125" s="143" t="str">
        <f ca="1">INDIRECT("Creation_BP!X"&amp;42+(ROWS($A$122:$A125)/2-1))</f>
        <v/>
      </c>
      <c r="H125" s="143" t="str">
        <f ca="1">INDIRECT("Creation_BP!AR"&amp;42+(ROWS($A$122:$A125)/2-1))</f>
        <v/>
      </c>
      <c r="I125" s="143" t="str">
        <f ca="1">INDIRECT("Creation_BP!AB"&amp;42+(ROWS($A$122:$A125)/2-1))</f>
        <v/>
      </c>
      <c r="J125" s="144" t="str">
        <f t="shared" ca="1" si="57"/>
        <v/>
      </c>
      <c r="K125" s="144" t="str">
        <f t="shared" ca="1" si="57"/>
        <v/>
      </c>
      <c r="L125" s="144" t="str">
        <f ca="1">I125</f>
        <v/>
      </c>
      <c r="M125" s="145"/>
      <c r="N125" s="145"/>
      <c r="P125" s="146" t="str">
        <f ca="1">INDIRECT("Creation_XP!X"&amp;42+(ROWS($A$122:$A125)/2-1))</f>
        <v/>
      </c>
      <c r="Q125" s="146" t="str">
        <f ca="1">INDIRECT("Creation_XP!AR"&amp;42+(ROWS($A$122:$A125)/2-1))</f>
        <v/>
      </c>
      <c r="R125" s="146" t="str">
        <f ca="1">INDIRECT("Creation_XP!AB"&amp;42+(ROWS($A$122:$A125)/2-1))</f>
        <v/>
      </c>
      <c r="S125" s="144" t="str">
        <f t="shared" ca="1" si="58"/>
        <v/>
      </c>
      <c r="T125" s="144" t="str">
        <f t="shared" ca="1" si="58"/>
        <v/>
      </c>
      <c r="V125" s="130"/>
      <c r="W125" s="130"/>
      <c r="X125" s="130"/>
      <c r="Y125" s="130"/>
      <c r="Z125" s="130"/>
    </row>
    <row r="126" spans="1:31">
      <c r="A126" s="129" t="s">
        <v>3087</v>
      </c>
      <c r="D126" s="161">
        <f>Creation_1!R44</f>
        <v>0</v>
      </c>
      <c r="E126" s="142">
        <f>Creation_1!N44</f>
        <v>0</v>
      </c>
      <c r="F126" s="142" t="b">
        <v>0</v>
      </c>
      <c r="G126" s="143" t="str">
        <f ca="1">INDIRECT("Creation_BP!S"&amp;42+(ROWS($A$122:$A127)/2-1))</f>
        <v/>
      </c>
      <c r="H126" s="143" t="str">
        <f ca="1">INDIRECT("Creation_BP!O"&amp;42+(ROWS($A$122:$A127)/2-1))</f>
        <v/>
      </c>
      <c r="J126" s="144" t="str">
        <f t="shared" ca="1" si="57"/>
        <v/>
      </c>
      <c r="K126" s="144" t="str">
        <f t="shared" ca="1" si="57"/>
        <v/>
      </c>
      <c r="L126" s="144" t="b">
        <f>F126</f>
        <v>0</v>
      </c>
      <c r="M126" s="145"/>
      <c r="N126" s="145"/>
      <c r="O126" s="145"/>
      <c r="P126" s="146" t="str">
        <f ca="1">INDIRECT("Creation_XP!R"&amp;42+(ROWS($A$122:$A127)/2-1))</f>
        <v/>
      </c>
      <c r="Q126" s="146" t="str">
        <f ca="1">INDIRECT("Creation_XP!N"&amp;42+(ROWS($A$122:$A127)/2-1))</f>
        <v/>
      </c>
      <c r="R126" s="146" t="b">
        <v>0</v>
      </c>
      <c r="S126" s="144" t="str">
        <f ca="1">IF(P126=0,"",P126)</f>
        <v/>
      </c>
      <c r="T126" s="144" t="str">
        <f t="shared" ca="1" si="58"/>
        <v/>
      </c>
      <c r="U126" s="144" t="b">
        <f t="shared" ref="U126" si="60">R126</f>
        <v>0</v>
      </c>
      <c r="V126" s="130"/>
      <c r="W126" s="130"/>
      <c r="X126" s="130"/>
      <c r="Y126" s="130"/>
      <c r="Z126" s="130"/>
    </row>
    <row r="127" spans="1:31">
      <c r="D127" s="142">
        <f>Creation_1!X44</f>
        <v>0</v>
      </c>
      <c r="E127" s="142">
        <f>Creation_1!AR44</f>
        <v>0</v>
      </c>
      <c r="F127" s="142">
        <f>Creation_1!AB44</f>
        <v>0</v>
      </c>
      <c r="G127" s="143" t="str">
        <f ca="1">INDIRECT("Creation_BP!X"&amp;42+(ROWS($A$122:$A127)/2-1))</f>
        <v/>
      </c>
      <c r="H127" s="143" t="str">
        <f ca="1">INDIRECT("Creation_BP!AR"&amp;42+(ROWS($A$122:$A127)/2-1))</f>
        <v/>
      </c>
      <c r="I127" s="143" t="str">
        <f ca="1">INDIRECT("Creation_BP!AB"&amp;42+(ROWS($A$122:$A127)/2-1))</f>
        <v/>
      </c>
      <c r="J127" s="144" t="str">
        <f t="shared" ca="1" si="57"/>
        <v/>
      </c>
      <c r="K127" s="144" t="str">
        <f t="shared" ca="1" si="57"/>
        <v/>
      </c>
      <c r="L127" s="144" t="str">
        <f ca="1">I127</f>
        <v/>
      </c>
      <c r="M127" s="145"/>
      <c r="N127" s="145"/>
      <c r="P127" s="146" t="str">
        <f ca="1">INDIRECT("Creation_XP!X"&amp;42+(ROWS($A$122:$A127)/2-1))</f>
        <v/>
      </c>
      <c r="Q127" s="146" t="str">
        <f ca="1">INDIRECT("Creation_XP!AR"&amp;42+(ROWS($A$122:$A127)/2-1))</f>
        <v/>
      </c>
      <c r="R127" s="146" t="str">
        <f ca="1">INDIRECT("Creation_XP!AB"&amp;42+(ROWS($A$122:$A127)/2-1))</f>
        <v/>
      </c>
      <c r="S127" s="144" t="str">
        <f t="shared" ca="1" si="58"/>
        <v/>
      </c>
      <c r="T127" s="144" t="str">
        <f t="shared" ca="1" si="58"/>
        <v/>
      </c>
      <c r="V127" s="130"/>
      <c r="W127" s="130"/>
      <c r="X127" s="130"/>
      <c r="Y127" s="130"/>
      <c r="Z127" s="130"/>
    </row>
    <row r="128" spans="1:31">
      <c r="A128" s="129" t="s">
        <v>3088</v>
      </c>
      <c r="D128" s="161">
        <f>Creation_1!R45</f>
        <v>0</v>
      </c>
      <c r="E128" s="142">
        <f>Creation_1!N45</f>
        <v>0</v>
      </c>
      <c r="F128" s="142" t="b">
        <v>0</v>
      </c>
      <c r="G128" s="143" t="str">
        <f ca="1">INDIRECT("Creation_BP!S"&amp;42+(ROWS($A$122:$A129)/2-1))</f>
        <v/>
      </c>
      <c r="H128" s="143" t="str">
        <f ca="1">INDIRECT("Creation_BP!O"&amp;42+(ROWS($A$122:$A129)/2-1))</f>
        <v/>
      </c>
      <c r="J128" s="144" t="str">
        <f t="shared" ca="1" si="57"/>
        <v/>
      </c>
      <c r="K128" s="144" t="str">
        <f t="shared" ca="1" si="57"/>
        <v/>
      </c>
      <c r="L128" s="144" t="b">
        <f>F128</f>
        <v>0</v>
      </c>
      <c r="M128" s="145"/>
      <c r="N128" s="145"/>
      <c r="O128" s="145"/>
      <c r="P128" s="146" t="str">
        <f ca="1">INDIRECT("Creation_XP!R"&amp;42+(ROWS($A$122:$A129)/2-1))</f>
        <v/>
      </c>
      <c r="Q128" s="146" t="str">
        <f ca="1">INDIRECT("Creation_XP!N"&amp;42+(ROWS($A$122:$A129)/2-1))</f>
        <v/>
      </c>
      <c r="R128" s="146" t="b">
        <f>IF(ISBLANK(O128),L128,O128)</f>
        <v>0</v>
      </c>
      <c r="S128" s="144" t="str">
        <f ca="1">IF(P128=0,"",P128)</f>
        <v/>
      </c>
      <c r="T128" s="144" t="str">
        <f t="shared" ca="1" si="58"/>
        <v/>
      </c>
      <c r="U128" s="144" t="b">
        <f t="shared" ref="U128" si="61">R128</f>
        <v>0</v>
      </c>
      <c r="V128" s="130"/>
      <c r="W128" s="130"/>
      <c r="X128" s="130"/>
      <c r="Y128" s="130"/>
      <c r="Z128" s="130"/>
    </row>
    <row r="129" spans="1:28">
      <c r="D129" s="142">
        <f>Creation_1!X45</f>
        <v>0</v>
      </c>
      <c r="E129" s="142">
        <f>Creation_1!AR45</f>
        <v>0</v>
      </c>
      <c r="F129" s="142">
        <f>Creation_1!AB45</f>
        <v>0</v>
      </c>
      <c r="G129" s="143" t="str">
        <f ca="1">INDIRECT("Creation_BP!X"&amp;42+(ROWS($A$122:$A129)/2-1))</f>
        <v/>
      </c>
      <c r="H129" s="143" t="str">
        <f ca="1">INDIRECT("Creation_BP!AR"&amp;42+(ROWS($A$122:$A129)/2-1))</f>
        <v/>
      </c>
      <c r="I129" s="143" t="str">
        <f ca="1">INDIRECT("Creation_BP!AB"&amp;42+(ROWS($A$122:$A129)/2-1))</f>
        <v/>
      </c>
      <c r="J129" s="144" t="str">
        <f t="shared" ca="1" si="57"/>
        <v/>
      </c>
      <c r="K129" s="144" t="str">
        <f t="shared" ca="1" si="57"/>
        <v/>
      </c>
      <c r="L129" s="144" t="str">
        <f ca="1">I129</f>
        <v/>
      </c>
      <c r="M129" s="145"/>
      <c r="N129" s="145"/>
      <c r="P129" s="146" t="str">
        <f ca="1">INDIRECT("Creation_XP!X"&amp;42+(ROWS($A$122:$A129)/2-1))</f>
        <v/>
      </c>
      <c r="Q129" s="146" t="str">
        <f ca="1">INDIRECT("Creation_XP!AR"&amp;42+(ROWS($A$122:$A129)/2-1))</f>
        <v/>
      </c>
      <c r="R129" s="146" t="str">
        <f ca="1">INDIRECT("Creation_XP!AB"&amp;42+(ROWS($A$122:$A129)/2-1))</f>
        <v/>
      </c>
      <c r="S129" s="144" t="str">
        <f t="shared" ca="1" si="58"/>
        <v/>
      </c>
      <c r="T129" s="144" t="str">
        <f t="shared" ca="1" si="58"/>
        <v/>
      </c>
      <c r="V129" s="130"/>
      <c r="W129" s="130"/>
      <c r="X129" s="130"/>
      <c r="Y129" s="130"/>
      <c r="Z129" s="130"/>
    </row>
    <row r="130" spans="1:28">
      <c r="A130" s="129" t="s">
        <v>3089</v>
      </c>
      <c r="D130" s="161">
        <f>Creation_1!R46</f>
        <v>0</v>
      </c>
      <c r="E130" s="142">
        <f>Creation_1!N46</f>
        <v>0</v>
      </c>
      <c r="F130" s="142" t="b">
        <v>0</v>
      </c>
      <c r="G130" s="143" t="str">
        <f ca="1">INDIRECT("Creation_BP!S"&amp;42+(ROWS($A$122:$A131)/2-1))</f>
        <v/>
      </c>
      <c r="H130" s="143" t="str">
        <f ca="1">INDIRECT("Creation_BP!O"&amp;42+(ROWS($A$122:$A131)/2-1))</f>
        <v/>
      </c>
      <c r="J130" s="144" t="str">
        <f t="shared" ca="1" si="57"/>
        <v/>
      </c>
      <c r="K130" s="144" t="str">
        <f t="shared" ca="1" si="57"/>
        <v/>
      </c>
      <c r="L130" s="144" t="b">
        <f>F130</f>
        <v>0</v>
      </c>
      <c r="M130" s="145"/>
      <c r="N130" s="145"/>
      <c r="O130" s="145"/>
      <c r="P130" s="146" t="str">
        <f ca="1">INDIRECT("Creation_XP!R"&amp;42+(ROWS($A$122:$A131)/2-1))</f>
        <v/>
      </c>
      <c r="Q130" s="146" t="str">
        <f ca="1">INDIRECT("Creation_XP!N"&amp;42+(ROWS($A$122:$A131)/2-1))</f>
        <v/>
      </c>
      <c r="R130" s="146" t="b">
        <f>IF(ISBLANK(O130),L130,O130)</f>
        <v>0</v>
      </c>
      <c r="S130" s="144" t="str">
        <f ca="1">IF(P130=0,"",P130)</f>
        <v/>
      </c>
      <c r="T130" s="144" t="str">
        <f t="shared" ca="1" si="58"/>
        <v/>
      </c>
      <c r="U130" s="144" t="b">
        <f t="shared" ref="U130" si="62">R130</f>
        <v>0</v>
      </c>
      <c r="V130" s="130"/>
      <c r="W130" s="130"/>
      <c r="X130" s="130"/>
      <c r="Y130" s="130"/>
      <c r="Z130" s="130"/>
    </row>
    <row r="131" spans="1:28">
      <c r="D131" s="142">
        <f>Creation_1!X46</f>
        <v>0</v>
      </c>
      <c r="E131" s="142">
        <f>Creation_1!AR46</f>
        <v>0</v>
      </c>
      <c r="F131" s="142">
        <f>Creation_1!AB46</f>
        <v>0</v>
      </c>
      <c r="G131" s="143" t="str">
        <f ca="1">INDIRECT("Creation_BP!X"&amp;42+(ROWS($A$122:$A131)/2-1))</f>
        <v/>
      </c>
      <c r="H131" s="143" t="str">
        <f ca="1">INDIRECT("Creation_BP!AR"&amp;42+(ROWS($A$122:$A131)/2-1))</f>
        <v/>
      </c>
      <c r="I131" s="143" t="str">
        <f ca="1">INDIRECT("Creation_BP!AB"&amp;42+(ROWS($A$122:$A131)/2-1))</f>
        <v/>
      </c>
      <c r="J131" s="144" t="str">
        <f t="shared" ca="1" si="57"/>
        <v/>
      </c>
      <c r="K131" s="144" t="str">
        <f t="shared" ca="1" si="57"/>
        <v/>
      </c>
      <c r="L131" s="144" t="str">
        <f ca="1">I131</f>
        <v/>
      </c>
      <c r="M131" s="145"/>
      <c r="N131" s="145"/>
      <c r="P131" s="146" t="str">
        <f ca="1">INDIRECT("Creation_XP!X"&amp;42+(ROWS($A$122:$A131)/2-1))</f>
        <v/>
      </c>
      <c r="Q131" s="146" t="str">
        <f ca="1">INDIRECT("Creation_XP!AR"&amp;42+(ROWS($A$122:$A131)/2-1))</f>
        <v/>
      </c>
      <c r="R131" s="146" t="str">
        <f ca="1">INDIRECT("Creation_XP!AB"&amp;42+(ROWS($A$122:$A131)/2-1))</f>
        <v/>
      </c>
      <c r="S131" s="144" t="str">
        <f t="shared" ca="1" si="58"/>
        <v/>
      </c>
      <c r="T131" s="144" t="str">
        <f t="shared" ca="1" si="58"/>
        <v/>
      </c>
      <c r="V131" s="130"/>
      <c r="W131" s="130"/>
      <c r="X131" s="130"/>
      <c r="Y131" s="130"/>
      <c r="Z131" s="130"/>
    </row>
    <row r="132" spans="1:28">
      <c r="A132" s="129" t="s">
        <v>3090</v>
      </c>
      <c r="D132" s="161">
        <f>Creation_1!R47</f>
        <v>0</v>
      </c>
      <c r="E132" s="142">
        <f>Creation_1!N47</f>
        <v>0</v>
      </c>
      <c r="F132" s="142" t="b">
        <v>0</v>
      </c>
      <c r="G132" s="143" t="str">
        <f ca="1">INDIRECT("Creation_BP!S"&amp;42+(ROWS($A$122:$A133)/2-1))</f>
        <v/>
      </c>
      <c r="H132" s="143" t="str">
        <f ca="1">INDIRECT("Creation_BP!O"&amp;42+(ROWS($A$122:$A133)/2-1))</f>
        <v/>
      </c>
      <c r="J132" s="144" t="str">
        <f t="shared" ca="1" si="57"/>
        <v/>
      </c>
      <c r="K132" s="144" t="str">
        <f t="shared" ca="1" si="57"/>
        <v/>
      </c>
      <c r="L132" s="144" t="b">
        <f>F132</f>
        <v>0</v>
      </c>
      <c r="M132" s="145"/>
      <c r="N132" s="145"/>
      <c r="O132" s="145"/>
      <c r="P132" s="146" t="str">
        <f ca="1">INDIRECT("Creation_XP!R"&amp;42+(ROWS($A$122:$A133)/2-1))</f>
        <v/>
      </c>
      <c r="Q132" s="146" t="str">
        <f ca="1">INDIRECT("Creation_XP!N"&amp;42+(ROWS($A$122:$A133)/2-1))</f>
        <v/>
      </c>
      <c r="R132" s="146" t="b">
        <f>IF(ISBLANK(O132),L132,O132)</f>
        <v>0</v>
      </c>
      <c r="S132" s="144" t="str">
        <f ca="1">IF(P132=0,"",P132)</f>
        <v/>
      </c>
      <c r="T132" s="144" t="str">
        <f t="shared" ca="1" si="58"/>
        <v/>
      </c>
      <c r="U132" s="144" t="b">
        <f t="shared" ref="U132" si="63">R132</f>
        <v>0</v>
      </c>
      <c r="V132" s="130"/>
      <c r="W132" s="130"/>
      <c r="X132" s="130"/>
      <c r="Y132" s="130"/>
      <c r="Z132" s="130"/>
    </row>
    <row r="133" spans="1:28">
      <c r="D133" s="142">
        <f>Creation_1!X47</f>
        <v>0</v>
      </c>
      <c r="E133" s="142">
        <f>Creation_1!AR47</f>
        <v>0</v>
      </c>
      <c r="F133" s="142">
        <f>Creation_1!AB47</f>
        <v>0</v>
      </c>
      <c r="G133" s="143" t="str">
        <f ca="1">INDIRECT("Creation_BP!X"&amp;42+(ROWS($A$122:$A133)/2-1))</f>
        <v/>
      </c>
      <c r="H133" s="143" t="str">
        <f ca="1">INDIRECT("Creation_BP!AR"&amp;42+(ROWS($A$122:$A133)/2-1))</f>
        <v/>
      </c>
      <c r="I133" s="143" t="str">
        <f ca="1">INDIRECT("Creation_BP!AB"&amp;42+(ROWS($A$122:$A133)/2-1))</f>
        <v/>
      </c>
      <c r="J133" s="144" t="str">
        <f t="shared" ca="1" si="57"/>
        <v/>
      </c>
      <c r="K133" s="144" t="str">
        <f t="shared" ca="1" si="57"/>
        <v/>
      </c>
      <c r="L133" s="144" t="str">
        <f ca="1">I133</f>
        <v/>
      </c>
      <c r="M133" s="145"/>
      <c r="N133" s="145"/>
      <c r="P133" s="146" t="str">
        <f ca="1">INDIRECT("Creation_XP!X"&amp;42+(ROWS($A$122:$A133)/2-1))</f>
        <v/>
      </c>
      <c r="Q133" s="146" t="str">
        <f ca="1">INDIRECT("Creation_XP!AR"&amp;42+(ROWS($A$122:$A133)/2-1))</f>
        <v/>
      </c>
      <c r="R133" s="146" t="str">
        <f ca="1">INDIRECT("Creation_XP!AB"&amp;42+(ROWS($A$122:$A133)/2-1))</f>
        <v/>
      </c>
      <c r="S133" s="144" t="str">
        <f t="shared" ca="1" si="58"/>
        <v/>
      </c>
      <c r="T133" s="144" t="str">
        <f t="shared" ca="1" si="58"/>
        <v/>
      </c>
      <c r="V133" s="130"/>
      <c r="W133" s="130"/>
      <c r="X133" s="130"/>
      <c r="Y133" s="130"/>
      <c r="Z133" s="130"/>
    </row>
    <row r="134" spans="1:28">
      <c r="A134" s="129" t="s">
        <v>3091</v>
      </c>
      <c r="D134" s="161">
        <f>Creation_1!R48</f>
        <v>0</v>
      </c>
      <c r="E134" s="142">
        <f>Creation_1!N48</f>
        <v>0</v>
      </c>
      <c r="F134" s="142" t="b">
        <v>0</v>
      </c>
      <c r="G134" s="143" t="str">
        <f ca="1">INDIRECT("Creation_BP!S"&amp;42+(ROWS($A$122:$A135)/2-1))</f>
        <v/>
      </c>
      <c r="H134" s="143" t="str">
        <f ca="1">INDIRECT("Creation_BP!O"&amp;42+(ROWS($A$122:$A135)/2-1))</f>
        <v/>
      </c>
      <c r="J134" s="144" t="str">
        <f t="shared" ca="1" si="57"/>
        <v/>
      </c>
      <c r="K134" s="144" t="str">
        <f t="shared" ca="1" si="57"/>
        <v/>
      </c>
      <c r="L134" s="144" t="b">
        <f>F134</f>
        <v>0</v>
      </c>
      <c r="M134" s="145"/>
      <c r="N134" s="145"/>
      <c r="O134" s="145"/>
      <c r="P134" s="146" t="str">
        <f ca="1">INDIRECT("Creation_XP!R"&amp;42+(ROWS($A$122:$A135)/2-1))</f>
        <v/>
      </c>
      <c r="Q134" s="146" t="str">
        <f ca="1">INDIRECT("Creation_XP!N"&amp;42+(ROWS($A$122:$A135)/2-1))</f>
        <v/>
      </c>
      <c r="R134" s="146" t="b">
        <f>IF(ISBLANK(O134),L134,O134)</f>
        <v>0</v>
      </c>
      <c r="S134" s="144" t="str">
        <f ca="1">IF(P134=0,"",P134)</f>
        <v/>
      </c>
      <c r="T134" s="144" t="str">
        <f t="shared" ca="1" si="58"/>
        <v/>
      </c>
      <c r="U134" s="144" t="b">
        <f t="shared" ref="U134" si="64">R134</f>
        <v>0</v>
      </c>
      <c r="V134" s="130"/>
      <c r="W134" s="130"/>
      <c r="X134" s="130"/>
      <c r="Y134" s="130"/>
      <c r="Z134" s="130"/>
    </row>
    <row r="135" spans="1:28">
      <c r="D135" s="142">
        <f>Creation_1!X48</f>
        <v>0</v>
      </c>
      <c r="E135" s="142">
        <f>Creation_1!AR48</f>
        <v>0</v>
      </c>
      <c r="F135" s="142">
        <f>Creation_1!AB48</f>
        <v>0</v>
      </c>
      <c r="G135" s="143" t="str">
        <f ca="1">INDIRECT("Creation_BP!X"&amp;42+(ROWS($A$122:$A135)/2-1))</f>
        <v/>
      </c>
      <c r="H135" s="143" t="str">
        <f ca="1">INDIRECT("Creation_BP!AR"&amp;42+(ROWS($A$122:$A135)/2-1))</f>
        <v/>
      </c>
      <c r="I135" s="143" t="str">
        <f ca="1">INDIRECT("Creation_BP!AB"&amp;42+(ROWS($A$122:$A135)/2-1))</f>
        <v/>
      </c>
      <c r="J135" s="144" t="str">
        <f t="shared" ca="1" si="57"/>
        <v/>
      </c>
      <c r="K135" s="144" t="str">
        <f t="shared" ca="1" si="57"/>
        <v/>
      </c>
      <c r="L135" s="144" t="str">
        <f ca="1">I135</f>
        <v/>
      </c>
      <c r="M135" s="145"/>
      <c r="N135" s="145"/>
      <c r="P135" s="146" t="str">
        <f ca="1">INDIRECT("Creation_XP!X"&amp;42+(ROWS($A$122:$A135)/2-1))</f>
        <v/>
      </c>
      <c r="Q135" s="146" t="str">
        <f ca="1">INDIRECT("Creation_XP!AR"&amp;42+(ROWS($A$122:$A135)/2-1))</f>
        <v/>
      </c>
      <c r="R135" s="146" t="str">
        <f ca="1">INDIRECT("Creation_XP!AB"&amp;42+(ROWS($A$122:$A135)/2-1))</f>
        <v/>
      </c>
      <c r="S135" s="144" t="str">
        <f t="shared" ca="1" si="58"/>
        <v/>
      </c>
      <c r="T135" s="144" t="str">
        <f t="shared" ca="1" si="58"/>
        <v/>
      </c>
      <c r="V135" s="130"/>
      <c r="W135" s="130"/>
      <c r="X135" s="130"/>
      <c r="Y135" s="130"/>
      <c r="Z135" s="130"/>
    </row>
    <row r="136" spans="1:28">
      <c r="A136" s="129" t="s">
        <v>3092</v>
      </c>
      <c r="D136" s="161">
        <f>Creation_1!R49</f>
        <v>0</v>
      </c>
      <c r="E136" s="142">
        <f>Creation_1!N49</f>
        <v>0</v>
      </c>
      <c r="F136" s="142" t="b">
        <v>0</v>
      </c>
      <c r="G136" s="143" t="str">
        <f ca="1">INDIRECT("Creation_BP!S"&amp;42+(ROWS($A$122:$A137)/2-1))</f>
        <v/>
      </c>
      <c r="H136" s="143" t="str">
        <f ca="1">INDIRECT("Creation_BP!O"&amp;42+(ROWS($A$122:$A137)/2-1))</f>
        <v/>
      </c>
      <c r="J136" s="144" t="str">
        <f t="shared" ca="1" si="57"/>
        <v/>
      </c>
      <c r="K136" s="144" t="str">
        <f t="shared" ca="1" si="57"/>
        <v/>
      </c>
      <c r="L136" s="144" t="b">
        <f>F136</f>
        <v>0</v>
      </c>
      <c r="M136" s="145"/>
      <c r="N136" s="145"/>
      <c r="O136" s="145"/>
      <c r="P136" s="146" t="str">
        <f ca="1">INDIRECT("Creation_XP!R"&amp;42+(ROWS($A$122:$A137)/2-1))</f>
        <v/>
      </c>
      <c r="Q136" s="146" t="str">
        <f ca="1">INDIRECT("Creation_XP!N"&amp;42+(ROWS($A$122:$A137)/2-1))</f>
        <v/>
      </c>
      <c r="R136" s="146" t="b">
        <f>IF(ISBLANK(O136),L136,O136)</f>
        <v>0</v>
      </c>
      <c r="S136" s="144" t="str">
        <f ca="1">IF(P136=0,"",P136)</f>
        <v/>
      </c>
      <c r="T136" s="144" t="str">
        <f t="shared" ca="1" si="58"/>
        <v/>
      </c>
      <c r="U136" s="144" t="b">
        <f t="shared" ref="U136" si="65">R136</f>
        <v>0</v>
      </c>
      <c r="V136" s="130"/>
      <c r="W136" s="130"/>
      <c r="X136" s="130"/>
      <c r="Y136" s="130"/>
      <c r="Z136" s="130"/>
    </row>
    <row r="137" spans="1:28">
      <c r="D137" s="142">
        <f>Creation_1!X49</f>
        <v>0</v>
      </c>
      <c r="E137" s="142">
        <f>Creation_1!AR49</f>
        <v>0</v>
      </c>
      <c r="F137" s="142">
        <f>Creation_1!AB49</f>
        <v>0</v>
      </c>
      <c r="G137" s="143" t="str">
        <f ca="1">INDIRECT("Creation_BP!X"&amp;42+(ROWS($A$122:$A137)/2-1))</f>
        <v/>
      </c>
      <c r="H137" s="143" t="str">
        <f ca="1">INDIRECT("Creation_BP!AR"&amp;42+(ROWS($A$122:$A137)/2-1))</f>
        <v/>
      </c>
      <c r="I137" s="143" t="str">
        <f ca="1">INDIRECT("Creation_BP!AB"&amp;42+(ROWS($A$122:$A137)/2-1))</f>
        <v/>
      </c>
      <c r="J137" s="144" t="str">
        <f t="shared" ca="1" si="57"/>
        <v/>
      </c>
      <c r="K137" s="144" t="str">
        <f t="shared" ca="1" si="57"/>
        <v/>
      </c>
      <c r="L137" s="144" t="str">
        <f ca="1">I137</f>
        <v/>
      </c>
      <c r="M137" s="145"/>
      <c r="N137" s="145"/>
      <c r="P137" s="146" t="str">
        <f ca="1">INDIRECT("Creation_XP!X"&amp;42+(ROWS($A$122:$A137)/2-1))</f>
        <v/>
      </c>
      <c r="Q137" s="146" t="str">
        <f ca="1">INDIRECT("Creation_XP!AR"&amp;42+(ROWS($A$122:$A137)/2-1))</f>
        <v/>
      </c>
      <c r="R137" s="146" t="str">
        <f ca="1">INDIRECT("Creation_XP!AB"&amp;42+(ROWS($A$122:$A137)/2-1))</f>
        <v/>
      </c>
      <c r="S137" s="144" t="str">
        <f t="shared" ca="1" si="58"/>
        <v/>
      </c>
      <c r="T137" s="144" t="str">
        <f t="shared" ca="1" si="58"/>
        <v/>
      </c>
    </row>
    <row r="138" spans="1:28">
      <c r="J138" s="173"/>
      <c r="K138" s="173"/>
      <c r="L138" s="173"/>
      <c r="M138" s="174"/>
      <c r="N138" s="174"/>
      <c r="O138" s="174"/>
    </row>
    <row r="139" spans="1:28">
      <c r="A139" s="140" t="s">
        <v>144</v>
      </c>
      <c r="D139" s="130" t="s">
        <v>1436</v>
      </c>
      <c r="E139" s="130" t="s">
        <v>3450</v>
      </c>
      <c r="G139" s="130" t="s">
        <v>1436</v>
      </c>
      <c r="H139" s="130" t="s">
        <v>3450</v>
      </c>
      <c r="J139" s="130" t="s">
        <v>1436</v>
      </c>
      <c r="K139" s="130" t="s">
        <v>3450</v>
      </c>
      <c r="L139" s="173"/>
      <c r="M139" s="152" t="s">
        <v>1436</v>
      </c>
      <c r="N139" s="130" t="s">
        <v>3450</v>
      </c>
      <c r="O139" s="174"/>
      <c r="P139" s="130" t="s">
        <v>1436</v>
      </c>
      <c r="Q139" s="130" t="s">
        <v>3450</v>
      </c>
      <c r="S139" s="130" t="s">
        <v>1436</v>
      </c>
      <c r="T139" s="130" t="s">
        <v>3450</v>
      </c>
      <c r="X139" s="129" t="s">
        <v>3299</v>
      </c>
      <c r="AA139" s="129" t="s">
        <v>3155</v>
      </c>
      <c r="AB139" s="18" t="s">
        <v>3298</v>
      </c>
    </row>
    <row r="140" spans="1:28">
      <c r="A140" s="175">
        <v>1</v>
      </c>
      <c r="B140" s="176"/>
      <c r="C140" s="177"/>
      <c r="D140" s="178" t="str">
        <f>IF(VLOOKUP(A140,Creation_1!$A$118:$AY$967,14,0)=0,"",VLOOKUP(A140,Creation_1!$A$118:$AY$967,14,0))</f>
        <v/>
      </c>
      <c r="E140" s="130" t="str">
        <f>INDEX(Creation_1!B:B,MATCH(Values!A140,Creation_1!A:A,0)+1)</f>
        <v/>
      </c>
      <c r="G140" s="143" t="str">
        <f>VLOOKUP(A140,Creation_BP!$A$118:$AY$967,14,0)</f>
        <v/>
      </c>
      <c r="H140" s="130" t="str">
        <f>INDEX(Creation_BP!B:B,MATCH(Values!A140,Creation_BP!A:A,0)+1)</f>
        <v/>
      </c>
      <c r="J140" s="144" t="str">
        <f t="shared" ref="J140:J203" si="66">G140</f>
        <v/>
      </c>
      <c r="K140" s="130" t="str">
        <f>H140</f>
        <v/>
      </c>
      <c r="M140" s="145"/>
      <c r="P140" s="146" t="str">
        <f>VLOOKUP(A140,Creation_XP!$A$112:$AY$911,14,0)</f>
        <v/>
      </c>
      <c r="Q140" s="130" t="str">
        <f>INDEX(Creation_XP!B:B,MATCH(Values!A140,Creation_XP!A:A,0)+1)</f>
        <v/>
      </c>
      <c r="S140" s="144" t="str">
        <f t="shared" ref="S140:S204" si="67">P140</f>
        <v/>
      </c>
      <c r="T140" s="130" t="str">
        <f>Q140</f>
        <v/>
      </c>
      <c r="V140" s="130"/>
      <c r="W140" s="147">
        <f t="shared" ref="W140:W203" si="68">IFERROR(IF(G140&lt;&gt;D140,5-AB140,0),"")</f>
        <v>0</v>
      </c>
      <c r="X140" s="149" t="str">
        <f>IF(ISBLANK(M140),J140,M140)</f>
        <v/>
      </c>
      <c r="Y140" s="149"/>
      <c r="Z140" s="150">
        <f>IFERROR((P140&lt;&gt;X140)*(10-2*AB140)+OR(AA140="Spell",AA140="Evocation")*COUNTIF(Exalt_DB:Exalt_DBJH,$S$6)*2*(P140&lt;&gt;X140),0)</f>
        <v>0</v>
      </c>
      <c r="AA140" s="129" t="str">
        <f>VLOOKUP(A140,Creation_XP!A112:AY211,2,0)</f>
        <v/>
      </c>
      <c r="AB140" s="18" t="b">
        <f>OR(IFERROR(AND(VLOOKUP(AA140,$A$24:$T$58,20,0)&lt;&gt;0,VLOOKUP(AA140,$A$24:$T$58,20,0)&lt;&gt;""),FALSE),IFERROR(AND(VLOOKUP(AA140,$A$11:$U$21,21,0)&lt;&gt;0,VLOOKUP(AA140,$A$11:$U$21,21,0)&lt;&gt;""),FALSE))</f>
        <v>0</v>
      </c>
    </row>
    <row r="141" spans="1:28">
      <c r="A141" s="179">
        <f>A140+1</f>
        <v>2</v>
      </c>
      <c r="D141" s="180" t="str">
        <f>IF(VLOOKUP(A141,Creation_1!$A$118:$AY$967,14,0)=0,"",VLOOKUP(A141,Creation_1!$A$118:$AY$967,14,0))</f>
        <v/>
      </c>
      <c r="G141" s="143" t="str">
        <f>VLOOKUP(A141,Creation_BP!$A$118:$AY$967,14,0)</f>
        <v/>
      </c>
      <c r="H141" s="130" t="str">
        <f>INDEX(Creation_BP!B:B,MATCH(Values!A141,Creation_BP!A:A,0)+1)</f>
        <v/>
      </c>
      <c r="J141" s="144" t="str">
        <f t="shared" si="66"/>
        <v/>
      </c>
      <c r="K141" s="130" t="str">
        <f t="shared" ref="K141:K204" si="69">H141</f>
        <v/>
      </c>
      <c r="M141" s="145"/>
      <c r="P141" s="146" t="str">
        <f>VLOOKUP(A141,Creation_XP!$A$112:$AY$911,14,0)</f>
        <v/>
      </c>
      <c r="Q141" s="130" t="str">
        <f>INDEX(Creation_XP!B:B,MATCH(Values!A141,Creation_XP!A:A,0)+1)</f>
        <v/>
      </c>
      <c r="S141" s="144" t="str">
        <f t="shared" si="67"/>
        <v/>
      </c>
      <c r="T141" s="130" t="str">
        <f t="shared" ref="T141:T204" si="70">Q141</f>
        <v/>
      </c>
      <c r="V141" s="130"/>
      <c r="W141" s="147">
        <f t="shared" si="68"/>
        <v>0</v>
      </c>
      <c r="X141" s="149" t="str">
        <f t="shared" ref="X141:X204" si="71">IF(ISBLANK(M141),J141,M141)</f>
        <v/>
      </c>
      <c r="Y141" s="149"/>
      <c r="Z141" s="150">
        <f>IFERROR((P141&lt;&gt;X141)*(10-2*AB141)+OR(AA141="Spell",AA141="Evocation")*COUNTIF(Exalt_DB:Exalt_DBJH,$S$6)*2*(P141&lt;&gt;X141),0)</f>
        <v>0</v>
      </c>
      <c r="AA141" s="129" t="str">
        <f>VLOOKUP(A141,Creation_XP!A113:AY212,2,0)</f>
        <v/>
      </c>
      <c r="AB141" s="18" t="b">
        <f t="shared" ref="AB141:AB204" si="72">OR(IFERROR(AND(VLOOKUP(AA141,$A$24:$T$58,20,0)&lt;&gt;0,VLOOKUP(AA141,$A$24:$T$58,20,0)&lt;&gt;""),FALSE),IFERROR(AND(VLOOKUP(AA141,$A$11:$U$21,21,0)&lt;&gt;0,VLOOKUP(AA141,$A$11:$U$21,21,0)&lt;&gt;""),FALSE))</f>
        <v>0</v>
      </c>
    </row>
    <row r="142" spans="1:28">
      <c r="A142" s="179">
        <f t="shared" ref="A142:A205" si="73">A141+1</f>
        <v>3</v>
      </c>
      <c r="D142" s="180" t="str">
        <f>IF(VLOOKUP(A142,Creation_1!$A$118:$AY$967,14,0)=0,"",VLOOKUP(A142,Creation_1!$A$118:$AY$967,14,0))</f>
        <v/>
      </c>
      <c r="G142" s="143" t="str">
        <f>VLOOKUP(A142,Creation_BP!$A$118:$AY$967,14,0)</f>
        <v/>
      </c>
      <c r="H142" s="130" t="str">
        <f>INDEX(Creation_BP!B:B,MATCH(Values!A142,Creation_BP!A:A,0)+1)</f>
        <v/>
      </c>
      <c r="J142" s="144" t="str">
        <f t="shared" si="66"/>
        <v/>
      </c>
      <c r="K142" s="130" t="str">
        <f t="shared" si="69"/>
        <v/>
      </c>
      <c r="M142" s="145"/>
      <c r="P142" s="146" t="str">
        <f>VLOOKUP(A142,Creation_XP!$A$112:$AY$911,14,0)</f>
        <v/>
      </c>
      <c r="Q142" s="130" t="str">
        <f>INDEX(Creation_XP!B:B,MATCH(Values!A142,Creation_XP!A:A,0)+1)</f>
        <v/>
      </c>
      <c r="S142" s="144" t="str">
        <f t="shared" si="67"/>
        <v/>
      </c>
      <c r="T142" s="130" t="str">
        <f t="shared" si="70"/>
        <v/>
      </c>
      <c r="V142" s="130"/>
      <c r="W142" s="147">
        <f t="shared" si="68"/>
        <v>0</v>
      </c>
      <c r="X142" s="149" t="str">
        <f t="shared" si="71"/>
        <v/>
      </c>
      <c r="Y142" s="149"/>
      <c r="Z142" s="150">
        <f>IFERROR((P142&lt;&gt;X142)*(10-2*AB142)+OR(AA142="Spell",AA142="Evocation")*COUNTIF(Exalt_DB:Exalt_DBJH,$S$6)*2*(P142&lt;&gt;X142),0)</f>
        <v>0</v>
      </c>
      <c r="AA142" s="129" t="str">
        <f>VLOOKUP(A142,Creation_XP!A114:AY213,2,0)</f>
        <v/>
      </c>
      <c r="AB142" s="18" t="b">
        <f t="shared" si="72"/>
        <v>0</v>
      </c>
    </row>
    <row r="143" spans="1:28">
      <c r="A143" s="179">
        <f t="shared" si="73"/>
        <v>4</v>
      </c>
      <c r="D143" s="180" t="str">
        <f>IF(VLOOKUP(A143,Creation_1!$A$118:$AY$967,14,0)=0,"",VLOOKUP(A143,Creation_1!$A$118:$AY$967,14,0))</f>
        <v/>
      </c>
      <c r="G143" s="143" t="str">
        <f>VLOOKUP(A143,Creation_BP!$A$118:$AY$967,14,0)</f>
        <v/>
      </c>
      <c r="H143" s="130" t="str">
        <f>INDEX(Creation_BP!B:B,MATCH(Values!A143,Creation_BP!A:A,0)+1)</f>
        <v/>
      </c>
      <c r="J143" s="144" t="str">
        <f t="shared" si="66"/>
        <v/>
      </c>
      <c r="K143" s="130" t="str">
        <f t="shared" si="69"/>
        <v/>
      </c>
      <c r="M143" s="145"/>
      <c r="P143" s="146" t="str">
        <f>VLOOKUP(A143,Creation_XP!$A$112:$AY$911,14,0)</f>
        <v/>
      </c>
      <c r="Q143" s="130" t="str">
        <f>INDEX(Creation_XP!B:B,MATCH(Values!A143,Creation_XP!A:A,0)+1)</f>
        <v/>
      </c>
      <c r="S143" s="144" t="str">
        <f t="shared" si="67"/>
        <v/>
      </c>
      <c r="T143" s="130" t="str">
        <f t="shared" si="70"/>
        <v/>
      </c>
      <c r="V143" s="130"/>
      <c r="W143" s="147">
        <f t="shared" si="68"/>
        <v>0</v>
      </c>
      <c r="X143" s="149" t="str">
        <f t="shared" si="71"/>
        <v/>
      </c>
      <c r="Y143" s="149"/>
      <c r="Z143" s="150">
        <f>IFERROR((P143&lt;&gt;X143)*(10-2*AB143)+OR(AA143="Spell",AA143="Evocation")*COUNTIF(Exalt_DB:Exalt_DBJH,$S$6)*2*(P143&lt;&gt;X143),0)</f>
        <v>0</v>
      </c>
      <c r="AA143" s="129" t="str">
        <f>VLOOKUP(A143,Creation_XP!A115:AY214,2,0)</f>
        <v/>
      </c>
      <c r="AB143" s="18" t="b">
        <f t="shared" si="72"/>
        <v>0</v>
      </c>
    </row>
    <row r="144" spans="1:28">
      <c r="A144" s="179">
        <f t="shared" si="73"/>
        <v>5</v>
      </c>
      <c r="D144" s="180" t="str">
        <f>IF(VLOOKUP(A144,Creation_1!$A$118:$AY$967,14,0)=0,"",VLOOKUP(A144,Creation_1!$A$118:$AY$967,14,0))</f>
        <v/>
      </c>
      <c r="G144" s="143" t="str">
        <f>VLOOKUP(A144,Creation_BP!$A$118:$AY$967,14,0)</f>
        <v/>
      </c>
      <c r="H144" s="130" t="str">
        <f>INDEX(Creation_BP!B:B,MATCH(Values!A144,Creation_BP!A:A,0)+1)</f>
        <v/>
      </c>
      <c r="J144" s="144" t="str">
        <f t="shared" si="66"/>
        <v/>
      </c>
      <c r="K144" s="130" t="str">
        <f t="shared" si="69"/>
        <v/>
      </c>
      <c r="M144" s="145"/>
      <c r="P144" s="146" t="str">
        <f>VLOOKUP(A144,Creation_XP!$A$112:$AY$911,14,0)</f>
        <v/>
      </c>
      <c r="Q144" s="130" t="str">
        <f>INDEX(Creation_XP!B:B,MATCH(Values!A144,Creation_XP!A:A,0)+1)</f>
        <v/>
      </c>
      <c r="S144" s="144" t="str">
        <f t="shared" si="67"/>
        <v/>
      </c>
      <c r="T144" s="130" t="str">
        <f t="shared" si="70"/>
        <v/>
      </c>
      <c r="V144" s="130"/>
      <c r="W144" s="147">
        <f t="shared" si="68"/>
        <v>0</v>
      </c>
      <c r="X144" s="149" t="str">
        <f t="shared" si="71"/>
        <v/>
      </c>
      <c r="Y144" s="149"/>
      <c r="Z144" s="150">
        <f>IFERROR((P144&lt;&gt;X144)*(10-2*AB144)+OR(AA144="Spell",AA144="Evocation")*COUNTIF(Exalt_DB:Exalt_DBJH,$S$6)*2*(P144&lt;&gt;X144),0)</f>
        <v>0</v>
      </c>
      <c r="AA144" s="129" t="str">
        <f>VLOOKUP(A144,Creation_XP!A116:AY215,2,0)</f>
        <v/>
      </c>
      <c r="AB144" s="18" t="b">
        <f t="shared" si="72"/>
        <v>0</v>
      </c>
    </row>
    <row r="145" spans="1:28">
      <c r="A145" s="179">
        <f t="shared" si="73"/>
        <v>6</v>
      </c>
      <c r="D145" s="180" t="str">
        <f>IF(VLOOKUP(A145,Creation_1!$A$118:$AY$967,14,0)=0,"",VLOOKUP(A145,Creation_1!$A$118:$AY$967,14,0))</f>
        <v/>
      </c>
      <c r="G145" s="143" t="str">
        <f>VLOOKUP(A145,Creation_BP!$A$118:$AY$967,14,0)</f>
        <v/>
      </c>
      <c r="H145" s="130" t="str">
        <f>INDEX(Creation_BP!B:B,MATCH(Values!A145,Creation_BP!A:A,0)+1)</f>
        <v/>
      </c>
      <c r="J145" s="144" t="str">
        <f t="shared" si="66"/>
        <v/>
      </c>
      <c r="K145" s="130" t="str">
        <f t="shared" si="69"/>
        <v/>
      </c>
      <c r="M145" s="145"/>
      <c r="P145" s="146" t="str">
        <f>VLOOKUP(A145,Creation_XP!$A$112:$AY$911,14,0)</f>
        <v/>
      </c>
      <c r="Q145" s="130" t="str">
        <f>INDEX(Creation_XP!B:B,MATCH(Values!A145,Creation_XP!A:A,0)+1)</f>
        <v/>
      </c>
      <c r="S145" s="144" t="str">
        <f t="shared" si="67"/>
        <v/>
      </c>
      <c r="T145" s="130" t="str">
        <f t="shared" si="70"/>
        <v/>
      </c>
      <c r="V145" s="130"/>
      <c r="W145" s="147">
        <f t="shared" si="68"/>
        <v>0</v>
      </c>
      <c r="X145" s="149" t="str">
        <f t="shared" si="71"/>
        <v/>
      </c>
      <c r="Y145" s="149"/>
      <c r="Z145" s="150">
        <f>IFERROR((P145&lt;&gt;X145)*(10-2*AB145)+OR(AA145="Spell",AA145="Evocation")*COUNTIF(Exalt_DB:Exalt_DBJH,$S$6)*2*(P145&lt;&gt;X145),0)</f>
        <v>0</v>
      </c>
      <c r="AA145" s="129" t="str">
        <f>VLOOKUP(A145,Creation_XP!A117:AY216,2,0)</f>
        <v/>
      </c>
      <c r="AB145" s="18" t="b">
        <f t="shared" si="72"/>
        <v>0</v>
      </c>
    </row>
    <row r="146" spans="1:28">
      <c r="A146" s="179">
        <f t="shared" si="73"/>
        <v>7</v>
      </c>
      <c r="D146" s="180" t="str">
        <f>IF(VLOOKUP(A146,Creation_1!$A$118:$AY$967,14,0)=0,"",VLOOKUP(A146,Creation_1!$A$118:$AY$967,14,0))</f>
        <v/>
      </c>
      <c r="G146" s="143" t="str">
        <f>VLOOKUP(A146,Creation_BP!$A$118:$AY$967,14,0)</f>
        <v/>
      </c>
      <c r="H146" s="130" t="str">
        <f>INDEX(Creation_BP!B:B,MATCH(Values!A146,Creation_BP!A:A,0)+1)</f>
        <v/>
      </c>
      <c r="J146" s="144" t="str">
        <f t="shared" si="66"/>
        <v/>
      </c>
      <c r="K146" s="130" t="str">
        <f t="shared" si="69"/>
        <v/>
      </c>
      <c r="M146" s="145"/>
      <c r="P146" s="146" t="str">
        <f>VLOOKUP(A146,Creation_XP!$A$112:$AY$911,14,0)</f>
        <v/>
      </c>
      <c r="Q146" s="130" t="str">
        <f>INDEX(Creation_XP!B:B,MATCH(Values!A146,Creation_XP!A:A,0)+1)</f>
        <v/>
      </c>
      <c r="S146" s="144" t="str">
        <f t="shared" si="67"/>
        <v/>
      </c>
      <c r="T146" s="130" t="str">
        <f t="shared" si="70"/>
        <v/>
      </c>
      <c r="V146" s="130"/>
      <c r="W146" s="147">
        <f t="shared" si="68"/>
        <v>0</v>
      </c>
      <c r="X146" s="149" t="str">
        <f t="shared" si="71"/>
        <v/>
      </c>
      <c r="Y146" s="149"/>
      <c r="Z146" s="150">
        <f>IFERROR((P146&lt;&gt;X146)*(10-2*AB146)+OR(AA146="Spell",AA146="Evocation")*COUNTIF(Exalt_DB:Exalt_DBJH,$S$6)*2*(P146&lt;&gt;X146),0)</f>
        <v>0</v>
      </c>
      <c r="AA146" s="129" t="str">
        <f>VLOOKUP(A146,Creation_XP!A118:AY217,2,0)</f>
        <v/>
      </c>
      <c r="AB146" s="18" t="b">
        <f t="shared" si="72"/>
        <v>0</v>
      </c>
    </row>
    <row r="147" spans="1:28">
      <c r="A147" s="179">
        <f t="shared" si="73"/>
        <v>8</v>
      </c>
      <c r="D147" s="180" t="str">
        <f>IF(VLOOKUP(A147,Creation_1!$A$118:$AY$967,14,0)=0,"",VLOOKUP(A147,Creation_1!$A$118:$AY$967,14,0))</f>
        <v/>
      </c>
      <c r="G147" s="143" t="str">
        <f>VLOOKUP(A147,Creation_BP!$A$118:$AY$967,14,0)</f>
        <v/>
      </c>
      <c r="H147" s="130" t="str">
        <f>INDEX(Creation_BP!B:B,MATCH(Values!A147,Creation_BP!A:A,0)+1)</f>
        <v/>
      </c>
      <c r="J147" s="144" t="str">
        <f t="shared" si="66"/>
        <v/>
      </c>
      <c r="K147" s="130" t="str">
        <f t="shared" si="69"/>
        <v/>
      </c>
      <c r="M147" s="145"/>
      <c r="P147" s="146" t="str">
        <f>VLOOKUP(A147,Creation_XP!$A$112:$AY$911,14,0)</f>
        <v/>
      </c>
      <c r="Q147" s="130" t="str">
        <f>INDEX(Creation_XP!B:B,MATCH(Values!A147,Creation_XP!A:A,0)+1)</f>
        <v/>
      </c>
      <c r="S147" s="144" t="str">
        <f t="shared" si="67"/>
        <v/>
      </c>
      <c r="T147" s="130" t="str">
        <f t="shared" si="70"/>
        <v/>
      </c>
      <c r="V147" s="130"/>
      <c r="W147" s="147">
        <f t="shared" si="68"/>
        <v>0</v>
      </c>
      <c r="X147" s="149" t="str">
        <f t="shared" si="71"/>
        <v/>
      </c>
      <c r="Y147" s="149"/>
      <c r="Z147" s="150">
        <f>IFERROR((P147&lt;&gt;X147)*(10-2*AB147)+OR(AA147="Spell",AA147="Evocation")*COUNTIF(Exalt_DB:Exalt_DBJH,$S$6)*2*(P147&lt;&gt;X147),0)</f>
        <v>0</v>
      </c>
      <c r="AA147" s="129" t="str">
        <f>VLOOKUP(A147,Creation_XP!A119:AY218,2,0)</f>
        <v/>
      </c>
      <c r="AB147" s="18" t="b">
        <f t="shared" si="72"/>
        <v>0</v>
      </c>
    </row>
    <row r="148" spans="1:28">
      <c r="A148" s="179">
        <f t="shared" si="73"/>
        <v>9</v>
      </c>
      <c r="D148" s="180" t="str">
        <f>IF(VLOOKUP(A148,Creation_1!$A$118:$AY$967,14,0)=0,"",VLOOKUP(A148,Creation_1!$A$118:$AY$967,14,0))</f>
        <v/>
      </c>
      <c r="G148" s="143" t="str">
        <f>VLOOKUP(A148,Creation_BP!$A$118:$AY$967,14,0)</f>
        <v/>
      </c>
      <c r="H148" s="130" t="str">
        <f>INDEX(Creation_BP!B:B,MATCH(Values!A148,Creation_BP!A:A,0)+1)</f>
        <v/>
      </c>
      <c r="J148" s="144" t="str">
        <f t="shared" si="66"/>
        <v/>
      </c>
      <c r="K148" s="130" t="str">
        <f t="shared" si="69"/>
        <v/>
      </c>
      <c r="M148" s="145"/>
      <c r="P148" s="146" t="str">
        <f>VLOOKUP(A148,Creation_XP!$A$112:$AY$911,14,0)</f>
        <v/>
      </c>
      <c r="Q148" s="130" t="str">
        <f>INDEX(Creation_XP!B:B,MATCH(Values!A148,Creation_XP!A:A,0)+1)</f>
        <v/>
      </c>
      <c r="S148" s="144" t="str">
        <f t="shared" si="67"/>
        <v/>
      </c>
      <c r="T148" s="130" t="str">
        <f t="shared" si="70"/>
        <v/>
      </c>
      <c r="V148" s="130"/>
      <c r="W148" s="147">
        <f t="shared" si="68"/>
        <v>0</v>
      </c>
      <c r="X148" s="149" t="str">
        <f t="shared" si="71"/>
        <v/>
      </c>
      <c r="Y148" s="149"/>
      <c r="Z148" s="150">
        <f>IFERROR((P148&lt;&gt;X148)*(10-2*AB148)+OR(AA148="Spell",AA148="Evocation")*COUNTIF(Exalt_DB:Exalt_DBJH,$S$6)*2*(P148&lt;&gt;X148),0)</f>
        <v>0</v>
      </c>
      <c r="AA148" s="129" t="str">
        <f>VLOOKUP(A148,Creation_XP!A120:AY219,2,0)</f>
        <v/>
      </c>
      <c r="AB148" s="18" t="b">
        <f t="shared" si="72"/>
        <v>0</v>
      </c>
    </row>
    <row r="149" spans="1:28">
      <c r="A149" s="179">
        <f t="shared" si="73"/>
        <v>10</v>
      </c>
      <c r="D149" s="180" t="str">
        <f>IF(VLOOKUP(A149,Creation_1!$A$118:$AY$967,14,0)=0,"",VLOOKUP(A149,Creation_1!$A$118:$AY$967,14,0))</f>
        <v/>
      </c>
      <c r="G149" s="143" t="str">
        <f>VLOOKUP(A149,Creation_BP!$A$118:$AY$967,14,0)</f>
        <v/>
      </c>
      <c r="H149" s="130" t="str">
        <f>INDEX(Creation_BP!B:B,MATCH(Values!A149,Creation_BP!A:A,0)+1)</f>
        <v/>
      </c>
      <c r="J149" s="144" t="str">
        <f t="shared" si="66"/>
        <v/>
      </c>
      <c r="K149" s="130" t="str">
        <f t="shared" si="69"/>
        <v/>
      </c>
      <c r="M149" s="145"/>
      <c r="P149" s="146" t="str">
        <f>VLOOKUP(A149,Creation_XP!$A$112:$AY$911,14,0)</f>
        <v/>
      </c>
      <c r="Q149" s="130" t="str">
        <f>INDEX(Creation_XP!B:B,MATCH(Values!A149,Creation_XP!A:A,0)+1)</f>
        <v/>
      </c>
      <c r="S149" s="144" t="str">
        <f t="shared" si="67"/>
        <v/>
      </c>
      <c r="T149" s="130" t="str">
        <f t="shared" si="70"/>
        <v/>
      </c>
      <c r="V149" s="130"/>
      <c r="W149" s="147">
        <f t="shared" si="68"/>
        <v>0</v>
      </c>
      <c r="X149" s="149" t="str">
        <f t="shared" si="71"/>
        <v/>
      </c>
      <c r="Y149" s="149"/>
      <c r="Z149" s="150">
        <f>IFERROR((P149&lt;&gt;X149)*(10-2*AB149)+OR(AA149="Spell",AA149="Evocation")*COUNTIF(Exalt_DB:Exalt_DBJH,$S$6)*2*(P149&lt;&gt;X149),0)</f>
        <v>0</v>
      </c>
      <c r="AA149" s="129" t="str">
        <f>VLOOKUP(A149,Creation_XP!A121:AY220,2,0)</f>
        <v/>
      </c>
      <c r="AB149" s="18" t="b">
        <f t="shared" si="72"/>
        <v>0</v>
      </c>
    </row>
    <row r="150" spans="1:28">
      <c r="A150" s="179">
        <f t="shared" si="73"/>
        <v>11</v>
      </c>
      <c r="D150" s="180" t="str">
        <f>IF(VLOOKUP(A150,Creation_1!$A$118:$AY$967,14,0)=0,"",VLOOKUP(A150,Creation_1!$A$118:$AY$967,14,0))</f>
        <v/>
      </c>
      <c r="G150" s="143" t="str">
        <f>VLOOKUP(A150,Creation_BP!$A$118:$AY$967,14,0)</f>
        <v/>
      </c>
      <c r="H150" s="130" t="str">
        <f>INDEX(Creation_BP!B:B,MATCH(Values!A150,Creation_BP!A:A,0)+1)</f>
        <v/>
      </c>
      <c r="J150" s="144" t="str">
        <f t="shared" si="66"/>
        <v/>
      </c>
      <c r="K150" s="130" t="str">
        <f t="shared" si="69"/>
        <v/>
      </c>
      <c r="M150" s="145"/>
      <c r="P150" s="146" t="str">
        <f>VLOOKUP(A150,Creation_XP!$A$112:$AY$911,14,0)</f>
        <v/>
      </c>
      <c r="Q150" s="130" t="str">
        <f>INDEX(Creation_XP!B:B,MATCH(Values!A150,Creation_XP!A:A,0)+1)</f>
        <v/>
      </c>
      <c r="S150" s="144" t="str">
        <f t="shared" si="67"/>
        <v/>
      </c>
      <c r="T150" s="130" t="str">
        <f t="shared" si="70"/>
        <v/>
      </c>
      <c r="V150" s="130"/>
      <c r="W150" s="147">
        <f t="shared" si="68"/>
        <v>0</v>
      </c>
      <c r="X150" s="149" t="str">
        <f t="shared" si="71"/>
        <v/>
      </c>
      <c r="Y150" s="149"/>
      <c r="Z150" s="150">
        <f>IFERROR((P150&lt;&gt;X150)*(10-2*AB150)+OR(AA150="Spell",AA150="Evocation")*COUNTIF(Exalt_DB:Exalt_DBJH,$S$6)*2*(P150&lt;&gt;X150),0)</f>
        <v>0</v>
      </c>
      <c r="AA150" s="129" t="str">
        <f>VLOOKUP(A150,Creation_XP!A122:AY221,2,0)</f>
        <v/>
      </c>
      <c r="AB150" s="18" t="b">
        <f t="shared" si="72"/>
        <v>0</v>
      </c>
    </row>
    <row r="151" spans="1:28">
      <c r="A151" s="179">
        <f t="shared" si="73"/>
        <v>12</v>
      </c>
      <c r="D151" s="180" t="str">
        <f>IF(VLOOKUP(A151,Creation_1!$A$118:$AY$967,14,0)=0,"",VLOOKUP(A151,Creation_1!$A$118:$AY$967,14,0))</f>
        <v/>
      </c>
      <c r="G151" s="143" t="str">
        <f>VLOOKUP(A151,Creation_BP!$A$118:$AY$967,14,0)</f>
        <v/>
      </c>
      <c r="H151" s="130" t="str">
        <f>INDEX(Creation_BP!B:B,MATCH(Values!A151,Creation_BP!A:A,0)+1)</f>
        <v/>
      </c>
      <c r="J151" s="144" t="str">
        <f t="shared" si="66"/>
        <v/>
      </c>
      <c r="K151" s="130" t="str">
        <f t="shared" si="69"/>
        <v/>
      </c>
      <c r="M151" s="145"/>
      <c r="P151" s="146" t="str">
        <f>VLOOKUP(A151,Creation_XP!$A$112:$AY$911,14,0)</f>
        <v/>
      </c>
      <c r="Q151" s="130" t="str">
        <f>INDEX(Creation_XP!B:B,MATCH(Values!A151,Creation_XP!A:A,0)+1)</f>
        <v/>
      </c>
      <c r="S151" s="144" t="str">
        <f t="shared" si="67"/>
        <v/>
      </c>
      <c r="T151" s="130" t="str">
        <f t="shared" si="70"/>
        <v/>
      </c>
      <c r="V151" s="130"/>
      <c r="W151" s="147">
        <f t="shared" si="68"/>
        <v>0</v>
      </c>
      <c r="X151" s="149" t="str">
        <f t="shared" si="71"/>
        <v/>
      </c>
      <c r="Y151" s="149"/>
      <c r="Z151" s="150">
        <f>IFERROR((P151&lt;&gt;X151)*(10-2*AB151)+OR(AA151="Spell",AA151="Evocation")*COUNTIF(Exalt_DB:Exalt_DBJH,$S$6)*2*(P151&lt;&gt;X151),0)</f>
        <v>0</v>
      </c>
      <c r="AA151" s="129" t="str">
        <f>VLOOKUP(A151,Creation_XP!A123:AY222,2,0)</f>
        <v/>
      </c>
      <c r="AB151" s="18" t="b">
        <f t="shared" si="72"/>
        <v>0</v>
      </c>
    </row>
    <row r="152" spans="1:28">
      <c r="A152" s="179">
        <f t="shared" si="73"/>
        <v>13</v>
      </c>
      <c r="D152" s="180" t="str">
        <f>IF(VLOOKUP(A152,Creation_1!$A$118:$AY$967,14,0)=0,"",VLOOKUP(A152,Creation_1!$A$118:$AY$967,14,0))</f>
        <v/>
      </c>
      <c r="G152" s="143" t="str">
        <f>VLOOKUP(A152,Creation_BP!$A$118:$AY$967,14,0)</f>
        <v/>
      </c>
      <c r="H152" s="130" t="str">
        <f>INDEX(Creation_BP!B:B,MATCH(Values!A152,Creation_BP!A:A,0)+1)</f>
        <v/>
      </c>
      <c r="J152" s="144" t="str">
        <f t="shared" si="66"/>
        <v/>
      </c>
      <c r="K152" s="130" t="str">
        <f t="shared" si="69"/>
        <v/>
      </c>
      <c r="M152" s="145"/>
      <c r="P152" s="146" t="str">
        <f>VLOOKUP(A152,Creation_XP!$A$112:$AY$911,14,0)</f>
        <v/>
      </c>
      <c r="Q152" s="130" t="str">
        <f>INDEX(Creation_XP!B:B,MATCH(Values!A152,Creation_XP!A:A,0)+1)</f>
        <v/>
      </c>
      <c r="S152" s="144" t="str">
        <f t="shared" si="67"/>
        <v/>
      </c>
      <c r="T152" s="130" t="str">
        <f t="shared" si="70"/>
        <v/>
      </c>
      <c r="V152" s="130"/>
      <c r="W152" s="147">
        <f t="shared" si="68"/>
        <v>0</v>
      </c>
      <c r="X152" s="149" t="str">
        <f t="shared" si="71"/>
        <v/>
      </c>
      <c r="Y152" s="149"/>
      <c r="Z152" s="150">
        <f>IFERROR((P152&lt;&gt;X152)*(10-2*AB152)+OR(AA152="Spell",AA152="Evocation")*COUNTIF(Exalt_DB:Exalt_DBJH,$S$6)*2*(P152&lt;&gt;X152),0)</f>
        <v>0</v>
      </c>
      <c r="AA152" s="129" t="str">
        <f>VLOOKUP(A152,Creation_XP!A124:AY223,2,0)</f>
        <v/>
      </c>
      <c r="AB152" s="18" t="b">
        <f t="shared" si="72"/>
        <v>0</v>
      </c>
    </row>
    <row r="153" spans="1:28">
      <c r="A153" s="179">
        <f t="shared" si="73"/>
        <v>14</v>
      </c>
      <c r="D153" s="180" t="str">
        <f>IF(VLOOKUP(A153,Creation_1!$A$118:$AY$967,14,0)=0,"",VLOOKUP(A153,Creation_1!$A$118:$AY$967,14,0))</f>
        <v/>
      </c>
      <c r="G153" s="143" t="str">
        <f>VLOOKUP(A153,Creation_BP!$A$118:$AY$967,14,0)</f>
        <v/>
      </c>
      <c r="H153" s="130" t="str">
        <f>INDEX(Creation_BP!B:B,MATCH(Values!A153,Creation_BP!A:A,0)+1)</f>
        <v/>
      </c>
      <c r="J153" s="144" t="str">
        <f t="shared" si="66"/>
        <v/>
      </c>
      <c r="K153" s="130" t="str">
        <f t="shared" si="69"/>
        <v/>
      </c>
      <c r="M153" s="145"/>
      <c r="P153" s="146" t="str">
        <f>VLOOKUP(A153,Creation_XP!$A$112:$AY$911,14,0)</f>
        <v/>
      </c>
      <c r="Q153" s="130" t="str">
        <f>INDEX(Creation_XP!B:B,MATCH(Values!A153,Creation_XP!A:A,0)+1)</f>
        <v/>
      </c>
      <c r="S153" s="144" t="str">
        <f t="shared" si="67"/>
        <v/>
      </c>
      <c r="T153" s="130" t="str">
        <f t="shared" si="70"/>
        <v/>
      </c>
      <c r="V153" s="130"/>
      <c r="W153" s="147">
        <f t="shared" si="68"/>
        <v>0</v>
      </c>
      <c r="X153" s="149" t="str">
        <f t="shared" si="71"/>
        <v/>
      </c>
      <c r="Y153" s="149"/>
      <c r="Z153" s="150">
        <f>IFERROR((P153&lt;&gt;X153)*(10-2*AB153)+OR(AA153="Spell",AA153="Evocation")*COUNTIF(Exalt_DB:Exalt_DBJH,$S$6)*2*(P153&lt;&gt;X153),0)</f>
        <v>0</v>
      </c>
      <c r="AA153" s="129" t="str">
        <f>VLOOKUP(A153,Creation_XP!A125:AY224,2,0)</f>
        <v/>
      </c>
      <c r="AB153" s="18" t="b">
        <f t="shared" si="72"/>
        <v>0</v>
      </c>
    </row>
    <row r="154" spans="1:28">
      <c r="A154" s="179">
        <f t="shared" si="73"/>
        <v>15</v>
      </c>
      <c r="D154" s="180" t="str">
        <f>IF(VLOOKUP(A154,Creation_1!$A$118:$AY$967,14,0)=0,"",VLOOKUP(A154,Creation_1!$A$118:$AY$967,14,0))</f>
        <v/>
      </c>
      <c r="G154" s="143" t="str">
        <f>VLOOKUP(A154,Creation_BP!$A$118:$AY$967,14,0)</f>
        <v/>
      </c>
      <c r="H154" s="130" t="str">
        <f>INDEX(Creation_BP!B:B,MATCH(Values!A154,Creation_BP!A:A,0)+1)</f>
        <v/>
      </c>
      <c r="J154" s="144" t="str">
        <f t="shared" si="66"/>
        <v/>
      </c>
      <c r="K154" s="130" t="str">
        <f t="shared" si="69"/>
        <v/>
      </c>
      <c r="M154" s="145"/>
      <c r="P154" s="146" t="str">
        <f>VLOOKUP(A154,Creation_XP!$A$112:$AY$911,14,0)</f>
        <v/>
      </c>
      <c r="Q154" s="130" t="str">
        <f>INDEX(Creation_XP!B:B,MATCH(Values!A154,Creation_XP!A:A,0)+1)</f>
        <v/>
      </c>
      <c r="S154" s="144" t="str">
        <f t="shared" si="67"/>
        <v/>
      </c>
      <c r="T154" s="130" t="str">
        <f t="shared" si="70"/>
        <v/>
      </c>
      <c r="V154" s="130"/>
      <c r="W154" s="147">
        <f t="shared" si="68"/>
        <v>0</v>
      </c>
      <c r="X154" s="149" t="str">
        <f t="shared" si="71"/>
        <v/>
      </c>
      <c r="Y154" s="149"/>
      <c r="Z154" s="150">
        <f>IFERROR((P154&lt;&gt;X154)*(10-2*AB154)+OR(AA154="Spell",AA154="Evocation")*COUNTIF(Exalt_DB:Exalt_DBJH,$S$6)*2*(P154&lt;&gt;X154),0)</f>
        <v>0</v>
      </c>
      <c r="AA154" s="129" t="str">
        <f>VLOOKUP(A154,Creation_XP!A126:AY225,2,0)</f>
        <v/>
      </c>
      <c r="AB154" s="18" t="b">
        <f t="shared" si="72"/>
        <v>0</v>
      </c>
    </row>
    <row r="155" spans="1:28">
      <c r="A155" s="179">
        <f t="shared" si="73"/>
        <v>16</v>
      </c>
      <c r="D155" s="180" t="str">
        <f>IF(VLOOKUP(A155,Creation_1!$A$118:$AY$967,14,0)=0,"",VLOOKUP(A155,Creation_1!$A$118:$AY$967,14,0))</f>
        <v/>
      </c>
      <c r="G155" s="143" t="str">
        <f>VLOOKUP(A155,Creation_BP!$A$118:$AY$967,14,0)</f>
        <v/>
      </c>
      <c r="H155" s="130" t="str">
        <f>INDEX(Creation_BP!B:B,MATCH(Values!A155,Creation_BP!A:A,0)+1)</f>
        <v/>
      </c>
      <c r="J155" s="144" t="str">
        <f t="shared" si="66"/>
        <v/>
      </c>
      <c r="K155" s="130" t="str">
        <f t="shared" si="69"/>
        <v/>
      </c>
      <c r="M155" s="145"/>
      <c r="P155" s="146" t="str">
        <f>VLOOKUP(A155,Creation_XP!$A$112:$AY$911,14,0)</f>
        <v/>
      </c>
      <c r="Q155" s="130" t="str">
        <f>INDEX(Creation_XP!B:B,MATCH(Values!A155,Creation_XP!A:A,0)+1)</f>
        <v/>
      </c>
      <c r="S155" s="144" t="str">
        <f t="shared" si="67"/>
        <v/>
      </c>
      <c r="T155" s="130" t="str">
        <f t="shared" si="70"/>
        <v/>
      </c>
      <c r="V155" s="130"/>
      <c r="W155" s="147">
        <f t="shared" si="68"/>
        <v>0</v>
      </c>
      <c r="X155" s="149" t="str">
        <f t="shared" si="71"/>
        <v/>
      </c>
      <c r="Y155" s="149"/>
      <c r="Z155" s="150">
        <f>IFERROR((P155&lt;&gt;X155)*(10-2*AB155)+OR(AA155="Spell",AA155="Evocation")*COUNTIF(Exalt_DB:Exalt_DBJH,$S$6)*2*(P155&lt;&gt;X155),0)</f>
        <v>0</v>
      </c>
      <c r="AA155" s="129" t="str">
        <f>VLOOKUP(A155,Creation_XP!A127:AY226,2,0)</f>
        <v/>
      </c>
      <c r="AB155" s="18" t="b">
        <f t="shared" si="72"/>
        <v>0</v>
      </c>
    </row>
    <row r="156" spans="1:28">
      <c r="A156" s="179">
        <f t="shared" si="73"/>
        <v>17</v>
      </c>
      <c r="B156" s="181"/>
      <c r="C156" s="182"/>
      <c r="D156" s="183" t="str">
        <f>IF(VLOOKUP(A156,Creation_1!$A$118:$AY$967,14,0)=0,"",VLOOKUP(A156,Creation_1!$A$118:$AY$967,14,0))</f>
        <v/>
      </c>
      <c r="G156" s="143" t="str">
        <f>VLOOKUP(A156,Creation_BP!$A$118:$AY$967,14,0)</f>
        <v/>
      </c>
      <c r="H156" s="130" t="str">
        <f>INDEX(Creation_BP!B:B,MATCH(Values!A156,Creation_BP!A:A,0)+1)</f>
        <v/>
      </c>
      <c r="J156" s="144" t="str">
        <f t="shared" si="66"/>
        <v/>
      </c>
      <c r="K156" s="130" t="str">
        <f t="shared" si="69"/>
        <v/>
      </c>
      <c r="M156" s="145"/>
      <c r="P156" s="146" t="str">
        <f>VLOOKUP(A156,Creation_XP!$A$112:$AY$911,14,0)</f>
        <v/>
      </c>
      <c r="Q156" s="130" t="str">
        <f>INDEX(Creation_XP!B:B,MATCH(Values!A156,Creation_XP!A:A,0)+1)</f>
        <v/>
      </c>
      <c r="S156" s="144" t="str">
        <f t="shared" si="67"/>
        <v/>
      </c>
      <c r="T156" s="130" t="str">
        <f t="shared" si="70"/>
        <v/>
      </c>
      <c r="V156" s="130"/>
      <c r="W156" s="147">
        <f t="shared" si="68"/>
        <v>0</v>
      </c>
      <c r="X156" s="149" t="str">
        <f t="shared" si="71"/>
        <v/>
      </c>
      <c r="Y156" s="149"/>
      <c r="Z156" s="150">
        <f>IFERROR((P156&lt;&gt;X156)*(10-2*AB156)+OR(AA156="Spell",AA156="Evocation")*COUNTIF(Exalt_DB:Exalt_DBJH,$S$6)*2*(P156&lt;&gt;X156),0)</f>
        <v>0</v>
      </c>
      <c r="AA156" s="129" t="str">
        <f>VLOOKUP(A156,Creation_XP!A128:AY227,2,0)</f>
        <v/>
      </c>
      <c r="AB156" s="18" t="b">
        <f t="shared" si="72"/>
        <v>0</v>
      </c>
    </row>
    <row r="157" spans="1:28">
      <c r="A157" s="179">
        <f t="shared" si="73"/>
        <v>18</v>
      </c>
      <c r="B157" s="176"/>
      <c r="C157" s="177"/>
      <c r="D157" s="178" t="str">
        <f>IF(VLOOKUP(A157,Creation_1!$A$118:$AY$967,14,0)=0,"",VLOOKUP(A157,Creation_1!$A$118:$AY$967,14,0))</f>
        <v/>
      </c>
      <c r="E157" s="184"/>
      <c r="F157" s="177"/>
      <c r="G157" s="185" t="str">
        <f>VLOOKUP(A157,Creation_BP!$A$118:$AY$967,14,0)</f>
        <v/>
      </c>
      <c r="H157" s="130" t="str">
        <f>INDEX(Creation_BP!B:B,MATCH(Values!A157,Creation_BP!A:A,0)+1)</f>
        <v/>
      </c>
      <c r="I157" s="177"/>
      <c r="J157" s="144" t="str">
        <f t="shared" si="66"/>
        <v/>
      </c>
      <c r="K157" s="130" t="str">
        <f t="shared" si="69"/>
        <v/>
      </c>
      <c r="L157" s="177"/>
      <c r="M157" s="145"/>
      <c r="N157" s="186"/>
      <c r="O157" s="186"/>
      <c r="P157" s="146" t="str">
        <f>VLOOKUP(A157,Creation_XP!$A$112:$AY$911,14,0)</f>
        <v/>
      </c>
      <c r="Q157" s="130" t="str">
        <f>INDEX(Creation_XP!B:B,MATCH(Values!A157,Creation_XP!A:A,0)+1)</f>
        <v/>
      </c>
      <c r="R157" s="177"/>
      <c r="S157" s="144" t="str">
        <f t="shared" si="67"/>
        <v/>
      </c>
      <c r="T157" s="130" t="str">
        <f t="shared" si="70"/>
        <v/>
      </c>
      <c r="U157" s="177"/>
      <c r="V157" s="177"/>
      <c r="W157" s="147">
        <f t="shared" si="68"/>
        <v>0</v>
      </c>
      <c r="X157" s="149" t="str">
        <f t="shared" si="71"/>
        <v/>
      </c>
      <c r="Y157" s="187"/>
      <c r="Z157" s="150">
        <f>IFERROR((P157&lt;&gt;X157)*(10-2*AB157)+OR(AA157="Spell",AA157="Evocation")*COUNTIF(Exalt_DB:Exalt_DBJH,$S$6)*2*(P157&lt;&gt;X157),0)</f>
        <v>0</v>
      </c>
      <c r="AA157" s="129" t="str">
        <f>VLOOKUP(A157,Creation_XP!A129:AY228,2,0)</f>
        <v/>
      </c>
      <c r="AB157" s="18" t="b">
        <f t="shared" si="72"/>
        <v>0</v>
      </c>
    </row>
    <row r="158" spans="1:28">
      <c r="A158" s="179">
        <f t="shared" si="73"/>
        <v>19</v>
      </c>
      <c r="D158" s="180" t="str">
        <f>IF(VLOOKUP(A158,Creation_1!$A$118:$AY$967,14,0)=0,"",VLOOKUP(A158,Creation_1!$A$118:$AY$967,14,0))</f>
        <v/>
      </c>
      <c r="G158" s="143" t="str">
        <f>VLOOKUP(A158,Creation_BP!$A$118:$AY$967,14,0)</f>
        <v/>
      </c>
      <c r="H158" s="130" t="str">
        <f>INDEX(Creation_BP!B:B,MATCH(Values!A158,Creation_BP!A:A,0)+1)</f>
        <v/>
      </c>
      <c r="J158" s="144" t="str">
        <f t="shared" si="66"/>
        <v/>
      </c>
      <c r="K158" s="130" t="str">
        <f t="shared" si="69"/>
        <v/>
      </c>
      <c r="M158" s="145"/>
      <c r="P158" s="146" t="str">
        <f>VLOOKUP(A158,Creation_XP!$A$112:$AY$911,14,0)</f>
        <v/>
      </c>
      <c r="Q158" s="130" t="str">
        <f>INDEX(Creation_XP!B:B,MATCH(Values!A158,Creation_XP!A:A,0)+1)</f>
        <v/>
      </c>
      <c r="S158" s="144" t="str">
        <f t="shared" si="67"/>
        <v/>
      </c>
      <c r="T158" s="130" t="str">
        <f t="shared" si="70"/>
        <v/>
      </c>
      <c r="V158" s="130"/>
      <c r="W158" s="147">
        <f t="shared" si="68"/>
        <v>0</v>
      </c>
      <c r="X158" s="149" t="str">
        <f t="shared" si="71"/>
        <v/>
      </c>
      <c r="Y158" s="149"/>
      <c r="Z158" s="150">
        <f>IFERROR((P158&lt;&gt;X158)*(10-2*AB158)+OR(AA158="Spell",AA158="Evocation")*COUNTIF(Exalt_DB:Exalt_DBJH,$S$6)*2*(P158&lt;&gt;X158),0)</f>
        <v>0</v>
      </c>
      <c r="AA158" s="129" t="str">
        <f>VLOOKUP(A158,Creation_XP!A130:AY229,2,0)</f>
        <v/>
      </c>
      <c r="AB158" s="18" t="b">
        <f t="shared" si="72"/>
        <v>0</v>
      </c>
    </row>
    <row r="159" spans="1:28">
      <c r="A159" s="179">
        <f t="shared" si="73"/>
        <v>20</v>
      </c>
      <c r="D159" s="180" t="str">
        <f>IF(VLOOKUP(A159,Creation_1!$A$118:$AY$967,14,0)=0,"",VLOOKUP(A159,Creation_1!$A$118:$AY$967,14,0))</f>
        <v/>
      </c>
      <c r="G159" s="143" t="str">
        <f>VLOOKUP(A159,Creation_BP!$A$118:$AY$967,14,0)</f>
        <v/>
      </c>
      <c r="H159" s="130" t="str">
        <f>INDEX(Creation_BP!B:B,MATCH(Values!A159,Creation_BP!A:A,0)+1)</f>
        <v/>
      </c>
      <c r="J159" s="144" t="str">
        <f t="shared" si="66"/>
        <v/>
      </c>
      <c r="K159" s="130" t="str">
        <f t="shared" si="69"/>
        <v/>
      </c>
      <c r="M159" s="145"/>
      <c r="P159" s="146" t="str">
        <f>VLOOKUP(A159,Creation_XP!$A$112:$AY$911,14,0)</f>
        <v/>
      </c>
      <c r="Q159" s="130" t="str">
        <f>INDEX(Creation_XP!B:B,MATCH(Values!A159,Creation_XP!A:A,0)+1)</f>
        <v/>
      </c>
      <c r="S159" s="144" t="str">
        <f t="shared" si="67"/>
        <v/>
      </c>
      <c r="T159" s="130" t="str">
        <f t="shared" si="70"/>
        <v/>
      </c>
      <c r="V159" s="130"/>
      <c r="W159" s="147">
        <f t="shared" si="68"/>
        <v>0</v>
      </c>
      <c r="X159" s="149" t="str">
        <f t="shared" si="71"/>
        <v/>
      </c>
      <c r="Y159" s="149"/>
      <c r="Z159" s="150">
        <f>IFERROR((P159&lt;&gt;X159)*(10-2*AB159)+OR(AA159="Spell",AA159="Evocation")*COUNTIF(Exalt_DB:Exalt_DBJH,$S$6)*2*(P159&lt;&gt;X159),0)</f>
        <v>0</v>
      </c>
      <c r="AA159" s="129" t="str">
        <f>VLOOKUP(A159,Creation_XP!A131:AY230,2,0)</f>
        <v/>
      </c>
      <c r="AB159" s="18" t="b">
        <f t="shared" si="72"/>
        <v>0</v>
      </c>
    </row>
    <row r="160" spans="1:28">
      <c r="A160" s="179">
        <f t="shared" si="73"/>
        <v>21</v>
      </c>
      <c r="D160" s="180" t="str">
        <f>IF(VLOOKUP(A160,Creation_1!$A$118:$AY$967,14,0)=0,"",VLOOKUP(A160,Creation_1!$A$118:$AY$967,14,0))</f>
        <v/>
      </c>
      <c r="G160" s="143" t="str">
        <f>VLOOKUP(A160,Creation_BP!$A$118:$AY$967,14,0)</f>
        <v/>
      </c>
      <c r="H160" s="130" t="str">
        <f>INDEX(Creation_BP!B:B,MATCH(Values!A160,Creation_BP!A:A,0)+1)</f>
        <v/>
      </c>
      <c r="J160" s="144" t="str">
        <f t="shared" si="66"/>
        <v/>
      </c>
      <c r="K160" s="130" t="str">
        <f t="shared" si="69"/>
        <v/>
      </c>
      <c r="M160" s="145"/>
      <c r="P160" s="146" t="str">
        <f>VLOOKUP(A160,Creation_XP!$A$112:$AY$911,14,0)</f>
        <v/>
      </c>
      <c r="Q160" s="130" t="str">
        <f>INDEX(Creation_XP!B:B,MATCH(Values!A160,Creation_XP!A:A,0)+1)</f>
        <v/>
      </c>
      <c r="S160" s="144" t="str">
        <f t="shared" si="67"/>
        <v/>
      </c>
      <c r="T160" s="130" t="str">
        <f t="shared" si="70"/>
        <v/>
      </c>
      <c r="V160" s="130"/>
      <c r="W160" s="147">
        <f t="shared" si="68"/>
        <v>0</v>
      </c>
      <c r="X160" s="149" t="str">
        <f t="shared" si="71"/>
        <v/>
      </c>
      <c r="Y160" s="149"/>
      <c r="Z160" s="150">
        <f>IFERROR((P160&lt;&gt;X160)*(10-2*AB160)+OR(AA160="Spell",AA160="Evocation")*COUNTIF(Exalt_DB:Exalt_DBJH,$S$6)*2*(P160&lt;&gt;X160),0)</f>
        <v>0</v>
      </c>
      <c r="AA160" s="129" t="str">
        <f>VLOOKUP(A160,Creation_XP!A132:AY231,2,0)</f>
        <v/>
      </c>
      <c r="AB160" s="18" t="b">
        <f t="shared" si="72"/>
        <v>0</v>
      </c>
    </row>
    <row r="161" spans="1:28">
      <c r="A161" s="179">
        <f t="shared" si="73"/>
        <v>22</v>
      </c>
      <c r="D161" s="180" t="str">
        <f>IF(VLOOKUP(A161,Creation_1!$A$118:$AY$967,14,0)=0,"",VLOOKUP(A161,Creation_1!$A$118:$AY$967,14,0))</f>
        <v/>
      </c>
      <c r="G161" s="143" t="str">
        <f>VLOOKUP(A161,Creation_BP!$A$118:$AY$967,14,0)</f>
        <v/>
      </c>
      <c r="H161" s="130" t="str">
        <f>INDEX(Creation_BP!B:B,MATCH(Values!A161,Creation_BP!A:A,0)+1)</f>
        <v/>
      </c>
      <c r="J161" s="144" t="str">
        <f t="shared" si="66"/>
        <v/>
      </c>
      <c r="K161" s="130" t="str">
        <f t="shared" si="69"/>
        <v/>
      </c>
      <c r="M161" s="145"/>
      <c r="P161" s="146" t="str">
        <f>VLOOKUP(A161,Creation_XP!$A$112:$AY$911,14,0)</f>
        <v/>
      </c>
      <c r="Q161" s="130" t="str">
        <f>INDEX(Creation_XP!B:B,MATCH(Values!A161,Creation_XP!A:A,0)+1)</f>
        <v/>
      </c>
      <c r="S161" s="144" t="str">
        <f t="shared" si="67"/>
        <v/>
      </c>
      <c r="T161" s="130" t="str">
        <f t="shared" si="70"/>
        <v/>
      </c>
      <c r="V161" s="130"/>
      <c r="W161" s="147">
        <f t="shared" si="68"/>
        <v>0</v>
      </c>
      <c r="X161" s="149" t="str">
        <f t="shared" si="71"/>
        <v/>
      </c>
      <c r="Y161" s="149"/>
      <c r="Z161" s="150">
        <f>IFERROR((P161&lt;&gt;X161)*(10-2*AB161)+OR(AA161="Spell",AA161="Evocation")*COUNTIF(Exalt_DB:Exalt_DBJH,$S$6)*2*(P161&lt;&gt;X161),0)</f>
        <v>0</v>
      </c>
      <c r="AA161" s="129" t="str">
        <f>VLOOKUP(A161,Creation_XP!A133:AY232,2,0)</f>
        <v/>
      </c>
      <c r="AB161" s="18" t="b">
        <f t="shared" si="72"/>
        <v>0</v>
      </c>
    </row>
    <row r="162" spans="1:28">
      <c r="A162" s="179">
        <f t="shared" si="73"/>
        <v>23</v>
      </c>
      <c r="D162" s="180" t="str">
        <f>IF(VLOOKUP(A162,Creation_1!$A$118:$AY$967,14,0)=0,"",VLOOKUP(A162,Creation_1!$A$118:$AY$967,14,0))</f>
        <v/>
      </c>
      <c r="G162" s="143" t="str">
        <f>VLOOKUP(A162,Creation_BP!$A$118:$AY$967,14,0)</f>
        <v/>
      </c>
      <c r="H162" s="130" t="str">
        <f>INDEX(Creation_BP!B:B,MATCH(Values!A162,Creation_BP!A:A,0)+1)</f>
        <v/>
      </c>
      <c r="J162" s="144" t="str">
        <f t="shared" si="66"/>
        <v/>
      </c>
      <c r="K162" s="130" t="str">
        <f t="shared" si="69"/>
        <v/>
      </c>
      <c r="M162" s="145"/>
      <c r="P162" s="146" t="str">
        <f>VLOOKUP(A162,Creation_XP!$A$112:$AY$911,14,0)</f>
        <v/>
      </c>
      <c r="Q162" s="130" t="str">
        <f>INDEX(Creation_XP!B:B,MATCH(Values!A162,Creation_XP!A:A,0)+1)</f>
        <v/>
      </c>
      <c r="S162" s="144" t="str">
        <f t="shared" si="67"/>
        <v/>
      </c>
      <c r="T162" s="130" t="str">
        <f t="shared" si="70"/>
        <v/>
      </c>
      <c r="V162" s="130"/>
      <c r="W162" s="147">
        <f t="shared" si="68"/>
        <v>0</v>
      </c>
      <c r="X162" s="149" t="str">
        <f t="shared" si="71"/>
        <v/>
      </c>
      <c r="Y162" s="149"/>
      <c r="Z162" s="150">
        <f>IFERROR((P162&lt;&gt;X162)*(10-2*AB162)+OR(AA162="Spell",AA162="Evocation")*COUNTIF(Exalt_DB:Exalt_DBJH,$S$6)*2*(P162&lt;&gt;X162),0)</f>
        <v>0</v>
      </c>
      <c r="AA162" s="129" t="str">
        <f>VLOOKUP(A162,Creation_XP!A134:AY233,2,0)</f>
        <v/>
      </c>
      <c r="AB162" s="18" t="b">
        <f t="shared" si="72"/>
        <v>0</v>
      </c>
    </row>
    <row r="163" spans="1:28">
      <c r="A163" s="179">
        <f t="shared" si="73"/>
        <v>24</v>
      </c>
      <c r="D163" s="180" t="str">
        <f>IF(VLOOKUP(A163,Creation_1!$A$118:$AY$967,14,0)=0,"",VLOOKUP(A163,Creation_1!$A$118:$AY$967,14,0))</f>
        <v/>
      </c>
      <c r="G163" s="143" t="str">
        <f>VLOOKUP(A163,Creation_BP!$A$118:$AY$967,14,0)</f>
        <v/>
      </c>
      <c r="H163" s="130" t="str">
        <f>INDEX(Creation_BP!B:B,MATCH(Values!A163,Creation_BP!A:A,0)+1)</f>
        <v/>
      </c>
      <c r="J163" s="144" t="str">
        <f t="shared" si="66"/>
        <v/>
      </c>
      <c r="K163" s="130" t="str">
        <f t="shared" si="69"/>
        <v/>
      </c>
      <c r="M163" s="145"/>
      <c r="P163" s="146" t="str">
        <f>VLOOKUP(A163,Creation_XP!$A$112:$AY$911,14,0)</f>
        <v/>
      </c>
      <c r="Q163" s="130" t="str">
        <f>INDEX(Creation_XP!B:B,MATCH(Values!A163,Creation_XP!A:A,0)+1)</f>
        <v/>
      </c>
      <c r="S163" s="144" t="str">
        <f t="shared" si="67"/>
        <v/>
      </c>
      <c r="T163" s="130" t="str">
        <f t="shared" si="70"/>
        <v/>
      </c>
      <c r="V163" s="130"/>
      <c r="W163" s="147">
        <f t="shared" si="68"/>
        <v>0</v>
      </c>
      <c r="X163" s="149" t="str">
        <f t="shared" si="71"/>
        <v/>
      </c>
      <c r="Y163" s="149"/>
      <c r="Z163" s="150">
        <f>IFERROR((P163&lt;&gt;X163)*(10-2*AB163)+OR(AA163="Spell",AA163="Evocation")*COUNTIF(Exalt_DB:Exalt_DBJH,$S$6)*2*(P163&lt;&gt;X163),0)</f>
        <v>0</v>
      </c>
      <c r="AA163" s="129" t="str">
        <f>VLOOKUP(A163,Creation_XP!A135:AY234,2,0)</f>
        <v/>
      </c>
      <c r="AB163" s="18" t="b">
        <f t="shared" si="72"/>
        <v>0</v>
      </c>
    </row>
    <row r="164" spans="1:28">
      <c r="A164" s="179">
        <f t="shared" si="73"/>
        <v>25</v>
      </c>
      <c r="D164" s="180" t="str">
        <f>IF(VLOOKUP(A164,Creation_1!$A$118:$AY$967,14,0)=0,"",VLOOKUP(A164,Creation_1!$A$118:$AY$967,14,0))</f>
        <v/>
      </c>
      <c r="G164" s="143" t="str">
        <f>VLOOKUP(A164,Creation_BP!$A$118:$AY$967,14,0)</f>
        <v/>
      </c>
      <c r="H164" s="130" t="str">
        <f>INDEX(Creation_BP!B:B,MATCH(Values!A164,Creation_BP!A:A,0)+1)</f>
        <v/>
      </c>
      <c r="J164" s="144" t="str">
        <f t="shared" si="66"/>
        <v/>
      </c>
      <c r="K164" s="130" t="str">
        <f t="shared" si="69"/>
        <v/>
      </c>
      <c r="M164" s="145"/>
      <c r="P164" s="146" t="str">
        <f>VLOOKUP(A164,Creation_XP!$A$112:$AY$911,14,0)</f>
        <v/>
      </c>
      <c r="Q164" s="130" t="str">
        <f>INDEX(Creation_XP!B:B,MATCH(Values!A164,Creation_XP!A:A,0)+1)</f>
        <v/>
      </c>
      <c r="S164" s="144" t="str">
        <f t="shared" si="67"/>
        <v/>
      </c>
      <c r="T164" s="130" t="str">
        <f t="shared" si="70"/>
        <v/>
      </c>
      <c r="V164" s="130"/>
      <c r="W164" s="147">
        <f t="shared" si="68"/>
        <v>0</v>
      </c>
      <c r="X164" s="149" t="str">
        <f t="shared" si="71"/>
        <v/>
      </c>
      <c r="Y164" s="149"/>
      <c r="Z164" s="150">
        <f>IFERROR((P164&lt;&gt;X164)*(10-2*AB164)+OR(AA164="Spell",AA164="Evocation")*COUNTIF(Exalt_DB:Exalt_DBJH,$S$6)*2*(P164&lt;&gt;X164),0)</f>
        <v>0</v>
      </c>
      <c r="AA164" s="129" t="str">
        <f>VLOOKUP(A164,Creation_XP!A136:AY235,2,0)</f>
        <v/>
      </c>
      <c r="AB164" s="18" t="b">
        <f t="shared" si="72"/>
        <v>0</v>
      </c>
    </row>
    <row r="165" spans="1:28">
      <c r="A165" s="179">
        <f t="shared" si="73"/>
        <v>26</v>
      </c>
      <c r="D165" s="180" t="str">
        <f>IF(VLOOKUP(A165,Creation_1!$A$118:$AY$967,14,0)=0,"",VLOOKUP(A165,Creation_1!$A$118:$AY$967,14,0))</f>
        <v/>
      </c>
      <c r="G165" s="143" t="str">
        <f>VLOOKUP(A165,Creation_BP!$A$118:$AY$967,14,0)</f>
        <v/>
      </c>
      <c r="H165" s="130" t="str">
        <f>INDEX(Creation_BP!B:B,MATCH(Values!A165,Creation_BP!A:A,0)+1)</f>
        <v/>
      </c>
      <c r="J165" s="144" t="str">
        <f t="shared" si="66"/>
        <v/>
      </c>
      <c r="K165" s="130" t="str">
        <f t="shared" si="69"/>
        <v/>
      </c>
      <c r="M165" s="145"/>
      <c r="P165" s="146" t="str">
        <f>VLOOKUP(A165,Creation_XP!$A$112:$AY$911,14,0)</f>
        <v/>
      </c>
      <c r="Q165" s="130" t="str">
        <f>INDEX(Creation_XP!B:B,MATCH(Values!A165,Creation_XP!A:A,0)+1)</f>
        <v/>
      </c>
      <c r="S165" s="144" t="str">
        <f t="shared" si="67"/>
        <v/>
      </c>
      <c r="T165" s="130" t="str">
        <f t="shared" si="70"/>
        <v/>
      </c>
      <c r="V165" s="130"/>
      <c r="W165" s="147">
        <f t="shared" si="68"/>
        <v>0</v>
      </c>
      <c r="X165" s="149" t="str">
        <f t="shared" si="71"/>
        <v/>
      </c>
      <c r="Y165" s="149"/>
      <c r="Z165" s="150">
        <f>IFERROR((P165&lt;&gt;X165)*(10-2*AB165)+OR(AA165="Spell",AA165="Evocation")*COUNTIF(Exalt_DB:Exalt_DBJH,$S$6)*2*(P165&lt;&gt;X165),0)</f>
        <v>0</v>
      </c>
      <c r="AA165" s="129" t="str">
        <f>VLOOKUP(A165,Creation_XP!A137:AY236,2,0)</f>
        <v/>
      </c>
      <c r="AB165" s="18" t="b">
        <f t="shared" si="72"/>
        <v>0</v>
      </c>
    </row>
    <row r="166" spans="1:28">
      <c r="A166" s="179">
        <f t="shared" si="73"/>
        <v>27</v>
      </c>
      <c r="D166" s="180" t="str">
        <f>IF(VLOOKUP(A166,Creation_1!$A$118:$AY$967,14,0)=0,"",VLOOKUP(A166,Creation_1!$A$118:$AY$967,14,0))</f>
        <v/>
      </c>
      <c r="G166" s="143" t="str">
        <f>VLOOKUP(A166,Creation_BP!$A$118:$AY$967,14,0)</f>
        <v/>
      </c>
      <c r="H166" s="130" t="str">
        <f>INDEX(Creation_BP!B:B,MATCH(Values!A166,Creation_BP!A:A,0)+1)</f>
        <v/>
      </c>
      <c r="J166" s="144" t="str">
        <f t="shared" si="66"/>
        <v/>
      </c>
      <c r="K166" s="130" t="str">
        <f t="shared" si="69"/>
        <v/>
      </c>
      <c r="M166" s="145"/>
      <c r="P166" s="146" t="str">
        <f>VLOOKUP(A166,Creation_XP!$A$112:$AY$911,14,0)</f>
        <v/>
      </c>
      <c r="Q166" s="130" t="str">
        <f>INDEX(Creation_XP!B:B,MATCH(Values!A166,Creation_XP!A:A,0)+1)</f>
        <v/>
      </c>
      <c r="S166" s="144" t="str">
        <f t="shared" si="67"/>
        <v/>
      </c>
      <c r="T166" s="130" t="str">
        <f t="shared" si="70"/>
        <v/>
      </c>
      <c r="V166" s="130"/>
      <c r="W166" s="147">
        <f t="shared" si="68"/>
        <v>0</v>
      </c>
      <c r="X166" s="149" t="str">
        <f t="shared" si="71"/>
        <v/>
      </c>
      <c r="Y166" s="149"/>
      <c r="Z166" s="150">
        <f>IFERROR((P166&lt;&gt;X166)*(10-2*AB166)+OR(AA166="Spell",AA166="Evocation")*COUNTIF(Exalt_DB:Exalt_DBJH,$S$6)*2*(P166&lt;&gt;X166),0)</f>
        <v>0</v>
      </c>
      <c r="AA166" s="129" t="str">
        <f>VLOOKUP(A166,Creation_XP!A138:AY237,2,0)</f>
        <v/>
      </c>
      <c r="AB166" s="18" t="b">
        <f t="shared" si="72"/>
        <v>0</v>
      </c>
    </row>
    <row r="167" spans="1:28">
      <c r="A167" s="179">
        <f t="shared" si="73"/>
        <v>28</v>
      </c>
      <c r="D167" s="180" t="str">
        <f>IF(VLOOKUP(A167,Creation_1!$A$118:$AY$967,14,0)=0,"",VLOOKUP(A167,Creation_1!$A$118:$AY$967,14,0))</f>
        <v/>
      </c>
      <c r="G167" s="143" t="str">
        <f>VLOOKUP(A167,Creation_BP!$A$118:$AY$967,14,0)</f>
        <v/>
      </c>
      <c r="H167" s="130" t="str">
        <f>INDEX(Creation_BP!B:B,MATCH(Values!A167,Creation_BP!A:A,0)+1)</f>
        <v/>
      </c>
      <c r="J167" s="144" t="str">
        <f t="shared" si="66"/>
        <v/>
      </c>
      <c r="K167" s="130" t="str">
        <f t="shared" si="69"/>
        <v/>
      </c>
      <c r="M167" s="145"/>
      <c r="P167" s="146" t="str">
        <f>VLOOKUP(A167,Creation_XP!$A$112:$AY$911,14,0)</f>
        <v/>
      </c>
      <c r="Q167" s="130" t="str">
        <f>INDEX(Creation_XP!B:B,MATCH(Values!A167,Creation_XP!A:A,0)+1)</f>
        <v/>
      </c>
      <c r="S167" s="144" t="str">
        <f t="shared" si="67"/>
        <v/>
      </c>
      <c r="T167" s="130" t="str">
        <f t="shared" si="70"/>
        <v/>
      </c>
      <c r="V167" s="130"/>
      <c r="W167" s="147">
        <f t="shared" si="68"/>
        <v>0</v>
      </c>
      <c r="X167" s="149" t="str">
        <f t="shared" si="71"/>
        <v/>
      </c>
      <c r="Y167" s="149"/>
      <c r="Z167" s="150">
        <f>IFERROR((P167&lt;&gt;X167)*(10-2*AB167)+OR(AA167="Spell",AA167="Evocation")*COUNTIF(Exalt_DB:Exalt_DBJH,$S$6)*2*(P167&lt;&gt;X167),0)</f>
        <v>0</v>
      </c>
      <c r="AA167" s="129" t="str">
        <f>VLOOKUP(A167,Creation_XP!A139:AY238,2,0)</f>
        <v/>
      </c>
      <c r="AB167" s="18" t="b">
        <f t="shared" si="72"/>
        <v>0</v>
      </c>
    </row>
    <row r="168" spans="1:28">
      <c r="A168" s="179">
        <f t="shared" si="73"/>
        <v>29</v>
      </c>
      <c r="D168" s="180" t="str">
        <f>IF(VLOOKUP(A168,Creation_1!$A$118:$AY$967,14,0)=0,"",VLOOKUP(A168,Creation_1!$A$118:$AY$967,14,0))</f>
        <v/>
      </c>
      <c r="G168" s="143" t="str">
        <f>VLOOKUP(A168,Creation_BP!$A$118:$AY$967,14,0)</f>
        <v/>
      </c>
      <c r="H168" s="130" t="str">
        <f>INDEX(Creation_BP!B:B,MATCH(Values!A168,Creation_BP!A:A,0)+1)</f>
        <v/>
      </c>
      <c r="J168" s="144" t="str">
        <f t="shared" si="66"/>
        <v/>
      </c>
      <c r="K168" s="130" t="str">
        <f t="shared" si="69"/>
        <v/>
      </c>
      <c r="M168" s="145"/>
      <c r="P168" s="146" t="str">
        <f>VLOOKUP(A168,Creation_XP!$A$112:$AY$911,14,0)</f>
        <v/>
      </c>
      <c r="Q168" s="130" t="str">
        <f>INDEX(Creation_XP!B:B,MATCH(Values!A168,Creation_XP!A:A,0)+1)</f>
        <v/>
      </c>
      <c r="S168" s="144" t="str">
        <f t="shared" si="67"/>
        <v/>
      </c>
      <c r="T168" s="130" t="str">
        <f t="shared" si="70"/>
        <v/>
      </c>
      <c r="V168" s="130"/>
      <c r="W168" s="147">
        <f t="shared" si="68"/>
        <v>0</v>
      </c>
      <c r="X168" s="149" t="str">
        <f t="shared" si="71"/>
        <v/>
      </c>
      <c r="Y168" s="149"/>
      <c r="Z168" s="150">
        <f>IFERROR((P168&lt;&gt;X168)*(10-2*AB168)+OR(AA168="Spell",AA168="Evocation")*COUNTIF(Exalt_DB:Exalt_DBJH,$S$6)*2*(P168&lt;&gt;X168),0)</f>
        <v>0</v>
      </c>
      <c r="AA168" s="129" t="str">
        <f>VLOOKUP(A168,Creation_XP!A140:AY239,2,0)</f>
        <v/>
      </c>
      <c r="AB168" s="18" t="b">
        <f t="shared" si="72"/>
        <v>0</v>
      </c>
    </row>
    <row r="169" spans="1:28">
      <c r="A169" s="179">
        <f t="shared" si="73"/>
        <v>30</v>
      </c>
      <c r="D169" s="180" t="str">
        <f>IF(VLOOKUP(A169,Creation_1!$A$118:$AY$967,14,0)=0,"",VLOOKUP(A169,Creation_1!$A$118:$AY$967,14,0))</f>
        <v/>
      </c>
      <c r="G169" s="143" t="str">
        <f>VLOOKUP(A169,Creation_BP!$A$118:$AY$967,14,0)</f>
        <v/>
      </c>
      <c r="H169" s="130" t="str">
        <f>INDEX(Creation_BP!B:B,MATCH(Values!A169,Creation_BP!A:A,0)+1)</f>
        <v/>
      </c>
      <c r="J169" s="144" t="str">
        <f t="shared" si="66"/>
        <v/>
      </c>
      <c r="K169" s="130" t="str">
        <f t="shared" si="69"/>
        <v/>
      </c>
      <c r="M169" s="145"/>
      <c r="P169" s="146" t="str">
        <f>VLOOKUP(A169,Creation_XP!$A$112:$AY$911,14,0)</f>
        <v/>
      </c>
      <c r="Q169" s="130" t="str">
        <f>INDEX(Creation_XP!B:B,MATCH(Values!A169,Creation_XP!A:A,0)+1)</f>
        <v/>
      </c>
      <c r="S169" s="144" t="str">
        <f t="shared" si="67"/>
        <v/>
      </c>
      <c r="T169" s="130" t="str">
        <f t="shared" si="70"/>
        <v/>
      </c>
      <c r="V169" s="130"/>
      <c r="W169" s="147">
        <f t="shared" si="68"/>
        <v>0</v>
      </c>
      <c r="X169" s="149" t="str">
        <f t="shared" si="71"/>
        <v/>
      </c>
      <c r="Y169" s="149"/>
      <c r="Z169" s="150">
        <f>IFERROR((P169&lt;&gt;X169)*(10-2*AB169)+OR(AA169="Spell",AA169="Evocation")*COUNTIF(Exalt_DB:Exalt_DBJH,$S$6)*2*(P169&lt;&gt;X169),0)</f>
        <v>0</v>
      </c>
      <c r="AA169" s="129" t="str">
        <f>VLOOKUP(A169,Creation_XP!A141:AY240,2,0)</f>
        <v/>
      </c>
      <c r="AB169" s="18" t="b">
        <f t="shared" si="72"/>
        <v>0</v>
      </c>
    </row>
    <row r="170" spans="1:28">
      <c r="A170" s="179">
        <f t="shared" si="73"/>
        <v>31</v>
      </c>
      <c r="D170" s="180" t="str">
        <f>IF(VLOOKUP(A170,Creation_1!$A$118:$AY$967,14,0)=0,"",VLOOKUP(A170,Creation_1!$A$118:$AY$967,14,0))</f>
        <v/>
      </c>
      <c r="G170" s="143" t="str">
        <f>VLOOKUP(A170,Creation_BP!$A$118:$AY$967,14,0)</f>
        <v/>
      </c>
      <c r="H170" s="130" t="str">
        <f>INDEX(Creation_BP!B:B,MATCH(Values!A170,Creation_BP!A:A,0)+1)</f>
        <v/>
      </c>
      <c r="J170" s="144" t="str">
        <f t="shared" si="66"/>
        <v/>
      </c>
      <c r="K170" s="130" t="str">
        <f t="shared" si="69"/>
        <v/>
      </c>
      <c r="M170" s="145"/>
      <c r="P170" s="146" t="str">
        <f>VLOOKUP(A170,Creation_XP!$A$112:$AY$911,14,0)</f>
        <v/>
      </c>
      <c r="Q170" s="130" t="str">
        <f>INDEX(Creation_XP!B:B,MATCH(Values!A170,Creation_XP!A:A,0)+1)</f>
        <v/>
      </c>
      <c r="S170" s="144" t="str">
        <f t="shared" si="67"/>
        <v/>
      </c>
      <c r="T170" s="130" t="str">
        <f t="shared" si="70"/>
        <v/>
      </c>
      <c r="V170" s="130"/>
      <c r="W170" s="147">
        <f t="shared" si="68"/>
        <v>0</v>
      </c>
      <c r="X170" s="149" t="str">
        <f t="shared" si="71"/>
        <v/>
      </c>
      <c r="Y170" s="149"/>
      <c r="Z170" s="150">
        <f>IFERROR((P170&lt;&gt;X170)*(10-2*AB170)+OR(AA170="Spell",AA170="Evocation")*COUNTIF(Exalt_DB:Exalt_DBJH,$S$6)*2*(P170&lt;&gt;X170),0)</f>
        <v>0</v>
      </c>
      <c r="AA170" s="129" t="str">
        <f>VLOOKUP(A170,Creation_XP!A142:AY241,2,0)</f>
        <v/>
      </c>
      <c r="AB170" s="18" t="b">
        <f t="shared" si="72"/>
        <v>0</v>
      </c>
    </row>
    <row r="171" spans="1:28">
      <c r="A171" s="179">
        <f t="shared" si="73"/>
        <v>32</v>
      </c>
      <c r="D171" s="180" t="str">
        <f>IF(VLOOKUP(A171,Creation_1!$A$118:$AY$967,14,0)=0,"",VLOOKUP(A171,Creation_1!$A$118:$AY$967,14,0))</f>
        <v/>
      </c>
      <c r="G171" s="143" t="str">
        <f>VLOOKUP(A171,Creation_BP!$A$118:$AY$967,14,0)</f>
        <v/>
      </c>
      <c r="H171" s="130" t="str">
        <f>INDEX(Creation_BP!B:B,MATCH(Values!A171,Creation_BP!A:A,0)+1)</f>
        <v/>
      </c>
      <c r="J171" s="144" t="str">
        <f t="shared" si="66"/>
        <v/>
      </c>
      <c r="K171" s="130" t="str">
        <f t="shared" si="69"/>
        <v/>
      </c>
      <c r="M171" s="145"/>
      <c r="P171" s="146" t="str">
        <f>VLOOKUP(A171,Creation_XP!$A$112:$AY$911,14,0)</f>
        <v/>
      </c>
      <c r="Q171" s="130" t="str">
        <f>INDEX(Creation_XP!B:B,MATCH(Values!A171,Creation_XP!A:A,0)+1)</f>
        <v/>
      </c>
      <c r="S171" s="144" t="str">
        <f t="shared" si="67"/>
        <v/>
      </c>
      <c r="T171" s="130" t="str">
        <f t="shared" si="70"/>
        <v/>
      </c>
      <c r="V171" s="130"/>
      <c r="W171" s="147">
        <f t="shared" si="68"/>
        <v>0</v>
      </c>
      <c r="X171" s="149" t="str">
        <f t="shared" si="71"/>
        <v/>
      </c>
      <c r="Y171" s="149"/>
      <c r="Z171" s="150">
        <f>IFERROR((P171&lt;&gt;X171)*(10-2*AB171)+OR(AA171="Spell",AA171="Evocation")*COUNTIF(Exalt_DB:Exalt_DBJH,$S$6)*2*(P171&lt;&gt;X171),0)</f>
        <v>0</v>
      </c>
      <c r="AA171" s="129" t="str">
        <f>VLOOKUP(A171,Creation_XP!A143:AY242,2,0)</f>
        <v/>
      </c>
      <c r="AB171" s="18" t="b">
        <f t="shared" si="72"/>
        <v>0</v>
      </c>
    </row>
    <row r="172" spans="1:28">
      <c r="A172" s="179">
        <f t="shared" si="73"/>
        <v>33</v>
      </c>
      <c r="D172" s="180" t="str">
        <f>IF(VLOOKUP(A172,Creation_1!$A$118:$AY$967,14,0)=0,"",VLOOKUP(A172,Creation_1!$A$118:$AY$967,14,0))</f>
        <v/>
      </c>
      <c r="G172" s="143" t="str">
        <f>VLOOKUP(A172,Creation_BP!$A$118:$AY$967,14,0)</f>
        <v/>
      </c>
      <c r="H172" s="130" t="str">
        <f>INDEX(Creation_BP!B:B,MATCH(Values!A172,Creation_BP!A:A,0)+1)</f>
        <v/>
      </c>
      <c r="J172" s="144" t="str">
        <f t="shared" si="66"/>
        <v/>
      </c>
      <c r="K172" s="130" t="str">
        <f t="shared" si="69"/>
        <v/>
      </c>
      <c r="M172" s="145"/>
      <c r="P172" s="146" t="str">
        <f>VLOOKUP(A172,Creation_XP!$A$112:$AY$911,14,0)</f>
        <v/>
      </c>
      <c r="Q172" s="130" t="str">
        <f>INDEX(Creation_XP!B:B,MATCH(Values!A172,Creation_XP!A:A,0)+1)</f>
        <v/>
      </c>
      <c r="S172" s="144" t="str">
        <f t="shared" si="67"/>
        <v/>
      </c>
      <c r="T172" s="130" t="str">
        <f t="shared" si="70"/>
        <v/>
      </c>
      <c r="V172" s="130"/>
      <c r="W172" s="147">
        <f t="shared" si="68"/>
        <v>0</v>
      </c>
      <c r="X172" s="149" t="str">
        <f t="shared" si="71"/>
        <v/>
      </c>
      <c r="Y172" s="149"/>
      <c r="Z172" s="150">
        <f>IFERROR((P172&lt;&gt;X172)*(10-2*AB172)+OR(AA172="Spell",AA172="Evocation")*COUNTIF(Exalt_DB:Exalt_DBJH,$S$6)*2*(P172&lt;&gt;X172),0)</f>
        <v>0</v>
      </c>
      <c r="AA172" s="129" t="str">
        <f>VLOOKUP(A172,Creation_XP!A144:AY243,2,0)</f>
        <v/>
      </c>
      <c r="AB172" s="18" t="b">
        <f t="shared" si="72"/>
        <v>0</v>
      </c>
    </row>
    <row r="173" spans="1:28">
      <c r="A173" s="179">
        <f t="shared" si="73"/>
        <v>34</v>
      </c>
      <c r="B173" s="181"/>
      <c r="C173" s="182"/>
      <c r="D173" s="183" t="str">
        <f>IF(VLOOKUP(A173,Creation_1!$A$118:$AY$967,14,0)=0,"",VLOOKUP(A173,Creation_1!$A$118:$AY$967,14,0))</f>
        <v/>
      </c>
      <c r="G173" s="143" t="str">
        <f>VLOOKUP(A173,Creation_BP!$A$118:$AY$967,14,0)</f>
        <v/>
      </c>
      <c r="H173" s="130" t="str">
        <f>INDEX(Creation_BP!B:B,MATCH(Values!A173,Creation_BP!A:A,0)+1)</f>
        <v/>
      </c>
      <c r="J173" s="144" t="str">
        <f t="shared" si="66"/>
        <v/>
      </c>
      <c r="K173" s="130" t="str">
        <f t="shared" si="69"/>
        <v/>
      </c>
      <c r="M173" s="145"/>
      <c r="P173" s="146" t="str">
        <f>VLOOKUP(A173,Creation_XP!$A$112:$AY$911,14,0)</f>
        <v/>
      </c>
      <c r="Q173" s="130" t="str">
        <f>INDEX(Creation_XP!B:B,MATCH(Values!A173,Creation_XP!A:A,0)+1)</f>
        <v/>
      </c>
      <c r="S173" s="144" t="str">
        <f t="shared" si="67"/>
        <v/>
      </c>
      <c r="T173" s="130" t="str">
        <f t="shared" si="70"/>
        <v/>
      </c>
      <c r="V173" s="130"/>
      <c r="W173" s="147">
        <f t="shared" si="68"/>
        <v>0</v>
      </c>
      <c r="X173" s="149" t="str">
        <f t="shared" si="71"/>
        <v/>
      </c>
      <c r="Y173" s="149"/>
      <c r="Z173" s="150">
        <f>IFERROR((P173&lt;&gt;X173)*(10-2*AB173)+OR(AA173="Spell",AA173="Evocation")*COUNTIF(Exalt_DB:Exalt_DBJH,$S$6)*2*(P173&lt;&gt;X173),0)</f>
        <v>0</v>
      </c>
      <c r="AA173" s="129" t="str">
        <f>VLOOKUP(A173,Creation_XP!A145:AY244,2,0)</f>
        <v/>
      </c>
      <c r="AB173" s="18" t="b">
        <f t="shared" si="72"/>
        <v>0</v>
      </c>
    </row>
    <row r="174" spans="1:28">
      <c r="A174" s="179">
        <f t="shared" si="73"/>
        <v>35</v>
      </c>
      <c r="B174" s="176"/>
      <c r="C174" s="177"/>
      <c r="D174" s="178" t="str">
        <f>IF(VLOOKUP(A174,Creation_1!$A$118:$AY$967,14,0)=0,"",VLOOKUP(A174,Creation_1!$A$118:$AY$967,14,0))</f>
        <v/>
      </c>
      <c r="E174" s="184"/>
      <c r="F174" s="177"/>
      <c r="G174" s="185" t="str">
        <f>VLOOKUP(A174,Creation_BP!$A$118:$AY$967,14,0)</f>
        <v/>
      </c>
      <c r="H174" s="130" t="str">
        <f>INDEX(Creation_BP!B:B,MATCH(Values!A174,Creation_BP!A:A,0)+1)</f>
        <v/>
      </c>
      <c r="I174" s="177"/>
      <c r="J174" s="144" t="str">
        <f t="shared" si="66"/>
        <v/>
      </c>
      <c r="K174" s="130" t="str">
        <f t="shared" si="69"/>
        <v/>
      </c>
      <c r="L174" s="177"/>
      <c r="M174" s="145"/>
      <c r="N174" s="186"/>
      <c r="O174" s="186"/>
      <c r="P174" s="146" t="str">
        <f>VLOOKUP(A174,Creation_XP!$A$112:$AY$911,14,0)</f>
        <v/>
      </c>
      <c r="Q174" s="130" t="str">
        <f>INDEX(Creation_XP!B:B,MATCH(Values!A174,Creation_XP!A:A,0)+1)</f>
        <v/>
      </c>
      <c r="R174" s="177"/>
      <c r="S174" s="144" t="str">
        <f t="shared" si="67"/>
        <v/>
      </c>
      <c r="T174" s="130" t="str">
        <f t="shared" si="70"/>
        <v/>
      </c>
      <c r="U174" s="177"/>
      <c r="V174" s="177"/>
      <c r="W174" s="147">
        <f t="shared" si="68"/>
        <v>0</v>
      </c>
      <c r="X174" s="149" t="str">
        <f t="shared" si="71"/>
        <v/>
      </c>
      <c r="Y174" s="187"/>
      <c r="Z174" s="150">
        <f>IFERROR((P174&lt;&gt;X174)*(10-2*AB174)+OR(AA174="Spell",AA174="Evocation")*COUNTIF(Exalt_DB:Exalt_DBJH,$S$6)*2*(P174&lt;&gt;X174),0)</f>
        <v>0</v>
      </c>
      <c r="AA174" s="129" t="str">
        <f>VLOOKUP(A174,Creation_XP!A146:AY245,2,0)</f>
        <v/>
      </c>
      <c r="AB174" s="18" t="b">
        <f t="shared" si="72"/>
        <v>0</v>
      </c>
    </row>
    <row r="175" spans="1:28">
      <c r="A175" s="179">
        <f t="shared" si="73"/>
        <v>36</v>
      </c>
      <c r="D175" s="180" t="str">
        <f>IF(VLOOKUP(A175,Creation_1!$A$118:$AY$967,14,0)=0,"",VLOOKUP(A175,Creation_1!$A$118:$AY$967,14,0))</f>
        <v/>
      </c>
      <c r="G175" s="143" t="str">
        <f>VLOOKUP(A175,Creation_BP!$A$118:$AY$967,14,0)</f>
        <v/>
      </c>
      <c r="H175" s="130" t="str">
        <f>INDEX(Creation_BP!B:B,MATCH(Values!A175,Creation_BP!A:A,0)+1)</f>
        <v/>
      </c>
      <c r="J175" s="144" t="str">
        <f t="shared" si="66"/>
        <v/>
      </c>
      <c r="K175" s="130" t="str">
        <f t="shared" si="69"/>
        <v/>
      </c>
      <c r="M175" s="145"/>
      <c r="P175" s="146" t="str">
        <f>VLOOKUP(A175,Creation_XP!$A$112:$AY$911,14,0)</f>
        <v/>
      </c>
      <c r="Q175" s="130" t="str">
        <f>INDEX(Creation_XP!B:B,MATCH(Values!A175,Creation_XP!A:A,0)+1)</f>
        <v/>
      </c>
      <c r="S175" s="144" t="str">
        <f t="shared" si="67"/>
        <v/>
      </c>
      <c r="T175" s="130" t="str">
        <f t="shared" si="70"/>
        <v/>
      </c>
      <c r="V175" s="130"/>
      <c r="W175" s="147">
        <f t="shared" si="68"/>
        <v>0</v>
      </c>
      <c r="X175" s="149" t="str">
        <f t="shared" si="71"/>
        <v/>
      </c>
      <c r="Y175" s="149"/>
      <c r="Z175" s="150">
        <f>IFERROR((P175&lt;&gt;X175)*(10-2*AB175)+OR(AA175="Spell",AA175="Evocation")*COUNTIF(Exalt_DB:Exalt_DBJH,$S$6)*2*(P175&lt;&gt;X175),0)</f>
        <v>0</v>
      </c>
      <c r="AA175" s="129" t="str">
        <f>VLOOKUP(A175,Creation_XP!A147:AY246,2,0)</f>
        <v/>
      </c>
      <c r="AB175" s="18" t="b">
        <f t="shared" si="72"/>
        <v>0</v>
      </c>
    </row>
    <row r="176" spans="1:28">
      <c r="A176" s="179">
        <f t="shared" si="73"/>
        <v>37</v>
      </c>
      <c r="D176" s="180" t="str">
        <f>IF(VLOOKUP(A176,Creation_1!$A$118:$AY$967,14,0)=0,"",VLOOKUP(A176,Creation_1!$A$118:$AY$967,14,0))</f>
        <v/>
      </c>
      <c r="G176" s="143" t="str">
        <f>VLOOKUP(A176,Creation_BP!$A$118:$AY$967,14,0)</f>
        <v/>
      </c>
      <c r="H176" s="130" t="str">
        <f>INDEX(Creation_BP!B:B,MATCH(Values!A176,Creation_BP!A:A,0)+1)</f>
        <v/>
      </c>
      <c r="J176" s="144" t="str">
        <f t="shared" si="66"/>
        <v/>
      </c>
      <c r="K176" s="130" t="str">
        <f t="shared" si="69"/>
        <v/>
      </c>
      <c r="M176" s="145"/>
      <c r="P176" s="146" t="str">
        <f>VLOOKUP(A176,Creation_XP!$A$112:$AY$911,14,0)</f>
        <v/>
      </c>
      <c r="Q176" s="130" t="str">
        <f>INDEX(Creation_XP!B:B,MATCH(Values!A176,Creation_XP!A:A,0)+1)</f>
        <v/>
      </c>
      <c r="S176" s="144" t="str">
        <f t="shared" si="67"/>
        <v/>
      </c>
      <c r="T176" s="130" t="str">
        <f t="shared" si="70"/>
        <v/>
      </c>
      <c r="V176" s="130"/>
      <c r="W176" s="147">
        <f t="shared" si="68"/>
        <v>0</v>
      </c>
      <c r="X176" s="149" t="str">
        <f t="shared" si="71"/>
        <v/>
      </c>
      <c r="Y176" s="149"/>
      <c r="Z176" s="150">
        <f>IFERROR((P176&lt;&gt;X176)*(10-2*AB176)+OR(AA176="Spell",AA176="Evocation")*COUNTIF(Exalt_DB:Exalt_DBJH,$S$6)*2*(P176&lt;&gt;X176),0)</f>
        <v>0</v>
      </c>
      <c r="AA176" s="129" t="str">
        <f>VLOOKUP(A176,Creation_XP!A148:AY247,2,0)</f>
        <v/>
      </c>
      <c r="AB176" s="18" t="b">
        <f t="shared" si="72"/>
        <v>0</v>
      </c>
    </row>
    <row r="177" spans="1:28">
      <c r="A177" s="179">
        <f t="shared" si="73"/>
        <v>38</v>
      </c>
      <c r="D177" s="180" t="str">
        <f>IF(VLOOKUP(A177,Creation_1!$A$118:$AY$967,14,0)=0,"",VLOOKUP(A177,Creation_1!$A$118:$AY$967,14,0))</f>
        <v/>
      </c>
      <c r="G177" s="143" t="str">
        <f>VLOOKUP(A177,Creation_BP!$A$118:$AY$967,14,0)</f>
        <v/>
      </c>
      <c r="H177" s="130" t="str">
        <f>INDEX(Creation_BP!B:B,MATCH(Values!A177,Creation_BP!A:A,0)+1)</f>
        <v/>
      </c>
      <c r="J177" s="144" t="str">
        <f t="shared" si="66"/>
        <v/>
      </c>
      <c r="K177" s="130" t="str">
        <f t="shared" si="69"/>
        <v/>
      </c>
      <c r="M177" s="145"/>
      <c r="P177" s="146" t="str">
        <f>VLOOKUP(A177,Creation_XP!$A$112:$AY$911,14,0)</f>
        <v/>
      </c>
      <c r="Q177" s="130" t="str">
        <f>INDEX(Creation_XP!B:B,MATCH(Values!A177,Creation_XP!A:A,0)+1)</f>
        <v/>
      </c>
      <c r="S177" s="144" t="str">
        <f t="shared" si="67"/>
        <v/>
      </c>
      <c r="T177" s="130" t="str">
        <f t="shared" si="70"/>
        <v/>
      </c>
      <c r="V177" s="130"/>
      <c r="W177" s="147">
        <f t="shared" si="68"/>
        <v>0</v>
      </c>
      <c r="X177" s="149" t="str">
        <f t="shared" si="71"/>
        <v/>
      </c>
      <c r="Y177" s="149"/>
      <c r="Z177" s="150">
        <f>IFERROR((P177&lt;&gt;X177)*(10-2*AB177)+OR(AA177="Spell",AA177="Evocation")*COUNTIF(Exalt_DB:Exalt_DBJH,$S$6)*2*(P177&lt;&gt;X177),0)</f>
        <v>0</v>
      </c>
      <c r="AA177" s="129" t="str">
        <f>VLOOKUP(A177,Creation_XP!A149:AY248,2,0)</f>
        <v/>
      </c>
      <c r="AB177" s="18" t="b">
        <f t="shared" si="72"/>
        <v>0</v>
      </c>
    </row>
    <row r="178" spans="1:28">
      <c r="A178" s="179">
        <f t="shared" si="73"/>
        <v>39</v>
      </c>
      <c r="D178" s="180" t="str">
        <f>IF(VLOOKUP(A178,Creation_1!$A$118:$AY$967,14,0)=0,"",VLOOKUP(A178,Creation_1!$A$118:$AY$967,14,0))</f>
        <v/>
      </c>
      <c r="G178" s="143" t="str">
        <f>VLOOKUP(A178,Creation_BP!$A$118:$AY$967,14,0)</f>
        <v/>
      </c>
      <c r="H178" s="130" t="str">
        <f>INDEX(Creation_BP!B:B,MATCH(Values!A178,Creation_BP!A:A,0)+1)</f>
        <v/>
      </c>
      <c r="J178" s="144" t="str">
        <f t="shared" si="66"/>
        <v/>
      </c>
      <c r="K178" s="130" t="str">
        <f t="shared" si="69"/>
        <v/>
      </c>
      <c r="M178" s="145"/>
      <c r="P178" s="146" t="str">
        <f>VLOOKUP(A178,Creation_XP!$A$112:$AY$911,14,0)</f>
        <v/>
      </c>
      <c r="Q178" s="130" t="str">
        <f>INDEX(Creation_XP!B:B,MATCH(Values!A178,Creation_XP!A:A,0)+1)</f>
        <v/>
      </c>
      <c r="S178" s="144" t="str">
        <f t="shared" si="67"/>
        <v/>
      </c>
      <c r="T178" s="130" t="str">
        <f t="shared" si="70"/>
        <v/>
      </c>
      <c r="V178" s="130"/>
      <c r="W178" s="147">
        <f t="shared" si="68"/>
        <v>0</v>
      </c>
      <c r="X178" s="149" t="str">
        <f t="shared" si="71"/>
        <v/>
      </c>
      <c r="Y178" s="149"/>
      <c r="Z178" s="150">
        <f>IFERROR((P178&lt;&gt;X178)*(10-2*AB178)+OR(AA178="Spell",AA178="Evocation")*COUNTIF(Exalt_DB:Exalt_DBJH,$S$6)*2*(P178&lt;&gt;X178),0)</f>
        <v>0</v>
      </c>
      <c r="AA178" s="129" t="str">
        <f>VLOOKUP(A178,Creation_XP!A150:AY249,2,0)</f>
        <v/>
      </c>
      <c r="AB178" s="18" t="b">
        <f t="shared" si="72"/>
        <v>0</v>
      </c>
    </row>
    <row r="179" spans="1:28">
      <c r="A179" s="179">
        <f t="shared" si="73"/>
        <v>40</v>
      </c>
      <c r="D179" s="180" t="str">
        <f>IF(VLOOKUP(A179,Creation_1!$A$118:$AY$967,14,0)=0,"",VLOOKUP(A179,Creation_1!$A$118:$AY$967,14,0))</f>
        <v/>
      </c>
      <c r="G179" s="143" t="str">
        <f>VLOOKUP(A179,Creation_BP!$A$118:$AY$967,14,0)</f>
        <v/>
      </c>
      <c r="H179" s="130" t="str">
        <f>INDEX(Creation_BP!B:B,MATCH(Values!A179,Creation_BP!A:A,0)+1)</f>
        <v/>
      </c>
      <c r="J179" s="144" t="str">
        <f t="shared" si="66"/>
        <v/>
      </c>
      <c r="K179" s="130" t="str">
        <f t="shared" si="69"/>
        <v/>
      </c>
      <c r="M179" s="145"/>
      <c r="P179" s="146" t="str">
        <f>VLOOKUP(A179,Creation_XP!$A$112:$AY$911,14,0)</f>
        <v/>
      </c>
      <c r="Q179" s="130" t="str">
        <f>INDEX(Creation_XP!B:B,MATCH(Values!A179,Creation_XP!A:A,0)+1)</f>
        <v/>
      </c>
      <c r="S179" s="144" t="str">
        <f t="shared" si="67"/>
        <v/>
      </c>
      <c r="T179" s="130" t="str">
        <f t="shared" si="70"/>
        <v/>
      </c>
      <c r="V179" s="130"/>
      <c r="W179" s="147">
        <f t="shared" si="68"/>
        <v>0</v>
      </c>
      <c r="X179" s="149" t="str">
        <f t="shared" si="71"/>
        <v/>
      </c>
      <c r="Y179" s="149"/>
      <c r="Z179" s="150">
        <f>IFERROR((P179&lt;&gt;X179)*(10-2*AB179)+OR(AA179="Spell",AA179="Evocation")*COUNTIF(Exalt_DB:Exalt_DBJH,$S$6)*2*(P179&lt;&gt;X179),0)</f>
        <v>0</v>
      </c>
      <c r="AA179" s="129" t="str">
        <f>VLOOKUP(A179,Creation_XP!A151:AY250,2,0)</f>
        <v/>
      </c>
      <c r="AB179" s="18" t="b">
        <f t="shared" si="72"/>
        <v>0</v>
      </c>
    </row>
    <row r="180" spans="1:28">
      <c r="A180" s="179">
        <f t="shared" si="73"/>
        <v>41</v>
      </c>
      <c r="D180" s="180" t="str">
        <f>IF(VLOOKUP(A180,Creation_1!$A$118:$AY$967,14,0)=0,"",VLOOKUP(A180,Creation_1!$A$118:$AY$967,14,0))</f>
        <v/>
      </c>
      <c r="G180" s="143" t="str">
        <f>VLOOKUP(A180,Creation_BP!$A$118:$AY$967,14,0)</f>
        <v/>
      </c>
      <c r="H180" s="130" t="str">
        <f>INDEX(Creation_BP!B:B,MATCH(Values!A180,Creation_BP!A:A,0)+1)</f>
        <v/>
      </c>
      <c r="J180" s="144" t="str">
        <f t="shared" si="66"/>
        <v/>
      </c>
      <c r="K180" s="130" t="str">
        <f t="shared" si="69"/>
        <v/>
      </c>
      <c r="M180" s="145"/>
      <c r="P180" s="146" t="str">
        <f>VLOOKUP(A180,Creation_XP!$A$112:$AY$911,14,0)</f>
        <v/>
      </c>
      <c r="Q180" s="130" t="str">
        <f>INDEX(Creation_XP!B:B,MATCH(Values!A180,Creation_XP!A:A,0)+1)</f>
        <v/>
      </c>
      <c r="S180" s="144" t="str">
        <f t="shared" si="67"/>
        <v/>
      </c>
      <c r="T180" s="130" t="str">
        <f t="shared" si="70"/>
        <v/>
      </c>
      <c r="V180" s="130"/>
      <c r="W180" s="147">
        <f t="shared" si="68"/>
        <v>0</v>
      </c>
      <c r="X180" s="149" t="str">
        <f t="shared" si="71"/>
        <v/>
      </c>
      <c r="Y180" s="149"/>
      <c r="Z180" s="150">
        <f>IFERROR((P180&lt;&gt;X180)*(10-2*AB180)+OR(AA180="Spell",AA180="Evocation")*COUNTIF(Exalt_DB:Exalt_DBJH,$S$6)*2*(P180&lt;&gt;X180),0)</f>
        <v>0</v>
      </c>
      <c r="AA180" s="129" t="str">
        <f>VLOOKUP(A180,Creation_XP!A152:AY251,2,0)</f>
        <v/>
      </c>
      <c r="AB180" s="18" t="b">
        <f t="shared" si="72"/>
        <v>0</v>
      </c>
    </row>
    <row r="181" spans="1:28">
      <c r="A181" s="179">
        <f t="shared" si="73"/>
        <v>42</v>
      </c>
      <c r="D181" s="180" t="str">
        <f>IF(VLOOKUP(A181,Creation_1!$A$118:$AY$967,14,0)=0,"",VLOOKUP(A181,Creation_1!$A$118:$AY$967,14,0))</f>
        <v/>
      </c>
      <c r="G181" s="143" t="str">
        <f>VLOOKUP(A181,Creation_BP!$A$118:$AY$967,14,0)</f>
        <v/>
      </c>
      <c r="H181" s="130" t="str">
        <f>INDEX(Creation_BP!B:B,MATCH(Values!A181,Creation_BP!A:A,0)+1)</f>
        <v/>
      </c>
      <c r="J181" s="144" t="str">
        <f t="shared" si="66"/>
        <v/>
      </c>
      <c r="K181" s="130" t="str">
        <f t="shared" si="69"/>
        <v/>
      </c>
      <c r="M181" s="145"/>
      <c r="P181" s="146" t="str">
        <f>VLOOKUP(A181,Creation_XP!$A$112:$AY$911,14,0)</f>
        <v/>
      </c>
      <c r="Q181" s="130" t="str">
        <f>INDEX(Creation_XP!B:B,MATCH(Values!A181,Creation_XP!A:A,0)+1)</f>
        <v/>
      </c>
      <c r="S181" s="144" t="str">
        <f t="shared" si="67"/>
        <v/>
      </c>
      <c r="T181" s="130" t="str">
        <f t="shared" si="70"/>
        <v/>
      </c>
      <c r="V181" s="130"/>
      <c r="W181" s="147">
        <f t="shared" si="68"/>
        <v>0</v>
      </c>
      <c r="X181" s="149" t="str">
        <f t="shared" si="71"/>
        <v/>
      </c>
      <c r="Y181" s="149"/>
      <c r="Z181" s="150">
        <f>IFERROR((P181&lt;&gt;X181)*(10-2*AB181)+OR(AA181="Spell",AA181="Evocation")*COUNTIF(Exalt_DB:Exalt_DBJH,$S$6)*2*(P181&lt;&gt;X181),0)</f>
        <v>0</v>
      </c>
      <c r="AA181" s="129" t="str">
        <f>VLOOKUP(A181,Creation_XP!A153:AY252,2,0)</f>
        <v/>
      </c>
      <c r="AB181" s="18" t="b">
        <f t="shared" si="72"/>
        <v>0</v>
      </c>
    </row>
    <row r="182" spans="1:28">
      <c r="A182" s="179">
        <f t="shared" si="73"/>
        <v>43</v>
      </c>
      <c r="D182" s="180" t="str">
        <f>IF(VLOOKUP(A182,Creation_1!$A$118:$AY$967,14,0)=0,"",VLOOKUP(A182,Creation_1!$A$118:$AY$967,14,0))</f>
        <v/>
      </c>
      <c r="G182" s="143" t="str">
        <f>VLOOKUP(A182,Creation_BP!$A$118:$AY$967,14,0)</f>
        <v/>
      </c>
      <c r="H182" s="130" t="str">
        <f>INDEX(Creation_BP!B:B,MATCH(Values!A182,Creation_BP!A:A,0)+1)</f>
        <v/>
      </c>
      <c r="J182" s="144" t="str">
        <f t="shared" si="66"/>
        <v/>
      </c>
      <c r="K182" s="130" t="str">
        <f t="shared" si="69"/>
        <v/>
      </c>
      <c r="M182" s="145"/>
      <c r="P182" s="146" t="str">
        <f>VLOOKUP(A182,Creation_XP!$A$112:$AY$911,14,0)</f>
        <v/>
      </c>
      <c r="Q182" s="130" t="str">
        <f>INDEX(Creation_XP!B:B,MATCH(Values!A182,Creation_XP!A:A,0)+1)</f>
        <v/>
      </c>
      <c r="S182" s="144" t="str">
        <f t="shared" si="67"/>
        <v/>
      </c>
      <c r="T182" s="130" t="str">
        <f t="shared" si="70"/>
        <v/>
      </c>
      <c r="V182" s="130"/>
      <c r="W182" s="147">
        <f t="shared" si="68"/>
        <v>0</v>
      </c>
      <c r="X182" s="149" t="str">
        <f t="shared" si="71"/>
        <v/>
      </c>
      <c r="Y182" s="149"/>
      <c r="Z182" s="150">
        <f>IFERROR((P182&lt;&gt;X182)*(10-2*AB182)+OR(AA182="Spell",AA182="Evocation")*COUNTIF(Exalt_DB:Exalt_DBJH,$S$6)*2*(P182&lt;&gt;X182),0)</f>
        <v>0</v>
      </c>
      <c r="AA182" s="129" t="str">
        <f>VLOOKUP(A182,Creation_XP!A154:AY253,2,0)</f>
        <v/>
      </c>
      <c r="AB182" s="18" t="b">
        <f t="shared" si="72"/>
        <v>0</v>
      </c>
    </row>
    <row r="183" spans="1:28">
      <c r="A183" s="179">
        <f t="shared" si="73"/>
        <v>44</v>
      </c>
      <c r="D183" s="180" t="str">
        <f>IF(VLOOKUP(A183,Creation_1!$A$118:$AY$967,14,0)=0,"",VLOOKUP(A183,Creation_1!$A$118:$AY$967,14,0))</f>
        <v/>
      </c>
      <c r="G183" s="143" t="str">
        <f>VLOOKUP(A183,Creation_BP!$A$118:$AY$967,14,0)</f>
        <v/>
      </c>
      <c r="H183" s="130" t="str">
        <f>INDEX(Creation_BP!B:B,MATCH(Values!A183,Creation_BP!A:A,0)+1)</f>
        <v/>
      </c>
      <c r="J183" s="144" t="str">
        <f t="shared" si="66"/>
        <v/>
      </c>
      <c r="K183" s="130" t="str">
        <f t="shared" si="69"/>
        <v/>
      </c>
      <c r="M183" s="145"/>
      <c r="P183" s="146" t="str">
        <f>VLOOKUP(A183,Creation_XP!$A$112:$AY$911,14,0)</f>
        <v/>
      </c>
      <c r="Q183" s="130" t="str">
        <f>INDEX(Creation_XP!B:B,MATCH(Values!A183,Creation_XP!A:A,0)+1)</f>
        <v/>
      </c>
      <c r="S183" s="144" t="str">
        <f t="shared" si="67"/>
        <v/>
      </c>
      <c r="T183" s="130" t="str">
        <f t="shared" si="70"/>
        <v/>
      </c>
      <c r="V183" s="130"/>
      <c r="W183" s="147">
        <f t="shared" si="68"/>
        <v>0</v>
      </c>
      <c r="X183" s="149" t="str">
        <f t="shared" si="71"/>
        <v/>
      </c>
      <c r="Y183" s="149"/>
      <c r="Z183" s="150">
        <f>IFERROR((P183&lt;&gt;X183)*(10-2*AB183)+OR(AA183="Spell",AA183="Evocation")*COUNTIF(Exalt_DB:Exalt_DBJH,$S$6)*2*(P183&lt;&gt;X183),0)</f>
        <v>0</v>
      </c>
      <c r="AA183" s="129" t="str">
        <f>VLOOKUP(A183,Creation_XP!A155:AY254,2,0)</f>
        <v/>
      </c>
      <c r="AB183" s="18" t="b">
        <f t="shared" si="72"/>
        <v>0</v>
      </c>
    </row>
    <row r="184" spans="1:28">
      <c r="A184" s="179">
        <f t="shared" si="73"/>
        <v>45</v>
      </c>
      <c r="D184" s="180" t="str">
        <f>IF(VLOOKUP(A184,Creation_1!$A$118:$AY$967,14,0)=0,"",VLOOKUP(A184,Creation_1!$A$118:$AY$967,14,0))</f>
        <v/>
      </c>
      <c r="G184" s="143" t="str">
        <f>VLOOKUP(A184,Creation_BP!$A$118:$AY$967,14,0)</f>
        <v/>
      </c>
      <c r="H184" s="130" t="str">
        <f>INDEX(Creation_BP!B:B,MATCH(Values!A184,Creation_BP!A:A,0)+1)</f>
        <v/>
      </c>
      <c r="J184" s="144" t="str">
        <f t="shared" si="66"/>
        <v/>
      </c>
      <c r="K184" s="130" t="str">
        <f t="shared" si="69"/>
        <v/>
      </c>
      <c r="M184" s="145"/>
      <c r="P184" s="146" t="str">
        <f>VLOOKUP(A184,Creation_XP!$A$112:$AY$911,14,0)</f>
        <v/>
      </c>
      <c r="Q184" s="130" t="str">
        <f>INDEX(Creation_XP!B:B,MATCH(Values!A184,Creation_XP!A:A,0)+1)</f>
        <v/>
      </c>
      <c r="S184" s="144" t="str">
        <f t="shared" si="67"/>
        <v/>
      </c>
      <c r="T184" s="130" t="str">
        <f t="shared" si="70"/>
        <v/>
      </c>
      <c r="V184" s="130"/>
      <c r="W184" s="147">
        <f t="shared" si="68"/>
        <v>0</v>
      </c>
      <c r="X184" s="149" t="str">
        <f t="shared" si="71"/>
        <v/>
      </c>
      <c r="Y184" s="149"/>
      <c r="Z184" s="150">
        <f>IFERROR((P184&lt;&gt;X184)*(10-2*AB184)+OR(AA184="Spell",AA184="Evocation")*COUNTIF(Exalt_DB:Exalt_DBJH,$S$6)*2*(P184&lt;&gt;X184),0)</f>
        <v>0</v>
      </c>
      <c r="AA184" s="129" t="str">
        <f>VLOOKUP(A184,Creation_XP!A156:AY255,2,0)</f>
        <v/>
      </c>
      <c r="AB184" s="18" t="b">
        <f t="shared" si="72"/>
        <v>0</v>
      </c>
    </row>
    <row r="185" spans="1:28">
      <c r="A185" s="179">
        <f t="shared" si="73"/>
        <v>46</v>
      </c>
      <c r="D185" s="180" t="str">
        <f>IF(VLOOKUP(A185,Creation_1!$A$118:$AY$967,14,0)=0,"",VLOOKUP(A185,Creation_1!$A$118:$AY$967,14,0))</f>
        <v/>
      </c>
      <c r="G185" s="143" t="str">
        <f>VLOOKUP(A185,Creation_BP!$A$118:$AY$967,14,0)</f>
        <v/>
      </c>
      <c r="H185" s="130" t="str">
        <f>INDEX(Creation_BP!B:B,MATCH(Values!A185,Creation_BP!A:A,0)+1)</f>
        <v/>
      </c>
      <c r="J185" s="144" t="str">
        <f t="shared" si="66"/>
        <v/>
      </c>
      <c r="K185" s="130" t="str">
        <f t="shared" si="69"/>
        <v/>
      </c>
      <c r="M185" s="145"/>
      <c r="P185" s="146" t="str">
        <f>VLOOKUP(A185,Creation_XP!$A$112:$AY$911,14,0)</f>
        <v/>
      </c>
      <c r="Q185" s="130" t="str">
        <f>INDEX(Creation_XP!B:B,MATCH(Values!A185,Creation_XP!A:A,0)+1)</f>
        <v/>
      </c>
      <c r="S185" s="144" t="str">
        <f t="shared" si="67"/>
        <v/>
      </c>
      <c r="T185" s="130" t="str">
        <f t="shared" si="70"/>
        <v/>
      </c>
      <c r="V185" s="130"/>
      <c r="W185" s="147">
        <f t="shared" si="68"/>
        <v>0</v>
      </c>
      <c r="X185" s="149" t="str">
        <f t="shared" si="71"/>
        <v/>
      </c>
      <c r="Y185" s="149"/>
      <c r="Z185" s="150">
        <f>IFERROR((P185&lt;&gt;X185)*(10-2*AB185)+OR(AA185="Spell",AA185="Evocation")*COUNTIF(Exalt_DB:Exalt_DBJH,$S$6)*2*(P185&lt;&gt;X185),0)</f>
        <v>0</v>
      </c>
      <c r="AA185" s="129" t="str">
        <f>VLOOKUP(A185,Creation_XP!A157:AY256,2,0)</f>
        <v/>
      </c>
      <c r="AB185" s="18" t="b">
        <f t="shared" si="72"/>
        <v>0</v>
      </c>
    </row>
    <row r="186" spans="1:28">
      <c r="A186" s="179">
        <f t="shared" si="73"/>
        <v>47</v>
      </c>
      <c r="D186" s="180" t="str">
        <f>IF(VLOOKUP(A186,Creation_1!$A$118:$AY$967,14,0)=0,"",VLOOKUP(A186,Creation_1!$A$118:$AY$967,14,0))</f>
        <v/>
      </c>
      <c r="G186" s="143" t="str">
        <f>VLOOKUP(A186,Creation_BP!$A$118:$AY$967,14,0)</f>
        <v/>
      </c>
      <c r="H186" s="130" t="str">
        <f>INDEX(Creation_BP!B:B,MATCH(Values!A186,Creation_BP!A:A,0)+1)</f>
        <v/>
      </c>
      <c r="J186" s="144" t="str">
        <f t="shared" si="66"/>
        <v/>
      </c>
      <c r="K186" s="130" t="str">
        <f t="shared" si="69"/>
        <v/>
      </c>
      <c r="M186" s="145"/>
      <c r="P186" s="146" t="str">
        <f>VLOOKUP(A186,Creation_XP!$A$112:$AY$911,14,0)</f>
        <v/>
      </c>
      <c r="Q186" s="130" t="str">
        <f>INDEX(Creation_XP!B:B,MATCH(Values!A186,Creation_XP!A:A,0)+1)</f>
        <v/>
      </c>
      <c r="S186" s="144" t="str">
        <f t="shared" si="67"/>
        <v/>
      </c>
      <c r="T186" s="130" t="str">
        <f t="shared" si="70"/>
        <v/>
      </c>
      <c r="V186" s="130"/>
      <c r="W186" s="147">
        <f t="shared" si="68"/>
        <v>0</v>
      </c>
      <c r="X186" s="149" t="str">
        <f t="shared" si="71"/>
        <v/>
      </c>
      <c r="Y186" s="149"/>
      <c r="Z186" s="150">
        <f>IFERROR((P186&lt;&gt;X186)*(10-2*AB186)+OR(AA186="Spell",AA186="Evocation")*COUNTIF(Exalt_DB:Exalt_DBJH,$S$6)*2*(P186&lt;&gt;X186),0)</f>
        <v>0</v>
      </c>
      <c r="AA186" s="129" t="str">
        <f>VLOOKUP(A186,Creation_XP!A158:AY257,2,0)</f>
        <v/>
      </c>
      <c r="AB186" s="18" t="b">
        <f t="shared" si="72"/>
        <v>0</v>
      </c>
    </row>
    <row r="187" spans="1:28">
      <c r="A187" s="179">
        <f t="shared" si="73"/>
        <v>48</v>
      </c>
      <c r="D187" s="180" t="str">
        <f>IF(VLOOKUP(A187,Creation_1!$A$118:$AY$967,14,0)=0,"",VLOOKUP(A187,Creation_1!$A$118:$AY$967,14,0))</f>
        <v/>
      </c>
      <c r="G187" s="143" t="str">
        <f>VLOOKUP(A187,Creation_BP!$A$118:$AY$967,14,0)</f>
        <v/>
      </c>
      <c r="H187" s="130" t="str">
        <f>INDEX(Creation_BP!B:B,MATCH(Values!A187,Creation_BP!A:A,0)+1)</f>
        <v/>
      </c>
      <c r="J187" s="144" t="str">
        <f t="shared" si="66"/>
        <v/>
      </c>
      <c r="K187" s="130" t="str">
        <f t="shared" si="69"/>
        <v/>
      </c>
      <c r="M187" s="145"/>
      <c r="P187" s="146" t="str">
        <f>VLOOKUP(A187,Creation_XP!$A$112:$AY$911,14,0)</f>
        <v/>
      </c>
      <c r="Q187" s="130" t="str">
        <f>INDEX(Creation_XP!B:B,MATCH(Values!A187,Creation_XP!A:A,0)+1)</f>
        <v/>
      </c>
      <c r="S187" s="144" t="str">
        <f t="shared" si="67"/>
        <v/>
      </c>
      <c r="T187" s="130" t="str">
        <f t="shared" si="70"/>
        <v/>
      </c>
      <c r="V187" s="130"/>
      <c r="W187" s="147">
        <f t="shared" si="68"/>
        <v>0</v>
      </c>
      <c r="X187" s="149" t="str">
        <f t="shared" si="71"/>
        <v/>
      </c>
      <c r="Y187" s="149"/>
      <c r="Z187" s="150">
        <f>IFERROR((P187&lt;&gt;X187)*(10-2*AB187)+OR(AA187="Spell",AA187="Evocation")*COUNTIF(Exalt_DB:Exalt_DBJH,$S$6)*2*(P187&lt;&gt;X187),0)</f>
        <v>0</v>
      </c>
      <c r="AA187" s="129" t="str">
        <f>VLOOKUP(A187,Creation_XP!A159:AY258,2,0)</f>
        <v/>
      </c>
      <c r="AB187" s="18" t="b">
        <f t="shared" si="72"/>
        <v>0</v>
      </c>
    </row>
    <row r="188" spans="1:28">
      <c r="A188" s="179">
        <f t="shared" si="73"/>
        <v>49</v>
      </c>
      <c r="D188" s="180" t="str">
        <f>IF(VLOOKUP(A188,Creation_1!$A$118:$AY$967,14,0)=0,"",VLOOKUP(A188,Creation_1!$A$118:$AY$967,14,0))</f>
        <v/>
      </c>
      <c r="G188" s="143" t="str">
        <f>VLOOKUP(A188,Creation_BP!$A$118:$AY$967,14,0)</f>
        <v/>
      </c>
      <c r="H188" s="130" t="str">
        <f>INDEX(Creation_BP!B:B,MATCH(Values!A188,Creation_BP!A:A,0)+1)</f>
        <v/>
      </c>
      <c r="J188" s="144" t="str">
        <f t="shared" si="66"/>
        <v/>
      </c>
      <c r="K188" s="130" t="str">
        <f t="shared" si="69"/>
        <v/>
      </c>
      <c r="M188" s="145"/>
      <c r="P188" s="146" t="str">
        <f>VLOOKUP(A188,Creation_XP!$A$112:$AY$911,14,0)</f>
        <v/>
      </c>
      <c r="Q188" s="130" t="str">
        <f>INDEX(Creation_XP!B:B,MATCH(Values!A188,Creation_XP!A:A,0)+1)</f>
        <v/>
      </c>
      <c r="S188" s="144" t="str">
        <f t="shared" si="67"/>
        <v/>
      </c>
      <c r="T188" s="130" t="str">
        <f t="shared" si="70"/>
        <v/>
      </c>
      <c r="V188" s="130"/>
      <c r="W188" s="147">
        <f t="shared" si="68"/>
        <v>0</v>
      </c>
      <c r="X188" s="149" t="str">
        <f t="shared" si="71"/>
        <v/>
      </c>
      <c r="Y188" s="149"/>
      <c r="Z188" s="150">
        <f>IFERROR((P188&lt;&gt;X188)*(10-2*AB188)+OR(AA188="Spell",AA188="Evocation")*COUNTIF(Exalt_DB:Exalt_DBJH,$S$6)*2*(P188&lt;&gt;X188),0)</f>
        <v>0</v>
      </c>
      <c r="AA188" s="129" t="str">
        <f>VLOOKUP(A188,Creation_XP!A160:AY259,2,0)</f>
        <v/>
      </c>
      <c r="AB188" s="18" t="b">
        <f t="shared" si="72"/>
        <v>0</v>
      </c>
    </row>
    <row r="189" spans="1:28">
      <c r="A189" s="179">
        <f t="shared" si="73"/>
        <v>50</v>
      </c>
      <c r="B189" s="181"/>
      <c r="C189" s="182"/>
      <c r="D189" s="183" t="str">
        <f>IF(VLOOKUP(A189,Creation_1!$A$118:$AY$967,14,0)=0,"",VLOOKUP(A189,Creation_1!$A$118:$AY$967,14,0))</f>
        <v/>
      </c>
      <c r="E189" s="188"/>
      <c r="F189" s="182"/>
      <c r="G189" s="143" t="str">
        <f>VLOOKUP(A189,Creation_BP!$A$118:$AY$967,14,0)</f>
        <v/>
      </c>
      <c r="H189" s="130" t="str">
        <f>INDEX(Creation_BP!B:B,MATCH(Values!A189,Creation_BP!A:A,0)+1)</f>
        <v/>
      </c>
      <c r="I189" s="182"/>
      <c r="J189" s="144" t="str">
        <f t="shared" si="66"/>
        <v/>
      </c>
      <c r="K189" s="130" t="str">
        <f t="shared" si="69"/>
        <v/>
      </c>
      <c r="L189" s="182"/>
      <c r="M189" s="145"/>
      <c r="N189" s="189"/>
      <c r="O189" s="189"/>
      <c r="P189" s="146" t="str">
        <f>VLOOKUP(A189,Creation_XP!$A$112:$AY$911,14,0)</f>
        <v/>
      </c>
      <c r="Q189" s="130" t="str">
        <f>INDEX(Creation_XP!B:B,MATCH(Values!A189,Creation_XP!A:A,0)+1)</f>
        <v/>
      </c>
      <c r="R189" s="182"/>
      <c r="S189" s="144" t="str">
        <f t="shared" si="67"/>
        <v/>
      </c>
      <c r="T189" s="130" t="str">
        <f t="shared" si="70"/>
        <v/>
      </c>
      <c r="U189" s="182"/>
      <c r="V189" s="182"/>
      <c r="W189" s="147">
        <f t="shared" si="68"/>
        <v>0</v>
      </c>
      <c r="X189" s="149" t="str">
        <f t="shared" si="71"/>
        <v/>
      </c>
      <c r="Y189" s="190"/>
      <c r="Z189" s="150">
        <f>IFERROR((P189&lt;&gt;X189)*(10-2*AB189)+OR(AA189="Spell",AA189="Evocation")*COUNTIF(Exalt_DB:Exalt_DBJH,$S$6)*2*(P189&lt;&gt;X189),0)</f>
        <v>0</v>
      </c>
      <c r="AA189" s="129" t="str">
        <f>VLOOKUP(A189,Creation_XP!A161:AY260,2,0)</f>
        <v/>
      </c>
      <c r="AB189" s="18" t="b">
        <f t="shared" si="72"/>
        <v>0</v>
      </c>
    </row>
    <row r="190" spans="1:28">
      <c r="A190" s="179">
        <f t="shared" si="73"/>
        <v>51</v>
      </c>
      <c r="B190" s="129" t="s">
        <v>3297</v>
      </c>
      <c r="D190" s="144" t="e">
        <f>IF(VLOOKUP(A190,Creation_1!$A$118:$AY$967,14,0)=0,"",VLOOKUP(A190,Creation_1!$A$118:$AY$967,14,0))</f>
        <v>#N/A</v>
      </c>
      <c r="G190" s="143" t="e">
        <f>VLOOKUP(A190,Creation_BP!$A$118:$AY$967,14,0)</f>
        <v>#N/A</v>
      </c>
      <c r="H190" s="130" t="e">
        <f>INDEX(Creation_BP!B:B,MATCH(Values!A190,Creation_BP!A:A,0)+1)</f>
        <v>#N/A</v>
      </c>
      <c r="J190" s="144" t="e">
        <f t="shared" si="66"/>
        <v>#N/A</v>
      </c>
      <c r="K190" s="130" t="e">
        <f t="shared" si="69"/>
        <v>#N/A</v>
      </c>
      <c r="M190" s="145"/>
      <c r="P190" s="146" t="e">
        <f>VLOOKUP(A190,Creation_XP!$A$112:$AY$911,14,0)</f>
        <v>#N/A</v>
      </c>
      <c r="Q190" s="130" t="e">
        <f>INDEX(Creation_XP!B:B,MATCH(Values!A190,Creation_XP!A:A,0)+1)</f>
        <v>#N/A</v>
      </c>
      <c r="S190" s="144" t="e">
        <f t="shared" si="67"/>
        <v>#N/A</v>
      </c>
      <c r="T190" s="130" t="e">
        <f t="shared" si="70"/>
        <v>#N/A</v>
      </c>
      <c r="V190" s="130"/>
      <c r="W190" s="147" t="str">
        <f t="shared" si="68"/>
        <v/>
      </c>
      <c r="X190" s="149" t="e">
        <f t="shared" si="71"/>
        <v>#N/A</v>
      </c>
      <c r="Y190" s="149"/>
      <c r="Z190" s="150">
        <f>IFERROR((P190&lt;&gt;X190)*(10-2*AB190)+OR(AA190="Spell",AA190="Evocation")*COUNTIF(Exalt_DB:Exalt_DBJH,$S$6)*2*(P190&lt;&gt;X190),0)</f>
        <v>0</v>
      </c>
      <c r="AA190" s="129" t="e">
        <f>VLOOKUP(A190,Creation_XP!A162:AY261,2,0)</f>
        <v>#N/A</v>
      </c>
      <c r="AB190" s="18" t="b">
        <f t="shared" si="72"/>
        <v>0</v>
      </c>
    </row>
    <row r="191" spans="1:28">
      <c r="A191" s="179">
        <f t="shared" si="73"/>
        <v>52</v>
      </c>
      <c r="B191" s="129" t="s">
        <v>3297</v>
      </c>
      <c r="D191" s="144" t="e">
        <f>IF(VLOOKUP(A191,Creation_1!$A$118:$AY$967,14,0)=0,"",VLOOKUP(A191,Creation_1!$A$118:$AY$967,14,0))</f>
        <v>#N/A</v>
      </c>
      <c r="G191" s="143" t="e">
        <f>VLOOKUP(A191,Creation_BP!$A$118:$AY$967,14,0)</f>
        <v>#N/A</v>
      </c>
      <c r="H191" s="130" t="e">
        <f>INDEX(Creation_BP!B:B,MATCH(Values!A191,Creation_BP!A:A,0)+1)</f>
        <v>#N/A</v>
      </c>
      <c r="J191" s="144" t="e">
        <f t="shared" si="66"/>
        <v>#N/A</v>
      </c>
      <c r="K191" s="130" t="e">
        <f t="shared" si="69"/>
        <v>#N/A</v>
      </c>
      <c r="M191" s="145"/>
      <c r="P191" s="146" t="e">
        <f>VLOOKUP(A191,Creation_XP!$A$112:$AY$911,14,0)</f>
        <v>#N/A</v>
      </c>
      <c r="Q191" s="130" t="e">
        <f>INDEX(Creation_XP!B:B,MATCH(Values!A191,Creation_XP!A:A,0)+1)</f>
        <v>#N/A</v>
      </c>
      <c r="S191" s="144" t="e">
        <f t="shared" si="67"/>
        <v>#N/A</v>
      </c>
      <c r="T191" s="130" t="e">
        <f t="shared" si="70"/>
        <v>#N/A</v>
      </c>
      <c r="V191" s="130"/>
      <c r="W191" s="147" t="str">
        <f t="shared" si="68"/>
        <v/>
      </c>
      <c r="X191" s="149" t="e">
        <f t="shared" si="71"/>
        <v>#N/A</v>
      </c>
      <c r="Y191" s="149"/>
      <c r="Z191" s="150">
        <f>IFERROR((P191&lt;&gt;X191)*(10-2*AB191)+OR(AA191="Spell",AA191="Evocation")*COUNTIF(Exalt_DB:Exalt_DBJH,$S$6)*2*(P191&lt;&gt;X191),0)</f>
        <v>0</v>
      </c>
      <c r="AA191" s="129" t="e">
        <f>VLOOKUP(A191,Creation_XP!A163:AY262,2,0)</f>
        <v>#N/A</v>
      </c>
      <c r="AB191" s="18" t="b">
        <f t="shared" si="72"/>
        <v>0</v>
      </c>
    </row>
    <row r="192" spans="1:28">
      <c r="A192" s="179">
        <f t="shared" si="73"/>
        <v>53</v>
      </c>
      <c r="B192" s="129" t="s">
        <v>3297</v>
      </c>
      <c r="D192" s="144" t="e">
        <f>IF(VLOOKUP(A192,Creation_1!$A$118:$AY$967,14,0)=0,"",VLOOKUP(A192,Creation_1!$A$118:$AY$967,14,0))</f>
        <v>#N/A</v>
      </c>
      <c r="G192" s="143" t="e">
        <f>VLOOKUP(A192,Creation_BP!$A$118:$AY$967,14,0)</f>
        <v>#N/A</v>
      </c>
      <c r="H192" s="130" t="e">
        <f>INDEX(Creation_BP!B:B,MATCH(Values!A192,Creation_BP!A:A,0)+1)</f>
        <v>#N/A</v>
      </c>
      <c r="J192" s="144" t="e">
        <f t="shared" si="66"/>
        <v>#N/A</v>
      </c>
      <c r="K192" s="130" t="e">
        <f t="shared" si="69"/>
        <v>#N/A</v>
      </c>
      <c r="M192" s="145"/>
      <c r="P192" s="146" t="e">
        <f>VLOOKUP(A192,Creation_XP!$A$112:$AY$911,14,0)</f>
        <v>#N/A</v>
      </c>
      <c r="Q192" s="130" t="e">
        <f>INDEX(Creation_XP!B:B,MATCH(Values!A192,Creation_XP!A:A,0)+1)</f>
        <v>#N/A</v>
      </c>
      <c r="S192" s="144" t="e">
        <f t="shared" si="67"/>
        <v>#N/A</v>
      </c>
      <c r="T192" s="130" t="e">
        <f t="shared" si="70"/>
        <v>#N/A</v>
      </c>
      <c r="V192" s="130"/>
      <c r="W192" s="147" t="str">
        <f t="shared" si="68"/>
        <v/>
      </c>
      <c r="X192" s="149" t="e">
        <f t="shared" si="71"/>
        <v>#N/A</v>
      </c>
      <c r="Y192" s="149"/>
      <c r="Z192" s="150">
        <f>IFERROR((P192&lt;&gt;X192)*(10-2*AB192)+OR(AA192="Spell",AA192="Evocation")*COUNTIF(Exalt_DB:Exalt_DBJH,$S$6)*2*(P192&lt;&gt;X192),0)</f>
        <v>0</v>
      </c>
      <c r="AA192" s="129" t="e">
        <f>VLOOKUP(A192,Creation_XP!A164:AY263,2,0)</f>
        <v>#N/A</v>
      </c>
      <c r="AB192" s="18" t="b">
        <f t="shared" si="72"/>
        <v>0</v>
      </c>
    </row>
    <row r="193" spans="1:28">
      <c r="A193" s="179">
        <f t="shared" si="73"/>
        <v>54</v>
      </c>
      <c r="B193" s="129" t="s">
        <v>3297</v>
      </c>
      <c r="D193" s="144" t="e">
        <f>IF(VLOOKUP(A193,Creation_1!$A$118:$AY$967,14,0)=0,"",VLOOKUP(A193,Creation_1!$A$118:$AY$967,14,0))</f>
        <v>#N/A</v>
      </c>
      <c r="G193" s="143" t="e">
        <f>VLOOKUP(A193,Creation_BP!$A$118:$AY$967,14,0)</f>
        <v>#N/A</v>
      </c>
      <c r="H193" s="130" t="e">
        <f>INDEX(Creation_BP!B:B,MATCH(Values!A193,Creation_BP!A:A,0)+1)</f>
        <v>#N/A</v>
      </c>
      <c r="J193" s="144" t="e">
        <f t="shared" si="66"/>
        <v>#N/A</v>
      </c>
      <c r="K193" s="130" t="e">
        <f t="shared" si="69"/>
        <v>#N/A</v>
      </c>
      <c r="M193" s="145"/>
      <c r="P193" s="146" t="e">
        <f>VLOOKUP(A193,Creation_XP!$A$112:$AY$911,14,0)</f>
        <v>#N/A</v>
      </c>
      <c r="Q193" s="130" t="e">
        <f>INDEX(Creation_XP!B:B,MATCH(Values!A193,Creation_XP!A:A,0)+1)</f>
        <v>#N/A</v>
      </c>
      <c r="S193" s="144" t="e">
        <f t="shared" si="67"/>
        <v>#N/A</v>
      </c>
      <c r="T193" s="130" t="e">
        <f t="shared" si="70"/>
        <v>#N/A</v>
      </c>
      <c r="V193" s="130"/>
      <c r="W193" s="147" t="str">
        <f t="shared" si="68"/>
        <v/>
      </c>
      <c r="X193" s="149" t="e">
        <f t="shared" si="71"/>
        <v>#N/A</v>
      </c>
      <c r="Y193" s="149"/>
      <c r="Z193" s="150">
        <f>IFERROR((P193&lt;&gt;X193)*(10-2*AB193)+OR(AA193="Spell",AA193="Evocation")*COUNTIF(Exalt_DB:Exalt_DBJH,$S$6)*2*(P193&lt;&gt;X193),0)</f>
        <v>0</v>
      </c>
      <c r="AA193" s="129" t="e">
        <f>VLOOKUP(A193,Creation_XP!A165:AY264,2,0)</f>
        <v>#N/A</v>
      </c>
      <c r="AB193" s="18" t="b">
        <f t="shared" si="72"/>
        <v>0</v>
      </c>
    </row>
    <row r="194" spans="1:28">
      <c r="A194" s="179">
        <f t="shared" si="73"/>
        <v>55</v>
      </c>
      <c r="B194" s="129" t="s">
        <v>3297</v>
      </c>
      <c r="D194" s="144" t="e">
        <f>IF(VLOOKUP(A194,Creation_1!$A$118:$AY$967,14,0)=0,"",VLOOKUP(A194,Creation_1!$A$118:$AY$967,14,0))</f>
        <v>#N/A</v>
      </c>
      <c r="G194" s="143" t="e">
        <f>VLOOKUP(A194,Creation_BP!$A$118:$AY$967,14,0)</f>
        <v>#N/A</v>
      </c>
      <c r="H194" s="130" t="e">
        <f>INDEX(Creation_BP!B:B,MATCH(Values!A194,Creation_BP!A:A,0)+1)</f>
        <v>#N/A</v>
      </c>
      <c r="J194" s="144" t="e">
        <f t="shared" si="66"/>
        <v>#N/A</v>
      </c>
      <c r="K194" s="130" t="e">
        <f t="shared" si="69"/>
        <v>#N/A</v>
      </c>
      <c r="M194" s="145"/>
      <c r="P194" s="146" t="e">
        <f>VLOOKUP(A194,Creation_XP!$A$112:$AY$911,14,0)</f>
        <v>#N/A</v>
      </c>
      <c r="Q194" s="130" t="e">
        <f>INDEX(Creation_XP!B:B,MATCH(Values!A194,Creation_XP!A:A,0)+1)</f>
        <v>#N/A</v>
      </c>
      <c r="S194" s="144" t="e">
        <f t="shared" si="67"/>
        <v>#N/A</v>
      </c>
      <c r="T194" s="130" t="e">
        <f t="shared" si="70"/>
        <v>#N/A</v>
      </c>
      <c r="V194" s="130"/>
      <c r="W194" s="147" t="str">
        <f t="shared" si="68"/>
        <v/>
      </c>
      <c r="X194" s="149" t="e">
        <f t="shared" si="71"/>
        <v>#N/A</v>
      </c>
      <c r="Y194" s="149"/>
      <c r="Z194" s="150">
        <f>IFERROR((P194&lt;&gt;X194)*(10-2*AB194)+OR(AA194="Spell",AA194="Evocation")*COUNTIF(Exalt_DB:Exalt_DBJH,$S$6)*2*(P194&lt;&gt;X194),0)</f>
        <v>0</v>
      </c>
      <c r="AA194" s="129" t="e">
        <f>VLOOKUP(A194,Creation_XP!A166:AY265,2,0)</f>
        <v>#N/A</v>
      </c>
      <c r="AB194" s="18" t="b">
        <f t="shared" si="72"/>
        <v>0</v>
      </c>
    </row>
    <row r="195" spans="1:28">
      <c r="A195" s="179">
        <f t="shared" si="73"/>
        <v>56</v>
      </c>
      <c r="B195" s="129" t="s">
        <v>3297</v>
      </c>
      <c r="D195" s="144" t="e">
        <f>IF(VLOOKUP(A195,Creation_1!$A$118:$AY$967,14,0)=0,"",VLOOKUP(A195,Creation_1!$A$118:$AY$967,14,0))</f>
        <v>#N/A</v>
      </c>
      <c r="G195" s="143" t="e">
        <f>VLOOKUP(A195,Creation_BP!$A$118:$AY$967,14,0)</f>
        <v>#N/A</v>
      </c>
      <c r="H195" s="130" t="e">
        <f>INDEX(Creation_BP!B:B,MATCH(Values!A195,Creation_BP!A:A,0)+1)</f>
        <v>#N/A</v>
      </c>
      <c r="J195" s="144" t="e">
        <f t="shared" si="66"/>
        <v>#N/A</v>
      </c>
      <c r="K195" s="130" t="e">
        <f t="shared" si="69"/>
        <v>#N/A</v>
      </c>
      <c r="M195" s="145"/>
      <c r="P195" s="146" t="e">
        <f>VLOOKUP(A195,Creation_XP!$A$112:$AY$911,14,0)</f>
        <v>#N/A</v>
      </c>
      <c r="Q195" s="130" t="e">
        <f>INDEX(Creation_XP!B:B,MATCH(Values!A195,Creation_XP!A:A,0)+1)</f>
        <v>#N/A</v>
      </c>
      <c r="S195" s="144" t="e">
        <f t="shared" si="67"/>
        <v>#N/A</v>
      </c>
      <c r="T195" s="130" t="e">
        <f t="shared" si="70"/>
        <v>#N/A</v>
      </c>
      <c r="V195" s="130"/>
      <c r="W195" s="147" t="str">
        <f t="shared" si="68"/>
        <v/>
      </c>
      <c r="X195" s="149" t="e">
        <f t="shared" si="71"/>
        <v>#N/A</v>
      </c>
      <c r="Y195" s="149"/>
      <c r="Z195" s="150">
        <f>IFERROR((P195&lt;&gt;X195)*(10-2*AB195)+OR(AA195="Spell",AA195="Evocation")*COUNTIF(Exalt_DB:Exalt_DBJH,$S$6)*2*(P195&lt;&gt;X195),0)</f>
        <v>0</v>
      </c>
      <c r="AA195" s="129" t="e">
        <f>VLOOKUP(A195,Creation_XP!A167:AY266,2,0)</f>
        <v>#N/A</v>
      </c>
      <c r="AB195" s="18" t="b">
        <f t="shared" si="72"/>
        <v>0</v>
      </c>
    </row>
    <row r="196" spans="1:28">
      <c r="A196" s="179">
        <f t="shared" si="73"/>
        <v>57</v>
      </c>
      <c r="B196" s="129" t="s">
        <v>3297</v>
      </c>
      <c r="D196" s="144" t="e">
        <f>IF(VLOOKUP(A196,Creation_1!$A$118:$AY$967,14,0)=0,"",VLOOKUP(A196,Creation_1!$A$118:$AY$967,14,0))</f>
        <v>#N/A</v>
      </c>
      <c r="G196" s="143" t="e">
        <f>VLOOKUP(A196,Creation_BP!$A$118:$AY$967,14,0)</f>
        <v>#N/A</v>
      </c>
      <c r="H196" s="130" t="e">
        <f>INDEX(Creation_BP!B:B,MATCH(Values!A196,Creation_BP!A:A,0)+1)</f>
        <v>#N/A</v>
      </c>
      <c r="J196" s="144" t="e">
        <f t="shared" si="66"/>
        <v>#N/A</v>
      </c>
      <c r="K196" s="130" t="e">
        <f t="shared" si="69"/>
        <v>#N/A</v>
      </c>
      <c r="M196" s="145"/>
      <c r="P196" s="146" t="e">
        <f>VLOOKUP(A196,Creation_XP!$A$112:$AY$911,14,0)</f>
        <v>#N/A</v>
      </c>
      <c r="Q196" s="130" t="e">
        <f>INDEX(Creation_XP!B:B,MATCH(Values!A196,Creation_XP!A:A,0)+1)</f>
        <v>#N/A</v>
      </c>
      <c r="S196" s="144" t="e">
        <f t="shared" si="67"/>
        <v>#N/A</v>
      </c>
      <c r="T196" s="130" t="e">
        <f t="shared" si="70"/>
        <v>#N/A</v>
      </c>
      <c r="V196" s="130"/>
      <c r="W196" s="147" t="str">
        <f t="shared" si="68"/>
        <v/>
      </c>
      <c r="X196" s="149" t="e">
        <f t="shared" si="71"/>
        <v>#N/A</v>
      </c>
      <c r="Y196" s="149"/>
      <c r="Z196" s="150">
        <f>IFERROR((P196&lt;&gt;X196)*(10-2*AB196)+OR(AA196="Spell",AA196="Evocation")*COUNTIF(Exalt_DB:Exalt_DBJH,$S$6)*2*(P196&lt;&gt;X196),0)</f>
        <v>0</v>
      </c>
      <c r="AA196" s="129" t="e">
        <f>VLOOKUP(A196,Creation_XP!A168:AY267,2,0)</f>
        <v>#N/A</v>
      </c>
      <c r="AB196" s="18" t="b">
        <f t="shared" si="72"/>
        <v>0</v>
      </c>
    </row>
    <row r="197" spans="1:28">
      <c r="A197" s="179">
        <f t="shared" si="73"/>
        <v>58</v>
      </c>
      <c r="B197" s="129" t="s">
        <v>3297</v>
      </c>
      <c r="D197" s="144" t="e">
        <f>IF(VLOOKUP(A197,Creation_1!$A$118:$AY$967,14,0)=0,"",VLOOKUP(A197,Creation_1!$A$118:$AY$967,14,0))</f>
        <v>#N/A</v>
      </c>
      <c r="G197" s="143" t="e">
        <f>VLOOKUP(A197,Creation_BP!$A$118:$AY$967,14,0)</f>
        <v>#N/A</v>
      </c>
      <c r="H197" s="130" t="e">
        <f>INDEX(Creation_BP!B:B,MATCH(Values!A197,Creation_BP!A:A,0)+1)</f>
        <v>#N/A</v>
      </c>
      <c r="J197" s="144" t="e">
        <f t="shared" si="66"/>
        <v>#N/A</v>
      </c>
      <c r="K197" s="130" t="e">
        <f t="shared" si="69"/>
        <v>#N/A</v>
      </c>
      <c r="M197" s="145"/>
      <c r="P197" s="146" t="e">
        <f>VLOOKUP(A197,Creation_XP!$A$112:$AY$911,14,0)</f>
        <v>#N/A</v>
      </c>
      <c r="Q197" s="130" t="e">
        <f>INDEX(Creation_XP!B:B,MATCH(Values!A197,Creation_XP!A:A,0)+1)</f>
        <v>#N/A</v>
      </c>
      <c r="S197" s="144" t="e">
        <f t="shared" si="67"/>
        <v>#N/A</v>
      </c>
      <c r="T197" s="130" t="e">
        <f t="shared" si="70"/>
        <v>#N/A</v>
      </c>
      <c r="V197" s="130"/>
      <c r="W197" s="147" t="str">
        <f t="shared" si="68"/>
        <v/>
      </c>
      <c r="X197" s="149" t="e">
        <f t="shared" si="71"/>
        <v>#N/A</v>
      </c>
      <c r="Y197" s="149"/>
      <c r="Z197" s="150">
        <f>IFERROR((P197&lt;&gt;X197)*(10-2*AB197)+OR(AA197="Spell",AA197="Evocation")*COUNTIF(Exalt_DB:Exalt_DBJH,$S$6)*2*(P197&lt;&gt;X197),0)</f>
        <v>0</v>
      </c>
      <c r="AA197" s="129" t="e">
        <f>VLOOKUP(A197,Creation_XP!A169:AY268,2,0)</f>
        <v>#N/A</v>
      </c>
      <c r="AB197" s="18" t="b">
        <f t="shared" si="72"/>
        <v>0</v>
      </c>
    </row>
    <row r="198" spans="1:28">
      <c r="A198" s="179">
        <f t="shared" si="73"/>
        <v>59</v>
      </c>
      <c r="B198" s="129" t="s">
        <v>3297</v>
      </c>
      <c r="D198" s="144" t="e">
        <f>IF(VLOOKUP(A198,Creation_1!$A$118:$AY$967,14,0)=0,"",VLOOKUP(A198,Creation_1!$A$118:$AY$967,14,0))</f>
        <v>#N/A</v>
      </c>
      <c r="G198" s="143" t="e">
        <f>VLOOKUP(A198,Creation_BP!$A$118:$AY$967,14,0)</f>
        <v>#N/A</v>
      </c>
      <c r="H198" s="130" t="e">
        <f>INDEX(Creation_BP!B:B,MATCH(Values!A198,Creation_BP!A:A,0)+1)</f>
        <v>#N/A</v>
      </c>
      <c r="J198" s="144" t="e">
        <f t="shared" si="66"/>
        <v>#N/A</v>
      </c>
      <c r="K198" s="130" t="e">
        <f t="shared" si="69"/>
        <v>#N/A</v>
      </c>
      <c r="M198" s="145"/>
      <c r="P198" s="146" t="e">
        <f>VLOOKUP(A198,Creation_XP!$A$112:$AY$911,14,0)</f>
        <v>#N/A</v>
      </c>
      <c r="Q198" s="130" t="e">
        <f>INDEX(Creation_XP!B:B,MATCH(Values!A198,Creation_XP!A:A,0)+1)</f>
        <v>#N/A</v>
      </c>
      <c r="S198" s="144" t="e">
        <f t="shared" si="67"/>
        <v>#N/A</v>
      </c>
      <c r="T198" s="130" t="e">
        <f t="shared" si="70"/>
        <v>#N/A</v>
      </c>
      <c r="V198" s="130"/>
      <c r="W198" s="147" t="str">
        <f t="shared" si="68"/>
        <v/>
      </c>
      <c r="X198" s="149" t="e">
        <f t="shared" si="71"/>
        <v>#N/A</v>
      </c>
      <c r="Y198" s="149"/>
      <c r="Z198" s="150">
        <f>IFERROR((P198&lt;&gt;X198)*(10-2*AB198)+OR(AA198="Spell",AA198="Evocation")*COUNTIF(Exalt_DB:Exalt_DBJH,$S$6)*2*(P198&lt;&gt;X198),0)</f>
        <v>0</v>
      </c>
      <c r="AA198" s="129" t="e">
        <f>VLOOKUP(A198,Creation_XP!A170:AY269,2,0)</f>
        <v>#N/A</v>
      </c>
      <c r="AB198" s="18" t="b">
        <f t="shared" si="72"/>
        <v>0</v>
      </c>
    </row>
    <row r="199" spans="1:28">
      <c r="A199" s="179">
        <f t="shared" si="73"/>
        <v>60</v>
      </c>
      <c r="B199" s="129" t="s">
        <v>3297</v>
      </c>
      <c r="D199" s="144" t="e">
        <f>IF(VLOOKUP(A199,Creation_1!$A$118:$AY$967,14,0)=0,"",VLOOKUP(A199,Creation_1!$A$118:$AY$967,14,0))</f>
        <v>#N/A</v>
      </c>
      <c r="G199" s="143" t="e">
        <f>VLOOKUP(A199,Creation_BP!$A$118:$AY$967,14,0)</f>
        <v>#N/A</v>
      </c>
      <c r="H199" s="130" t="e">
        <f>INDEX(Creation_BP!B:B,MATCH(Values!A199,Creation_BP!A:A,0)+1)</f>
        <v>#N/A</v>
      </c>
      <c r="J199" s="144" t="e">
        <f t="shared" si="66"/>
        <v>#N/A</v>
      </c>
      <c r="K199" s="130" t="e">
        <f t="shared" si="69"/>
        <v>#N/A</v>
      </c>
      <c r="M199" s="145"/>
      <c r="P199" s="146" t="e">
        <f>VLOOKUP(A199,Creation_XP!$A$112:$AY$911,14,0)</f>
        <v>#N/A</v>
      </c>
      <c r="Q199" s="130" t="e">
        <f>INDEX(Creation_XP!B:B,MATCH(Values!A199,Creation_XP!A:A,0)+1)</f>
        <v>#N/A</v>
      </c>
      <c r="S199" s="144" t="e">
        <f t="shared" si="67"/>
        <v>#N/A</v>
      </c>
      <c r="T199" s="130" t="e">
        <f t="shared" si="70"/>
        <v>#N/A</v>
      </c>
      <c r="V199" s="130"/>
      <c r="W199" s="147" t="str">
        <f t="shared" si="68"/>
        <v/>
      </c>
      <c r="X199" s="149" t="e">
        <f t="shared" si="71"/>
        <v>#N/A</v>
      </c>
      <c r="Y199" s="149"/>
      <c r="Z199" s="150">
        <f>IFERROR((P199&lt;&gt;X199)*(10-2*AB199)+OR(AA199="Spell",AA199="Evocation")*COUNTIF(Exalt_DB:Exalt_DBJH,$S$6)*2*(P199&lt;&gt;X199),0)</f>
        <v>0</v>
      </c>
      <c r="AA199" s="129" t="e">
        <f>VLOOKUP(A199,Creation_XP!A171:AY270,2,0)</f>
        <v>#N/A</v>
      </c>
      <c r="AB199" s="18" t="b">
        <f t="shared" si="72"/>
        <v>0</v>
      </c>
    </row>
    <row r="200" spans="1:28">
      <c r="A200" s="179">
        <f t="shared" si="73"/>
        <v>61</v>
      </c>
      <c r="B200" s="129" t="s">
        <v>3297</v>
      </c>
      <c r="D200" s="144" t="e">
        <f>IF(VLOOKUP(A200,Creation_1!$A$118:$AY$967,14,0)=0,"",VLOOKUP(A200,Creation_1!$A$118:$AY$967,14,0))</f>
        <v>#N/A</v>
      </c>
      <c r="G200" s="143" t="e">
        <f>VLOOKUP(A200,Creation_BP!$A$118:$AY$967,14,0)</f>
        <v>#N/A</v>
      </c>
      <c r="H200" s="130" t="e">
        <f>INDEX(Creation_BP!B:B,MATCH(Values!A200,Creation_BP!A:A,0)+1)</f>
        <v>#N/A</v>
      </c>
      <c r="J200" s="144" t="e">
        <f t="shared" si="66"/>
        <v>#N/A</v>
      </c>
      <c r="K200" s="130" t="e">
        <f t="shared" si="69"/>
        <v>#N/A</v>
      </c>
      <c r="M200" s="145"/>
      <c r="P200" s="146" t="e">
        <f>VLOOKUP(A200,Creation_XP!$A$112:$AY$911,14,0)</f>
        <v>#N/A</v>
      </c>
      <c r="Q200" s="130" t="e">
        <f>INDEX(Creation_XP!B:B,MATCH(Values!A200,Creation_XP!A:A,0)+1)</f>
        <v>#N/A</v>
      </c>
      <c r="S200" s="144" t="e">
        <f t="shared" si="67"/>
        <v>#N/A</v>
      </c>
      <c r="T200" s="130" t="e">
        <f t="shared" si="70"/>
        <v>#N/A</v>
      </c>
      <c r="V200" s="130"/>
      <c r="W200" s="147" t="str">
        <f t="shared" si="68"/>
        <v/>
      </c>
      <c r="X200" s="149" t="e">
        <f t="shared" si="71"/>
        <v>#N/A</v>
      </c>
      <c r="Y200" s="149"/>
      <c r="Z200" s="150">
        <f>IFERROR((P200&lt;&gt;X200)*(10-2*AB200)+OR(AA200="Spell",AA200="Evocation")*COUNTIF(Exalt_DB:Exalt_DBJH,$S$6)*2*(P200&lt;&gt;X200),0)</f>
        <v>0</v>
      </c>
      <c r="AA200" s="129" t="e">
        <f>VLOOKUP(A200,Creation_XP!A172:AY271,2,0)</f>
        <v>#N/A</v>
      </c>
      <c r="AB200" s="18" t="b">
        <f t="shared" si="72"/>
        <v>0</v>
      </c>
    </row>
    <row r="201" spans="1:28">
      <c r="A201" s="179">
        <f t="shared" si="73"/>
        <v>62</v>
      </c>
      <c r="B201" s="129" t="s">
        <v>3297</v>
      </c>
      <c r="D201" s="144" t="e">
        <f>IF(VLOOKUP(A201,Creation_1!$A$118:$AY$967,14,0)=0,"",VLOOKUP(A201,Creation_1!$A$118:$AY$967,14,0))</f>
        <v>#N/A</v>
      </c>
      <c r="G201" s="143" t="e">
        <f>VLOOKUP(A201,Creation_BP!$A$118:$AY$967,14,0)</f>
        <v>#N/A</v>
      </c>
      <c r="H201" s="130" t="e">
        <f>INDEX(Creation_BP!B:B,MATCH(Values!A201,Creation_BP!A:A,0)+1)</f>
        <v>#N/A</v>
      </c>
      <c r="J201" s="144" t="e">
        <f t="shared" si="66"/>
        <v>#N/A</v>
      </c>
      <c r="K201" s="130" t="e">
        <f t="shared" si="69"/>
        <v>#N/A</v>
      </c>
      <c r="M201" s="145"/>
      <c r="P201" s="146" t="e">
        <f>VLOOKUP(A201,Creation_XP!$A$112:$AY$911,14,0)</f>
        <v>#N/A</v>
      </c>
      <c r="Q201" s="130" t="e">
        <f>INDEX(Creation_XP!B:B,MATCH(Values!A201,Creation_XP!A:A,0)+1)</f>
        <v>#N/A</v>
      </c>
      <c r="S201" s="144" t="e">
        <f t="shared" si="67"/>
        <v>#N/A</v>
      </c>
      <c r="T201" s="130" t="e">
        <f t="shared" si="70"/>
        <v>#N/A</v>
      </c>
      <c r="V201" s="130"/>
      <c r="W201" s="147" t="str">
        <f t="shared" si="68"/>
        <v/>
      </c>
      <c r="X201" s="149" t="e">
        <f t="shared" si="71"/>
        <v>#N/A</v>
      </c>
      <c r="Y201" s="149"/>
      <c r="Z201" s="150">
        <f>IFERROR((P201&lt;&gt;X201)*(10-2*AB201)+OR(AA201="Spell",AA201="Evocation")*COUNTIF(Exalt_DB:Exalt_DBJH,$S$6)*2*(P201&lt;&gt;X201),0)</f>
        <v>0</v>
      </c>
      <c r="AA201" s="129" t="e">
        <f>VLOOKUP(A201,Creation_XP!A173:AY272,2,0)</f>
        <v>#N/A</v>
      </c>
      <c r="AB201" s="18" t="b">
        <f t="shared" si="72"/>
        <v>0</v>
      </c>
    </row>
    <row r="202" spans="1:28">
      <c r="A202" s="179">
        <f t="shared" si="73"/>
        <v>63</v>
      </c>
      <c r="B202" s="129" t="s">
        <v>3297</v>
      </c>
      <c r="D202" s="144" t="e">
        <f>IF(VLOOKUP(A202,Creation_1!$A$118:$AY$967,14,0)=0,"",VLOOKUP(A202,Creation_1!$A$118:$AY$967,14,0))</f>
        <v>#N/A</v>
      </c>
      <c r="G202" s="143" t="e">
        <f>VLOOKUP(A202,Creation_BP!$A$118:$AY$967,14,0)</f>
        <v>#N/A</v>
      </c>
      <c r="H202" s="130" t="e">
        <f>INDEX(Creation_BP!B:B,MATCH(Values!A202,Creation_BP!A:A,0)+1)</f>
        <v>#N/A</v>
      </c>
      <c r="J202" s="144" t="e">
        <f t="shared" si="66"/>
        <v>#N/A</v>
      </c>
      <c r="K202" s="130" t="e">
        <f t="shared" si="69"/>
        <v>#N/A</v>
      </c>
      <c r="M202" s="145"/>
      <c r="P202" s="146" t="e">
        <f>VLOOKUP(A202,Creation_XP!$A$112:$AY$911,14,0)</f>
        <v>#N/A</v>
      </c>
      <c r="Q202" s="130" t="e">
        <f>INDEX(Creation_XP!B:B,MATCH(Values!A202,Creation_XP!A:A,0)+1)</f>
        <v>#N/A</v>
      </c>
      <c r="S202" s="144" t="e">
        <f t="shared" si="67"/>
        <v>#N/A</v>
      </c>
      <c r="T202" s="130" t="e">
        <f t="shared" si="70"/>
        <v>#N/A</v>
      </c>
      <c r="V202" s="130"/>
      <c r="W202" s="147" t="str">
        <f t="shared" si="68"/>
        <v/>
      </c>
      <c r="X202" s="149" t="e">
        <f t="shared" si="71"/>
        <v>#N/A</v>
      </c>
      <c r="Y202" s="149"/>
      <c r="Z202" s="150">
        <f>IFERROR((P202&lt;&gt;X202)*(10-2*AB202)+OR(AA202="Spell",AA202="Evocation")*COUNTIF(Exalt_DB:Exalt_DBJH,$S$6)*2*(P202&lt;&gt;X202),0)</f>
        <v>0</v>
      </c>
      <c r="AA202" s="129" t="e">
        <f>VLOOKUP(A202,Creation_XP!A174:AY273,2,0)</f>
        <v>#N/A</v>
      </c>
      <c r="AB202" s="18" t="b">
        <f t="shared" si="72"/>
        <v>0</v>
      </c>
    </row>
    <row r="203" spans="1:28">
      <c r="A203" s="179">
        <f t="shared" si="73"/>
        <v>64</v>
      </c>
      <c r="B203" s="129" t="s">
        <v>3297</v>
      </c>
      <c r="D203" s="144" t="e">
        <f>IF(VLOOKUP(A203,Creation_1!$A$118:$AY$967,14,0)=0,"",VLOOKUP(A203,Creation_1!$A$118:$AY$967,14,0))</f>
        <v>#N/A</v>
      </c>
      <c r="G203" s="143" t="e">
        <f>VLOOKUP(A203,Creation_BP!$A$118:$AY$967,14,0)</f>
        <v>#N/A</v>
      </c>
      <c r="H203" s="130" t="e">
        <f>INDEX(Creation_BP!B:B,MATCH(Values!A203,Creation_BP!A:A,0)+1)</f>
        <v>#N/A</v>
      </c>
      <c r="J203" s="144" t="e">
        <f t="shared" si="66"/>
        <v>#N/A</v>
      </c>
      <c r="K203" s="130" t="e">
        <f t="shared" si="69"/>
        <v>#N/A</v>
      </c>
      <c r="M203" s="145"/>
      <c r="P203" s="146" t="e">
        <f>VLOOKUP(A203,Creation_XP!$A$112:$AY$911,14,0)</f>
        <v>#N/A</v>
      </c>
      <c r="Q203" s="130" t="e">
        <f>INDEX(Creation_XP!B:B,MATCH(Values!A203,Creation_XP!A:A,0)+1)</f>
        <v>#N/A</v>
      </c>
      <c r="S203" s="144" t="e">
        <f t="shared" si="67"/>
        <v>#N/A</v>
      </c>
      <c r="T203" s="130" t="e">
        <f t="shared" si="70"/>
        <v>#N/A</v>
      </c>
      <c r="V203" s="130"/>
      <c r="W203" s="147" t="str">
        <f t="shared" si="68"/>
        <v/>
      </c>
      <c r="X203" s="149" t="e">
        <f t="shared" si="71"/>
        <v>#N/A</v>
      </c>
      <c r="Y203" s="149"/>
      <c r="Z203" s="150">
        <f>IFERROR((P203&lt;&gt;X203)*(10-2*AB203)+OR(AA203="Spell",AA203="Evocation")*COUNTIF(Exalt_DB:Exalt_DBJH,$S$6)*2*(P203&lt;&gt;X203),0)</f>
        <v>0</v>
      </c>
      <c r="AA203" s="129" t="e">
        <f>VLOOKUP(A203,Creation_XP!A175:AY274,2,0)</f>
        <v>#N/A</v>
      </c>
      <c r="AB203" s="18" t="b">
        <f t="shared" si="72"/>
        <v>0</v>
      </c>
    </row>
    <row r="204" spans="1:28">
      <c r="A204" s="179">
        <f t="shared" si="73"/>
        <v>65</v>
      </c>
      <c r="B204" s="129" t="s">
        <v>3297</v>
      </c>
      <c r="D204" s="144" t="e">
        <f>IF(VLOOKUP(A204,Creation_1!$A$118:$AY$967,14,0)=0,"",VLOOKUP(A204,Creation_1!$A$118:$AY$967,14,0))</f>
        <v>#N/A</v>
      </c>
      <c r="G204" s="143" t="e">
        <f>VLOOKUP(A204,Creation_BP!$A$118:$AY$967,14,0)</f>
        <v>#N/A</v>
      </c>
      <c r="H204" s="130" t="e">
        <f>INDEX(Creation_BP!B:B,MATCH(Values!A204,Creation_BP!A:A,0)+1)</f>
        <v>#N/A</v>
      </c>
      <c r="J204" s="144" t="e">
        <f t="shared" ref="J204:J239" si="74">G204</f>
        <v>#N/A</v>
      </c>
      <c r="K204" s="130" t="e">
        <f t="shared" si="69"/>
        <v>#N/A</v>
      </c>
      <c r="M204" s="145"/>
      <c r="P204" s="146" t="e">
        <f>VLOOKUP(A204,Creation_XP!$A$112:$AY$911,14,0)</f>
        <v>#N/A</v>
      </c>
      <c r="Q204" s="130" t="e">
        <f>INDEX(Creation_XP!B:B,MATCH(Values!A204,Creation_XP!A:A,0)+1)</f>
        <v>#N/A</v>
      </c>
      <c r="S204" s="144" t="e">
        <f t="shared" si="67"/>
        <v>#N/A</v>
      </c>
      <c r="T204" s="130" t="e">
        <f t="shared" si="70"/>
        <v>#N/A</v>
      </c>
      <c r="V204" s="130"/>
      <c r="W204" s="147" t="str">
        <f t="shared" ref="W204:W238" si="75">IFERROR(IF(G204&lt;&gt;D204,5-AB204,0),"")</f>
        <v/>
      </c>
      <c r="X204" s="149" t="e">
        <f t="shared" si="71"/>
        <v>#N/A</v>
      </c>
      <c r="Y204" s="149"/>
      <c r="Z204" s="150">
        <f>IFERROR((P204&lt;&gt;X204)*(10-2*AB204)+OR(AA204="Spell",AA204="Evocation")*COUNTIF(Exalt_DB:Exalt_DBJH,$S$6)*2*(P204&lt;&gt;X204),0)</f>
        <v>0</v>
      </c>
      <c r="AA204" s="129" t="e">
        <f>VLOOKUP(A204,Creation_XP!A176:AY275,2,0)</f>
        <v>#N/A</v>
      </c>
      <c r="AB204" s="18" t="b">
        <f t="shared" si="72"/>
        <v>0</v>
      </c>
    </row>
    <row r="205" spans="1:28">
      <c r="A205" s="179">
        <f t="shared" si="73"/>
        <v>66</v>
      </c>
      <c r="B205" s="129" t="s">
        <v>3297</v>
      </c>
      <c r="D205" s="144" t="e">
        <f>IF(VLOOKUP(A205,Creation_1!$A$118:$AY$967,14,0)=0,"",VLOOKUP(A205,Creation_1!$A$118:$AY$967,14,0))</f>
        <v>#N/A</v>
      </c>
      <c r="G205" s="143" t="e">
        <f>VLOOKUP(A205,Creation_BP!$A$118:$AY$967,14,0)</f>
        <v>#N/A</v>
      </c>
      <c r="H205" s="130" t="e">
        <f>INDEX(Creation_BP!B:B,MATCH(Values!A205,Creation_BP!A:A,0)+1)</f>
        <v>#N/A</v>
      </c>
      <c r="J205" s="144" t="e">
        <f t="shared" si="74"/>
        <v>#N/A</v>
      </c>
      <c r="K205" s="130" t="e">
        <f t="shared" ref="K205:K239" si="76">H205</f>
        <v>#N/A</v>
      </c>
      <c r="M205" s="145"/>
      <c r="P205" s="146" t="e">
        <f>VLOOKUP(A205,Creation_XP!$A$112:$AY$911,14,0)</f>
        <v>#N/A</v>
      </c>
      <c r="Q205" s="130" t="e">
        <f>INDEX(Creation_XP!B:B,MATCH(Values!A205,Creation_XP!A:A,0)+1)</f>
        <v>#N/A</v>
      </c>
      <c r="S205" s="144" t="e">
        <f t="shared" ref="S205:S239" si="77">P205</f>
        <v>#N/A</v>
      </c>
      <c r="T205" s="130" t="e">
        <f t="shared" ref="T205:T239" si="78">Q205</f>
        <v>#N/A</v>
      </c>
      <c r="V205" s="130"/>
      <c r="W205" s="147" t="str">
        <f t="shared" si="75"/>
        <v/>
      </c>
      <c r="X205" s="149" t="e">
        <f t="shared" ref="X205:X239" si="79">IF(ISBLANK(M205),J205,M205)</f>
        <v>#N/A</v>
      </c>
      <c r="Y205" s="149"/>
      <c r="Z205" s="150">
        <f>IFERROR((P205&lt;&gt;X205)*(10-2*AB205)+OR(AA205="Spell",AA205="Evocation")*COUNTIF(Exalt_DB:Exalt_DBJH,$S$6)*2*(P205&lt;&gt;X205),0)</f>
        <v>0</v>
      </c>
      <c r="AA205" s="129" t="e">
        <f>VLOOKUP(A205,Creation_XP!A177:AY276,2,0)</f>
        <v>#N/A</v>
      </c>
      <c r="AB205" s="18" t="b">
        <f t="shared" ref="AB205:AB239" si="80">OR(IFERROR(AND(VLOOKUP(AA205,$A$24:$T$58,20,0)&lt;&gt;0,VLOOKUP(AA205,$A$24:$T$58,20,0)&lt;&gt;""),FALSE),IFERROR(AND(VLOOKUP(AA205,$A$11:$U$21,21,0)&lt;&gt;0,VLOOKUP(AA205,$A$11:$U$21,21,0)&lt;&gt;""),FALSE))</f>
        <v>0</v>
      </c>
    </row>
    <row r="206" spans="1:28">
      <c r="A206" s="179">
        <f t="shared" ref="A206:A239" si="81">A205+1</f>
        <v>67</v>
      </c>
      <c r="B206" s="129" t="s">
        <v>3297</v>
      </c>
      <c r="D206" s="144" t="e">
        <f>IF(VLOOKUP(A206,Creation_1!$A$118:$AY$967,14,0)=0,"",VLOOKUP(A206,Creation_1!$A$118:$AY$967,14,0))</f>
        <v>#N/A</v>
      </c>
      <c r="G206" s="143" t="e">
        <f>VLOOKUP(A206,Creation_BP!$A$118:$AY$967,14,0)</f>
        <v>#N/A</v>
      </c>
      <c r="H206" s="130" t="e">
        <f>INDEX(Creation_BP!B:B,MATCH(Values!A206,Creation_BP!A:A,0)+1)</f>
        <v>#N/A</v>
      </c>
      <c r="J206" s="144" t="e">
        <f t="shared" si="74"/>
        <v>#N/A</v>
      </c>
      <c r="K206" s="130" t="e">
        <f t="shared" si="76"/>
        <v>#N/A</v>
      </c>
      <c r="M206" s="145"/>
      <c r="P206" s="146" t="e">
        <f>VLOOKUP(A206,Creation_XP!$A$112:$AY$911,14,0)</f>
        <v>#N/A</v>
      </c>
      <c r="Q206" s="130" t="e">
        <f>INDEX(Creation_XP!B:B,MATCH(Values!A206,Creation_XP!A:A,0)+1)</f>
        <v>#N/A</v>
      </c>
      <c r="S206" s="144" t="e">
        <f t="shared" si="77"/>
        <v>#N/A</v>
      </c>
      <c r="T206" s="130" t="e">
        <f t="shared" si="78"/>
        <v>#N/A</v>
      </c>
      <c r="V206" s="130"/>
      <c r="W206" s="147" t="str">
        <f t="shared" si="75"/>
        <v/>
      </c>
      <c r="X206" s="149" t="e">
        <f t="shared" si="79"/>
        <v>#N/A</v>
      </c>
      <c r="Y206" s="149"/>
      <c r="Z206" s="150">
        <f>IFERROR((P206&lt;&gt;X206)*(10-2*AB206)+OR(AA206="Spell",AA206="Evocation")*COUNTIF(Exalt_DB:Exalt_DBJH,$S$6)*2*(P206&lt;&gt;X206),0)</f>
        <v>0</v>
      </c>
      <c r="AA206" s="129" t="e">
        <f>VLOOKUP(A206,Creation_XP!A178:AY277,2,0)</f>
        <v>#N/A</v>
      </c>
      <c r="AB206" s="18" t="b">
        <f t="shared" si="80"/>
        <v>0</v>
      </c>
    </row>
    <row r="207" spans="1:28">
      <c r="A207" s="179">
        <f t="shared" si="81"/>
        <v>68</v>
      </c>
      <c r="B207" s="129" t="s">
        <v>3297</v>
      </c>
      <c r="D207" s="144" t="e">
        <f>IF(VLOOKUP(A207,Creation_1!$A$118:$AY$967,14,0)=0,"",VLOOKUP(A207,Creation_1!$A$118:$AY$967,14,0))</f>
        <v>#N/A</v>
      </c>
      <c r="G207" s="143" t="e">
        <f>VLOOKUP(A207,Creation_BP!$A$118:$AY$967,14,0)</f>
        <v>#N/A</v>
      </c>
      <c r="H207" s="130" t="e">
        <f>INDEX(Creation_BP!B:B,MATCH(Values!A207,Creation_BP!A:A,0)+1)</f>
        <v>#N/A</v>
      </c>
      <c r="J207" s="144" t="e">
        <f t="shared" si="74"/>
        <v>#N/A</v>
      </c>
      <c r="K207" s="130" t="e">
        <f t="shared" si="76"/>
        <v>#N/A</v>
      </c>
      <c r="M207" s="145"/>
      <c r="P207" s="146" t="e">
        <f>VLOOKUP(A207,Creation_XP!$A$112:$AY$911,14,0)</f>
        <v>#N/A</v>
      </c>
      <c r="Q207" s="130" t="e">
        <f>INDEX(Creation_XP!B:B,MATCH(Values!A207,Creation_XP!A:A,0)+1)</f>
        <v>#N/A</v>
      </c>
      <c r="S207" s="144" t="e">
        <f t="shared" si="77"/>
        <v>#N/A</v>
      </c>
      <c r="T207" s="130" t="e">
        <f t="shared" si="78"/>
        <v>#N/A</v>
      </c>
      <c r="V207" s="130"/>
      <c r="W207" s="147" t="str">
        <f t="shared" si="75"/>
        <v/>
      </c>
      <c r="X207" s="149" t="e">
        <f t="shared" si="79"/>
        <v>#N/A</v>
      </c>
      <c r="Y207" s="149"/>
      <c r="Z207" s="150">
        <f>IFERROR((P207&lt;&gt;X207)*(10-2*AB207)+OR(AA207="Spell",AA207="Evocation")*COUNTIF(Exalt_DB:Exalt_DBJH,$S$6)*2*(P207&lt;&gt;X207),0)</f>
        <v>0</v>
      </c>
      <c r="AA207" s="129" t="e">
        <f>VLOOKUP(A207,Creation_XP!A179:AY278,2,0)</f>
        <v>#N/A</v>
      </c>
      <c r="AB207" s="18" t="b">
        <f t="shared" si="80"/>
        <v>0</v>
      </c>
    </row>
    <row r="208" spans="1:28">
      <c r="A208" s="179">
        <f t="shared" si="81"/>
        <v>69</v>
      </c>
      <c r="B208" s="129" t="s">
        <v>3297</v>
      </c>
      <c r="D208" s="144" t="e">
        <f>IF(VLOOKUP(A208,Creation_1!$A$118:$AY$967,14,0)=0,"",VLOOKUP(A208,Creation_1!$A$118:$AY$967,14,0))</f>
        <v>#N/A</v>
      </c>
      <c r="G208" s="143" t="e">
        <f>VLOOKUP(A208,Creation_BP!$A$118:$AY$967,14,0)</f>
        <v>#N/A</v>
      </c>
      <c r="H208" s="130" t="e">
        <f>INDEX(Creation_BP!B:B,MATCH(Values!A208,Creation_BP!A:A,0)+1)</f>
        <v>#N/A</v>
      </c>
      <c r="J208" s="144" t="e">
        <f t="shared" si="74"/>
        <v>#N/A</v>
      </c>
      <c r="K208" s="130" t="e">
        <f t="shared" si="76"/>
        <v>#N/A</v>
      </c>
      <c r="M208" s="145"/>
      <c r="P208" s="146" t="e">
        <f>VLOOKUP(A208,Creation_XP!$A$112:$AY$911,14,0)</f>
        <v>#N/A</v>
      </c>
      <c r="Q208" s="130" t="e">
        <f>INDEX(Creation_XP!B:B,MATCH(Values!A208,Creation_XP!A:A,0)+1)</f>
        <v>#N/A</v>
      </c>
      <c r="S208" s="144" t="e">
        <f t="shared" si="77"/>
        <v>#N/A</v>
      </c>
      <c r="T208" s="130" t="e">
        <f t="shared" si="78"/>
        <v>#N/A</v>
      </c>
      <c r="V208" s="130"/>
      <c r="W208" s="147" t="str">
        <f t="shared" si="75"/>
        <v/>
      </c>
      <c r="X208" s="149" t="e">
        <f t="shared" si="79"/>
        <v>#N/A</v>
      </c>
      <c r="Y208" s="149"/>
      <c r="Z208" s="150">
        <f>IFERROR((P208&lt;&gt;X208)*(10-2*AB208)+OR(AA208="Spell",AA208="Evocation")*COUNTIF(Exalt_DB:Exalt_DBJH,$S$6)*2*(P208&lt;&gt;X208),0)</f>
        <v>0</v>
      </c>
      <c r="AA208" s="129" t="e">
        <f>VLOOKUP(A208,Creation_XP!A180:AY279,2,0)</f>
        <v>#N/A</v>
      </c>
      <c r="AB208" s="18" t="b">
        <f t="shared" si="80"/>
        <v>0</v>
      </c>
    </row>
    <row r="209" spans="1:28">
      <c r="A209" s="179">
        <f t="shared" si="81"/>
        <v>70</v>
      </c>
      <c r="B209" s="129" t="s">
        <v>3297</v>
      </c>
      <c r="D209" s="144" t="e">
        <f>IF(VLOOKUP(A209,Creation_1!$A$118:$AY$967,14,0)=0,"",VLOOKUP(A209,Creation_1!$A$118:$AY$967,14,0))</f>
        <v>#N/A</v>
      </c>
      <c r="G209" s="143" t="e">
        <f>VLOOKUP(A209,Creation_BP!$A$118:$AY$967,14,0)</f>
        <v>#N/A</v>
      </c>
      <c r="H209" s="130" t="e">
        <f>INDEX(Creation_BP!B:B,MATCH(Values!A209,Creation_BP!A:A,0)+1)</f>
        <v>#N/A</v>
      </c>
      <c r="J209" s="144" t="e">
        <f t="shared" si="74"/>
        <v>#N/A</v>
      </c>
      <c r="K209" s="130" t="e">
        <f t="shared" si="76"/>
        <v>#N/A</v>
      </c>
      <c r="M209" s="145"/>
      <c r="P209" s="146" t="e">
        <f>VLOOKUP(A209,Creation_XP!$A$112:$AY$911,14,0)</f>
        <v>#N/A</v>
      </c>
      <c r="Q209" s="130" t="e">
        <f>INDEX(Creation_XP!B:B,MATCH(Values!A209,Creation_XP!A:A,0)+1)</f>
        <v>#N/A</v>
      </c>
      <c r="S209" s="144" t="e">
        <f t="shared" si="77"/>
        <v>#N/A</v>
      </c>
      <c r="T209" s="130" t="e">
        <f t="shared" si="78"/>
        <v>#N/A</v>
      </c>
      <c r="V209" s="130"/>
      <c r="W209" s="147" t="str">
        <f t="shared" si="75"/>
        <v/>
      </c>
      <c r="X209" s="149" t="e">
        <f t="shared" si="79"/>
        <v>#N/A</v>
      </c>
      <c r="Y209" s="149"/>
      <c r="Z209" s="150">
        <f>IFERROR((P209&lt;&gt;X209)*(10-2*AB209)+OR(AA209="Spell",AA209="Evocation")*COUNTIF(Exalt_DB:Exalt_DBJH,$S$6)*2*(P209&lt;&gt;X209),0)</f>
        <v>0</v>
      </c>
      <c r="AA209" s="129" t="e">
        <f>VLOOKUP(A209,Creation_XP!A181:AY280,2,0)</f>
        <v>#N/A</v>
      </c>
      <c r="AB209" s="18" t="b">
        <f t="shared" si="80"/>
        <v>0</v>
      </c>
    </row>
    <row r="210" spans="1:28">
      <c r="A210" s="179">
        <f t="shared" si="81"/>
        <v>71</v>
      </c>
      <c r="B210" s="129" t="s">
        <v>3297</v>
      </c>
      <c r="D210" s="144" t="e">
        <f>IF(VLOOKUP(A210,Creation_1!$A$118:$AY$967,14,0)=0,"",VLOOKUP(A210,Creation_1!$A$118:$AY$967,14,0))</f>
        <v>#N/A</v>
      </c>
      <c r="G210" s="143" t="e">
        <f>VLOOKUP(A210,Creation_BP!$A$118:$AY$967,14,0)</f>
        <v>#N/A</v>
      </c>
      <c r="H210" s="130" t="e">
        <f>INDEX(Creation_BP!B:B,MATCH(Values!A210,Creation_BP!A:A,0)+1)</f>
        <v>#N/A</v>
      </c>
      <c r="J210" s="144" t="e">
        <f t="shared" si="74"/>
        <v>#N/A</v>
      </c>
      <c r="K210" s="130" t="e">
        <f t="shared" si="76"/>
        <v>#N/A</v>
      </c>
      <c r="M210" s="145"/>
      <c r="P210" s="146" t="e">
        <f>VLOOKUP(A210,Creation_XP!$A$112:$AY$911,14,0)</f>
        <v>#N/A</v>
      </c>
      <c r="Q210" s="130" t="e">
        <f>INDEX(Creation_XP!B:B,MATCH(Values!A210,Creation_XP!A:A,0)+1)</f>
        <v>#N/A</v>
      </c>
      <c r="S210" s="144" t="e">
        <f t="shared" si="77"/>
        <v>#N/A</v>
      </c>
      <c r="T210" s="130" t="e">
        <f t="shared" si="78"/>
        <v>#N/A</v>
      </c>
      <c r="V210" s="130"/>
      <c r="W210" s="147" t="str">
        <f t="shared" si="75"/>
        <v/>
      </c>
      <c r="X210" s="149" t="e">
        <f t="shared" si="79"/>
        <v>#N/A</v>
      </c>
      <c r="Y210" s="149"/>
      <c r="Z210" s="150">
        <f>IFERROR((P210&lt;&gt;X210)*(10-2*AB210)+OR(AA210="Spell",AA210="Evocation")*COUNTIF(Exalt_DB:Exalt_DBJH,$S$6)*2*(P210&lt;&gt;X210),0)</f>
        <v>0</v>
      </c>
      <c r="AA210" s="129" t="e">
        <f>VLOOKUP(A210,Creation_XP!A182:AY281,2,0)</f>
        <v>#N/A</v>
      </c>
      <c r="AB210" s="18" t="b">
        <f t="shared" si="80"/>
        <v>0</v>
      </c>
    </row>
    <row r="211" spans="1:28">
      <c r="A211" s="179">
        <f t="shared" si="81"/>
        <v>72</v>
      </c>
      <c r="B211" s="129" t="s">
        <v>3297</v>
      </c>
      <c r="D211" s="144" t="e">
        <f>IF(VLOOKUP(A211,Creation_1!$A$118:$AY$967,14,0)=0,"",VLOOKUP(A211,Creation_1!$A$118:$AY$967,14,0))</f>
        <v>#N/A</v>
      </c>
      <c r="G211" s="143" t="e">
        <f>VLOOKUP(A211,Creation_BP!$A$118:$AY$967,14,0)</f>
        <v>#N/A</v>
      </c>
      <c r="H211" s="130" t="e">
        <f>INDEX(Creation_BP!B:B,MATCH(Values!A211,Creation_BP!A:A,0)+1)</f>
        <v>#N/A</v>
      </c>
      <c r="J211" s="144" t="e">
        <f t="shared" si="74"/>
        <v>#N/A</v>
      </c>
      <c r="K211" s="130" t="e">
        <f t="shared" si="76"/>
        <v>#N/A</v>
      </c>
      <c r="M211" s="145"/>
      <c r="P211" s="146" t="e">
        <f>VLOOKUP(A211,Creation_XP!$A$112:$AY$911,14,0)</f>
        <v>#N/A</v>
      </c>
      <c r="Q211" s="130" t="e">
        <f>INDEX(Creation_XP!B:B,MATCH(Values!A211,Creation_XP!A:A,0)+1)</f>
        <v>#N/A</v>
      </c>
      <c r="S211" s="144" t="e">
        <f t="shared" si="77"/>
        <v>#N/A</v>
      </c>
      <c r="T211" s="130" t="e">
        <f t="shared" si="78"/>
        <v>#N/A</v>
      </c>
      <c r="V211" s="130"/>
      <c r="W211" s="147" t="str">
        <f t="shared" si="75"/>
        <v/>
      </c>
      <c r="X211" s="149" t="e">
        <f t="shared" si="79"/>
        <v>#N/A</v>
      </c>
      <c r="Y211" s="149"/>
      <c r="Z211" s="150">
        <f>IFERROR((P211&lt;&gt;X211)*(10-2*AB211)+OR(AA211="Spell",AA211="Evocation")*COUNTIF(Exalt_DB:Exalt_DBJH,$S$6)*2*(P211&lt;&gt;X211),0)</f>
        <v>0</v>
      </c>
      <c r="AA211" s="129" t="e">
        <f>VLOOKUP(A211,Creation_XP!A183:AY282,2,0)</f>
        <v>#N/A</v>
      </c>
      <c r="AB211" s="18" t="b">
        <f t="shared" si="80"/>
        <v>0</v>
      </c>
    </row>
    <row r="212" spans="1:28">
      <c r="A212" s="179">
        <f t="shared" si="81"/>
        <v>73</v>
      </c>
      <c r="B212" s="129" t="s">
        <v>3297</v>
      </c>
      <c r="D212" s="144" t="e">
        <f>IF(VLOOKUP(A212,Creation_1!$A$118:$AY$967,14,0)=0,"",VLOOKUP(A212,Creation_1!$A$118:$AY$967,14,0))</f>
        <v>#N/A</v>
      </c>
      <c r="G212" s="143" t="e">
        <f>VLOOKUP(A212,Creation_BP!$A$118:$AY$967,14,0)</f>
        <v>#N/A</v>
      </c>
      <c r="H212" s="130" t="e">
        <f>INDEX(Creation_BP!B:B,MATCH(Values!A212,Creation_BP!A:A,0)+1)</f>
        <v>#N/A</v>
      </c>
      <c r="J212" s="144" t="e">
        <f t="shared" si="74"/>
        <v>#N/A</v>
      </c>
      <c r="K212" s="130" t="e">
        <f t="shared" si="76"/>
        <v>#N/A</v>
      </c>
      <c r="M212" s="145"/>
      <c r="P212" s="146" t="e">
        <f>VLOOKUP(A212,Creation_XP!$A$112:$AY$911,14,0)</f>
        <v>#N/A</v>
      </c>
      <c r="Q212" s="130" t="e">
        <f>INDEX(Creation_XP!B:B,MATCH(Values!A212,Creation_XP!A:A,0)+1)</f>
        <v>#N/A</v>
      </c>
      <c r="S212" s="144" t="e">
        <f t="shared" si="77"/>
        <v>#N/A</v>
      </c>
      <c r="T212" s="130" t="e">
        <f t="shared" si="78"/>
        <v>#N/A</v>
      </c>
      <c r="V212" s="130"/>
      <c r="W212" s="147" t="str">
        <f t="shared" si="75"/>
        <v/>
      </c>
      <c r="X212" s="149" t="e">
        <f t="shared" si="79"/>
        <v>#N/A</v>
      </c>
      <c r="Y212" s="149"/>
      <c r="Z212" s="150">
        <f>IFERROR((P212&lt;&gt;X212)*(10-2*AB212)+OR(AA212="Spell",AA212="Evocation")*COUNTIF(Exalt_DB:Exalt_DBJH,$S$6)*2*(P212&lt;&gt;X212),0)</f>
        <v>0</v>
      </c>
      <c r="AA212" s="129" t="e">
        <f>VLOOKUP(A212,Creation_XP!A184:AY283,2,0)</f>
        <v>#N/A</v>
      </c>
      <c r="AB212" s="18" t="b">
        <f t="shared" si="80"/>
        <v>0</v>
      </c>
    </row>
    <row r="213" spans="1:28">
      <c r="A213" s="179">
        <f t="shared" si="81"/>
        <v>74</v>
      </c>
      <c r="B213" s="129" t="s">
        <v>3297</v>
      </c>
      <c r="D213" s="144" t="e">
        <f>IF(VLOOKUP(A213,Creation_1!$A$118:$AY$967,14,0)=0,"",VLOOKUP(A213,Creation_1!$A$118:$AY$967,14,0))</f>
        <v>#N/A</v>
      </c>
      <c r="G213" s="143" t="e">
        <f>VLOOKUP(A213,Creation_BP!$A$118:$AY$967,14,0)</f>
        <v>#N/A</v>
      </c>
      <c r="H213" s="130" t="e">
        <f>INDEX(Creation_BP!B:B,MATCH(Values!A213,Creation_BP!A:A,0)+1)</f>
        <v>#N/A</v>
      </c>
      <c r="J213" s="144" t="e">
        <f t="shared" si="74"/>
        <v>#N/A</v>
      </c>
      <c r="K213" s="130" t="e">
        <f t="shared" si="76"/>
        <v>#N/A</v>
      </c>
      <c r="M213" s="145"/>
      <c r="P213" s="146" t="e">
        <f>VLOOKUP(A213,Creation_XP!$A$112:$AY$911,14,0)</f>
        <v>#N/A</v>
      </c>
      <c r="Q213" s="130" t="e">
        <f>INDEX(Creation_XP!B:B,MATCH(Values!A213,Creation_XP!A:A,0)+1)</f>
        <v>#N/A</v>
      </c>
      <c r="S213" s="144" t="e">
        <f t="shared" si="77"/>
        <v>#N/A</v>
      </c>
      <c r="T213" s="130" t="e">
        <f t="shared" si="78"/>
        <v>#N/A</v>
      </c>
      <c r="V213" s="130"/>
      <c r="W213" s="147" t="str">
        <f t="shared" si="75"/>
        <v/>
      </c>
      <c r="X213" s="149" t="e">
        <f t="shared" si="79"/>
        <v>#N/A</v>
      </c>
      <c r="Y213" s="149"/>
      <c r="Z213" s="150">
        <f>IFERROR((P213&lt;&gt;X213)*(10-2*AB213)+OR(AA213="Spell",AA213="Evocation")*COUNTIF(Exalt_DB:Exalt_DBJH,$S$6)*2*(P213&lt;&gt;X213),0)</f>
        <v>0</v>
      </c>
      <c r="AA213" s="129" t="e">
        <f>VLOOKUP(A213,Creation_XP!A185:AY284,2,0)</f>
        <v>#N/A</v>
      </c>
      <c r="AB213" s="18" t="b">
        <f t="shared" si="80"/>
        <v>0</v>
      </c>
    </row>
    <row r="214" spans="1:28">
      <c r="A214" s="179">
        <f t="shared" si="81"/>
        <v>75</v>
      </c>
      <c r="B214" s="129" t="s">
        <v>3297</v>
      </c>
      <c r="D214" s="144" t="e">
        <f>IF(VLOOKUP(A214,Creation_1!$A$118:$AY$967,14,0)=0,"",VLOOKUP(A214,Creation_1!$A$118:$AY$967,14,0))</f>
        <v>#N/A</v>
      </c>
      <c r="G214" s="143" t="e">
        <f>VLOOKUP(A214,Creation_BP!$A$118:$AY$967,14,0)</f>
        <v>#N/A</v>
      </c>
      <c r="H214" s="130" t="e">
        <f>INDEX(Creation_BP!B:B,MATCH(Values!A214,Creation_BP!A:A,0)+1)</f>
        <v>#N/A</v>
      </c>
      <c r="J214" s="144" t="e">
        <f t="shared" si="74"/>
        <v>#N/A</v>
      </c>
      <c r="K214" s="130" t="e">
        <f t="shared" si="76"/>
        <v>#N/A</v>
      </c>
      <c r="M214" s="145"/>
      <c r="P214" s="146" t="e">
        <f>VLOOKUP(A214,Creation_XP!$A$112:$AY$911,14,0)</f>
        <v>#N/A</v>
      </c>
      <c r="Q214" s="130" t="e">
        <f>INDEX(Creation_XP!B:B,MATCH(Values!A214,Creation_XP!A:A,0)+1)</f>
        <v>#N/A</v>
      </c>
      <c r="S214" s="144" t="e">
        <f t="shared" si="77"/>
        <v>#N/A</v>
      </c>
      <c r="T214" s="130" t="e">
        <f t="shared" si="78"/>
        <v>#N/A</v>
      </c>
      <c r="V214" s="130"/>
      <c r="W214" s="147" t="str">
        <f t="shared" si="75"/>
        <v/>
      </c>
      <c r="X214" s="149" t="e">
        <f t="shared" si="79"/>
        <v>#N/A</v>
      </c>
      <c r="Y214" s="149"/>
      <c r="Z214" s="150">
        <f>IFERROR((P214&lt;&gt;X214)*(10-2*AB214)+OR(AA214="Spell",AA214="Evocation")*COUNTIF(Exalt_DB:Exalt_DBJH,$S$6)*2*(P214&lt;&gt;X214),0)</f>
        <v>0</v>
      </c>
      <c r="AA214" s="129" t="e">
        <f>VLOOKUP(A214,Creation_XP!A186:AY285,2,0)</f>
        <v>#N/A</v>
      </c>
      <c r="AB214" s="18" t="b">
        <f t="shared" si="80"/>
        <v>0</v>
      </c>
    </row>
    <row r="215" spans="1:28">
      <c r="A215" s="179">
        <f t="shared" si="81"/>
        <v>76</v>
      </c>
      <c r="B215" s="129" t="s">
        <v>3297</v>
      </c>
      <c r="D215" s="144" t="e">
        <f>IF(VLOOKUP(A215,Creation_1!$A$118:$AY$967,14,0)=0,"",VLOOKUP(A215,Creation_1!$A$118:$AY$967,14,0))</f>
        <v>#N/A</v>
      </c>
      <c r="G215" s="143" t="e">
        <f>VLOOKUP(A215,Creation_BP!$A$118:$AY$967,14,0)</f>
        <v>#N/A</v>
      </c>
      <c r="H215" s="130" t="e">
        <f>INDEX(Creation_BP!B:B,MATCH(Values!A215,Creation_BP!A:A,0)+1)</f>
        <v>#N/A</v>
      </c>
      <c r="J215" s="144" t="e">
        <f t="shared" si="74"/>
        <v>#N/A</v>
      </c>
      <c r="K215" s="130" t="e">
        <f t="shared" si="76"/>
        <v>#N/A</v>
      </c>
      <c r="M215" s="145"/>
      <c r="P215" s="146" t="e">
        <f>VLOOKUP(A215,Creation_XP!$A$112:$AY$911,14,0)</f>
        <v>#N/A</v>
      </c>
      <c r="Q215" s="130" t="e">
        <f>INDEX(Creation_XP!B:B,MATCH(Values!A215,Creation_XP!A:A,0)+1)</f>
        <v>#N/A</v>
      </c>
      <c r="S215" s="144" t="e">
        <f t="shared" si="77"/>
        <v>#N/A</v>
      </c>
      <c r="T215" s="130" t="e">
        <f t="shared" si="78"/>
        <v>#N/A</v>
      </c>
      <c r="V215" s="130"/>
      <c r="W215" s="147" t="str">
        <f t="shared" si="75"/>
        <v/>
      </c>
      <c r="X215" s="149" t="e">
        <f t="shared" si="79"/>
        <v>#N/A</v>
      </c>
      <c r="Y215" s="149"/>
      <c r="Z215" s="150">
        <f>IFERROR((P215&lt;&gt;X215)*(10-2*AB215)+OR(AA215="Spell",AA215="Evocation")*COUNTIF(Exalt_DB:Exalt_DBJH,$S$6)*2*(P215&lt;&gt;X215),0)</f>
        <v>0</v>
      </c>
      <c r="AA215" s="129" t="e">
        <f>VLOOKUP(A215,Creation_XP!A187:AY286,2,0)</f>
        <v>#N/A</v>
      </c>
      <c r="AB215" s="18" t="b">
        <f t="shared" si="80"/>
        <v>0</v>
      </c>
    </row>
    <row r="216" spans="1:28">
      <c r="A216" s="179">
        <f t="shared" si="81"/>
        <v>77</v>
      </c>
      <c r="B216" s="129" t="s">
        <v>3297</v>
      </c>
      <c r="D216" s="144" t="e">
        <f>IF(VLOOKUP(A216,Creation_1!$A$118:$AY$967,14,0)=0,"",VLOOKUP(A216,Creation_1!$A$118:$AY$967,14,0))</f>
        <v>#N/A</v>
      </c>
      <c r="G216" s="143" t="e">
        <f>VLOOKUP(A216,Creation_BP!$A$118:$AY$967,14,0)</f>
        <v>#N/A</v>
      </c>
      <c r="H216" s="130" t="e">
        <f>INDEX(Creation_BP!B:B,MATCH(Values!A216,Creation_BP!A:A,0)+1)</f>
        <v>#N/A</v>
      </c>
      <c r="J216" s="144" t="e">
        <f t="shared" si="74"/>
        <v>#N/A</v>
      </c>
      <c r="K216" s="130" t="e">
        <f t="shared" si="76"/>
        <v>#N/A</v>
      </c>
      <c r="M216" s="145"/>
      <c r="P216" s="146" t="e">
        <f>VLOOKUP(A216,Creation_XP!$A$112:$AY$911,14,0)</f>
        <v>#N/A</v>
      </c>
      <c r="Q216" s="130" t="e">
        <f>INDEX(Creation_XP!B:B,MATCH(Values!A216,Creation_XP!A:A,0)+1)</f>
        <v>#N/A</v>
      </c>
      <c r="S216" s="144" t="e">
        <f t="shared" si="77"/>
        <v>#N/A</v>
      </c>
      <c r="T216" s="130" t="e">
        <f t="shared" si="78"/>
        <v>#N/A</v>
      </c>
      <c r="V216" s="130"/>
      <c r="W216" s="147" t="str">
        <f t="shared" si="75"/>
        <v/>
      </c>
      <c r="X216" s="149" t="e">
        <f t="shared" si="79"/>
        <v>#N/A</v>
      </c>
      <c r="Y216" s="149"/>
      <c r="Z216" s="150">
        <f>IFERROR((P216&lt;&gt;X216)*(10-2*AB216)+OR(AA216="Spell",AA216="Evocation")*COUNTIF(Exalt_DB:Exalt_DBJH,$S$6)*2*(P216&lt;&gt;X216),0)</f>
        <v>0</v>
      </c>
      <c r="AA216" s="129" t="e">
        <f>VLOOKUP(A216,Creation_XP!A188:AY287,2,0)</f>
        <v>#N/A</v>
      </c>
      <c r="AB216" s="18" t="b">
        <f t="shared" si="80"/>
        <v>0</v>
      </c>
    </row>
    <row r="217" spans="1:28">
      <c r="A217" s="179">
        <f t="shared" si="81"/>
        <v>78</v>
      </c>
      <c r="B217" s="129" t="s">
        <v>3297</v>
      </c>
      <c r="D217" s="144" t="e">
        <f>IF(VLOOKUP(A217,Creation_1!$A$118:$AY$967,14,0)=0,"",VLOOKUP(A217,Creation_1!$A$118:$AY$967,14,0))</f>
        <v>#N/A</v>
      </c>
      <c r="G217" s="143" t="e">
        <f>VLOOKUP(A217,Creation_BP!$A$118:$AY$967,14,0)</f>
        <v>#N/A</v>
      </c>
      <c r="H217" s="130" t="e">
        <f>INDEX(Creation_BP!B:B,MATCH(Values!A217,Creation_BP!A:A,0)+1)</f>
        <v>#N/A</v>
      </c>
      <c r="J217" s="144" t="e">
        <f t="shared" si="74"/>
        <v>#N/A</v>
      </c>
      <c r="K217" s="130" t="e">
        <f t="shared" si="76"/>
        <v>#N/A</v>
      </c>
      <c r="M217" s="145"/>
      <c r="P217" s="146" t="e">
        <f>VLOOKUP(A217,Creation_XP!$A$112:$AY$911,14,0)</f>
        <v>#N/A</v>
      </c>
      <c r="Q217" s="130" t="e">
        <f>INDEX(Creation_XP!B:B,MATCH(Values!A217,Creation_XP!A:A,0)+1)</f>
        <v>#N/A</v>
      </c>
      <c r="S217" s="144" t="e">
        <f t="shared" si="77"/>
        <v>#N/A</v>
      </c>
      <c r="T217" s="130" t="e">
        <f t="shared" si="78"/>
        <v>#N/A</v>
      </c>
      <c r="V217" s="130"/>
      <c r="W217" s="147" t="str">
        <f t="shared" si="75"/>
        <v/>
      </c>
      <c r="X217" s="149" t="e">
        <f t="shared" si="79"/>
        <v>#N/A</v>
      </c>
      <c r="Y217" s="149"/>
      <c r="Z217" s="150">
        <f>IFERROR((P217&lt;&gt;X217)*(10-2*AB217)+OR(AA217="Spell",AA217="Evocation")*COUNTIF(Exalt_DB:Exalt_DBJH,$S$6)*2*(P217&lt;&gt;X217),0)</f>
        <v>0</v>
      </c>
      <c r="AA217" s="129" t="e">
        <f>VLOOKUP(A217,Creation_XP!A189:AY288,2,0)</f>
        <v>#N/A</v>
      </c>
      <c r="AB217" s="18" t="b">
        <f t="shared" si="80"/>
        <v>0</v>
      </c>
    </row>
    <row r="218" spans="1:28">
      <c r="A218" s="179">
        <f t="shared" si="81"/>
        <v>79</v>
      </c>
      <c r="B218" s="129" t="s">
        <v>3297</v>
      </c>
      <c r="D218" s="144" t="e">
        <f>IF(VLOOKUP(A218,Creation_1!$A$118:$AY$967,14,0)=0,"",VLOOKUP(A218,Creation_1!$A$118:$AY$967,14,0))</f>
        <v>#N/A</v>
      </c>
      <c r="G218" s="143" t="e">
        <f>VLOOKUP(A218,Creation_BP!$A$118:$AY$967,14,0)</f>
        <v>#N/A</v>
      </c>
      <c r="H218" s="130" t="e">
        <f>INDEX(Creation_BP!B:B,MATCH(Values!A218,Creation_BP!A:A,0)+1)</f>
        <v>#N/A</v>
      </c>
      <c r="J218" s="144" t="e">
        <f t="shared" si="74"/>
        <v>#N/A</v>
      </c>
      <c r="K218" s="130" t="e">
        <f t="shared" si="76"/>
        <v>#N/A</v>
      </c>
      <c r="M218" s="145"/>
      <c r="P218" s="146" t="e">
        <f>VLOOKUP(A218,Creation_XP!$A$112:$AY$911,14,0)</f>
        <v>#N/A</v>
      </c>
      <c r="Q218" s="130" t="e">
        <f>INDEX(Creation_XP!B:B,MATCH(Values!A218,Creation_XP!A:A,0)+1)</f>
        <v>#N/A</v>
      </c>
      <c r="S218" s="144" t="e">
        <f t="shared" si="77"/>
        <v>#N/A</v>
      </c>
      <c r="T218" s="130" t="e">
        <f t="shared" si="78"/>
        <v>#N/A</v>
      </c>
      <c r="V218" s="130"/>
      <c r="W218" s="147" t="str">
        <f t="shared" si="75"/>
        <v/>
      </c>
      <c r="X218" s="149" t="e">
        <f t="shared" si="79"/>
        <v>#N/A</v>
      </c>
      <c r="Y218" s="149"/>
      <c r="Z218" s="150">
        <f>IFERROR((P218&lt;&gt;X218)*(10-2*AB218)+OR(AA218="Spell",AA218="Evocation")*COUNTIF(Exalt_DB:Exalt_DBJH,$S$6)*2*(P218&lt;&gt;X218),0)</f>
        <v>0</v>
      </c>
      <c r="AA218" s="129" t="e">
        <f>VLOOKUP(A218,Creation_XP!A190:AY289,2,0)</f>
        <v>#N/A</v>
      </c>
      <c r="AB218" s="18" t="b">
        <f t="shared" si="80"/>
        <v>0</v>
      </c>
    </row>
    <row r="219" spans="1:28">
      <c r="A219" s="179">
        <f t="shared" si="81"/>
        <v>80</v>
      </c>
      <c r="B219" s="129" t="s">
        <v>3297</v>
      </c>
      <c r="D219" s="144" t="e">
        <f>IF(VLOOKUP(A219,Creation_1!$A$118:$AY$967,14,0)=0,"",VLOOKUP(A219,Creation_1!$A$118:$AY$967,14,0))</f>
        <v>#N/A</v>
      </c>
      <c r="G219" s="143" t="e">
        <f>VLOOKUP(A219,Creation_BP!$A$118:$AY$967,14,0)</f>
        <v>#N/A</v>
      </c>
      <c r="H219" s="130" t="e">
        <f>INDEX(Creation_BP!B:B,MATCH(Values!A219,Creation_BP!A:A,0)+1)</f>
        <v>#N/A</v>
      </c>
      <c r="J219" s="144" t="e">
        <f t="shared" si="74"/>
        <v>#N/A</v>
      </c>
      <c r="K219" s="130" t="e">
        <f t="shared" si="76"/>
        <v>#N/A</v>
      </c>
      <c r="M219" s="145"/>
      <c r="P219" s="146" t="e">
        <f>VLOOKUP(A219,Creation_XP!$A$112:$AY$911,14,0)</f>
        <v>#N/A</v>
      </c>
      <c r="Q219" s="130" t="e">
        <f>INDEX(Creation_XP!B:B,MATCH(Values!A219,Creation_XP!A:A,0)+1)</f>
        <v>#N/A</v>
      </c>
      <c r="S219" s="144" t="e">
        <f t="shared" si="77"/>
        <v>#N/A</v>
      </c>
      <c r="T219" s="130" t="e">
        <f t="shared" si="78"/>
        <v>#N/A</v>
      </c>
      <c r="V219" s="130"/>
      <c r="W219" s="147" t="str">
        <f t="shared" si="75"/>
        <v/>
      </c>
      <c r="X219" s="149" t="e">
        <f t="shared" si="79"/>
        <v>#N/A</v>
      </c>
      <c r="Y219" s="149"/>
      <c r="Z219" s="150">
        <f>IFERROR((P219&lt;&gt;X219)*(10-2*AB219)+OR(AA219="Spell",AA219="Evocation")*COUNTIF(Exalt_DB:Exalt_DBJH,$S$6)*2*(P219&lt;&gt;X219),0)</f>
        <v>0</v>
      </c>
      <c r="AA219" s="129" t="e">
        <f>VLOOKUP(A219,Creation_XP!A191:AY290,2,0)</f>
        <v>#N/A</v>
      </c>
      <c r="AB219" s="18" t="b">
        <f t="shared" si="80"/>
        <v>0</v>
      </c>
    </row>
    <row r="220" spans="1:28">
      <c r="A220" s="179">
        <f t="shared" si="81"/>
        <v>81</v>
      </c>
      <c r="B220" s="129" t="s">
        <v>3297</v>
      </c>
      <c r="D220" s="144" t="e">
        <f>IF(VLOOKUP(A220,Creation_1!$A$118:$AY$967,14,0)=0,"",VLOOKUP(A220,Creation_1!$A$118:$AY$967,14,0))</f>
        <v>#N/A</v>
      </c>
      <c r="G220" s="143" t="e">
        <f>VLOOKUP(A220,Creation_BP!$A$118:$AY$967,14,0)</f>
        <v>#N/A</v>
      </c>
      <c r="H220" s="130" t="e">
        <f>INDEX(Creation_BP!B:B,MATCH(Values!A220,Creation_BP!A:A,0)+1)</f>
        <v>#N/A</v>
      </c>
      <c r="J220" s="144" t="e">
        <f t="shared" si="74"/>
        <v>#N/A</v>
      </c>
      <c r="K220" s="130" t="e">
        <f t="shared" si="76"/>
        <v>#N/A</v>
      </c>
      <c r="M220" s="145"/>
      <c r="P220" s="146" t="e">
        <f>VLOOKUP(A220,Creation_XP!$A$112:$AY$911,14,0)</f>
        <v>#N/A</v>
      </c>
      <c r="Q220" s="130" t="e">
        <f>INDEX(Creation_XP!B:B,MATCH(Values!A220,Creation_XP!A:A,0)+1)</f>
        <v>#N/A</v>
      </c>
      <c r="S220" s="144" t="e">
        <f t="shared" si="77"/>
        <v>#N/A</v>
      </c>
      <c r="T220" s="130" t="e">
        <f t="shared" si="78"/>
        <v>#N/A</v>
      </c>
      <c r="V220" s="130"/>
      <c r="W220" s="147" t="str">
        <f t="shared" si="75"/>
        <v/>
      </c>
      <c r="X220" s="149" t="e">
        <f t="shared" si="79"/>
        <v>#N/A</v>
      </c>
      <c r="Y220" s="149"/>
      <c r="Z220" s="150">
        <f>IFERROR((P220&lt;&gt;X220)*(10-2*AB220)+OR(AA220="Spell",AA220="Evocation")*COUNTIF(Exalt_DB:Exalt_DBJH,$S$6)*2*(P220&lt;&gt;X220),0)</f>
        <v>0</v>
      </c>
      <c r="AA220" s="129" t="e">
        <f>VLOOKUP(A220,Creation_XP!A192:AY291,2,0)</f>
        <v>#N/A</v>
      </c>
      <c r="AB220" s="18" t="b">
        <f t="shared" si="80"/>
        <v>0</v>
      </c>
    </row>
    <row r="221" spans="1:28">
      <c r="A221" s="179">
        <f t="shared" si="81"/>
        <v>82</v>
      </c>
      <c r="B221" s="129" t="s">
        <v>3297</v>
      </c>
      <c r="D221" s="144" t="e">
        <f>IF(VLOOKUP(A221,Creation_1!$A$118:$AY$967,14,0)=0,"",VLOOKUP(A221,Creation_1!$A$118:$AY$967,14,0))</f>
        <v>#N/A</v>
      </c>
      <c r="G221" s="143" t="e">
        <f>VLOOKUP(A221,Creation_BP!$A$118:$AY$967,14,0)</f>
        <v>#N/A</v>
      </c>
      <c r="H221" s="130" t="e">
        <f>INDEX(Creation_BP!B:B,MATCH(Values!A221,Creation_BP!A:A,0)+1)</f>
        <v>#N/A</v>
      </c>
      <c r="J221" s="144" t="e">
        <f t="shared" si="74"/>
        <v>#N/A</v>
      </c>
      <c r="K221" s="130" t="e">
        <f t="shared" si="76"/>
        <v>#N/A</v>
      </c>
      <c r="M221" s="145"/>
      <c r="P221" s="146" t="e">
        <f>VLOOKUP(A221,Creation_XP!$A$112:$AY$911,14,0)</f>
        <v>#N/A</v>
      </c>
      <c r="Q221" s="130" t="e">
        <f>INDEX(Creation_XP!B:B,MATCH(Values!A221,Creation_XP!A:A,0)+1)</f>
        <v>#N/A</v>
      </c>
      <c r="S221" s="144" t="e">
        <f t="shared" si="77"/>
        <v>#N/A</v>
      </c>
      <c r="T221" s="130" t="e">
        <f t="shared" si="78"/>
        <v>#N/A</v>
      </c>
      <c r="V221" s="130"/>
      <c r="W221" s="147" t="str">
        <f t="shared" si="75"/>
        <v/>
      </c>
      <c r="X221" s="149" t="e">
        <f t="shared" si="79"/>
        <v>#N/A</v>
      </c>
      <c r="Y221" s="149"/>
      <c r="Z221" s="150">
        <f>IFERROR((P221&lt;&gt;X221)*(10-2*AB221)+OR(AA221="Spell",AA221="Evocation")*COUNTIF(Exalt_DB:Exalt_DBJH,$S$6)*2*(P221&lt;&gt;X221),0)</f>
        <v>0</v>
      </c>
      <c r="AA221" s="129" t="e">
        <f>VLOOKUP(A221,Creation_XP!A193:AY292,2,0)</f>
        <v>#N/A</v>
      </c>
      <c r="AB221" s="18" t="b">
        <f t="shared" si="80"/>
        <v>0</v>
      </c>
    </row>
    <row r="222" spans="1:28">
      <c r="A222" s="179">
        <f t="shared" si="81"/>
        <v>83</v>
      </c>
      <c r="B222" s="129" t="s">
        <v>3297</v>
      </c>
      <c r="D222" s="144" t="e">
        <f>IF(VLOOKUP(A222,Creation_1!$A$118:$AY$967,14,0)=0,"",VLOOKUP(A222,Creation_1!$A$118:$AY$967,14,0))</f>
        <v>#N/A</v>
      </c>
      <c r="G222" s="143" t="e">
        <f>VLOOKUP(A222,Creation_BP!$A$118:$AY$967,14,0)</f>
        <v>#N/A</v>
      </c>
      <c r="H222" s="130" t="e">
        <f>INDEX(Creation_BP!B:B,MATCH(Values!A222,Creation_BP!A:A,0)+1)</f>
        <v>#N/A</v>
      </c>
      <c r="J222" s="144" t="e">
        <f t="shared" si="74"/>
        <v>#N/A</v>
      </c>
      <c r="K222" s="130" t="e">
        <f t="shared" si="76"/>
        <v>#N/A</v>
      </c>
      <c r="M222" s="145"/>
      <c r="P222" s="146" t="e">
        <f>VLOOKUP(A222,Creation_XP!$A$112:$AY$911,14,0)</f>
        <v>#N/A</v>
      </c>
      <c r="Q222" s="130" t="e">
        <f>INDEX(Creation_XP!B:B,MATCH(Values!A222,Creation_XP!A:A,0)+1)</f>
        <v>#N/A</v>
      </c>
      <c r="S222" s="144" t="e">
        <f t="shared" si="77"/>
        <v>#N/A</v>
      </c>
      <c r="T222" s="130" t="e">
        <f t="shared" si="78"/>
        <v>#N/A</v>
      </c>
      <c r="V222" s="130"/>
      <c r="W222" s="147" t="str">
        <f t="shared" si="75"/>
        <v/>
      </c>
      <c r="X222" s="149" t="e">
        <f t="shared" si="79"/>
        <v>#N/A</v>
      </c>
      <c r="Y222" s="149"/>
      <c r="Z222" s="150">
        <f>IFERROR((P222&lt;&gt;X222)*(10-2*AB222)+OR(AA222="Spell",AA222="Evocation")*COUNTIF(Exalt_DB:Exalt_DBJH,$S$6)*2*(P222&lt;&gt;X222),0)</f>
        <v>0</v>
      </c>
      <c r="AA222" s="129" t="e">
        <f>VLOOKUP(A222,Creation_XP!A194:AY293,2,0)</f>
        <v>#N/A</v>
      </c>
      <c r="AB222" s="18" t="b">
        <f t="shared" si="80"/>
        <v>0</v>
      </c>
    </row>
    <row r="223" spans="1:28">
      <c r="A223" s="179">
        <f t="shared" si="81"/>
        <v>84</v>
      </c>
      <c r="B223" s="129" t="s">
        <v>3297</v>
      </c>
      <c r="D223" s="144" t="e">
        <f>IF(VLOOKUP(A223,Creation_1!$A$118:$AY$967,14,0)=0,"",VLOOKUP(A223,Creation_1!$A$118:$AY$967,14,0))</f>
        <v>#N/A</v>
      </c>
      <c r="G223" s="143" t="e">
        <f>VLOOKUP(A223,Creation_BP!$A$118:$AY$967,14,0)</f>
        <v>#N/A</v>
      </c>
      <c r="H223" s="130" t="e">
        <f>INDEX(Creation_BP!B:B,MATCH(Values!A223,Creation_BP!A:A,0)+1)</f>
        <v>#N/A</v>
      </c>
      <c r="J223" s="144" t="e">
        <f t="shared" si="74"/>
        <v>#N/A</v>
      </c>
      <c r="K223" s="130" t="e">
        <f t="shared" si="76"/>
        <v>#N/A</v>
      </c>
      <c r="M223" s="145"/>
      <c r="P223" s="146" t="e">
        <f>VLOOKUP(A223,Creation_XP!$A$112:$AY$911,14,0)</f>
        <v>#N/A</v>
      </c>
      <c r="Q223" s="130" t="e">
        <f>INDEX(Creation_XP!B:B,MATCH(Values!A223,Creation_XP!A:A,0)+1)</f>
        <v>#N/A</v>
      </c>
      <c r="S223" s="144" t="e">
        <f t="shared" si="77"/>
        <v>#N/A</v>
      </c>
      <c r="T223" s="130" t="e">
        <f t="shared" si="78"/>
        <v>#N/A</v>
      </c>
      <c r="V223" s="130"/>
      <c r="W223" s="147" t="str">
        <f t="shared" si="75"/>
        <v/>
      </c>
      <c r="X223" s="149" t="e">
        <f t="shared" si="79"/>
        <v>#N/A</v>
      </c>
      <c r="Y223" s="149"/>
      <c r="Z223" s="150">
        <f>IFERROR((P223&lt;&gt;X223)*(10-2*AB223)+OR(AA223="Spell",AA223="Evocation")*COUNTIF(Exalt_DB:Exalt_DBJH,$S$6)*2*(P223&lt;&gt;X223),0)</f>
        <v>0</v>
      </c>
      <c r="AA223" s="129" t="e">
        <f>VLOOKUP(A223,Creation_XP!A195:AY294,2,0)</f>
        <v>#N/A</v>
      </c>
      <c r="AB223" s="18" t="b">
        <f t="shared" si="80"/>
        <v>0</v>
      </c>
    </row>
    <row r="224" spans="1:28">
      <c r="A224" s="179">
        <f t="shared" si="81"/>
        <v>85</v>
      </c>
      <c r="B224" s="129" t="s">
        <v>3297</v>
      </c>
      <c r="D224" s="144" t="e">
        <f>IF(VLOOKUP(A224,Creation_1!$A$118:$AY$967,14,0)=0,"",VLOOKUP(A224,Creation_1!$A$118:$AY$967,14,0))</f>
        <v>#N/A</v>
      </c>
      <c r="G224" s="143" t="e">
        <f>VLOOKUP(A224,Creation_BP!$A$118:$AY$967,14,0)</f>
        <v>#N/A</v>
      </c>
      <c r="H224" s="130" t="e">
        <f>INDEX(Creation_BP!B:B,MATCH(Values!A224,Creation_BP!A:A,0)+1)</f>
        <v>#N/A</v>
      </c>
      <c r="J224" s="144" t="e">
        <f t="shared" si="74"/>
        <v>#N/A</v>
      </c>
      <c r="K224" s="130" t="e">
        <f t="shared" si="76"/>
        <v>#N/A</v>
      </c>
      <c r="M224" s="145"/>
      <c r="P224" s="146" t="e">
        <f>VLOOKUP(A224,Creation_XP!$A$112:$AY$911,14,0)</f>
        <v>#N/A</v>
      </c>
      <c r="Q224" s="130" t="e">
        <f>INDEX(Creation_XP!B:B,MATCH(Values!A224,Creation_XP!A:A,0)+1)</f>
        <v>#N/A</v>
      </c>
      <c r="S224" s="144" t="e">
        <f t="shared" si="77"/>
        <v>#N/A</v>
      </c>
      <c r="T224" s="130" t="e">
        <f t="shared" si="78"/>
        <v>#N/A</v>
      </c>
      <c r="V224" s="130"/>
      <c r="W224" s="147" t="str">
        <f t="shared" si="75"/>
        <v/>
      </c>
      <c r="X224" s="149" t="e">
        <f t="shared" si="79"/>
        <v>#N/A</v>
      </c>
      <c r="Y224" s="149"/>
      <c r="Z224" s="150">
        <f>IFERROR((P224&lt;&gt;X224)*(10-2*AB224)+OR(AA224="Spell",AA224="Evocation")*COUNTIF(Exalt_DB:Exalt_DBJH,$S$6)*2*(P224&lt;&gt;X224),0)</f>
        <v>0</v>
      </c>
      <c r="AA224" s="129" t="e">
        <f>VLOOKUP(A224,Creation_XP!A196:AY295,2,0)</f>
        <v>#N/A</v>
      </c>
      <c r="AB224" s="18" t="b">
        <f t="shared" si="80"/>
        <v>0</v>
      </c>
    </row>
    <row r="225" spans="1:28">
      <c r="A225" s="179">
        <f t="shared" si="81"/>
        <v>86</v>
      </c>
      <c r="B225" s="129" t="s">
        <v>3297</v>
      </c>
      <c r="D225" s="144" t="e">
        <f>IF(VLOOKUP(A225,Creation_1!$A$118:$AY$967,14,0)=0,"",VLOOKUP(A225,Creation_1!$A$118:$AY$967,14,0))</f>
        <v>#N/A</v>
      </c>
      <c r="G225" s="143" t="e">
        <f>VLOOKUP(A225,Creation_BP!$A$118:$AY$967,14,0)</f>
        <v>#N/A</v>
      </c>
      <c r="H225" s="130" t="e">
        <f>INDEX(Creation_BP!B:B,MATCH(Values!A225,Creation_BP!A:A,0)+1)</f>
        <v>#N/A</v>
      </c>
      <c r="J225" s="144" t="e">
        <f t="shared" si="74"/>
        <v>#N/A</v>
      </c>
      <c r="K225" s="130" t="e">
        <f t="shared" si="76"/>
        <v>#N/A</v>
      </c>
      <c r="M225" s="145"/>
      <c r="P225" s="146" t="e">
        <f>VLOOKUP(A225,Creation_XP!$A$112:$AY$911,14,0)</f>
        <v>#N/A</v>
      </c>
      <c r="Q225" s="130" t="e">
        <f>INDEX(Creation_XP!B:B,MATCH(Values!A225,Creation_XP!A:A,0)+1)</f>
        <v>#N/A</v>
      </c>
      <c r="S225" s="144" t="e">
        <f t="shared" si="77"/>
        <v>#N/A</v>
      </c>
      <c r="T225" s="130" t="e">
        <f t="shared" si="78"/>
        <v>#N/A</v>
      </c>
      <c r="V225" s="130"/>
      <c r="W225" s="147" t="str">
        <f t="shared" si="75"/>
        <v/>
      </c>
      <c r="X225" s="149" t="e">
        <f t="shared" si="79"/>
        <v>#N/A</v>
      </c>
      <c r="Y225" s="149"/>
      <c r="Z225" s="150">
        <f>IFERROR((P225&lt;&gt;X225)*(10-2*AB225)+OR(AA225="Spell",AA225="Evocation")*COUNTIF(Exalt_DB:Exalt_DBJH,$S$6)*2*(P225&lt;&gt;X225),0)</f>
        <v>0</v>
      </c>
      <c r="AA225" s="129" t="e">
        <f>VLOOKUP(A225,Creation_XP!A197:AY296,2,0)</f>
        <v>#N/A</v>
      </c>
      <c r="AB225" s="18" t="b">
        <f t="shared" si="80"/>
        <v>0</v>
      </c>
    </row>
    <row r="226" spans="1:28">
      <c r="A226" s="179">
        <f t="shared" si="81"/>
        <v>87</v>
      </c>
      <c r="B226" s="129" t="s">
        <v>3297</v>
      </c>
      <c r="D226" s="144" t="e">
        <f>IF(VLOOKUP(A226,Creation_1!$A$118:$AY$967,14,0)=0,"",VLOOKUP(A226,Creation_1!$A$118:$AY$967,14,0))</f>
        <v>#N/A</v>
      </c>
      <c r="G226" s="143" t="e">
        <f>VLOOKUP(A226,Creation_BP!$A$118:$AY$967,14,0)</f>
        <v>#N/A</v>
      </c>
      <c r="H226" s="130" t="e">
        <f>INDEX(Creation_BP!B:B,MATCH(Values!A226,Creation_BP!A:A,0)+1)</f>
        <v>#N/A</v>
      </c>
      <c r="J226" s="144" t="e">
        <f t="shared" si="74"/>
        <v>#N/A</v>
      </c>
      <c r="K226" s="130" t="e">
        <f t="shared" si="76"/>
        <v>#N/A</v>
      </c>
      <c r="M226" s="145"/>
      <c r="P226" s="146" t="e">
        <f>VLOOKUP(A226,Creation_XP!$A$112:$AY$911,14,0)</f>
        <v>#N/A</v>
      </c>
      <c r="Q226" s="130" t="e">
        <f>INDEX(Creation_XP!B:B,MATCH(Values!A226,Creation_XP!A:A,0)+1)</f>
        <v>#N/A</v>
      </c>
      <c r="S226" s="144" t="e">
        <f t="shared" si="77"/>
        <v>#N/A</v>
      </c>
      <c r="T226" s="130" t="e">
        <f t="shared" si="78"/>
        <v>#N/A</v>
      </c>
      <c r="V226" s="130"/>
      <c r="W226" s="147" t="str">
        <f t="shared" si="75"/>
        <v/>
      </c>
      <c r="X226" s="149" t="e">
        <f t="shared" si="79"/>
        <v>#N/A</v>
      </c>
      <c r="Y226" s="149"/>
      <c r="Z226" s="150">
        <f>IFERROR((P226&lt;&gt;X226)*(10-2*AB226)+OR(AA226="Spell",AA226="Evocation")*COUNTIF(Exalt_DB:Exalt_DBJH,$S$6)*2*(P226&lt;&gt;X226),0)</f>
        <v>0</v>
      </c>
      <c r="AA226" s="129" t="e">
        <f>VLOOKUP(A226,Creation_XP!A198:AY297,2,0)</f>
        <v>#N/A</v>
      </c>
      <c r="AB226" s="18" t="b">
        <f t="shared" si="80"/>
        <v>0</v>
      </c>
    </row>
    <row r="227" spans="1:28">
      <c r="A227" s="179">
        <f t="shared" si="81"/>
        <v>88</v>
      </c>
      <c r="B227" s="129" t="s">
        <v>3297</v>
      </c>
      <c r="D227" s="144" t="e">
        <f>IF(VLOOKUP(A227,Creation_1!$A$118:$AY$967,14,0)=0,"",VLOOKUP(A227,Creation_1!$A$118:$AY$967,14,0))</f>
        <v>#N/A</v>
      </c>
      <c r="G227" s="143" t="e">
        <f>VLOOKUP(A227,Creation_BP!$A$118:$AY$967,14,0)</f>
        <v>#N/A</v>
      </c>
      <c r="H227" s="130" t="e">
        <f>INDEX(Creation_BP!B:B,MATCH(Values!A227,Creation_BP!A:A,0)+1)</f>
        <v>#N/A</v>
      </c>
      <c r="J227" s="144" t="e">
        <f t="shared" si="74"/>
        <v>#N/A</v>
      </c>
      <c r="K227" s="130" t="e">
        <f t="shared" si="76"/>
        <v>#N/A</v>
      </c>
      <c r="M227" s="145"/>
      <c r="P227" s="146" t="e">
        <f>VLOOKUP(A227,Creation_XP!$A$112:$AY$911,14,0)</f>
        <v>#N/A</v>
      </c>
      <c r="Q227" s="130" t="e">
        <f>INDEX(Creation_XP!B:B,MATCH(Values!A227,Creation_XP!A:A,0)+1)</f>
        <v>#N/A</v>
      </c>
      <c r="S227" s="144" t="e">
        <f t="shared" si="77"/>
        <v>#N/A</v>
      </c>
      <c r="T227" s="130" t="e">
        <f t="shared" si="78"/>
        <v>#N/A</v>
      </c>
      <c r="V227" s="130"/>
      <c r="W227" s="147" t="str">
        <f t="shared" si="75"/>
        <v/>
      </c>
      <c r="X227" s="149" t="e">
        <f t="shared" si="79"/>
        <v>#N/A</v>
      </c>
      <c r="Y227" s="149"/>
      <c r="Z227" s="150">
        <f>IFERROR((P227&lt;&gt;X227)*(10-2*AB227)+OR(AA227="Spell",AA227="Evocation")*COUNTIF(Exalt_DB:Exalt_DBJH,$S$6)*2*(P227&lt;&gt;X227),0)</f>
        <v>0</v>
      </c>
      <c r="AA227" s="129" t="e">
        <f>VLOOKUP(A227,Creation_XP!A199:AY298,2,0)</f>
        <v>#N/A</v>
      </c>
      <c r="AB227" s="18" t="b">
        <f t="shared" si="80"/>
        <v>0</v>
      </c>
    </row>
    <row r="228" spans="1:28">
      <c r="A228" s="179">
        <f t="shared" si="81"/>
        <v>89</v>
      </c>
      <c r="B228" s="129" t="s">
        <v>3297</v>
      </c>
      <c r="D228" s="144" t="e">
        <f>IF(VLOOKUP(A228,Creation_1!$A$118:$AY$967,14,0)=0,"",VLOOKUP(A228,Creation_1!$A$118:$AY$967,14,0))</f>
        <v>#N/A</v>
      </c>
      <c r="G228" s="143" t="e">
        <f>VLOOKUP(A228,Creation_BP!$A$118:$AY$967,14,0)</f>
        <v>#N/A</v>
      </c>
      <c r="H228" s="130" t="e">
        <f>INDEX(Creation_BP!B:B,MATCH(Values!A228,Creation_BP!A:A,0)+1)</f>
        <v>#N/A</v>
      </c>
      <c r="J228" s="144" t="e">
        <f t="shared" si="74"/>
        <v>#N/A</v>
      </c>
      <c r="K228" s="130" t="e">
        <f t="shared" si="76"/>
        <v>#N/A</v>
      </c>
      <c r="M228" s="145"/>
      <c r="P228" s="146" t="e">
        <f>VLOOKUP(A228,Creation_XP!$A$112:$AY$911,14,0)</f>
        <v>#N/A</v>
      </c>
      <c r="Q228" s="130" t="e">
        <f>INDEX(Creation_XP!B:B,MATCH(Values!A228,Creation_XP!A:A,0)+1)</f>
        <v>#N/A</v>
      </c>
      <c r="S228" s="144" t="e">
        <f t="shared" si="77"/>
        <v>#N/A</v>
      </c>
      <c r="T228" s="130" t="e">
        <f t="shared" si="78"/>
        <v>#N/A</v>
      </c>
      <c r="V228" s="130"/>
      <c r="W228" s="147" t="str">
        <f t="shared" si="75"/>
        <v/>
      </c>
      <c r="X228" s="149" t="e">
        <f t="shared" si="79"/>
        <v>#N/A</v>
      </c>
      <c r="Y228" s="149"/>
      <c r="Z228" s="150">
        <f>IFERROR((P228&lt;&gt;X228)*(10-2*AB228)+OR(AA228="Spell",AA228="Evocation")*COUNTIF(Exalt_DB:Exalt_DBJH,$S$6)*2*(P228&lt;&gt;X228),0)</f>
        <v>0</v>
      </c>
      <c r="AA228" s="129" t="e">
        <f>VLOOKUP(A228,Creation_XP!A200:AY299,2,0)</f>
        <v>#N/A</v>
      </c>
      <c r="AB228" s="18" t="b">
        <f t="shared" si="80"/>
        <v>0</v>
      </c>
    </row>
    <row r="229" spans="1:28">
      <c r="A229" s="179">
        <f t="shared" si="81"/>
        <v>90</v>
      </c>
      <c r="B229" s="129" t="s">
        <v>3297</v>
      </c>
      <c r="D229" s="144" t="e">
        <f>IF(VLOOKUP(A229,Creation_1!$A$118:$AY$967,14,0)=0,"",VLOOKUP(A229,Creation_1!$A$118:$AY$967,14,0))</f>
        <v>#N/A</v>
      </c>
      <c r="G229" s="143" t="e">
        <f>VLOOKUP(A229,Creation_BP!$A$118:$AY$967,14,0)</f>
        <v>#N/A</v>
      </c>
      <c r="H229" s="130" t="e">
        <f>INDEX(Creation_BP!B:B,MATCH(Values!A229,Creation_BP!A:A,0)+1)</f>
        <v>#N/A</v>
      </c>
      <c r="J229" s="144" t="e">
        <f t="shared" si="74"/>
        <v>#N/A</v>
      </c>
      <c r="K229" s="130" t="e">
        <f t="shared" si="76"/>
        <v>#N/A</v>
      </c>
      <c r="M229" s="145"/>
      <c r="P229" s="146" t="e">
        <f>VLOOKUP(A229,Creation_XP!$A$112:$AY$911,14,0)</f>
        <v>#N/A</v>
      </c>
      <c r="Q229" s="130" t="e">
        <f>INDEX(Creation_XP!B:B,MATCH(Values!A229,Creation_XP!A:A,0)+1)</f>
        <v>#N/A</v>
      </c>
      <c r="S229" s="144" t="e">
        <f t="shared" si="77"/>
        <v>#N/A</v>
      </c>
      <c r="T229" s="130" t="e">
        <f t="shared" si="78"/>
        <v>#N/A</v>
      </c>
      <c r="V229" s="130"/>
      <c r="W229" s="147" t="str">
        <f t="shared" si="75"/>
        <v/>
      </c>
      <c r="X229" s="149" t="e">
        <f t="shared" si="79"/>
        <v>#N/A</v>
      </c>
      <c r="Y229" s="149"/>
      <c r="Z229" s="150">
        <f>IFERROR((P229&lt;&gt;X229)*(10-2*AB229)+OR(AA229="Spell",AA229="Evocation")*COUNTIF(Exalt_DB:Exalt_DBJH,$S$6)*2*(P229&lt;&gt;X229),0)</f>
        <v>0</v>
      </c>
      <c r="AA229" s="129" t="e">
        <f>VLOOKUP(A229,Creation_XP!A201:AY300,2,0)</f>
        <v>#N/A</v>
      </c>
      <c r="AB229" s="18" t="b">
        <f t="shared" si="80"/>
        <v>0</v>
      </c>
    </row>
    <row r="230" spans="1:28">
      <c r="A230" s="179">
        <f t="shared" si="81"/>
        <v>91</v>
      </c>
      <c r="B230" s="129" t="s">
        <v>3297</v>
      </c>
      <c r="D230" s="144" t="e">
        <f>IF(VLOOKUP(A230,Creation_1!$A$118:$AY$967,14,0)=0,"",VLOOKUP(A230,Creation_1!$A$118:$AY$967,14,0))</f>
        <v>#N/A</v>
      </c>
      <c r="G230" s="143" t="e">
        <f>VLOOKUP(A230,Creation_BP!$A$118:$AY$967,14,0)</f>
        <v>#N/A</v>
      </c>
      <c r="H230" s="130" t="e">
        <f>INDEX(Creation_BP!B:B,MATCH(Values!A230,Creation_BP!A:A,0)+1)</f>
        <v>#N/A</v>
      </c>
      <c r="J230" s="144" t="e">
        <f t="shared" si="74"/>
        <v>#N/A</v>
      </c>
      <c r="K230" s="130" t="e">
        <f t="shared" si="76"/>
        <v>#N/A</v>
      </c>
      <c r="M230" s="145"/>
      <c r="P230" s="146" t="e">
        <f>VLOOKUP(A230,Creation_XP!$A$112:$AY$911,14,0)</f>
        <v>#N/A</v>
      </c>
      <c r="Q230" s="130" t="e">
        <f>INDEX(Creation_XP!B:B,MATCH(Values!A230,Creation_XP!A:A,0)+1)</f>
        <v>#N/A</v>
      </c>
      <c r="S230" s="144" t="e">
        <f t="shared" si="77"/>
        <v>#N/A</v>
      </c>
      <c r="T230" s="130" t="e">
        <f t="shared" si="78"/>
        <v>#N/A</v>
      </c>
      <c r="V230" s="130"/>
      <c r="W230" s="147" t="str">
        <f t="shared" si="75"/>
        <v/>
      </c>
      <c r="X230" s="149" t="e">
        <f t="shared" si="79"/>
        <v>#N/A</v>
      </c>
      <c r="Y230" s="149"/>
      <c r="Z230" s="150">
        <f>IFERROR((P230&lt;&gt;X230)*(10-2*AB230)+OR(AA230="Spell",AA230="Evocation")*COUNTIF(Exalt_DB:Exalt_DBJH,$S$6)*2*(P230&lt;&gt;X230),0)</f>
        <v>0</v>
      </c>
      <c r="AA230" s="129" t="e">
        <f>VLOOKUP(A230,Creation_XP!A202:AY301,2,0)</f>
        <v>#N/A</v>
      </c>
      <c r="AB230" s="18" t="b">
        <f t="shared" si="80"/>
        <v>0</v>
      </c>
    </row>
    <row r="231" spans="1:28">
      <c r="A231" s="179">
        <f t="shared" si="81"/>
        <v>92</v>
      </c>
      <c r="B231" s="129" t="s">
        <v>3297</v>
      </c>
      <c r="D231" s="144" t="e">
        <f>IF(VLOOKUP(A231,Creation_1!$A$118:$AY$967,14,0)=0,"",VLOOKUP(A231,Creation_1!$A$118:$AY$967,14,0))</f>
        <v>#N/A</v>
      </c>
      <c r="G231" s="143" t="e">
        <f>VLOOKUP(A231,Creation_BP!$A$118:$AY$967,14,0)</f>
        <v>#N/A</v>
      </c>
      <c r="H231" s="130" t="e">
        <f>INDEX(Creation_BP!B:B,MATCH(Values!A231,Creation_BP!A:A,0)+1)</f>
        <v>#N/A</v>
      </c>
      <c r="J231" s="144" t="e">
        <f t="shared" si="74"/>
        <v>#N/A</v>
      </c>
      <c r="K231" s="130" t="e">
        <f t="shared" si="76"/>
        <v>#N/A</v>
      </c>
      <c r="M231" s="145"/>
      <c r="P231" s="146" t="e">
        <f>VLOOKUP(A231,Creation_XP!$A$112:$AY$911,14,0)</f>
        <v>#N/A</v>
      </c>
      <c r="Q231" s="130" t="e">
        <f>INDEX(Creation_XP!B:B,MATCH(Values!A231,Creation_XP!A:A,0)+1)</f>
        <v>#N/A</v>
      </c>
      <c r="S231" s="144" t="e">
        <f t="shared" si="77"/>
        <v>#N/A</v>
      </c>
      <c r="T231" s="130" t="e">
        <f t="shared" si="78"/>
        <v>#N/A</v>
      </c>
      <c r="V231" s="130"/>
      <c r="W231" s="147" t="str">
        <f t="shared" si="75"/>
        <v/>
      </c>
      <c r="X231" s="149" t="e">
        <f t="shared" si="79"/>
        <v>#N/A</v>
      </c>
      <c r="Y231" s="149"/>
      <c r="Z231" s="150">
        <f>IFERROR((P231&lt;&gt;X231)*(10-2*AB231)+OR(AA231="Spell",AA231="Evocation")*COUNTIF(Exalt_DB:Exalt_DBJH,$S$6)*2*(P231&lt;&gt;X231),0)</f>
        <v>0</v>
      </c>
      <c r="AA231" s="129" t="e">
        <f>VLOOKUP(A231,Creation_XP!A203:AY302,2,0)</f>
        <v>#N/A</v>
      </c>
      <c r="AB231" s="18" t="b">
        <f t="shared" si="80"/>
        <v>0</v>
      </c>
    </row>
    <row r="232" spans="1:28">
      <c r="A232" s="179">
        <f t="shared" si="81"/>
        <v>93</v>
      </c>
      <c r="B232" s="129" t="s">
        <v>3297</v>
      </c>
      <c r="D232" s="144" t="e">
        <f>IF(VLOOKUP(A232,Creation_1!$A$118:$AY$967,14,0)=0,"",VLOOKUP(A232,Creation_1!$A$118:$AY$967,14,0))</f>
        <v>#N/A</v>
      </c>
      <c r="G232" s="143" t="e">
        <f>VLOOKUP(A232,Creation_BP!$A$118:$AY$967,14,0)</f>
        <v>#N/A</v>
      </c>
      <c r="H232" s="130" t="e">
        <f>INDEX(Creation_BP!B:B,MATCH(Values!A232,Creation_BP!A:A,0)+1)</f>
        <v>#N/A</v>
      </c>
      <c r="J232" s="144" t="e">
        <f t="shared" si="74"/>
        <v>#N/A</v>
      </c>
      <c r="K232" s="130" t="e">
        <f t="shared" si="76"/>
        <v>#N/A</v>
      </c>
      <c r="M232" s="145"/>
      <c r="P232" s="146" t="e">
        <f>VLOOKUP(A232,Creation_XP!$A$112:$AY$911,14,0)</f>
        <v>#N/A</v>
      </c>
      <c r="Q232" s="130" t="e">
        <f>INDEX(Creation_XP!B:B,MATCH(Values!A232,Creation_XP!A:A,0)+1)</f>
        <v>#N/A</v>
      </c>
      <c r="S232" s="144" t="e">
        <f t="shared" si="77"/>
        <v>#N/A</v>
      </c>
      <c r="T232" s="130" t="e">
        <f t="shared" si="78"/>
        <v>#N/A</v>
      </c>
      <c r="V232" s="130"/>
      <c r="W232" s="147" t="str">
        <f t="shared" si="75"/>
        <v/>
      </c>
      <c r="X232" s="149" t="e">
        <f t="shared" si="79"/>
        <v>#N/A</v>
      </c>
      <c r="Y232" s="149"/>
      <c r="Z232" s="150">
        <f>IFERROR((P232&lt;&gt;X232)*(10-2*AB232)+OR(AA232="Spell",AA232="Evocation")*COUNTIF(Exalt_DB:Exalt_DBJH,$S$6)*2*(P232&lt;&gt;X232),0)</f>
        <v>0</v>
      </c>
      <c r="AA232" s="129" t="e">
        <f>VLOOKUP(A232,Creation_XP!A204:AY303,2,0)</f>
        <v>#N/A</v>
      </c>
      <c r="AB232" s="18" t="b">
        <f t="shared" si="80"/>
        <v>0</v>
      </c>
    </row>
    <row r="233" spans="1:28">
      <c r="A233" s="179">
        <f t="shared" si="81"/>
        <v>94</v>
      </c>
      <c r="B233" s="129" t="s">
        <v>3297</v>
      </c>
      <c r="D233" s="144" t="e">
        <f>IF(VLOOKUP(A233,Creation_1!$A$118:$AY$967,14,0)=0,"",VLOOKUP(A233,Creation_1!$A$118:$AY$967,14,0))</f>
        <v>#N/A</v>
      </c>
      <c r="G233" s="143" t="e">
        <f>VLOOKUP(A233,Creation_BP!$A$118:$AY$967,14,0)</f>
        <v>#N/A</v>
      </c>
      <c r="H233" s="130" t="e">
        <f>INDEX(Creation_BP!B:B,MATCH(Values!A233,Creation_BP!A:A,0)+1)</f>
        <v>#N/A</v>
      </c>
      <c r="J233" s="144" t="e">
        <f t="shared" si="74"/>
        <v>#N/A</v>
      </c>
      <c r="K233" s="130" t="e">
        <f t="shared" si="76"/>
        <v>#N/A</v>
      </c>
      <c r="M233" s="145"/>
      <c r="P233" s="146" t="e">
        <f>VLOOKUP(A233,Creation_XP!$A$112:$AY$911,14,0)</f>
        <v>#N/A</v>
      </c>
      <c r="Q233" s="130" t="e">
        <f>INDEX(Creation_XP!B:B,MATCH(Values!A233,Creation_XP!A:A,0)+1)</f>
        <v>#N/A</v>
      </c>
      <c r="S233" s="144" t="e">
        <f t="shared" si="77"/>
        <v>#N/A</v>
      </c>
      <c r="T233" s="130" t="e">
        <f t="shared" si="78"/>
        <v>#N/A</v>
      </c>
      <c r="V233" s="130"/>
      <c r="W233" s="147" t="str">
        <f t="shared" si="75"/>
        <v/>
      </c>
      <c r="X233" s="149" t="e">
        <f t="shared" si="79"/>
        <v>#N/A</v>
      </c>
      <c r="Y233" s="149"/>
      <c r="Z233" s="150">
        <f>IFERROR((P233&lt;&gt;X233)*(10-2*AB233)+OR(AA233="Spell",AA233="Evocation")*COUNTIF(Exalt_DB:Exalt_DBJH,$S$6)*2*(P233&lt;&gt;X233),0)</f>
        <v>0</v>
      </c>
      <c r="AA233" s="129" t="e">
        <f>VLOOKUP(A233,Creation_XP!A205:AY304,2,0)</f>
        <v>#N/A</v>
      </c>
      <c r="AB233" s="18" t="b">
        <f t="shared" si="80"/>
        <v>0</v>
      </c>
    </row>
    <row r="234" spans="1:28">
      <c r="A234" s="179">
        <f t="shared" si="81"/>
        <v>95</v>
      </c>
      <c r="B234" s="129" t="s">
        <v>3297</v>
      </c>
      <c r="D234" s="144" t="e">
        <f>IF(VLOOKUP(A234,Creation_1!$A$118:$AY$967,14,0)=0,"",VLOOKUP(A234,Creation_1!$A$118:$AY$967,14,0))</f>
        <v>#N/A</v>
      </c>
      <c r="G234" s="143" t="e">
        <f>VLOOKUP(A234,Creation_BP!$A$118:$AY$967,14,0)</f>
        <v>#N/A</v>
      </c>
      <c r="H234" s="130" t="e">
        <f>INDEX(Creation_BP!B:B,MATCH(Values!A234,Creation_BP!A:A,0)+1)</f>
        <v>#N/A</v>
      </c>
      <c r="J234" s="144" t="e">
        <f t="shared" si="74"/>
        <v>#N/A</v>
      </c>
      <c r="K234" s="130" t="e">
        <f t="shared" si="76"/>
        <v>#N/A</v>
      </c>
      <c r="M234" s="145"/>
      <c r="P234" s="146" t="e">
        <f>VLOOKUP(A234,Creation_XP!$A$112:$AY$911,14,0)</f>
        <v>#N/A</v>
      </c>
      <c r="Q234" s="130" t="e">
        <f>INDEX(Creation_XP!B:B,MATCH(Values!A234,Creation_XP!A:A,0)+1)</f>
        <v>#N/A</v>
      </c>
      <c r="S234" s="144" t="e">
        <f t="shared" si="77"/>
        <v>#N/A</v>
      </c>
      <c r="T234" s="130" t="e">
        <f t="shared" si="78"/>
        <v>#N/A</v>
      </c>
      <c r="V234" s="130"/>
      <c r="W234" s="147" t="str">
        <f t="shared" si="75"/>
        <v/>
      </c>
      <c r="X234" s="149" t="e">
        <f t="shared" si="79"/>
        <v>#N/A</v>
      </c>
      <c r="Y234" s="149"/>
      <c r="Z234" s="150">
        <f>IFERROR((P234&lt;&gt;X234)*(10-2*AB234)+OR(AA234="Spell",AA234="Evocation")*COUNTIF(Exalt_DB:Exalt_DBJH,$S$6)*2*(P234&lt;&gt;X234),0)</f>
        <v>0</v>
      </c>
      <c r="AA234" s="129" t="e">
        <f>VLOOKUP(A234,Creation_XP!A206:AY305,2,0)</f>
        <v>#N/A</v>
      </c>
      <c r="AB234" s="18" t="b">
        <f t="shared" si="80"/>
        <v>0</v>
      </c>
    </row>
    <row r="235" spans="1:28">
      <c r="A235" s="179">
        <f t="shared" si="81"/>
        <v>96</v>
      </c>
      <c r="B235" s="129" t="s">
        <v>3297</v>
      </c>
      <c r="D235" s="144" t="e">
        <f>IF(VLOOKUP(A235,Creation_1!$A$118:$AY$967,14,0)=0,"",VLOOKUP(A235,Creation_1!$A$118:$AY$967,14,0))</f>
        <v>#N/A</v>
      </c>
      <c r="G235" s="143" t="e">
        <f>VLOOKUP(A235,Creation_BP!$A$118:$AY$967,14,0)</f>
        <v>#N/A</v>
      </c>
      <c r="H235" s="130" t="e">
        <f>INDEX(Creation_BP!B:B,MATCH(Values!A235,Creation_BP!A:A,0)+1)</f>
        <v>#N/A</v>
      </c>
      <c r="J235" s="144" t="e">
        <f t="shared" si="74"/>
        <v>#N/A</v>
      </c>
      <c r="K235" s="130" t="e">
        <f t="shared" si="76"/>
        <v>#N/A</v>
      </c>
      <c r="M235" s="145"/>
      <c r="P235" s="146" t="e">
        <f>VLOOKUP(A235,Creation_XP!$A$112:$AY$911,14,0)</f>
        <v>#N/A</v>
      </c>
      <c r="Q235" s="130" t="e">
        <f>INDEX(Creation_XP!B:B,MATCH(Values!A235,Creation_XP!A:A,0)+1)</f>
        <v>#N/A</v>
      </c>
      <c r="S235" s="144" t="e">
        <f t="shared" si="77"/>
        <v>#N/A</v>
      </c>
      <c r="T235" s="130" t="e">
        <f t="shared" si="78"/>
        <v>#N/A</v>
      </c>
      <c r="V235" s="130"/>
      <c r="W235" s="147" t="str">
        <f t="shared" si="75"/>
        <v/>
      </c>
      <c r="X235" s="149" t="e">
        <f t="shared" si="79"/>
        <v>#N/A</v>
      </c>
      <c r="Y235" s="149"/>
      <c r="Z235" s="150">
        <f>IFERROR((P235&lt;&gt;X235)*(10-2*AB235)+OR(AA235="Spell",AA235="Evocation")*COUNTIF(Exalt_DB:Exalt_DBJH,$S$6)*2*(P235&lt;&gt;X235),0)</f>
        <v>0</v>
      </c>
      <c r="AA235" s="129" t="e">
        <f>VLOOKUP(A235,Creation_XP!A207:AY306,2,0)</f>
        <v>#N/A</v>
      </c>
      <c r="AB235" s="18" t="b">
        <f t="shared" si="80"/>
        <v>0</v>
      </c>
    </row>
    <row r="236" spans="1:28">
      <c r="A236" s="179">
        <f t="shared" si="81"/>
        <v>97</v>
      </c>
      <c r="B236" s="129" t="s">
        <v>3297</v>
      </c>
      <c r="D236" s="144" t="e">
        <f>IF(VLOOKUP(A236,Creation_1!$A$118:$AY$967,14,0)=0,"",VLOOKUP(A236,Creation_1!$A$118:$AY$967,14,0))</f>
        <v>#N/A</v>
      </c>
      <c r="G236" s="143" t="e">
        <f>VLOOKUP(A236,Creation_BP!$A$118:$AY$967,14,0)</f>
        <v>#N/A</v>
      </c>
      <c r="H236" s="130" t="e">
        <f>INDEX(Creation_BP!B:B,MATCH(Values!A236,Creation_BP!A:A,0)+1)</f>
        <v>#N/A</v>
      </c>
      <c r="J236" s="144" t="e">
        <f t="shared" si="74"/>
        <v>#N/A</v>
      </c>
      <c r="K236" s="130" t="e">
        <f t="shared" si="76"/>
        <v>#N/A</v>
      </c>
      <c r="M236" s="145"/>
      <c r="P236" s="146" t="e">
        <f>VLOOKUP(A236,Creation_XP!$A$112:$AY$911,14,0)</f>
        <v>#N/A</v>
      </c>
      <c r="Q236" s="130" t="e">
        <f>INDEX(Creation_XP!B:B,MATCH(Values!A236,Creation_XP!A:A,0)+1)</f>
        <v>#N/A</v>
      </c>
      <c r="S236" s="144" t="e">
        <f t="shared" si="77"/>
        <v>#N/A</v>
      </c>
      <c r="T236" s="130" t="e">
        <f t="shared" si="78"/>
        <v>#N/A</v>
      </c>
      <c r="V236" s="130"/>
      <c r="W236" s="147" t="str">
        <f t="shared" si="75"/>
        <v/>
      </c>
      <c r="X236" s="149" t="e">
        <f t="shared" si="79"/>
        <v>#N/A</v>
      </c>
      <c r="Y236" s="149"/>
      <c r="Z236" s="150">
        <f>IFERROR((P236&lt;&gt;X236)*(10-2*AB236)+OR(AA236="Spell",AA236="Evocation")*COUNTIF(Exalt_DB:Exalt_DBJH,$S$6)*2*(P236&lt;&gt;X236),0)</f>
        <v>0</v>
      </c>
      <c r="AA236" s="129" t="e">
        <f>VLOOKUP(A236,Creation_XP!A208:AY307,2,0)</f>
        <v>#N/A</v>
      </c>
      <c r="AB236" s="18" t="b">
        <f t="shared" si="80"/>
        <v>0</v>
      </c>
    </row>
    <row r="237" spans="1:28">
      <c r="A237" s="179">
        <f t="shared" si="81"/>
        <v>98</v>
      </c>
      <c r="B237" s="129" t="s">
        <v>3297</v>
      </c>
      <c r="D237" s="144" t="e">
        <f>IF(VLOOKUP(A237,Creation_1!$A$118:$AY$967,14,0)=0,"",VLOOKUP(A237,Creation_1!$A$118:$AY$967,14,0))</f>
        <v>#N/A</v>
      </c>
      <c r="G237" s="143" t="e">
        <f>VLOOKUP(A237,Creation_BP!$A$118:$AY$967,14,0)</f>
        <v>#N/A</v>
      </c>
      <c r="H237" s="130" t="e">
        <f>INDEX(Creation_BP!B:B,MATCH(Values!A237,Creation_BP!A:A,0)+1)</f>
        <v>#N/A</v>
      </c>
      <c r="J237" s="144" t="e">
        <f t="shared" si="74"/>
        <v>#N/A</v>
      </c>
      <c r="K237" s="130" t="e">
        <f t="shared" si="76"/>
        <v>#N/A</v>
      </c>
      <c r="M237" s="145"/>
      <c r="P237" s="146" t="e">
        <f>VLOOKUP(A237,Creation_XP!$A$112:$AY$911,14,0)</f>
        <v>#N/A</v>
      </c>
      <c r="Q237" s="130" t="e">
        <f>INDEX(Creation_XP!B:B,MATCH(Values!A237,Creation_XP!A:A,0)+1)</f>
        <v>#N/A</v>
      </c>
      <c r="S237" s="144" t="e">
        <f t="shared" si="77"/>
        <v>#N/A</v>
      </c>
      <c r="T237" s="130" t="e">
        <f t="shared" si="78"/>
        <v>#N/A</v>
      </c>
      <c r="V237" s="130"/>
      <c r="W237" s="147" t="str">
        <f t="shared" si="75"/>
        <v/>
      </c>
      <c r="X237" s="149" t="e">
        <f t="shared" si="79"/>
        <v>#N/A</v>
      </c>
      <c r="Y237" s="149"/>
      <c r="Z237" s="150">
        <f>IFERROR((P237&lt;&gt;X237)*(10-2*AB237)+OR(AA237="Spell",AA237="Evocation")*COUNTIF(Exalt_DB:Exalt_DBJH,$S$6)*2*(P237&lt;&gt;X237),0)</f>
        <v>0</v>
      </c>
      <c r="AA237" s="129" t="e">
        <f>VLOOKUP(A237,Creation_XP!A209:AY308,2,0)</f>
        <v>#N/A</v>
      </c>
      <c r="AB237" s="18" t="b">
        <f t="shared" si="80"/>
        <v>0</v>
      </c>
    </row>
    <row r="238" spans="1:28">
      <c r="A238" s="179">
        <f t="shared" si="81"/>
        <v>99</v>
      </c>
      <c r="B238" s="129" t="s">
        <v>3297</v>
      </c>
      <c r="D238" s="144" t="e">
        <f>IF(VLOOKUP(A238,Creation_1!$A$118:$AY$967,14,0)=0,"",VLOOKUP(A238,Creation_1!$A$118:$AY$967,14,0))</f>
        <v>#N/A</v>
      </c>
      <c r="G238" s="143" t="e">
        <f>VLOOKUP(A238,Creation_BP!$A$118:$AY$967,14,0)</f>
        <v>#N/A</v>
      </c>
      <c r="H238" s="130" t="e">
        <f>INDEX(Creation_BP!B:B,MATCH(Values!A238,Creation_BP!A:A,0)+1)</f>
        <v>#N/A</v>
      </c>
      <c r="J238" s="144" t="e">
        <f t="shared" ref="J238" si="82">G238</f>
        <v>#N/A</v>
      </c>
      <c r="K238" s="130" t="e">
        <f t="shared" si="76"/>
        <v>#N/A</v>
      </c>
      <c r="M238" s="145"/>
      <c r="P238" s="146" t="e">
        <f>VLOOKUP(A238,Creation_XP!$A$112:$AY$911,14,0)</f>
        <v>#N/A</v>
      </c>
      <c r="Q238" s="130" t="e">
        <f>INDEX(Creation_XP!B:B,MATCH(Values!A238,Creation_XP!A:A,0)+1)</f>
        <v>#N/A</v>
      </c>
      <c r="S238" s="144" t="e">
        <f t="shared" si="77"/>
        <v>#N/A</v>
      </c>
      <c r="T238" s="130" t="e">
        <f t="shared" si="78"/>
        <v>#N/A</v>
      </c>
      <c r="V238" s="130"/>
      <c r="W238" s="147" t="str">
        <f t="shared" si="75"/>
        <v/>
      </c>
      <c r="X238" s="149" t="e">
        <f t="shared" si="79"/>
        <v>#N/A</v>
      </c>
      <c r="Y238" s="149"/>
      <c r="Z238" s="150">
        <f>IFERROR((P238&lt;&gt;X238)*(10-2*AB238)+OR(AA238="Spell",AA238="Evocation")*COUNTIF(Exalt_DB:Exalt_DBJH,$S$6)*2*(P238&lt;&gt;X238),0)</f>
        <v>0</v>
      </c>
      <c r="AA238" s="129" t="e">
        <f>VLOOKUP(A238,Creation_XP!A210:AY309,2,0)</f>
        <v>#N/A</v>
      </c>
      <c r="AB238" s="18" t="b">
        <f t="shared" si="80"/>
        <v>0</v>
      </c>
    </row>
    <row r="239" spans="1:28">
      <c r="A239" s="179">
        <f t="shared" si="81"/>
        <v>100</v>
      </c>
      <c r="B239" s="129" t="s">
        <v>3297</v>
      </c>
      <c r="D239" s="144" t="e">
        <f>IF(VLOOKUP(A239,Creation_1!$A$118:$AY$967,14,0)=0,"",VLOOKUP(A239,Creation_1!$A$118:$AY$967,14,0))</f>
        <v>#N/A</v>
      </c>
      <c r="G239" s="143" t="e">
        <f>VLOOKUP(A239,Creation_BP!$A$118:$AY$967,14,0)</f>
        <v>#N/A</v>
      </c>
      <c r="H239" s="130" t="e">
        <f>INDEX(Creation_BP!B:B,MATCH(Values!A239,Creation_BP!A:A,0)+1)</f>
        <v>#N/A</v>
      </c>
      <c r="J239" s="144" t="e">
        <f t="shared" si="74"/>
        <v>#N/A</v>
      </c>
      <c r="K239" s="130" t="e">
        <f t="shared" si="76"/>
        <v>#N/A</v>
      </c>
      <c r="M239" s="145"/>
      <c r="P239" s="146" t="e">
        <f>VLOOKUP(A239,Creation_XP!$A$112:$AY$911,14,0)</f>
        <v>#N/A</v>
      </c>
      <c r="Q239" s="130" t="e">
        <f>INDEX(Creation_XP!B:B,MATCH(Values!A239,Creation_XP!A:A,0)+1)</f>
        <v>#N/A</v>
      </c>
      <c r="S239" s="144" t="e">
        <f t="shared" si="77"/>
        <v>#N/A</v>
      </c>
      <c r="T239" s="130" t="e">
        <f t="shared" si="78"/>
        <v>#N/A</v>
      </c>
      <c r="V239" s="130"/>
      <c r="W239" s="147" t="str">
        <f>IFERROR(IF(G239&lt;&gt;D239,5-AB239,0),"")</f>
        <v/>
      </c>
      <c r="X239" s="149" t="e">
        <f t="shared" si="79"/>
        <v>#N/A</v>
      </c>
      <c r="Y239" s="149"/>
      <c r="Z239" s="150">
        <f>IFERROR((P239&lt;&gt;X239)*(10-2*AB239)+OR(AA239="Spell",AA239="Evocation")*COUNTIF(Exalt_DB:Exalt_DBJH,$S$6)*2*(P239&lt;&gt;X239),0)</f>
        <v>0</v>
      </c>
      <c r="AA239" s="129" t="e">
        <f>VLOOKUP(A239,Creation_XP!A211:AY310,2,0)</f>
        <v>#N/A</v>
      </c>
      <c r="AB239" s="18" t="b">
        <f t="shared" si="80"/>
        <v>0</v>
      </c>
    </row>
    <row r="240" spans="1:28">
      <c r="W240" s="151">
        <f>SUM(W155:W239)</f>
        <v>0</v>
      </c>
      <c r="Z240" s="164">
        <f>SUM(Z140:Z239)</f>
        <v>0</v>
      </c>
    </row>
    <row r="242" spans="1:21">
      <c r="A242" s="140" t="s">
        <v>3095</v>
      </c>
      <c r="D242" s="161" t="s">
        <v>80</v>
      </c>
      <c r="E242" s="142" t="s">
        <v>81</v>
      </c>
      <c r="F242" s="142" t="s">
        <v>3096</v>
      </c>
      <c r="G242" s="147" t="s">
        <v>80</v>
      </c>
      <c r="H242" s="143" t="s">
        <v>81</v>
      </c>
      <c r="I242" s="143" t="s">
        <v>3096</v>
      </c>
      <c r="J242" s="155" t="s">
        <v>80</v>
      </c>
      <c r="K242" s="144" t="s">
        <v>81</v>
      </c>
      <c r="L242" s="144" t="s">
        <v>3096</v>
      </c>
      <c r="M242" s="191" t="s">
        <v>80</v>
      </c>
      <c r="N242" s="145" t="s">
        <v>81</v>
      </c>
      <c r="O242" s="145" t="s">
        <v>3096</v>
      </c>
      <c r="P242" s="149" t="s">
        <v>80</v>
      </c>
      <c r="Q242" s="146" t="s">
        <v>81</v>
      </c>
      <c r="R242" s="146" t="s">
        <v>3096</v>
      </c>
      <c r="S242" s="155" t="s">
        <v>80</v>
      </c>
      <c r="T242" s="144" t="s">
        <v>81</v>
      </c>
      <c r="U242" s="144" t="s">
        <v>3096</v>
      </c>
    </row>
    <row r="243" spans="1:21">
      <c r="A243" s="129" t="s">
        <v>3097</v>
      </c>
      <c r="D243" s="161">
        <f>Creation_1!B63</f>
        <v>0</v>
      </c>
      <c r="E243" s="142">
        <f>Creation_1!N63</f>
        <v>0</v>
      </c>
      <c r="F243" s="142">
        <f>Creation_1!T63</f>
        <v>0</v>
      </c>
      <c r="G243" s="143" t="str">
        <f>Creation_BP!B63</f>
        <v/>
      </c>
      <c r="H243" s="143" t="str">
        <f>Creation_BP!N63</f>
        <v/>
      </c>
      <c r="I243" s="143" t="str">
        <f>Creation_BP!T63</f>
        <v/>
      </c>
      <c r="J243" s="144" t="str">
        <f>G243</f>
        <v/>
      </c>
      <c r="K243" s="144" t="str">
        <f>H243</f>
        <v/>
      </c>
      <c r="L243" s="144" t="str">
        <f>I243</f>
        <v/>
      </c>
      <c r="M243" s="145"/>
      <c r="N243" s="145"/>
      <c r="O243" s="145"/>
      <c r="P243" s="146" t="str">
        <f>Creation_XP!B63</f>
        <v/>
      </c>
      <c r="Q243" s="146" t="str">
        <f>Creation_XP!N63</f>
        <v/>
      </c>
      <c r="R243" s="146" t="str">
        <f>Creation_XP!T63</f>
        <v/>
      </c>
      <c r="S243" s="144" t="str">
        <f>P243</f>
        <v/>
      </c>
      <c r="T243" s="144" t="str">
        <f>Q243</f>
        <v/>
      </c>
      <c r="U243" s="144" t="str">
        <f>R243</f>
        <v/>
      </c>
    </row>
    <row r="244" spans="1:21">
      <c r="A244" s="129" t="s">
        <v>3098</v>
      </c>
      <c r="D244" s="161">
        <f>Creation_1!B64</f>
        <v>0</v>
      </c>
      <c r="E244" s="142">
        <f>Creation_1!N64</f>
        <v>0</v>
      </c>
      <c r="F244" s="142">
        <f>Creation_1!T64</f>
        <v>0</v>
      </c>
      <c r="G244" s="143" t="str">
        <f>Creation_BP!B64</f>
        <v/>
      </c>
      <c r="H244" s="143" t="str">
        <f>Creation_BP!N64</f>
        <v/>
      </c>
      <c r="I244" s="143" t="str">
        <f>Creation_BP!T64</f>
        <v/>
      </c>
      <c r="J244" s="144" t="str">
        <f t="shared" ref="J244:J292" si="83">G244</f>
        <v/>
      </c>
      <c r="K244" s="144" t="str">
        <f t="shared" ref="K244:K292" si="84">H244</f>
        <v/>
      </c>
      <c r="L244" s="144" t="str">
        <f t="shared" ref="L244:L267" si="85">I244</f>
        <v/>
      </c>
      <c r="M244" s="145"/>
      <c r="N244" s="145"/>
      <c r="O244" s="145"/>
      <c r="P244" s="146" t="str">
        <f>Creation_XP!B64</f>
        <v/>
      </c>
      <c r="Q244" s="146" t="str">
        <f>Creation_XP!N64</f>
        <v/>
      </c>
      <c r="R244" s="146" t="str">
        <f>Creation_XP!T64</f>
        <v/>
      </c>
      <c r="S244" s="144" t="str">
        <f t="shared" ref="S244:S292" si="86">P244</f>
        <v/>
      </c>
      <c r="T244" s="144" t="str">
        <f t="shared" ref="T244:T292" si="87">Q244</f>
        <v/>
      </c>
      <c r="U244" s="144" t="str">
        <f t="shared" ref="U244:U292" si="88">R244</f>
        <v/>
      </c>
    </row>
    <row r="245" spans="1:21">
      <c r="A245" s="129" t="s">
        <v>3099</v>
      </c>
      <c r="D245" s="161">
        <f>Creation_1!B65</f>
        <v>0</v>
      </c>
      <c r="E245" s="142">
        <f>Creation_1!N65</f>
        <v>0</v>
      </c>
      <c r="F245" s="142">
        <f>Creation_1!T65</f>
        <v>0</v>
      </c>
      <c r="G245" s="143" t="str">
        <f>Creation_BP!B65</f>
        <v/>
      </c>
      <c r="H245" s="143" t="str">
        <f>Creation_BP!N65</f>
        <v/>
      </c>
      <c r="I245" s="143" t="str">
        <f>Creation_BP!T65</f>
        <v/>
      </c>
      <c r="J245" s="144" t="str">
        <f t="shared" si="83"/>
        <v/>
      </c>
      <c r="K245" s="144" t="str">
        <f t="shared" si="84"/>
        <v/>
      </c>
      <c r="L245" s="144" t="str">
        <f t="shared" si="85"/>
        <v/>
      </c>
      <c r="M245" s="145"/>
      <c r="N245" s="145"/>
      <c r="O245" s="145"/>
      <c r="P245" s="146" t="str">
        <f>Creation_XP!B65</f>
        <v/>
      </c>
      <c r="Q245" s="146" t="str">
        <f>Creation_XP!N65</f>
        <v/>
      </c>
      <c r="R245" s="146" t="str">
        <f>Creation_XP!T65</f>
        <v/>
      </c>
      <c r="S245" s="144" t="str">
        <f t="shared" si="86"/>
        <v/>
      </c>
      <c r="T245" s="144" t="str">
        <f t="shared" si="87"/>
        <v/>
      </c>
      <c r="U245" s="144" t="str">
        <f t="shared" si="88"/>
        <v/>
      </c>
    </row>
    <row r="246" spans="1:21">
      <c r="A246" s="129" t="s">
        <v>3100</v>
      </c>
      <c r="D246" s="161">
        <f>Creation_1!B66</f>
        <v>0</v>
      </c>
      <c r="E246" s="142">
        <f>Creation_1!N66</f>
        <v>0</v>
      </c>
      <c r="F246" s="142">
        <f>Creation_1!T66</f>
        <v>0</v>
      </c>
      <c r="G246" s="143" t="str">
        <f>Creation_BP!B66</f>
        <v/>
      </c>
      <c r="H246" s="143" t="str">
        <f>Creation_BP!N66</f>
        <v/>
      </c>
      <c r="I246" s="143" t="str">
        <f>Creation_BP!T66</f>
        <v/>
      </c>
      <c r="J246" s="144" t="str">
        <f t="shared" si="83"/>
        <v/>
      </c>
      <c r="K246" s="144" t="str">
        <f t="shared" si="84"/>
        <v/>
      </c>
      <c r="L246" s="144" t="str">
        <f t="shared" si="85"/>
        <v/>
      </c>
      <c r="M246" s="145"/>
      <c r="N246" s="145"/>
      <c r="O246" s="145"/>
      <c r="P246" s="146" t="str">
        <f>Creation_XP!B66</f>
        <v/>
      </c>
      <c r="Q246" s="146" t="str">
        <f>Creation_XP!N66</f>
        <v/>
      </c>
      <c r="R246" s="146" t="str">
        <f>Creation_XP!T66</f>
        <v/>
      </c>
      <c r="S246" s="144" t="str">
        <f t="shared" si="86"/>
        <v/>
      </c>
      <c r="T246" s="144" t="str">
        <f t="shared" si="87"/>
        <v/>
      </c>
      <c r="U246" s="144" t="str">
        <f t="shared" si="88"/>
        <v/>
      </c>
    </row>
    <row r="247" spans="1:21">
      <c r="A247" s="129" t="s">
        <v>3101</v>
      </c>
      <c r="D247" s="161">
        <f>Creation_1!B67</f>
        <v>0</v>
      </c>
      <c r="E247" s="142">
        <f>Creation_1!N67</f>
        <v>0</v>
      </c>
      <c r="F247" s="142">
        <f>Creation_1!T67</f>
        <v>0</v>
      </c>
      <c r="G247" s="143" t="str">
        <f>Creation_BP!B67</f>
        <v/>
      </c>
      <c r="H247" s="143" t="str">
        <f>Creation_BP!N67</f>
        <v/>
      </c>
      <c r="I247" s="143" t="str">
        <f>Creation_BP!T67</f>
        <v/>
      </c>
      <c r="J247" s="144" t="str">
        <f t="shared" si="83"/>
        <v/>
      </c>
      <c r="K247" s="144" t="str">
        <f t="shared" si="84"/>
        <v/>
      </c>
      <c r="L247" s="144" t="str">
        <f t="shared" si="85"/>
        <v/>
      </c>
      <c r="M247" s="145"/>
      <c r="N247" s="145"/>
      <c r="O247" s="145"/>
      <c r="P247" s="146" t="str">
        <f>Creation_XP!B67</f>
        <v/>
      </c>
      <c r="Q247" s="146" t="str">
        <f>Creation_XP!N67</f>
        <v/>
      </c>
      <c r="R247" s="146" t="str">
        <f>Creation_XP!T67</f>
        <v/>
      </c>
      <c r="S247" s="144" t="str">
        <f t="shared" si="86"/>
        <v/>
      </c>
      <c r="T247" s="144" t="str">
        <f t="shared" si="87"/>
        <v/>
      </c>
      <c r="U247" s="144" t="str">
        <f t="shared" si="88"/>
        <v/>
      </c>
    </row>
    <row r="248" spans="1:21">
      <c r="A248" s="129" t="s">
        <v>3102</v>
      </c>
      <c r="D248" s="161">
        <f>Creation_1!B68</f>
        <v>0</v>
      </c>
      <c r="E248" s="142">
        <f>Creation_1!N68</f>
        <v>0</v>
      </c>
      <c r="F248" s="142">
        <f>Creation_1!T68</f>
        <v>0</v>
      </c>
      <c r="G248" s="143" t="str">
        <f>Creation_BP!B68</f>
        <v/>
      </c>
      <c r="H248" s="143" t="str">
        <f>Creation_BP!N68</f>
        <v/>
      </c>
      <c r="I248" s="143" t="str">
        <f>Creation_BP!T68</f>
        <v/>
      </c>
      <c r="J248" s="144" t="str">
        <f t="shared" si="83"/>
        <v/>
      </c>
      <c r="K248" s="144" t="str">
        <f t="shared" si="84"/>
        <v/>
      </c>
      <c r="L248" s="144" t="str">
        <f t="shared" si="85"/>
        <v/>
      </c>
      <c r="M248" s="145"/>
      <c r="N248" s="145"/>
      <c r="O248" s="145"/>
      <c r="P248" s="146" t="str">
        <f>Creation_XP!B68</f>
        <v/>
      </c>
      <c r="Q248" s="146" t="str">
        <f>Creation_XP!N68</f>
        <v/>
      </c>
      <c r="R248" s="146" t="str">
        <f>Creation_XP!T68</f>
        <v/>
      </c>
      <c r="S248" s="144" t="str">
        <f t="shared" si="86"/>
        <v/>
      </c>
      <c r="T248" s="144" t="str">
        <f t="shared" si="87"/>
        <v/>
      </c>
      <c r="U248" s="144" t="str">
        <f t="shared" si="88"/>
        <v/>
      </c>
    </row>
    <row r="249" spans="1:21">
      <c r="A249" s="129" t="s">
        <v>3103</v>
      </c>
      <c r="D249" s="161">
        <f>Creation_1!B69</f>
        <v>0</v>
      </c>
      <c r="E249" s="142">
        <f>Creation_1!N69</f>
        <v>0</v>
      </c>
      <c r="F249" s="142">
        <f>Creation_1!T69</f>
        <v>0</v>
      </c>
      <c r="G249" s="143" t="str">
        <f>Creation_BP!B69</f>
        <v/>
      </c>
      <c r="H249" s="143" t="str">
        <f>Creation_BP!N69</f>
        <v/>
      </c>
      <c r="I249" s="143" t="str">
        <f>Creation_BP!T69</f>
        <v/>
      </c>
      <c r="J249" s="144" t="str">
        <f t="shared" si="83"/>
        <v/>
      </c>
      <c r="K249" s="144" t="str">
        <f t="shared" si="84"/>
        <v/>
      </c>
      <c r="L249" s="144" t="str">
        <f t="shared" si="85"/>
        <v/>
      </c>
      <c r="M249" s="145"/>
      <c r="N249" s="145"/>
      <c r="O249" s="145"/>
      <c r="P249" s="146" t="str">
        <f>Creation_XP!B69</f>
        <v/>
      </c>
      <c r="Q249" s="146" t="str">
        <f>Creation_XP!N69</f>
        <v/>
      </c>
      <c r="R249" s="146" t="str">
        <f>Creation_XP!T69</f>
        <v/>
      </c>
      <c r="S249" s="144" t="str">
        <f t="shared" si="86"/>
        <v/>
      </c>
      <c r="T249" s="144" t="str">
        <f t="shared" si="87"/>
        <v/>
      </c>
      <c r="U249" s="144" t="str">
        <f t="shared" si="88"/>
        <v/>
      </c>
    </row>
    <row r="250" spans="1:21">
      <c r="A250" s="129" t="s">
        <v>3104</v>
      </c>
      <c r="D250" s="161">
        <f>Creation_1!B70</f>
        <v>0</v>
      </c>
      <c r="E250" s="142">
        <f>Creation_1!N70</f>
        <v>0</v>
      </c>
      <c r="F250" s="142">
        <f>Creation_1!T70</f>
        <v>0</v>
      </c>
      <c r="G250" s="143" t="str">
        <f>Creation_BP!B70</f>
        <v/>
      </c>
      <c r="H250" s="143" t="str">
        <f>Creation_BP!N70</f>
        <v/>
      </c>
      <c r="I250" s="143" t="str">
        <f>Creation_BP!T70</f>
        <v/>
      </c>
      <c r="J250" s="144" t="str">
        <f t="shared" si="83"/>
        <v/>
      </c>
      <c r="K250" s="144" t="str">
        <f t="shared" si="84"/>
        <v/>
      </c>
      <c r="L250" s="144" t="str">
        <f t="shared" si="85"/>
        <v/>
      </c>
      <c r="M250" s="145"/>
      <c r="N250" s="145"/>
      <c r="O250" s="145"/>
      <c r="P250" s="146" t="str">
        <f>Creation_XP!B70</f>
        <v/>
      </c>
      <c r="Q250" s="146" t="str">
        <f>Creation_XP!N70</f>
        <v/>
      </c>
      <c r="R250" s="146" t="str">
        <f>Creation_XP!T70</f>
        <v/>
      </c>
      <c r="S250" s="144" t="str">
        <f t="shared" si="86"/>
        <v/>
      </c>
      <c r="T250" s="144" t="str">
        <f t="shared" si="87"/>
        <v/>
      </c>
      <c r="U250" s="144" t="str">
        <f t="shared" si="88"/>
        <v/>
      </c>
    </row>
    <row r="251" spans="1:21">
      <c r="A251" s="129" t="s">
        <v>3105</v>
      </c>
      <c r="D251" s="161">
        <f>Creation_1!B71</f>
        <v>0</v>
      </c>
      <c r="E251" s="142">
        <f>Creation_1!N71</f>
        <v>0</v>
      </c>
      <c r="F251" s="142">
        <f>Creation_1!T71</f>
        <v>0</v>
      </c>
      <c r="G251" s="143" t="str">
        <f>Creation_BP!B71</f>
        <v/>
      </c>
      <c r="H251" s="143" t="str">
        <f>Creation_BP!N71</f>
        <v/>
      </c>
      <c r="I251" s="143" t="str">
        <f>Creation_BP!T71</f>
        <v/>
      </c>
      <c r="J251" s="144" t="str">
        <f t="shared" si="83"/>
        <v/>
      </c>
      <c r="K251" s="144" t="str">
        <f t="shared" si="84"/>
        <v/>
      </c>
      <c r="L251" s="144" t="str">
        <f t="shared" si="85"/>
        <v/>
      </c>
      <c r="M251" s="145"/>
      <c r="N251" s="145"/>
      <c r="O251" s="145"/>
      <c r="P251" s="146" t="str">
        <f>Creation_XP!B71</f>
        <v/>
      </c>
      <c r="Q251" s="146" t="str">
        <f>Creation_XP!N71</f>
        <v/>
      </c>
      <c r="R251" s="146" t="str">
        <f>Creation_XP!T71</f>
        <v/>
      </c>
      <c r="S251" s="144" t="str">
        <f t="shared" si="86"/>
        <v/>
      </c>
      <c r="T251" s="144" t="str">
        <f t="shared" si="87"/>
        <v/>
      </c>
      <c r="U251" s="144" t="str">
        <f t="shared" si="88"/>
        <v/>
      </c>
    </row>
    <row r="252" spans="1:21">
      <c r="A252" s="129" t="s">
        <v>3106</v>
      </c>
      <c r="D252" s="161">
        <f>Creation_1!B72</f>
        <v>0</v>
      </c>
      <c r="E252" s="142">
        <f>Creation_1!N72</f>
        <v>0</v>
      </c>
      <c r="F252" s="142">
        <f>Creation_1!T72</f>
        <v>0</v>
      </c>
      <c r="G252" s="143" t="str">
        <f>Creation_BP!B72</f>
        <v/>
      </c>
      <c r="H252" s="143" t="str">
        <f>Creation_BP!N72</f>
        <v/>
      </c>
      <c r="I252" s="143" t="str">
        <f>Creation_BP!T72</f>
        <v/>
      </c>
      <c r="J252" s="144" t="str">
        <f t="shared" si="83"/>
        <v/>
      </c>
      <c r="K252" s="144" t="str">
        <f t="shared" si="84"/>
        <v/>
      </c>
      <c r="L252" s="144" t="str">
        <f t="shared" si="85"/>
        <v/>
      </c>
      <c r="M252" s="145"/>
      <c r="N252" s="145"/>
      <c r="O252" s="145"/>
      <c r="P252" s="146" t="str">
        <f>Creation_XP!B72</f>
        <v/>
      </c>
      <c r="Q252" s="146" t="str">
        <f>Creation_XP!N72</f>
        <v/>
      </c>
      <c r="R252" s="146" t="str">
        <f>Creation_XP!T72</f>
        <v/>
      </c>
      <c r="S252" s="144" t="str">
        <f t="shared" si="86"/>
        <v/>
      </c>
      <c r="T252" s="144" t="str">
        <f t="shared" si="87"/>
        <v/>
      </c>
      <c r="U252" s="144" t="str">
        <f t="shared" si="88"/>
        <v/>
      </c>
    </row>
    <row r="253" spans="1:21">
      <c r="A253" s="129" t="s">
        <v>3107</v>
      </c>
      <c r="D253" s="161">
        <f>Creation_1!B73</f>
        <v>0</v>
      </c>
      <c r="E253" s="142">
        <f>Creation_1!N73</f>
        <v>0</v>
      </c>
      <c r="F253" s="142">
        <f>Creation_1!T73</f>
        <v>0</v>
      </c>
      <c r="G253" s="143" t="str">
        <f>Creation_BP!B73</f>
        <v/>
      </c>
      <c r="H253" s="143" t="str">
        <f>Creation_BP!N73</f>
        <v/>
      </c>
      <c r="I253" s="143" t="str">
        <f>Creation_BP!T73</f>
        <v/>
      </c>
      <c r="J253" s="144" t="str">
        <f t="shared" si="83"/>
        <v/>
      </c>
      <c r="K253" s="144" t="str">
        <f t="shared" si="84"/>
        <v/>
      </c>
      <c r="L253" s="144" t="str">
        <f t="shared" si="85"/>
        <v/>
      </c>
      <c r="M253" s="145"/>
      <c r="N253" s="145"/>
      <c r="O253" s="145"/>
      <c r="P253" s="146" t="str">
        <f>Creation_XP!B73</f>
        <v/>
      </c>
      <c r="Q253" s="146" t="str">
        <f>Creation_XP!N73</f>
        <v/>
      </c>
      <c r="R253" s="146" t="str">
        <f>Creation_XP!T73</f>
        <v/>
      </c>
      <c r="S253" s="144" t="str">
        <f t="shared" si="86"/>
        <v/>
      </c>
      <c r="T253" s="144" t="str">
        <f t="shared" si="87"/>
        <v/>
      </c>
      <c r="U253" s="144" t="str">
        <f t="shared" si="88"/>
        <v/>
      </c>
    </row>
    <row r="254" spans="1:21">
      <c r="A254" s="129" t="s">
        <v>3108</v>
      </c>
      <c r="D254" s="161">
        <f>Creation_1!B74</f>
        <v>0</v>
      </c>
      <c r="E254" s="142">
        <f>Creation_1!N74</f>
        <v>0</v>
      </c>
      <c r="F254" s="142">
        <f>Creation_1!T74</f>
        <v>0</v>
      </c>
      <c r="G254" s="143" t="str">
        <f>Creation_BP!B74</f>
        <v/>
      </c>
      <c r="H254" s="143" t="str">
        <f>Creation_BP!N74</f>
        <v/>
      </c>
      <c r="I254" s="143" t="str">
        <f>Creation_BP!T74</f>
        <v/>
      </c>
      <c r="J254" s="144" t="str">
        <f t="shared" si="83"/>
        <v/>
      </c>
      <c r="K254" s="144" t="str">
        <f t="shared" si="84"/>
        <v/>
      </c>
      <c r="L254" s="144" t="str">
        <f t="shared" si="85"/>
        <v/>
      </c>
      <c r="M254" s="145"/>
      <c r="N254" s="145"/>
      <c r="O254" s="145"/>
      <c r="P254" s="146" t="str">
        <f>Creation_XP!B74</f>
        <v/>
      </c>
      <c r="Q254" s="146" t="str">
        <f>Creation_XP!N74</f>
        <v/>
      </c>
      <c r="R254" s="146" t="str">
        <f>Creation_XP!T74</f>
        <v/>
      </c>
      <c r="S254" s="144" t="str">
        <f t="shared" si="86"/>
        <v/>
      </c>
      <c r="T254" s="144" t="str">
        <f t="shared" si="87"/>
        <v/>
      </c>
      <c r="U254" s="144" t="str">
        <f t="shared" si="88"/>
        <v/>
      </c>
    </row>
    <row r="255" spans="1:21">
      <c r="A255" s="129" t="s">
        <v>3109</v>
      </c>
      <c r="D255" s="161">
        <f>Creation_1!B75</f>
        <v>0</v>
      </c>
      <c r="E255" s="142">
        <f>Creation_1!N75</f>
        <v>0</v>
      </c>
      <c r="F255" s="142">
        <f>Creation_1!T75</f>
        <v>0</v>
      </c>
      <c r="G255" s="143" t="str">
        <f>Creation_BP!B75</f>
        <v/>
      </c>
      <c r="H255" s="143" t="str">
        <f>Creation_BP!N75</f>
        <v/>
      </c>
      <c r="I255" s="143" t="str">
        <f>Creation_BP!T75</f>
        <v/>
      </c>
      <c r="J255" s="144" t="str">
        <f t="shared" si="83"/>
        <v/>
      </c>
      <c r="K255" s="144" t="str">
        <f t="shared" si="84"/>
        <v/>
      </c>
      <c r="L255" s="144" t="str">
        <f t="shared" si="85"/>
        <v/>
      </c>
      <c r="M255" s="145"/>
      <c r="N255" s="145"/>
      <c r="O255" s="145"/>
      <c r="P255" s="146" t="str">
        <f>Creation_XP!B75</f>
        <v/>
      </c>
      <c r="Q255" s="146" t="str">
        <f>Creation_XP!N75</f>
        <v/>
      </c>
      <c r="R255" s="146" t="str">
        <f>Creation_XP!T75</f>
        <v/>
      </c>
      <c r="S255" s="144" t="str">
        <f t="shared" si="86"/>
        <v/>
      </c>
      <c r="T255" s="144" t="str">
        <f t="shared" si="87"/>
        <v/>
      </c>
      <c r="U255" s="144" t="str">
        <f t="shared" si="88"/>
        <v/>
      </c>
    </row>
    <row r="256" spans="1:21">
      <c r="A256" s="129" t="s">
        <v>3110</v>
      </c>
      <c r="D256" s="161">
        <f>Creation_1!B76</f>
        <v>0</v>
      </c>
      <c r="E256" s="142">
        <f>Creation_1!N76</f>
        <v>0</v>
      </c>
      <c r="F256" s="142">
        <f>Creation_1!T76</f>
        <v>0</v>
      </c>
      <c r="G256" s="143" t="str">
        <f>Creation_BP!B76</f>
        <v/>
      </c>
      <c r="H256" s="143" t="str">
        <f>Creation_BP!N76</f>
        <v/>
      </c>
      <c r="I256" s="143" t="str">
        <f>Creation_BP!T76</f>
        <v/>
      </c>
      <c r="J256" s="144" t="str">
        <f t="shared" si="83"/>
        <v/>
      </c>
      <c r="K256" s="144" t="str">
        <f t="shared" si="84"/>
        <v/>
      </c>
      <c r="L256" s="144" t="str">
        <f t="shared" si="85"/>
        <v/>
      </c>
      <c r="M256" s="145"/>
      <c r="N256" s="145"/>
      <c r="O256" s="145"/>
      <c r="P256" s="146" t="str">
        <f>Creation_XP!B76</f>
        <v/>
      </c>
      <c r="Q256" s="146" t="str">
        <f>Creation_XP!N76</f>
        <v/>
      </c>
      <c r="R256" s="146" t="str">
        <f>Creation_XP!T76</f>
        <v/>
      </c>
      <c r="S256" s="144" t="str">
        <f t="shared" si="86"/>
        <v/>
      </c>
      <c r="T256" s="144" t="str">
        <f t="shared" si="87"/>
        <v/>
      </c>
      <c r="U256" s="144" t="str">
        <f t="shared" si="88"/>
        <v/>
      </c>
    </row>
    <row r="257" spans="1:21">
      <c r="A257" s="129" t="s">
        <v>3111</v>
      </c>
      <c r="D257" s="161">
        <f>Creation_1!B77</f>
        <v>0</v>
      </c>
      <c r="E257" s="142">
        <f>Creation_1!N77</f>
        <v>0</v>
      </c>
      <c r="F257" s="142">
        <f>Creation_1!T77</f>
        <v>0</v>
      </c>
      <c r="G257" s="143" t="str">
        <f>Creation_BP!B77</f>
        <v/>
      </c>
      <c r="H257" s="143" t="str">
        <f>Creation_BP!N77</f>
        <v/>
      </c>
      <c r="I257" s="143" t="str">
        <f>Creation_BP!T77</f>
        <v/>
      </c>
      <c r="J257" s="144" t="str">
        <f t="shared" si="83"/>
        <v/>
      </c>
      <c r="K257" s="144" t="str">
        <f t="shared" si="84"/>
        <v/>
      </c>
      <c r="L257" s="144" t="str">
        <f t="shared" si="85"/>
        <v/>
      </c>
      <c r="M257" s="145"/>
      <c r="N257" s="145"/>
      <c r="O257" s="145"/>
      <c r="P257" s="146" t="str">
        <f>Creation_XP!B77</f>
        <v/>
      </c>
      <c r="Q257" s="146" t="str">
        <f>Creation_XP!N77</f>
        <v/>
      </c>
      <c r="R257" s="146" t="str">
        <f>Creation_XP!T77</f>
        <v/>
      </c>
      <c r="S257" s="144" t="str">
        <f t="shared" si="86"/>
        <v/>
      </c>
      <c r="T257" s="144" t="str">
        <f t="shared" si="87"/>
        <v/>
      </c>
      <c r="U257" s="144" t="str">
        <f t="shared" si="88"/>
        <v/>
      </c>
    </row>
    <row r="258" spans="1:21">
      <c r="A258" s="129" t="s">
        <v>3112</v>
      </c>
      <c r="D258" s="161">
        <f>Creation_1!B78</f>
        <v>0</v>
      </c>
      <c r="E258" s="142">
        <f>Creation_1!N78</f>
        <v>0</v>
      </c>
      <c r="F258" s="142">
        <f>Creation_1!T78</f>
        <v>0</v>
      </c>
      <c r="G258" s="143" t="str">
        <f>Creation_BP!B78</f>
        <v/>
      </c>
      <c r="H258" s="143" t="str">
        <f>Creation_BP!N78</f>
        <v/>
      </c>
      <c r="I258" s="143" t="str">
        <f>Creation_BP!T78</f>
        <v/>
      </c>
      <c r="J258" s="144" t="str">
        <f t="shared" si="83"/>
        <v/>
      </c>
      <c r="K258" s="144" t="str">
        <f t="shared" si="84"/>
        <v/>
      </c>
      <c r="L258" s="144" t="str">
        <f t="shared" si="85"/>
        <v/>
      </c>
      <c r="M258" s="145"/>
      <c r="N258" s="145"/>
      <c r="O258" s="145"/>
      <c r="P258" s="146" t="str">
        <f>Creation_XP!B78</f>
        <v/>
      </c>
      <c r="Q258" s="146" t="str">
        <f>Creation_XP!N78</f>
        <v/>
      </c>
      <c r="R258" s="146" t="str">
        <f>Creation_XP!T78</f>
        <v/>
      </c>
      <c r="S258" s="144" t="str">
        <f t="shared" si="86"/>
        <v/>
      </c>
      <c r="T258" s="144" t="str">
        <f t="shared" si="87"/>
        <v/>
      </c>
      <c r="U258" s="144" t="str">
        <f t="shared" si="88"/>
        <v/>
      </c>
    </row>
    <row r="259" spans="1:21">
      <c r="A259" s="129" t="s">
        <v>3113</v>
      </c>
      <c r="D259" s="161">
        <f>Creation_1!B79</f>
        <v>0</v>
      </c>
      <c r="E259" s="142">
        <f>Creation_1!N79</f>
        <v>0</v>
      </c>
      <c r="F259" s="142">
        <f>Creation_1!T79</f>
        <v>0</v>
      </c>
      <c r="G259" s="143" t="str">
        <f>Creation_BP!B79</f>
        <v/>
      </c>
      <c r="H259" s="143" t="str">
        <f>Creation_BP!N79</f>
        <v/>
      </c>
      <c r="I259" s="143" t="str">
        <f>Creation_BP!T79</f>
        <v/>
      </c>
      <c r="J259" s="144" t="str">
        <f t="shared" si="83"/>
        <v/>
      </c>
      <c r="K259" s="144" t="str">
        <f t="shared" si="84"/>
        <v/>
      </c>
      <c r="L259" s="144" t="str">
        <f t="shared" si="85"/>
        <v/>
      </c>
      <c r="M259" s="145"/>
      <c r="N259" s="145"/>
      <c r="O259" s="145"/>
      <c r="P259" s="146" t="str">
        <f>Creation_XP!B79</f>
        <v/>
      </c>
      <c r="Q259" s="146" t="str">
        <f>Creation_XP!N79</f>
        <v/>
      </c>
      <c r="R259" s="146" t="str">
        <f>Creation_XP!T79</f>
        <v/>
      </c>
      <c r="S259" s="144" t="str">
        <f t="shared" si="86"/>
        <v/>
      </c>
      <c r="T259" s="144" t="str">
        <f t="shared" si="87"/>
        <v/>
      </c>
      <c r="U259" s="144" t="str">
        <f t="shared" si="88"/>
        <v/>
      </c>
    </row>
    <row r="260" spans="1:21">
      <c r="A260" s="129" t="s">
        <v>3114</v>
      </c>
      <c r="D260" s="161">
        <f>Creation_1!B80</f>
        <v>0</v>
      </c>
      <c r="E260" s="142">
        <f>Creation_1!N80</f>
        <v>0</v>
      </c>
      <c r="F260" s="142">
        <f>Creation_1!T80</f>
        <v>0</v>
      </c>
      <c r="G260" s="143" t="str">
        <f>Creation_BP!B80</f>
        <v/>
      </c>
      <c r="H260" s="143" t="str">
        <f>Creation_BP!N80</f>
        <v/>
      </c>
      <c r="I260" s="143" t="str">
        <f>Creation_BP!T80</f>
        <v/>
      </c>
      <c r="J260" s="144" t="str">
        <f t="shared" si="83"/>
        <v/>
      </c>
      <c r="K260" s="144" t="str">
        <f t="shared" si="84"/>
        <v/>
      </c>
      <c r="L260" s="144" t="str">
        <f t="shared" si="85"/>
        <v/>
      </c>
      <c r="M260" s="145"/>
      <c r="N260" s="145"/>
      <c r="O260" s="145"/>
      <c r="P260" s="146" t="str">
        <f>Creation_XP!B80</f>
        <v/>
      </c>
      <c r="Q260" s="146" t="str">
        <f>Creation_XP!N80</f>
        <v/>
      </c>
      <c r="R260" s="146" t="str">
        <f>Creation_XP!T80</f>
        <v/>
      </c>
      <c r="S260" s="144" t="str">
        <f t="shared" si="86"/>
        <v/>
      </c>
      <c r="T260" s="144" t="str">
        <f t="shared" si="87"/>
        <v/>
      </c>
      <c r="U260" s="144" t="str">
        <f t="shared" si="88"/>
        <v/>
      </c>
    </row>
    <row r="261" spans="1:21">
      <c r="A261" s="129" t="s">
        <v>3115</v>
      </c>
      <c r="D261" s="161">
        <f>Creation_1!B81</f>
        <v>0</v>
      </c>
      <c r="E261" s="142">
        <f>Creation_1!N81</f>
        <v>0</v>
      </c>
      <c r="F261" s="142">
        <f>Creation_1!T81</f>
        <v>0</v>
      </c>
      <c r="G261" s="143" t="str">
        <f>Creation_BP!B81</f>
        <v/>
      </c>
      <c r="H261" s="143" t="str">
        <f>Creation_BP!N81</f>
        <v/>
      </c>
      <c r="I261" s="143" t="str">
        <f>Creation_BP!T81</f>
        <v/>
      </c>
      <c r="J261" s="144" t="str">
        <f t="shared" si="83"/>
        <v/>
      </c>
      <c r="K261" s="144" t="str">
        <f t="shared" si="84"/>
        <v/>
      </c>
      <c r="L261" s="144" t="str">
        <f t="shared" si="85"/>
        <v/>
      </c>
      <c r="M261" s="145"/>
      <c r="N261" s="145"/>
      <c r="O261" s="145"/>
      <c r="P261" s="146" t="str">
        <f>Creation_XP!B81</f>
        <v/>
      </c>
      <c r="Q261" s="146" t="str">
        <f>Creation_XP!N81</f>
        <v/>
      </c>
      <c r="R261" s="146" t="str">
        <f>Creation_XP!T81</f>
        <v/>
      </c>
      <c r="S261" s="144" t="str">
        <f t="shared" si="86"/>
        <v/>
      </c>
      <c r="T261" s="144" t="str">
        <f t="shared" si="87"/>
        <v/>
      </c>
      <c r="U261" s="144" t="str">
        <f t="shared" si="88"/>
        <v/>
      </c>
    </row>
    <row r="262" spans="1:21">
      <c r="A262" s="129" t="s">
        <v>3116</v>
      </c>
      <c r="D262" s="161">
        <f>Creation_1!B82</f>
        <v>0</v>
      </c>
      <c r="E262" s="142">
        <f>Creation_1!N82</f>
        <v>0</v>
      </c>
      <c r="F262" s="142">
        <f>Creation_1!T82</f>
        <v>0</v>
      </c>
      <c r="G262" s="143" t="str">
        <f>Creation_BP!B82</f>
        <v/>
      </c>
      <c r="H262" s="143" t="str">
        <f>Creation_BP!N82</f>
        <v/>
      </c>
      <c r="I262" s="143" t="str">
        <f>Creation_BP!T82</f>
        <v/>
      </c>
      <c r="J262" s="144" t="str">
        <f t="shared" si="83"/>
        <v/>
      </c>
      <c r="K262" s="144" t="str">
        <f t="shared" si="84"/>
        <v/>
      </c>
      <c r="L262" s="144" t="str">
        <f t="shared" si="85"/>
        <v/>
      </c>
      <c r="M262" s="145"/>
      <c r="N262" s="145"/>
      <c r="O262" s="145"/>
      <c r="P262" s="146" t="str">
        <f>Creation_XP!B82</f>
        <v/>
      </c>
      <c r="Q262" s="146" t="str">
        <f>Creation_XP!N82</f>
        <v/>
      </c>
      <c r="R262" s="146" t="str">
        <f>Creation_XP!T82</f>
        <v/>
      </c>
      <c r="S262" s="144" t="str">
        <f t="shared" si="86"/>
        <v/>
      </c>
      <c r="T262" s="144" t="str">
        <f t="shared" si="87"/>
        <v/>
      </c>
      <c r="U262" s="144" t="str">
        <f t="shared" si="88"/>
        <v/>
      </c>
    </row>
    <row r="263" spans="1:21">
      <c r="A263" s="129" t="s">
        <v>3117</v>
      </c>
      <c r="D263" s="161">
        <f>Creation_1!B83</f>
        <v>0</v>
      </c>
      <c r="E263" s="142">
        <f>Creation_1!N83</f>
        <v>0</v>
      </c>
      <c r="F263" s="142">
        <f>Creation_1!T83</f>
        <v>0</v>
      </c>
      <c r="G263" s="143" t="str">
        <f>Creation_BP!B83</f>
        <v/>
      </c>
      <c r="H263" s="143" t="str">
        <f>Creation_BP!N83</f>
        <v/>
      </c>
      <c r="I263" s="143" t="str">
        <f>Creation_BP!T83</f>
        <v/>
      </c>
      <c r="J263" s="144" t="str">
        <f t="shared" si="83"/>
        <v/>
      </c>
      <c r="K263" s="144" t="str">
        <f t="shared" si="84"/>
        <v/>
      </c>
      <c r="L263" s="144" t="str">
        <f t="shared" si="85"/>
        <v/>
      </c>
      <c r="M263" s="145"/>
      <c r="N263" s="145"/>
      <c r="O263" s="145"/>
      <c r="P263" s="146" t="str">
        <f>Creation_XP!B83</f>
        <v/>
      </c>
      <c r="Q263" s="146" t="str">
        <f>Creation_XP!N83</f>
        <v/>
      </c>
      <c r="R263" s="146" t="str">
        <f>Creation_XP!T83</f>
        <v/>
      </c>
      <c r="S263" s="144" t="str">
        <f t="shared" si="86"/>
        <v/>
      </c>
      <c r="T263" s="144" t="str">
        <f t="shared" si="87"/>
        <v/>
      </c>
      <c r="U263" s="144" t="str">
        <f t="shared" si="88"/>
        <v/>
      </c>
    </row>
    <row r="264" spans="1:21">
      <c r="A264" s="129" t="s">
        <v>3118</v>
      </c>
      <c r="D264" s="161">
        <f>Creation_1!B84</f>
        <v>0</v>
      </c>
      <c r="E264" s="142">
        <f>Creation_1!N84</f>
        <v>0</v>
      </c>
      <c r="F264" s="142">
        <f>Creation_1!T84</f>
        <v>0</v>
      </c>
      <c r="G264" s="143" t="str">
        <f>Creation_BP!B84</f>
        <v/>
      </c>
      <c r="H264" s="143" t="str">
        <f>Creation_BP!N84</f>
        <v/>
      </c>
      <c r="I264" s="143" t="str">
        <f>Creation_BP!T84</f>
        <v/>
      </c>
      <c r="J264" s="144" t="str">
        <f t="shared" si="83"/>
        <v/>
      </c>
      <c r="K264" s="144" t="str">
        <f t="shared" si="84"/>
        <v/>
      </c>
      <c r="L264" s="144" t="str">
        <f t="shared" si="85"/>
        <v/>
      </c>
      <c r="M264" s="145"/>
      <c r="N264" s="145"/>
      <c r="O264" s="145"/>
      <c r="P264" s="146" t="str">
        <f>Creation_XP!B84</f>
        <v/>
      </c>
      <c r="Q264" s="146" t="str">
        <f>Creation_XP!N84</f>
        <v/>
      </c>
      <c r="R264" s="146" t="str">
        <f>Creation_XP!T84</f>
        <v/>
      </c>
      <c r="S264" s="144" t="str">
        <f t="shared" si="86"/>
        <v/>
      </c>
      <c r="T264" s="144" t="str">
        <f t="shared" si="87"/>
        <v/>
      </c>
      <c r="U264" s="144" t="str">
        <f t="shared" si="88"/>
        <v/>
      </c>
    </row>
    <row r="265" spans="1:21">
      <c r="A265" s="129" t="s">
        <v>3119</v>
      </c>
      <c r="D265" s="161">
        <f>Creation_1!B85</f>
        <v>0</v>
      </c>
      <c r="E265" s="142">
        <f>Creation_1!N85</f>
        <v>0</v>
      </c>
      <c r="F265" s="142">
        <f>Creation_1!T85</f>
        <v>0</v>
      </c>
      <c r="G265" s="143" t="str">
        <f>Creation_BP!B85</f>
        <v/>
      </c>
      <c r="H265" s="143" t="str">
        <f>Creation_BP!N85</f>
        <v/>
      </c>
      <c r="I265" s="143" t="str">
        <f>Creation_BP!T85</f>
        <v/>
      </c>
      <c r="J265" s="144" t="str">
        <f t="shared" si="83"/>
        <v/>
      </c>
      <c r="K265" s="144" t="str">
        <f t="shared" si="84"/>
        <v/>
      </c>
      <c r="L265" s="144" t="str">
        <f t="shared" si="85"/>
        <v/>
      </c>
      <c r="M265" s="145"/>
      <c r="N265" s="145"/>
      <c r="O265" s="145"/>
      <c r="P265" s="146" t="str">
        <f>Creation_XP!B85</f>
        <v/>
      </c>
      <c r="Q265" s="146" t="str">
        <f>Creation_XP!N85</f>
        <v/>
      </c>
      <c r="R265" s="146" t="str">
        <f>Creation_XP!T85</f>
        <v/>
      </c>
      <c r="S265" s="144" t="str">
        <f t="shared" si="86"/>
        <v/>
      </c>
      <c r="T265" s="144" t="str">
        <f t="shared" si="87"/>
        <v/>
      </c>
      <c r="U265" s="144" t="str">
        <f t="shared" si="88"/>
        <v/>
      </c>
    </row>
    <row r="266" spans="1:21">
      <c r="A266" s="129" t="s">
        <v>3120</v>
      </c>
      <c r="D266" s="161">
        <f>Creation_1!B86</f>
        <v>0</v>
      </c>
      <c r="E266" s="142">
        <f>Creation_1!N86</f>
        <v>0</v>
      </c>
      <c r="F266" s="142">
        <f>Creation_1!T86</f>
        <v>0</v>
      </c>
      <c r="G266" s="143" t="str">
        <f>Creation_BP!B86</f>
        <v/>
      </c>
      <c r="H266" s="143" t="str">
        <f>Creation_BP!N86</f>
        <v/>
      </c>
      <c r="I266" s="143" t="str">
        <f>Creation_BP!T86</f>
        <v/>
      </c>
      <c r="J266" s="144" t="str">
        <f t="shared" si="83"/>
        <v/>
      </c>
      <c r="K266" s="144" t="str">
        <f t="shared" si="84"/>
        <v/>
      </c>
      <c r="L266" s="144" t="str">
        <f t="shared" si="85"/>
        <v/>
      </c>
      <c r="M266" s="145"/>
      <c r="N266" s="145"/>
      <c r="O266" s="145"/>
      <c r="P266" s="146" t="str">
        <f>Creation_XP!B86</f>
        <v/>
      </c>
      <c r="Q266" s="146" t="str">
        <f>Creation_XP!N86</f>
        <v/>
      </c>
      <c r="R266" s="146" t="str">
        <f>Creation_XP!T86</f>
        <v/>
      </c>
      <c r="S266" s="144" t="str">
        <f t="shared" si="86"/>
        <v/>
      </c>
      <c r="T266" s="144" t="str">
        <f t="shared" si="87"/>
        <v/>
      </c>
      <c r="U266" s="144" t="str">
        <f t="shared" si="88"/>
        <v/>
      </c>
    </row>
    <row r="267" spans="1:21">
      <c r="A267" s="129" t="s">
        <v>3121</v>
      </c>
      <c r="D267" s="161">
        <f>Creation_1!B87</f>
        <v>0</v>
      </c>
      <c r="E267" s="142">
        <f>Creation_1!N87</f>
        <v>0</v>
      </c>
      <c r="F267" s="142">
        <f>Creation_1!T87</f>
        <v>0</v>
      </c>
      <c r="G267" s="143" t="str">
        <f>Creation_BP!B87</f>
        <v/>
      </c>
      <c r="H267" s="143" t="str">
        <f>Creation_BP!N87</f>
        <v/>
      </c>
      <c r="I267" s="143" t="str">
        <f>Creation_BP!T87</f>
        <v/>
      </c>
      <c r="J267" s="144" t="str">
        <f t="shared" si="83"/>
        <v/>
      </c>
      <c r="K267" s="144" t="str">
        <f t="shared" si="84"/>
        <v/>
      </c>
      <c r="L267" s="144" t="str">
        <f t="shared" si="85"/>
        <v/>
      </c>
      <c r="M267" s="145"/>
      <c r="N267" s="145"/>
      <c r="O267" s="145"/>
      <c r="P267" s="146" t="str">
        <f>Creation_XP!B87</f>
        <v/>
      </c>
      <c r="Q267" s="146" t="str">
        <f>Creation_XP!N87</f>
        <v/>
      </c>
      <c r="R267" s="146" t="str">
        <f>Creation_XP!T87</f>
        <v/>
      </c>
      <c r="S267" s="144" t="str">
        <f t="shared" si="86"/>
        <v/>
      </c>
      <c r="T267" s="144" t="str">
        <f t="shared" si="87"/>
        <v/>
      </c>
      <c r="U267" s="144" t="str">
        <f t="shared" si="88"/>
        <v/>
      </c>
    </row>
    <row r="268" spans="1:21">
      <c r="A268" s="176" t="s">
        <v>3122</v>
      </c>
      <c r="B268" s="176"/>
      <c r="C268" s="177"/>
      <c r="D268" s="192">
        <f>Creation_1!AA63</f>
        <v>0</v>
      </c>
      <c r="E268" s="193">
        <f>Creation_1!AM63</f>
        <v>0</v>
      </c>
      <c r="F268" s="193">
        <f>Creation_1!AS63</f>
        <v>0</v>
      </c>
      <c r="G268" s="185" t="str">
        <f>Creation_BP!AA63</f>
        <v/>
      </c>
      <c r="H268" s="185" t="str">
        <f>Creation_BP!AM63</f>
        <v/>
      </c>
      <c r="I268" s="185" t="str">
        <f>Creation_BP!AS63</f>
        <v/>
      </c>
      <c r="J268" s="194" t="str">
        <f t="shared" si="83"/>
        <v/>
      </c>
      <c r="K268" s="194" t="str">
        <f t="shared" si="84"/>
        <v/>
      </c>
      <c r="L268" s="194" t="str">
        <f>I268</f>
        <v/>
      </c>
      <c r="M268" s="195"/>
      <c r="N268" s="195"/>
      <c r="O268" s="195"/>
      <c r="P268" s="196" t="str">
        <f>Creation_XP!AA63</f>
        <v/>
      </c>
      <c r="Q268" s="196" t="str">
        <f>Creation_XP!AM63</f>
        <v/>
      </c>
      <c r="R268" s="196" t="str">
        <f>Creation_XP!AS63</f>
        <v/>
      </c>
      <c r="S268" s="194" t="str">
        <f t="shared" si="86"/>
        <v/>
      </c>
      <c r="T268" s="194" t="str">
        <f t="shared" si="87"/>
        <v/>
      </c>
      <c r="U268" s="194" t="str">
        <f t="shared" si="88"/>
        <v/>
      </c>
    </row>
    <row r="269" spans="1:21">
      <c r="A269" s="129" t="s">
        <v>3123</v>
      </c>
      <c r="D269" s="161">
        <f>Creation_1!AA64</f>
        <v>0</v>
      </c>
      <c r="E269" s="142">
        <f>Creation_1!AM64</f>
        <v>0</v>
      </c>
      <c r="F269" s="142">
        <f>Creation_1!AS64</f>
        <v>0</v>
      </c>
      <c r="G269" s="143" t="str">
        <f>Creation_BP!AA64</f>
        <v/>
      </c>
      <c r="H269" s="143" t="str">
        <f>Creation_BP!AM64</f>
        <v/>
      </c>
      <c r="I269" s="143" t="str">
        <f>Creation_BP!AS64</f>
        <v/>
      </c>
      <c r="J269" s="144" t="str">
        <f t="shared" si="83"/>
        <v/>
      </c>
      <c r="K269" s="144" t="str">
        <f t="shared" si="84"/>
        <v/>
      </c>
      <c r="L269" s="144" t="str">
        <f>I269</f>
        <v/>
      </c>
      <c r="M269" s="145"/>
      <c r="N269" s="145"/>
      <c r="O269" s="145"/>
      <c r="P269" s="146" t="str">
        <f>Creation_XP!AA64</f>
        <v/>
      </c>
      <c r="Q269" s="146" t="str">
        <f>Creation_XP!AM64</f>
        <v/>
      </c>
      <c r="R269" s="146" t="str">
        <f>Creation_XP!AS64</f>
        <v/>
      </c>
      <c r="S269" s="144" t="str">
        <f t="shared" si="86"/>
        <v/>
      </c>
      <c r="T269" s="144" t="str">
        <f t="shared" si="87"/>
        <v/>
      </c>
      <c r="U269" s="144" t="str">
        <f t="shared" si="88"/>
        <v/>
      </c>
    </row>
    <row r="270" spans="1:21">
      <c r="A270" s="129" t="s">
        <v>3124</v>
      </c>
      <c r="D270" s="161">
        <f>Creation_1!AA65</f>
        <v>0</v>
      </c>
      <c r="E270" s="142">
        <f>Creation_1!AM65</f>
        <v>0</v>
      </c>
      <c r="F270" s="142">
        <f>Creation_1!AS65</f>
        <v>0</v>
      </c>
      <c r="G270" s="143" t="str">
        <f>Creation_BP!AA65</f>
        <v/>
      </c>
      <c r="H270" s="143" t="str">
        <f>Creation_BP!AM65</f>
        <v/>
      </c>
      <c r="I270" s="143" t="str">
        <f>Creation_BP!AS65</f>
        <v/>
      </c>
      <c r="J270" s="144" t="str">
        <f t="shared" si="83"/>
        <v/>
      </c>
      <c r="K270" s="144" t="str">
        <f t="shared" si="84"/>
        <v/>
      </c>
      <c r="L270" s="144" t="str">
        <f t="shared" ref="L270:L292" si="89">I270</f>
        <v/>
      </c>
      <c r="M270" s="145"/>
      <c r="N270" s="145"/>
      <c r="O270" s="145"/>
      <c r="P270" s="146" t="str">
        <f>Creation_XP!AA65</f>
        <v/>
      </c>
      <c r="Q270" s="146" t="str">
        <f>Creation_XP!AM65</f>
        <v/>
      </c>
      <c r="R270" s="146" t="str">
        <f>Creation_XP!AS65</f>
        <v/>
      </c>
      <c r="S270" s="144" t="str">
        <f t="shared" si="86"/>
        <v/>
      </c>
      <c r="T270" s="144" t="str">
        <f t="shared" si="87"/>
        <v/>
      </c>
      <c r="U270" s="144" t="str">
        <f t="shared" si="88"/>
        <v/>
      </c>
    </row>
    <row r="271" spans="1:21">
      <c r="A271" s="129" t="s">
        <v>3125</v>
      </c>
      <c r="D271" s="161">
        <f>Creation_1!AA66</f>
        <v>0</v>
      </c>
      <c r="E271" s="142">
        <f>Creation_1!AM66</f>
        <v>0</v>
      </c>
      <c r="F271" s="142">
        <f>Creation_1!AS66</f>
        <v>0</v>
      </c>
      <c r="G271" s="143" t="str">
        <f>Creation_BP!AA66</f>
        <v/>
      </c>
      <c r="H271" s="143" t="str">
        <f>Creation_BP!AM66</f>
        <v/>
      </c>
      <c r="I271" s="143" t="str">
        <f>Creation_BP!AS66</f>
        <v/>
      </c>
      <c r="J271" s="144" t="str">
        <f t="shared" si="83"/>
        <v/>
      </c>
      <c r="K271" s="144" t="str">
        <f t="shared" si="84"/>
        <v/>
      </c>
      <c r="L271" s="144" t="str">
        <f t="shared" si="89"/>
        <v/>
      </c>
      <c r="M271" s="145"/>
      <c r="N271" s="145"/>
      <c r="O271" s="145"/>
      <c r="P271" s="146" t="str">
        <f>Creation_XP!AA66</f>
        <v/>
      </c>
      <c r="Q271" s="146" t="str">
        <f>Creation_XP!AM66</f>
        <v/>
      </c>
      <c r="R271" s="146" t="str">
        <f>Creation_XP!AS66</f>
        <v/>
      </c>
      <c r="S271" s="144" t="str">
        <f t="shared" si="86"/>
        <v/>
      </c>
      <c r="T271" s="144" t="str">
        <f t="shared" si="87"/>
        <v/>
      </c>
      <c r="U271" s="144" t="str">
        <f t="shared" si="88"/>
        <v/>
      </c>
    </row>
    <row r="272" spans="1:21">
      <c r="A272" s="129" t="s">
        <v>3126</v>
      </c>
      <c r="D272" s="161">
        <f>Creation_1!AA67</f>
        <v>0</v>
      </c>
      <c r="E272" s="142">
        <f>Creation_1!AM67</f>
        <v>0</v>
      </c>
      <c r="F272" s="142">
        <f>Creation_1!AS67</f>
        <v>0</v>
      </c>
      <c r="G272" s="143" t="str">
        <f>Creation_BP!AA67</f>
        <v/>
      </c>
      <c r="H272" s="143" t="str">
        <f>Creation_BP!AM67</f>
        <v/>
      </c>
      <c r="I272" s="143" t="str">
        <f>Creation_BP!AS67</f>
        <v/>
      </c>
      <c r="J272" s="144" t="str">
        <f t="shared" si="83"/>
        <v/>
      </c>
      <c r="K272" s="144" t="str">
        <f t="shared" si="84"/>
        <v/>
      </c>
      <c r="L272" s="144" t="str">
        <f t="shared" si="89"/>
        <v/>
      </c>
      <c r="M272" s="145"/>
      <c r="N272" s="145"/>
      <c r="O272" s="145"/>
      <c r="P272" s="146" t="str">
        <f>Creation_XP!AA67</f>
        <v/>
      </c>
      <c r="Q272" s="146" t="str">
        <f>Creation_XP!AM67</f>
        <v/>
      </c>
      <c r="R272" s="146" t="str">
        <f>Creation_XP!AS67</f>
        <v/>
      </c>
      <c r="S272" s="144" t="str">
        <f t="shared" si="86"/>
        <v/>
      </c>
      <c r="T272" s="144" t="str">
        <f t="shared" si="87"/>
        <v/>
      </c>
      <c r="U272" s="144" t="str">
        <f t="shared" si="88"/>
        <v/>
      </c>
    </row>
    <row r="273" spans="1:21">
      <c r="A273" s="129" t="s">
        <v>3127</v>
      </c>
      <c r="D273" s="161">
        <f>Creation_1!AA68</f>
        <v>0</v>
      </c>
      <c r="E273" s="142">
        <f>Creation_1!AM68</f>
        <v>0</v>
      </c>
      <c r="F273" s="142">
        <f>Creation_1!AS68</f>
        <v>0</v>
      </c>
      <c r="G273" s="143" t="str">
        <f>Creation_BP!AA68</f>
        <v/>
      </c>
      <c r="H273" s="143" t="str">
        <f>Creation_BP!AM68</f>
        <v/>
      </c>
      <c r="I273" s="143" t="str">
        <f>Creation_BP!AS68</f>
        <v/>
      </c>
      <c r="J273" s="144" t="str">
        <f t="shared" si="83"/>
        <v/>
      </c>
      <c r="K273" s="144" t="str">
        <f t="shared" si="84"/>
        <v/>
      </c>
      <c r="L273" s="144" t="str">
        <f t="shared" si="89"/>
        <v/>
      </c>
      <c r="M273" s="145"/>
      <c r="N273" s="145"/>
      <c r="O273" s="145"/>
      <c r="P273" s="146" t="str">
        <f>Creation_XP!AA68</f>
        <v/>
      </c>
      <c r="Q273" s="146" t="str">
        <f>Creation_XP!AM68</f>
        <v/>
      </c>
      <c r="R273" s="146" t="str">
        <f>Creation_XP!AS68</f>
        <v/>
      </c>
      <c r="S273" s="144" t="str">
        <f t="shared" si="86"/>
        <v/>
      </c>
      <c r="T273" s="144" t="str">
        <f t="shared" si="87"/>
        <v/>
      </c>
      <c r="U273" s="144" t="str">
        <f t="shared" si="88"/>
        <v/>
      </c>
    </row>
    <row r="274" spans="1:21">
      <c r="A274" s="129" t="s">
        <v>3128</v>
      </c>
      <c r="D274" s="161">
        <f>Creation_1!AA69</f>
        <v>0</v>
      </c>
      <c r="E274" s="142">
        <f>Creation_1!AM69</f>
        <v>0</v>
      </c>
      <c r="F274" s="142">
        <f>Creation_1!AS69</f>
        <v>0</v>
      </c>
      <c r="G274" s="143" t="str">
        <f>Creation_BP!AA69</f>
        <v/>
      </c>
      <c r="H274" s="143" t="str">
        <f>Creation_BP!AM69</f>
        <v/>
      </c>
      <c r="I274" s="143" t="str">
        <f>Creation_BP!AS69</f>
        <v/>
      </c>
      <c r="J274" s="144" t="str">
        <f t="shared" si="83"/>
        <v/>
      </c>
      <c r="K274" s="144" t="str">
        <f t="shared" si="84"/>
        <v/>
      </c>
      <c r="L274" s="144" t="str">
        <f t="shared" si="89"/>
        <v/>
      </c>
      <c r="M274" s="145"/>
      <c r="N274" s="145"/>
      <c r="O274" s="145"/>
      <c r="P274" s="146" t="str">
        <f>Creation_XP!AA69</f>
        <v/>
      </c>
      <c r="Q274" s="146" t="str">
        <f>Creation_XP!AM69</f>
        <v/>
      </c>
      <c r="R274" s="146" t="str">
        <f>Creation_XP!AS69</f>
        <v/>
      </c>
      <c r="S274" s="144" t="str">
        <f t="shared" si="86"/>
        <v/>
      </c>
      <c r="T274" s="144" t="str">
        <f t="shared" si="87"/>
        <v/>
      </c>
      <c r="U274" s="144" t="str">
        <f t="shared" si="88"/>
        <v/>
      </c>
    </row>
    <row r="275" spans="1:21">
      <c r="A275" s="129" t="s">
        <v>3129</v>
      </c>
      <c r="D275" s="161">
        <f>Creation_1!AA70</f>
        <v>0</v>
      </c>
      <c r="E275" s="142">
        <f>Creation_1!AM70</f>
        <v>0</v>
      </c>
      <c r="F275" s="142">
        <f>Creation_1!AS70</f>
        <v>0</v>
      </c>
      <c r="G275" s="143" t="str">
        <f>Creation_BP!AA70</f>
        <v/>
      </c>
      <c r="H275" s="143" t="str">
        <f>Creation_BP!AM70</f>
        <v/>
      </c>
      <c r="I275" s="143" t="str">
        <f>Creation_BP!AS70</f>
        <v/>
      </c>
      <c r="J275" s="144" t="str">
        <f t="shared" si="83"/>
        <v/>
      </c>
      <c r="K275" s="144" t="str">
        <f t="shared" si="84"/>
        <v/>
      </c>
      <c r="L275" s="144" t="str">
        <f t="shared" si="89"/>
        <v/>
      </c>
      <c r="M275" s="145"/>
      <c r="N275" s="145"/>
      <c r="O275" s="145"/>
      <c r="P275" s="146" t="str">
        <f>Creation_XP!AA70</f>
        <v/>
      </c>
      <c r="Q275" s="146" t="str">
        <f>Creation_XP!AM70</f>
        <v/>
      </c>
      <c r="R275" s="146" t="str">
        <f>Creation_XP!AS70</f>
        <v/>
      </c>
      <c r="S275" s="144" t="str">
        <f t="shared" si="86"/>
        <v/>
      </c>
      <c r="T275" s="144" t="str">
        <f t="shared" si="87"/>
        <v/>
      </c>
      <c r="U275" s="144" t="str">
        <f t="shared" si="88"/>
        <v/>
      </c>
    </row>
    <row r="276" spans="1:21">
      <c r="A276" s="129" t="s">
        <v>3130</v>
      </c>
      <c r="D276" s="161">
        <f>Creation_1!AA71</f>
        <v>0</v>
      </c>
      <c r="E276" s="142">
        <f>Creation_1!AM71</f>
        <v>0</v>
      </c>
      <c r="F276" s="142">
        <f>Creation_1!AS71</f>
        <v>0</v>
      </c>
      <c r="G276" s="143" t="str">
        <f>Creation_BP!AA71</f>
        <v/>
      </c>
      <c r="H276" s="143" t="str">
        <f>Creation_BP!AM71</f>
        <v/>
      </c>
      <c r="I276" s="143" t="str">
        <f>Creation_BP!AS71</f>
        <v/>
      </c>
      <c r="J276" s="144" t="str">
        <f t="shared" si="83"/>
        <v/>
      </c>
      <c r="K276" s="144" t="str">
        <f t="shared" si="84"/>
        <v/>
      </c>
      <c r="L276" s="144" t="str">
        <f t="shared" si="89"/>
        <v/>
      </c>
      <c r="M276" s="145"/>
      <c r="N276" s="145"/>
      <c r="O276" s="145"/>
      <c r="P276" s="146" t="str">
        <f>Creation_XP!AA71</f>
        <v/>
      </c>
      <c r="Q276" s="146" t="str">
        <f>Creation_XP!AM71</f>
        <v/>
      </c>
      <c r="R276" s="146" t="str">
        <f>Creation_XP!AS71</f>
        <v/>
      </c>
      <c r="S276" s="144" t="str">
        <f t="shared" si="86"/>
        <v/>
      </c>
      <c r="T276" s="144" t="str">
        <f t="shared" si="87"/>
        <v/>
      </c>
      <c r="U276" s="144" t="str">
        <f t="shared" si="88"/>
        <v/>
      </c>
    </row>
    <row r="277" spans="1:21">
      <c r="A277" s="129" t="s">
        <v>3131</v>
      </c>
      <c r="D277" s="161">
        <f>Creation_1!AA72</f>
        <v>0</v>
      </c>
      <c r="E277" s="142">
        <f>Creation_1!AM72</f>
        <v>0</v>
      </c>
      <c r="F277" s="142">
        <f>Creation_1!AS72</f>
        <v>0</v>
      </c>
      <c r="G277" s="143" t="str">
        <f>Creation_BP!AA72</f>
        <v/>
      </c>
      <c r="H277" s="143" t="str">
        <f>Creation_BP!AM72</f>
        <v/>
      </c>
      <c r="I277" s="143" t="str">
        <f>Creation_BP!AS72</f>
        <v/>
      </c>
      <c r="J277" s="144" t="str">
        <f t="shared" si="83"/>
        <v/>
      </c>
      <c r="K277" s="144" t="str">
        <f t="shared" si="84"/>
        <v/>
      </c>
      <c r="L277" s="144" t="str">
        <f t="shared" si="89"/>
        <v/>
      </c>
      <c r="M277" s="145"/>
      <c r="N277" s="145"/>
      <c r="O277" s="145"/>
      <c r="P277" s="146" t="str">
        <f>Creation_XP!AA72</f>
        <v/>
      </c>
      <c r="Q277" s="146" t="str">
        <f>Creation_XP!AM72</f>
        <v/>
      </c>
      <c r="R277" s="146" t="str">
        <f>Creation_XP!AS72</f>
        <v/>
      </c>
      <c r="S277" s="144" t="str">
        <f t="shared" si="86"/>
        <v/>
      </c>
      <c r="T277" s="144" t="str">
        <f t="shared" si="87"/>
        <v/>
      </c>
      <c r="U277" s="144" t="str">
        <f t="shared" si="88"/>
        <v/>
      </c>
    </row>
    <row r="278" spans="1:21">
      <c r="A278" s="129" t="s">
        <v>3132</v>
      </c>
      <c r="D278" s="161">
        <f>Creation_1!AA73</f>
        <v>0</v>
      </c>
      <c r="E278" s="142">
        <f>Creation_1!AM73</f>
        <v>0</v>
      </c>
      <c r="F278" s="142">
        <f>Creation_1!AS73</f>
        <v>0</v>
      </c>
      <c r="G278" s="143" t="str">
        <f>Creation_BP!AA73</f>
        <v/>
      </c>
      <c r="H278" s="143" t="str">
        <f>Creation_BP!AM73</f>
        <v/>
      </c>
      <c r="I278" s="143" t="str">
        <f>Creation_BP!AS73</f>
        <v/>
      </c>
      <c r="J278" s="144" t="str">
        <f t="shared" si="83"/>
        <v/>
      </c>
      <c r="K278" s="144" t="str">
        <f t="shared" si="84"/>
        <v/>
      </c>
      <c r="L278" s="144" t="str">
        <f t="shared" si="89"/>
        <v/>
      </c>
      <c r="M278" s="145"/>
      <c r="N278" s="145"/>
      <c r="O278" s="145"/>
      <c r="P278" s="146" t="str">
        <f>Creation_XP!AA73</f>
        <v/>
      </c>
      <c r="Q278" s="146" t="str">
        <f>Creation_XP!AM73</f>
        <v/>
      </c>
      <c r="R278" s="146" t="str">
        <f>Creation_XP!AS73</f>
        <v/>
      </c>
      <c r="S278" s="144" t="str">
        <f t="shared" si="86"/>
        <v/>
      </c>
      <c r="T278" s="144" t="str">
        <f t="shared" si="87"/>
        <v/>
      </c>
      <c r="U278" s="144" t="str">
        <f t="shared" si="88"/>
        <v/>
      </c>
    </row>
    <row r="279" spans="1:21">
      <c r="A279" s="129" t="s">
        <v>3133</v>
      </c>
      <c r="D279" s="161">
        <f>Creation_1!AA74</f>
        <v>0</v>
      </c>
      <c r="E279" s="142">
        <f>Creation_1!AM74</f>
        <v>0</v>
      </c>
      <c r="F279" s="142">
        <f>Creation_1!AS74</f>
        <v>0</v>
      </c>
      <c r="G279" s="143" t="str">
        <f>Creation_BP!AA74</f>
        <v/>
      </c>
      <c r="H279" s="143" t="str">
        <f>Creation_BP!AM74</f>
        <v/>
      </c>
      <c r="I279" s="143" t="str">
        <f>Creation_BP!AS74</f>
        <v/>
      </c>
      <c r="J279" s="144" t="str">
        <f t="shared" si="83"/>
        <v/>
      </c>
      <c r="K279" s="144" t="str">
        <f t="shared" si="84"/>
        <v/>
      </c>
      <c r="L279" s="144" t="str">
        <f t="shared" si="89"/>
        <v/>
      </c>
      <c r="M279" s="145"/>
      <c r="N279" s="145"/>
      <c r="O279" s="145"/>
      <c r="P279" s="146" t="str">
        <f>Creation_XP!AA74</f>
        <v/>
      </c>
      <c r="Q279" s="146" t="str">
        <f>Creation_XP!AM74</f>
        <v/>
      </c>
      <c r="R279" s="146" t="str">
        <f>Creation_XP!AS74</f>
        <v/>
      </c>
      <c r="S279" s="144" t="str">
        <f t="shared" si="86"/>
        <v/>
      </c>
      <c r="T279" s="144" t="str">
        <f t="shared" si="87"/>
        <v/>
      </c>
      <c r="U279" s="144" t="str">
        <f t="shared" si="88"/>
        <v/>
      </c>
    </row>
    <row r="280" spans="1:21">
      <c r="A280" s="129" t="s">
        <v>3134</v>
      </c>
      <c r="D280" s="161">
        <f>Creation_1!AA75</f>
        <v>0</v>
      </c>
      <c r="E280" s="142">
        <f>Creation_1!AM75</f>
        <v>0</v>
      </c>
      <c r="F280" s="142">
        <f>Creation_1!AS75</f>
        <v>0</v>
      </c>
      <c r="G280" s="143" t="str">
        <f>Creation_BP!AA75</f>
        <v/>
      </c>
      <c r="H280" s="143" t="str">
        <f>Creation_BP!AM75</f>
        <v/>
      </c>
      <c r="I280" s="143" t="str">
        <f>Creation_BP!AS75</f>
        <v/>
      </c>
      <c r="J280" s="144" t="str">
        <f t="shared" si="83"/>
        <v/>
      </c>
      <c r="K280" s="144" t="str">
        <f t="shared" si="84"/>
        <v/>
      </c>
      <c r="L280" s="144" t="str">
        <f t="shared" si="89"/>
        <v/>
      </c>
      <c r="M280" s="145"/>
      <c r="N280" s="145"/>
      <c r="O280" s="145"/>
      <c r="P280" s="146" t="str">
        <f>Creation_XP!AA75</f>
        <v/>
      </c>
      <c r="Q280" s="146" t="str">
        <f>Creation_XP!AM75</f>
        <v/>
      </c>
      <c r="R280" s="146" t="str">
        <f>Creation_XP!AS75</f>
        <v/>
      </c>
      <c r="S280" s="144" t="str">
        <f t="shared" si="86"/>
        <v/>
      </c>
      <c r="T280" s="144" t="str">
        <f t="shared" si="87"/>
        <v/>
      </c>
      <c r="U280" s="144" t="str">
        <f t="shared" si="88"/>
        <v/>
      </c>
    </row>
    <row r="281" spans="1:21">
      <c r="A281" s="129" t="s">
        <v>3135</v>
      </c>
      <c r="D281" s="161">
        <f>Creation_1!AA76</f>
        <v>0</v>
      </c>
      <c r="E281" s="142">
        <f>Creation_1!AM76</f>
        <v>0</v>
      </c>
      <c r="F281" s="142">
        <f>Creation_1!AS76</f>
        <v>0</v>
      </c>
      <c r="G281" s="143" t="str">
        <f>Creation_BP!AA76</f>
        <v/>
      </c>
      <c r="H281" s="143" t="str">
        <f>Creation_BP!AM76</f>
        <v/>
      </c>
      <c r="I281" s="143" t="str">
        <f>Creation_BP!AS76</f>
        <v/>
      </c>
      <c r="J281" s="144" t="str">
        <f t="shared" si="83"/>
        <v/>
      </c>
      <c r="K281" s="144" t="str">
        <f t="shared" si="84"/>
        <v/>
      </c>
      <c r="L281" s="144" t="str">
        <f t="shared" si="89"/>
        <v/>
      </c>
      <c r="M281" s="145"/>
      <c r="N281" s="145"/>
      <c r="O281" s="145"/>
      <c r="P281" s="146" t="str">
        <f>Creation_XP!AA76</f>
        <v/>
      </c>
      <c r="Q281" s="146" t="str">
        <f>Creation_XP!AM76</f>
        <v/>
      </c>
      <c r="R281" s="146" t="str">
        <f>Creation_XP!AS76</f>
        <v/>
      </c>
      <c r="S281" s="144" t="str">
        <f t="shared" si="86"/>
        <v/>
      </c>
      <c r="T281" s="144" t="str">
        <f t="shared" si="87"/>
        <v/>
      </c>
      <c r="U281" s="144" t="str">
        <f t="shared" si="88"/>
        <v/>
      </c>
    </row>
    <row r="282" spans="1:21">
      <c r="A282" s="129" t="s">
        <v>3136</v>
      </c>
      <c r="D282" s="161">
        <f>Creation_1!AA77</f>
        <v>0</v>
      </c>
      <c r="E282" s="142">
        <f>Creation_1!AM77</f>
        <v>0</v>
      </c>
      <c r="F282" s="142">
        <f>Creation_1!AS77</f>
        <v>0</v>
      </c>
      <c r="G282" s="143" t="str">
        <f>Creation_BP!AA77</f>
        <v/>
      </c>
      <c r="H282" s="143" t="str">
        <f>Creation_BP!AM77</f>
        <v/>
      </c>
      <c r="I282" s="143" t="str">
        <f>Creation_BP!AS77</f>
        <v/>
      </c>
      <c r="J282" s="144" t="str">
        <f t="shared" si="83"/>
        <v/>
      </c>
      <c r="K282" s="144" t="str">
        <f t="shared" si="84"/>
        <v/>
      </c>
      <c r="L282" s="144" t="str">
        <f t="shared" si="89"/>
        <v/>
      </c>
      <c r="M282" s="145"/>
      <c r="N282" s="145"/>
      <c r="O282" s="145"/>
      <c r="P282" s="146" t="str">
        <f>Creation_XP!AA77</f>
        <v/>
      </c>
      <c r="Q282" s="146" t="str">
        <f>Creation_XP!AM77</f>
        <v/>
      </c>
      <c r="R282" s="146" t="str">
        <f>Creation_XP!AS77</f>
        <v/>
      </c>
      <c r="S282" s="144" t="str">
        <f t="shared" si="86"/>
        <v/>
      </c>
      <c r="T282" s="144" t="str">
        <f t="shared" si="87"/>
        <v/>
      </c>
      <c r="U282" s="144" t="str">
        <f t="shared" si="88"/>
        <v/>
      </c>
    </row>
    <row r="283" spans="1:21">
      <c r="A283" s="129" t="s">
        <v>3137</v>
      </c>
      <c r="D283" s="161">
        <f>Creation_1!AA78</f>
        <v>0</v>
      </c>
      <c r="E283" s="142">
        <f>Creation_1!AM78</f>
        <v>0</v>
      </c>
      <c r="F283" s="142">
        <f>Creation_1!AS78</f>
        <v>0</v>
      </c>
      <c r="G283" s="143" t="str">
        <f>Creation_BP!AA78</f>
        <v/>
      </c>
      <c r="H283" s="143" t="str">
        <f>Creation_BP!AM78</f>
        <v/>
      </c>
      <c r="I283" s="143" t="str">
        <f>Creation_BP!AS78</f>
        <v/>
      </c>
      <c r="J283" s="144" t="str">
        <f t="shared" si="83"/>
        <v/>
      </c>
      <c r="K283" s="144" t="str">
        <f t="shared" si="84"/>
        <v/>
      </c>
      <c r="L283" s="144" t="str">
        <f t="shared" si="89"/>
        <v/>
      </c>
      <c r="M283" s="145"/>
      <c r="N283" s="145"/>
      <c r="O283" s="145"/>
      <c r="P283" s="146" t="str">
        <f>Creation_XP!AA78</f>
        <v/>
      </c>
      <c r="Q283" s="146" t="str">
        <f>Creation_XP!AM78</f>
        <v/>
      </c>
      <c r="R283" s="146" t="str">
        <f>Creation_XP!AS78</f>
        <v/>
      </c>
      <c r="S283" s="144" t="str">
        <f t="shared" si="86"/>
        <v/>
      </c>
      <c r="T283" s="144" t="str">
        <f t="shared" si="87"/>
        <v/>
      </c>
      <c r="U283" s="144" t="str">
        <f t="shared" si="88"/>
        <v/>
      </c>
    </row>
    <row r="284" spans="1:21">
      <c r="A284" s="129" t="s">
        <v>3138</v>
      </c>
      <c r="D284" s="161">
        <f>Creation_1!AA79</f>
        <v>0</v>
      </c>
      <c r="E284" s="142">
        <f>Creation_1!AM79</f>
        <v>0</v>
      </c>
      <c r="F284" s="142">
        <f>Creation_1!AS79</f>
        <v>0</v>
      </c>
      <c r="G284" s="143" t="str">
        <f>Creation_BP!AA79</f>
        <v/>
      </c>
      <c r="H284" s="143" t="str">
        <f>Creation_BP!AM79</f>
        <v/>
      </c>
      <c r="I284" s="143" t="str">
        <f>Creation_BP!AS79</f>
        <v/>
      </c>
      <c r="J284" s="144" t="str">
        <f t="shared" si="83"/>
        <v/>
      </c>
      <c r="K284" s="144" t="str">
        <f t="shared" si="84"/>
        <v/>
      </c>
      <c r="L284" s="144" t="str">
        <f t="shared" si="89"/>
        <v/>
      </c>
      <c r="M284" s="145"/>
      <c r="N284" s="145"/>
      <c r="O284" s="145"/>
      <c r="P284" s="146" t="str">
        <f>Creation_XP!AA79</f>
        <v/>
      </c>
      <c r="Q284" s="146" t="str">
        <f>Creation_XP!AM79</f>
        <v/>
      </c>
      <c r="R284" s="146" t="str">
        <f>Creation_XP!AS79</f>
        <v/>
      </c>
      <c r="S284" s="144" t="str">
        <f t="shared" si="86"/>
        <v/>
      </c>
      <c r="T284" s="144" t="str">
        <f t="shared" si="87"/>
        <v/>
      </c>
      <c r="U284" s="144" t="str">
        <f t="shared" si="88"/>
        <v/>
      </c>
    </row>
    <row r="285" spans="1:21">
      <c r="A285" s="129" t="s">
        <v>3139</v>
      </c>
      <c r="D285" s="161">
        <f>Creation_1!AA80</f>
        <v>0</v>
      </c>
      <c r="E285" s="142">
        <f>Creation_1!AM80</f>
        <v>0</v>
      </c>
      <c r="F285" s="142">
        <f>Creation_1!AS80</f>
        <v>0</v>
      </c>
      <c r="G285" s="143" t="str">
        <f>Creation_BP!AA80</f>
        <v/>
      </c>
      <c r="H285" s="143" t="str">
        <f>Creation_BP!AM80</f>
        <v/>
      </c>
      <c r="I285" s="143" t="str">
        <f>Creation_BP!AS80</f>
        <v/>
      </c>
      <c r="J285" s="144" t="str">
        <f t="shared" si="83"/>
        <v/>
      </c>
      <c r="K285" s="144" t="str">
        <f t="shared" si="84"/>
        <v/>
      </c>
      <c r="L285" s="144" t="str">
        <f t="shared" si="89"/>
        <v/>
      </c>
      <c r="M285" s="145"/>
      <c r="N285" s="145"/>
      <c r="O285" s="145"/>
      <c r="P285" s="146" t="str">
        <f>Creation_XP!AA80</f>
        <v/>
      </c>
      <c r="Q285" s="146" t="str">
        <f>Creation_XP!AM80</f>
        <v/>
      </c>
      <c r="R285" s="146" t="str">
        <f>Creation_XP!AS80</f>
        <v/>
      </c>
      <c r="S285" s="144" t="str">
        <f t="shared" si="86"/>
        <v/>
      </c>
      <c r="T285" s="144" t="str">
        <f t="shared" si="87"/>
        <v/>
      </c>
      <c r="U285" s="144" t="str">
        <f t="shared" si="88"/>
        <v/>
      </c>
    </row>
    <row r="286" spans="1:21">
      <c r="A286" s="129" t="s">
        <v>3140</v>
      </c>
      <c r="D286" s="161">
        <f>Creation_1!AA81</f>
        <v>0</v>
      </c>
      <c r="E286" s="142">
        <f>Creation_1!AM81</f>
        <v>0</v>
      </c>
      <c r="F286" s="142">
        <f>Creation_1!AS81</f>
        <v>0</v>
      </c>
      <c r="G286" s="143" t="str">
        <f>Creation_BP!AA81</f>
        <v/>
      </c>
      <c r="H286" s="143" t="str">
        <f>Creation_BP!AM81</f>
        <v/>
      </c>
      <c r="I286" s="143" t="str">
        <f>Creation_BP!AS81</f>
        <v/>
      </c>
      <c r="J286" s="144" t="str">
        <f t="shared" si="83"/>
        <v/>
      </c>
      <c r="K286" s="144" t="str">
        <f t="shared" si="84"/>
        <v/>
      </c>
      <c r="L286" s="144" t="str">
        <f t="shared" si="89"/>
        <v/>
      </c>
      <c r="M286" s="145"/>
      <c r="N286" s="145"/>
      <c r="O286" s="145"/>
      <c r="P286" s="146" t="str">
        <f>Creation_XP!AA81</f>
        <v/>
      </c>
      <c r="Q286" s="146" t="str">
        <f>Creation_XP!AM81</f>
        <v/>
      </c>
      <c r="R286" s="146" t="str">
        <f>Creation_XP!AS81</f>
        <v/>
      </c>
      <c r="S286" s="144" t="str">
        <f t="shared" si="86"/>
        <v/>
      </c>
      <c r="T286" s="144" t="str">
        <f t="shared" si="87"/>
        <v/>
      </c>
      <c r="U286" s="144" t="str">
        <f t="shared" si="88"/>
        <v/>
      </c>
    </row>
    <row r="287" spans="1:21">
      <c r="A287" s="129" t="s">
        <v>3141</v>
      </c>
      <c r="D287" s="161">
        <f>Creation_1!AA82</f>
        <v>0</v>
      </c>
      <c r="E287" s="142">
        <f>Creation_1!AM82</f>
        <v>0</v>
      </c>
      <c r="F287" s="142">
        <f>Creation_1!AS82</f>
        <v>0</v>
      </c>
      <c r="G287" s="143" t="str">
        <f>Creation_BP!AA82</f>
        <v/>
      </c>
      <c r="H287" s="143" t="str">
        <f>Creation_BP!AM82</f>
        <v/>
      </c>
      <c r="I287" s="143" t="str">
        <f>Creation_BP!AS82</f>
        <v/>
      </c>
      <c r="J287" s="144" t="str">
        <f t="shared" si="83"/>
        <v/>
      </c>
      <c r="K287" s="144" t="str">
        <f t="shared" si="84"/>
        <v/>
      </c>
      <c r="L287" s="144" t="str">
        <f t="shared" si="89"/>
        <v/>
      </c>
      <c r="M287" s="145"/>
      <c r="N287" s="145"/>
      <c r="O287" s="145"/>
      <c r="P287" s="146" t="str">
        <f>Creation_XP!AA82</f>
        <v/>
      </c>
      <c r="Q287" s="146" t="str">
        <f>Creation_XP!AM82</f>
        <v/>
      </c>
      <c r="R287" s="146" t="str">
        <f>Creation_XP!AS82</f>
        <v/>
      </c>
      <c r="S287" s="144" t="str">
        <f t="shared" si="86"/>
        <v/>
      </c>
      <c r="T287" s="144" t="str">
        <f t="shared" si="87"/>
        <v/>
      </c>
      <c r="U287" s="144" t="str">
        <f t="shared" si="88"/>
        <v/>
      </c>
    </row>
    <row r="288" spans="1:21">
      <c r="A288" s="129" t="s">
        <v>3142</v>
      </c>
      <c r="D288" s="161">
        <f>Creation_1!AA83</f>
        <v>0</v>
      </c>
      <c r="E288" s="142">
        <f>Creation_1!AM83</f>
        <v>0</v>
      </c>
      <c r="F288" s="142">
        <f>Creation_1!AS83</f>
        <v>0</v>
      </c>
      <c r="G288" s="143" t="str">
        <f>Creation_BP!AA83</f>
        <v/>
      </c>
      <c r="H288" s="143" t="str">
        <f>Creation_BP!AM83</f>
        <v/>
      </c>
      <c r="I288" s="143" t="str">
        <f>Creation_BP!AS83</f>
        <v/>
      </c>
      <c r="J288" s="144" t="str">
        <f t="shared" si="83"/>
        <v/>
      </c>
      <c r="K288" s="144" t="str">
        <f t="shared" si="84"/>
        <v/>
      </c>
      <c r="L288" s="144" t="str">
        <f t="shared" si="89"/>
        <v/>
      </c>
      <c r="M288" s="145"/>
      <c r="N288" s="145"/>
      <c r="O288" s="145"/>
      <c r="P288" s="146" t="str">
        <f>Creation_XP!AA83</f>
        <v/>
      </c>
      <c r="Q288" s="146" t="str">
        <f>Creation_XP!AM83</f>
        <v/>
      </c>
      <c r="R288" s="146" t="str">
        <f>Creation_XP!AS83</f>
        <v/>
      </c>
      <c r="S288" s="144" t="str">
        <f t="shared" si="86"/>
        <v/>
      </c>
      <c r="T288" s="144" t="str">
        <f t="shared" si="87"/>
        <v/>
      </c>
      <c r="U288" s="144" t="str">
        <f t="shared" si="88"/>
        <v/>
      </c>
    </row>
    <row r="289" spans="1:21">
      <c r="A289" s="129" t="s">
        <v>3143</v>
      </c>
      <c r="D289" s="161">
        <f>Creation_1!AA84</f>
        <v>0</v>
      </c>
      <c r="E289" s="142">
        <f>Creation_1!AM84</f>
        <v>0</v>
      </c>
      <c r="F289" s="142">
        <f>Creation_1!AS84</f>
        <v>0</v>
      </c>
      <c r="G289" s="143" t="str">
        <f>Creation_BP!AA84</f>
        <v/>
      </c>
      <c r="H289" s="143" t="str">
        <f>Creation_BP!AM84</f>
        <v/>
      </c>
      <c r="I289" s="143" t="str">
        <f>Creation_BP!AS84</f>
        <v/>
      </c>
      <c r="J289" s="144" t="str">
        <f t="shared" si="83"/>
        <v/>
      </c>
      <c r="K289" s="144" t="str">
        <f t="shared" si="84"/>
        <v/>
      </c>
      <c r="L289" s="144" t="str">
        <f t="shared" si="89"/>
        <v/>
      </c>
      <c r="M289" s="145"/>
      <c r="N289" s="145"/>
      <c r="O289" s="145"/>
      <c r="P289" s="146" t="str">
        <f>Creation_XP!AA84</f>
        <v/>
      </c>
      <c r="Q289" s="146" t="str">
        <f>Creation_XP!AM84</f>
        <v/>
      </c>
      <c r="R289" s="146" t="str">
        <f>Creation_XP!AS84</f>
        <v/>
      </c>
      <c r="S289" s="144" t="str">
        <f t="shared" si="86"/>
        <v/>
      </c>
      <c r="T289" s="144" t="str">
        <f t="shared" si="87"/>
        <v/>
      </c>
      <c r="U289" s="144" t="str">
        <f t="shared" si="88"/>
        <v/>
      </c>
    </row>
    <row r="290" spans="1:21">
      <c r="A290" s="129" t="s">
        <v>3144</v>
      </c>
      <c r="D290" s="161">
        <f>Creation_1!AA85</f>
        <v>0</v>
      </c>
      <c r="E290" s="142">
        <f>Creation_1!AM85</f>
        <v>0</v>
      </c>
      <c r="F290" s="142">
        <f>Creation_1!AS85</f>
        <v>0</v>
      </c>
      <c r="G290" s="143" t="str">
        <f>Creation_BP!AA85</f>
        <v/>
      </c>
      <c r="H290" s="143" t="str">
        <f>Creation_BP!AM85</f>
        <v/>
      </c>
      <c r="I290" s="143" t="str">
        <f>Creation_BP!AS85</f>
        <v/>
      </c>
      <c r="J290" s="144" t="str">
        <f t="shared" si="83"/>
        <v/>
      </c>
      <c r="K290" s="144" t="str">
        <f t="shared" si="84"/>
        <v/>
      </c>
      <c r="L290" s="144" t="str">
        <f t="shared" si="89"/>
        <v/>
      </c>
      <c r="M290" s="145"/>
      <c r="N290" s="145"/>
      <c r="O290" s="145"/>
      <c r="P290" s="146" t="str">
        <f>Creation_XP!AA85</f>
        <v/>
      </c>
      <c r="Q290" s="146" t="str">
        <f>Creation_XP!AM85</f>
        <v/>
      </c>
      <c r="R290" s="146" t="str">
        <f>Creation_XP!AS85</f>
        <v/>
      </c>
      <c r="S290" s="144" t="str">
        <f t="shared" si="86"/>
        <v/>
      </c>
      <c r="T290" s="144" t="str">
        <f t="shared" si="87"/>
        <v/>
      </c>
      <c r="U290" s="144" t="str">
        <f t="shared" si="88"/>
        <v/>
      </c>
    </row>
    <row r="291" spans="1:21">
      <c r="A291" s="129" t="s">
        <v>3145</v>
      </c>
      <c r="D291" s="161">
        <f>Creation_1!AA86</f>
        <v>0</v>
      </c>
      <c r="E291" s="142">
        <f>Creation_1!AM86</f>
        <v>0</v>
      </c>
      <c r="F291" s="142">
        <f>Creation_1!AS86</f>
        <v>0</v>
      </c>
      <c r="G291" s="143" t="str">
        <f>Creation_BP!AA86</f>
        <v/>
      </c>
      <c r="H291" s="143" t="str">
        <f>Creation_BP!AM86</f>
        <v/>
      </c>
      <c r="I291" s="143" t="str">
        <f>Creation_BP!AS86</f>
        <v/>
      </c>
      <c r="J291" s="144" t="str">
        <f t="shared" si="83"/>
        <v/>
      </c>
      <c r="K291" s="144" t="str">
        <f t="shared" si="84"/>
        <v/>
      </c>
      <c r="L291" s="144" t="str">
        <f t="shared" si="89"/>
        <v/>
      </c>
      <c r="M291" s="145"/>
      <c r="N291" s="145"/>
      <c r="O291" s="145"/>
      <c r="P291" s="146" t="str">
        <f>Creation_XP!AA86</f>
        <v/>
      </c>
      <c r="Q291" s="146" t="str">
        <f>Creation_XP!AM86</f>
        <v/>
      </c>
      <c r="R291" s="146" t="str">
        <f>Creation_XP!AS86</f>
        <v/>
      </c>
      <c r="S291" s="144" t="str">
        <f t="shared" si="86"/>
        <v/>
      </c>
      <c r="T291" s="144" t="str">
        <f t="shared" si="87"/>
        <v/>
      </c>
      <c r="U291" s="144" t="str">
        <f t="shared" si="88"/>
        <v/>
      </c>
    </row>
    <row r="292" spans="1:21">
      <c r="A292" s="129" t="s">
        <v>3146</v>
      </c>
      <c r="D292" s="161">
        <f>Creation_1!AA87</f>
        <v>0</v>
      </c>
      <c r="E292" s="142">
        <f>Creation_1!AM87</f>
        <v>0</v>
      </c>
      <c r="F292" s="142">
        <f>Creation_1!AS87</f>
        <v>0</v>
      </c>
      <c r="G292" s="143" t="str">
        <f>Creation_BP!AA87</f>
        <v/>
      </c>
      <c r="H292" s="143" t="str">
        <f>Creation_BP!AM87</f>
        <v/>
      </c>
      <c r="I292" s="143" t="str">
        <f>Creation_BP!AS87</f>
        <v/>
      </c>
      <c r="J292" s="144" t="str">
        <f t="shared" si="83"/>
        <v/>
      </c>
      <c r="K292" s="144" t="str">
        <f t="shared" si="84"/>
        <v/>
      </c>
      <c r="L292" s="144" t="str">
        <f t="shared" si="89"/>
        <v/>
      </c>
      <c r="M292" s="145"/>
      <c r="N292" s="145"/>
      <c r="O292" s="145"/>
      <c r="P292" s="146" t="str">
        <f>Creation_XP!AA87</f>
        <v/>
      </c>
      <c r="Q292" s="146" t="str">
        <f>Creation_XP!AM87</f>
        <v/>
      </c>
      <c r="R292" s="146" t="str">
        <f>Creation_XP!AS87</f>
        <v/>
      </c>
      <c r="S292" s="144" t="str">
        <f t="shared" si="86"/>
        <v/>
      </c>
      <c r="T292" s="144" t="str">
        <f t="shared" si="87"/>
        <v/>
      </c>
      <c r="U292" s="144" t="str">
        <f t="shared" si="88"/>
        <v/>
      </c>
    </row>
    <row r="293" spans="1:21">
      <c r="D293" s="129"/>
    </row>
    <row r="294" spans="1:21">
      <c r="A294" s="140" t="s">
        <v>3167</v>
      </c>
      <c r="D294" s="129" t="s">
        <v>80</v>
      </c>
      <c r="E294" s="130" t="s">
        <v>3165</v>
      </c>
      <c r="G294" s="129" t="s">
        <v>80</v>
      </c>
      <c r="H294" s="130" t="s">
        <v>3165</v>
      </c>
      <c r="J294" s="129" t="s">
        <v>80</v>
      </c>
      <c r="K294" s="130" t="s">
        <v>3165</v>
      </c>
      <c r="M294" s="171" t="s">
        <v>80</v>
      </c>
      <c r="N294" s="152" t="s">
        <v>3165</v>
      </c>
      <c r="P294" s="129" t="s">
        <v>80</v>
      </c>
      <c r="Q294" s="130" t="s">
        <v>3165</v>
      </c>
      <c r="S294" s="129" t="s">
        <v>80</v>
      </c>
      <c r="T294" s="130" t="s">
        <v>3165</v>
      </c>
    </row>
    <row r="295" spans="1:21">
      <c r="A295" s="129" t="s">
        <v>3168</v>
      </c>
      <c r="D295" s="161">
        <f>Creation_1!B92</f>
        <v>0</v>
      </c>
      <c r="E295" s="142">
        <f>Creation_1!U92</f>
        <v>0</v>
      </c>
      <c r="G295" s="143" t="str">
        <f>Creation_BP!B92</f>
        <v/>
      </c>
      <c r="H295" s="143" t="str">
        <f>Creation_BP!U92</f>
        <v/>
      </c>
      <c r="J295" s="144" t="str">
        <f>G295</f>
        <v/>
      </c>
      <c r="K295" s="144" t="str">
        <f>H295</f>
        <v/>
      </c>
      <c r="M295" s="145"/>
      <c r="N295" s="145"/>
      <c r="P295" s="146" t="str">
        <f>Creation_XP!B92</f>
        <v/>
      </c>
      <c r="Q295" s="146" t="str">
        <f>Creation_XP!U92</f>
        <v/>
      </c>
      <c r="S295" s="144" t="str">
        <f>P295</f>
        <v/>
      </c>
      <c r="T295" s="144" t="str">
        <f>Q295</f>
        <v/>
      </c>
    </row>
    <row r="296" spans="1:21">
      <c r="A296" s="129" t="s">
        <v>3169</v>
      </c>
      <c r="D296" s="161">
        <f>Creation_1!B93</f>
        <v>0</v>
      </c>
      <c r="E296" s="142">
        <f>Creation_1!U93</f>
        <v>0</v>
      </c>
      <c r="G296" s="143" t="str">
        <f>Creation_BP!B93</f>
        <v/>
      </c>
      <c r="H296" s="143" t="str">
        <f>Creation_BP!U93</f>
        <v/>
      </c>
      <c r="J296" s="144" t="str">
        <f t="shared" ref="J296:J322" si="90">G296</f>
        <v/>
      </c>
      <c r="K296" s="144" t="str">
        <f t="shared" ref="K296:K322" si="91">H296</f>
        <v/>
      </c>
      <c r="M296" s="145"/>
      <c r="N296" s="145"/>
      <c r="P296" s="146" t="str">
        <f>Creation_XP!B93</f>
        <v/>
      </c>
      <c r="Q296" s="146" t="str">
        <f>Creation_XP!U93</f>
        <v/>
      </c>
      <c r="S296" s="144" t="str">
        <f t="shared" ref="S296:S322" si="92">P296</f>
        <v/>
      </c>
      <c r="T296" s="144" t="str">
        <f t="shared" ref="T296:T322" si="93">Q296</f>
        <v/>
      </c>
    </row>
    <row r="297" spans="1:21">
      <c r="A297" s="129" t="s">
        <v>3170</v>
      </c>
      <c r="D297" s="161">
        <f>Creation_1!B94</f>
        <v>0</v>
      </c>
      <c r="E297" s="142">
        <f>Creation_1!U94</f>
        <v>0</v>
      </c>
      <c r="G297" s="143" t="str">
        <f>Creation_BP!B94</f>
        <v/>
      </c>
      <c r="H297" s="143" t="str">
        <f>Creation_BP!U94</f>
        <v/>
      </c>
      <c r="J297" s="144" t="str">
        <f t="shared" si="90"/>
        <v/>
      </c>
      <c r="K297" s="144" t="str">
        <f t="shared" si="91"/>
        <v/>
      </c>
      <c r="M297" s="145"/>
      <c r="N297" s="145"/>
      <c r="P297" s="146" t="str">
        <f>Creation_XP!B94</f>
        <v/>
      </c>
      <c r="Q297" s="146" t="str">
        <f>Creation_XP!U94</f>
        <v/>
      </c>
      <c r="S297" s="144" t="str">
        <f t="shared" si="92"/>
        <v/>
      </c>
      <c r="T297" s="144" t="str">
        <f t="shared" si="93"/>
        <v/>
      </c>
    </row>
    <row r="298" spans="1:21">
      <c r="A298" s="129" t="s">
        <v>3171</v>
      </c>
      <c r="D298" s="161">
        <f>Creation_1!B95</f>
        <v>0</v>
      </c>
      <c r="E298" s="142">
        <f>Creation_1!U95</f>
        <v>0</v>
      </c>
      <c r="G298" s="143" t="str">
        <f>Creation_BP!B95</f>
        <v/>
      </c>
      <c r="H298" s="143" t="str">
        <f>Creation_BP!U95</f>
        <v/>
      </c>
      <c r="J298" s="144" t="str">
        <f t="shared" si="90"/>
        <v/>
      </c>
      <c r="K298" s="144" t="str">
        <f t="shared" si="91"/>
        <v/>
      </c>
      <c r="M298" s="145"/>
      <c r="N298" s="145"/>
      <c r="P298" s="146" t="str">
        <f>Creation_XP!B95</f>
        <v/>
      </c>
      <c r="Q298" s="146" t="str">
        <f>Creation_XP!U95</f>
        <v/>
      </c>
      <c r="S298" s="144" t="str">
        <f t="shared" si="92"/>
        <v/>
      </c>
      <c r="T298" s="144" t="str">
        <f t="shared" si="93"/>
        <v/>
      </c>
    </row>
    <row r="299" spans="1:21">
      <c r="A299" s="129" t="s">
        <v>3172</v>
      </c>
      <c r="D299" s="161">
        <f>Creation_1!B96</f>
        <v>0</v>
      </c>
      <c r="E299" s="142">
        <f>Creation_1!U96</f>
        <v>0</v>
      </c>
      <c r="G299" s="143" t="str">
        <f>Creation_BP!B96</f>
        <v/>
      </c>
      <c r="H299" s="143" t="str">
        <f>Creation_BP!U96</f>
        <v/>
      </c>
      <c r="J299" s="144" t="str">
        <f t="shared" si="90"/>
        <v/>
      </c>
      <c r="K299" s="144" t="str">
        <f t="shared" si="91"/>
        <v/>
      </c>
      <c r="M299" s="145"/>
      <c r="N299" s="145"/>
      <c r="P299" s="146" t="str">
        <f>Creation_XP!B96</f>
        <v/>
      </c>
      <c r="Q299" s="146" t="str">
        <f>Creation_XP!U96</f>
        <v/>
      </c>
      <c r="S299" s="144" t="str">
        <f t="shared" si="92"/>
        <v/>
      </c>
      <c r="T299" s="144" t="str">
        <f t="shared" si="93"/>
        <v/>
      </c>
    </row>
    <row r="300" spans="1:21">
      <c r="A300" s="129" t="s">
        <v>3173</v>
      </c>
      <c r="D300" s="161">
        <f>Creation_1!B97</f>
        <v>0</v>
      </c>
      <c r="E300" s="142">
        <f>Creation_1!U97</f>
        <v>0</v>
      </c>
      <c r="G300" s="143" t="str">
        <f>Creation_BP!B97</f>
        <v/>
      </c>
      <c r="H300" s="143" t="str">
        <f>Creation_BP!U97</f>
        <v/>
      </c>
      <c r="J300" s="144" t="str">
        <f t="shared" si="90"/>
        <v/>
      </c>
      <c r="K300" s="144" t="str">
        <f t="shared" si="91"/>
        <v/>
      </c>
      <c r="M300" s="145"/>
      <c r="N300" s="145"/>
      <c r="P300" s="146" t="str">
        <f>Creation_XP!B97</f>
        <v/>
      </c>
      <c r="Q300" s="146" t="str">
        <f>Creation_XP!U97</f>
        <v/>
      </c>
      <c r="S300" s="144" t="str">
        <f t="shared" si="92"/>
        <v/>
      </c>
      <c r="T300" s="144" t="str">
        <f t="shared" si="93"/>
        <v/>
      </c>
    </row>
    <row r="301" spans="1:21">
      <c r="A301" s="129" t="s">
        <v>3174</v>
      </c>
      <c r="D301" s="161">
        <f>Creation_1!B98</f>
        <v>0</v>
      </c>
      <c r="E301" s="142">
        <f>Creation_1!U98</f>
        <v>0</v>
      </c>
      <c r="G301" s="143" t="str">
        <f>Creation_BP!B98</f>
        <v/>
      </c>
      <c r="H301" s="143" t="str">
        <f>Creation_BP!U98</f>
        <v/>
      </c>
      <c r="J301" s="144" t="str">
        <f t="shared" si="90"/>
        <v/>
      </c>
      <c r="K301" s="144" t="str">
        <f t="shared" si="91"/>
        <v/>
      </c>
      <c r="M301" s="145"/>
      <c r="N301" s="145"/>
      <c r="P301" s="146" t="str">
        <f>Creation_XP!B98</f>
        <v/>
      </c>
      <c r="Q301" s="146" t="str">
        <f>Creation_XP!U98</f>
        <v/>
      </c>
      <c r="S301" s="144" t="str">
        <f t="shared" si="92"/>
        <v/>
      </c>
      <c r="T301" s="144" t="str">
        <f t="shared" si="93"/>
        <v/>
      </c>
    </row>
    <row r="302" spans="1:21">
      <c r="A302" s="129" t="s">
        <v>3175</v>
      </c>
      <c r="D302" s="161">
        <f>Creation_1!B99</f>
        <v>0</v>
      </c>
      <c r="E302" s="142">
        <f>Creation_1!U99</f>
        <v>0</v>
      </c>
      <c r="G302" s="143" t="str">
        <f>Creation_BP!B99</f>
        <v/>
      </c>
      <c r="H302" s="143" t="str">
        <f>Creation_BP!U99</f>
        <v/>
      </c>
      <c r="J302" s="144" t="str">
        <f t="shared" si="90"/>
        <v/>
      </c>
      <c r="K302" s="144" t="str">
        <f t="shared" si="91"/>
        <v/>
      </c>
      <c r="M302" s="145"/>
      <c r="N302" s="145"/>
      <c r="P302" s="146" t="str">
        <f>Creation_XP!B99</f>
        <v/>
      </c>
      <c r="Q302" s="146" t="str">
        <f>Creation_XP!U99</f>
        <v/>
      </c>
      <c r="S302" s="144" t="str">
        <f t="shared" si="92"/>
        <v/>
      </c>
      <c r="T302" s="144" t="str">
        <f t="shared" si="93"/>
        <v/>
      </c>
    </row>
    <row r="303" spans="1:21">
      <c r="A303" s="129" t="s">
        <v>3176</v>
      </c>
      <c r="D303" s="161">
        <f>Creation_1!B100</f>
        <v>0</v>
      </c>
      <c r="E303" s="142">
        <f>Creation_1!U100</f>
        <v>0</v>
      </c>
      <c r="G303" s="143" t="str">
        <f>Creation_BP!B100</f>
        <v/>
      </c>
      <c r="H303" s="143" t="str">
        <f>Creation_BP!U100</f>
        <v/>
      </c>
      <c r="J303" s="144" t="str">
        <f t="shared" si="90"/>
        <v/>
      </c>
      <c r="K303" s="144" t="str">
        <f t="shared" si="91"/>
        <v/>
      </c>
      <c r="M303" s="145"/>
      <c r="N303" s="145"/>
      <c r="P303" s="146" t="str">
        <f>Creation_XP!B100</f>
        <v/>
      </c>
      <c r="Q303" s="146" t="str">
        <f>Creation_XP!U100</f>
        <v/>
      </c>
      <c r="S303" s="144" t="str">
        <f t="shared" si="92"/>
        <v/>
      </c>
      <c r="T303" s="144" t="str">
        <f t="shared" si="93"/>
        <v/>
      </c>
    </row>
    <row r="304" spans="1:21">
      <c r="A304" s="129" t="s">
        <v>3177</v>
      </c>
      <c r="D304" s="161">
        <f>Creation_1!B101</f>
        <v>0</v>
      </c>
      <c r="E304" s="142">
        <f>Creation_1!U101</f>
        <v>0</v>
      </c>
      <c r="G304" s="143" t="str">
        <f>Creation_BP!B101</f>
        <v/>
      </c>
      <c r="H304" s="143" t="str">
        <f>Creation_BP!U101</f>
        <v/>
      </c>
      <c r="J304" s="144" t="str">
        <f t="shared" si="90"/>
        <v/>
      </c>
      <c r="K304" s="144" t="str">
        <f t="shared" si="91"/>
        <v/>
      </c>
      <c r="M304" s="145"/>
      <c r="N304" s="145"/>
      <c r="P304" s="146" t="str">
        <f>Creation_XP!B101</f>
        <v/>
      </c>
      <c r="Q304" s="146" t="str">
        <f>Creation_XP!U101</f>
        <v/>
      </c>
      <c r="S304" s="144" t="str">
        <f t="shared" si="92"/>
        <v/>
      </c>
      <c r="T304" s="144" t="str">
        <f t="shared" si="93"/>
        <v/>
      </c>
    </row>
    <row r="305" spans="1:20">
      <c r="A305" s="129" t="s">
        <v>3178</v>
      </c>
      <c r="D305" s="161">
        <f>Creation_1!B102</f>
        <v>0</v>
      </c>
      <c r="E305" s="142">
        <f>Creation_1!U102</f>
        <v>0</v>
      </c>
      <c r="G305" s="143" t="str">
        <f>Creation_BP!B102</f>
        <v/>
      </c>
      <c r="H305" s="143" t="str">
        <f>Creation_BP!U102</f>
        <v/>
      </c>
      <c r="J305" s="144" t="str">
        <f t="shared" si="90"/>
        <v/>
      </c>
      <c r="K305" s="144" t="str">
        <f t="shared" si="91"/>
        <v/>
      </c>
      <c r="M305" s="145"/>
      <c r="N305" s="145"/>
      <c r="P305" s="146" t="str">
        <f>Creation_XP!B102</f>
        <v/>
      </c>
      <c r="Q305" s="146" t="str">
        <f>Creation_XP!U102</f>
        <v/>
      </c>
      <c r="S305" s="144" t="str">
        <f t="shared" si="92"/>
        <v/>
      </c>
      <c r="T305" s="144" t="str">
        <f t="shared" si="93"/>
        <v/>
      </c>
    </row>
    <row r="306" spans="1:20">
      <c r="A306" s="129" t="s">
        <v>3179</v>
      </c>
      <c r="D306" s="161">
        <f>Creation_1!B103</f>
        <v>0</v>
      </c>
      <c r="E306" s="142">
        <f>Creation_1!U103</f>
        <v>0</v>
      </c>
      <c r="G306" s="143" t="str">
        <f>Creation_BP!B103</f>
        <v/>
      </c>
      <c r="H306" s="143" t="str">
        <f>Creation_BP!U103</f>
        <v/>
      </c>
      <c r="J306" s="144" t="str">
        <f t="shared" si="90"/>
        <v/>
      </c>
      <c r="K306" s="144" t="str">
        <f t="shared" si="91"/>
        <v/>
      </c>
      <c r="M306" s="145"/>
      <c r="N306" s="145"/>
      <c r="P306" s="146" t="str">
        <f>Creation_XP!B103</f>
        <v/>
      </c>
      <c r="Q306" s="146" t="str">
        <f>Creation_XP!U103</f>
        <v/>
      </c>
      <c r="S306" s="144" t="str">
        <f t="shared" si="92"/>
        <v/>
      </c>
      <c r="T306" s="144" t="str">
        <f t="shared" si="93"/>
        <v/>
      </c>
    </row>
    <row r="307" spans="1:20">
      <c r="A307" s="129" t="s">
        <v>3180</v>
      </c>
      <c r="D307" s="161">
        <f>Creation_1!B104</f>
        <v>0</v>
      </c>
      <c r="E307" s="142">
        <f>Creation_1!U104</f>
        <v>0</v>
      </c>
      <c r="G307" s="143" t="str">
        <f>Creation_BP!B104</f>
        <v/>
      </c>
      <c r="H307" s="143" t="str">
        <f>Creation_BP!U104</f>
        <v/>
      </c>
      <c r="J307" s="144" t="str">
        <f t="shared" si="90"/>
        <v/>
      </c>
      <c r="K307" s="144" t="str">
        <f t="shared" si="91"/>
        <v/>
      </c>
      <c r="M307" s="145"/>
      <c r="N307" s="145"/>
      <c r="P307" s="146" t="str">
        <f>Creation_XP!B104</f>
        <v/>
      </c>
      <c r="Q307" s="146" t="str">
        <f>Creation_XP!U104</f>
        <v/>
      </c>
      <c r="S307" s="144" t="str">
        <f t="shared" si="92"/>
        <v/>
      </c>
      <c r="T307" s="144" t="str">
        <f t="shared" si="93"/>
        <v/>
      </c>
    </row>
    <row r="308" spans="1:20">
      <c r="A308" s="129" t="s">
        <v>3181</v>
      </c>
      <c r="D308" s="161">
        <f>Creation_1!B105</f>
        <v>0</v>
      </c>
      <c r="E308" s="142">
        <f>Creation_1!U105</f>
        <v>0</v>
      </c>
      <c r="G308" s="143" t="str">
        <f>Creation_BP!B105</f>
        <v/>
      </c>
      <c r="H308" s="143" t="str">
        <f>Creation_BP!U105</f>
        <v/>
      </c>
      <c r="J308" s="144" t="str">
        <f t="shared" si="90"/>
        <v/>
      </c>
      <c r="K308" s="144" t="str">
        <f t="shared" si="91"/>
        <v/>
      </c>
      <c r="M308" s="145"/>
      <c r="N308" s="145"/>
      <c r="P308" s="146" t="str">
        <f>Creation_XP!B105</f>
        <v/>
      </c>
      <c r="Q308" s="146" t="str">
        <f>Creation_XP!U105</f>
        <v/>
      </c>
      <c r="S308" s="144" t="str">
        <f t="shared" si="92"/>
        <v/>
      </c>
      <c r="T308" s="144" t="str">
        <f t="shared" si="93"/>
        <v/>
      </c>
    </row>
    <row r="309" spans="1:20">
      <c r="A309" s="176" t="s">
        <v>3182</v>
      </c>
      <c r="B309" s="176"/>
      <c r="C309" s="177"/>
      <c r="D309" s="192">
        <f>Creation_1!AA92</f>
        <v>0</v>
      </c>
      <c r="E309" s="193">
        <f>Creation_1!AT92</f>
        <v>0</v>
      </c>
      <c r="F309" s="177"/>
      <c r="G309" s="185" t="str">
        <f>Creation_BP!AA92</f>
        <v/>
      </c>
      <c r="H309" s="185" t="str">
        <f>Creation_BP!AT92</f>
        <v/>
      </c>
      <c r="I309" s="177"/>
      <c r="J309" s="144" t="str">
        <f t="shared" si="90"/>
        <v/>
      </c>
      <c r="K309" s="144" t="str">
        <f t="shared" si="91"/>
        <v/>
      </c>
      <c r="L309" s="177"/>
      <c r="M309" s="195"/>
      <c r="N309" s="195"/>
      <c r="O309" s="186"/>
      <c r="P309" s="146" t="str">
        <f>Creation_XP!AA92</f>
        <v/>
      </c>
      <c r="Q309" s="146" t="str">
        <f>Creation_XP!AT92</f>
        <v/>
      </c>
      <c r="R309" s="177"/>
      <c r="S309" s="144" t="str">
        <f t="shared" si="92"/>
        <v/>
      </c>
      <c r="T309" s="144" t="str">
        <f t="shared" si="93"/>
        <v/>
      </c>
    </row>
    <row r="310" spans="1:20">
      <c r="A310" s="129" t="s">
        <v>3183</v>
      </c>
      <c r="D310" s="161">
        <f>Creation_1!AA93</f>
        <v>0</v>
      </c>
      <c r="E310" s="142">
        <f>Creation_1!AT93</f>
        <v>0</v>
      </c>
      <c r="G310" s="143" t="str">
        <f>Creation_BP!AA93</f>
        <v/>
      </c>
      <c r="H310" s="143" t="str">
        <f>Creation_BP!AT93</f>
        <v/>
      </c>
      <c r="J310" s="144" t="str">
        <f t="shared" si="90"/>
        <v/>
      </c>
      <c r="K310" s="144" t="str">
        <f t="shared" si="91"/>
        <v/>
      </c>
      <c r="M310" s="145"/>
      <c r="N310" s="145"/>
      <c r="P310" s="146" t="str">
        <f>Creation_XP!AA93</f>
        <v/>
      </c>
      <c r="Q310" s="146" t="str">
        <f>Creation_XP!AT93</f>
        <v/>
      </c>
      <c r="S310" s="144" t="str">
        <f t="shared" si="92"/>
        <v/>
      </c>
      <c r="T310" s="144" t="str">
        <f t="shared" si="93"/>
        <v/>
      </c>
    </row>
    <row r="311" spans="1:20">
      <c r="A311" s="129" t="s">
        <v>3184</v>
      </c>
      <c r="D311" s="161">
        <f>Creation_1!AA94</f>
        <v>0</v>
      </c>
      <c r="E311" s="142">
        <f>Creation_1!AT94</f>
        <v>0</v>
      </c>
      <c r="G311" s="143" t="str">
        <f>Creation_BP!AA94</f>
        <v/>
      </c>
      <c r="H311" s="143" t="str">
        <f>Creation_BP!AT94</f>
        <v/>
      </c>
      <c r="J311" s="144" t="str">
        <f t="shared" si="90"/>
        <v/>
      </c>
      <c r="K311" s="144" t="str">
        <f t="shared" si="91"/>
        <v/>
      </c>
      <c r="M311" s="145"/>
      <c r="N311" s="145"/>
      <c r="P311" s="146" t="str">
        <f>Creation_XP!AA94</f>
        <v/>
      </c>
      <c r="Q311" s="146" t="str">
        <f>Creation_XP!AT94</f>
        <v/>
      </c>
      <c r="S311" s="144" t="str">
        <f t="shared" si="92"/>
        <v/>
      </c>
      <c r="T311" s="144" t="str">
        <f t="shared" si="93"/>
        <v/>
      </c>
    </row>
    <row r="312" spans="1:20">
      <c r="A312" s="129" t="s">
        <v>3185</v>
      </c>
      <c r="D312" s="161">
        <f>Creation_1!AA95</f>
        <v>0</v>
      </c>
      <c r="E312" s="142">
        <f>Creation_1!AT95</f>
        <v>0</v>
      </c>
      <c r="G312" s="143" t="str">
        <f>Creation_BP!AA95</f>
        <v/>
      </c>
      <c r="H312" s="143" t="str">
        <f>Creation_BP!AT95</f>
        <v/>
      </c>
      <c r="J312" s="144" t="str">
        <f t="shared" si="90"/>
        <v/>
      </c>
      <c r="K312" s="144" t="str">
        <f t="shared" si="91"/>
        <v/>
      </c>
      <c r="M312" s="145"/>
      <c r="N312" s="145"/>
      <c r="P312" s="146" t="str">
        <f>Creation_XP!AA95</f>
        <v/>
      </c>
      <c r="Q312" s="146" t="str">
        <f>Creation_XP!AT95</f>
        <v/>
      </c>
      <c r="S312" s="144" t="str">
        <f t="shared" si="92"/>
        <v/>
      </c>
      <c r="T312" s="144" t="str">
        <f t="shared" si="93"/>
        <v/>
      </c>
    </row>
    <row r="313" spans="1:20">
      <c r="A313" s="129" t="s">
        <v>3186</v>
      </c>
      <c r="D313" s="161">
        <f>Creation_1!AA96</f>
        <v>0</v>
      </c>
      <c r="E313" s="142">
        <f>Creation_1!AT96</f>
        <v>0</v>
      </c>
      <c r="G313" s="143" t="str">
        <f>Creation_BP!AA96</f>
        <v/>
      </c>
      <c r="H313" s="143" t="str">
        <f>Creation_BP!AT96</f>
        <v/>
      </c>
      <c r="J313" s="144" t="str">
        <f t="shared" si="90"/>
        <v/>
      </c>
      <c r="K313" s="144" t="str">
        <f t="shared" si="91"/>
        <v/>
      </c>
      <c r="M313" s="145"/>
      <c r="N313" s="145"/>
      <c r="P313" s="146" t="str">
        <f>Creation_XP!AA96</f>
        <v/>
      </c>
      <c r="Q313" s="146" t="str">
        <f>Creation_XP!AT96</f>
        <v/>
      </c>
      <c r="S313" s="144" t="str">
        <f t="shared" si="92"/>
        <v/>
      </c>
      <c r="T313" s="144" t="str">
        <f t="shared" si="93"/>
        <v/>
      </c>
    </row>
    <row r="314" spans="1:20">
      <c r="A314" s="129" t="s">
        <v>3187</v>
      </c>
      <c r="D314" s="161">
        <f>Creation_1!AA97</f>
        <v>0</v>
      </c>
      <c r="E314" s="142">
        <f>Creation_1!AT97</f>
        <v>0</v>
      </c>
      <c r="G314" s="143" t="str">
        <f>Creation_BP!AA97</f>
        <v/>
      </c>
      <c r="H314" s="143" t="str">
        <f>Creation_BP!AT97</f>
        <v/>
      </c>
      <c r="J314" s="144" t="str">
        <f t="shared" si="90"/>
        <v/>
      </c>
      <c r="K314" s="144" t="str">
        <f t="shared" si="91"/>
        <v/>
      </c>
      <c r="M314" s="145"/>
      <c r="N314" s="145"/>
      <c r="P314" s="146" t="str">
        <f>Creation_XP!AA97</f>
        <v/>
      </c>
      <c r="Q314" s="146" t="str">
        <f>Creation_XP!AT97</f>
        <v/>
      </c>
      <c r="S314" s="144" t="str">
        <f t="shared" si="92"/>
        <v/>
      </c>
      <c r="T314" s="144" t="str">
        <f t="shared" si="93"/>
        <v/>
      </c>
    </row>
    <row r="315" spans="1:20">
      <c r="A315" s="129" t="s">
        <v>3188</v>
      </c>
      <c r="D315" s="161">
        <f>Creation_1!AA98</f>
        <v>0</v>
      </c>
      <c r="E315" s="142">
        <f>Creation_1!AT98</f>
        <v>0</v>
      </c>
      <c r="G315" s="143" t="str">
        <f>Creation_BP!AA98</f>
        <v/>
      </c>
      <c r="H315" s="143" t="str">
        <f>Creation_BP!AT98</f>
        <v/>
      </c>
      <c r="J315" s="144" t="str">
        <f t="shared" si="90"/>
        <v/>
      </c>
      <c r="K315" s="144" t="str">
        <f t="shared" si="91"/>
        <v/>
      </c>
      <c r="M315" s="145"/>
      <c r="N315" s="145"/>
      <c r="P315" s="146" t="str">
        <f>Creation_XP!AA98</f>
        <v/>
      </c>
      <c r="Q315" s="146" t="str">
        <f>Creation_XP!AT98</f>
        <v/>
      </c>
      <c r="S315" s="144" t="str">
        <f t="shared" si="92"/>
        <v/>
      </c>
      <c r="T315" s="144" t="str">
        <f t="shared" si="93"/>
        <v/>
      </c>
    </row>
    <row r="316" spans="1:20">
      <c r="A316" s="129" t="s">
        <v>3189</v>
      </c>
      <c r="D316" s="161">
        <f>Creation_1!AA99</f>
        <v>0</v>
      </c>
      <c r="E316" s="142">
        <f>Creation_1!AT99</f>
        <v>0</v>
      </c>
      <c r="G316" s="143" t="str">
        <f>Creation_BP!AA99</f>
        <v/>
      </c>
      <c r="H316" s="143" t="str">
        <f>Creation_BP!AT99</f>
        <v/>
      </c>
      <c r="J316" s="144" t="str">
        <f t="shared" si="90"/>
        <v/>
      </c>
      <c r="K316" s="144" t="str">
        <f t="shared" si="91"/>
        <v/>
      </c>
      <c r="M316" s="145"/>
      <c r="N316" s="145"/>
      <c r="P316" s="146" t="str">
        <f>Creation_XP!AA99</f>
        <v/>
      </c>
      <c r="Q316" s="146" t="str">
        <f>Creation_XP!AT99</f>
        <v/>
      </c>
      <c r="S316" s="144" t="str">
        <f t="shared" si="92"/>
        <v/>
      </c>
      <c r="T316" s="144" t="str">
        <f t="shared" si="93"/>
        <v/>
      </c>
    </row>
    <row r="317" spans="1:20">
      <c r="A317" s="129" t="s">
        <v>3190</v>
      </c>
      <c r="D317" s="161">
        <f>Creation_1!AA100</f>
        <v>0</v>
      </c>
      <c r="E317" s="142">
        <f>Creation_1!AT100</f>
        <v>0</v>
      </c>
      <c r="G317" s="143" t="str">
        <f>Creation_BP!AA100</f>
        <v/>
      </c>
      <c r="H317" s="143" t="str">
        <f>Creation_BP!AT100</f>
        <v/>
      </c>
      <c r="J317" s="144" t="str">
        <f t="shared" si="90"/>
        <v/>
      </c>
      <c r="K317" s="144" t="str">
        <f t="shared" si="91"/>
        <v/>
      </c>
      <c r="M317" s="145"/>
      <c r="N317" s="145"/>
      <c r="P317" s="146" t="str">
        <f>Creation_XP!AA100</f>
        <v/>
      </c>
      <c r="Q317" s="146" t="str">
        <f>Creation_XP!AT100</f>
        <v/>
      </c>
      <c r="S317" s="144" t="str">
        <f t="shared" si="92"/>
        <v/>
      </c>
      <c r="T317" s="144" t="str">
        <f t="shared" si="93"/>
        <v/>
      </c>
    </row>
    <row r="318" spans="1:20">
      <c r="A318" s="129" t="s">
        <v>3191</v>
      </c>
      <c r="D318" s="161">
        <f>Creation_1!AA101</f>
        <v>0</v>
      </c>
      <c r="E318" s="142">
        <f>Creation_1!AT101</f>
        <v>0</v>
      </c>
      <c r="G318" s="143" t="str">
        <f>Creation_BP!AA101</f>
        <v/>
      </c>
      <c r="H318" s="143" t="str">
        <f>Creation_BP!AT101</f>
        <v/>
      </c>
      <c r="J318" s="144" t="str">
        <f t="shared" si="90"/>
        <v/>
      </c>
      <c r="K318" s="144" t="str">
        <f t="shared" si="91"/>
        <v/>
      </c>
      <c r="M318" s="145"/>
      <c r="N318" s="145"/>
      <c r="P318" s="146" t="str">
        <f>Creation_XP!AA101</f>
        <v/>
      </c>
      <c r="Q318" s="146" t="str">
        <f>Creation_XP!AT101</f>
        <v/>
      </c>
      <c r="S318" s="144" t="str">
        <f t="shared" si="92"/>
        <v/>
      </c>
      <c r="T318" s="144" t="str">
        <f t="shared" si="93"/>
        <v/>
      </c>
    </row>
    <row r="319" spans="1:20">
      <c r="A319" s="129" t="s">
        <v>3192</v>
      </c>
      <c r="D319" s="161">
        <f>Creation_1!AA102</f>
        <v>0</v>
      </c>
      <c r="E319" s="142">
        <f>Creation_1!AT102</f>
        <v>0</v>
      </c>
      <c r="G319" s="143" t="str">
        <f>Creation_BP!AA102</f>
        <v/>
      </c>
      <c r="H319" s="143" t="str">
        <f>Creation_BP!AT102</f>
        <v/>
      </c>
      <c r="J319" s="144" t="str">
        <f t="shared" si="90"/>
        <v/>
      </c>
      <c r="K319" s="144" t="str">
        <f t="shared" si="91"/>
        <v/>
      </c>
      <c r="M319" s="145"/>
      <c r="N319" s="145"/>
      <c r="P319" s="146" t="str">
        <f>Creation_XP!AA102</f>
        <v/>
      </c>
      <c r="Q319" s="146" t="str">
        <f>Creation_XP!AT102</f>
        <v/>
      </c>
      <c r="S319" s="144" t="str">
        <f t="shared" si="92"/>
        <v/>
      </c>
      <c r="T319" s="144" t="str">
        <f t="shared" si="93"/>
        <v/>
      </c>
    </row>
    <row r="320" spans="1:20">
      <c r="A320" s="129" t="s">
        <v>3193</v>
      </c>
      <c r="D320" s="161">
        <f>Creation_1!AA103</f>
        <v>0</v>
      </c>
      <c r="E320" s="142">
        <f>Creation_1!AT103</f>
        <v>0</v>
      </c>
      <c r="G320" s="143" t="str">
        <f>Creation_BP!AA103</f>
        <v/>
      </c>
      <c r="H320" s="143" t="str">
        <f>Creation_BP!AT103</f>
        <v/>
      </c>
      <c r="J320" s="144" t="str">
        <f t="shared" si="90"/>
        <v/>
      </c>
      <c r="K320" s="144" t="str">
        <f t="shared" si="91"/>
        <v/>
      </c>
      <c r="M320" s="145"/>
      <c r="N320" s="145"/>
      <c r="P320" s="146" t="str">
        <f>Creation_XP!AA103</f>
        <v/>
      </c>
      <c r="Q320" s="146" t="str">
        <f>Creation_XP!AT103</f>
        <v/>
      </c>
      <c r="S320" s="144" t="str">
        <f t="shared" si="92"/>
        <v/>
      </c>
      <c r="T320" s="144" t="str">
        <f t="shared" si="93"/>
        <v/>
      </c>
    </row>
    <row r="321" spans="1:20">
      <c r="A321" s="129" t="s">
        <v>3194</v>
      </c>
      <c r="D321" s="161">
        <f>Creation_1!AA104</f>
        <v>0</v>
      </c>
      <c r="E321" s="142">
        <f>Creation_1!AT104</f>
        <v>0</v>
      </c>
      <c r="G321" s="143" t="str">
        <f>Creation_BP!AA104</f>
        <v/>
      </c>
      <c r="H321" s="143" t="str">
        <f>Creation_BP!AT104</f>
        <v/>
      </c>
      <c r="J321" s="144" t="str">
        <f t="shared" si="90"/>
        <v/>
      </c>
      <c r="K321" s="144" t="str">
        <f t="shared" si="91"/>
        <v/>
      </c>
      <c r="M321" s="145"/>
      <c r="N321" s="145"/>
      <c r="P321" s="146" t="str">
        <f>Creation_XP!AA104</f>
        <v/>
      </c>
      <c r="Q321" s="146" t="str">
        <f>Creation_XP!AT104</f>
        <v/>
      </c>
      <c r="S321" s="144" t="str">
        <f t="shared" si="92"/>
        <v/>
      </c>
      <c r="T321" s="144" t="str">
        <f t="shared" si="93"/>
        <v/>
      </c>
    </row>
    <row r="322" spans="1:20">
      <c r="A322" s="129" t="s">
        <v>3195</v>
      </c>
      <c r="D322" s="161">
        <f>Creation_1!AA105</f>
        <v>0</v>
      </c>
      <c r="E322" s="142">
        <f>Creation_1!AT105</f>
        <v>0</v>
      </c>
      <c r="G322" s="143" t="str">
        <f>Creation_BP!AA105</f>
        <v/>
      </c>
      <c r="H322" s="143" t="str">
        <f>Creation_BP!AT105</f>
        <v/>
      </c>
      <c r="J322" s="144" t="str">
        <f t="shared" si="90"/>
        <v/>
      </c>
      <c r="K322" s="144" t="str">
        <f t="shared" si="91"/>
        <v/>
      </c>
      <c r="M322" s="145"/>
      <c r="N322" s="145"/>
      <c r="P322" s="146" t="str">
        <f>Creation_XP!AA105</f>
        <v/>
      </c>
      <c r="Q322" s="146" t="str">
        <f>Creation_XP!AT105</f>
        <v/>
      </c>
      <c r="S322" s="144" t="str">
        <f t="shared" si="92"/>
        <v/>
      </c>
      <c r="T322" s="144" t="str">
        <f t="shared" si="93"/>
        <v/>
      </c>
    </row>
    <row r="323" spans="1:20">
      <c r="D323" s="129"/>
    </row>
    <row r="324" spans="1:20">
      <c r="A324" s="140" t="s">
        <v>3196</v>
      </c>
      <c r="D324" s="130" t="s">
        <v>3300</v>
      </c>
      <c r="G324" s="130" t="s">
        <v>3300</v>
      </c>
      <c r="J324" s="130" t="s">
        <v>3300</v>
      </c>
      <c r="M324" s="152" t="s">
        <v>3300</v>
      </c>
      <c r="P324" s="130" t="s">
        <v>3300</v>
      </c>
      <c r="S324" s="130" t="s">
        <v>3300</v>
      </c>
    </row>
    <row r="325" spans="1:20">
      <c r="D325" s="161">
        <f>Creation_1!A108</f>
        <v>0</v>
      </c>
      <c r="G325" s="143" t="str">
        <f>Creation_BP!A108</f>
        <v/>
      </c>
      <c r="J325" s="144" t="str">
        <f>G325</f>
        <v/>
      </c>
      <c r="M325" s="145"/>
      <c r="P325" s="146" t="str">
        <f>Creation_XP!A108</f>
        <v/>
      </c>
      <c r="S325" s="197" t="str">
        <f>P325</f>
        <v/>
      </c>
    </row>
  </sheetData>
  <mergeCells count="9">
    <mergeCell ref="AA1:AB1"/>
    <mergeCell ref="X2:Z2"/>
    <mergeCell ref="D1:F1"/>
    <mergeCell ref="G1:I1"/>
    <mergeCell ref="P1:R1"/>
    <mergeCell ref="J1:L1"/>
    <mergeCell ref="M1:O1"/>
    <mergeCell ref="S1:U1"/>
    <mergeCell ref="W1:Z1"/>
  </mergeCells>
  <dataValidations disablePrompts="1" count="1">
    <dataValidation type="custom" allowBlank="1" showInputMessage="1" showErrorMessage="1" sqref="AA122:AA136" xr:uid="{00000000-0002-0000-0400-000000000000}">
      <formula1>0</formula1>
    </dataValidation>
  </dataValidations>
  <pageMargins left="0.39370078740157505" right="0.39370078740157505" top="0.78740157480315009" bottom="0.78740157480315009" header="0.39370078740157505" footer="0.39370078740157505"/>
  <pageSetup paperSize="9" fitToWidth="0" fitToHeight="0" pageOrder="overThenDown" orientation="portrait" useFirstPageNumber="1" horizontalDpi="360" verticalDpi="360" r:id="rId1"/>
  <headerFooter alignWithMargins="0"/>
  <legacy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Feuil5"/>
  <dimension ref="A1:N150"/>
  <sheetViews>
    <sheetView workbookViewId="0"/>
  </sheetViews>
  <sheetFormatPr baseColWidth="10" defaultRowHeight="14.25"/>
  <cols>
    <col min="1" max="1" width="19.5" customWidth="1"/>
    <col min="2" max="2" width="12.375" customWidth="1"/>
    <col min="3" max="3" width="7.625" style="1" bestFit="1" customWidth="1"/>
    <col min="4" max="4" width="7.5" style="1" bestFit="1" customWidth="1"/>
    <col min="5" max="5" width="12" style="1" bestFit="1" customWidth="1"/>
    <col min="6" max="6" width="9.75" style="1" bestFit="1" customWidth="1"/>
    <col min="7" max="7" width="0.125" style="1" customWidth="1"/>
    <col min="8" max="8" width="5.375" style="1" bestFit="1" customWidth="1"/>
    <col min="9" max="11" width="7.125" style="1" bestFit="1" customWidth="1"/>
    <col min="12" max="12" width="7.375" style="1" bestFit="1" customWidth="1"/>
    <col min="13" max="13" width="51.875" customWidth="1"/>
    <col min="14" max="14" width="46.875" bestFit="1" customWidth="1"/>
    <col min="15" max="1023" width="10.625" customWidth="1"/>
    <col min="1024" max="1024" width="11" customWidth="1"/>
  </cols>
  <sheetData>
    <row r="1" spans="1:14">
      <c r="A1" t="s">
        <v>145</v>
      </c>
      <c r="B1" t="s">
        <v>3053</v>
      </c>
      <c r="C1" s="1" t="s">
        <v>154</v>
      </c>
      <c r="D1" s="1" t="s">
        <v>155</v>
      </c>
      <c r="E1" s="1" t="s">
        <v>156</v>
      </c>
      <c r="F1" s="1" t="s">
        <v>147</v>
      </c>
      <c r="H1" s="1" t="s">
        <v>157</v>
      </c>
      <c r="I1" s="1" t="s">
        <v>158</v>
      </c>
      <c r="J1" s="1" t="s">
        <v>159</v>
      </c>
      <c r="K1" s="1" t="s">
        <v>160</v>
      </c>
      <c r="L1" s="1" t="s">
        <v>161</v>
      </c>
      <c r="M1" s="1" t="s">
        <v>60</v>
      </c>
      <c r="N1" s="1" t="s">
        <v>1438</v>
      </c>
    </row>
    <row r="2" spans="1:14">
      <c r="A2" s="12"/>
      <c r="B2" s="12"/>
      <c r="C2" s="13"/>
      <c r="D2" s="13"/>
      <c r="E2" s="13"/>
      <c r="F2" s="13"/>
      <c r="G2" s="13"/>
      <c r="H2" s="13"/>
      <c r="I2" s="13"/>
      <c r="J2" s="13"/>
      <c r="K2" s="13"/>
      <c r="L2" s="13"/>
    </row>
    <row r="3" spans="1:14">
      <c r="A3" s="12" t="s">
        <v>3055</v>
      </c>
      <c r="B3" s="12" t="s">
        <v>3051</v>
      </c>
      <c r="C3" s="13">
        <v>7</v>
      </c>
      <c r="D3" s="13">
        <v>0</v>
      </c>
      <c r="E3" s="13">
        <v>1</v>
      </c>
      <c r="F3" s="17" t="e">
        <f t="shared" ref="F3:F11" si="0">N/A</f>
        <v>#NAME?</v>
      </c>
      <c r="G3" s="13"/>
      <c r="H3" s="13">
        <v>4</v>
      </c>
      <c r="I3" s="13" t="e">
        <f t="shared" ref="I3:L5" si="1">N/A</f>
        <v>#NAME?</v>
      </c>
      <c r="J3" s="13" t="e">
        <f t="shared" si="1"/>
        <v>#NAME?</v>
      </c>
      <c r="K3" s="13" t="e">
        <f t="shared" si="1"/>
        <v>#NAME?</v>
      </c>
      <c r="L3" s="13" t="e">
        <f t="shared" si="1"/>
        <v>#NAME?</v>
      </c>
    </row>
    <row r="4" spans="1:14">
      <c r="A4" s="14" t="s">
        <v>3056</v>
      </c>
      <c r="B4" s="14" t="s">
        <v>3052</v>
      </c>
      <c r="C4" s="15">
        <v>9</v>
      </c>
      <c r="D4" s="15">
        <v>1</v>
      </c>
      <c r="E4" s="15">
        <v>1</v>
      </c>
      <c r="F4" s="17" t="e">
        <f t="shared" si="0"/>
        <v>#NAME?</v>
      </c>
      <c r="G4" s="15"/>
      <c r="H4" s="15">
        <v>2</v>
      </c>
      <c r="I4" s="15" t="e">
        <f t="shared" si="1"/>
        <v>#NAME?</v>
      </c>
      <c r="J4" s="15" t="e">
        <f t="shared" si="1"/>
        <v>#NAME?</v>
      </c>
      <c r="K4" s="15" t="e">
        <f t="shared" si="1"/>
        <v>#NAME?</v>
      </c>
      <c r="L4" s="15" t="e">
        <f t="shared" si="1"/>
        <v>#NAME?</v>
      </c>
    </row>
    <row r="5" spans="1:14">
      <c r="A5" s="16" t="s">
        <v>3057</v>
      </c>
      <c r="B5" s="16" t="s">
        <v>3054</v>
      </c>
      <c r="C5" s="17">
        <v>11</v>
      </c>
      <c r="D5" s="17">
        <v>-1</v>
      </c>
      <c r="E5" s="17">
        <v>1</v>
      </c>
      <c r="F5" s="17" t="e">
        <f t="shared" si="0"/>
        <v>#NAME?</v>
      </c>
      <c r="G5" s="17"/>
      <c r="H5" s="17">
        <v>0</v>
      </c>
      <c r="I5" s="17" t="e">
        <f t="shared" si="1"/>
        <v>#NAME?</v>
      </c>
      <c r="J5" s="17" t="e">
        <f t="shared" si="1"/>
        <v>#NAME?</v>
      </c>
      <c r="K5" s="17" t="e">
        <f t="shared" si="1"/>
        <v>#NAME?</v>
      </c>
      <c r="L5" s="17" t="e">
        <f t="shared" si="1"/>
        <v>#NAME?</v>
      </c>
    </row>
    <row r="6" spans="1:14">
      <c r="A6" s="12" t="s">
        <v>162</v>
      </c>
      <c r="B6" s="12" t="s">
        <v>3061</v>
      </c>
      <c r="C6" s="13">
        <v>7</v>
      </c>
      <c r="D6" s="17" t="e">
        <f t="shared" ref="D6:D11" si="2">N/A</f>
        <v>#NAME?</v>
      </c>
      <c r="E6" s="13">
        <v>1</v>
      </c>
      <c r="F6" s="17" t="e">
        <f t="shared" si="0"/>
        <v>#NAME?</v>
      </c>
      <c r="G6" s="13"/>
      <c r="H6" s="13">
        <v>4</v>
      </c>
      <c r="I6" s="13">
        <v>3</v>
      </c>
      <c r="J6" s="13">
        <v>2</v>
      </c>
      <c r="K6" s="13">
        <v>-1</v>
      </c>
      <c r="L6" s="13">
        <v>-3</v>
      </c>
    </row>
    <row r="7" spans="1:14">
      <c r="A7" s="14" t="s">
        <v>163</v>
      </c>
      <c r="B7" s="14" t="s">
        <v>3062</v>
      </c>
      <c r="C7" s="15">
        <v>9</v>
      </c>
      <c r="D7" s="17" t="e">
        <f t="shared" si="2"/>
        <v>#NAME?</v>
      </c>
      <c r="E7" s="15">
        <v>1</v>
      </c>
      <c r="F7" s="17" t="e">
        <f t="shared" si="0"/>
        <v>#NAME?</v>
      </c>
      <c r="G7" s="15"/>
      <c r="H7" s="15">
        <v>4</v>
      </c>
      <c r="I7" s="15">
        <v>3</v>
      </c>
      <c r="J7" s="15">
        <v>2</v>
      </c>
      <c r="K7" s="15">
        <v>-1</v>
      </c>
      <c r="L7" s="15">
        <v>-3</v>
      </c>
    </row>
    <row r="8" spans="1:14">
      <c r="A8" s="16" t="s">
        <v>164</v>
      </c>
      <c r="B8" s="16" t="s">
        <v>3063</v>
      </c>
      <c r="C8" s="17">
        <v>11</v>
      </c>
      <c r="D8" s="17" t="e">
        <f t="shared" si="2"/>
        <v>#NAME?</v>
      </c>
      <c r="E8" s="17">
        <v>1</v>
      </c>
      <c r="F8" s="17" t="e">
        <f t="shared" si="0"/>
        <v>#NAME?</v>
      </c>
      <c r="G8" s="17"/>
      <c r="H8" s="17">
        <v>4</v>
      </c>
      <c r="I8" s="17">
        <v>3</v>
      </c>
      <c r="J8" s="17">
        <v>2</v>
      </c>
      <c r="K8" s="17">
        <v>-1</v>
      </c>
      <c r="L8" s="17">
        <v>-3</v>
      </c>
    </row>
    <row r="9" spans="1:14">
      <c r="A9" s="12" t="s">
        <v>165</v>
      </c>
      <c r="B9" s="12" t="s">
        <v>3064</v>
      </c>
      <c r="C9" s="13">
        <v>7</v>
      </c>
      <c r="D9" s="17" t="e">
        <f t="shared" si="2"/>
        <v>#NAME?</v>
      </c>
      <c r="E9" s="13">
        <v>1</v>
      </c>
      <c r="F9" s="17" t="e">
        <f t="shared" si="0"/>
        <v>#NAME?</v>
      </c>
      <c r="G9" s="13"/>
      <c r="H9" s="13">
        <v>-2</v>
      </c>
      <c r="I9" s="13">
        <v>4</v>
      </c>
      <c r="J9" s="13">
        <v>2</v>
      </c>
      <c r="K9" s="13">
        <v>0</v>
      </c>
      <c r="L9" s="13">
        <v>-2</v>
      </c>
    </row>
    <row r="10" spans="1:14">
      <c r="A10" s="14" t="s">
        <v>166</v>
      </c>
      <c r="B10" s="14" t="s">
        <v>3065</v>
      </c>
      <c r="C10" s="15">
        <v>9</v>
      </c>
      <c r="D10" s="17" t="e">
        <f t="shared" si="2"/>
        <v>#NAME?</v>
      </c>
      <c r="E10" s="15">
        <v>1</v>
      </c>
      <c r="F10" s="17" t="e">
        <f t="shared" si="0"/>
        <v>#NAME?</v>
      </c>
      <c r="G10" s="15"/>
      <c r="H10" s="15">
        <v>-2</v>
      </c>
      <c r="I10" s="15">
        <v>4</v>
      </c>
      <c r="J10" s="15">
        <v>2</v>
      </c>
      <c r="K10" s="15">
        <v>0</v>
      </c>
      <c r="L10" s="15">
        <v>-2</v>
      </c>
    </row>
    <row r="11" spans="1:14">
      <c r="A11" s="16" t="s">
        <v>167</v>
      </c>
      <c r="B11" s="16" t="s">
        <v>3066</v>
      </c>
      <c r="C11" s="17">
        <v>11</v>
      </c>
      <c r="D11" s="17" t="e">
        <f t="shared" si="2"/>
        <v>#NAME?</v>
      </c>
      <c r="E11" s="17">
        <v>1</v>
      </c>
      <c r="F11" s="17" t="e">
        <f t="shared" si="0"/>
        <v>#NAME?</v>
      </c>
      <c r="G11" s="17"/>
      <c r="H11" s="17">
        <v>-2</v>
      </c>
      <c r="I11" s="17">
        <v>4</v>
      </c>
      <c r="J11" s="17">
        <v>2</v>
      </c>
      <c r="K11" s="17">
        <v>0</v>
      </c>
      <c r="L11" s="17">
        <v>-2</v>
      </c>
    </row>
    <row r="12" spans="1:14">
      <c r="A12" s="12" t="s">
        <v>3058</v>
      </c>
      <c r="B12" s="12" t="s">
        <v>3067</v>
      </c>
      <c r="C12" s="13">
        <v>10</v>
      </c>
      <c r="D12" s="13">
        <v>0</v>
      </c>
      <c r="E12" s="13">
        <v>3</v>
      </c>
      <c r="F12" s="13">
        <v>5</v>
      </c>
      <c r="G12" s="13"/>
      <c r="H12" s="13">
        <v>5</v>
      </c>
      <c r="I12" s="13" t="e">
        <f t="shared" ref="I12:L14" si="3">N/A</f>
        <v>#NAME?</v>
      </c>
      <c r="J12" s="13" t="e">
        <f t="shared" si="3"/>
        <v>#NAME?</v>
      </c>
      <c r="K12" s="13" t="e">
        <f t="shared" si="3"/>
        <v>#NAME?</v>
      </c>
      <c r="L12" s="13" t="e">
        <f t="shared" si="3"/>
        <v>#NAME?</v>
      </c>
    </row>
    <row r="13" spans="1:14">
      <c r="A13" s="14" t="s">
        <v>3059</v>
      </c>
      <c r="B13" s="14" t="s">
        <v>3068</v>
      </c>
      <c r="C13" s="15">
        <v>12</v>
      </c>
      <c r="D13" s="15">
        <v>1</v>
      </c>
      <c r="E13" s="15">
        <v>4</v>
      </c>
      <c r="F13" s="15">
        <v>5</v>
      </c>
      <c r="G13" s="15"/>
      <c r="H13" s="15">
        <v>3</v>
      </c>
      <c r="I13" s="15" t="e">
        <f t="shared" si="3"/>
        <v>#NAME?</v>
      </c>
      <c r="J13" s="15" t="e">
        <f t="shared" si="3"/>
        <v>#NAME?</v>
      </c>
      <c r="K13" s="15" t="e">
        <f t="shared" si="3"/>
        <v>#NAME?</v>
      </c>
      <c r="L13" s="15" t="e">
        <f t="shared" si="3"/>
        <v>#NAME?</v>
      </c>
    </row>
    <row r="14" spans="1:14">
      <c r="A14" s="16" t="s">
        <v>3060</v>
      </c>
      <c r="B14" s="16" t="s">
        <v>3069</v>
      </c>
      <c r="C14" s="17">
        <v>14</v>
      </c>
      <c r="D14" s="17">
        <v>0</v>
      </c>
      <c r="E14" s="17">
        <v>5</v>
      </c>
      <c r="F14" s="17">
        <v>5</v>
      </c>
      <c r="G14" s="17"/>
      <c r="H14" s="17">
        <v>1</v>
      </c>
      <c r="I14" s="17" t="e">
        <f t="shared" si="3"/>
        <v>#NAME?</v>
      </c>
      <c r="J14" s="17" t="e">
        <f t="shared" si="3"/>
        <v>#NAME?</v>
      </c>
      <c r="K14" s="17" t="e">
        <f t="shared" si="3"/>
        <v>#NAME?</v>
      </c>
      <c r="L14" s="17" t="e">
        <f t="shared" si="3"/>
        <v>#NAME?</v>
      </c>
    </row>
    <row r="15" spans="1:14">
      <c r="A15" s="12" t="s">
        <v>168</v>
      </c>
      <c r="B15" s="12" t="s">
        <v>3070</v>
      </c>
      <c r="C15" s="13">
        <v>10</v>
      </c>
      <c r="D15" s="17" t="e">
        <f t="shared" ref="D15:D20" si="4">N/A</f>
        <v>#NAME?</v>
      </c>
      <c r="E15" s="13">
        <v>3</v>
      </c>
      <c r="F15" s="13">
        <v>5</v>
      </c>
      <c r="G15" s="13"/>
      <c r="H15" s="13">
        <f>Weapons!H6+1</f>
        <v>5</v>
      </c>
      <c r="I15" s="13">
        <f>Weapons!I6+1</f>
        <v>4</v>
      </c>
      <c r="J15" s="13">
        <f>Weapons!J6+1</f>
        <v>3</v>
      </c>
      <c r="K15" s="13">
        <f>Weapons!K6+1</f>
        <v>0</v>
      </c>
      <c r="L15" s="13">
        <f>Weapons!L6+1</f>
        <v>-2</v>
      </c>
    </row>
    <row r="16" spans="1:14">
      <c r="A16" s="14" t="s">
        <v>169</v>
      </c>
      <c r="B16" s="14" t="s">
        <v>3071</v>
      </c>
      <c r="C16" s="15">
        <v>12</v>
      </c>
      <c r="D16" s="17" t="e">
        <f t="shared" si="4"/>
        <v>#NAME?</v>
      </c>
      <c r="E16" s="15">
        <v>4</v>
      </c>
      <c r="F16" s="15">
        <v>5</v>
      </c>
      <c r="G16" s="15"/>
      <c r="H16" s="15">
        <f>Weapons!H7+1</f>
        <v>5</v>
      </c>
      <c r="I16" s="15">
        <f>Weapons!I7+1</f>
        <v>4</v>
      </c>
      <c r="J16" s="15">
        <f>Weapons!J7+1</f>
        <v>3</v>
      </c>
      <c r="K16" s="15">
        <f>Weapons!K7+1</f>
        <v>0</v>
      </c>
      <c r="L16" s="15">
        <f>Weapons!L7+1</f>
        <v>-2</v>
      </c>
    </row>
    <row r="17" spans="1:14">
      <c r="A17" s="16" t="s">
        <v>170</v>
      </c>
      <c r="B17" s="16" t="s">
        <v>3072</v>
      </c>
      <c r="C17" s="17">
        <v>14</v>
      </c>
      <c r="D17" s="17" t="e">
        <f t="shared" si="4"/>
        <v>#NAME?</v>
      </c>
      <c r="E17" s="17">
        <v>5</v>
      </c>
      <c r="F17" s="17">
        <v>5</v>
      </c>
      <c r="G17" s="17"/>
      <c r="H17" s="17">
        <f>Weapons!H8+1</f>
        <v>5</v>
      </c>
      <c r="I17" s="17">
        <f>Weapons!I8+1</f>
        <v>4</v>
      </c>
      <c r="J17" s="17">
        <f>Weapons!J8+1</f>
        <v>3</v>
      </c>
      <c r="K17" s="17">
        <f>Weapons!K8+1</f>
        <v>0</v>
      </c>
      <c r="L17" s="17">
        <f>Weapons!L8+1</f>
        <v>-2</v>
      </c>
    </row>
    <row r="18" spans="1:14">
      <c r="A18" s="12" t="s">
        <v>171</v>
      </c>
      <c r="B18" s="12" t="s">
        <v>3073</v>
      </c>
      <c r="C18" s="13">
        <v>10</v>
      </c>
      <c r="D18" s="17" t="e">
        <f t="shared" si="4"/>
        <v>#NAME?</v>
      </c>
      <c r="E18" s="13">
        <v>3</v>
      </c>
      <c r="F18" s="13">
        <v>5</v>
      </c>
      <c r="G18" s="13"/>
      <c r="H18" s="13">
        <f>Weapons!H9+1</f>
        <v>-1</v>
      </c>
      <c r="I18" s="13">
        <f>Weapons!I9+1</f>
        <v>5</v>
      </c>
      <c r="J18" s="13">
        <f>Weapons!J9+1</f>
        <v>3</v>
      </c>
      <c r="K18" s="13">
        <f>Weapons!K9+1</f>
        <v>1</v>
      </c>
      <c r="L18" s="13">
        <f>Weapons!L9+1</f>
        <v>-1</v>
      </c>
    </row>
    <row r="19" spans="1:14">
      <c r="A19" s="14" t="s">
        <v>172</v>
      </c>
      <c r="B19" s="14" t="s">
        <v>3074</v>
      </c>
      <c r="C19" s="15">
        <v>12</v>
      </c>
      <c r="D19" s="17" t="e">
        <f t="shared" si="4"/>
        <v>#NAME?</v>
      </c>
      <c r="E19" s="15">
        <v>4</v>
      </c>
      <c r="F19" s="15">
        <v>5</v>
      </c>
      <c r="G19" s="15"/>
      <c r="H19" s="15">
        <f>Weapons!H10+1</f>
        <v>-1</v>
      </c>
      <c r="I19" s="15">
        <f>Weapons!I10+1</f>
        <v>5</v>
      </c>
      <c r="J19" s="15">
        <f>Weapons!J10+1</f>
        <v>3</v>
      </c>
      <c r="K19" s="15">
        <f>Weapons!K10+1</f>
        <v>1</v>
      </c>
      <c r="L19" s="15">
        <f>Weapons!L10+1</f>
        <v>-1</v>
      </c>
    </row>
    <row r="20" spans="1:14">
      <c r="A20" s="16" t="s">
        <v>173</v>
      </c>
      <c r="B20" s="16" t="s">
        <v>3075</v>
      </c>
      <c r="C20" s="17">
        <v>14</v>
      </c>
      <c r="D20" s="17" t="e">
        <f t="shared" si="4"/>
        <v>#NAME?</v>
      </c>
      <c r="E20" s="17">
        <v>5</v>
      </c>
      <c r="F20" s="17">
        <v>5</v>
      </c>
      <c r="G20" s="17"/>
      <c r="H20" s="17">
        <f>Weapons!H11+1</f>
        <v>-1</v>
      </c>
      <c r="I20" s="17">
        <f>Weapons!I11+1</f>
        <v>5</v>
      </c>
      <c r="J20" s="17">
        <f>Weapons!J11+1</f>
        <v>3</v>
      </c>
      <c r="K20" s="17">
        <f>Weapons!K11+1</f>
        <v>1</v>
      </c>
      <c r="L20" s="17">
        <f>Weapons!L11+1</f>
        <v>-1</v>
      </c>
    </row>
    <row r="21" spans="1:14">
      <c r="A21" s="16"/>
      <c r="B21" s="49" t="s">
        <v>3432</v>
      </c>
      <c r="C21" s="17"/>
      <c r="D21" s="17"/>
      <c r="E21" s="17"/>
      <c r="F21" s="17"/>
      <c r="G21" s="17"/>
      <c r="H21" s="17"/>
      <c r="I21" s="17"/>
      <c r="J21" s="17"/>
      <c r="K21" s="17"/>
      <c r="L21" s="17"/>
    </row>
    <row r="22" spans="1:14">
      <c r="A22" s="12" t="s">
        <v>3055</v>
      </c>
      <c r="B22" s="12" t="s">
        <v>3301</v>
      </c>
      <c r="C22" s="13">
        <f t="shared" ref="C22:D42" si="5">VLOOKUP($A22,$A$3:$L$20,COLUMN(),0)</f>
        <v>7</v>
      </c>
      <c r="D22" s="13">
        <f t="shared" si="5"/>
        <v>0</v>
      </c>
      <c r="E22" s="13">
        <f t="shared" ref="E22:E53" si="6">VLOOKUP($A22,$A$3:$L$20,COLUMN(),0)+IFERROR(SEARCH("Balanced",M22)*0+1,0)</f>
        <v>1</v>
      </c>
      <c r="F22" s="13" t="e">
        <f t="shared" ref="F22:F53" si="7">VLOOKUP($A22,$A$3:$L$20,COLUMN(),0)</f>
        <v>#NAME?</v>
      </c>
      <c r="G22" s="13"/>
      <c r="H22" s="13">
        <f t="shared" ref="H22:L31" si="8">VLOOKUP($A22,$A$3:$L$20,COLUMN(),0)</f>
        <v>4</v>
      </c>
      <c r="I22" s="13" t="e">
        <f t="shared" si="8"/>
        <v>#NAME?</v>
      </c>
      <c r="J22" s="13" t="e">
        <f t="shared" si="8"/>
        <v>#NAME?</v>
      </c>
      <c r="K22" s="13" t="e">
        <f t="shared" si="8"/>
        <v>#NAME?</v>
      </c>
      <c r="L22" s="13" t="e">
        <f t="shared" si="8"/>
        <v>#NAME?</v>
      </c>
      <c r="M22" t="s">
        <v>3302</v>
      </c>
      <c r="N22" s="13" t="e">
        <f>SEARCH("Balanced",M22,0)</f>
        <v>#VALUE!</v>
      </c>
    </row>
    <row r="23" spans="1:14">
      <c r="A23" s="12" t="s">
        <v>3055</v>
      </c>
      <c r="B23" s="12" t="s">
        <v>3370</v>
      </c>
      <c r="C23" s="13">
        <f t="shared" si="5"/>
        <v>7</v>
      </c>
      <c r="D23" s="13">
        <f t="shared" si="5"/>
        <v>0</v>
      </c>
      <c r="E23" s="13">
        <f t="shared" si="6"/>
        <v>1</v>
      </c>
      <c r="F23" s="13" t="e">
        <f t="shared" si="7"/>
        <v>#NAME?</v>
      </c>
      <c r="G23" s="13"/>
      <c r="H23" s="13">
        <f t="shared" si="8"/>
        <v>4</v>
      </c>
      <c r="I23" s="13" t="e">
        <f t="shared" si="8"/>
        <v>#NAME?</v>
      </c>
      <c r="J23" s="13" t="e">
        <f t="shared" si="8"/>
        <v>#NAME?</v>
      </c>
      <c r="K23" s="13" t="e">
        <f t="shared" si="8"/>
        <v>#NAME?</v>
      </c>
      <c r="L23" s="13" t="e">
        <f t="shared" si="8"/>
        <v>#NAME?</v>
      </c>
      <c r="M23" t="s">
        <v>3303</v>
      </c>
    </row>
    <row r="24" spans="1:14">
      <c r="A24" s="12" t="s">
        <v>3055</v>
      </c>
      <c r="B24" s="12" t="s">
        <v>3369</v>
      </c>
      <c r="C24" s="13">
        <f t="shared" si="5"/>
        <v>7</v>
      </c>
      <c r="D24" s="13">
        <f t="shared" si="5"/>
        <v>0</v>
      </c>
      <c r="E24" s="13">
        <f t="shared" si="6"/>
        <v>1</v>
      </c>
      <c r="F24" s="13" t="e">
        <f t="shared" si="7"/>
        <v>#NAME?</v>
      </c>
      <c r="G24" s="13"/>
      <c r="H24" s="13">
        <f t="shared" si="8"/>
        <v>4</v>
      </c>
      <c r="I24" s="13" t="e">
        <f t="shared" si="8"/>
        <v>#NAME?</v>
      </c>
      <c r="J24" s="13" t="e">
        <f t="shared" si="8"/>
        <v>#NAME?</v>
      </c>
      <c r="K24" s="13" t="e">
        <f t="shared" si="8"/>
        <v>#NAME?</v>
      </c>
      <c r="L24" s="13" t="e">
        <f t="shared" si="8"/>
        <v>#NAME?</v>
      </c>
      <c r="M24" t="s">
        <v>3303</v>
      </c>
    </row>
    <row r="25" spans="1:14">
      <c r="A25" s="12" t="s">
        <v>3055</v>
      </c>
      <c r="B25" s="12" t="s">
        <v>3368</v>
      </c>
      <c r="C25" s="13">
        <f t="shared" si="5"/>
        <v>7</v>
      </c>
      <c r="D25" s="13">
        <f t="shared" si="5"/>
        <v>0</v>
      </c>
      <c r="E25" s="13">
        <f t="shared" si="6"/>
        <v>1</v>
      </c>
      <c r="F25" s="13" t="e">
        <f t="shared" si="7"/>
        <v>#NAME?</v>
      </c>
      <c r="G25" s="13"/>
      <c r="H25" s="13">
        <f t="shared" si="8"/>
        <v>4</v>
      </c>
      <c r="I25" s="13" t="e">
        <f t="shared" si="8"/>
        <v>#NAME?</v>
      </c>
      <c r="J25" s="13" t="e">
        <f t="shared" si="8"/>
        <v>#NAME?</v>
      </c>
      <c r="K25" s="13" t="e">
        <f t="shared" si="8"/>
        <v>#NAME?</v>
      </c>
      <c r="L25" s="13" t="e">
        <f t="shared" si="8"/>
        <v>#NAME?</v>
      </c>
      <c r="M25" t="s">
        <v>3303</v>
      </c>
    </row>
    <row r="26" spans="1:14">
      <c r="A26" s="12" t="s">
        <v>3055</v>
      </c>
      <c r="B26" s="12" t="s">
        <v>3304</v>
      </c>
      <c r="C26" s="13">
        <f t="shared" si="5"/>
        <v>7</v>
      </c>
      <c r="D26" s="13">
        <f t="shared" si="5"/>
        <v>0</v>
      </c>
      <c r="E26" s="13">
        <f t="shared" si="6"/>
        <v>1</v>
      </c>
      <c r="F26" s="13" t="e">
        <f t="shared" si="7"/>
        <v>#NAME?</v>
      </c>
      <c r="G26" s="13"/>
      <c r="H26" s="13">
        <f t="shared" si="8"/>
        <v>4</v>
      </c>
      <c r="I26" s="13" t="e">
        <f t="shared" si="8"/>
        <v>#NAME?</v>
      </c>
      <c r="J26" s="13" t="e">
        <f t="shared" si="8"/>
        <v>#NAME?</v>
      </c>
      <c r="K26" s="13" t="e">
        <f t="shared" si="8"/>
        <v>#NAME?</v>
      </c>
      <c r="L26" s="13" t="e">
        <f t="shared" si="8"/>
        <v>#NAME?</v>
      </c>
      <c r="M26" t="s">
        <v>3305</v>
      </c>
    </row>
    <row r="27" spans="1:14">
      <c r="A27" s="12" t="s">
        <v>3055</v>
      </c>
      <c r="B27" s="12" t="s">
        <v>3306</v>
      </c>
      <c r="C27" s="13">
        <f t="shared" si="5"/>
        <v>7</v>
      </c>
      <c r="D27" s="13">
        <f t="shared" si="5"/>
        <v>0</v>
      </c>
      <c r="E27" s="13">
        <f t="shared" si="6"/>
        <v>1</v>
      </c>
      <c r="F27" s="13" t="e">
        <f t="shared" si="7"/>
        <v>#NAME?</v>
      </c>
      <c r="G27" s="13"/>
      <c r="H27" s="13">
        <f t="shared" si="8"/>
        <v>4</v>
      </c>
      <c r="I27" s="13" t="e">
        <f t="shared" si="8"/>
        <v>#NAME?</v>
      </c>
      <c r="J27" s="13" t="e">
        <f t="shared" si="8"/>
        <v>#NAME?</v>
      </c>
      <c r="K27" s="13" t="e">
        <f t="shared" si="8"/>
        <v>#NAME?</v>
      </c>
      <c r="L27" s="13" t="e">
        <f t="shared" si="8"/>
        <v>#NAME?</v>
      </c>
      <c r="M27" t="s">
        <v>3310</v>
      </c>
    </row>
    <row r="28" spans="1:14">
      <c r="A28" s="12" t="s">
        <v>3055</v>
      </c>
      <c r="B28" s="12" t="s">
        <v>3307</v>
      </c>
      <c r="C28" s="13">
        <f t="shared" si="5"/>
        <v>7</v>
      </c>
      <c r="D28" s="13">
        <f t="shared" si="5"/>
        <v>0</v>
      </c>
      <c r="E28" s="13">
        <f t="shared" si="6"/>
        <v>1</v>
      </c>
      <c r="F28" s="13" t="e">
        <f t="shared" si="7"/>
        <v>#NAME?</v>
      </c>
      <c r="G28" s="13"/>
      <c r="H28" s="13">
        <f t="shared" si="8"/>
        <v>4</v>
      </c>
      <c r="I28" s="13" t="e">
        <f t="shared" si="8"/>
        <v>#NAME?</v>
      </c>
      <c r="J28" s="13" t="e">
        <f t="shared" si="8"/>
        <v>#NAME?</v>
      </c>
      <c r="K28" s="13" t="e">
        <f t="shared" si="8"/>
        <v>#NAME?</v>
      </c>
      <c r="L28" s="13" t="e">
        <f t="shared" si="8"/>
        <v>#NAME?</v>
      </c>
      <c r="M28" t="s">
        <v>3311</v>
      </c>
    </row>
    <row r="29" spans="1:14">
      <c r="A29" s="12" t="s">
        <v>3055</v>
      </c>
      <c r="B29" s="12" t="s">
        <v>3308</v>
      </c>
      <c r="C29" s="13">
        <f t="shared" si="5"/>
        <v>7</v>
      </c>
      <c r="D29" s="13">
        <f t="shared" si="5"/>
        <v>0</v>
      </c>
      <c r="E29" s="48">
        <f t="shared" si="6"/>
        <v>2</v>
      </c>
      <c r="F29" s="13" t="e">
        <f t="shared" si="7"/>
        <v>#NAME?</v>
      </c>
      <c r="G29" s="13"/>
      <c r="H29" s="13">
        <f t="shared" si="8"/>
        <v>4</v>
      </c>
      <c r="I29" s="13" t="e">
        <f t="shared" si="8"/>
        <v>#NAME?</v>
      </c>
      <c r="J29" s="13" t="e">
        <f t="shared" si="8"/>
        <v>#NAME?</v>
      </c>
      <c r="K29" s="13" t="e">
        <f t="shared" si="8"/>
        <v>#NAME?</v>
      </c>
      <c r="L29" s="13" t="e">
        <f t="shared" si="8"/>
        <v>#NAME?</v>
      </c>
      <c r="M29" t="s">
        <v>3309</v>
      </c>
    </row>
    <row r="30" spans="1:14">
      <c r="A30" s="12" t="s">
        <v>3055</v>
      </c>
      <c r="B30" s="12" t="s">
        <v>3312</v>
      </c>
      <c r="C30" s="13">
        <f t="shared" si="5"/>
        <v>7</v>
      </c>
      <c r="D30" s="13">
        <f t="shared" si="5"/>
        <v>0</v>
      </c>
      <c r="E30" s="13">
        <f t="shared" si="6"/>
        <v>1</v>
      </c>
      <c r="F30" s="13" t="e">
        <f t="shared" si="7"/>
        <v>#NAME?</v>
      </c>
      <c r="G30" s="13"/>
      <c r="H30" s="13">
        <f t="shared" si="8"/>
        <v>4</v>
      </c>
      <c r="I30" s="13" t="e">
        <f t="shared" si="8"/>
        <v>#NAME?</v>
      </c>
      <c r="J30" s="13" t="e">
        <f t="shared" si="8"/>
        <v>#NAME?</v>
      </c>
      <c r="K30" s="13" t="e">
        <f t="shared" si="8"/>
        <v>#NAME?</v>
      </c>
      <c r="L30" s="13" t="e">
        <f t="shared" si="8"/>
        <v>#NAME?</v>
      </c>
      <c r="M30" t="s">
        <v>3313</v>
      </c>
    </row>
    <row r="31" spans="1:14">
      <c r="A31" s="12" t="s">
        <v>3055</v>
      </c>
      <c r="B31" s="12" t="s">
        <v>3217</v>
      </c>
      <c r="C31" s="13">
        <f t="shared" si="5"/>
        <v>7</v>
      </c>
      <c r="D31" s="13">
        <f t="shared" si="5"/>
        <v>0</v>
      </c>
      <c r="E31" s="13">
        <f t="shared" si="6"/>
        <v>1</v>
      </c>
      <c r="F31" s="13" t="e">
        <f t="shared" si="7"/>
        <v>#NAME?</v>
      </c>
      <c r="G31" s="13"/>
      <c r="H31" s="13">
        <f t="shared" si="8"/>
        <v>4</v>
      </c>
      <c r="I31" s="13" t="e">
        <f t="shared" si="8"/>
        <v>#NAME?</v>
      </c>
      <c r="J31" s="13" t="e">
        <f t="shared" si="8"/>
        <v>#NAME?</v>
      </c>
      <c r="K31" s="13" t="e">
        <f t="shared" si="8"/>
        <v>#NAME?</v>
      </c>
      <c r="L31" s="13" t="e">
        <f t="shared" si="8"/>
        <v>#NAME?</v>
      </c>
      <c r="M31" t="s">
        <v>3314</v>
      </c>
    </row>
    <row r="32" spans="1:14">
      <c r="A32" s="12" t="s">
        <v>3055</v>
      </c>
      <c r="B32" s="12" t="s">
        <v>3315</v>
      </c>
      <c r="C32" s="13">
        <f t="shared" si="5"/>
        <v>7</v>
      </c>
      <c r="D32" s="13">
        <f t="shared" si="5"/>
        <v>0</v>
      </c>
      <c r="E32" s="13">
        <f t="shared" si="6"/>
        <v>1</v>
      </c>
      <c r="F32" s="13" t="e">
        <f t="shared" si="7"/>
        <v>#NAME?</v>
      </c>
      <c r="G32" s="13"/>
      <c r="H32" s="13">
        <f t="shared" ref="H32:L41" si="9">VLOOKUP($A32,$A$3:$L$20,COLUMN(),0)</f>
        <v>4</v>
      </c>
      <c r="I32" s="13" t="e">
        <f t="shared" si="9"/>
        <v>#NAME?</v>
      </c>
      <c r="J32" s="13" t="e">
        <f t="shared" si="9"/>
        <v>#NAME?</v>
      </c>
      <c r="K32" s="13" t="e">
        <f t="shared" si="9"/>
        <v>#NAME?</v>
      </c>
      <c r="L32" s="13" t="e">
        <f t="shared" si="9"/>
        <v>#NAME?</v>
      </c>
      <c r="M32" s="9" t="s">
        <v>3316</v>
      </c>
    </row>
    <row r="33" spans="1:13">
      <c r="A33" s="12" t="s">
        <v>3055</v>
      </c>
      <c r="B33" s="28" t="s">
        <v>3413</v>
      </c>
      <c r="C33" s="13">
        <f t="shared" si="5"/>
        <v>7</v>
      </c>
      <c r="D33" s="13">
        <f t="shared" si="5"/>
        <v>0</v>
      </c>
      <c r="E33" s="13">
        <f t="shared" si="6"/>
        <v>1</v>
      </c>
      <c r="F33" s="13" t="e">
        <f t="shared" si="7"/>
        <v>#NAME?</v>
      </c>
      <c r="G33" s="13"/>
      <c r="H33" s="13">
        <f t="shared" si="9"/>
        <v>4</v>
      </c>
      <c r="I33" s="13" t="e">
        <f t="shared" si="9"/>
        <v>#NAME?</v>
      </c>
      <c r="J33" s="13" t="e">
        <f t="shared" si="9"/>
        <v>#NAME?</v>
      </c>
      <c r="K33" s="13" t="e">
        <f t="shared" si="9"/>
        <v>#NAME?</v>
      </c>
      <c r="L33" s="13" t="e">
        <f t="shared" si="9"/>
        <v>#NAME?</v>
      </c>
      <c r="M33" t="s">
        <v>3317</v>
      </c>
    </row>
    <row r="34" spans="1:13">
      <c r="A34" s="12" t="s">
        <v>3055</v>
      </c>
      <c r="B34" s="12" t="s">
        <v>3406</v>
      </c>
      <c r="C34" s="13">
        <f t="shared" si="5"/>
        <v>7</v>
      </c>
      <c r="D34" s="13">
        <f t="shared" si="5"/>
        <v>0</v>
      </c>
      <c r="E34" s="13">
        <f t="shared" si="6"/>
        <v>1</v>
      </c>
      <c r="F34" s="13" t="e">
        <f t="shared" si="7"/>
        <v>#NAME?</v>
      </c>
      <c r="G34" s="13"/>
      <c r="H34" s="13">
        <f t="shared" si="9"/>
        <v>4</v>
      </c>
      <c r="I34" s="13" t="e">
        <f t="shared" si="9"/>
        <v>#NAME?</v>
      </c>
      <c r="J34" s="13" t="e">
        <f t="shared" si="9"/>
        <v>#NAME?</v>
      </c>
      <c r="K34" s="13" t="e">
        <f t="shared" si="9"/>
        <v>#NAME?</v>
      </c>
      <c r="L34" s="13" t="e">
        <f t="shared" si="9"/>
        <v>#NAME?</v>
      </c>
      <c r="M34" t="s">
        <v>3317</v>
      </c>
    </row>
    <row r="35" spans="1:13">
      <c r="A35" s="12" t="s">
        <v>3056</v>
      </c>
      <c r="B35" s="12" t="s">
        <v>3318</v>
      </c>
      <c r="C35" s="13">
        <f t="shared" si="5"/>
        <v>9</v>
      </c>
      <c r="D35" s="13">
        <f t="shared" si="5"/>
        <v>1</v>
      </c>
      <c r="E35" s="13">
        <f t="shared" si="6"/>
        <v>1</v>
      </c>
      <c r="F35" s="13" t="e">
        <f t="shared" si="7"/>
        <v>#NAME?</v>
      </c>
      <c r="G35" s="13"/>
      <c r="H35" s="13">
        <f t="shared" si="9"/>
        <v>2</v>
      </c>
      <c r="I35" s="13" t="e">
        <f t="shared" si="9"/>
        <v>#NAME?</v>
      </c>
      <c r="J35" s="13" t="e">
        <f t="shared" si="9"/>
        <v>#NAME?</v>
      </c>
      <c r="K35" s="13" t="e">
        <f t="shared" si="9"/>
        <v>#NAME?</v>
      </c>
      <c r="L35" s="13" t="e">
        <f t="shared" si="9"/>
        <v>#NAME?</v>
      </c>
      <c r="M35" t="s">
        <v>3319</v>
      </c>
    </row>
    <row r="36" spans="1:13">
      <c r="A36" s="12" t="s">
        <v>3056</v>
      </c>
      <c r="B36" s="28" t="s">
        <v>3414</v>
      </c>
      <c r="C36" s="13">
        <f t="shared" si="5"/>
        <v>9</v>
      </c>
      <c r="D36" s="13">
        <f t="shared" si="5"/>
        <v>1</v>
      </c>
      <c r="E36" s="13">
        <f t="shared" si="6"/>
        <v>1</v>
      </c>
      <c r="F36" s="13" t="e">
        <f t="shared" si="7"/>
        <v>#NAME?</v>
      </c>
      <c r="G36" s="13"/>
      <c r="H36" s="13">
        <f t="shared" si="9"/>
        <v>2</v>
      </c>
      <c r="I36" s="13" t="e">
        <f t="shared" si="9"/>
        <v>#NAME?</v>
      </c>
      <c r="J36" s="13" t="e">
        <f t="shared" si="9"/>
        <v>#NAME?</v>
      </c>
      <c r="K36" s="13" t="e">
        <f t="shared" si="9"/>
        <v>#NAME?</v>
      </c>
      <c r="L36" s="13" t="e">
        <f t="shared" si="9"/>
        <v>#NAME?</v>
      </c>
      <c r="M36" t="s">
        <v>3320</v>
      </c>
    </row>
    <row r="37" spans="1:13">
      <c r="A37" s="12" t="s">
        <v>3056</v>
      </c>
      <c r="B37" s="12" t="s">
        <v>3321</v>
      </c>
      <c r="C37" s="13">
        <f t="shared" si="5"/>
        <v>9</v>
      </c>
      <c r="D37" s="13">
        <f t="shared" si="5"/>
        <v>1</v>
      </c>
      <c r="E37" s="13">
        <f t="shared" si="6"/>
        <v>1</v>
      </c>
      <c r="F37" s="13" t="e">
        <f t="shared" si="7"/>
        <v>#NAME?</v>
      </c>
      <c r="G37" s="13"/>
      <c r="H37" s="13">
        <f t="shared" si="9"/>
        <v>2</v>
      </c>
      <c r="I37" s="13" t="e">
        <f t="shared" si="9"/>
        <v>#NAME?</v>
      </c>
      <c r="J37" s="13" t="e">
        <f t="shared" si="9"/>
        <v>#NAME?</v>
      </c>
      <c r="K37" s="13" t="e">
        <f t="shared" si="9"/>
        <v>#NAME?</v>
      </c>
      <c r="L37" s="13" t="e">
        <f t="shared" si="9"/>
        <v>#NAME?</v>
      </c>
      <c r="M37" t="s">
        <v>3322</v>
      </c>
    </row>
    <row r="38" spans="1:13">
      <c r="A38" s="12" t="s">
        <v>3056</v>
      </c>
      <c r="B38" s="12" t="s">
        <v>3323</v>
      </c>
      <c r="C38" s="13">
        <f t="shared" si="5"/>
        <v>9</v>
      </c>
      <c r="D38" s="13">
        <f t="shared" si="5"/>
        <v>1</v>
      </c>
      <c r="E38" s="13">
        <f t="shared" si="6"/>
        <v>1</v>
      </c>
      <c r="F38" s="13" t="e">
        <f t="shared" si="7"/>
        <v>#NAME?</v>
      </c>
      <c r="G38" s="13"/>
      <c r="H38" s="13">
        <f t="shared" si="9"/>
        <v>2</v>
      </c>
      <c r="I38" s="13" t="e">
        <f t="shared" si="9"/>
        <v>#NAME?</v>
      </c>
      <c r="J38" s="13" t="e">
        <f t="shared" si="9"/>
        <v>#NAME?</v>
      </c>
      <c r="K38" s="13" t="e">
        <f t="shared" si="9"/>
        <v>#NAME?</v>
      </c>
      <c r="L38" s="13" t="e">
        <f t="shared" si="9"/>
        <v>#NAME?</v>
      </c>
      <c r="M38" t="s">
        <v>3317</v>
      </c>
    </row>
    <row r="39" spans="1:13">
      <c r="A39" s="12" t="s">
        <v>3056</v>
      </c>
      <c r="B39" s="12" t="s">
        <v>3324</v>
      </c>
      <c r="C39" s="13">
        <f t="shared" si="5"/>
        <v>9</v>
      </c>
      <c r="D39" s="13">
        <f t="shared" si="5"/>
        <v>1</v>
      </c>
      <c r="E39" s="13">
        <f t="shared" si="6"/>
        <v>1</v>
      </c>
      <c r="F39" s="13" t="e">
        <f t="shared" si="7"/>
        <v>#NAME?</v>
      </c>
      <c r="G39" s="13"/>
      <c r="H39" s="13">
        <f t="shared" si="9"/>
        <v>2</v>
      </c>
      <c r="I39" s="13" t="e">
        <f t="shared" si="9"/>
        <v>#NAME?</v>
      </c>
      <c r="J39" s="13" t="e">
        <f t="shared" si="9"/>
        <v>#NAME?</v>
      </c>
      <c r="K39" s="13" t="e">
        <f t="shared" si="9"/>
        <v>#NAME?</v>
      </c>
      <c r="L39" s="13" t="e">
        <f t="shared" si="9"/>
        <v>#NAME?</v>
      </c>
      <c r="M39" t="s">
        <v>3325</v>
      </c>
    </row>
    <row r="40" spans="1:13">
      <c r="A40" s="12" t="s">
        <v>3056</v>
      </c>
      <c r="B40" s="12" t="s">
        <v>3371</v>
      </c>
      <c r="C40" s="13">
        <f t="shared" si="5"/>
        <v>9</v>
      </c>
      <c r="D40" s="13">
        <f t="shared" si="5"/>
        <v>1</v>
      </c>
      <c r="E40" s="13">
        <f t="shared" si="6"/>
        <v>1</v>
      </c>
      <c r="F40" s="13" t="e">
        <f t="shared" si="7"/>
        <v>#NAME?</v>
      </c>
      <c r="G40" s="13"/>
      <c r="H40" s="13">
        <f t="shared" si="9"/>
        <v>2</v>
      </c>
      <c r="I40" s="13" t="e">
        <f t="shared" si="9"/>
        <v>#NAME?</v>
      </c>
      <c r="J40" s="13" t="e">
        <f t="shared" si="9"/>
        <v>#NAME?</v>
      </c>
      <c r="K40" s="13" t="e">
        <f t="shared" si="9"/>
        <v>#NAME?</v>
      </c>
      <c r="L40" s="13" t="e">
        <f t="shared" si="9"/>
        <v>#NAME?</v>
      </c>
      <c r="M40" t="s">
        <v>3326</v>
      </c>
    </row>
    <row r="41" spans="1:13">
      <c r="A41" s="12" t="s">
        <v>3056</v>
      </c>
      <c r="B41" s="12" t="s">
        <v>3372</v>
      </c>
      <c r="C41" s="13">
        <f t="shared" si="5"/>
        <v>9</v>
      </c>
      <c r="D41" s="13">
        <f t="shared" si="5"/>
        <v>1</v>
      </c>
      <c r="E41" s="13">
        <f t="shared" si="6"/>
        <v>1</v>
      </c>
      <c r="F41" s="13" t="e">
        <f t="shared" si="7"/>
        <v>#NAME?</v>
      </c>
      <c r="G41" s="13"/>
      <c r="H41" s="13">
        <f t="shared" si="9"/>
        <v>2</v>
      </c>
      <c r="I41" s="13" t="e">
        <f t="shared" si="9"/>
        <v>#NAME?</v>
      </c>
      <c r="J41" s="13" t="e">
        <f t="shared" si="9"/>
        <v>#NAME?</v>
      </c>
      <c r="K41" s="13" t="e">
        <f t="shared" si="9"/>
        <v>#NAME?</v>
      </c>
      <c r="L41" s="13" t="e">
        <f t="shared" si="9"/>
        <v>#NAME?</v>
      </c>
      <c r="M41" t="s">
        <v>3326</v>
      </c>
    </row>
    <row r="42" spans="1:13">
      <c r="A42" s="12" t="s">
        <v>3056</v>
      </c>
      <c r="B42" s="28" t="s">
        <v>3415</v>
      </c>
      <c r="C42" s="13">
        <f t="shared" si="5"/>
        <v>9</v>
      </c>
      <c r="D42" s="13">
        <f t="shared" si="5"/>
        <v>1</v>
      </c>
      <c r="E42" s="13">
        <f t="shared" si="6"/>
        <v>1</v>
      </c>
      <c r="F42" s="13" t="e">
        <f t="shared" si="7"/>
        <v>#NAME?</v>
      </c>
      <c r="G42" s="13"/>
      <c r="H42" s="13">
        <f t="shared" ref="H42:L51" si="10">VLOOKUP($A42,$A$3:$L$20,COLUMN(),0)</f>
        <v>2</v>
      </c>
      <c r="I42" s="13" t="e">
        <f t="shared" si="10"/>
        <v>#NAME?</v>
      </c>
      <c r="J42" s="13" t="e">
        <f t="shared" si="10"/>
        <v>#NAME?</v>
      </c>
      <c r="K42" s="13" t="e">
        <f t="shared" si="10"/>
        <v>#NAME?</v>
      </c>
      <c r="L42" s="13" t="e">
        <f t="shared" si="10"/>
        <v>#NAME?</v>
      </c>
      <c r="M42" t="s">
        <v>3327</v>
      </c>
    </row>
    <row r="43" spans="1:13">
      <c r="A43" s="12" t="s">
        <v>3056</v>
      </c>
      <c r="B43" s="12" t="s">
        <v>3328</v>
      </c>
      <c r="C43" s="13">
        <v>7</v>
      </c>
      <c r="D43" s="13">
        <f t="shared" ref="D43:D74" si="11">VLOOKUP($A43,$A$3:$L$20,COLUMN(),0)</f>
        <v>1</v>
      </c>
      <c r="E43" s="13">
        <f t="shared" si="6"/>
        <v>1</v>
      </c>
      <c r="F43" s="13" t="e">
        <f t="shared" si="7"/>
        <v>#NAME?</v>
      </c>
      <c r="G43" s="13"/>
      <c r="H43" s="13">
        <f t="shared" si="10"/>
        <v>2</v>
      </c>
      <c r="I43" s="13" t="e">
        <f t="shared" si="10"/>
        <v>#NAME?</v>
      </c>
      <c r="J43" s="13" t="e">
        <f t="shared" si="10"/>
        <v>#NAME?</v>
      </c>
      <c r="K43" s="13" t="e">
        <f t="shared" si="10"/>
        <v>#NAME?</v>
      </c>
      <c r="L43" s="13" t="e">
        <f t="shared" si="10"/>
        <v>#NAME?</v>
      </c>
      <c r="M43" t="s">
        <v>3329</v>
      </c>
    </row>
    <row r="44" spans="1:13">
      <c r="A44" s="12" t="s">
        <v>3056</v>
      </c>
      <c r="B44" s="12" t="s">
        <v>3330</v>
      </c>
      <c r="C44" s="13">
        <f t="shared" ref="C44:C58" si="12">VLOOKUP($A44,$A$3:$L$20,COLUMN(),0)</f>
        <v>9</v>
      </c>
      <c r="D44" s="13">
        <f t="shared" si="11"/>
        <v>1</v>
      </c>
      <c r="E44" s="13">
        <f t="shared" si="6"/>
        <v>1</v>
      </c>
      <c r="F44" s="13" t="e">
        <f t="shared" si="7"/>
        <v>#NAME?</v>
      </c>
      <c r="G44" s="13"/>
      <c r="H44" s="13">
        <f t="shared" si="10"/>
        <v>2</v>
      </c>
      <c r="I44" s="13" t="e">
        <f t="shared" si="10"/>
        <v>#NAME?</v>
      </c>
      <c r="J44" s="13" t="e">
        <f t="shared" si="10"/>
        <v>#NAME?</v>
      </c>
      <c r="K44" s="13" t="e">
        <f t="shared" si="10"/>
        <v>#NAME?</v>
      </c>
      <c r="L44" s="13" t="e">
        <f t="shared" si="10"/>
        <v>#NAME?</v>
      </c>
      <c r="M44" t="s">
        <v>3331</v>
      </c>
    </row>
    <row r="45" spans="1:13">
      <c r="A45" s="12" t="s">
        <v>3056</v>
      </c>
      <c r="B45" s="28" t="s">
        <v>3416</v>
      </c>
      <c r="C45" s="13">
        <f t="shared" si="12"/>
        <v>9</v>
      </c>
      <c r="D45" s="13">
        <f t="shared" si="11"/>
        <v>1</v>
      </c>
      <c r="E45" s="48">
        <f t="shared" si="6"/>
        <v>2</v>
      </c>
      <c r="F45" s="13" t="e">
        <f t="shared" si="7"/>
        <v>#NAME?</v>
      </c>
      <c r="G45" s="13"/>
      <c r="H45" s="13">
        <f t="shared" si="10"/>
        <v>2</v>
      </c>
      <c r="I45" s="13" t="e">
        <f t="shared" si="10"/>
        <v>#NAME?</v>
      </c>
      <c r="J45" s="13" t="e">
        <f t="shared" si="10"/>
        <v>#NAME?</v>
      </c>
      <c r="K45" s="13" t="e">
        <f t="shared" si="10"/>
        <v>#NAME?</v>
      </c>
      <c r="L45" s="13" t="e">
        <f t="shared" si="10"/>
        <v>#NAME?</v>
      </c>
      <c r="M45" t="s">
        <v>3309</v>
      </c>
    </row>
    <row r="46" spans="1:13">
      <c r="A46" s="12" t="s">
        <v>3056</v>
      </c>
      <c r="B46" s="12" t="s">
        <v>3333</v>
      </c>
      <c r="C46" s="13">
        <f t="shared" si="12"/>
        <v>9</v>
      </c>
      <c r="D46" s="13">
        <f t="shared" si="11"/>
        <v>1</v>
      </c>
      <c r="E46" s="13">
        <f t="shared" si="6"/>
        <v>1</v>
      </c>
      <c r="F46" s="13" t="e">
        <f t="shared" si="7"/>
        <v>#NAME?</v>
      </c>
      <c r="G46" s="13"/>
      <c r="H46" s="13">
        <f t="shared" si="10"/>
        <v>2</v>
      </c>
      <c r="I46" s="13" t="e">
        <f t="shared" si="10"/>
        <v>#NAME?</v>
      </c>
      <c r="J46" s="13" t="e">
        <f t="shared" si="10"/>
        <v>#NAME?</v>
      </c>
      <c r="K46" s="13" t="e">
        <f t="shared" si="10"/>
        <v>#NAME?</v>
      </c>
      <c r="L46" s="13" t="e">
        <f t="shared" si="10"/>
        <v>#NAME?</v>
      </c>
      <c r="M46" t="s">
        <v>3332</v>
      </c>
    </row>
    <row r="47" spans="1:13">
      <c r="A47" s="12" t="s">
        <v>3056</v>
      </c>
      <c r="B47" s="12" t="s">
        <v>3334</v>
      </c>
      <c r="C47" s="13">
        <f t="shared" si="12"/>
        <v>9</v>
      </c>
      <c r="D47" s="13">
        <f t="shared" si="11"/>
        <v>1</v>
      </c>
      <c r="E47" s="13">
        <f t="shared" si="6"/>
        <v>2</v>
      </c>
      <c r="F47" s="13" t="e">
        <f t="shared" si="7"/>
        <v>#NAME?</v>
      </c>
      <c r="G47" s="13"/>
      <c r="H47" s="13">
        <f t="shared" si="10"/>
        <v>2</v>
      </c>
      <c r="I47" s="13" t="e">
        <f t="shared" si="10"/>
        <v>#NAME?</v>
      </c>
      <c r="J47" s="13" t="e">
        <f t="shared" si="10"/>
        <v>#NAME?</v>
      </c>
      <c r="K47" s="13" t="e">
        <f t="shared" si="10"/>
        <v>#NAME?</v>
      </c>
      <c r="L47" s="13" t="e">
        <f t="shared" si="10"/>
        <v>#NAME?</v>
      </c>
      <c r="M47" t="s">
        <v>3309</v>
      </c>
    </row>
    <row r="48" spans="1:13">
      <c r="A48" s="12" t="s">
        <v>3056</v>
      </c>
      <c r="B48" s="12" t="s">
        <v>3335</v>
      </c>
      <c r="C48" s="13">
        <f t="shared" si="12"/>
        <v>9</v>
      </c>
      <c r="D48" s="13">
        <f t="shared" si="11"/>
        <v>1</v>
      </c>
      <c r="E48" s="13">
        <f t="shared" si="6"/>
        <v>1</v>
      </c>
      <c r="F48" s="13" t="e">
        <f t="shared" si="7"/>
        <v>#NAME?</v>
      </c>
      <c r="G48" s="13"/>
      <c r="H48" s="13">
        <f t="shared" si="10"/>
        <v>2</v>
      </c>
      <c r="I48" s="13" t="e">
        <f t="shared" si="10"/>
        <v>#NAME?</v>
      </c>
      <c r="J48" s="13" t="e">
        <f t="shared" si="10"/>
        <v>#NAME?</v>
      </c>
      <c r="K48" s="13" t="e">
        <f t="shared" si="10"/>
        <v>#NAME?</v>
      </c>
      <c r="L48" s="13" t="e">
        <f t="shared" si="10"/>
        <v>#NAME?</v>
      </c>
      <c r="M48" t="s">
        <v>3336</v>
      </c>
    </row>
    <row r="49" spans="1:13">
      <c r="A49" s="12" t="s">
        <v>3057</v>
      </c>
      <c r="B49" s="28" t="s">
        <v>3408</v>
      </c>
      <c r="C49" s="13">
        <f t="shared" si="12"/>
        <v>11</v>
      </c>
      <c r="D49" s="13">
        <f t="shared" si="11"/>
        <v>-1</v>
      </c>
      <c r="E49" s="13">
        <f t="shared" si="6"/>
        <v>1</v>
      </c>
      <c r="F49" s="13" t="e">
        <f t="shared" si="7"/>
        <v>#NAME?</v>
      </c>
      <c r="G49" s="13"/>
      <c r="H49" s="13">
        <f t="shared" si="10"/>
        <v>0</v>
      </c>
      <c r="I49" s="13" t="e">
        <f t="shared" si="10"/>
        <v>#NAME?</v>
      </c>
      <c r="J49" s="13" t="e">
        <f t="shared" si="10"/>
        <v>#NAME?</v>
      </c>
      <c r="K49" s="13" t="e">
        <f t="shared" si="10"/>
        <v>#NAME?</v>
      </c>
      <c r="L49" s="13" t="e">
        <f t="shared" si="10"/>
        <v>#NAME?</v>
      </c>
      <c r="M49" t="s">
        <v>3337</v>
      </c>
    </row>
    <row r="50" spans="1:13">
      <c r="A50" s="12" t="s">
        <v>3057</v>
      </c>
      <c r="B50" s="28" t="s">
        <v>3407</v>
      </c>
      <c r="C50" s="13">
        <f t="shared" si="12"/>
        <v>11</v>
      </c>
      <c r="D50" s="13">
        <f t="shared" si="11"/>
        <v>-1</v>
      </c>
      <c r="E50" s="13">
        <f t="shared" si="6"/>
        <v>1</v>
      </c>
      <c r="F50" s="13" t="e">
        <f t="shared" si="7"/>
        <v>#NAME?</v>
      </c>
      <c r="G50" s="13"/>
      <c r="H50" s="13">
        <f t="shared" si="10"/>
        <v>0</v>
      </c>
      <c r="I50" s="13" t="e">
        <f t="shared" si="10"/>
        <v>#NAME?</v>
      </c>
      <c r="J50" s="13" t="e">
        <f t="shared" si="10"/>
        <v>#NAME?</v>
      </c>
      <c r="K50" s="13" t="e">
        <f t="shared" si="10"/>
        <v>#NAME?</v>
      </c>
      <c r="L50" s="13" t="e">
        <f t="shared" si="10"/>
        <v>#NAME?</v>
      </c>
      <c r="M50" t="s">
        <v>3337</v>
      </c>
    </row>
    <row r="51" spans="1:13">
      <c r="A51" s="12" t="s">
        <v>3057</v>
      </c>
      <c r="B51" s="12" t="s">
        <v>3338</v>
      </c>
      <c r="C51" s="13">
        <f t="shared" si="12"/>
        <v>11</v>
      </c>
      <c r="D51" s="13">
        <f t="shared" si="11"/>
        <v>-1</v>
      </c>
      <c r="E51" s="13">
        <f t="shared" si="6"/>
        <v>2</v>
      </c>
      <c r="F51" s="13" t="e">
        <f t="shared" si="7"/>
        <v>#NAME?</v>
      </c>
      <c r="G51" s="13"/>
      <c r="H51" s="13">
        <f t="shared" si="10"/>
        <v>0</v>
      </c>
      <c r="I51" s="13" t="e">
        <f t="shared" si="10"/>
        <v>#NAME?</v>
      </c>
      <c r="J51" s="13" t="e">
        <f t="shared" si="10"/>
        <v>#NAME?</v>
      </c>
      <c r="K51" s="13" t="e">
        <f t="shared" si="10"/>
        <v>#NAME?</v>
      </c>
      <c r="L51" s="13" t="e">
        <f t="shared" si="10"/>
        <v>#NAME?</v>
      </c>
      <c r="M51" t="s">
        <v>3339</v>
      </c>
    </row>
    <row r="52" spans="1:13">
      <c r="A52" s="12" t="s">
        <v>3057</v>
      </c>
      <c r="B52" s="12" t="s">
        <v>3341</v>
      </c>
      <c r="C52" s="13">
        <f t="shared" si="12"/>
        <v>11</v>
      </c>
      <c r="D52" s="13">
        <f t="shared" si="11"/>
        <v>-1</v>
      </c>
      <c r="E52" s="13">
        <f t="shared" si="6"/>
        <v>1</v>
      </c>
      <c r="F52" s="13" t="e">
        <f t="shared" si="7"/>
        <v>#NAME?</v>
      </c>
      <c r="G52" s="13"/>
      <c r="H52" s="13">
        <f t="shared" ref="H52:L61" si="13">VLOOKUP($A52,$A$3:$L$20,COLUMN(),0)</f>
        <v>0</v>
      </c>
      <c r="I52" s="13" t="e">
        <f t="shared" si="13"/>
        <v>#NAME?</v>
      </c>
      <c r="J52" s="13" t="e">
        <f t="shared" si="13"/>
        <v>#NAME?</v>
      </c>
      <c r="K52" s="13" t="e">
        <f t="shared" si="13"/>
        <v>#NAME?</v>
      </c>
      <c r="L52" s="13" t="e">
        <f t="shared" si="13"/>
        <v>#NAME?</v>
      </c>
      <c r="M52" t="s">
        <v>3342</v>
      </c>
    </row>
    <row r="53" spans="1:13">
      <c r="A53" s="12" t="s">
        <v>3057</v>
      </c>
      <c r="B53" s="28" t="s">
        <v>3409</v>
      </c>
      <c r="C53" s="13">
        <f t="shared" si="12"/>
        <v>11</v>
      </c>
      <c r="D53" s="13">
        <f t="shared" si="11"/>
        <v>-1</v>
      </c>
      <c r="E53" s="13">
        <f t="shared" si="6"/>
        <v>1</v>
      </c>
      <c r="F53" s="13" t="e">
        <f t="shared" si="7"/>
        <v>#NAME?</v>
      </c>
      <c r="G53" s="13"/>
      <c r="H53" s="13">
        <f t="shared" si="13"/>
        <v>0</v>
      </c>
      <c r="I53" s="13" t="e">
        <f t="shared" si="13"/>
        <v>#NAME?</v>
      </c>
      <c r="J53" s="13" t="e">
        <f t="shared" si="13"/>
        <v>#NAME?</v>
      </c>
      <c r="K53" s="13" t="e">
        <f t="shared" si="13"/>
        <v>#NAME?</v>
      </c>
      <c r="L53" s="13" t="e">
        <f t="shared" si="13"/>
        <v>#NAME?</v>
      </c>
      <c r="M53" t="s">
        <v>3337</v>
      </c>
    </row>
    <row r="54" spans="1:13">
      <c r="A54" s="12" t="s">
        <v>3057</v>
      </c>
      <c r="B54" s="28" t="s">
        <v>3410</v>
      </c>
      <c r="C54" s="13">
        <f t="shared" si="12"/>
        <v>11</v>
      </c>
      <c r="D54" s="13">
        <f t="shared" si="11"/>
        <v>-1</v>
      </c>
      <c r="E54" s="13">
        <f t="shared" ref="E54:E85" si="14">VLOOKUP($A54,$A$3:$L$20,COLUMN(),0)+IFERROR(SEARCH("Balanced",M54)*0+1,0)</f>
        <v>1</v>
      </c>
      <c r="F54" s="13" t="e">
        <f t="shared" ref="F54:F85" si="15">VLOOKUP($A54,$A$3:$L$20,COLUMN(),0)</f>
        <v>#NAME?</v>
      </c>
      <c r="G54" s="13"/>
      <c r="H54" s="13">
        <f t="shared" si="13"/>
        <v>0</v>
      </c>
      <c r="I54" s="13" t="e">
        <f t="shared" si="13"/>
        <v>#NAME?</v>
      </c>
      <c r="J54" s="13" t="e">
        <f t="shared" si="13"/>
        <v>#NAME?</v>
      </c>
      <c r="K54" s="13" t="e">
        <f t="shared" si="13"/>
        <v>#NAME?</v>
      </c>
      <c r="L54" s="13" t="e">
        <f t="shared" si="13"/>
        <v>#NAME?</v>
      </c>
      <c r="M54" t="s">
        <v>3337</v>
      </c>
    </row>
    <row r="55" spans="1:13">
      <c r="A55" s="12" t="s">
        <v>3057</v>
      </c>
      <c r="B55" s="28" t="s">
        <v>3411</v>
      </c>
      <c r="C55" s="13">
        <f t="shared" si="12"/>
        <v>11</v>
      </c>
      <c r="D55" s="13">
        <f t="shared" si="11"/>
        <v>-1</v>
      </c>
      <c r="E55" s="13">
        <f t="shared" si="14"/>
        <v>1</v>
      </c>
      <c r="F55" s="13" t="e">
        <f t="shared" si="15"/>
        <v>#NAME?</v>
      </c>
      <c r="G55" s="13"/>
      <c r="H55" s="13">
        <f t="shared" si="13"/>
        <v>0</v>
      </c>
      <c r="I55" s="13" t="e">
        <f t="shared" si="13"/>
        <v>#NAME?</v>
      </c>
      <c r="J55" s="13" t="e">
        <f t="shared" si="13"/>
        <v>#NAME?</v>
      </c>
      <c r="K55" s="13" t="e">
        <f t="shared" si="13"/>
        <v>#NAME?</v>
      </c>
      <c r="L55" s="13" t="e">
        <f t="shared" si="13"/>
        <v>#NAME?</v>
      </c>
      <c r="M55" t="s">
        <v>3343</v>
      </c>
    </row>
    <row r="56" spans="1:13">
      <c r="A56" s="12" t="s">
        <v>3057</v>
      </c>
      <c r="B56" s="28" t="s">
        <v>3412</v>
      </c>
      <c r="C56" s="13">
        <f t="shared" si="12"/>
        <v>11</v>
      </c>
      <c r="D56" s="13">
        <f t="shared" si="11"/>
        <v>-1</v>
      </c>
      <c r="E56" s="13">
        <f t="shared" si="14"/>
        <v>1</v>
      </c>
      <c r="F56" s="13" t="e">
        <f t="shared" si="15"/>
        <v>#NAME?</v>
      </c>
      <c r="G56" s="13"/>
      <c r="H56" s="13">
        <f t="shared" si="13"/>
        <v>0</v>
      </c>
      <c r="I56" s="13" t="e">
        <f t="shared" si="13"/>
        <v>#NAME?</v>
      </c>
      <c r="J56" s="13" t="e">
        <f t="shared" si="13"/>
        <v>#NAME?</v>
      </c>
      <c r="K56" s="13" t="e">
        <f t="shared" si="13"/>
        <v>#NAME?</v>
      </c>
      <c r="L56" s="13" t="e">
        <f t="shared" si="13"/>
        <v>#NAME?</v>
      </c>
      <c r="M56" t="s">
        <v>3343</v>
      </c>
    </row>
    <row r="57" spans="1:13">
      <c r="A57" s="12" t="s">
        <v>162</v>
      </c>
      <c r="B57" s="12" t="s">
        <v>3344</v>
      </c>
      <c r="C57" s="13">
        <f t="shared" si="12"/>
        <v>7</v>
      </c>
      <c r="D57" s="13" t="e">
        <f t="shared" si="11"/>
        <v>#NAME?</v>
      </c>
      <c r="E57" s="13">
        <f t="shared" si="14"/>
        <v>1</v>
      </c>
      <c r="F57" s="13" t="e">
        <f t="shared" si="15"/>
        <v>#NAME?</v>
      </c>
      <c r="G57" s="13"/>
      <c r="H57" s="13">
        <f t="shared" si="13"/>
        <v>4</v>
      </c>
      <c r="I57" s="13">
        <f t="shared" si="13"/>
        <v>3</v>
      </c>
      <c r="J57" s="13">
        <f t="shared" si="13"/>
        <v>2</v>
      </c>
      <c r="K57" s="13">
        <f t="shared" si="13"/>
        <v>-1</v>
      </c>
      <c r="L57" s="13">
        <f t="shared" si="13"/>
        <v>-3</v>
      </c>
      <c r="M57" t="s">
        <v>3345</v>
      </c>
    </row>
    <row r="58" spans="1:13">
      <c r="A58" s="12" t="s">
        <v>162</v>
      </c>
      <c r="B58" s="12" t="s">
        <v>3346</v>
      </c>
      <c r="C58" s="13">
        <f t="shared" si="12"/>
        <v>7</v>
      </c>
      <c r="D58" s="13" t="e">
        <f t="shared" si="11"/>
        <v>#NAME?</v>
      </c>
      <c r="E58" s="13">
        <f t="shared" si="14"/>
        <v>1</v>
      </c>
      <c r="F58" s="13" t="e">
        <f t="shared" si="15"/>
        <v>#NAME?</v>
      </c>
      <c r="G58" s="13"/>
      <c r="H58" s="13">
        <f t="shared" si="13"/>
        <v>4</v>
      </c>
      <c r="I58" s="13">
        <f t="shared" si="13"/>
        <v>3</v>
      </c>
      <c r="J58" s="13">
        <f t="shared" si="13"/>
        <v>2</v>
      </c>
      <c r="K58" s="13">
        <f t="shared" si="13"/>
        <v>-1</v>
      </c>
      <c r="L58" s="13">
        <f t="shared" si="13"/>
        <v>-3</v>
      </c>
      <c r="M58" t="s">
        <v>3347</v>
      </c>
    </row>
    <row r="59" spans="1:13">
      <c r="A59" s="12" t="s">
        <v>162</v>
      </c>
      <c r="B59" s="12" t="s">
        <v>3348</v>
      </c>
      <c r="C59" s="47" t="s">
        <v>3373</v>
      </c>
      <c r="D59" s="13" t="e">
        <f t="shared" si="11"/>
        <v>#NAME?</v>
      </c>
      <c r="E59" s="13">
        <f t="shared" si="14"/>
        <v>1</v>
      </c>
      <c r="F59" s="13" t="e">
        <f t="shared" si="15"/>
        <v>#NAME?</v>
      </c>
      <c r="G59" s="13"/>
      <c r="H59" s="13">
        <f t="shared" si="13"/>
        <v>4</v>
      </c>
      <c r="I59" s="13">
        <f t="shared" si="13"/>
        <v>3</v>
      </c>
      <c r="J59" s="13">
        <f t="shared" si="13"/>
        <v>2</v>
      </c>
      <c r="K59" s="13">
        <f t="shared" si="13"/>
        <v>-1</v>
      </c>
      <c r="L59" s="13">
        <f t="shared" si="13"/>
        <v>-3</v>
      </c>
      <c r="M59" t="s">
        <v>3349</v>
      </c>
    </row>
    <row r="60" spans="1:13">
      <c r="A60" s="12" t="s">
        <v>162</v>
      </c>
      <c r="B60" s="12" t="s">
        <v>3350</v>
      </c>
      <c r="C60" s="13">
        <f>VLOOKUP($A60,$A$3:$L$20,COLUMN(),0)</f>
        <v>7</v>
      </c>
      <c r="D60" s="13" t="e">
        <f t="shared" si="11"/>
        <v>#NAME?</v>
      </c>
      <c r="E60" s="13">
        <f t="shared" si="14"/>
        <v>1</v>
      </c>
      <c r="F60" s="13" t="e">
        <f t="shared" si="15"/>
        <v>#NAME?</v>
      </c>
      <c r="G60" s="13"/>
      <c r="H60" s="13">
        <f t="shared" si="13"/>
        <v>4</v>
      </c>
      <c r="I60" s="13">
        <f t="shared" si="13"/>
        <v>3</v>
      </c>
      <c r="J60" s="13">
        <f t="shared" si="13"/>
        <v>2</v>
      </c>
      <c r="K60" s="13">
        <f t="shared" si="13"/>
        <v>-1</v>
      </c>
      <c r="L60" s="13">
        <f t="shared" si="13"/>
        <v>-3</v>
      </c>
      <c r="M60" s="9" t="s">
        <v>3351</v>
      </c>
    </row>
    <row r="61" spans="1:13">
      <c r="A61" s="12" t="s">
        <v>162</v>
      </c>
      <c r="B61" s="12" t="s">
        <v>3352</v>
      </c>
      <c r="C61" s="13">
        <f>VLOOKUP($A61,$A$3:$L$20,COLUMN(),0)</f>
        <v>7</v>
      </c>
      <c r="D61" s="13" t="e">
        <f t="shared" si="11"/>
        <v>#NAME?</v>
      </c>
      <c r="E61" s="13">
        <f t="shared" si="14"/>
        <v>1</v>
      </c>
      <c r="F61" s="13" t="e">
        <f t="shared" si="15"/>
        <v>#NAME?</v>
      </c>
      <c r="G61" s="13"/>
      <c r="H61" s="13">
        <f t="shared" si="13"/>
        <v>4</v>
      </c>
      <c r="I61" s="13">
        <f t="shared" si="13"/>
        <v>3</v>
      </c>
      <c r="J61" s="13">
        <f t="shared" si="13"/>
        <v>2</v>
      </c>
      <c r="K61" s="13">
        <f t="shared" si="13"/>
        <v>-1</v>
      </c>
      <c r="L61" s="13">
        <f t="shared" si="13"/>
        <v>-3</v>
      </c>
      <c r="M61" t="s">
        <v>3353</v>
      </c>
    </row>
    <row r="62" spans="1:13">
      <c r="A62" s="12" t="s">
        <v>163</v>
      </c>
      <c r="B62" s="12" t="s">
        <v>3354</v>
      </c>
      <c r="C62" s="13">
        <f>VLOOKUP($A62,$A$3:$L$20,COLUMN(),0)</f>
        <v>9</v>
      </c>
      <c r="D62" s="13" t="e">
        <f t="shared" si="11"/>
        <v>#NAME?</v>
      </c>
      <c r="E62" s="13">
        <f t="shared" si="14"/>
        <v>1</v>
      </c>
      <c r="F62" s="13" t="e">
        <f t="shared" si="15"/>
        <v>#NAME?</v>
      </c>
      <c r="G62" s="13"/>
      <c r="H62" s="13">
        <f t="shared" ref="H62:L67" si="16">VLOOKUP($A62,$A$3:$L$20,COLUMN(),0)</f>
        <v>4</v>
      </c>
      <c r="I62" s="13">
        <f t="shared" si="16"/>
        <v>3</v>
      </c>
      <c r="J62" s="13">
        <f t="shared" si="16"/>
        <v>2</v>
      </c>
      <c r="K62" s="13">
        <f t="shared" si="16"/>
        <v>-1</v>
      </c>
      <c r="L62" s="13">
        <f t="shared" si="16"/>
        <v>-3</v>
      </c>
      <c r="M62" t="s">
        <v>3355</v>
      </c>
    </row>
    <row r="63" spans="1:13">
      <c r="A63" s="12" t="s">
        <v>163</v>
      </c>
      <c r="B63" s="28" t="s">
        <v>3417</v>
      </c>
      <c r="C63" s="13">
        <f>VLOOKUP($A63,$A$3:$L$20,COLUMN(),0)</f>
        <v>9</v>
      </c>
      <c r="D63" s="13" t="e">
        <f t="shared" si="11"/>
        <v>#NAME?</v>
      </c>
      <c r="E63" s="13">
        <f t="shared" si="14"/>
        <v>1</v>
      </c>
      <c r="F63" s="13" t="e">
        <f t="shared" si="15"/>
        <v>#NAME?</v>
      </c>
      <c r="G63" s="13"/>
      <c r="H63" s="13">
        <f t="shared" si="16"/>
        <v>4</v>
      </c>
      <c r="I63" s="13">
        <f t="shared" si="16"/>
        <v>3</v>
      </c>
      <c r="J63" s="13">
        <f t="shared" si="16"/>
        <v>2</v>
      </c>
      <c r="K63" s="13">
        <f t="shared" si="16"/>
        <v>-1</v>
      </c>
      <c r="L63" s="13">
        <f t="shared" si="16"/>
        <v>-3</v>
      </c>
      <c r="M63" t="s">
        <v>3356</v>
      </c>
    </row>
    <row r="64" spans="1:13">
      <c r="A64" s="12" t="s">
        <v>165</v>
      </c>
      <c r="B64" s="28" t="s">
        <v>3418</v>
      </c>
      <c r="C64" s="47" t="s">
        <v>3377</v>
      </c>
      <c r="D64" s="13" t="e">
        <f t="shared" si="11"/>
        <v>#NAME?</v>
      </c>
      <c r="E64" s="13">
        <f t="shared" si="14"/>
        <v>1</v>
      </c>
      <c r="F64" s="13" t="e">
        <f t="shared" si="15"/>
        <v>#NAME?</v>
      </c>
      <c r="G64" s="13"/>
      <c r="H64" s="13">
        <f t="shared" si="16"/>
        <v>-2</v>
      </c>
      <c r="I64" s="13">
        <f t="shared" si="16"/>
        <v>4</v>
      </c>
      <c r="J64" s="13">
        <f t="shared" si="16"/>
        <v>2</v>
      </c>
      <c r="K64" s="13">
        <f t="shared" si="16"/>
        <v>0</v>
      </c>
      <c r="L64" s="13">
        <f t="shared" si="16"/>
        <v>-2</v>
      </c>
      <c r="M64" t="s">
        <v>3357</v>
      </c>
    </row>
    <row r="65" spans="1:13">
      <c r="A65" s="12" t="s">
        <v>165</v>
      </c>
      <c r="B65" s="12" t="s">
        <v>3358</v>
      </c>
      <c r="C65" s="13">
        <f>VLOOKUP($A65,$A$3:$L$20,COLUMN(),0)</f>
        <v>7</v>
      </c>
      <c r="D65" s="13" t="e">
        <f t="shared" si="11"/>
        <v>#NAME?</v>
      </c>
      <c r="E65" s="13">
        <f t="shared" si="14"/>
        <v>1</v>
      </c>
      <c r="F65" s="13" t="e">
        <f t="shared" si="15"/>
        <v>#NAME?</v>
      </c>
      <c r="G65" s="13"/>
      <c r="H65" s="13">
        <f t="shared" si="16"/>
        <v>-2</v>
      </c>
      <c r="I65" s="13">
        <f t="shared" si="16"/>
        <v>4</v>
      </c>
      <c r="J65" s="13">
        <f t="shared" si="16"/>
        <v>2</v>
      </c>
      <c r="K65" s="13">
        <f t="shared" si="16"/>
        <v>0</v>
      </c>
      <c r="L65" s="13">
        <f t="shared" si="16"/>
        <v>-2</v>
      </c>
      <c r="M65" t="s">
        <v>3359</v>
      </c>
    </row>
    <row r="66" spans="1:13">
      <c r="A66" s="12" t="s">
        <v>166</v>
      </c>
      <c r="B66" s="28" t="s">
        <v>3419</v>
      </c>
      <c r="C66" s="13">
        <f>VLOOKUP($A66,$A$3:$L$20,COLUMN(),0)</f>
        <v>9</v>
      </c>
      <c r="D66" s="13" t="e">
        <f t="shared" si="11"/>
        <v>#NAME?</v>
      </c>
      <c r="E66" s="13">
        <f t="shared" si="14"/>
        <v>1</v>
      </c>
      <c r="F66" s="13" t="e">
        <f t="shared" si="15"/>
        <v>#NAME?</v>
      </c>
      <c r="G66" s="13"/>
      <c r="H66" s="13">
        <f t="shared" si="16"/>
        <v>-2</v>
      </c>
      <c r="I66" s="13">
        <f t="shared" si="16"/>
        <v>4</v>
      </c>
      <c r="J66" s="13">
        <f t="shared" si="16"/>
        <v>2</v>
      </c>
      <c r="K66" s="13">
        <f t="shared" si="16"/>
        <v>0</v>
      </c>
      <c r="L66" s="13">
        <f t="shared" si="16"/>
        <v>-2</v>
      </c>
      <c r="M66" t="s">
        <v>3359</v>
      </c>
    </row>
    <row r="67" spans="1:13">
      <c r="A67" s="12" t="s">
        <v>166</v>
      </c>
      <c r="B67" s="12" t="s">
        <v>3360</v>
      </c>
      <c r="C67" s="46" t="s">
        <v>3376</v>
      </c>
      <c r="D67" s="13" t="e">
        <f t="shared" si="11"/>
        <v>#NAME?</v>
      </c>
      <c r="E67" s="13">
        <f t="shared" si="14"/>
        <v>1</v>
      </c>
      <c r="F67" s="13" t="e">
        <f t="shared" si="15"/>
        <v>#NAME?</v>
      </c>
      <c r="G67" s="13"/>
      <c r="H67" s="13">
        <f t="shared" si="16"/>
        <v>-2</v>
      </c>
      <c r="I67" s="13">
        <f t="shared" si="16"/>
        <v>4</v>
      </c>
      <c r="J67" s="13">
        <f t="shared" si="16"/>
        <v>2</v>
      </c>
      <c r="K67" s="13">
        <f t="shared" si="16"/>
        <v>0</v>
      </c>
      <c r="L67" s="13">
        <f t="shared" si="16"/>
        <v>-2</v>
      </c>
      <c r="M67" t="s">
        <v>3361</v>
      </c>
    </row>
    <row r="68" spans="1:13">
      <c r="A68" s="12" t="s">
        <v>166</v>
      </c>
      <c r="B68" s="12" t="s">
        <v>3362</v>
      </c>
      <c r="C68" s="47" t="s">
        <v>3374</v>
      </c>
      <c r="D68" s="13" t="e">
        <f t="shared" si="11"/>
        <v>#NAME?</v>
      </c>
      <c r="E68" s="13">
        <f t="shared" si="14"/>
        <v>1</v>
      </c>
      <c r="F68" s="13" t="e">
        <f t="shared" si="15"/>
        <v>#NAME?</v>
      </c>
      <c r="G68" s="13"/>
      <c r="H68" s="13">
        <v>0</v>
      </c>
      <c r="I68" s="13">
        <f t="shared" ref="I68:L97" si="17">VLOOKUP($A68,$A$3:$L$20,COLUMN(),0)</f>
        <v>4</v>
      </c>
      <c r="J68" s="13">
        <f t="shared" si="17"/>
        <v>2</v>
      </c>
      <c r="K68" s="13">
        <f t="shared" si="17"/>
        <v>0</v>
      </c>
      <c r="L68" s="13">
        <f t="shared" si="17"/>
        <v>-2</v>
      </c>
      <c r="M68" s="9" t="s">
        <v>3363</v>
      </c>
    </row>
    <row r="69" spans="1:13">
      <c r="A69" s="12" t="s">
        <v>166</v>
      </c>
      <c r="B69" s="12" t="s">
        <v>3364</v>
      </c>
      <c r="C69" s="13">
        <f>VLOOKUP($A69,$A$3:$L$20,COLUMN(),0)</f>
        <v>9</v>
      </c>
      <c r="D69" s="13" t="e">
        <f t="shared" si="11"/>
        <v>#NAME?</v>
      </c>
      <c r="E69" s="13">
        <f t="shared" si="14"/>
        <v>1</v>
      </c>
      <c r="F69" s="13" t="e">
        <f t="shared" si="15"/>
        <v>#NAME?</v>
      </c>
      <c r="G69" s="13"/>
      <c r="H69" s="13">
        <f>VLOOKUP($A69,$A$3:$L$20,COLUMN(),0)</f>
        <v>-2</v>
      </c>
      <c r="I69" s="13">
        <f t="shared" si="17"/>
        <v>4</v>
      </c>
      <c r="J69" s="13">
        <f t="shared" si="17"/>
        <v>2</v>
      </c>
      <c r="K69" s="13">
        <f t="shared" si="17"/>
        <v>0</v>
      </c>
      <c r="L69" s="13">
        <f t="shared" si="17"/>
        <v>-2</v>
      </c>
      <c r="M69" t="s">
        <v>3365</v>
      </c>
    </row>
    <row r="70" spans="1:13">
      <c r="A70" s="12" t="s">
        <v>167</v>
      </c>
      <c r="B70" s="12" t="s">
        <v>3366</v>
      </c>
      <c r="C70" s="47" t="s">
        <v>3375</v>
      </c>
      <c r="D70" s="13" t="e">
        <f t="shared" si="11"/>
        <v>#NAME?</v>
      </c>
      <c r="E70" s="13">
        <f t="shared" si="14"/>
        <v>1</v>
      </c>
      <c r="F70" s="13" t="e">
        <f t="shared" si="15"/>
        <v>#NAME?</v>
      </c>
      <c r="G70" s="13"/>
      <c r="H70" s="13">
        <v>0</v>
      </c>
      <c r="I70" s="13">
        <f t="shared" si="17"/>
        <v>4</v>
      </c>
      <c r="J70" s="13">
        <f t="shared" si="17"/>
        <v>2</v>
      </c>
      <c r="K70" s="13">
        <f t="shared" si="17"/>
        <v>0</v>
      </c>
      <c r="L70" s="13">
        <f t="shared" si="17"/>
        <v>-2</v>
      </c>
      <c r="M70" t="s">
        <v>3367</v>
      </c>
    </row>
    <row r="71" spans="1:13">
      <c r="A71" s="12" t="s">
        <v>3058</v>
      </c>
      <c r="B71" s="12" t="s">
        <v>3378</v>
      </c>
      <c r="C71" s="13">
        <f t="shared" ref="C71:C95" si="18">VLOOKUP($A71,$A$3:$L$20,COLUMN(),0)</f>
        <v>10</v>
      </c>
      <c r="D71" s="13">
        <f t="shared" si="11"/>
        <v>0</v>
      </c>
      <c r="E71" s="13">
        <f t="shared" si="14"/>
        <v>3</v>
      </c>
      <c r="F71" s="13">
        <f t="shared" si="15"/>
        <v>5</v>
      </c>
      <c r="G71" s="13">
        <f t="shared" ref="G71:H97" si="19">VLOOKUP($A71,$A$3:$L$20,COLUMN(),0)</f>
        <v>0</v>
      </c>
      <c r="H71" s="13">
        <f t="shared" si="19"/>
        <v>5</v>
      </c>
      <c r="I71" s="13" t="e">
        <f t="shared" si="17"/>
        <v>#NAME?</v>
      </c>
      <c r="J71" s="13" t="e">
        <f t="shared" si="17"/>
        <v>#NAME?</v>
      </c>
      <c r="K71" s="13" t="e">
        <f t="shared" si="17"/>
        <v>#NAME?</v>
      </c>
      <c r="L71" s="13" t="e">
        <f t="shared" si="17"/>
        <v>#NAME?</v>
      </c>
      <c r="M71" t="s">
        <v>3379</v>
      </c>
    </row>
    <row r="72" spans="1:13">
      <c r="A72" s="12" t="s">
        <v>3058</v>
      </c>
      <c r="B72" s="12" t="s">
        <v>3380</v>
      </c>
      <c r="C72" s="13">
        <f t="shared" si="18"/>
        <v>10</v>
      </c>
      <c r="D72" s="13">
        <f t="shared" si="11"/>
        <v>0</v>
      </c>
      <c r="E72" s="13">
        <f t="shared" si="14"/>
        <v>3</v>
      </c>
      <c r="F72" s="13">
        <f t="shared" si="15"/>
        <v>5</v>
      </c>
      <c r="G72" s="13">
        <f t="shared" si="19"/>
        <v>0</v>
      </c>
      <c r="H72" s="13">
        <f t="shared" si="19"/>
        <v>5</v>
      </c>
      <c r="I72" s="13" t="e">
        <f t="shared" si="17"/>
        <v>#NAME?</v>
      </c>
      <c r="J72" s="13" t="e">
        <f t="shared" si="17"/>
        <v>#NAME?</v>
      </c>
      <c r="K72" s="13" t="e">
        <f t="shared" si="17"/>
        <v>#NAME?</v>
      </c>
      <c r="L72" s="13" t="e">
        <f t="shared" si="17"/>
        <v>#NAME?</v>
      </c>
      <c r="M72" t="s">
        <v>3381</v>
      </c>
    </row>
    <row r="73" spans="1:13">
      <c r="A73" s="12" t="s">
        <v>3058</v>
      </c>
      <c r="B73" s="12" t="s">
        <v>3382</v>
      </c>
      <c r="C73" s="13">
        <f t="shared" si="18"/>
        <v>10</v>
      </c>
      <c r="D73" s="13">
        <f t="shared" si="11"/>
        <v>0</v>
      </c>
      <c r="E73" s="13">
        <f t="shared" si="14"/>
        <v>4</v>
      </c>
      <c r="F73" s="13">
        <f t="shared" si="15"/>
        <v>5</v>
      </c>
      <c r="G73" s="13">
        <f t="shared" si="19"/>
        <v>0</v>
      </c>
      <c r="H73" s="13">
        <f t="shared" si="19"/>
        <v>5</v>
      </c>
      <c r="I73" s="13" t="e">
        <f t="shared" si="17"/>
        <v>#NAME?</v>
      </c>
      <c r="J73" s="13" t="e">
        <f t="shared" si="17"/>
        <v>#NAME?</v>
      </c>
      <c r="K73" s="13" t="e">
        <f t="shared" si="17"/>
        <v>#NAME?</v>
      </c>
      <c r="L73" s="13" t="e">
        <f t="shared" si="17"/>
        <v>#NAME?</v>
      </c>
      <c r="M73" t="s">
        <v>3309</v>
      </c>
    </row>
    <row r="74" spans="1:13">
      <c r="A74" s="12" t="s">
        <v>3058</v>
      </c>
      <c r="B74" s="12" t="s">
        <v>3383</v>
      </c>
      <c r="C74" s="13">
        <f t="shared" si="18"/>
        <v>10</v>
      </c>
      <c r="D74" s="13">
        <f t="shared" si="11"/>
        <v>0</v>
      </c>
      <c r="E74" s="13">
        <f t="shared" si="14"/>
        <v>3</v>
      </c>
      <c r="F74" s="13">
        <f t="shared" si="15"/>
        <v>5</v>
      </c>
      <c r="G74" s="13">
        <f t="shared" si="19"/>
        <v>0</v>
      </c>
      <c r="H74" s="13">
        <f t="shared" si="19"/>
        <v>5</v>
      </c>
      <c r="I74" s="13" t="e">
        <f t="shared" si="17"/>
        <v>#NAME?</v>
      </c>
      <c r="J74" s="13" t="e">
        <f t="shared" si="17"/>
        <v>#NAME?</v>
      </c>
      <c r="K74" s="13" t="e">
        <f t="shared" si="17"/>
        <v>#NAME?</v>
      </c>
      <c r="L74" s="13" t="e">
        <f t="shared" si="17"/>
        <v>#NAME?</v>
      </c>
      <c r="M74" t="s">
        <v>3384</v>
      </c>
    </row>
    <row r="75" spans="1:13">
      <c r="A75" s="12" t="s">
        <v>3058</v>
      </c>
      <c r="B75" s="12" t="s">
        <v>3385</v>
      </c>
      <c r="C75" s="13">
        <f t="shared" si="18"/>
        <v>10</v>
      </c>
      <c r="D75" s="13">
        <f t="shared" ref="D75:D97" si="20">VLOOKUP($A75,$A$3:$L$20,COLUMN(),0)</f>
        <v>0</v>
      </c>
      <c r="E75" s="13">
        <f t="shared" si="14"/>
        <v>3</v>
      </c>
      <c r="F75" s="13">
        <f t="shared" si="15"/>
        <v>5</v>
      </c>
      <c r="G75" s="13">
        <f t="shared" si="19"/>
        <v>0</v>
      </c>
      <c r="H75" s="13">
        <f t="shared" si="19"/>
        <v>5</v>
      </c>
      <c r="I75" s="13" t="e">
        <f t="shared" si="17"/>
        <v>#NAME?</v>
      </c>
      <c r="J75" s="13" t="e">
        <f t="shared" si="17"/>
        <v>#NAME?</v>
      </c>
      <c r="K75" s="13" t="e">
        <f t="shared" si="17"/>
        <v>#NAME?</v>
      </c>
      <c r="L75" s="13" t="e">
        <f t="shared" si="17"/>
        <v>#NAME?</v>
      </c>
      <c r="M75" t="s">
        <v>3386</v>
      </c>
    </row>
    <row r="76" spans="1:13">
      <c r="A76" s="12" t="s">
        <v>3059</v>
      </c>
      <c r="B76" s="12" t="s">
        <v>3387</v>
      </c>
      <c r="C76" s="13">
        <f t="shared" si="18"/>
        <v>12</v>
      </c>
      <c r="D76" s="13">
        <f t="shared" si="20"/>
        <v>1</v>
      </c>
      <c r="E76" s="13">
        <f t="shared" si="14"/>
        <v>5</v>
      </c>
      <c r="F76" s="13">
        <f t="shared" si="15"/>
        <v>5</v>
      </c>
      <c r="G76" s="13">
        <f t="shared" si="19"/>
        <v>0</v>
      </c>
      <c r="H76" s="13">
        <f t="shared" si="19"/>
        <v>3</v>
      </c>
      <c r="I76" s="13" t="e">
        <f t="shared" si="17"/>
        <v>#NAME?</v>
      </c>
      <c r="J76" s="13" t="e">
        <f t="shared" si="17"/>
        <v>#NAME?</v>
      </c>
      <c r="K76" s="13" t="e">
        <f t="shared" si="17"/>
        <v>#NAME?</v>
      </c>
      <c r="L76" s="13" t="e">
        <f t="shared" si="17"/>
        <v>#NAME?</v>
      </c>
      <c r="M76" t="s">
        <v>3309</v>
      </c>
    </row>
    <row r="77" spans="1:13">
      <c r="A77" s="12" t="s">
        <v>3059</v>
      </c>
      <c r="B77" s="12" t="s">
        <v>3388</v>
      </c>
      <c r="C77" s="13">
        <f t="shared" si="18"/>
        <v>12</v>
      </c>
      <c r="D77" s="13">
        <f t="shared" si="20"/>
        <v>1</v>
      </c>
      <c r="E77" s="13">
        <f t="shared" si="14"/>
        <v>4</v>
      </c>
      <c r="F77" s="13">
        <f t="shared" si="15"/>
        <v>5</v>
      </c>
      <c r="G77" s="13">
        <f t="shared" si="19"/>
        <v>0</v>
      </c>
      <c r="H77" s="13">
        <f t="shared" si="19"/>
        <v>3</v>
      </c>
      <c r="I77" s="13" t="e">
        <f t="shared" si="17"/>
        <v>#NAME?</v>
      </c>
      <c r="J77" s="13" t="e">
        <f t="shared" si="17"/>
        <v>#NAME?</v>
      </c>
      <c r="K77" s="13" t="e">
        <f t="shared" si="17"/>
        <v>#NAME?</v>
      </c>
      <c r="L77" s="13" t="e">
        <f t="shared" si="17"/>
        <v>#NAME?</v>
      </c>
      <c r="M77" t="s">
        <v>3322</v>
      </c>
    </row>
    <row r="78" spans="1:13">
      <c r="A78" s="12" t="s">
        <v>3059</v>
      </c>
      <c r="B78" s="12" t="s">
        <v>3389</v>
      </c>
      <c r="C78" s="13">
        <f t="shared" si="18"/>
        <v>12</v>
      </c>
      <c r="D78" s="13">
        <f t="shared" si="20"/>
        <v>1</v>
      </c>
      <c r="E78" s="13">
        <f t="shared" si="14"/>
        <v>4</v>
      </c>
      <c r="F78" s="13">
        <f t="shared" si="15"/>
        <v>5</v>
      </c>
      <c r="G78" s="13">
        <f t="shared" si="19"/>
        <v>0</v>
      </c>
      <c r="H78" s="13">
        <f t="shared" si="19"/>
        <v>3</v>
      </c>
      <c r="I78" s="13" t="e">
        <f t="shared" si="17"/>
        <v>#NAME?</v>
      </c>
      <c r="J78" s="13" t="e">
        <f t="shared" si="17"/>
        <v>#NAME?</v>
      </c>
      <c r="K78" s="13" t="e">
        <f t="shared" si="17"/>
        <v>#NAME?</v>
      </c>
      <c r="L78" s="13" t="e">
        <f t="shared" si="17"/>
        <v>#NAME?</v>
      </c>
      <c r="M78" t="s">
        <v>3390</v>
      </c>
    </row>
    <row r="79" spans="1:13">
      <c r="A79" s="12" t="s">
        <v>3059</v>
      </c>
      <c r="B79" s="12" t="s">
        <v>3391</v>
      </c>
      <c r="C79" s="13">
        <f t="shared" si="18"/>
        <v>12</v>
      </c>
      <c r="D79" s="13">
        <f t="shared" si="20"/>
        <v>1</v>
      </c>
      <c r="E79" s="13">
        <f t="shared" si="14"/>
        <v>4</v>
      </c>
      <c r="F79" s="13">
        <f t="shared" si="15"/>
        <v>5</v>
      </c>
      <c r="G79" s="13">
        <f t="shared" si="19"/>
        <v>0</v>
      </c>
      <c r="H79" s="13">
        <f t="shared" si="19"/>
        <v>3</v>
      </c>
      <c r="I79" s="13" t="e">
        <f t="shared" si="17"/>
        <v>#NAME?</v>
      </c>
      <c r="J79" s="13" t="e">
        <f t="shared" si="17"/>
        <v>#NAME?</v>
      </c>
      <c r="K79" s="13" t="e">
        <f t="shared" si="17"/>
        <v>#NAME?</v>
      </c>
      <c r="L79" s="13" t="e">
        <f t="shared" si="17"/>
        <v>#NAME?</v>
      </c>
      <c r="M79" t="s">
        <v>3320</v>
      </c>
    </row>
    <row r="80" spans="1:13">
      <c r="A80" s="12" t="s">
        <v>3059</v>
      </c>
      <c r="B80" s="12" t="s">
        <v>3392</v>
      </c>
      <c r="C80" s="13">
        <f t="shared" si="18"/>
        <v>12</v>
      </c>
      <c r="D80" s="13">
        <f t="shared" si="20"/>
        <v>1</v>
      </c>
      <c r="E80" s="13">
        <f t="shared" si="14"/>
        <v>4</v>
      </c>
      <c r="F80" s="13">
        <f t="shared" si="15"/>
        <v>5</v>
      </c>
      <c r="G80" s="13">
        <f t="shared" si="19"/>
        <v>0</v>
      </c>
      <c r="H80" s="13">
        <f t="shared" si="19"/>
        <v>3</v>
      </c>
      <c r="I80" s="13" t="e">
        <f t="shared" si="17"/>
        <v>#NAME?</v>
      </c>
      <c r="J80" s="13" t="e">
        <f t="shared" si="17"/>
        <v>#NAME?</v>
      </c>
      <c r="K80" s="13" t="e">
        <f t="shared" si="17"/>
        <v>#NAME?</v>
      </c>
      <c r="L80" s="13" t="e">
        <f t="shared" si="17"/>
        <v>#NAME?</v>
      </c>
      <c r="M80" t="s">
        <v>3331</v>
      </c>
    </row>
    <row r="81" spans="1:13">
      <c r="A81" s="12" t="s">
        <v>3059</v>
      </c>
      <c r="B81" s="28" t="s">
        <v>3420</v>
      </c>
      <c r="C81" s="13">
        <f t="shared" si="18"/>
        <v>12</v>
      </c>
      <c r="D81" s="13">
        <f t="shared" si="20"/>
        <v>1</v>
      </c>
      <c r="E81" s="13">
        <f t="shared" si="14"/>
        <v>5</v>
      </c>
      <c r="F81" s="13">
        <f t="shared" si="15"/>
        <v>5</v>
      </c>
      <c r="G81" s="13">
        <f t="shared" si="19"/>
        <v>0</v>
      </c>
      <c r="H81" s="13">
        <f t="shared" si="19"/>
        <v>3</v>
      </c>
      <c r="I81" s="13" t="e">
        <f t="shared" si="17"/>
        <v>#NAME?</v>
      </c>
      <c r="J81" s="13" t="e">
        <f t="shared" si="17"/>
        <v>#NAME?</v>
      </c>
      <c r="K81" s="13" t="e">
        <f t="shared" si="17"/>
        <v>#NAME?</v>
      </c>
      <c r="L81" s="13" t="e">
        <f t="shared" si="17"/>
        <v>#NAME?</v>
      </c>
      <c r="M81" t="s">
        <v>3309</v>
      </c>
    </row>
    <row r="82" spans="1:13">
      <c r="A82" s="12" t="s">
        <v>3059</v>
      </c>
      <c r="B82" s="28" t="s">
        <v>3421</v>
      </c>
      <c r="C82" s="13">
        <f t="shared" si="18"/>
        <v>12</v>
      </c>
      <c r="D82" s="13">
        <f t="shared" si="20"/>
        <v>1</v>
      </c>
      <c r="E82" s="13">
        <f t="shared" si="14"/>
        <v>4</v>
      </c>
      <c r="F82" s="13">
        <f t="shared" si="15"/>
        <v>5</v>
      </c>
      <c r="G82" s="13">
        <f t="shared" si="19"/>
        <v>0</v>
      </c>
      <c r="H82" s="13">
        <f t="shared" si="19"/>
        <v>3</v>
      </c>
      <c r="I82" s="13" t="e">
        <f t="shared" si="17"/>
        <v>#NAME?</v>
      </c>
      <c r="J82" s="13" t="e">
        <f t="shared" si="17"/>
        <v>#NAME?</v>
      </c>
      <c r="K82" s="13" t="e">
        <f t="shared" si="17"/>
        <v>#NAME?</v>
      </c>
      <c r="L82" s="13" t="e">
        <f t="shared" si="17"/>
        <v>#NAME?</v>
      </c>
      <c r="M82" t="s">
        <v>3320</v>
      </c>
    </row>
    <row r="83" spans="1:13">
      <c r="A83" s="12" t="s">
        <v>3059</v>
      </c>
      <c r="B83" s="28" t="s">
        <v>3422</v>
      </c>
      <c r="C83" s="13">
        <f t="shared" si="18"/>
        <v>12</v>
      </c>
      <c r="D83" s="13">
        <f t="shared" si="20"/>
        <v>1</v>
      </c>
      <c r="E83" s="13">
        <f t="shared" si="14"/>
        <v>4</v>
      </c>
      <c r="F83" s="13">
        <f t="shared" si="15"/>
        <v>5</v>
      </c>
      <c r="G83" s="13">
        <f t="shared" si="19"/>
        <v>0</v>
      </c>
      <c r="H83" s="13">
        <f t="shared" si="19"/>
        <v>3</v>
      </c>
      <c r="I83" s="13" t="e">
        <f t="shared" si="17"/>
        <v>#NAME?</v>
      </c>
      <c r="J83" s="13" t="e">
        <f t="shared" si="17"/>
        <v>#NAME?</v>
      </c>
      <c r="K83" s="13" t="e">
        <f t="shared" si="17"/>
        <v>#NAME?</v>
      </c>
      <c r="L83" s="13" t="e">
        <f t="shared" si="17"/>
        <v>#NAME?</v>
      </c>
      <c r="M83" t="s">
        <v>3393</v>
      </c>
    </row>
    <row r="84" spans="1:13">
      <c r="A84" s="12" t="s">
        <v>3059</v>
      </c>
      <c r="B84" s="12" t="s">
        <v>3394</v>
      </c>
      <c r="C84" s="13">
        <f t="shared" si="18"/>
        <v>12</v>
      </c>
      <c r="D84" s="13">
        <f t="shared" si="20"/>
        <v>1</v>
      </c>
      <c r="E84" s="13">
        <f t="shared" si="14"/>
        <v>4</v>
      </c>
      <c r="F84" s="13">
        <f t="shared" si="15"/>
        <v>5</v>
      </c>
      <c r="G84" s="13">
        <f t="shared" si="19"/>
        <v>0</v>
      </c>
      <c r="H84" s="13">
        <f t="shared" si="19"/>
        <v>3</v>
      </c>
      <c r="I84" s="13" t="e">
        <f t="shared" si="17"/>
        <v>#NAME?</v>
      </c>
      <c r="J84" s="13" t="e">
        <f t="shared" si="17"/>
        <v>#NAME?</v>
      </c>
      <c r="K84" s="13" t="e">
        <f t="shared" si="17"/>
        <v>#NAME?</v>
      </c>
      <c r="L84" s="13" t="e">
        <f t="shared" si="17"/>
        <v>#NAME?</v>
      </c>
      <c r="M84" t="s">
        <v>3336</v>
      </c>
    </row>
    <row r="85" spans="1:13">
      <c r="A85" s="12" t="s">
        <v>3060</v>
      </c>
      <c r="B85" s="12" t="s">
        <v>3395</v>
      </c>
      <c r="C85" s="13">
        <f t="shared" si="18"/>
        <v>14</v>
      </c>
      <c r="D85" s="13">
        <f t="shared" si="20"/>
        <v>0</v>
      </c>
      <c r="E85" s="13">
        <f t="shared" si="14"/>
        <v>5</v>
      </c>
      <c r="F85" s="13">
        <f t="shared" si="15"/>
        <v>5</v>
      </c>
      <c r="G85" s="13">
        <f t="shared" si="19"/>
        <v>0</v>
      </c>
      <c r="H85" s="13">
        <f t="shared" si="19"/>
        <v>1</v>
      </c>
      <c r="I85" s="13" t="e">
        <f t="shared" si="17"/>
        <v>#NAME?</v>
      </c>
      <c r="J85" s="13" t="e">
        <f t="shared" si="17"/>
        <v>#NAME?</v>
      </c>
      <c r="K85" s="13" t="e">
        <f t="shared" si="17"/>
        <v>#NAME?</v>
      </c>
      <c r="L85" s="13" t="e">
        <f t="shared" si="17"/>
        <v>#NAME?</v>
      </c>
      <c r="M85" t="s">
        <v>3340</v>
      </c>
    </row>
    <row r="86" spans="1:13">
      <c r="A86" s="12" t="s">
        <v>3060</v>
      </c>
      <c r="B86" s="28" t="s">
        <v>3423</v>
      </c>
      <c r="C86" s="13">
        <f t="shared" si="18"/>
        <v>14</v>
      </c>
      <c r="D86" s="13">
        <f t="shared" si="20"/>
        <v>0</v>
      </c>
      <c r="E86" s="13">
        <f t="shared" ref="E86:E97" si="21">VLOOKUP($A86,$A$3:$L$20,COLUMN(),0)+IFERROR(SEARCH("Balanced",M86)*0+1,0)</f>
        <v>6</v>
      </c>
      <c r="F86" s="13">
        <f t="shared" ref="F86:F97" si="22">VLOOKUP($A86,$A$3:$L$20,COLUMN(),0)</f>
        <v>5</v>
      </c>
      <c r="G86" s="13">
        <f t="shared" si="19"/>
        <v>0</v>
      </c>
      <c r="H86" s="13">
        <f t="shared" si="19"/>
        <v>1</v>
      </c>
      <c r="I86" s="13" t="e">
        <f t="shared" si="17"/>
        <v>#NAME?</v>
      </c>
      <c r="J86" s="13" t="e">
        <f t="shared" si="17"/>
        <v>#NAME?</v>
      </c>
      <c r="K86" s="13" t="e">
        <f t="shared" si="17"/>
        <v>#NAME?</v>
      </c>
      <c r="L86" s="13" t="e">
        <f t="shared" si="17"/>
        <v>#NAME?</v>
      </c>
      <c r="M86" t="s">
        <v>3339</v>
      </c>
    </row>
    <row r="87" spans="1:13">
      <c r="A87" s="12" t="s">
        <v>3060</v>
      </c>
      <c r="B87" s="28" t="s">
        <v>3424</v>
      </c>
      <c r="C87" s="13">
        <f t="shared" si="18"/>
        <v>14</v>
      </c>
      <c r="D87" s="13">
        <f t="shared" si="20"/>
        <v>0</v>
      </c>
      <c r="E87" s="13">
        <f t="shared" si="21"/>
        <v>5</v>
      </c>
      <c r="F87" s="13">
        <f t="shared" si="22"/>
        <v>5</v>
      </c>
      <c r="G87" s="13">
        <f t="shared" si="19"/>
        <v>0</v>
      </c>
      <c r="H87" s="13">
        <f t="shared" si="19"/>
        <v>1</v>
      </c>
      <c r="I87" s="13" t="e">
        <f t="shared" si="17"/>
        <v>#NAME?</v>
      </c>
      <c r="J87" s="13" t="e">
        <f t="shared" si="17"/>
        <v>#NAME?</v>
      </c>
      <c r="K87" s="13" t="e">
        <f t="shared" si="17"/>
        <v>#NAME?</v>
      </c>
      <c r="L87" s="13" t="e">
        <f t="shared" si="17"/>
        <v>#NAME?</v>
      </c>
      <c r="M87" t="s">
        <v>3343</v>
      </c>
    </row>
    <row r="88" spans="1:13">
      <c r="A88" s="12" t="s">
        <v>3060</v>
      </c>
      <c r="B88" s="28" t="s">
        <v>3425</v>
      </c>
      <c r="C88" s="13">
        <f t="shared" si="18"/>
        <v>14</v>
      </c>
      <c r="D88" s="13">
        <f t="shared" si="20"/>
        <v>0</v>
      </c>
      <c r="E88" s="13">
        <f t="shared" si="21"/>
        <v>5</v>
      </c>
      <c r="F88" s="13">
        <f t="shared" si="22"/>
        <v>5</v>
      </c>
      <c r="G88" s="13">
        <f t="shared" si="19"/>
        <v>0</v>
      </c>
      <c r="H88" s="13">
        <f t="shared" si="19"/>
        <v>1</v>
      </c>
      <c r="I88" s="13" t="e">
        <f t="shared" si="17"/>
        <v>#NAME?</v>
      </c>
      <c r="J88" s="13" t="e">
        <f t="shared" si="17"/>
        <v>#NAME?</v>
      </c>
      <c r="K88" s="13" t="e">
        <f t="shared" si="17"/>
        <v>#NAME?</v>
      </c>
      <c r="L88" s="13" t="e">
        <f t="shared" si="17"/>
        <v>#NAME?</v>
      </c>
      <c r="M88" t="s">
        <v>3337</v>
      </c>
    </row>
    <row r="89" spans="1:13">
      <c r="A89" s="12" t="s">
        <v>3060</v>
      </c>
      <c r="B89" s="28" t="s">
        <v>3396</v>
      </c>
      <c r="C89" s="13">
        <f t="shared" si="18"/>
        <v>14</v>
      </c>
      <c r="D89" s="13">
        <f t="shared" si="20"/>
        <v>0</v>
      </c>
      <c r="E89" s="13">
        <f t="shared" si="21"/>
        <v>5</v>
      </c>
      <c r="F89" s="13">
        <f t="shared" si="22"/>
        <v>5</v>
      </c>
      <c r="G89" s="13">
        <f t="shared" si="19"/>
        <v>0</v>
      </c>
      <c r="H89" s="13">
        <f t="shared" si="19"/>
        <v>1</v>
      </c>
      <c r="I89" s="13" t="e">
        <f t="shared" si="17"/>
        <v>#NAME?</v>
      </c>
      <c r="J89" s="13" t="e">
        <f t="shared" si="17"/>
        <v>#NAME?</v>
      </c>
      <c r="K89" s="13" t="e">
        <f t="shared" si="17"/>
        <v>#NAME?</v>
      </c>
      <c r="L89" s="13" t="e">
        <f t="shared" si="17"/>
        <v>#NAME?</v>
      </c>
      <c r="M89" t="s">
        <v>3397</v>
      </c>
    </row>
    <row r="90" spans="1:13">
      <c r="A90" s="12" t="s">
        <v>168</v>
      </c>
      <c r="B90" s="28" t="s">
        <v>3426</v>
      </c>
      <c r="C90" s="13">
        <f t="shared" si="18"/>
        <v>10</v>
      </c>
      <c r="D90" s="13" t="e">
        <f t="shared" si="20"/>
        <v>#NAME?</v>
      </c>
      <c r="E90" s="13">
        <f t="shared" si="21"/>
        <v>3</v>
      </c>
      <c r="F90" s="13">
        <f t="shared" si="22"/>
        <v>5</v>
      </c>
      <c r="G90" s="13">
        <f t="shared" si="19"/>
        <v>0</v>
      </c>
      <c r="H90" s="13">
        <f t="shared" si="19"/>
        <v>5</v>
      </c>
      <c r="I90" s="13">
        <f t="shared" si="17"/>
        <v>4</v>
      </c>
      <c r="J90" s="13">
        <f t="shared" si="17"/>
        <v>3</v>
      </c>
      <c r="K90" s="13">
        <f t="shared" si="17"/>
        <v>0</v>
      </c>
      <c r="L90" s="13">
        <f t="shared" si="17"/>
        <v>-2</v>
      </c>
      <c r="M90" t="s">
        <v>3398</v>
      </c>
    </row>
    <row r="91" spans="1:13">
      <c r="A91" s="12" t="s">
        <v>168</v>
      </c>
      <c r="B91" s="28" t="s">
        <v>3427</v>
      </c>
      <c r="C91" s="13">
        <f t="shared" si="18"/>
        <v>10</v>
      </c>
      <c r="D91" s="13" t="e">
        <f t="shared" si="20"/>
        <v>#NAME?</v>
      </c>
      <c r="E91" s="13">
        <f t="shared" si="21"/>
        <v>3</v>
      </c>
      <c r="F91" s="13">
        <f t="shared" si="22"/>
        <v>5</v>
      </c>
      <c r="G91" s="13">
        <f t="shared" si="19"/>
        <v>0</v>
      </c>
      <c r="H91" s="13">
        <f t="shared" si="19"/>
        <v>5</v>
      </c>
      <c r="I91" s="13">
        <f t="shared" si="17"/>
        <v>4</v>
      </c>
      <c r="J91" s="13">
        <f t="shared" si="17"/>
        <v>3</v>
      </c>
      <c r="K91" s="13">
        <f t="shared" si="17"/>
        <v>0</v>
      </c>
      <c r="L91" s="13">
        <f t="shared" si="17"/>
        <v>-2</v>
      </c>
      <c r="M91" t="s">
        <v>3399</v>
      </c>
    </row>
    <row r="92" spans="1:13">
      <c r="A92" s="12" t="s">
        <v>169</v>
      </c>
      <c r="B92" s="28" t="s">
        <v>3428</v>
      </c>
      <c r="C92" s="13">
        <f t="shared" si="18"/>
        <v>12</v>
      </c>
      <c r="D92" s="13" t="e">
        <f t="shared" si="20"/>
        <v>#NAME?</v>
      </c>
      <c r="E92" s="13">
        <f t="shared" si="21"/>
        <v>4</v>
      </c>
      <c r="F92" s="13">
        <f t="shared" si="22"/>
        <v>5</v>
      </c>
      <c r="G92" s="13">
        <f t="shared" si="19"/>
        <v>0</v>
      </c>
      <c r="H92" s="13">
        <f t="shared" si="19"/>
        <v>5</v>
      </c>
      <c r="I92" s="13">
        <f t="shared" si="17"/>
        <v>4</v>
      </c>
      <c r="J92" s="13">
        <f t="shared" si="17"/>
        <v>3</v>
      </c>
      <c r="K92" s="13">
        <f t="shared" si="17"/>
        <v>0</v>
      </c>
      <c r="L92" s="13">
        <f t="shared" si="17"/>
        <v>-2</v>
      </c>
      <c r="M92" t="s">
        <v>3400</v>
      </c>
    </row>
    <row r="93" spans="1:13">
      <c r="A93" s="12" t="s">
        <v>169</v>
      </c>
      <c r="B93" s="12" t="s">
        <v>3401</v>
      </c>
      <c r="C93" s="13">
        <f t="shared" si="18"/>
        <v>12</v>
      </c>
      <c r="D93" s="13" t="e">
        <f t="shared" si="20"/>
        <v>#NAME?</v>
      </c>
      <c r="E93" s="13">
        <f t="shared" si="21"/>
        <v>4</v>
      </c>
      <c r="F93" s="13">
        <f t="shared" si="22"/>
        <v>5</v>
      </c>
      <c r="G93" s="13">
        <f t="shared" si="19"/>
        <v>0</v>
      </c>
      <c r="H93" s="13">
        <f t="shared" si="19"/>
        <v>5</v>
      </c>
      <c r="I93" s="13">
        <f t="shared" si="17"/>
        <v>4</v>
      </c>
      <c r="J93" s="13">
        <f t="shared" si="17"/>
        <v>3</v>
      </c>
      <c r="K93" s="13">
        <f t="shared" si="17"/>
        <v>0</v>
      </c>
      <c r="L93" s="13">
        <f t="shared" si="17"/>
        <v>-2</v>
      </c>
      <c r="M93" t="s">
        <v>3402</v>
      </c>
    </row>
    <row r="94" spans="1:13">
      <c r="A94" s="12" t="s">
        <v>171</v>
      </c>
      <c r="B94" s="28" t="s">
        <v>3429</v>
      </c>
      <c r="C94" s="13">
        <f t="shared" si="18"/>
        <v>10</v>
      </c>
      <c r="D94" s="13" t="e">
        <f t="shared" si="20"/>
        <v>#NAME?</v>
      </c>
      <c r="E94" s="13">
        <f t="shared" si="21"/>
        <v>3</v>
      </c>
      <c r="F94" s="13">
        <f t="shared" si="22"/>
        <v>5</v>
      </c>
      <c r="G94" s="13">
        <f t="shared" si="19"/>
        <v>0</v>
      </c>
      <c r="H94" s="13">
        <f t="shared" si="19"/>
        <v>-1</v>
      </c>
      <c r="I94" s="13">
        <f t="shared" si="17"/>
        <v>5</v>
      </c>
      <c r="J94" s="13">
        <f t="shared" si="17"/>
        <v>3</v>
      </c>
      <c r="K94" s="13">
        <f t="shared" si="17"/>
        <v>1</v>
      </c>
      <c r="L94" s="13">
        <f t="shared" si="17"/>
        <v>-1</v>
      </c>
      <c r="M94" t="s">
        <v>3359</v>
      </c>
    </row>
    <row r="95" spans="1:13">
      <c r="A95" s="12" t="s">
        <v>172</v>
      </c>
      <c r="B95" s="12" t="s">
        <v>3403</v>
      </c>
      <c r="C95" s="13">
        <f t="shared" si="18"/>
        <v>12</v>
      </c>
      <c r="D95" s="13" t="e">
        <f t="shared" si="20"/>
        <v>#NAME?</v>
      </c>
      <c r="E95" s="13">
        <f t="shared" si="21"/>
        <v>4</v>
      </c>
      <c r="F95" s="13">
        <f t="shared" si="22"/>
        <v>5</v>
      </c>
      <c r="G95" s="13">
        <f t="shared" si="19"/>
        <v>0</v>
      </c>
      <c r="H95" s="13">
        <f t="shared" si="19"/>
        <v>-1</v>
      </c>
      <c r="I95" s="13">
        <f t="shared" si="17"/>
        <v>5</v>
      </c>
      <c r="J95" s="13">
        <f t="shared" si="17"/>
        <v>3</v>
      </c>
      <c r="K95" s="13">
        <f t="shared" si="17"/>
        <v>1</v>
      </c>
      <c r="L95" s="13">
        <f t="shared" si="17"/>
        <v>-1</v>
      </c>
      <c r="M95" t="s">
        <v>3365</v>
      </c>
    </row>
    <row r="96" spans="1:13">
      <c r="A96" s="12" t="s">
        <v>172</v>
      </c>
      <c r="B96" s="28" t="s">
        <v>3430</v>
      </c>
      <c r="C96" s="46" t="s">
        <v>3404</v>
      </c>
      <c r="D96" s="13" t="e">
        <f t="shared" si="20"/>
        <v>#NAME?</v>
      </c>
      <c r="E96" s="13">
        <f t="shared" si="21"/>
        <v>4</v>
      </c>
      <c r="F96" s="13">
        <f t="shared" si="22"/>
        <v>5</v>
      </c>
      <c r="G96" s="13">
        <f t="shared" si="19"/>
        <v>0</v>
      </c>
      <c r="H96" s="13">
        <f t="shared" si="19"/>
        <v>-1</v>
      </c>
      <c r="I96" s="13">
        <f t="shared" si="17"/>
        <v>5</v>
      </c>
      <c r="J96" s="13">
        <f t="shared" si="17"/>
        <v>3</v>
      </c>
      <c r="K96" s="13">
        <f t="shared" si="17"/>
        <v>1</v>
      </c>
      <c r="L96" s="13">
        <f t="shared" si="17"/>
        <v>-1</v>
      </c>
      <c r="M96" t="s">
        <v>3361</v>
      </c>
    </row>
    <row r="97" spans="1:13">
      <c r="A97" s="12" t="s">
        <v>173</v>
      </c>
      <c r="B97" s="28" t="s">
        <v>3431</v>
      </c>
      <c r="C97" s="46" t="s">
        <v>3405</v>
      </c>
      <c r="D97" s="13" t="e">
        <f t="shared" si="20"/>
        <v>#NAME?</v>
      </c>
      <c r="E97" s="13">
        <f t="shared" si="21"/>
        <v>5</v>
      </c>
      <c r="F97" s="13">
        <f t="shared" si="22"/>
        <v>5</v>
      </c>
      <c r="G97" s="13">
        <f t="shared" si="19"/>
        <v>0</v>
      </c>
      <c r="H97" s="13">
        <v>1</v>
      </c>
      <c r="I97" s="13">
        <f t="shared" si="17"/>
        <v>5</v>
      </c>
      <c r="J97" s="13">
        <f t="shared" si="17"/>
        <v>3</v>
      </c>
      <c r="K97" s="13">
        <f t="shared" si="17"/>
        <v>1</v>
      </c>
      <c r="L97" s="13">
        <f t="shared" si="17"/>
        <v>-1</v>
      </c>
      <c r="M97" t="s">
        <v>3367</v>
      </c>
    </row>
    <row r="98" spans="1:13">
      <c r="A98" s="12"/>
      <c r="B98" s="12"/>
      <c r="C98" s="13"/>
      <c r="D98" s="13"/>
      <c r="E98" s="13"/>
      <c r="F98" s="13"/>
      <c r="G98" s="13"/>
      <c r="H98" s="13"/>
      <c r="I98" s="13"/>
      <c r="J98" s="13"/>
      <c r="K98" s="13"/>
      <c r="L98" s="13"/>
    </row>
    <row r="100" spans="1:13">
      <c r="A100" s="18" t="s">
        <v>106</v>
      </c>
    </row>
    <row r="101" spans="1:13">
      <c r="A101" s="72" t="s">
        <v>3452</v>
      </c>
    </row>
    <row r="102" spans="1:13">
      <c r="A102" t="s">
        <v>20</v>
      </c>
    </row>
    <row r="103" spans="1:13">
      <c r="A103" t="s">
        <v>24</v>
      </c>
    </row>
    <row r="104" spans="1:13">
      <c r="A104" t="s">
        <v>37</v>
      </c>
    </row>
    <row r="105" spans="1:13">
      <c r="A105" t="s">
        <v>39</v>
      </c>
    </row>
    <row r="106" spans="1:13">
      <c r="A106" t="s">
        <v>57</v>
      </c>
    </row>
    <row r="107" spans="1:13">
      <c r="A107">
        <f>Values!F53</f>
        <v>0</v>
      </c>
      <c r="B107" s="19" t="s">
        <v>3156</v>
      </c>
    </row>
    <row r="108" spans="1:13">
      <c r="A108">
        <f>Values!F54</f>
        <v>0</v>
      </c>
      <c r="B108" s="19" t="str">
        <f>B107</f>
        <v>=&gt; additional ability to enter in "Creation_1" if any.</v>
      </c>
    </row>
    <row r="109" spans="1:13">
      <c r="A109">
        <f>Values!F55</f>
        <v>0</v>
      </c>
      <c r="B109" s="19" t="str">
        <f>B107</f>
        <v>=&gt; additional ability to enter in "Creation_1" if any.</v>
      </c>
    </row>
    <row r="110" spans="1:13">
      <c r="A110">
        <f>Values!F56</f>
        <v>0</v>
      </c>
      <c r="B110" s="19" t="str">
        <f>B107</f>
        <v>=&gt; additional ability to enter in "Creation_1" if any.</v>
      </c>
    </row>
    <row r="111" spans="1:13">
      <c r="A111">
        <f>Values!F57</f>
        <v>0</v>
      </c>
      <c r="B111" s="19" t="str">
        <f>B107</f>
        <v>=&gt; additional ability to enter in "Creation_1" if any.</v>
      </c>
    </row>
    <row r="112" spans="1:13">
      <c r="A112">
        <f>Values!F58</f>
        <v>0</v>
      </c>
      <c r="B112" s="19" t="str">
        <f>B107</f>
        <v>=&gt; additional ability to enter in "Creation_1" if any.</v>
      </c>
    </row>
    <row r="113" spans="1:1">
      <c r="A113" s="39" t="s">
        <v>3453</v>
      </c>
    </row>
    <row r="114" spans="1:1">
      <c r="A114" t="s">
        <v>22</v>
      </c>
    </row>
    <row r="115" spans="1:1">
      <c r="A115" t="s">
        <v>23</v>
      </c>
    </row>
    <row r="116" spans="1:1">
      <c r="A116" t="s">
        <v>25</v>
      </c>
    </row>
    <row r="117" spans="1:1">
      <c r="A117" t="s">
        <v>26</v>
      </c>
    </row>
    <row r="118" spans="1:1">
      <c r="A118" t="s">
        <v>27</v>
      </c>
    </row>
    <row r="119" spans="1:1">
      <c r="A119" t="s">
        <v>28</v>
      </c>
    </row>
    <row r="120" spans="1:1">
      <c r="A120" t="s">
        <v>29</v>
      </c>
    </row>
    <row r="121" spans="1:1">
      <c r="A121" t="s">
        <v>30</v>
      </c>
    </row>
    <row r="122" spans="1:1">
      <c r="A122" t="s">
        <v>31</v>
      </c>
    </row>
    <row r="123" spans="1:1">
      <c r="A123" t="s">
        <v>34</v>
      </c>
    </row>
    <row r="124" spans="1:1">
      <c r="A124" t="s">
        <v>38</v>
      </c>
    </row>
    <row r="125" spans="1:1">
      <c r="A125" t="s">
        <v>42</v>
      </c>
    </row>
    <row r="126" spans="1:1">
      <c r="A126" t="s">
        <v>43</v>
      </c>
    </row>
    <row r="127" spans="1:1">
      <c r="A127" t="s">
        <v>44</v>
      </c>
    </row>
    <row r="128" spans="1:1">
      <c r="A128" t="s">
        <v>45</v>
      </c>
    </row>
    <row r="129" spans="1:1">
      <c r="A129" t="s">
        <v>46</v>
      </c>
    </row>
    <row r="130" spans="1:1">
      <c r="A130" t="s">
        <v>47</v>
      </c>
    </row>
    <row r="131" spans="1:1">
      <c r="A131" t="s">
        <v>50</v>
      </c>
    </row>
    <row r="132" spans="1:1">
      <c r="A132" t="s">
        <v>51</v>
      </c>
    </row>
    <row r="133" spans="1:1">
      <c r="A133" t="s">
        <v>56</v>
      </c>
    </row>
    <row r="134" spans="1:1">
      <c r="A134" t="s">
        <v>59</v>
      </c>
    </row>
    <row r="137" spans="1:1">
      <c r="A137" s="18" t="s">
        <v>3288</v>
      </c>
    </row>
    <row r="138" spans="1:1">
      <c r="A138" s="18" t="s">
        <v>3289</v>
      </c>
    </row>
    <row r="139" spans="1:1">
      <c r="A139" s="18" t="s">
        <v>3290</v>
      </c>
    </row>
    <row r="141" spans="1:1">
      <c r="A141" t="s">
        <v>5</v>
      </c>
    </row>
    <row r="142" spans="1:1">
      <c r="A142" t="s">
        <v>3454</v>
      </c>
    </row>
    <row r="143" spans="1:1">
      <c r="A143" t="s">
        <v>3455</v>
      </c>
    </row>
    <row r="144" spans="1:1">
      <c r="A144" t="s">
        <v>3082</v>
      </c>
    </row>
    <row r="145" spans="1:1">
      <c r="A145" t="s">
        <v>3456</v>
      </c>
    </row>
    <row r="146" spans="1:1">
      <c r="A146" t="s">
        <v>3457</v>
      </c>
    </row>
    <row r="147" spans="1:1">
      <c r="A147" t="s">
        <v>3458</v>
      </c>
    </row>
    <row r="148" spans="1:1">
      <c r="A148" t="s">
        <v>3459</v>
      </c>
    </row>
    <row r="149" spans="1:1">
      <c r="A149" t="s">
        <v>3460</v>
      </c>
    </row>
    <row r="150" spans="1:1">
      <c r="A150" t="s">
        <v>3461</v>
      </c>
    </row>
  </sheetData>
  <pageMargins left="0.39370078740157505" right="0.39370078740157505" top="0.78740157480315009" bottom="0.78740157480315009" header="0.39370078740157505" footer="0.39370078740157505"/>
  <pageSetup paperSize="0" fitToWidth="0" fitToHeight="0" pageOrder="overThenDown" useFirstPageNumber="1" horizontalDpi="0" verticalDpi="0" copies="0"/>
  <headerFooter alignWithMargins="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Feuil6"/>
  <dimension ref="A1:E25"/>
  <sheetViews>
    <sheetView workbookViewId="0">
      <selection activeCell="B2" sqref="B2:E25"/>
    </sheetView>
  </sheetViews>
  <sheetFormatPr baseColWidth="10" defaultRowHeight="14.25"/>
  <cols>
    <col min="2" max="2" width="24.375" bestFit="1" customWidth="1"/>
    <col min="3" max="3" width="14" bestFit="1" customWidth="1"/>
  </cols>
  <sheetData>
    <row r="1" spans="1:5" ht="28.5">
      <c r="C1" s="225" t="s">
        <v>7344</v>
      </c>
      <c r="E1" s="18" t="s">
        <v>7345</v>
      </c>
    </row>
    <row r="2" spans="1:5">
      <c r="A2" t="s">
        <v>1417</v>
      </c>
      <c r="B2" t="s">
        <v>1418</v>
      </c>
      <c r="D2" s="18" t="s">
        <v>3913</v>
      </c>
    </row>
    <row r="3" spans="1:5">
      <c r="B3" t="s">
        <v>93</v>
      </c>
      <c r="C3" s="18" t="s">
        <v>93</v>
      </c>
      <c r="D3" s="18" t="s">
        <v>1444</v>
      </c>
      <c r="E3" s="18" t="s">
        <v>93</v>
      </c>
    </row>
    <row r="4" spans="1:5">
      <c r="B4" s="19" t="s">
        <v>3548</v>
      </c>
    </row>
    <row r="5" spans="1:5">
      <c r="B5" t="s">
        <v>197</v>
      </c>
      <c r="C5" s="18" t="str">
        <f>Crea_Pts_xp!$B$1</f>
        <v>Solar Exalted</v>
      </c>
      <c r="D5" s="18" t="s">
        <v>106</v>
      </c>
      <c r="E5" s="18" t="s">
        <v>3238</v>
      </c>
    </row>
    <row r="6" spans="1:5">
      <c r="B6" t="s">
        <v>198</v>
      </c>
      <c r="C6" s="18" t="str">
        <f>Crea_Pts_xp!$B$1</f>
        <v>Solar Exalted</v>
      </c>
      <c r="D6" s="18" t="s">
        <v>106</v>
      </c>
      <c r="E6" s="18" t="s">
        <v>3238</v>
      </c>
    </row>
    <row r="7" spans="1:5">
      <c r="B7" t="s">
        <v>199</v>
      </c>
      <c r="C7" s="18" t="str">
        <f>Crea_Pts_xp!$B$1</f>
        <v>Solar Exalted</v>
      </c>
      <c r="D7" s="18" t="s">
        <v>106</v>
      </c>
      <c r="E7" s="18" t="s">
        <v>3238</v>
      </c>
    </row>
    <row r="8" spans="1:5">
      <c r="B8" t="s">
        <v>200</v>
      </c>
      <c r="C8" s="18" t="str">
        <f>Crea_Pts_xp!$B$1</f>
        <v>Solar Exalted</v>
      </c>
      <c r="D8" s="18" t="s">
        <v>106</v>
      </c>
      <c r="E8" s="18" t="s">
        <v>3238</v>
      </c>
    </row>
    <row r="9" spans="1:5">
      <c r="B9" t="s">
        <v>201</v>
      </c>
      <c r="C9" s="18" t="str">
        <f>Crea_Pts_xp!$B$1</f>
        <v>Solar Exalted</v>
      </c>
      <c r="D9" s="18" t="s">
        <v>106</v>
      </c>
      <c r="E9" s="18" t="s">
        <v>3238</v>
      </c>
    </row>
    <row r="10" spans="1:5">
      <c r="B10" s="19" t="s">
        <v>3549</v>
      </c>
    </row>
    <row r="11" spans="1:5">
      <c r="B11" s="18" t="s">
        <v>3550</v>
      </c>
      <c r="C11" s="18" t="str">
        <f>Crea_Pts_xp!$D$1</f>
        <v>Dragon Blooded</v>
      </c>
      <c r="D11" s="18" t="s">
        <v>106</v>
      </c>
      <c r="E11" s="18" t="str">
        <f>Crea_Pts_xp!$D$1</f>
        <v>Dragon Blooded</v>
      </c>
    </row>
    <row r="12" spans="1:5">
      <c r="B12" s="18" t="s">
        <v>3551</v>
      </c>
      <c r="C12" s="18" t="str">
        <f>Crea_Pts_xp!$D$1</f>
        <v>Dragon Blooded</v>
      </c>
      <c r="D12" s="18" t="s">
        <v>106</v>
      </c>
      <c r="E12" s="18" t="str">
        <f>Crea_Pts_xp!$D$1</f>
        <v>Dragon Blooded</v>
      </c>
    </row>
    <row r="13" spans="1:5">
      <c r="B13" s="18" t="s">
        <v>3552</v>
      </c>
      <c r="C13" s="18" t="str">
        <f>Crea_Pts_xp!$D$1</f>
        <v>Dragon Blooded</v>
      </c>
      <c r="D13" s="18" t="s">
        <v>106</v>
      </c>
      <c r="E13" s="18" t="str">
        <f>Crea_Pts_xp!$D$1</f>
        <v>Dragon Blooded</v>
      </c>
    </row>
    <row r="14" spans="1:5">
      <c r="B14" s="18" t="s">
        <v>3553</v>
      </c>
      <c r="C14" s="18" t="str">
        <f>Crea_Pts_xp!$D$1</f>
        <v>Dragon Blooded</v>
      </c>
      <c r="D14" s="18" t="s">
        <v>106</v>
      </c>
      <c r="E14" s="18" t="str">
        <f>Crea_Pts_xp!$D$1</f>
        <v>Dragon Blooded</v>
      </c>
    </row>
    <row r="15" spans="1:5">
      <c r="B15" s="18" t="s">
        <v>3554</v>
      </c>
      <c r="C15" s="18" t="str">
        <f>Crea_Pts_xp!$D$1</f>
        <v>Dragon Blooded</v>
      </c>
      <c r="D15" s="18" t="s">
        <v>106</v>
      </c>
      <c r="E15" s="18" t="str">
        <f>Crea_Pts_xp!$D$1</f>
        <v>Dragon Blooded</v>
      </c>
    </row>
    <row r="16" spans="1:5">
      <c r="B16" s="18" t="s">
        <v>3570</v>
      </c>
      <c r="C16" s="18" t="str">
        <f>Crea_Pts_xp!$E$1</f>
        <v>Just Hatched</v>
      </c>
      <c r="D16" s="18" t="s">
        <v>106</v>
      </c>
      <c r="E16" s="18" t="str">
        <f>Crea_Pts_xp!$D$1</f>
        <v>Dragon Blooded</v>
      </c>
    </row>
    <row r="17" spans="2:5">
      <c r="B17" s="18" t="s">
        <v>3571</v>
      </c>
      <c r="C17" s="18" t="str">
        <f>Crea_Pts_xp!$E$1</f>
        <v>Just Hatched</v>
      </c>
      <c r="D17" s="18" t="s">
        <v>106</v>
      </c>
      <c r="E17" s="18" t="str">
        <f>Crea_Pts_xp!$D$1</f>
        <v>Dragon Blooded</v>
      </c>
    </row>
    <row r="18" spans="2:5">
      <c r="B18" s="18" t="s">
        <v>3572</v>
      </c>
      <c r="C18" s="18" t="str">
        <f>Crea_Pts_xp!$E$1</f>
        <v>Just Hatched</v>
      </c>
      <c r="D18" s="18" t="s">
        <v>106</v>
      </c>
      <c r="E18" s="18" t="str">
        <f>Crea_Pts_xp!$D$1</f>
        <v>Dragon Blooded</v>
      </c>
    </row>
    <row r="19" spans="2:5">
      <c r="B19" s="18" t="s">
        <v>3573</v>
      </c>
      <c r="C19" s="18" t="str">
        <f>Crea_Pts_xp!$E$1</f>
        <v>Just Hatched</v>
      </c>
      <c r="D19" s="18" t="s">
        <v>106</v>
      </c>
      <c r="E19" s="18" t="str">
        <f>Crea_Pts_xp!$D$1</f>
        <v>Dragon Blooded</v>
      </c>
    </row>
    <row r="20" spans="2:5">
      <c r="B20" s="18" t="s">
        <v>3574</v>
      </c>
      <c r="C20" s="18" t="str">
        <f>Crea_Pts_xp!$E$1</f>
        <v>Just Hatched</v>
      </c>
      <c r="D20" s="18" t="s">
        <v>106</v>
      </c>
      <c r="E20" s="18" t="str">
        <f>Crea_Pts_xp!$D$1</f>
        <v>Dragon Blooded</v>
      </c>
    </row>
    <row r="21" spans="2:5">
      <c r="B21" s="19" t="s">
        <v>3555</v>
      </c>
    </row>
    <row r="22" spans="2:5">
      <c r="B22" s="18" t="s">
        <v>3556</v>
      </c>
      <c r="C22" s="18" t="str">
        <f>Crea_Pts_xp!$F$1</f>
        <v>Lunar</v>
      </c>
      <c r="D22" s="18" t="s">
        <v>96</v>
      </c>
      <c r="E22" s="18" t="str">
        <f>Crea_Pts_xp!$F$1</f>
        <v>Lunar</v>
      </c>
    </row>
    <row r="23" spans="2:5">
      <c r="B23" s="18" t="s">
        <v>3557</v>
      </c>
      <c r="C23" s="18" t="str">
        <f>Crea_Pts_xp!$F$1</f>
        <v>Lunar</v>
      </c>
      <c r="D23" s="18" t="s">
        <v>96</v>
      </c>
      <c r="E23" s="18" t="str">
        <f>Crea_Pts_xp!$F$1</f>
        <v>Lunar</v>
      </c>
    </row>
    <row r="24" spans="2:5">
      <c r="B24" s="18" t="s">
        <v>3558</v>
      </c>
      <c r="C24" s="18" t="str">
        <f>Crea_Pts_xp!$F$1</f>
        <v>Lunar</v>
      </c>
      <c r="D24" s="18" t="s">
        <v>96</v>
      </c>
      <c r="E24" s="18" t="str">
        <f>Crea_Pts_xp!$F$1</f>
        <v>Lunar</v>
      </c>
    </row>
    <row r="25" spans="2:5">
      <c r="B25" s="18" t="s">
        <v>3559</v>
      </c>
      <c r="C25" s="18" t="str">
        <f>Crea_Pts_xp!$F$1</f>
        <v>Lunar</v>
      </c>
      <c r="D25" s="18" t="s">
        <v>96</v>
      </c>
      <c r="E25" s="18" t="str">
        <f>Crea_Pts_xp!$F$1</f>
        <v>Lunar</v>
      </c>
    </row>
  </sheetData>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Feuil7"/>
  <dimension ref="A1:G23"/>
  <sheetViews>
    <sheetView workbookViewId="0">
      <selection activeCell="C14" sqref="C14:C23"/>
    </sheetView>
  </sheetViews>
  <sheetFormatPr baseColWidth="10" defaultRowHeight="14.25"/>
  <cols>
    <col min="1" max="1" width="10.625" customWidth="1"/>
    <col min="2" max="2" width="16.75" bestFit="1" customWidth="1"/>
    <col min="3" max="4" width="10.625" customWidth="1"/>
    <col min="5" max="6" width="10.625" style="260" customWidth="1"/>
    <col min="7" max="1024" width="10.625" customWidth="1"/>
    <col min="1025" max="1025" width="11" customWidth="1"/>
  </cols>
  <sheetData>
    <row r="1" spans="1:7">
      <c r="A1">
        <v>0</v>
      </c>
      <c r="B1" s="2" t="s">
        <v>21</v>
      </c>
      <c r="C1" s="2" t="s">
        <v>21</v>
      </c>
      <c r="F1" s="261"/>
      <c r="G1" s="18"/>
    </row>
    <row r="2" spans="1:7">
      <c r="A2">
        <v>1</v>
      </c>
      <c r="B2" s="2" t="s">
        <v>7</v>
      </c>
      <c r="C2" s="2" t="s">
        <v>7</v>
      </c>
      <c r="F2" s="261"/>
    </row>
    <row r="3" spans="1:7">
      <c r="A3">
        <v>2</v>
      </c>
      <c r="B3" s="2" t="s">
        <v>174</v>
      </c>
      <c r="C3" s="2" t="s">
        <v>174</v>
      </c>
      <c r="F3" s="261"/>
    </row>
    <row r="4" spans="1:7">
      <c r="A4">
        <v>3</v>
      </c>
      <c r="B4" s="2" t="s">
        <v>175</v>
      </c>
      <c r="C4" s="2" t="s">
        <v>175</v>
      </c>
      <c r="F4" s="261"/>
    </row>
    <row r="5" spans="1:7">
      <c r="A5">
        <v>4</v>
      </c>
      <c r="B5" s="2" t="s">
        <v>176</v>
      </c>
      <c r="C5" s="2" t="s">
        <v>176</v>
      </c>
      <c r="E5" s="262"/>
      <c r="F5" s="261"/>
    </row>
    <row r="6" spans="1:7">
      <c r="A6">
        <v>5</v>
      </c>
      <c r="B6" s="2" t="s">
        <v>177</v>
      </c>
      <c r="C6" s="2" t="s">
        <v>177</v>
      </c>
      <c r="F6" s="261"/>
    </row>
    <row r="7" spans="1:7">
      <c r="A7">
        <v>6</v>
      </c>
      <c r="B7" s="2" t="s">
        <v>7354</v>
      </c>
      <c r="C7" s="2" t="s">
        <v>178</v>
      </c>
      <c r="F7" s="261"/>
    </row>
    <row r="8" spans="1:7">
      <c r="A8">
        <v>7</v>
      </c>
      <c r="B8" s="2" t="s">
        <v>7354</v>
      </c>
      <c r="C8" s="2" t="s">
        <v>179</v>
      </c>
      <c r="F8" s="261"/>
    </row>
    <row r="9" spans="1:7">
      <c r="A9">
        <v>8</v>
      </c>
      <c r="B9" s="2" t="s">
        <v>7354</v>
      </c>
      <c r="C9" s="2" t="s">
        <v>180</v>
      </c>
      <c r="F9" s="261"/>
    </row>
    <row r="10" spans="1:7">
      <c r="A10">
        <v>9</v>
      </c>
      <c r="B10" s="2" t="s">
        <v>7354</v>
      </c>
      <c r="C10" s="2" t="s">
        <v>181</v>
      </c>
      <c r="F10" s="261"/>
    </row>
    <row r="11" spans="1:7">
      <c r="A11">
        <v>10</v>
      </c>
      <c r="B11" s="2" t="s">
        <v>7354</v>
      </c>
      <c r="C11" s="2" t="s">
        <v>182</v>
      </c>
      <c r="F11" s="261"/>
    </row>
    <row r="12" spans="1:7">
      <c r="F12" s="261"/>
    </row>
    <row r="13" spans="1:7">
      <c r="A13">
        <v>0</v>
      </c>
      <c r="B13" s="2" t="s">
        <v>183</v>
      </c>
      <c r="C13" s="2" t="s">
        <v>7381</v>
      </c>
      <c r="F13" s="261"/>
    </row>
    <row r="14" spans="1:7">
      <c r="A14">
        <v>1</v>
      </c>
      <c r="B14" s="2" t="s">
        <v>184</v>
      </c>
      <c r="C14" s="2" t="s">
        <v>7382</v>
      </c>
      <c r="F14" s="261"/>
    </row>
    <row r="15" spans="1:7">
      <c r="A15">
        <v>2</v>
      </c>
      <c r="B15" s="2" t="s">
        <v>185</v>
      </c>
      <c r="C15" s="2" t="s">
        <v>7383</v>
      </c>
      <c r="F15" s="261"/>
    </row>
    <row r="16" spans="1:7">
      <c r="A16">
        <v>3</v>
      </c>
      <c r="B16" s="2" t="s">
        <v>35</v>
      </c>
      <c r="C16" s="2" t="s">
        <v>7384</v>
      </c>
      <c r="F16" s="261"/>
    </row>
    <row r="17" spans="1:6">
      <c r="A17">
        <v>4</v>
      </c>
      <c r="B17" s="2" t="s">
        <v>186</v>
      </c>
      <c r="C17" s="2" t="s">
        <v>7385</v>
      </c>
      <c r="F17" s="261"/>
    </row>
    <row r="18" spans="1:6">
      <c r="A18">
        <v>5</v>
      </c>
      <c r="B18" s="2" t="s">
        <v>187</v>
      </c>
      <c r="C18" s="2" t="s">
        <v>177</v>
      </c>
      <c r="F18" s="261"/>
    </row>
    <row r="19" spans="1:6">
      <c r="A19">
        <v>6</v>
      </c>
      <c r="B19" s="2" t="s">
        <v>188</v>
      </c>
      <c r="C19" s="2" t="s">
        <v>7386</v>
      </c>
      <c r="F19" s="261"/>
    </row>
    <row r="20" spans="1:6">
      <c r="A20">
        <v>7</v>
      </c>
      <c r="B20" s="2" t="s">
        <v>189</v>
      </c>
      <c r="C20" s="2" t="s">
        <v>7387</v>
      </c>
      <c r="F20" s="261"/>
    </row>
    <row r="21" spans="1:6">
      <c r="A21">
        <v>8</v>
      </c>
      <c r="B21" s="2" t="s">
        <v>190</v>
      </c>
      <c r="C21" s="2" t="s">
        <v>7388</v>
      </c>
    </row>
    <row r="22" spans="1:6">
      <c r="A22">
        <v>9</v>
      </c>
      <c r="B22" s="2" t="s">
        <v>191</v>
      </c>
      <c r="C22" s="2" t="s">
        <v>7389</v>
      </c>
    </row>
    <row r="23" spans="1:6">
      <c r="A23">
        <v>10</v>
      </c>
      <c r="B23" s="2" t="s">
        <v>192</v>
      </c>
      <c r="C23" s="2" t="s">
        <v>7390</v>
      </c>
    </row>
  </sheetData>
  <pageMargins left="0.39370078740157505" right="0.39370078740157505" top="0.78740157480315009" bottom="0.78740157480315009" header="0.39370078740157505" footer="0.39370078740157505"/>
  <pageSetup paperSize="0" fitToWidth="0" fitToHeight="0" pageOrder="overThenDown" useFirstPageNumber="1" horizontalDpi="0" verticalDpi="0" copies="0"/>
  <headerFooter alignWithMargins="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Feuil4"/>
  <dimension ref="A1:F7"/>
  <sheetViews>
    <sheetView workbookViewId="0">
      <selection activeCell="B6" sqref="B6"/>
    </sheetView>
  </sheetViews>
  <sheetFormatPr baseColWidth="10" defaultRowHeight="14.25"/>
  <cols>
    <col min="1" max="1" width="13.25" customWidth="1"/>
    <col min="2" max="2" width="4.875" bestFit="1" customWidth="1"/>
    <col min="3" max="3" width="5.25" style="1" customWidth="1"/>
    <col min="4" max="4" width="13.375" style="1" customWidth="1"/>
    <col min="5" max="5" width="8.5" style="1" customWidth="1"/>
    <col min="6" max="6" width="10.125" style="1" customWidth="1"/>
    <col min="7" max="1024" width="10.625" customWidth="1"/>
    <col min="1025" max="1025" width="11" customWidth="1"/>
  </cols>
  <sheetData>
    <row r="1" spans="1:6">
      <c r="A1" t="s">
        <v>145</v>
      </c>
      <c r="B1" s="18" t="s">
        <v>81</v>
      </c>
      <c r="C1" s="1" t="s">
        <v>69</v>
      </c>
      <c r="D1" s="1" t="s">
        <v>146</v>
      </c>
      <c r="E1" s="1" t="s">
        <v>143</v>
      </c>
      <c r="F1" s="1" t="s">
        <v>147</v>
      </c>
    </row>
    <row r="2" spans="1:6">
      <c r="A2" s="12" t="s">
        <v>148</v>
      </c>
      <c r="B2" s="28" t="s">
        <v>3208</v>
      </c>
      <c r="C2" s="12">
        <v>3</v>
      </c>
      <c r="D2" s="13">
        <v>0</v>
      </c>
      <c r="E2" s="13">
        <v>0</v>
      </c>
      <c r="F2" s="13"/>
    </row>
    <row r="3" spans="1:6">
      <c r="A3" s="14" t="s">
        <v>149</v>
      </c>
      <c r="B3" s="29" t="s">
        <v>3209</v>
      </c>
      <c r="C3" s="14">
        <v>5</v>
      </c>
      <c r="D3" s="15">
        <v>-1</v>
      </c>
      <c r="E3" s="15">
        <v>0</v>
      </c>
      <c r="F3" s="15"/>
    </row>
    <row r="4" spans="1:6">
      <c r="A4" s="16" t="s">
        <v>150</v>
      </c>
      <c r="B4" s="30" t="s">
        <v>3210</v>
      </c>
      <c r="C4" s="16">
        <v>7</v>
      </c>
      <c r="D4" s="17">
        <v>-2</v>
      </c>
      <c r="E4" s="17">
        <v>0</v>
      </c>
      <c r="F4" s="17"/>
    </row>
    <row r="5" spans="1:6">
      <c r="A5" s="12" t="s">
        <v>151</v>
      </c>
      <c r="B5" s="28" t="s">
        <v>3211</v>
      </c>
      <c r="C5" s="12">
        <v>5</v>
      </c>
      <c r="D5" s="13">
        <v>0</v>
      </c>
      <c r="E5" s="13">
        <v>4</v>
      </c>
      <c r="F5" s="13">
        <v>4</v>
      </c>
    </row>
    <row r="6" spans="1:6">
      <c r="A6" s="14" t="s">
        <v>152</v>
      </c>
      <c r="B6" s="29" t="s">
        <v>3212</v>
      </c>
      <c r="C6" s="14">
        <v>8</v>
      </c>
      <c r="D6" s="15">
        <v>-1</v>
      </c>
      <c r="E6" s="15">
        <v>7</v>
      </c>
      <c r="F6" s="15">
        <v>5</v>
      </c>
    </row>
    <row r="7" spans="1:6">
      <c r="A7" s="16" t="s">
        <v>153</v>
      </c>
      <c r="B7" s="30" t="s">
        <v>3213</v>
      </c>
      <c r="C7" s="16">
        <v>11</v>
      </c>
      <c r="D7" s="17">
        <v>-2</v>
      </c>
      <c r="E7" s="17">
        <v>10</v>
      </c>
      <c r="F7" s="17">
        <v>6</v>
      </c>
    </row>
  </sheetData>
  <pageMargins left="0.39370078740157505" right="0.39370078740157505" top="0.78740157480315009" bottom="0.78740157480315009" header="0.39370078740157505" footer="0.39370078740157505"/>
  <pageSetup paperSize="0" fitToWidth="0" fitToHeight="0" pageOrder="overThenDown" useFirstPageNumber="1" horizontalDpi="0" verticalDpi="0" copies="0"/>
  <headerFooter alignWithMargins="0"/>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Feuil8"/>
  <dimension ref="A1:I45"/>
  <sheetViews>
    <sheetView workbookViewId="0">
      <selection activeCell="E8" sqref="E8"/>
    </sheetView>
  </sheetViews>
  <sheetFormatPr baseColWidth="10" defaultRowHeight="14.25"/>
  <cols>
    <col min="1" max="1" width="23.625" bestFit="1" customWidth="1"/>
    <col min="2" max="2" width="11.375" bestFit="1" customWidth="1"/>
    <col min="3" max="3" width="10.625" customWidth="1"/>
    <col min="4" max="4" width="14.75" bestFit="1" customWidth="1"/>
    <col min="5" max="5" width="8.5" bestFit="1" customWidth="1"/>
    <col min="6" max="6" width="9.625" bestFit="1" customWidth="1"/>
    <col min="7" max="7" width="7.75" bestFit="1" customWidth="1"/>
    <col min="8" max="8" width="19.125" bestFit="1" customWidth="1"/>
    <col min="9" max="9" width="19.75" bestFit="1" customWidth="1"/>
    <col min="10" max="12" width="1.75" bestFit="1" customWidth="1"/>
    <col min="13" max="19" width="2.75" bestFit="1" customWidth="1"/>
  </cols>
  <sheetData>
    <row r="1" spans="1:9">
      <c r="B1" t="s">
        <v>193</v>
      </c>
      <c r="C1" t="s">
        <v>93</v>
      </c>
      <c r="D1" s="18" t="s">
        <v>3560</v>
      </c>
      <c r="E1" s="18" t="s">
        <v>3569</v>
      </c>
      <c r="F1" s="18" t="s">
        <v>3561</v>
      </c>
      <c r="G1" s="18" t="s">
        <v>3562</v>
      </c>
      <c r="H1" s="18" t="s">
        <v>3568</v>
      </c>
    </row>
    <row r="2" spans="1:9">
      <c r="A2" t="s">
        <v>194</v>
      </c>
      <c r="B2">
        <v>8</v>
      </c>
      <c r="C2">
        <v>6</v>
      </c>
      <c r="D2">
        <v>8</v>
      </c>
      <c r="E2">
        <v>8</v>
      </c>
      <c r="F2">
        <v>9</v>
      </c>
    </row>
    <row r="3" spans="1:9">
      <c r="A3" t="s">
        <v>195</v>
      </c>
      <c r="B3">
        <v>6</v>
      </c>
      <c r="C3">
        <v>4</v>
      </c>
      <c r="D3">
        <v>6</v>
      </c>
      <c r="E3">
        <v>6</v>
      </c>
      <c r="F3">
        <v>7</v>
      </c>
    </row>
    <row r="4" spans="1:9">
      <c r="A4" t="s">
        <v>196</v>
      </c>
      <c r="B4">
        <v>4</v>
      </c>
      <c r="C4">
        <v>3</v>
      </c>
      <c r="D4">
        <v>4</v>
      </c>
      <c r="E4">
        <v>4</v>
      </c>
      <c r="F4">
        <v>5</v>
      </c>
    </row>
    <row r="6" spans="1:9">
      <c r="A6" t="s">
        <v>106</v>
      </c>
      <c r="B6">
        <v>28</v>
      </c>
      <c r="C6">
        <v>28</v>
      </c>
    </row>
    <row r="8" spans="1:9">
      <c r="A8" t="s">
        <v>140</v>
      </c>
      <c r="B8">
        <v>5</v>
      </c>
      <c r="C8">
        <v>3</v>
      </c>
    </row>
    <row r="9" spans="1:9">
      <c r="A9" s="18" t="s">
        <v>3575</v>
      </c>
      <c r="B9">
        <v>4</v>
      </c>
      <c r="C9">
        <v>4</v>
      </c>
      <c r="D9">
        <v>5</v>
      </c>
      <c r="E9">
        <v>3</v>
      </c>
      <c r="F9">
        <v>3</v>
      </c>
    </row>
    <row r="10" spans="1:9">
      <c r="A10" s="18" t="s">
        <v>3576</v>
      </c>
      <c r="B10">
        <v>2</v>
      </c>
      <c r="C10">
        <v>1</v>
      </c>
      <c r="D10">
        <v>2</v>
      </c>
      <c r="E10">
        <v>1</v>
      </c>
      <c r="F10">
        <v>2</v>
      </c>
      <c r="G10">
        <v>2</v>
      </c>
      <c r="H10">
        <v>2</v>
      </c>
    </row>
    <row r="11" spans="1:9">
      <c r="A11" t="s">
        <v>118</v>
      </c>
      <c r="B11">
        <v>10</v>
      </c>
      <c r="C11">
        <v>7</v>
      </c>
      <c r="D11">
        <v>18</v>
      </c>
      <c r="E11">
        <v>10</v>
      </c>
      <c r="F11">
        <v>10</v>
      </c>
    </row>
    <row r="12" spans="1:9">
      <c r="A12" s="18" t="s">
        <v>3259</v>
      </c>
      <c r="B12">
        <v>15</v>
      </c>
      <c r="C12">
        <v>21</v>
      </c>
      <c r="D12">
        <v>18</v>
      </c>
      <c r="E12">
        <v>15</v>
      </c>
      <c r="F12">
        <v>15</v>
      </c>
    </row>
    <row r="13" spans="1:9">
      <c r="A13" s="18" t="s">
        <v>3564</v>
      </c>
      <c r="B13">
        <v>10</v>
      </c>
      <c r="C13">
        <v>0</v>
      </c>
      <c r="D13">
        <v>11</v>
      </c>
      <c r="E13">
        <v>11</v>
      </c>
      <c r="F13">
        <v>15</v>
      </c>
      <c r="G13">
        <v>9</v>
      </c>
      <c r="H13">
        <v>10</v>
      </c>
      <c r="I13" s="74"/>
    </row>
    <row r="14" spans="1:9">
      <c r="A14" s="18" t="s">
        <v>3565</v>
      </c>
      <c r="B14">
        <v>3</v>
      </c>
      <c r="C14">
        <v>0</v>
      </c>
      <c r="D14">
        <v>1</v>
      </c>
      <c r="E14">
        <v>1</v>
      </c>
      <c r="F14">
        <v>1</v>
      </c>
      <c r="G14">
        <v>2</v>
      </c>
      <c r="H14">
        <v>3</v>
      </c>
      <c r="I14" s="74"/>
    </row>
    <row r="15" spans="1:9">
      <c r="A15" s="18" t="s">
        <v>3566</v>
      </c>
      <c r="B15">
        <v>26</v>
      </c>
      <c r="C15">
        <v>0</v>
      </c>
      <c r="D15">
        <v>23</v>
      </c>
      <c r="E15">
        <v>23</v>
      </c>
      <c r="F15">
        <v>34</v>
      </c>
      <c r="G15">
        <v>25</v>
      </c>
      <c r="H15">
        <v>10</v>
      </c>
      <c r="I15" s="74"/>
    </row>
    <row r="16" spans="1:9">
      <c r="A16" s="18" t="s">
        <v>3567</v>
      </c>
      <c r="B16">
        <v>7</v>
      </c>
      <c r="C16">
        <v>0</v>
      </c>
      <c r="D16">
        <v>4</v>
      </c>
      <c r="E16">
        <v>4</v>
      </c>
      <c r="F16">
        <v>4</v>
      </c>
      <c r="G16">
        <v>6</v>
      </c>
      <c r="H16">
        <v>4</v>
      </c>
      <c r="I16" s="74"/>
    </row>
    <row r="17" spans="1:9">
      <c r="A17" s="18" t="s">
        <v>1428</v>
      </c>
      <c r="B17">
        <v>5</v>
      </c>
      <c r="C17">
        <v>0</v>
      </c>
      <c r="D17">
        <v>5</v>
      </c>
      <c r="E17">
        <v>5</v>
      </c>
      <c r="F17">
        <v>2</v>
      </c>
      <c r="I17" s="74"/>
    </row>
    <row r="18" spans="1:9">
      <c r="A18" s="18" t="s">
        <v>1427</v>
      </c>
      <c r="B18">
        <v>1</v>
      </c>
      <c r="I18" s="74"/>
    </row>
    <row r="19" spans="1:9">
      <c r="A19" s="18" t="s">
        <v>1426</v>
      </c>
      <c r="B19">
        <v>4</v>
      </c>
      <c r="D19">
        <v>5</v>
      </c>
      <c r="E19">
        <v>5</v>
      </c>
      <c r="F19">
        <f>IF(Creation_1!S4="Casteless",0,2)</f>
        <v>2</v>
      </c>
      <c r="I19" s="74"/>
    </row>
    <row r="20" spans="1:9">
      <c r="A20" s="18"/>
      <c r="I20" s="74"/>
    </row>
    <row r="21" spans="1:9">
      <c r="A21" s="18"/>
      <c r="H21" s="547" t="s">
        <v>3238</v>
      </c>
      <c r="I21" s="547"/>
    </row>
    <row r="22" spans="1:9">
      <c r="A22" s="18" t="s">
        <v>3563</v>
      </c>
      <c r="B22" s="18" t="s">
        <v>3228</v>
      </c>
      <c r="C22" s="18" t="s">
        <v>252</v>
      </c>
      <c r="D22" s="18" t="s">
        <v>3229</v>
      </c>
      <c r="E22" s="18" t="s">
        <v>140</v>
      </c>
      <c r="F22" s="18" t="s">
        <v>3230</v>
      </c>
      <c r="G22" s="18" t="s">
        <v>3231</v>
      </c>
      <c r="H22" s="18" t="s">
        <v>3233</v>
      </c>
      <c r="I22" s="18" t="s">
        <v>3234</v>
      </c>
    </row>
    <row r="23" spans="1:9">
      <c r="A23">
        <v>0</v>
      </c>
      <c r="B23" s="18">
        <v>0</v>
      </c>
      <c r="C23" s="18">
        <v>0</v>
      </c>
      <c r="D23" s="18">
        <v>0</v>
      </c>
    </row>
    <row r="24" spans="1:9">
      <c r="A24">
        <v>1</v>
      </c>
      <c r="B24" s="18">
        <v>0</v>
      </c>
      <c r="C24">
        <v>3</v>
      </c>
      <c r="D24" s="18">
        <v>0</v>
      </c>
      <c r="E24">
        <v>8</v>
      </c>
      <c r="F24">
        <v>3</v>
      </c>
      <c r="G24" s="18" t="s">
        <v>3237</v>
      </c>
      <c r="H24" s="18">
        <v>10</v>
      </c>
      <c r="I24" s="18">
        <v>8</v>
      </c>
    </row>
    <row r="25" spans="1:9">
      <c r="A25">
        <v>2</v>
      </c>
      <c r="B25">
        <f>A24*4</f>
        <v>4</v>
      </c>
      <c r="C25">
        <f>A24*2</f>
        <v>2</v>
      </c>
      <c r="D25">
        <f t="shared" ref="D25:D33" si="0">C25-1</f>
        <v>1</v>
      </c>
      <c r="E25">
        <v>8</v>
      </c>
    </row>
    <row r="26" spans="1:9">
      <c r="A26">
        <v>3</v>
      </c>
      <c r="B26">
        <f t="shared" ref="B26:B33" si="1">A25*4</f>
        <v>8</v>
      </c>
      <c r="C26">
        <f t="shared" ref="C26:C33" si="2">A25*2</f>
        <v>4</v>
      </c>
      <c r="D26">
        <f t="shared" si="0"/>
        <v>3</v>
      </c>
      <c r="E26">
        <v>8</v>
      </c>
    </row>
    <row r="27" spans="1:9">
      <c r="A27">
        <v>4</v>
      </c>
      <c r="B27">
        <f t="shared" si="1"/>
        <v>12</v>
      </c>
      <c r="C27">
        <f t="shared" si="2"/>
        <v>6</v>
      </c>
      <c r="D27">
        <f t="shared" si="0"/>
        <v>5</v>
      </c>
      <c r="E27">
        <v>8</v>
      </c>
    </row>
    <row r="28" spans="1:9">
      <c r="A28">
        <v>5</v>
      </c>
      <c r="B28">
        <f t="shared" si="1"/>
        <v>16</v>
      </c>
      <c r="C28">
        <f t="shared" si="2"/>
        <v>8</v>
      </c>
      <c r="D28">
        <f t="shared" si="0"/>
        <v>7</v>
      </c>
      <c r="E28">
        <v>8</v>
      </c>
    </row>
    <row r="29" spans="1:9">
      <c r="A29">
        <v>6</v>
      </c>
      <c r="B29">
        <f t="shared" si="1"/>
        <v>20</v>
      </c>
      <c r="C29">
        <f t="shared" si="2"/>
        <v>10</v>
      </c>
      <c r="D29">
        <f t="shared" si="0"/>
        <v>9</v>
      </c>
      <c r="E29">
        <v>8</v>
      </c>
    </row>
    <row r="30" spans="1:9">
      <c r="A30">
        <v>7</v>
      </c>
      <c r="B30">
        <f t="shared" si="1"/>
        <v>24</v>
      </c>
      <c r="C30">
        <f t="shared" si="2"/>
        <v>12</v>
      </c>
      <c r="D30">
        <f t="shared" si="0"/>
        <v>11</v>
      </c>
      <c r="E30">
        <v>8</v>
      </c>
    </row>
    <row r="31" spans="1:9">
      <c r="A31">
        <v>8</v>
      </c>
      <c r="B31">
        <f t="shared" si="1"/>
        <v>28</v>
      </c>
      <c r="C31">
        <f t="shared" si="2"/>
        <v>14</v>
      </c>
      <c r="D31">
        <f t="shared" si="0"/>
        <v>13</v>
      </c>
      <c r="E31">
        <v>8</v>
      </c>
    </row>
    <row r="32" spans="1:9">
      <c r="A32">
        <v>9</v>
      </c>
      <c r="B32">
        <f t="shared" si="1"/>
        <v>32</v>
      </c>
      <c r="C32">
        <f t="shared" si="2"/>
        <v>16</v>
      </c>
      <c r="D32">
        <f t="shared" si="0"/>
        <v>15</v>
      </c>
      <c r="E32">
        <v>8</v>
      </c>
    </row>
    <row r="33" spans="1:7">
      <c r="A33">
        <v>10</v>
      </c>
      <c r="B33">
        <f t="shared" si="1"/>
        <v>36</v>
      </c>
      <c r="C33">
        <f t="shared" si="2"/>
        <v>18</v>
      </c>
      <c r="D33">
        <f t="shared" si="0"/>
        <v>17</v>
      </c>
      <c r="E33">
        <v>8</v>
      </c>
    </row>
    <row r="35" spans="1:7">
      <c r="A35" s="18" t="s">
        <v>3282</v>
      </c>
      <c r="B35" s="18" t="s">
        <v>141</v>
      </c>
      <c r="C35" s="18" t="s">
        <v>3283</v>
      </c>
      <c r="D35" s="18" t="str">
        <f>D1</f>
        <v>Dragon Blooded</v>
      </c>
      <c r="F35" s="18" t="s">
        <v>3569</v>
      </c>
    </row>
    <row r="36" spans="1:7">
      <c r="A36">
        <v>0</v>
      </c>
      <c r="B36" s="18">
        <v>1</v>
      </c>
      <c r="D36">
        <v>0</v>
      </c>
      <c r="E36">
        <v>2</v>
      </c>
      <c r="F36">
        <v>0</v>
      </c>
      <c r="G36">
        <v>1</v>
      </c>
    </row>
    <row r="37" spans="1:7">
      <c r="A37">
        <v>50</v>
      </c>
      <c r="B37" s="18">
        <v>2</v>
      </c>
      <c r="D37">
        <v>150</v>
      </c>
      <c r="E37">
        <v>3</v>
      </c>
      <c r="F37">
        <v>60</v>
      </c>
      <c r="G37">
        <v>2</v>
      </c>
    </row>
    <row r="38" spans="1:7">
      <c r="A38">
        <v>125</v>
      </c>
      <c r="B38" s="18">
        <v>3</v>
      </c>
      <c r="D38">
        <v>250</v>
      </c>
      <c r="E38">
        <v>4</v>
      </c>
      <c r="F38">
        <f>D37</f>
        <v>150</v>
      </c>
      <c r="G38">
        <v>3</v>
      </c>
    </row>
    <row r="39" spans="1:7">
      <c r="A39">
        <v>200</v>
      </c>
      <c r="B39" s="18">
        <v>4</v>
      </c>
      <c r="D39">
        <v>375</v>
      </c>
      <c r="E39">
        <v>5</v>
      </c>
      <c r="F39">
        <f t="shared" ref="F39:F45" si="3">D38</f>
        <v>250</v>
      </c>
      <c r="G39">
        <v>4</v>
      </c>
    </row>
    <row r="40" spans="1:7">
      <c r="A40">
        <v>300</v>
      </c>
      <c r="B40" s="18">
        <v>5</v>
      </c>
      <c r="D40">
        <f>D39+150</f>
        <v>525</v>
      </c>
      <c r="E40">
        <v>6</v>
      </c>
      <c r="F40">
        <f t="shared" si="3"/>
        <v>375</v>
      </c>
      <c r="G40">
        <v>5</v>
      </c>
    </row>
    <row r="41" spans="1:7">
      <c r="A41">
        <v>425</v>
      </c>
      <c r="B41" s="18">
        <v>6</v>
      </c>
      <c r="C41" s="18" t="s">
        <v>3287</v>
      </c>
      <c r="D41">
        <f>D40+175</f>
        <v>700</v>
      </c>
      <c r="E41">
        <v>7</v>
      </c>
      <c r="F41">
        <f t="shared" si="3"/>
        <v>525</v>
      </c>
      <c r="G41">
        <v>6</v>
      </c>
    </row>
    <row r="42" spans="1:7">
      <c r="A42">
        <v>550</v>
      </c>
      <c r="B42" s="18">
        <v>7</v>
      </c>
      <c r="C42" s="18" t="str">
        <f>C41</f>
        <v>Suggested xp goal, but Storyteller-determined !</v>
      </c>
      <c r="D42">
        <f>D41+200</f>
        <v>900</v>
      </c>
      <c r="E42">
        <v>8</v>
      </c>
      <c r="F42">
        <f t="shared" si="3"/>
        <v>700</v>
      </c>
      <c r="G42">
        <v>7</v>
      </c>
    </row>
    <row r="43" spans="1:7">
      <c r="A43">
        <v>700</v>
      </c>
      <c r="B43" s="18">
        <v>8</v>
      </c>
      <c r="C43" s="18" t="str">
        <f>C42</f>
        <v>Suggested xp goal, but Storyteller-determined !</v>
      </c>
      <c r="D43">
        <f>D42+225</f>
        <v>1125</v>
      </c>
      <c r="E43">
        <v>9</v>
      </c>
      <c r="F43">
        <f t="shared" si="3"/>
        <v>900</v>
      </c>
      <c r="G43">
        <v>8</v>
      </c>
    </row>
    <row r="44" spans="1:7">
      <c r="A44">
        <v>850</v>
      </c>
      <c r="B44" s="18">
        <v>9</v>
      </c>
      <c r="C44" s="18" t="str">
        <f>C43</f>
        <v>Suggested xp goal, but Storyteller-determined !</v>
      </c>
      <c r="D44">
        <f>D43+250</f>
        <v>1375</v>
      </c>
      <c r="E44">
        <v>10</v>
      </c>
      <c r="F44">
        <f t="shared" si="3"/>
        <v>1125</v>
      </c>
      <c r="G44">
        <v>9</v>
      </c>
    </row>
    <row r="45" spans="1:7">
      <c r="A45">
        <v>1050</v>
      </c>
      <c r="B45" s="18">
        <v>10</v>
      </c>
      <c r="C45" s="18" t="str">
        <f>C44</f>
        <v>Suggested xp goal, but Storyteller-determined !</v>
      </c>
      <c r="F45">
        <f t="shared" si="3"/>
        <v>1375</v>
      </c>
      <c r="G45">
        <v>10</v>
      </c>
    </row>
  </sheetData>
  <mergeCells count="1">
    <mergeCell ref="H21:I21"/>
  </mergeCells>
  <pageMargins left="0.39370078740157505" right="0.39370078740157505" top="0.78740157480315009" bottom="0.78740157480315009" header="0.39370078740157505" footer="0.39370078740157505"/>
  <pageSetup paperSize="0" fitToWidth="0" fitToHeight="0" pageOrder="overThenDown" useFirstPageNumber="1" horizontalDpi="0" verticalDpi="0" copies="0"/>
  <headerFooter alignWithMargins="0"/>
  <legacy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Feuil9"/>
  <dimension ref="A1:T53"/>
  <sheetViews>
    <sheetView workbookViewId="0"/>
  </sheetViews>
  <sheetFormatPr baseColWidth="10" defaultRowHeight="14.25"/>
  <cols>
    <col min="1" max="1" width="23" bestFit="1" customWidth="1"/>
    <col min="2" max="2" width="10.125" bestFit="1" customWidth="1"/>
    <col min="3" max="3" width="11.5" bestFit="1" customWidth="1"/>
    <col min="4" max="4" width="11.25" bestFit="1" customWidth="1"/>
    <col min="5" max="5" width="10.875" bestFit="1" customWidth="1"/>
    <col min="6" max="6" width="11.25" bestFit="1" customWidth="1"/>
  </cols>
  <sheetData>
    <row r="1" spans="1:20">
      <c r="A1">
        <v>5</v>
      </c>
      <c r="B1">
        <v>4</v>
      </c>
      <c r="C1">
        <v>3</v>
      </c>
      <c r="D1">
        <v>2</v>
      </c>
      <c r="E1">
        <v>1</v>
      </c>
      <c r="F1">
        <v>0</v>
      </c>
    </row>
    <row r="2" spans="1:20">
      <c r="A2" t="s">
        <v>93</v>
      </c>
      <c r="B2" t="str">
        <f>Castes!B5</f>
        <v>Dawn</v>
      </c>
      <c r="C2" t="str">
        <f>Castes!B6</f>
        <v>Zenith</v>
      </c>
      <c r="D2" t="str">
        <f>Castes!B7</f>
        <v>Twilight</v>
      </c>
      <c r="E2" t="str">
        <f>Castes!B8</f>
        <v>Night</v>
      </c>
      <c r="F2" t="str">
        <f>Castes!B9</f>
        <v>Eclipse</v>
      </c>
      <c r="G2" t="str">
        <f>Castes!B11</f>
        <v>Air Aspect</v>
      </c>
      <c r="H2" t="str">
        <f>Castes!B12</f>
        <v>Earth Aspect</v>
      </c>
      <c r="I2" t="str">
        <f>Castes!B13</f>
        <v>Fire Aspect</v>
      </c>
      <c r="J2" t="str">
        <f>Castes!B14</f>
        <v>Water Aspect</v>
      </c>
      <c r="K2" t="str">
        <f>Castes!B15</f>
        <v>Wood Aspect</v>
      </c>
      <c r="L2" t="str">
        <f>Castes!B16</f>
        <v>Air Aspect - Just Hatched</v>
      </c>
      <c r="M2" t="str">
        <f>Castes!B17</f>
        <v>Earth Aspect - Just Hatched</v>
      </c>
      <c r="N2" t="str">
        <f>Castes!B18</f>
        <v>Fire Aspect - Just Hatched</v>
      </c>
      <c r="O2" t="str">
        <f>Castes!B19</f>
        <v>Water Aspect - Just Hatched</v>
      </c>
      <c r="P2" t="str">
        <f>Castes!B20</f>
        <v>Wood Aspect - Just Hatched</v>
      </c>
      <c r="Q2" t="str">
        <f>Castes!B22</f>
        <v>Full Moon Caste</v>
      </c>
      <c r="R2" t="str">
        <f>Castes!B23</f>
        <v>Changing Moon Caste</v>
      </c>
      <c r="S2" t="str">
        <f>Castes!B24</f>
        <v>No Moon Caste</v>
      </c>
      <c r="T2" t="str">
        <f>Castes!B25</f>
        <v>Casteless</v>
      </c>
    </row>
    <row r="3" spans="1:20">
      <c r="A3" t="s">
        <v>203</v>
      </c>
      <c r="B3" t="str">
        <f>Values!B25</f>
        <v>Archery</v>
      </c>
      <c r="C3" t="str">
        <f>Values!B26</f>
        <v>Athletics</v>
      </c>
      <c r="D3" t="str">
        <f>Values!B29</f>
        <v>Bureaucracy</v>
      </c>
      <c r="E3" t="str">
        <f>Values!B26</f>
        <v>Athletics</v>
      </c>
      <c r="F3" t="str">
        <f>Values!B29</f>
        <v>Bureaucracy</v>
      </c>
      <c r="G3" t="str">
        <f>Values!$B$35</f>
        <v>Linguistics</v>
      </c>
      <c r="H3" t="str">
        <f>Values!$B$27</f>
        <v>Awareness</v>
      </c>
      <c r="I3" t="str">
        <f>Values!$B$26</f>
        <v>Athletics</v>
      </c>
      <c r="J3" t="str">
        <f>Values!$B$28</f>
        <v>Brawl</v>
      </c>
      <c r="K3" t="str">
        <f>Values!$B$25</f>
        <v>Archery</v>
      </c>
      <c r="L3" t="str">
        <f>Values!$B$35</f>
        <v>Linguistics</v>
      </c>
      <c r="M3" t="str">
        <f>Values!$B$27</f>
        <v>Awareness</v>
      </c>
      <c r="N3" t="str">
        <f>Values!$B$26</f>
        <v>Athletics</v>
      </c>
      <c r="O3" t="str">
        <f>Values!$B$28</f>
        <v>Brawl</v>
      </c>
      <c r="P3" t="str">
        <f>Values!$B$25</f>
        <v>Archery</v>
      </c>
      <c r="Q3" t="str">
        <f>Values!A11</f>
        <v>Strength</v>
      </c>
      <c r="R3" t="str">
        <f>Values!A15</f>
        <v>Charisma</v>
      </c>
      <c r="S3" t="str">
        <f>Values!A19</f>
        <v>Perception</v>
      </c>
      <c r="T3" t="s">
        <v>203</v>
      </c>
    </row>
    <row r="4" spans="1:20">
      <c r="A4" t="s">
        <v>203</v>
      </c>
      <c r="B4" t="str">
        <f>Values!B27</f>
        <v>Awareness</v>
      </c>
      <c r="C4" t="str">
        <f>Values!B32</f>
        <v>Integrity</v>
      </c>
      <c r="D4" t="str">
        <f>Values!B30</f>
        <v>Craft</v>
      </c>
      <c r="E4" t="str">
        <f>Values!B27</f>
        <v>Awareness</v>
      </c>
      <c r="F4" t="str">
        <f>Values!B34</f>
        <v>Larceny</v>
      </c>
      <c r="G4" t="str">
        <f>Values!$B$36</f>
        <v>Lore</v>
      </c>
      <c r="H4" t="str">
        <f>Values!$B$30</f>
        <v>Craft</v>
      </c>
      <c r="I4" t="str">
        <f>Values!$B$31</f>
        <v>Dodge</v>
      </c>
      <c r="J4" t="str">
        <f>Values!$B$37</f>
        <v>Martial Arts</v>
      </c>
      <c r="K4" t="str">
        <f>Values!$B$38</f>
        <v>Medicine</v>
      </c>
      <c r="L4" t="str">
        <f>Values!$B$36</f>
        <v>Lore</v>
      </c>
      <c r="M4" t="str">
        <f>Values!$B$30</f>
        <v>Craft</v>
      </c>
      <c r="N4" t="str">
        <f>Values!$B$31</f>
        <v>Dodge</v>
      </c>
      <c r="O4" t="str">
        <f>Values!$B$37</f>
        <v>Martial Arts</v>
      </c>
      <c r="P4" t="str">
        <f>Values!$B$38</f>
        <v>Medicine</v>
      </c>
      <c r="Q4" t="str">
        <f>Values!A12</f>
        <v>Dexterity</v>
      </c>
      <c r="R4" t="str">
        <f>Values!A16</f>
        <v>Manipulation</v>
      </c>
      <c r="S4" t="str">
        <f>Values!A20</f>
        <v>Intelligence</v>
      </c>
      <c r="T4" t="s">
        <v>203</v>
      </c>
    </row>
    <row r="5" spans="1:20">
      <c r="A5" t="s">
        <v>203</v>
      </c>
      <c r="B5" t="str">
        <f>Values!B28</f>
        <v>Brawl</v>
      </c>
      <c r="C5" t="str">
        <f>Values!B41</f>
        <v>Performance</v>
      </c>
      <c r="D5" t="str">
        <f>Values!B32</f>
        <v>Integrity</v>
      </c>
      <c r="E5" t="str">
        <f>Values!B31</f>
        <v>Dodge</v>
      </c>
      <c r="F5" t="str">
        <f>Values!B35</f>
        <v>Linguistics</v>
      </c>
      <c r="G5" t="str">
        <f>Values!$B$40</f>
        <v>Occult</v>
      </c>
      <c r="H5" t="str">
        <f>Values!$B$32</f>
        <v>Integrity</v>
      </c>
      <c r="I5" t="str">
        <f>Values!$A$39</f>
        <v>Melee</v>
      </c>
      <c r="J5" t="str">
        <f>Values!$B$29</f>
        <v>Bureaucracy</v>
      </c>
      <c r="K5" t="str">
        <f>Values!$B$41</f>
        <v>Performance</v>
      </c>
      <c r="L5" t="str">
        <f>Values!$B$40</f>
        <v>Occult</v>
      </c>
      <c r="M5" t="str">
        <f>Values!$B$32</f>
        <v>Integrity</v>
      </c>
      <c r="N5" t="str">
        <f>Values!$A$39</f>
        <v>Melee</v>
      </c>
      <c r="O5" t="str">
        <f>Values!$B$29</f>
        <v>Bureaucracy</v>
      </c>
      <c r="P5" t="str">
        <f>Values!$B$41</f>
        <v>Performance</v>
      </c>
      <c r="Q5" t="str">
        <f>Values!A13</f>
        <v>Stamina</v>
      </c>
      <c r="R5" t="str">
        <f>Values!A17</f>
        <v>Appearance</v>
      </c>
      <c r="S5" t="str">
        <f>Values!A21</f>
        <v>Wits</v>
      </c>
      <c r="T5" t="s">
        <v>203</v>
      </c>
    </row>
    <row r="6" spans="1:20">
      <c r="A6" t="s">
        <v>203</v>
      </c>
      <c r="B6" t="str">
        <f>Values!B37</f>
        <v>Martial Arts</v>
      </c>
      <c r="C6" t="str">
        <f>Values!B36</f>
        <v>Lore</v>
      </c>
      <c r="D6" t="str">
        <f>Values!B33</f>
        <v>Investigation</v>
      </c>
      <c r="E6" t="str">
        <f>Values!B33</f>
        <v>Investigation</v>
      </c>
      <c r="F6" t="str">
        <f>Values!B40</f>
        <v>Occult</v>
      </c>
      <c r="G6" t="str">
        <f>Values!$B$47</f>
        <v>Stealth</v>
      </c>
      <c r="H6" t="str">
        <f>Values!$B$43</f>
        <v>Resistance</v>
      </c>
      <c r="I6" t="str">
        <f>Values!$B$42</f>
        <v>Presence</v>
      </c>
      <c r="J6" t="str">
        <f>Values!$B$33</f>
        <v>Investigation</v>
      </c>
      <c r="K6" t="str">
        <f>Values!$B$44</f>
        <v>Ride</v>
      </c>
      <c r="L6" t="str">
        <f>Values!$B$47</f>
        <v>Stealth</v>
      </c>
      <c r="M6" t="str">
        <f>Values!$B$43</f>
        <v>Resistance</v>
      </c>
      <c r="N6" t="str">
        <f>Values!$B$42</f>
        <v>Presence</v>
      </c>
      <c r="O6" t="str">
        <f>Values!$B$33</f>
        <v>Investigation</v>
      </c>
      <c r="P6" t="str">
        <f>Values!$B$44</f>
        <v>Ride</v>
      </c>
      <c r="Q6" t="s">
        <v>203</v>
      </c>
      <c r="R6" t="s">
        <v>203</v>
      </c>
      <c r="S6" t="s">
        <v>203</v>
      </c>
      <c r="T6" t="s">
        <v>203</v>
      </c>
    </row>
    <row r="7" spans="1:20">
      <c r="A7" t="s">
        <v>203</v>
      </c>
      <c r="B7" t="str">
        <f>Values!B31</f>
        <v>Dodge</v>
      </c>
      <c r="C7" t="str">
        <f>Values!B42</f>
        <v>Presence</v>
      </c>
      <c r="D7" t="str">
        <f>Values!B35</f>
        <v>Linguistics</v>
      </c>
      <c r="E7" t="str">
        <f>Values!B34</f>
        <v>Larceny</v>
      </c>
      <c r="F7" t="str">
        <f>Values!B42</f>
        <v>Presence</v>
      </c>
      <c r="G7" t="str">
        <f>Values!$B$49</f>
        <v>Thrown</v>
      </c>
      <c r="H7" t="str">
        <f>Values!$B$50</f>
        <v>War</v>
      </c>
      <c r="I7" t="str">
        <f>Values!$B$46</f>
        <v>Socialize</v>
      </c>
      <c r="J7" t="str">
        <f>Values!$B$34</f>
        <v>Larceny</v>
      </c>
      <c r="K7" t="str">
        <f>Values!$B$48</f>
        <v>Survival</v>
      </c>
      <c r="L7" t="str">
        <f>Values!$B$49</f>
        <v>Thrown</v>
      </c>
      <c r="M7" t="str">
        <f>Values!$B$50</f>
        <v>War</v>
      </c>
      <c r="N7" t="str">
        <f>Values!$B$46</f>
        <v>Socialize</v>
      </c>
      <c r="O7" t="str">
        <f>Values!$B$34</f>
        <v>Larceny</v>
      </c>
      <c r="P7" t="str">
        <f>Values!$B$48</f>
        <v>Survival</v>
      </c>
      <c r="Q7" t="s">
        <v>203</v>
      </c>
      <c r="R7" t="s">
        <v>203</v>
      </c>
      <c r="S7" t="s">
        <v>203</v>
      </c>
      <c r="T7" t="s">
        <v>203</v>
      </c>
    </row>
    <row r="8" spans="1:20">
      <c r="A8" t="s">
        <v>203</v>
      </c>
      <c r="B8" t="str">
        <f>Values!A39</f>
        <v>Melee</v>
      </c>
      <c r="C8" t="str">
        <f>Values!B43</f>
        <v>Resistance</v>
      </c>
      <c r="D8" t="str">
        <f>Values!B36</f>
        <v>Lore</v>
      </c>
      <c r="E8" t="str">
        <f>Values!B44</f>
        <v>Ride</v>
      </c>
      <c r="F8" t="str">
        <f>Values!B44</f>
        <v>Ride</v>
      </c>
      <c r="G8" t="s">
        <v>203</v>
      </c>
      <c r="H8" t="s">
        <v>203</v>
      </c>
      <c r="I8" t="s">
        <v>203</v>
      </c>
      <c r="J8" t="str">
        <f>Values!$B$45</f>
        <v>Sail</v>
      </c>
      <c r="K8" t="s">
        <v>203</v>
      </c>
      <c r="L8" t="s">
        <v>203</v>
      </c>
      <c r="M8" t="s">
        <v>203</v>
      </c>
      <c r="N8" t="s">
        <v>203</v>
      </c>
      <c r="O8" t="str">
        <f>Values!$B$45</f>
        <v>Sail</v>
      </c>
      <c r="P8" t="s">
        <v>203</v>
      </c>
      <c r="Q8" t="s">
        <v>203</v>
      </c>
      <c r="R8" t="s">
        <v>203</v>
      </c>
      <c r="S8" t="s">
        <v>203</v>
      </c>
      <c r="T8" t="s">
        <v>203</v>
      </c>
    </row>
    <row r="9" spans="1:20">
      <c r="A9" t="s">
        <v>203</v>
      </c>
      <c r="B9" t="str">
        <f>Values!B43</f>
        <v>Resistance</v>
      </c>
      <c r="C9" t="str">
        <f>Values!B48</f>
        <v>Survival</v>
      </c>
      <c r="D9" t="str">
        <f>Values!B38</f>
        <v>Medicine</v>
      </c>
      <c r="E9" t="str">
        <f>Values!B47</f>
        <v>Stealth</v>
      </c>
      <c r="F9" t="str">
        <f>Values!B45</f>
        <v>Sail</v>
      </c>
      <c r="G9" t="s">
        <v>203</v>
      </c>
      <c r="H9" t="s">
        <v>203</v>
      </c>
      <c r="I9" t="s">
        <v>203</v>
      </c>
      <c r="J9" s="18" t="s">
        <v>203</v>
      </c>
      <c r="K9" t="s">
        <v>203</v>
      </c>
      <c r="L9" t="s">
        <v>203</v>
      </c>
      <c r="M9" t="s">
        <v>203</v>
      </c>
      <c r="N9" t="s">
        <v>203</v>
      </c>
      <c r="O9" s="18" t="s">
        <v>203</v>
      </c>
      <c r="P9" t="s">
        <v>203</v>
      </c>
      <c r="Q9" t="s">
        <v>203</v>
      </c>
      <c r="R9" t="s">
        <v>203</v>
      </c>
      <c r="S9" t="s">
        <v>203</v>
      </c>
      <c r="T9" t="s">
        <v>203</v>
      </c>
    </row>
    <row r="10" spans="1:20">
      <c r="A10" t="s">
        <v>203</v>
      </c>
      <c r="B10" t="str">
        <f>Values!B49</f>
        <v>Thrown</v>
      </c>
      <c r="C10" t="str">
        <f>Values!B50</f>
        <v>War</v>
      </c>
      <c r="D10" t="str">
        <f>Values!B40</f>
        <v>Occult</v>
      </c>
      <c r="E10" t="str">
        <f>Values!B46</f>
        <v>Socialize</v>
      </c>
      <c r="F10" t="str">
        <f>Values!B46</f>
        <v>Socialize</v>
      </c>
      <c r="G10" t="s">
        <v>203</v>
      </c>
      <c r="H10" t="s">
        <v>203</v>
      </c>
      <c r="I10" t="s">
        <v>203</v>
      </c>
      <c r="J10" t="s">
        <v>203</v>
      </c>
      <c r="K10" t="s">
        <v>203</v>
      </c>
      <c r="L10" t="s">
        <v>203</v>
      </c>
      <c r="M10" t="s">
        <v>203</v>
      </c>
      <c r="N10" t="s">
        <v>203</v>
      </c>
      <c r="O10" t="s">
        <v>203</v>
      </c>
      <c r="P10" t="s">
        <v>203</v>
      </c>
      <c r="Q10" t="s">
        <v>203</v>
      </c>
      <c r="R10" t="s">
        <v>203</v>
      </c>
      <c r="S10" t="s">
        <v>203</v>
      </c>
      <c r="T10" t="s">
        <v>203</v>
      </c>
    </row>
    <row r="11" spans="1:20">
      <c r="A11" t="s">
        <v>203</v>
      </c>
      <c r="B11" t="str">
        <f>Values!B50</f>
        <v>War</v>
      </c>
      <c r="C11" t="s">
        <v>203</v>
      </c>
      <c r="D11" t="s">
        <v>203</v>
      </c>
      <c r="E11" t="s">
        <v>203</v>
      </c>
      <c r="F11" t="s">
        <v>203</v>
      </c>
      <c r="G11" t="s">
        <v>203</v>
      </c>
      <c r="H11" t="s">
        <v>203</v>
      </c>
      <c r="I11" t="s">
        <v>203</v>
      </c>
      <c r="J11" t="s">
        <v>203</v>
      </c>
      <c r="K11" t="s">
        <v>203</v>
      </c>
      <c r="L11" t="s">
        <v>203</v>
      </c>
      <c r="M11" t="s">
        <v>203</v>
      </c>
      <c r="N11" t="s">
        <v>203</v>
      </c>
      <c r="O11" t="s">
        <v>203</v>
      </c>
      <c r="P11" t="s">
        <v>203</v>
      </c>
      <c r="Q11" t="s">
        <v>203</v>
      </c>
      <c r="R11" t="s">
        <v>203</v>
      </c>
      <c r="S11" t="s">
        <v>203</v>
      </c>
      <c r="T11" t="s">
        <v>203</v>
      </c>
    </row>
    <row r="14" spans="1:20">
      <c r="A14" s="228"/>
    </row>
    <row r="15" spans="1:20">
      <c r="A15" s="228" t="s">
        <v>1426</v>
      </c>
    </row>
    <row r="16" spans="1:20">
      <c r="A16" s="228" t="s">
        <v>1428</v>
      </c>
    </row>
    <row r="17" spans="1:3">
      <c r="A17" s="228" t="s">
        <v>1427</v>
      </c>
    </row>
    <row r="19" spans="1:3">
      <c r="A19" s="18"/>
      <c r="B19" s="18"/>
      <c r="C19" s="18"/>
    </row>
    <row r="20" spans="1:3">
      <c r="B20" s="126"/>
      <c r="C20" s="126"/>
    </row>
    <row r="21" spans="1:3">
      <c r="B21" s="126"/>
      <c r="C21" s="126"/>
    </row>
    <row r="22" spans="1:3">
      <c r="B22" s="126"/>
      <c r="C22" s="126"/>
    </row>
    <row r="23" spans="1:3">
      <c r="B23" s="126"/>
      <c r="C23" s="126"/>
    </row>
    <row r="24" spans="1:3">
      <c r="B24" s="126"/>
      <c r="C24" s="126"/>
    </row>
    <row r="25" spans="1:3">
      <c r="B25" s="126"/>
      <c r="C25" s="126"/>
    </row>
    <row r="26" spans="1:3">
      <c r="B26" s="126"/>
      <c r="C26" s="126"/>
    </row>
    <row r="27" spans="1:3">
      <c r="B27" s="126"/>
      <c r="C27" s="126"/>
    </row>
    <row r="28" spans="1:3">
      <c r="B28" s="126"/>
      <c r="C28" s="126"/>
    </row>
    <row r="29" spans="1:3">
      <c r="B29" s="126"/>
      <c r="C29" s="126"/>
    </row>
    <row r="30" spans="1:3">
      <c r="B30" s="126"/>
      <c r="C30" s="126"/>
    </row>
    <row r="31" spans="1:3">
      <c r="B31" s="126"/>
      <c r="C31" s="126"/>
    </row>
    <row r="32" spans="1:3">
      <c r="B32" s="126"/>
      <c r="C32" s="126"/>
    </row>
    <row r="33" spans="2:3">
      <c r="B33" s="126"/>
      <c r="C33" s="126"/>
    </row>
    <row r="34" spans="2:3">
      <c r="B34" s="126"/>
      <c r="C34" s="126"/>
    </row>
    <row r="35" spans="2:3">
      <c r="B35" s="126"/>
      <c r="C35" s="126"/>
    </row>
    <row r="36" spans="2:3">
      <c r="B36" s="126"/>
      <c r="C36" s="126"/>
    </row>
    <row r="37" spans="2:3">
      <c r="B37" s="126"/>
      <c r="C37" s="126"/>
    </row>
    <row r="38" spans="2:3">
      <c r="B38" s="126"/>
      <c r="C38" s="126"/>
    </row>
    <row r="39" spans="2:3">
      <c r="B39" s="126"/>
      <c r="C39" s="126"/>
    </row>
    <row r="40" spans="2:3">
      <c r="B40" s="126"/>
      <c r="C40" s="126"/>
    </row>
    <row r="41" spans="2:3">
      <c r="B41" s="126"/>
      <c r="C41" s="126"/>
    </row>
    <row r="42" spans="2:3">
      <c r="B42" s="126"/>
      <c r="C42" s="126"/>
    </row>
    <row r="43" spans="2:3">
      <c r="B43" s="126"/>
      <c r="C43" s="126"/>
    </row>
    <row r="44" spans="2:3">
      <c r="B44" s="126"/>
      <c r="C44" s="126"/>
    </row>
    <row r="45" spans="2:3">
      <c r="B45" s="126"/>
      <c r="C45" s="126"/>
    </row>
    <row r="46" spans="2:3">
      <c r="C46" s="126"/>
    </row>
    <row r="47" spans="2:3">
      <c r="C47" s="126"/>
    </row>
    <row r="48" spans="2:3">
      <c r="B48" s="126"/>
      <c r="C48" s="126"/>
    </row>
    <row r="49" spans="2:3">
      <c r="B49" s="126"/>
      <c r="C49" s="126"/>
    </row>
    <row r="50" spans="2:3">
      <c r="B50" s="126"/>
      <c r="C50" s="126"/>
    </row>
    <row r="51" spans="2:3">
      <c r="B51" s="126"/>
      <c r="C51" s="126"/>
    </row>
    <row r="52" spans="2:3">
      <c r="B52" s="126"/>
      <c r="C52" s="126"/>
    </row>
    <row r="53" spans="2:3">
      <c r="B53" s="126"/>
      <c r="C53" s="126"/>
    </row>
  </sheetData>
  <pageMargins left="0.39370078740157505" right="0.39370078740157505" top="0.78740157480315009" bottom="0.78740157480315009" header="0.39370078740157505" footer="0.39370078740157505"/>
  <pageSetup paperSize="0" fitToWidth="0" fitToHeight="0" pageOrder="overThenDown" useFirstPageNumber="1" horizontalDpi="0" verticalDpi="0" copies="0"/>
  <headerFooter alignWithMargins="0"/>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T19"/>
  <sheetViews>
    <sheetView zoomScaleNormal="100" workbookViewId="0">
      <selection activeCell="B3" sqref="B3"/>
    </sheetView>
  </sheetViews>
  <sheetFormatPr baseColWidth="10" defaultRowHeight="14.25"/>
  <cols>
    <col min="12" max="12" width="21.75" customWidth="1"/>
  </cols>
  <sheetData>
    <row r="1" spans="1:20">
      <c r="A1" s="18" t="s">
        <v>3471</v>
      </c>
      <c r="B1" s="18" t="s">
        <v>3472</v>
      </c>
      <c r="J1" s="19"/>
    </row>
    <row r="2" spans="1:20">
      <c r="A2" s="28" t="s">
        <v>99</v>
      </c>
      <c r="B2" s="12">
        <f>Values!S13</f>
        <v>1</v>
      </c>
      <c r="C2" s="12"/>
      <c r="D2" s="12"/>
      <c r="E2" s="80" t="s">
        <v>3963</v>
      </c>
      <c r="F2" s="75">
        <v>1</v>
      </c>
      <c r="G2" s="75">
        <v>2</v>
      </c>
      <c r="H2" s="75">
        <v>3</v>
      </c>
      <c r="I2" s="75">
        <v>4</v>
      </c>
      <c r="J2" s="76">
        <v>5</v>
      </c>
      <c r="K2" s="19" t="s">
        <v>3477</v>
      </c>
      <c r="L2" s="241" t="s">
        <v>3962</v>
      </c>
      <c r="N2" s="18" t="str">
        <f>Castes!C5</f>
        <v>Solar Exalted</v>
      </c>
      <c r="O2" s="80" t="s">
        <v>3963</v>
      </c>
      <c r="P2" s="75">
        <v>1</v>
      </c>
      <c r="Q2" s="75">
        <v>2</v>
      </c>
      <c r="R2" s="75">
        <v>3</v>
      </c>
      <c r="S2" s="75">
        <v>4</v>
      </c>
      <c r="T2" s="76">
        <v>5</v>
      </c>
    </row>
    <row r="3" spans="1:20">
      <c r="A3" s="18" t="s">
        <v>228</v>
      </c>
      <c r="B3">
        <f>COUNTIF(Values!T73:T94,Merits!A18)</f>
        <v>0</v>
      </c>
      <c r="E3" s="77" t="s">
        <v>1432</v>
      </c>
      <c r="F3" t="e">
        <f>($L$3=$N$2)*P3+OR($L$3=$N$8,$L$3=$N$9)*P9+($L$3=$N$14)*P15</f>
        <v>#N/A</v>
      </c>
      <c r="G3" t="e">
        <f t="shared" ref="G3:J3" si="0">($L$3=$N$2)*Q3+OR($L$3=$N$8,$L$3=$N$9)*Q9+($L$3=$N$14)*Q15</f>
        <v>#N/A</v>
      </c>
      <c r="H3" t="e">
        <f t="shared" si="0"/>
        <v>#N/A</v>
      </c>
      <c r="I3" t="e">
        <f t="shared" si="0"/>
        <v>#N/A</v>
      </c>
      <c r="J3" s="78" t="e">
        <f t="shared" si="0"/>
        <v>#N/A</v>
      </c>
      <c r="K3" t="e">
        <f>HLOOKUP($B$2,$F$2:$J$6,ROW(K2),1)*$B$4</f>
        <v>#N/A</v>
      </c>
      <c r="L3" s="242" t="e">
        <f>VLOOKUP(Values!S6,Castes!$B$2:$C$25,2,FALSE)</f>
        <v>#N/A</v>
      </c>
      <c r="O3" s="77" t="s">
        <v>1432</v>
      </c>
      <c r="T3" s="78">
        <v>1</v>
      </c>
    </row>
    <row r="4" spans="1:20">
      <c r="A4" s="18" t="s">
        <v>3081</v>
      </c>
      <c r="B4">
        <f>COUNTIF(Values!$S$140:$S$239,"Ox-Body Technique")</f>
        <v>0</v>
      </c>
      <c r="E4" s="77" t="s">
        <v>3473</v>
      </c>
      <c r="F4" t="e">
        <f t="shared" ref="F4:J4" si="1">($L$3=$N$2)*P4+OR($L$3=$N$8,$L$3=$N$9)*P10+($L$3=$N$14)*P16</f>
        <v>#N/A</v>
      </c>
      <c r="G4" t="e">
        <f t="shared" si="1"/>
        <v>#N/A</v>
      </c>
      <c r="H4" t="e">
        <f t="shared" si="1"/>
        <v>#N/A</v>
      </c>
      <c r="I4" t="e">
        <f t="shared" si="1"/>
        <v>#N/A</v>
      </c>
      <c r="J4" s="78" t="e">
        <f t="shared" si="1"/>
        <v>#N/A</v>
      </c>
      <c r="K4" t="e">
        <f t="shared" ref="K4:K6" si="2">HLOOKUP($B$2,$F$2:$J$6,ROW(K3),1)*$B$4</f>
        <v>#N/A</v>
      </c>
      <c r="O4" s="77" t="s">
        <v>3473</v>
      </c>
      <c r="P4">
        <v>1</v>
      </c>
      <c r="Q4">
        <v>1</v>
      </c>
      <c r="R4">
        <v>1</v>
      </c>
      <c r="S4">
        <v>1</v>
      </c>
      <c r="T4" s="78">
        <v>1</v>
      </c>
    </row>
    <row r="5" spans="1:20">
      <c r="E5" s="77" t="s">
        <v>3474</v>
      </c>
      <c r="F5" t="e">
        <f t="shared" ref="F5:J5" si="3">($L$3=$N$2)*P5+OR($L$3=$N$8,$L$3=$N$9)*P11+($L$3=$N$14)*P17</f>
        <v>#N/A</v>
      </c>
      <c r="G5" t="e">
        <f t="shared" si="3"/>
        <v>#N/A</v>
      </c>
      <c r="H5" t="e">
        <f t="shared" si="3"/>
        <v>#N/A</v>
      </c>
      <c r="I5" t="e">
        <f t="shared" si="3"/>
        <v>#N/A</v>
      </c>
      <c r="J5" s="78" t="e">
        <f t="shared" si="3"/>
        <v>#N/A</v>
      </c>
      <c r="K5" t="e">
        <f t="shared" si="2"/>
        <v>#N/A</v>
      </c>
      <c r="O5" s="77" t="s">
        <v>3474</v>
      </c>
      <c r="P5">
        <v>1</v>
      </c>
      <c r="Q5">
        <v>2</v>
      </c>
      <c r="R5">
        <v>2</v>
      </c>
      <c r="S5">
        <v>2</v>
      </c>
      <c r="T5" s="78">
        <v>1</v>
      </c>
    </row>
    <row r="6" spans="1:20">
      <c r="E6" s="79" t="s">
        <v>3475</v>
      </c>
      <c r="F6" s="31" t="e">
        <f t="shared" ref="F6:J6" si="4">($L$3=$N$2)*P6+OR($L$3=$N$8,$L$3=$N$9)*P12+($L$3=$N$14)*P18</f>
        <v>#N/A</v>
      </c>
      <c r="G6" s="31" t="e">
        <f t="shared" si="4"/>
        <v>#N/A</v>
      </c>
      <c r="H6" s="31" t="e">
        <f t="shared" si="4"/>
        <v>#N/A</v>
      </c>
      <c r="I6" s="31" t="e">
        <f t="shared" si="4"/>
        <v>#N/A</v>
      </c>
      <c r="J6" s="11" t="e">
        <f t="shared" si="4"/>
        <v>#N/A</v>
      </c>
      <c r="K6" t="e">
        <f t="shared" si="2"/>
        <v>#N/A</v>
      </c>
      <c r="O6" s="79" t="s">
        <v>3475</v>
      </c>
      <c r="P6" s="239"/>
      <c r="Q6" s="239"/>
      <c r="R6" s="239"/>
      <c r="S6" s="239"/>
      <c r="T6" s="11"/>
    </row>
    <row r="7" spans="1:20">
      <c r="F7" s="74"/>
      <c r="G7" s="74"/>
      <c r="H7" s="74"/>
      <c r="I7" s="74"/>
    </row>
    <row r="8" spans="1:20">
      <c r="F8" s="74"/>
      <c r="G8" s="74"/>
      <c r="H8" s="74"/>
      <c r="I8" s="74"/>
      <c r="N8" s="18" t="str">
        <f>Castes!C11</f>
        <v>Dragon Blooded</v>
      </c>
      <c r="O8" s="80" t="s">
        <v>3963</v>
      </c>
      <c r="P8" s="75">
        <v>1</v>
      </c>
      <c r="Q8" s="75">
        <v>2</v>
      </c>
      <c r="R8" s="75">
        <v>3</v>
      </c>
      <c r="S8" s="75">
        <v>4</v>
      </c>
      <c r="T8" s="76">
        <v>5</v>
      </c>
    </row>
    <row r="9" spans="1:20">
      <c r="D9" s="74"/>
      <c r="E9" s="74"/>
      <c r="F9" s="74"/>
      <c r="G9" s="74"/>
      <c r="H9" s="74"/>
      <c r="I9" s="74"/>
      <c r="N9" t="str">
        <f>Castes!C16</f>
        <v>Just Hatched</v>
      </c>
      <c r="O9" s="77" t="s">
        <v>1432</v>
      </c>
      <c r="T9" s="78"/>
    </row>
    <row r="10" spans="1:20">
      <c r="D10" s="74"/>
      <c r="E10" s="74"/>
      <c r="F10" s="74"/>
      <c r="G10" s="74"/>
      <c r="H10" s="74"/>
      <c r="I10" s="74"/>
      <c r="O10" s="77" t="s">
        <v>3473</v>
      </c>
      <c r="R10">
        <v>1</v>
      </c>
      <c r="S10">
        <v>1</v>
      </c>
      <c r="T10" s="78">
        <v>1</v>
      </c>
    </row>
    <row r="11" spans="1:20">
      <c r="D11" s="74"/>
      <c r="E11" s="74"/>
      <c r="F11" s="74"/>
      <c r="G11" s="74"/>
      <c r="H11" s="74"/>
      <c r="I11" s="74"/>
      <c r="O11" s="77" t="s">
        <v>3474</v>
      </c>
      <c r="P11">
        <v>2</v>
      </c>
      <c r="Q11">
        <v>2</v>
      </c>
      <c r="R11">
        <v>1</v>
      </c>
      <c r="S11">
        <v>1</v>
      </c>
      <c r="T11" s="78">
        <v>2</v>
      </c>
    </row>
    <row r="12" spans="1:20">
      <c r="D12" s="74"/>
      <c r="E12" s="74"/>
      <c r="F12" s="74"/>
      <c r="G12" s="74"/>
      <c r="H12" s="74"/>
      <c r="I12" s="74"/>
      <c r="O12" s="79" t="s">
        <v>3475</v>
      </c>
      <c r="P12" s="239"/>
      <c r="Q12" s="239"/>
      <c r="R12" s="239"/>
      <c r="S12" s="239"/>
      <c r="T12" s="11"/>
    </row>
    <row r="13" spans="1:20" ht="57">
      <c r="A13" s="74" t="s">
        <v>3480</v>
      </c>
      <c r="B13" s="74" t="s">
        <v>3476</v>
      </c>
      <c r="C13" s="74" t="s">
        <v>228</v>
      </c>
      <c r="D13" s="74" t="s">
        <v>3081</v>
      </c>
      <c r="E13" s="74" t="s">
        <v>55</v>
      </c>
      <c r="F13" s="83" t="s">
        <v>3479</v>
      </c>
      <c r="G13" s="82" t="s">
        <v>3478</v>
      </c>
      <c r="H13" s="82"/>
      <c r="I13" s="82"/>
    </row>
    <row r="14" spans="1:20">
      <c r="A14" s="81" t="s">
        <v>1432</v>
      </c>
      <c r="B14" s="1">
        <v>1</v>
      </c>
      <c r="C14" s="1">
        <f>B3</f>
        <v>0</v>
      </c>
      <c r="D14" s="1" t="e">
        <f>K3</f>
        <v>#N/A</v>
      </c>
      <c r="E14" s="1" t="e">
        <f>SUM(B14:D14)</f>
        <v>#N/A</v>
      </c>
      <c r="F14">
        <v>1</v>
      </c>
      <c r="G14" t="str">
        <f>A14</f>
        <v>-0</v>
      </c>
      <c r="N14" t="str">
        <f>Castes!C22</f>
        <v>Lunar</v>
      </c>
      <c r="O14" s="80" t="s">
        <v>3963</v>
      </c>
      <c r="P14" s="75">
        <v>1</v>
      </c>
      <c r="Q14" s="75">
        <v>2</v>
      </c>
      <c r="R14" s="75">
        <v>3</v>
      </c>
      <c r="S14" s="75">
        <v>4</v>
      </c>
      <c r="T14" s="76">
        <v>5</v>
      </c>
    </row>
    <row r="15" spans="1:20">
      <c r="A15" s="81" t="s">
        <v>3473</v>
      </c>
      <c r="B15" s="1">
        <v>2</v>
      </c>
      <c r="C15" s="1"/>
      <c r="D15" s="1" t="e">
        <f>K4</f>
        <v>#N/A</v>
      </c>
      <c r="E15" s="1" t="e">
        <f>SUM(B15:D15)</f>
        <v>#N/A</v>
      </c>
      <c r="F15" t="e">
        <f>SUM($E$14:E14)+1</f>
        <v>#N/A</v>
      </c>
      <c r="G15" t="str">
        <f t="shared" ref="G15:G18" si="5">A15</f>
        <v>-1</v>
      </c>
      <c r="O15" s="77" t="s">
        <v>1432</v>
      </c>
      <c r="T15" s="78"/>
    </row>
    <row r="16" spans="1:20">
      <c r="A16" s="81" t="s">
        <v>3474</v>
      </c>
      <c r="B16" s="1">
        <v>2</v>
      </c>
      <c r="C16" s="1"/>
      <c r="D16" s="1" t="e">
        <f>K5</f>
        <v>#N/A</v>
      </c>
      <c r="E16" s="1" t="e">
        <f>SUM(B16:D16)</f>
        <v>#N/A</v>
      </c>
      <c r="F16" t="e">
        <f>SUM($E$14:E15)+1</f>
        <v>#N/A</v>
      </c>
      <c r="G16" t="str">
        <f t="shared" si="5"/>
        <v>-2</v>
      </c>
      <c r="O16" s="77" t="s">
        <v>3473</v>
      </c>
      <c r="T16" s="78">
        <v>1</v>
      </c>
    </row>
    <row r="17" spans="1:20">
      <c r="A17" s="81" t="s">
        <v>3475</v>
      </c>
      <c r="B17" s="1">
        <v>1</v>
      </c>
      <c r="C17" s="1"/>
      <c r="D17" s="1" t="e">
        <f>K6</f>
        <v>#N/A</v>
      </c>
      <c r="E17" s="1" t="e">
        <f>SUM(B17:D17)</f>
        <v>#N/A</v>
      </c>
      <c r="F17" t="e">
        <f>SUM($E$14:E16)+1</f>
        <v>#N/A</v>
      </c>
      <c r="G17" t="str">
        <f t="shared" si="5"/>
        <v>-4</v>
      </c>
      <c r="O17" s="77" t="s">
        <v>3474</v>
      </c>
      <c r="P17">
        <v>2</v>
      </c>
      <c r="Q17">
        <v>2</v>
      </c>
      <c r="R17">
        <v>2</v>
      </c>
      <c r="S17">
        <v>2</v>
      </c>
      <c r="T17" s="78">
        <v>1</v>
      </c>
    </row>
    <row r="18" spans="1:20">
      <c r="A18" s="81" t="s">
        <v>202</v>
      </c>
      <c r="B18" s="1">
        <v>1</v>
      </c>
      <c r="C18" s="1"/>
      <c r="D18" s="1"/>
      <c r="E18" s="1">
        <f>SUM(B18:D18)</f>
        <v>1</v>
      </c>
      <c r="F18" t="e">
        <f>SUM($E$14:E17)+1</f>
        <v>#N/A</v>
      </c>
      <c r="G18" t="str">
        <f t="shared" si="5"/>
        <v>I</v>
      </c>
      <c r="O18" s="79" t="s">
        <v>3475</v>
      </c>
      <c r="P18" s="239"/>
      <c r="Q18" s="239"/>
      <c r="R18" s="240">
        <v>1</v>
      </c>
      <c r="S18" s="240">
        <v>1</v>
      </c>
      <c r="T18" s="11">
        <v>2</v>
      </c>
    </row>
    <row r="19" spans="1:20">
      <c r="F19" t="e">
        <f>SUM($E$14:E18)+1</f>
        <v>#N/A</v>
      </c>
      <c r="G19" s="18" t="s">
        <v>203</v>
      </c>
      <c r="H19" s="18"/>
      <c r="I19" s="18"/>
    </row>
  </sheetData>
  <pageMargins left="0.7" right="0.7" top="0.75" bottom="0.75" header="0.3" footer="0.3"/>
  <cellWatches>
    <cellWatch r="L3"/>
  </cellWatches>
  <legacy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Feuil11"/>
  <dimension ref="A1:U101"/>
  <sheetViews>
    <sheetView topLeftCell="A87" workbookViewId="0">
      <selection activeCell="D98" sqref="D98"/>
    </sheetView>
  </sheetViews>
  <sheetFormatPr baseColWidth="10" defaultRowHeight="14.25"/>
  <cols>
    <col min="1" max="1" width="22.5" customWidth="1"/>
    <col min="2" max="6" width="2.375" customWidth="1"/>
    <col min="7" max="7" width="16.875" bestFit="1" customWidth="1"/>
    <col min="8" max="8" width="38.875" bestFit="1" customWidth="1"/>
    <col min="9" max="9" width="15" bestFit="1" customWidth="1"/>
    <col min="11" max="15" width="2.875" bestFit="1" customWidth="1"/>
    <col min="16" max="16" width="2.875" customWidth="1"/>
    <col min="17" max="21" width="3.375" bestFit="1" customWidth="1"/>
  </cols>
  <sheetData>
    <row r="1" spans="1:21">
      <c r="A1" s="19"/>
      <c r="B1" s="548" t="s">
        <v>204</v>
      </c>
      <c r="C1" s="548"/>
      <c r="D1" s="548"/>
      <c r="E1" s="548"/>
      <c r="F1" s="548"/>
      <c r="G1" t="s">
        <v>81</v>
      </c>
      <c r="H1" t="s">
        <v>205</v>
      </c>
      <c r="I1" t="s">
        <v>1431</v>
      </c>
      <c r="J1" s="32" t="s">
        <v>3232</v>
      </c>
      <c r="K1" s="19" t="s">
        <v>3965</v>
      </c>
      <c r="L1" s="19" t="s">
        <v>3966</v>
      </c>
      <c r="M1" s="19" t="s">
        <v>3967</v>
      </c>
      <c r="N1" s="19" t="s">
        <v>3970</v>
      </c>
      <c r="O1" s="19" t="s">
        <v>3971</v>
      </c>
      <c r="P1" s="19">
        <v>0</v>
      </c>
      <c r="Q1" s="39">
        <v>1</v>
      </c>
      <c r="R1" s="39">
        <v>2</v>
      </c>
      <c r="S1" s="39">
        <v>3</v>
      </c>
      <c r="T1" s="39">
        <v>4</v>
      </c>
      <c r="U1" s="39">
        <v>5</v>
      </c>
    </row>
    <row r="2" spans="1:21">
      <c r="A2" t="s">
        <v>206</v>
      </c>
      <c r="B2">
        <v>1</v>
      </c>
      <c r="C2">
        <v>3</v>
      </c>
      <c r="D2">
        <v>5</v>
      </c>
      <c r="G2" t="s">
        <v>207</v>
      </c>
      <c r="K2">
        <f>COUNTIF($B2:$F2,K$1)*K$1*3</f>
        <v>3</v>
      </c>
      <c r="L2">
        <f t="shared" ref="K2:O27" si="0">COUNTIF($B2:$F2,L$1)*L$1*3</f>
        <v>0</v>
      </c>
      <c r="M2">
        <f t="shared" si="0"/>
        <v>9</v>
      </c>
      <c r="N2">
        <f t="shared" si="0"/>
        <v>0</v>
      </c>
      <c r="O2">
        <f t="shared" si="0"/>
        <v>15</v>
      </c>
      <c r="P2">
        <v>0</v>
      </c>
      <c r="Q2">
        <f>SUM($K2:K2)</f>
        <v>3</v>
      </c>
      <c r="R2">
        <f>SUM($K2:L2)</f>
        <v>3</v>
      </c>
      <c r="S2">
        <f>SUM($K2:M2)</f>
        <v>12</v>
      </c>
      <c r="T2">
        <f>SUM($K2:N2)</f>
        <v>12</v>
      </c>
      <c r="U2">
        <f>SUM($K2:O2)</f>
        <v>27</v>
      </c>
    </row>
    <row r="3" spans="1:21">
      <c r="A3" t="s">
        <v>208</v>
      </c>
      <c r="B3">
        <v>1</v>
      </c>
      <c r="C3">
        <v>2</v>
      </c>
      <c r="G3" t="s">
        <v>209</v>
      </c>
      <c r="K3">
        <f t="shared" si="0"/>
        <v>3</v>
      </c>
      <c r="L3">
        <f t="shared" si="0"/>
        <v>6</v>
      </c>
      <c r="M3">
        <f t="shared" si="0"/>
        <v>0</v>
      </c>
      <c r="N3">
        <f t="shared" si="0"/>
        <v>0</v>
      </c>
      <c r="O3">
        <f t="shared" si="0"/>
        <v>0</v>
      </c>
      <c r="P3">
        <v>0</v>
      </c>
      <c r="Q3">
        <f>SUM($K3:K3)</f>
        <v>3</v>
      </c>
      <c r="R3">
        <f>SUM($K3:L3)</f>
        <v>9</v>
      </c>
      <c r="S3">
        <f>SUM($K3:M3)</f>
        <v>9</v>
      </c>
      <c r="T3">
        <f>SUM($K3:N3)</f>
        <v>9</v>
      </c>
      <c r="U3">
        <f>SUM($K3:O3)</f>
        <v>9</v>
      </c>
    </row>
    <row r="4" spans="1:21">
      <c r="A4" t="s">
        <v>210</v>
      </c>
      <c r="B4">
        <v>2</v>
      </c>
      <c r="C4">
        <v>3</v>
      </c>
      <c r="D4">
        <v>4</v>
      </c>
      <c r="E4">
        <v>5</v>
      </c>
      <c r="G4" t="s">
        <v>207</v>
      </c>
      <c r="K4">
        <f t="shared" si="0"/>
        <v>0</v>
      </c>
      <c r="L4">
        <f t="shared" si="0"/>
        <v>6</v>
      </c>
      <c r="M4">
        <f t="shared" si="0"/>
        <v>9</v>
      </c>
      <c r="N4">
        <f t="shared" si="0"/>
        <v>12</v>
      </c>
      <c r="O4">
        <f t="shared" si="0"/>
        <v>15</v>
      </c>
      <c r="P4">
        <v>0</v>
      </c>
      <c r="Q4">
        <f>SUM($K4:K4)</f>
        <v>0</v>
      </c>
      <c r="R4">
        <f>SUM($K4:L4)</f>
        <v>6</v>
      </c>
      <c r="S4">
        <f>SUM($K4:M4)</f>
        <v>15</v>
      </c>
      <c r="T4">
        <f>SUM($K4:N4)</f>
        <v>27</v>
      </c>
      <c r="U4">
        <f>SUM($K4:O4)</f>
        <v>42</v>
      </c>
    </row>
    <row r="5" spans="1:21">
      <c r="A5" t="s">
        <v>211</v>
      </c>
      <c r="B5">
        <v>2</v>
      </c>
      <c r="C5">
        <v>3</v>
      </c>
      <c r="D5">
        <v>4</v>
      </c>
      <c r="G5" t="s">
        <v>207</v>
      </c>
      <c r="K5">
        <f t="shared" si="0"/>
        <v>0</v>
      </c>
      <c r="L5">
        <f t="shared" si="0"/>
        <v>6</v>
      </c>
      <c r="M5">
        <f t="shared" si="0"/>
        <v>9</v>
      </c>
      <c r="N5">
        <f t="shared" si="0"/>
        <v>12</v>
      </c>
      <c r="O5">
        <f t="shared" si="0"/>
        <v>0</v>
      </c>
      <c r="P5">
        <v>0</v>
      </c>
      <c r="Q5">
        <f>SUM($K5:K5)</f>
        <v>0</v>
      </c>
      <c r="R5">
        <f>SUM($K5:L5)</f>
        <v>6</v>
      </c>
      <c r="S5">
        <f>SUM($K5:M5)</f>
        <v>15</v>
      </c>
      <c r="T5">
        <f>SUM($K5:N5)</f>
        <v>27</v>
      </c>
      <c r="U5">
        <f>SUM($K5:O5)</f>
        <v>27</v>
      </c>
    </row>
    <row r="6" spans="1:21">
      <c r="A6" t="s">
        <v>212</v>
      </c>
      <c r="B6">
        <v>2</v>
      </c>
      <c r="G6" t="s">
        <v>213</v>
      </c>
      <c r="H6" t="s">
        <v>214</v>
      </c>
      <c r="I6" t="b">
        <f>OR(Values!$S$13=3,Values!$S$43=3)</f>
        <v>0</v>
      </c>
      <c r="K6">
        <f t="shared" si="0"/>
        <v>0</v>
      </c>
      <c r="L6">
        <f t="shared" si="0"/>
        <v>6</v>
      </c>
      <c r="M6">
        <f t="shared" si="0"/>
        <v>0</v>
      </c>
      <c r="N6">
        <f t="shared" si="0"/>
        <v>0</v>
      </c>
      <c r="O6">
        <f t="shared" si="0"/>
        <v>0</v>
      </c>
      <c r="P6">
        <v>0</v>
      </c>
      <c r="Q6">
        <f>SUM($K6:K6)</f>
        <v>0</v>
      </c>
      <c r="R6">
        <f>SUM($K6:L6)</f>
        <v>6</v>
      </c>
      <c r="S6">
        <f>SUM($K6:M6)</f>
        <v>6</v>
      </c>
      <c r="T6">
        <f>SUM($K6:N6)</f>
        <v>6</v>
      </c>
      <c r="U6">
        <f>SUM($K6:O6)</f>
        <v>6</v>
      </c>
    </row>
    <row r="7" spans="1:21">
      <c r="A7" t="s">
        <v>215</v>
      </c>
      <c r="B7">
        <v>2</v>
      </c>
      <c r="C7">
        <v>3</v>
      </c>
      <c r="D7">
        <v>4</v>
      </c>
      <c r="E7">
        <v>5</v>
      </c>
      <c r="G7" t="s">
        <v>207</v>
      </c>
      <c r="K7">
        <f t="shared" si="0"/>
        <v>0</v>
      </c>
      <c r="L7">
        <f t="shared" si="0"/>
        <v>6</v>
      </c>
      <c r="M7">
        <f t="shared" si="0"/>
        <v>9</v>
      </c>
      <c r="N7">
        <f t="shared" si="0"/>
        <v>12</v>
      </c>
      <c r="O7">
        <f t="shared" si="0"/>
        <v>15</v>
      </c>
      <c r="P7">
        <v>0</v>
      </c>
      <c r="Q7">
        <f>SUM($K7:K7)</f>
        <v>0</v>
      </c>
      <c r="R7">
        <f>SUM($K7:L7)</f>
        <v>6</v>
      </c>
      <c r="S7">
        <f>SUM($K7:M7)</f>
        <v>15</v>
      </c>
      <c r="T7">
        <f>SUM($K7:N7)</f>
        <v>27</v>
      </c>
      <c r="U7">
        <f>SUM($K7:O7)</f>
        <v>42</v>
      </c>
    </row>
    <row r="8" spans="1:21">
      <c r="A8" t="s">
        <v>216</v>
      </c>
      <c r="B8">
        <v>1</v>
      </c>
      <c r="C8">
        <v>3</v>
      </c>
      <c r="D8">
        <v>5</v>
      </c>
      <c r="G8" t="s">
        <v>207</v>
      </c>
      <c r="K8">
        <f t="shared" si="0"/>
        <v>3</v>
      </c>
      <c r="L8">
        <f t="shared" si="0"/>
        <v>0</v>
      </c>
      <c r="M8">
        <f t="shared" si="0"/>
        <v>9</v>
      </c>
      <c r="N8">
        <f t="shared" si="0"/>
        <v>0</v>
      </c>
      <c r="O8">
        <f t="shared" si="0"/>
        <v>15</v>
      </c>
      <c r="P8">
        <v>0</v>
      </c>
      <c r="Q8">
        <f>SUM($K8:K8)</f>
        <v>3</v>
      </c>
      <c r="R8">
        <f>SUM($K8:L8)</f>
        <v>3</v>
      </c>
      <c r="S8">
        <f>SUM($K8:M8)</f>
        <v>12</v>
      </c>
      <c r="T8">
        <f>SUM($K8:N8)</f>
        <v>12</v>
      </c>
      <c r="U8">
        <f>SUM($K8:O8)</f>
        <v>27</v>
      </c>
    </row>
    <row r="9" spans="1:21">
      <c r="A9" t="s">
        <v>217</v>
      </c>
      <c r="B9">
        <v>1</v>
      </c>
      <c r="C9">
        <v>2</v>
      </c>
      <c r="D9">
        <v>3</v>
      </c>
      <c r="E9">
        <v>4</v>
      </c>
      <c r="F9">
        <v>5</v>
      </c>
      <c r="G9" t="s">
        <v>207</v>
      </c>
      <c r="K9">
        <f t="shared" si="0"/>
        <v>3</v>
      </c>
      <c r="L9">
        <f t="shared" si="0"/>
        <v>6</v>
      </c>
      <c r="M9">
        <f t="shared" si="0"/>
        <v>9</v>
      </c>
      <c r="N9">
        <f t="shared" si="0"/>
        <v>12</v>
      </c>
      <c r="O9">
        <f t="shared" si="0"/>
        <v>15</v>
      </c>
      <c r="P9">
        <v>0</v>
      </c>
      <c r="Q9">
        <f>SUM($K9:K9)</f>
        <v>3</v>
      </c>
      <c r="R9">
        <f>SUM($K9:L9)</f>
        <v>9</v>
      </c>
      <c r="S9">
        <f>SUM($K9:M9)</f>
        <v>18</v>
      </c>
      <c r="T9">
        <f>SUM($K9:N9)</f>
        <v>30</v>
      </c>
      <c r="U9">
        <f>SUM($K9:O9)</f>
        <v>45</v>
      </c>
    </row>
    <row r="10" spans="1:21">
      <c r="A10" t="s">
        <v>218</v>
      </c>
      <c r="B10">
        <v>3</v>
      </c>
      <c r="G10" t="s">
        <v>209</v>
      </c>
      <c r="K10">
        <f t="shared" si="0"/>
        <v>0</v>
      </c>
      <c r="L10">
        <f t="shared" si="0"/>
        <v>0</v>
      </c>
      <c r="M10">
        <f t="shared" si="0"/>
        <v>9</v>
      </c>
      <c r="N10">
        <f t="shared" si="0"/>
        <v>0</v>
      </c>
      <c r="O10">
        <f t="shared" si="0"/>
        <v>0</v>
      </c>
      <c r="P10">
        <v>0</v>
      </c>
      <c r="Q10">
        <f>SUM($K10:K10)</f>
        <v>0</v>
      </c>
      <c r="R10">
        <f>SUM($K10:L10)</f>
        <v>0</v>
      </c>
      <c r="S10">
        <f>SUM($K10:M10)</f>
        <v>9</v>
      </c>
      <c r="T10">
        <f>SUM($K10:N10)</f>
        <v>9</v>
      </c>
      <c r="U10">
        <f>SUM($K10:O10)</f>
        <v>9</v>
      </c>
    </row>
    <row r="11" spans="1:21">
      <c r="A11" t="s">
        <v>219</v>
      </c>
      <c r="B11">
        <v>2</v>
      </c>
      <c r="C11">
        <v>4</v>
      </c>
      <c r="G11" t="s">
        <v>207</v>
      </c>
      <c r="K11">
        <f t="shared" si="0"/>
        <v>0</v>
      </c>
      <c r="L11">
        <f t="shared" si="0"/>
        <v>6</v>
      </c>
      <c r="M11">
        <f t="shared" si="0"/>
        <v>0</v>
      </c>
      <c r="N11">
        <f t="shared" si="0"/>
        <v>12</v>
      </c>
      <c r="O11">
        <f t="shared" si="0"/>
        <v>0</v>
      </c>
      <c r="P11">
        <v>0</v>
      </c>
      <c r="Q11">
        <f>SUM($K11:K11)</f>
        <v>0</v>
      </c>
      <c r="R11">
        <f>SUM($K11:L11)</f>
        <v>6</v>
      </c>
      <c r="S11">
        <f>SUM($K11:M11)</f>
        <v>6</v>
      </c>
      <c r="T11">
        <f>SUM($K11:N11)</f>
        <v>18</v>
      </c>
      <c r="U11">
        <f>SUM($K11:O11)</f>
        <v>18</v>
      </c>
    </row>
    <row r="12" spans="1:21">
      <c r="A12" t="s">
        <v>220</v>
      </c>
      <c r="B12">
        <v>1</v>
      </c>
      <c r="G12" t="s">
        <v>209</v>
      </c>
      <c r="K12">
        <f t="shared" si="0"/>
        <v>3</v>
      </c>
      <c r="L12">
        <f t="shared" si="0"/>
        <v>0</v>
      </c>
      <c r="M12">
        <f t="shared" si="0"/>
        <v>0</v>
      </c>
      <c r="N12">
        <f t="shared" si="0"/>
        <v>0</v>
      </c>
      <c r="O12">
        <f t="shared" si="0"/>
        <v>0</v>
      </c>
      <c r="P12">
        <v>0</v>
      </c>
      <c r="Q12">
        <f>SUM($K12:K12)</f>
        <v>3</v>
      </c>
      <c r="R12">
        <f>SUM($K12:L12)</f>
        <v>3</v>
      </c>
      <c r="S12">
        <f>SUM($K12:M12)</f>
        <v>3</v>
      </c>
      <c r="T12">
        <f>SUM($K12:N12)</f>
        <v>3</v>
      </c>
      <c r="U12">
        <f>SUM($K12:O12)</f>
        <v>3</v>
      </c>
    </row>
    <row r="13" spans="1:21">
      <c r="A13" t="s">
        <v>221</v>
      </c>
      <c r="B13">
        <v>2</v>
      </c>
      <c r="G13" t="s">
        <v>209</v>
      </c>
      <c r="K13">
        <f t="shared" si="0"/>
        <v>0</v>
      </c>
      <c r="L13">
        <f t="shared" si="0"/>
        <v>6</v>
      </c>
      <c r="M13">
        <f t="shared" si="0"/>
        <v>0</v>
      </c>
      <c r="N13">
        <f t="shared" si="0"/>
        <v>0</v>
      </c>
      <c r="O13">
        <f t="shared" si="0"/>
        <v>0</v>
      </c>
      <c r="P13">
        <v>0</v>
      </c>
      <c r="Q13">
        <f>SUM($K13:K13)</f>
        <v>0</v>
      </c>
      <c r="R13">
        <f>SUM($K13:L13)</f>
        <v>6</v>
      </c>
      <c r="S13">
        <f>SUM($K13:M13)</f>
        <v>6</v>
      </c>
      <c r="T13">
        <f>SUM($K13:N13)</f>
        <v>6</v>
      </c>
      <c r="U13">
        <f>SUM($K13:O13)</f>
        <v>6</v>
      </c>
    </row>
    <row r="14" spans="1:21">
      <c r="A14" t="s">
        <v>222</v>
      </c>
      <c r="B14">
        <v>1</v>
      </c>
      <c r="C14">
        <v>2</v>
      </c>
      <c r="D14">
        <v>3</v>
      </c>
      <c r="G14" t="s">
        <v>207</v>
      </c>
      <c r="K14">
        <f t="shared" si="0"/>
        <v>3</v>
      </c>
      <c r="L14">
        <f t="shared" si="0"/>
        <v>6</v>
      </c>
      <c r="M14">
        <f t="shared" si="0"/>
        <v>9</v>
      </c>
      <c r="N14">
        <f t="shared" si="0"/>
        <v>0</v>
      </c>
      <c r="O14">
        <f t="shared" si="0"/>
        <v>0</v>
      </c>
      <c r="P14">
        <v>0</v>
      </c>
      <c r="Q14">
        <f>SUM($K14:K14)</f>
        <v>3</v>
      </c>
      <c r="R14">
        <f>SUM($K14:L14)</f>
        <v>9</v>
      </c>
      <c r="S14">
        <f>SUM($K14:M14)</f>
        <v>18</v>
      </c>
      <c r="T14">
        <f>SUM($K14:N14)</f>
        <v>18</v>
      </c>
      <c r="U14">
        <f>SUM($K14:O14)</f>
        <v>18</v>
      </c>
    </row>
    <row r="15" spans="1:21">
      <c r="A15" t="s">
        <v>223</v>
      </c>
      <c r="B15">
        <v>3</v>
      </c>
      <c r="G15" t="s">
        <v>213</v>
      </c>
      <c r="H15" t="s">
        <v>224</v>
      </c>
      <c r="I15" t="b">
        <f>OR(Values!$S$21=3)</f>
        <v>0</v>
      </c>
      <c r="K15">
        <f t="shared" si="0"/>
        <v>0</v>
      </c>
      <c r="L15">
        <f t="shared" si="0"/>
        <v>0</v>
      </c>
      <c r="M15">
        <f t="shared" si="0"/>
        <v>9</v>
      </c>
      <c r="N15">
        <f t="shared" si="0"/>
        <v>0</v>
      </c>
      <c r="O15">
        <f t="shared" si="0"/>
        <v>0</v>
      </c>
      <c r="P15">
        <v>0</v>
      </c>
      <c r="Q15">
        <f>SUM($K15:K15)</f>
        <v>0</v>
      </c>
      <c r="R15">
        <f>SUM($K15:L15)</f>
        <v>0</v>
      </c>
      <c r="S15">
        <f>SUM($K15:M15)</f>
        <v>9</v>
      </c>
      <c r="T15">
        <f>SUM($K15:N15)</f>
        <v>9</v>
      </c>
      <c r="U15">
        <f>SUM($K15:O15)</f>
        <v>9</v>
      </c>
    </row>
    <row r="16" spans="1:21">
      <c r="A16" t="s">
        <v>225</v>
      </c>
      <c r="B16">
        <v>4</v>
      </c>
      <c r="G16" t="s">
        <v>213</v>
      </c>
      <c r="H16" t="s">
        <v>226</v>
      </c>
      <c r="I16" t="b">
        <f>OR(Values!$S$12=3)</f>
        <v>0</v>
      </c>
      <c r="K16">
        <f t="shared" si="0"/>
        <v>0</v>
      </c>
      <c r="L16">
        <f t="shared" si="0"/>
        <v>0</v>
      </c>
      <c r="M16">
        <f t="shared" si="0"/>
        <v>0</v>
      </c>
      <c r="N16">
        <f t="shared" si="0"/>
        <v>12</v>
      </c>
      <c r="O16">
        <f t="shared" si="0"/>
        <v>0</v>
      </c>
      <c r="P16">
        <v>0</v>
      </c>
      <c r="Q16">
        <f>SUM($K16:K16)</f>
        <v>0</v>
      </c>
      <c r="R16">
        <f>SUM($K16:L16)</f>
        <v>0</v>
      </c>
      <c r="S16">
        <f>SUM($K16:M16)</f>
        <v>0</v>
      </c>
      <c r="T16">
        <f>SUM($K16:N16)</f>
        <v>12</v>
      </c>
      <c r="U16">
        <f>SUM($K16:O16)</f>
        <v>12</v>
      </c>
    </row>
    <row r="17" spans="1:21">
      <c r="A17" t="s">
        <v>227</v>
      </c>
      <c r="B17">
        <v>1</v>
      </c>
      <c r="C17">
        <v>2</v>
      </c>
      <c r="D17">
        <v>3</v>
      </c>
      <c r="G17" t="s">
        <v>207</v>
      </c>
      <c r="K17">
        <f t="shared" si="0"/>
        <v>3</v>
      </c>
      <c r="L17">
        <f t="shared" si="0"/>
        <v>6</v>
      </c>
      <c r="M17">
        <f t="shared" si="0"/>
        <v>9</v>
      </c>
      <c r="N17">
        <f t="shared" si="0"/>
        <v>0</v>
      </c>
      <c r="O17">
        <f t="shared" si="0"/>
        <v>0</v>
      </c>
      <c r="P17">
        <v>0</v>
      </c>
      <c r="Q17">
        <f>SUM($K17:K17)</f>
        <v>3</v>
      </c>
      <c r="R17">
        <f>SUM($K17:L17)</f>
        <v>9</v>
      </c>
      <c r="S17">
        <f>SUM($K17:M17)</f>
        <v>18</v>
      </c>
      <c r="T17">
        <f>SUM($K17:N17)</f>
        <v>18</v>
      </c>
      <c r="U17">
        <f>SUM($K17:O17)</f>
        <v>18</v>
      </c>
    </row>
    <row r="18" spans="1:21">
      <c r="A18" t="s">
        <v>228</v>
      </c>
      <c r="B18">
        <v>4</v>
      </c>
      <c r="G18" t="s">
        <v>209</v>
      </c>
      <c r="H18" t="s">
        <v>229</v>
      </c>
      <c r="I18" t="b">
        <f>OR(Values!$S$13=3)</f>
        <v>0</v>
      </c>
      <c r="K18">
        <f t="shared" si="0"/>
        <v>0</v>
      </c>
      <c r="L18">
        <f t="shared" si="0"/>
        <v>0</v>
      </c>
      <c r="M18">
        <f t="shared" si="0"/>
        <v>0</v>
      </c>
      <c r="N18">
        <f t="shared" si="0"/>
        <v>12</v>
      </c>
      <c r="O18">
        <f t="shared" si="0"/>
        <v>0</v>
      </c>
      <c r="P18">
        <v>0</v>
      </c>
      <c r="Q18">
        <f>SUM($K18:K18)</f>
        <v>0</v>
      </c>
      <c r="R18">
        <f>SUM($K18:L18)</f>
        <v>0</v>
      </c>
      <c r="S18">
        <f>SUM($K18:M18)</f>
        <v>0</v>
      </c>
      <c r="T18">
        <f>SUM($K18:N18)</f>
        <v>12</v>
      </c>
      <c r="U18">
        <f>SUM($K18:O18)</f>
        <v>12</v>
      </c>
    </row>
    <row r="19" spans="1:21">
      <c r="A19" t="s">
        <v>230</v>
      </c>
      <c r="B19">
        <v>2</v>
      </c>
      <c r="C19">
        <v>4</v>
      </c>
      <c r="G19" t="s">
        <v>207</v>
      </c>
      <c r="K19">
        <f t="shared" si="0"/>
        <v>0</v>
      </c>
      <c r="L19">
        <f t="shared" si="0"/>
        <v>6</v>
      </c>
      <c r="M19">
        <f t="shared" si="0"/>
        <v>0</v>
      </c>
      <c r="N19">
        <f t="shared" si="0"/>
        <v>12</v>
      </c>
      <c r="O19">
        <f t="shared" si="0"/>
        <v>0</v>
      </c>
      <c r="P19">
        <v>0</v>
      </c>
      <c r="Q19">
        <f>SUM($K19:K19)</f>
        <v>0</v>
      </c>
      <c r="R19">
        <f>SUM($K19:L19)</f>
        <v>6</v>
      </c>
      <c r="S19">
        <f>SUM($K19:M19)</f>
        <v>6</v>
      </c>
      <c r="T19">
        <f>SUM($K19:N19)</f>
        <v>18</v>
      </c>
      <c r="U19">
        <f>SUM($K19:O19)</f>
        <v>18</v>
      </c>
    </row>
    <row r="20" spans="1:21">
      <c r="A20" t="s">
        <v>231</v>
      </c>
      <c r="B20">
        <v>0</v>
      </c>
      <c r="G20" t="s">
        <v>209</v>
      </c>
      <c r="K20">
        <f t="shared" si="0"/>
        <v>0</v>
      </c>
      <c r="L20">
        <f t="shared" si="0"/>
        <v>0</v>
      </c>
      <c r="M20">
        <f t="shared" si="0"/>
        <v>0</v>
      </c>
      <c r="N20">
        <f t="shared" si="0"/>
        <v>0</v>
      </c>
      <c r="O20">
        <f t="shared" si="0"/>
        <v>0</v>
      </c>
      <c r="P20">
        <v>0</v>
      </c>
      <c r="Q20">
        <f>SUM($K20:K20)</f>
        <v>0</v>
      </c>
      <c r="R20">
        <f>SUM($K20:L20)</f>
        <v>0</v>
      </c>
      <c r="S20">
        <f>SUM($K20:M20)</f>
        <v>0</v>
      </c>
      <c r="T20">
        <f>SUM($K20:N20)</f>
        <v>0</v>
      </c>
      <c r="U20">
        <f>SUM($K20:O20)</f>
        <v>0</v>
      </c>
    </row>
    <row r="21" spans="1:21">
      <c r="A21" t="s">
        <v>232</v>
      </c>
      <c r="B21">
        <v>1</v>
      </c>
      <c r="C21">
        <v>2</v>
      </c>
      <c r="D21">
        <v>3</v>
      </c>
      <c r="E21">
        <v>4</v>
      </c>
      <c r="F21">
        <v>5</v>
      </c>
      <c r="G21" t="s">
        <v>207</v>
      </c>
      <c r="K21">
        <f t="shared" si="0"/>
        <v>3</v>
      </c>
      <c r="L21">
        <f t="shared" si="0"/>
        <v>6</v>
      </c>
      <c r="M21">
        <f t="shared" si="0"/>
        <v>9</v>
      </c>
      <c r="N21">
        <f t="shared" si="0"/>
        <v>12</v>
      </c>
      <c r="O21">
        <f t="shared" si="0"/>
        <v>15</v>
      </c>
      <c r="P21">
        <v>0</v>
      </c>
      <c r="Q21">
        <f>SUM($K21:K21)</f>
        <v>3</v>
      </c>
      <c r="R21">
        <f>SUM($K21:L21)</f>
        <v>9</v>
      </c>
      <c r="S21">
        <f>SUM($K21:M21)</f>
        <v>18</v>
      </c>
      <c r="T21">
        <f>SUM($K21:N21)</f>
        <v>30</v>
      </c>
      <c r="U21">
        <f>SUM($K21:O21)</f>
        <v>45</v>
      </c>
    </row>
    <row r="22" spans="1:21">
      <c r="A22" t="s">
        <v>233</v>
      </c>
      <c r="B22">
        <v>1</v>
      </c>
      <c r="G22" t="s">
        <v>213</v>
      </c>
      <c r="H22" t="s">
        <v>214</v>
      </c>
      <c r="I22" t="b">
        <f>OR(Values!$S$13=3,Values!$S$43=3)</f>
        <v>0</v>
      </c>
      <c r="K22">
        <f t="shared" si="0"/>
        <v>3</v>
      </c>
      <c r="L22">
        <f t="shared" si="0"/>
        <v>0</v>
      </c>
      <c r="M22">
        <f t="shared" si="0"/>
        <v>0</v>
      </c>
      <c r="N22">
        <f t="shared" si="0"/>
        <v>0</v>
      </c>
      <c r="O22">
        <f t="shared" si="0"/>
        <v>0</v>
      </c>
      <c r="P22">
        <v>0</v>
      </c>
      <c r="Q22">
        <f>SUM($K22:K22)</f>
        <v>3</v>
      </c>
      <c r="R22">
        <f>SUM($K22:L22)</f>
        <v>3</v>
      </c>
      <c r="S22">
        <f>SUM($K22:M22)</f>
        <v>3</v>
      </c>
      <c r="T22">
        <f>SUM($K22:N22)</f>
        <v>3</v>
      </c>
      <c r="U22">
        <f>SUM($K22:O22)</f>
        <v>3</v>
      </c>
    </row>
    <row r="23" spans="1:21">
      <c r="A23" t="s">
        <v>234</v>
      </c>
      <c r="B23">
        <v>1</v>
      </c>
      <c r="G23" t="s">
        <v>213</v>
      </c>
      <c r="K23">
        <f t="shared" si="0"/>
        <v>3</v>
      </c>
      <c r="L23">
        <f t="shared" si="0"/>
        <v>0</v>
      </c>
      <c r="M23">
        <f t="shared" si="0"/>
        <v>0</v>
      </c>
      <c r="N23">
        <f t="shared" si="0"/>
        <v>0</v>
      </c>
      <c r="O23">
        <f t="shared" si="0"/>
        <v>0</v>
      </c>
      <c r="P23">
        <v>0</v>
      </c>
      <c r="Q23">
        <f>SUM($K23:K23)</f>
        <v>3</v>
      </c>
      <c r="R23">
        <f>SUM($K23:L23)</f>
        <v>3</v>
      </c>
      <c r="S23">
        <f>SUM($K23:M23)</f>
        <v>3</v>
      </c>
      <c r="T23">
        <f>SUM($K23:N23)</f>
        <v>3</v>
      </c>
      <c r="U23">
        <f>SUM($K23:O23)</f>
        <v>3</v>
      </c>
    </row>
    <row r="24" spans="1:21">
      <c r="A24" t="s">
        <v>235</v>
      </c>
      <c r="B24">
        <v>3</v>
      </c>
      <c r="C24">
        <v>4</v>
      </c>
      <c r="D24">
        <v>5</v>
      </c>
      <c r="G24" t="s">
        <v>207</v>
      </c>
      <c r="K24">
        <f t="shared" si="0"/>
        <v>0</v>
      </c>
      <c r="L24">
        <f t="shared" si="0"/>
        <v>0</v>
      </c>
      <c r="M24">
        <f t="shared" si="0"/>
        <v>9</v>
      </c>
      <c r="N24">
        <f t="shared" si="0"/>
        <v>12</v>
      </c>
      <c r="O24">
        <f t="shared" si="0"/>
        <v>15</v>
      </c>
      <c r="P24">
        <v>0</v>
      </c>
      <c r="Q24">
        <f>SUM($K24:K24)</f>
        <v>0</v>
      </c>
      <c r="R24">
        <f>SUM($K24:L24)</f>
        <v>0</v>
      </c>
      <c r="S24">
        <f>SUM($K24:M24)</f>
        <v>9</v>
      </c>
      <c r="T24">
        <f>SUM($K24:N24)</f>
        <v>21</v>
      </c>
      <c r="U24">
        <f>SUM($K24:O24)</f>
        <v>36</v>
      </c>
    </row>
    <row r="25" spans="1:21">
      <c r="A25" t="s">
        <v>236</v>
      </c>
      <c r="B25">
        <v>1</v>
      </c>
      <c r="C25">
        <v>2</v>
      </c>
      <c r="D25">
        <v>3</v>
      </c>
      <c r="G25" t="s">
        <v>207</v>
      </c>
      <c r="K25">
        <f t="shared" si="0"/>
        <v>3</v>
      </c>
      <c r="L25">
        <f t="shared" si="0"/>
        <v>6</v>
      </c>
      <c r="M25">
        <f t="shared" si="0"/>
        <v>9</v>
      </c>
      <c r="N25">
        <f t="shared" si="0"/>
        <v>0</v>
      </c>
      <c r="O25">
        <f t="shared" si="0"/>
        <v>0</v>
      </c>
      <c r="P25">
        <v>0</v>
      </c>
      <c r="Q25">
        <f>SUM($K25:K25)</f>
        <v>3</v>
      </c>
      <c r="R25">
        <f>SUM($K25:L25)</f>
        <v>9</v>
      </c>
      <c r="S25">
        <f>SUM($K25:M25)</f>
        <v>18</v>
      </c>
      <c r="T25">
        <f>SUM($K25:N25)</f>
        <v>18</v>
      </c>
      <c r="U25">
        <f>SUM($K25:O25)</f>
        <v>18</v>
      </c>
    </row>
    <row r="26" spans="1:21">
      <c r="A26" t="s">
        <v>237</v>
      </c>
      <c r="B26">
        <v>4</v>
      </c>
      <c r="G26" t="s">
        <v>213</v>
      </c>
      <c r="H26" t="s">
        <v>238</v>
      </c>
      <c r="I26" t="b">
        <f>OR(Values!$S$28=1)</f>
        <v>0</v>
      </c>
      <c r="K26">
        <f t="shared" si="0"/>
        <v>0</v>
      </c>
      <c r="L26">
        <f t="shared" si="0"/>
        <v>0</v>
      </c>
      <c r="M26">
        <f t="shared" si="0"/>
        <v>0</v>
      </c>
      <c r="N26">
        <f t="shared" si="0"/>
        <v>12</v>
      </c>
      <c r="O26">
        <f t="shared" si="0"/>
        <v>0</v>
      </c>
      <c r="P26">
        <v>0</v>
      </c>
      <c r="Q26">
        <f>SUM($K26:K26)</f>
        <v>0</v>
      </c>
      <c r="R26">
        <f>SUM($K26:L26)</f>
        <v>0</v>
      </c>
      <c r="S26">
        <f>SUM($K26:M26)</f>
        <v>0</v>
      </c>
      <c r="T26">
        <f>SUM($K26:N26)</f>
        <v>12</v>
      </c>
      <c r="U26">
        <f>SUM($K26:O26)</f>
        <v>12</v>
      </c>
    </row>
    <row r="27" spans="1:21">
      <c r="A27" t="s">
        <v>239</v>
      </c>
      <c r="B27">
        <v>1</v>
      </c>
      <c r="C27">
        <v>2</v>
      </c>
      <c r="D27">
        <v>3</v>
      </c>
      <c r="G27" t="s">
        <v>213</v>
      </c>
      <c r="H27" t="s">
        <v>240</v>
      </c>
      <c r="I27" t="b">
        <f>OR(Values!$S$11=3)</f>
        <v>0</v>
      </c>
      <c r="K27">
        <f t="shared" si="0"/>
        <v>3</v>
      </c>
      <c r="L27">
        <f t="shared" si="0"/>
        <v>6</v>
      </c>
      <c r="M27">
        <f t="shared" si="0"/>
        <v>9</v>
      </c>
      <c r="N27">
        <f t="shared" si="0"/>
        <v>0</v>
      </c>
      <c r="O27">
        <f t="shared" si="0"/>
        <v>0</v>
      </c>
      <c r="P27">
        <v>0</v>
      </c>
      <c r="Q27">
        <f>SUM($K27:K27)</f>
        <v>3</v>
      </c>
      <c r="R27">
        <f>SUM($K27:L27)</f>
        <v>9</v>
      </c>
      <c r="S27">
        <f>SUM($K27:M27)</f>
        <v>18</v>
      </c>
      <c r="T27">
        <f>SUM($K27:N27)</f>
        <v>18</v>
      </c>
      <c r="U27">
        <f>SUM($K27:O27)</f>
        <v>18</v>
      </c>
    </row>
    <row r="28" spans="1:21">
      <c r="A28" s="18" t="s">
        <v>3524</v>
      </c>
      <c r="B28">
        <v>2</v>
      </c>
      <c r="G28" t="s">
        <v>209</v>
      </c>
      <c r="H28" t="s">
        <v>229</v>
      </c>
      <c r="I28" t="b">
        <f>OR(Values!$S$13=3)</f>
        <v>0</v>
      </c>
      <c r="K28">
        <f t="shared" ref="K28:O78" si="1">COUNTIF($B28:$F28,K$1)*K$1*3</f>
        <v>0</v>
      </c>
      <c r="L28">
        <f t="shared" si="1"/>
        <v>6</v>
      </c>
      <c r="M28">
        <f t="shared" si="1"/>
        <v>0</v>
      </c>
      <c r="N28">
        <f t="shared" si="1"/>
        <v>0</v>
      </c>
      <c r="O28">
        <f t="shared" si="1"/>
        <v>0</v>
      </c>
      <c r="P28">
        <v>0</v>
      </c>
      <c r="Q28">
        <f>SUM($K28:K28)</f>
        <v>0</v>
      </c>
      <c r="R28">
        <f>SUM($K28:L28)</f>
        <v>6</v>
      </c>
      <c r="S28">
        <f>SUM($K28:M28)</f>
        <v>6</v>
      </c>
      <c r="T28">
        <f>SUM($K28:N28)</f>
        <v>6</v>
      </c>
      <c r="U28">
        <f>SUM($K28:O28)</f>
        <v>6</v>
      </c>
    </row>
    <row r="29" spans="1:21">
      <c r="A29" t="s">
        <v>241</v>
      </c>
      <c r="B29">
        <v>4</v>
      </c>
      <c r="G29" t="s">
        <v>213</v>
      </c>
      <c r="H29" t="s">
        <v>242</v>
      </c>
      <c r="I29" t="b">
        <f>OR(Values!$S$43=4)</f>
        <v>0</v>
      </c>
      <c r="K29">
        <f t="shared" si="1"/>
        <v>0</v>
      </c>
      <c r="L29">
        <f t="shared" si="1"/>
        <v>0</v>
      </c>
      <c r="M29">
        <f t="shared" si="1"/>
        <v>0</v>
      </c>
      <c r="N29">
        <f t="shared" si="1"/>
        <v>12</v>
      </c>
      <c r="O29">
        <f t="shared" si="1"/>
        <v>0</v>
      </c>
      <c r="P29">
        <v>0</v>
      </c>
      <c r="Q29">
        <f>SUM($K29:K29)</f>
        <v>0</v>
      </c>
      <c r="R29">
        <f>SUM($K29:L29)</f>
        <v>0</v>
      </c>
      <c r="S29">
        <f>SUM($K29:M29)</f>
        <v>0</v>
      </c>
      <c r="T29">
        <f>SUM($K29:N29)</f>
        <v>12</v>
      </c>
      <c r="U29">
        <f>SUM($K29:O29)</f>
        <v>12</v>
      </c>
    </row>
    <row r="30" spans="1:21">
      <c r="A30" t="s">
        <v>243</v>
      </c>
      <c r="B30">
        <v>1</v>
      </c>
      <c r="C30">
        <v>4</v>
      </c>
      <c r="G30" t="s">
        <v>213</v>
      </c>
      <c r="H30" t="s">
        <v>244</v>
      </c>
      <c r="I30" t="b">
        <f>OR(Values!S25=3,Values!S28=3,Values!S37=3,Values!S39=3,Values!S49=3)</f>
        <v>0</v>
      </c>
      <c r="K30">
        <f t="shared" si="1"/>
        <v>3</v>
      </c>
      <c r="L30">
        <f t="shared" si="1"/>
        <v>0</v>
      </c>
      <c r="M30">
        <f t="shared" si="1"/>
        <v>0</v>
      </c>
      <c r="N30">
        <f t="shared" si="1"/>
        <v>12</v>
      </c>
      <c r="O30">
        <f t="shared" si="1"/>
        <v>0</v>
      </c>
      <c r="P30">
        <v>0</v>
      </c>
      <c r="Q30">
        <f>SUM($K30:K30)</f>
        <v>3</v>
      </c>
      <c r="R30">
        <f>SUM($K30:L30)</f>
        <v>3</v>
      </c>
      <c r="S30">
        <f>SUM($K30:M30)</f>
        <v>3</v>
      </c>
      <c r="T30">
        <f>SUM($K30:N30)</f>
        <v>15</v>
      </c>
      <c r="U30">
        <f>SUM($K30:O30)</f>
        <v>15</v>
      </c>
    </row>
    <row r="31" spans="1:21">
      <c r="A31" t="s">
        <v>245</v>
      </c>
      <c r="B31">
        <v>2</v>
      </c>
      <c r="C31">
        <v>4</v>
      </c>
      <c r="G31" t="s">
        <v>207</v>
      </c>
      <c r="K31">
        <f t="shared" si="1"/>
        <v>0</v>
      </c>
      <c r="L31">
        <f t="shared" si="1"/>
        <v>6</v>
      </c>
      <c r="M31">
        <f t="shared" si="1"/>
        <v>0</v>
      </c>
      <c r="N31">
        <f t="shared" si="1"/>
        <v>12</v>
      </c>
      <c r="O31">
        <f t="shared" si="1"/>
        <v>0</v>
      </c>
      <c r="P31">
        <v>0</v>
      </c>
      <c r="Q31">
        <f>SUM($K31:K31)</f>
        <v>0</v>
      </c>
      <c r="R31">
        <f>SUM($K31:L31)</f>
        <v>6</v>
      </c>
      <c r="S31">
        <f>SUM($K31:M31)</f>
        <v>6</v>
      </c>
      <c r="T31">
        <f>SUM($K31:N31)</f>
        <v>18</v>
      </c>
      <c r="U31">
        <f>SUM($K31:O31)</f>
        <v>18</v>
      </c>
    </row>
    <row r="32" spans="1:21">
      <c r="A32" t="s">
        <v>246</v>
      </c>
      <c r="B32">
        <v>1</v>
      </c>
      <c r="C32">
        <v>2</v>
      </c>
      <c r="D32">
        <v>3</v>
      </c>
      <c r="E32">
        <v>4</v>
      </c>
      <c r="F32">
        <v>5</v>
      </c>
      <c r="G32" t="s">
        <v>207</v>
      </c>
      <c r="K32">
        <f t="shared" si="1"/>
        <v>3</v>
      </c>
      <c r="L32">
        <f t="shared" si="1"/>
        <v>6</v>
      </c>
      <c r="M32">
        <f t="shared" si="1"/>
        <v>9</v>
      </c>
      <c r="N32">
        <f t="shared" si="1"/>
        <v>12</v>
      </c>
      <c r="O32">
        <f t="shared" si="1"/>
        <v>15</v>
      </c>
      <c r="P32">
        <v>0</v>
      </c>
      <c r="Q32">
        <f>SUM($K32:K32)</f>
        <v>3</v>
      </c>
      <c r="R32">
        <f>SUM($K32:L32)</f>
        <v>9</v>
      </c>
      <c r="S32">
        <f>SUM($K32:M32)</f>
        <v>18</v>
      </c>
      <c r="T32">
        <f>SUM($K32:N32)</f>
        <v>30</v>
      </c>
      <c r="U32">
        <f>SUM($K32:O32)</f>
        <v>45</v>
      </c>
    </row>
    <row r="33" spans="1:21">
      <c r="A33" t="s">
        <v>247</v>
      </c>
      <c r="B33">
        <v>1</v>
      </c>
      <c r="G33" t="s">
        <v>209</v>
      </c>
      <c r="K33">
        <f t="shared" si="1"/>
        <v>3</v>
      </c>
      <c r="L33">
        <f t="shared" si="1"/>
        <v>0</v>
      </c>
      <c r="M33">
        <f t="shared" si="1"/>
        <v>0</v>
      </c>
      <c r="N33">
        <f t="shared" si="1"/>
        <v>0</v>
      </c>
      <c r="O33">
        <f t="shared" si="1"/>
        <v>0</v>
      </c>
      <c r="P33">
        <v>0</v>
      </c>
      <c r="Q33">
        <f>SUM($K33:K33)</f>
        <v>3</v>
      </c>
      <c r="R33">
        <f>SUM($K33:L33)</f>
        <v>3</v>
      </c>
      <c r="S33">
        <f>SUM($K33:M33)</f>
        <v>3</v>
      </c>
      <c r="T33">
        <f>SUM($K33:N33)</f>
        <v>3</v>
      </c>
      <c r="U33">
        <f>SUM($K33:O33)</f>
        <v>3</v>
      </c>
    </row>
    <row r="34" spans="1:21">
      <c r="A34" t="s">
        <v>248</v>
      </c>
      <c r="B34">
        <v>1</v>
      </c>
      <c r="G34" t="s">
        <v>213</v>
      </c>
      <c r="H34" t="s">
        <v>249</v>
      </c>
      <c r="I34" t="b">
        <f>OR(Values!S26=3)</f>
        <v>0</v>
      </c>
      <c r="K34">
        <f t="shared" si="1"/>
        <v>3</v>
      </c>
      <c r="L34">
        <f t="shared" si="1"/>
        <v>0</v>
      </c>
      <c r="M34">
        <f t="shared" si="1"/>
        <v>0</v>
      </c>
      <c r="N34">
        <f t="shared" si="1"/>
        <v>0</v>
      </c>
      <c r="O34">
        <f t="shared" si="1"/>
        <v>0</v>
      </c>
      <c r="P34">
        <v>0</v>
      </c>
      <c r="Q34">
        <f>SUM($K34:K34)</f>
        <v>3</v>
      </c>
      <c r="R34">
        <f>SUM($K34:L34)</f>
        <v>3</v>
      </c>
      <c r="S34">
        <f>SUM($K34:M34)</f>
        <v>3</v>
      </c>
      <c r="T34">
        <f>SUM($K34:N34)</f>
        <v>3</v>
      </c>
      <c r="U34">
        <f>SUM($K34:O34)</f>
        <v>3</v>
      </c>
    </row>
    <row r="35" spans="1:21">
      <c r="A35" t="s">
        <v>250</v>
      </c>
      <c r="B35">
        <v>2</v>
      </c>
      <c r="G35" t="s">
        <v>213</v>
      </c>
      <c r="K35">
        <f t="shared" si="1"/>
        <v>0</v>
      </c>
      <c r="L35">
        <f t="shared" si="1"/>
        <v>6</v>
      </c>
      <c r="M35">
        <f t="shared" si="1"/>
        <v>0</v>
      </c>
      <c r="N35">
        <f t="shared" si="1"/>
        <v>0</v>
      </c>
      <c r="O35">
        <f t="shared" si="1"/>
        <v>0</v>
      </c>
      <c r="P35">
        <v>0</v>
      </c>
      <c r="Q35">
        <f>SUM($K35:K35)</f>
        <v>0</v>
      </c>
      <c r="R35">
        <f>SUM($K35:L35)</f>
        <v>6</v>
      </c>
      <c r="S35">
        <f>SUM($K35:M35)</f>
        <v>6</v>
      </c>
      <c r="T35">
        <f>SUM($K35:N35)</f>
        <v>6</v>
      </c>
      <c r="U35">
        <f>SUM($K35:O35)</f>
        <v>6</v>
      </c>
    </row>
    <row r="36" spans="1:21">
      <c r="A36" t="s">
        <v>251</v>
      </c>
      <c r="B36">
        <v>3</v>
      </c>
      <c r="G36" t="s">
        <v>213</v>
      </c>
      <c r="H36" t="s">
        <v>214</v>
      </c>
      <c r="I36" t="b">
        <f>OR(Values!$S$13=3,Values!$S$43=3)</f>
        <v>0</v>
      </c>
      <c r="K36">
        <f t="shared" si="1"/>
        <v>0</v>
      </c>
      <c r="L36">
        <f t="shared" si="1"/>
        <v>0</v>
      </c>
      <c r="M36">
        <f t="shared" si="1"/>
        <v>9</v>
      </c>
      <c r="N36">
        <f t="shared" si="1"/>
        <v>0</v>
      </c>
      <c r="O36">
        <f t="shared" si="1"/>
        <v>0</v>
      </c>
      <c r="P36">
        <v>0</v>
      </c>
      <c r="Q36">
        <f>SUM($K36:K36)</f>
        <v>0</v>
      </c>
      <c r="R36">
        <f>SUM($K36:L36)</f>
        <v>0</v>
      </c>
      <c r="S36">
        <f>SUM($K36:M36)</f>
        <v>9</v>
      </c>
      <c r="T36">
        <f>SUM($K36:N36)</f>
        <v>9</v>
      </c>
      <c r="U36">
        <f>SUM($K36:O36)</f>
        <v>9</v>
      </c>
    </row>
    <row r="37" spans="1:21">
      <c r="A37" s="19" t="s">
        <v>3481</v>
      </c>
      <c r="K37">
        <f t="shared" si="1"/>
        <v>0</v>
      </c>
      <c r="L37">
        <f t="shared" si="1"/>
        <v>0</v>
      </c>
      <c r="M37">
        <f t="shared" si="1"/>
        <v>0</v>
      </c>
      <c r="N37">
        <f t="shared" si="1"/>
        <v>0</v>
      </c>
      <c r="O37">
        <f t="shared" si="1"/>
        <v>0</v>
      </c>
      <c r="P37">
        <v>0</v>
      </c>
      <c r="Q37">
        <f>SUM($K37:K37)</f>
        <v>0</v>
      </c>
      <c r="R37">
        <f>SUM($K37:L37)</f>
        <v>0</v>
      </c>
      <c r="S37">
        <f>SUM($K37:M37)</f>
        <v>0</v>
      </c>
      <c r="T37">
        <f>SUM($K37:N37)</f>
        <v>0</v>
      </c>
      <c r="U37">
        <f>SUM($K37:O37)</f>
        <v>0</v>
      </c>
    </row>
    <row r="38" spans="1:21">
      <c r="A38" s="18" t="s">
        <v>3917</v>
      </c>
      <c r="B38">
        <v>1</v>
      </c>
      <c r="G38" s="18" t="s">
        <v>3957</v>
      </c>
      <c r="H38" s="18" t="s">
        <v>3923</v>
      </c>
      <c r="K38">
        <f t="shared" si="1"/>
        <v>3</v>
      </c>
      <c r="L38">
        <f t="shared" si="1"/>
        <v>0</v>
      </c>
      <c r="M38">
        <f t="shared" si="1"/>
        <v>0</v>
      </c>
      <c r="N38">
        <f t="shared" si="1"/>
        <v>0</v>
      </c>
      <c r="O38">
        <f t="shared" si="1"/>
        <v>0</v>
      </c>
      <c r="P38">
        <v>0</v>
      </c>
      <c r="Q38">
        <f>SUM($K38:K38)</f>
        <v>3</v>
      </c>
      <c r="R38">
        <f>SUM($K38:L38)</f>
        <v>3</v>
      </c>
      <c r="S38">
        <f>SUM($K38:M38)</f>
        <v>3</v>
      </c>
      <c r="T38">
        <f>SUM($K38:N38)</f>
        <v>3</v>
      </c>
      <c r="U38">
        <f>SUM($K38:O38)</f>
        <v>3</v>
      </c>
    </row>
    <row r="39" spans="1:21">
      <c r="A39" s="18" t="s">
        <v>3918</v>
      </c>
      <c r="B39">
        <v>0</v>
      </c>
      <c r="C39">
        <v>3</v>
      </c>
      <c r="G39" s="18" t="s">
        <v>3957</v>
      </c>
      <c r="K39">
        <f t="shared" si="1"/>
        <v>0</v>
      </c>
      <c r="L39">
        <f t="shared" si="1"/>
        <v>0</v>
      </c>
      <c r="M39">
        <f t="shared" si="1"/>
        <v>9</v>
      </c>
      <c r="N39">
        <f t="shared" si="1"/>
        <v>0</v>
      </c>
      <c r="O39">
        <f t="shared" si="1"/>
        <v>0</v>
      </c>
      <c r="P39">
        <v>0</v>
      </c>
      <c r="Q39">
        <f>SUM($K39:K39)</f>
        <v>0</v>
      </c>
      <c r="R39">
        <f>SUM($K39:L39)</f>
        <v>0</v>
      </c>
      <c r="S39">
        <f>SUM($K39:M39)</f>
        <v>9</v>
      </c>
      <c r="T39">
        <f>SUM($K39:N39)</f>
        <v>9</v>
      </c>
      <c r="U39">
        <f>SUM($K39:O39)</f>
        <v>9</v>
      </c>
    </row>
    <row r="40" spans="1:21">
      <c r="A40" s="18" t="s">
        <v>3919</v>
      </c>
      <c r="B40">
        <v>3</v>
      </c>
      <c r="G40" s="18" t="s">
        <v>3957</v>
      </c>
      <c r="K40">
        <f t="shared" si="1"/>
        <v>0</v>
      </c>
      <c r="L40">
        <f t="shared" si="1"/>
        <v>0</v>
      </c>
      <c r="M40">
        <f t="shared" si="1"/>
        <v>9</v>
      </c>
      <c r="N40">
        <f t="shared" si="1"/>
        <v>0</v>
      </c>
      <c r="O40">
        <f t="shared" si="1"/>
        <v>0</v>
      </c>
      <c r="P40">
        <v>0</v>
      </c>
      <c r="Q40">
        <f>SUM($K40:K40)</f>
        <v>0</v>
      </c>
      <c r="R40">
        <f>SUM($K40:L40)</f>
        <v>0</v>
      </c>
      <c r="S40">
        <f>SUM($K40:M40)</f>
        <v>9</v>
      </c>
      <c r="T40">
        <f>SUM($K40:N40)</f>
        <v>9</v>
      </c>
      <c r="U40">
        <f>SUM($K40:O40)</f>
        <v>9</v>
      </c>
    </row>
    <row r="41" spans="1:21">
      <c r="A41" s="18" t="s">
        <v>3920</v>
      </c>
      <c r="B41">
        <v>2</v>
      </c>
      <c r="G41" s="18" t="s">
        <v>3957</v>
      </c>
      <c r="K41">
        <f t="shared" si="1"/>
        <v>0</v>
      </c>
      <c r="L41">
        <f t="shared" si="1"/>
        <v>6</v>
      </c>
      <c r="M41">
        <f t="shared" si="1"/>
        <v>0</v>
      </c>
      <c r="N41">
        <f t="shared" si="1"/>
        <v>0</v>
      </c>
      <c r="O41">
        <f t="shared" si="1"/>
        <v>0</v>
      </c>
      <c r="P41">
        <v>0</v>
      </c>
      <c r="Q41">
        <f>SUM($K41:K41)</f>
        <v>0</v>
      </c>
      <c r="R41">
        <f>SUM($K41:L41)</f>
        <v>6</v>
      </c>
      <c r="S41">
        <f>SUM($K41:M41)</f>
        <v>6</v>
      </c>
      <c r="T41">
        <f>SUM($K41:N41)</f>
        <v>6</v>
      </c>
      <c r="U41">
        <f>SUM($K41:O41)</f>
        <v>6</v>
      </c>
    </row>
    <row r="42" spans="1:21">
      <c r="A42" s="18" t="s">
        <v>3921</v>
      </c>
      <c r="B42">
        <v>2</v>
      </c>
      <c r="G42" s="18" t="s">
        <v>3957</v>
      </c>
      <c r="H42" s="18" t="s">
        <v>3924</v>
      </c>
      <c r="K42">
        <f t="shared" si="1"/>
        <v>0</v>
      </c>
      <c r="L42">
        <f t="shared" si="1"/>
        <v>6</v>
      </c>
      <c r="M42">
        <f t="shared" si="1"/>
        <v>0</v>
      </c>
      <c r="N42">
        <f t="shared" si="1"/>
        <v>0</v>
      </c>
      <c r="O42">
        <f t="shared" si="1"/>
        <v>0</v>
      </c>
      <c r="P42">
        <v>0</v>
      </c>
      <c r="Q42">
        <f>SUM($K42:K42)</f>
        <v>0</v>
      </c>
      <c r="R42">
        <f>SUM($K42:L42)</f>
        <v>6</v>
      </c>
      <c r="S42">
        <f>SUM($K42:M42)</f>
        <v>6</v>
      </c>
      <c r="T42">
        <f>SUM($K42:N42)</f>
        <v>6</v>
      </c>
      <c r="U42">
        <f>SUM($K42:O42)</f>
        <v>6</v>
      </c>
    </row>
    <row r="43" spans="1:21">
      <c r="A43" s="18" t="s">
        <v>3925</v>
      </c>
      <c r="B43">
        <v>2</v>
      </c>
      <c r="G43" s="18" t="s">
        <v>3957</v>
      </c>
      <c r="H43" s="18" t="s">
        <v>3486</v>
      </c>
      <c r="K43">
        <f t="shared" si="1"/>
        <v>0</v>
      </c>
      <c r="L43">
        <f t="shared" si="1"/>
        <v>6</v>
      </c>
      <c r="M43">
        <f t="shared" si="1"/>
        <v>0</v>
      </c>
      <c r="N43">
        <f t="shared" si="1"/>
        <v>0</v>
      </c>
      <c r="O43">
        <f t="shared" si="1"/>
        <v>0</v>
      </c>
      <c r="P43">
        <v>0</v>
      </c>
      <c r="Q43">
        <f>SUM($K43:K43)</f>
        <v>0</v>
      </c>
      <c r="R43">
        <f>SUM($K43:L43)</f>
        <v>6</v>
      </c>
      <c r="S43">
        <f>SUM($K43:M43)</f>
        <v>6</v>
      </c>
      <c r="T43">
        <f>SUM($K43:N43)</f>
        <v>6</v>
      </c>
      <c r="U43">
        <f>SUM($K43:O43)</f>
        <v>6</v>
      </c>
    </row>
    <row r="44" spans="1:21">
      <c r="A44" t="s">
        <v>3482</v>
      </c>
      <c r="B44">
        <v>3</v>
      </c>
      <c r="G44" s="18" t="s">
        <v>209</v>
      </c>
      <c r="K44">
        <f t="shared" si="1"/>
        <v>0</v>
      </c>
      <c r="L44">
        <f t="shared" si="1"/>
        <v>0</v>
      </c>
      <c r="M44">
        <f t="shared" si="1"/>
        <v>9</v>
      </c>
      <c r="N44">
        <f t="shared" si="1"/>
        <v>0</v>
      </c>
      <c r="O44">
        <f t="shared" si="1"/>
        <v>0</v>
      </c>
      <c r="P44">
        <v>0</v>
      </c>
      <c r="Q44">
        <f>SUM($K44:K44)</f>
        <v>0</v>
      </c>
      <c r="R44">
        <f>SUM($K44:L44)</f>
        <v>0</v>
      </c>
      <c r="S44">
        <f>SUM($K44:M44)</f>
        <v>9</v>
      </c>
      <c r="T44">
        <f>SUM($K44:N44)</f>
        <v>9</v>
      </c>
      <c r="U44">
        <f>SUM($K44:O44)</f>
        <v>9</v>
      </c>
    </row>
    <row r="45" spans="1:21">
      <c r="A45" t="s">
        <v>3483</v>
      </c>
      <c r="B45">
        <v>1</v>
      </c>
      <c r="C45">
        <v>4</v>
      </c>
      <c r="G45" s="18" t="s">
        <v>209</v>
      </c>
      <c r="K45">
        <f t="shared" si="1"/>
        <v>3</v>
      </c>
      <c r="L45">
        <f t="shared" si="1"/>
        <v>0</v>
      </c>
      <c r="M45">
        <f t="shared" si="1"/>
        <v>0</v>
      </c>
      <c r="N45">
        <f t="shared" si="1"/>
        <v>12</v>
      </c>
      <c r="O45">
        <f t="shared" si="1"/>
        <v>0</v>
      </c>
      <c r="P45">
        <v>0</v>
      </c>
      <c r="Q45">
        <f>SUM($K45:K45)</f>
        <v>3</v>
      </c>
      <c r="R45">
        <f>SUM($K45:L45)</f>
        <v>3</v>
      </c>
      <c r="S45">
        <f>SUM($K45:M45)</f>
        <v>3</v>
      </c>
      <c r="T45">
        <f>SUM($K45:N45)</f>
        <v>15</v>
      </c>
      <c r="U45">
        <f>SUM($K45:O45)</f>
        <v>15</v>
      </c>
    </row>
    <row r="46" spans="1:21">
      <c r="A46" s="18" t="s">
        <v>3926</v>
      </c>
      <c r="B46">
        <v>3</v>
      </c>
      <c r="G46" s="18" t="s">
        <v>3957</v>
      </c>
      <c r="K46">
        <f t="shared" si="1"/>
        <v>0</v>
      </c>
      <c r="L46">
        <f t="shared" si="1"/>
        <v>0</v>
      </c>
      <c r="M46">
        <f t="shared" si="1"/>
        <v>9</v>
      </c>
      <c r="N46">
        <f t="shared" si="1"/>
        <v>0</v>
      </c>
      <c r="O46">
        <f t="shared" si="1"/>
        <v>0</v>
      </c>
      <c r="P46">
        <v>0</v>
      </c>
      <c r="Q46">
        <f>SUM($K46:K46)</f>
        <v>0</v>
      </c>
      <c r="R46">
        <f>SUM($K46:L46)</f>
        <v>0</v>
      </c>
      <c r="S46">
        <f>SUM($K46:M46)</f>
        <v>9</v>
      </c>
      <c r="T46">
        <f>SUM($K46:N46)</f>
        <v>9</v>
      </c>
      <c r="U46">
        <f>SUM($K46:O46)</f>
        <v>9</v>
      </c>
    </row>
    <row r="47" spans="1:21">
      <c r="A47" s="18" t="s">
        <v>3927</v>
      </c>
      <c r="B47">
        <v>1</v>
      </c>
      <c r="C47">
        <v>4</v>
      </c>
      <c r="G47" s="18" t="s">
        <v>3957</v>
      </c>
      <c r="H47" s="18" t="s">
        <v>3483</v>
      </c>
      <c r="K47">
        <f t="shared" si="1"/>
        <v>3</v>
      </c>
      <c r="L47">
        <f t="shared" si="1"/>
        <v>0</v>
      </c>
      <c r="M47">
        <f t="shared" si="1"/>
        <v>0</v>
      </c>
      <c r="N47">
        <f t="shared" si="1"/>
        <v>12</v>
      </c>
      <c r="O47">
        <f t="shared" si="1"/>
        <v>0</v>
      </c>
      <c r="P47">
        <v>0</v>
      </c>
      <c r="Q47">
        <f>SUM($K47:K47)</f>
        <v>3</v>
      </c>
      <c r="R47">
        <f>SUM($K47:L47)</f>
        <v>3</v>
      </c>
      <c r="S47">
        <f>SUM($K47:M47)</f>
        <v>3</v>
      </c>
      <c r="T47">
        <f>SUM($K47:N47)</f>
        <v>15</v>
      </c>
      <c r="U47">
        <f>SUM($K47:O47)</f>
        <v>15</v>
      </c>
    </row>
    <row r="48" spans="1:21">
      <c r="A48" s="18" t="s">
        <v>3928</v>
      </c>
      <c r="B48">
        <v>3</v>
      </c>
      <c r="G48" s="18" t="s">
        <v>3957</v>
      </c>
      <c r="H48" s="18" t="s">
        <v>3929</v>
      </c>
      <c r="K48">
        <f t="shared" si="1"/>
        <v>0</v>
      </c>
      <c r="L48">
        <f t="shared" si="1"/>
        <v>0</v>
      </c>
      <c r="M48">
        <f t="shared" si="1"/>
        <v>9</v>
      </c>
      <c r="N48">
        <f t="shared" si="1"/>
        <v>0</v>
      </c>
      <c r="O48">
        <f t="shared" si="1"/>
        <v>0</v>
      </c>
      <c r="P48">
        <v>0</v>
      </c>
      <c r="Q48">
        <f>SUM($K48:K48)</f>
        <v>0</v>
      </c>
      <c r="R48">
        <f>SUM($K48:L48)</f>
        <v>0</v>
      </c>
      <c r="S48">
        <f>SUM($K48:M48)</f>
        <v>9</v>
      </c>
      <c r="T48">
        <f>SUM($K48:N48)</f>
        <v>9</v>
      </c>
      <c r="U48">
        <f>SUM($K48:O48)</f>
        <v>9</v>
      </c>
    </row>
    <row r="49" spans="1:21">
      <c r="A49" t="s">
        <v>3484</v>
      </c>
      <c r="B49">
        <v>3</v>
      </c>
      <c r="G49" s="18" t="s">
        <v>209</v>
      </c>
      <c r="K49">
        <f t="shared" si="1"/>
        <v>0</v>
      </c>
      <c r="L49">
        <f t="shared" si="1"/>
        <v>0</v>
      </c>
      <c r="M49">
        <f t="shared" si="1"/>
        <v>9</v>
      </c>
      <c r="N49">
        <f t="shared" si="1"/>
        <v>0</v>
      </c>
      <c r="O49">
        <f t="shared" si="1"/>
        <v>0</v>
      </c>
      <c r="P49">
        <v>0</v>
      </c>
      <c r="Q49">
        <f>SUM($K49:K49)</f>
        <v>0</v>
      </c>
      <c r="R49">
        <f>SUM($K49:L49)</f>
        <v>0</v>
      </c>
      <c r="S49">
        <f>SUM($K49:M49)</f>
        <v>9</v>
      </c>
      <c r="T49">
        <f>SUM($K49:N49)</f>
        <v>9</v>
      </c>
      <c r="U49">
        <f>SUM($K49:O49)</f>
        <v>9</v>
      </c>
    </row>
    <row r="50" spans="1:21">
      <c r="A50" s="18" t="s">
        <v>3930</v>
      </c>
      <c r="B50">
        <v>1</v>
      </c>
      <c r="C50">
        <v>2</v>
      </c>
      <c r="D50">
        <v>3</v>
      </c>
      <c r="E50">
        <v>4</v>
      </c>
      <c r="F50">
        <v>5</v>
      </c>
      <c r="G50" s="18" t="s">
        <v>3957</v>
      </c>
      <c r="H50" s="18" t="s">
        <v>3931</v>
      </c>
      <c r="K50">
        <f t="shared" si="1"/>
        <v>3</v>
      </c>
      <c r="L50">
        <f t="shared" si="1"/>
        <v>6</v>
      </c>
      <c r="M50">
        <f t="shared" si="1"/>
        <v>9</v>
      </c>
      <c r="N50">
        <f t="shared" si="1"/>
        <v>12</v>
      </c>
      <c r="O50">
        <f t="shared" si="1"/>
        <v>15</v>
      </c>
      <c r="P50">
        <v>0</v>
      </c>
      <c r="Q50">
        <f>SUM($K50:K50)</f>
        <v>3</v>
      </c>
      <c r="R50">
        <f>SUM($K50:L50)</f>
        <v>9</v>
      </c>
      <c r="S50">
        <f>SUM($K50:M50)</f>
        <v>18</v>
      </c>
      <c r="T50">
        <f>SUM($K50:N50)</f>
        <v>30</v>
      </c>
      <c r="U50">
        <f>SUM($K50:O50)</f>
        <v>45</v>
      </c>
    </row>
    <row r="51" spans="1:21">
      <c r="A51" s="18" t="s">
        <v>3932</v>
      </c>
      <c r="B51">
        <v>3</v>
      </c>
      <c r="G51" s="18" t="s">
        <v>3957</v>
      </c>
      <c r="K51">
        <f t="shared" si="1"/>
        <v>0</v>
      </c>
      <c r="L51">
        <f t="shared" si="1"/>
        <v>0</v>
      </c>
      <c r="M51">
        <f t="shared" si="1"/>
        <v>9</v>
      </c>
      <c r="N51">
        <f t="shared" si="1"/>
        <v>0</v>
      </c>
      <c r="O51">
        <f t="shared" si="1"/>
        <v>0</v>
      </c>
      <c r="P51">
        <v>0</v>
      </c>
      <c r="Q51">
        <f>SUM($K51:K51)</f>
        <v>0</v>
      </c>
      <c r="R51">
        <f>SUM($K51:L51)</f>
        <v>0</v>
      </c>
      <c r="S51">
        <f>SUM($K51:M51)</f>
        <v>9</v>
      </c>
      <c r="T51">
        <f>SUM($K51:N51)</f>
        <v>9</v>
      </c>
      <c r="U51">
        <f>SUM($K51:O51)</f>
        <v>9</v>
      </c>
    </row>
    <row r="52" spans="1:21">
      <c r="A52" s="18" t="s">
        <v>3485</v>
      </c>
      <c r="B52">
        <v>5</v>
      </c>
      <c r="G52" s="18" t="s">
        <v>209</v>
      </c>
      <c r="K52">
        <f t="shared" si="1"/>
        <v>0</v>
      </c>
      <c r="L52">
        <f t="shared" si="1"/>
        <v>0</v>
      </c>
      <c r="M52">
        <f t="shared" si="1"/>
        <v>0</v>
      </c>
      <c r="N52">
        <f t="shared" si="1"/>
        <v>0</v>
      </c>
      <c r="O52">
        <f t="shared" si="1"/>
        <v>15</v>
      </c>
      <c r="P52">
        <v>0</v>
      </c>
      <c r="Q52">
        <f>SUM($K52:K52)</f>
        <v>0</v>
      </c>
      <c r="R52">
        <f>SUM($K52:L52)</f>
        <v>0</v>
      </c>
      <c r="S52">
        <f>SUM($K52:M52)</f>
        <v>0</v>
      </c>
      <c r="T52">
        <f>SUM($K52:N52)</f>
        <v>0</v>
      </c>
      <c r="U52">
        <f>SUM($K52:O52)</f>
        <v>15</v>
      </c>
    </row>
    <row r="53" spans="1:21">
      <c r="A53" t="s">
        <v>3486</v>
      </c>
      <c r="B53">
        <v>3</v>
      </c>
      <c r="G53" s="18" t="s">
        <v>209</v>
      </c>
      <c r="K53">
        <f t="shared" si="1"/>
        <v>0</v>
      </c>
      <c r="L53">
        <f t="shared" si="1"/>
        <v>0</v>
      </c>
      <c r="M53">
        <f t="shared" si="1"/>
        <v>9</v>
      </c>
      <c r="N53">
        <f t="shared" si="1"/>
        <v>0</v>
      </c>
      <c r="O53">
        <f t="shared" si="1"/>
        <v>0</v>
      </c>
      <c r="P53">
        <v>0</v>
      </c>
      <c r="Q53">
        <f>SUM($K53:K53)</f>
        <v>0</v>
      </c>
      <c r="R53">
        <f>SUM($K53:L53)</f>
        <v>0</v>
      </c>
      <c r="S53">
        <f>SUM($K53:M53)</f>
        <v>9</v>
      </c>
      <c r="T53">
        <f>SUM($K53:N53)</f>
        <v>9</v>
      </c>
      <c r="U53">
        <f>SUM($K53:O53)</f>
        <v>9</v>
      </c>
    </row>
    <row r="54" spans="1:21">
      <c r="A54" s="18" t="s">
        <v>3934</v>
      </c>
      <c r="B54">
        <v>2</v>
      </c>
      <c r="G54" s="18" t="s">
        <v>3957</v>
      </c>
      <c r="H54" s="18" t="s">
        <v>3933</v>
      </c>
      <c r="K54">
        <f t="shared" si="1"/>
        <v>0</v>
      </c>
      <c r="L54">
        <f t="shared" si="1"/>
        <v>6</v>
      </c>
      <c r="M54">
        <f t="shared" si="1"/>
        <v>0</v>
      </c>
      <c r="N54">
        <f t="shared" si="1"/>
        <v>0</v>
      </c>
      <c r="O54">
        <f t="shared" si="1"/>
        <v>0</v>
      </c>
      <c r="P54">
        <v>0</v>
      </c>
      <c r="Q54">
        <f>SUM($K54:K54)</f>
        <v>0</v>
      </c>
      <c r="R54">
        <f>SUM($K54:L54)</f>
        <v>6</v>
      </c>
      <c r="S54">
        <f>SUM($K54:M54)</f>
        <v>6</v>
      </c>
      <c r="T54">
        <f>SUM($K54:N54)</f>
        <v>6</v>
      </c>
      <c r="U54">
        <f>SUM($K54:O54)</f>
        <v>6</v>
      </c>
    </row>
    <row r="55" spans="1:21">
      <c r="A55" s="18" t="s">
        <v>3935</v>
      </c>
      <c r="B55">
        <v>1</v>
      </c>
      <c r="C55">
        <v>2</v>
      </c>
      <c r="D55">
        <v>3</v>
      </c>
      <c r="E55">
        <v>4</v>
      </c>
      <c r="F55">
        <v>5</v>
      </c>
      <c r="G55" s="18" t="s">
        <v>3957</v>
      </c>
      <c r="K55">
        <f t="shared" si="1"/>
        <v>3</v>
      </c>
      <c r="L55">
        <f t="shared" si="1"/>
        <v>6</v>
      </c>
      <c r="M55">
        <f t="shared" si="1"/>
        <v>9</v>
      </c>
      <c r="N55">
        <f t="shared" si="1"/>
        <v>12</v>
      </c>
      <c r="O55">
        <f t="shared" si="1"/>
        <v>15</v>
      </c>
      <c r="P55">
        <v>0</v>
      </c>
      <c r="Q55">
        <f>SUM($K55:K55)</f>
        <v>3</v>
      </c>
      <c r="R55">
        <f>SUM($K55:L55)</f>
        <v>9</v>
      </c>
      <c r="S55">
        <f>SUM($K55:M55)</f>
        <v>18</v>
      </c>
      <c r="T55">
        <f>SUM($K55:N55)</f>
        <v>30</v>
      </c>
      <c r="U55">
        <f>SUM($K55:O55)</f>
        <v>45</v>
      </c>
    </row>
    <row r="56" spans="1:21">
      <c r="A56" s="18" t="s">
        <v>3936</v>
      </c>
      <c r="B56">
        <v>2</v>
      </c>
      <c r="G56" s="18" t="s">
        <v>3957</v>
      </c>
      <c r="K56">
        <f t="shared" si="1"/>
        <v>0</v>
      </c>
      <c r="L56">
        <f t="shared" si="1"/>
        <v>6</v>
      </c>
      <c r="M56">
        <f t="shared" si="1"/>
        <v>0</v>
      </c>
      <c r="N56">
        <f t="shared" si="1"/>
        <v>0</v>
      </c>
      <c r="O56">
        <f t="shared" si="1"/>
        <v>0</v>
      </c>
      <c r="P56">
        <v>0</v>
      </c>
      <c r="Q56">
        <f>SUM($K56:K56)</f>
        <v>0</v>
      </c>
      <c r="R56">
        <f>SUM($K56:L56)</f>
        <v>6</v>
      </c>
      <c r="S56">
        <f>SUM($K56:M56)</f>
        <v>6</v>
      </c>
      <c r="T56">
        <f>SUM($K56:N56)</f>
        <v>6</v>
      </c>
      <c r="U56">
        <f>SUM($K56:O56)</f>
        <v>6</v>
      </c>
    </row>
    <row r="57" spans="1:21">
      <c r="A57" s="18" t="s">
        <v>3487</v>
      </c>
      <c r="B57">
        <v>3</v>
      </c>
      <c r="G57" s="18" t="s">
        <v>209</v>
      </c>
      <c r="K57">
        <f t="shared" si="1"/>
        <v>0</v>
      </c>
      <c r="L57">
        <f t="shared" si="1"/>
        <v>0</v>
      </c>
      <c r="M57">
        <f t="shared" si="1"/>
        <v>9</v>
      </c>
      <c r="N57">
        <f t="shared" si="1"/>
        <v>0</v>
      </c>
      <c r="O57">
        <f t="shared" si="1"/>
        <v>0</v>
      </c>
      <c r="P57">
        <v>0</v>
      </c>
      <c r="Q57">
        <f>SUM($K57:K57)</f>
        <v>0</v>
      </c>
      <c r="R57">
        <f>SUM($K57:L57)</f>
        <v>0</v>
      </c>
      <c r="S57">
        <f>SUM($K57:M57)</f>
        <v>9</v>
      </c>
      <c r="T57">
        <f>SUM($K57:N57)</f>
        <v>9</v>
      </c>
      <c r="U57">
        <f>SUM($K57:O57)</f>
        <v>9</v>
      </c>
    </row>
    <row r="58" spans="1:21">
      <c r="A58" s="18" t="s">
        <v>3937</v>
      </c>
      <c r="B58">
        <v>4</v>
      </c>
      <c r="G58" s="18" t="s">
        <v>3957</v>
      </c>
      <c r="K58">
        <f t="shared" si="1"/>
        <v>0</v>
      </c>
      <c r="L58">
        <f t="shared" si="1"/>
        <v>0</v>
      </c>
      <c r="M58">
        <f t="shared" si="1"/>
        <v>0</v>
      </c>
      <c r="N58">
        <f t="shared" si="1"/>
        <v>12</v>
      </c>
      <c r="O58">
        <f t="shared" si="1"/>
        <v>0</v>
      </c>
      <c r="P58">
        <v>0</v>
      </c>
      <c r="Q58">
        <f>SUM($K58:K58)</f>
        <v>0</v>
      </c>
      <c r="R58">
        <f>SUM($K58:L58)</f>
        <v>0</v>
      </c>
      <c r="S58">
        <f>SUM($K58:M58)</f>
        <v>0</v>
      </c>
      <c r="T58">
        <f>SUM($K58:N58)</f>
        <v>12</v>
      </c>
      <c r="U58">
        <f>SUM($K58:O58)</f>
        <v>12</v>
      </c>
    </row>
    <row r="59" spans="1:21">
      <c r="A59" s="18" t="s">
        <v>3938</v>
      </c>
      <c r="B59">
        <v>3</v>
      </c>
      <c r="G59" s="18" t="s">
        <v>3957</v>
      </c>
      <c r="K59">
        <f t="shared" si="1"/>
        <v>0</v>
      </c>
      <c r="L59">
        <f t="shared" si="1"/>
        <v>0</v>
      </c>
      <c r="M59">
        <f t="shared" si="1"/>
        <v>9</v>
      </c>
      <c r="N59">
        <f t="shared" si="1"/>
        <v>0</v>
      </c>
      <c r="O59">
        <f t="shared" si="1"/>
        <v>0</v>
      </c>
      <c r="P59">
        <v>0</v>
      </c>
      <c r="Q59">
        <f>SUM($K59:K59)</f>
        <v>0</v>
      </c>
      <c r="R59">
        <f>SUM($K59:L59)</f>
        <v>0</v>
      </c>
      <c r="S59">
        <f>SUM($K59:M59)</f>
        <v>9</v>
      </c>
      <c r="T59">
        <f>SUM($K59:N59)</f>
        <v>9</v>
      </c>
      <c r="U59">
        <f>SUM($K59:O59)</f>
        <v>9</v>
      </c>
    </row>
    <row r="60" spans="1:21">
      <c r="A60" s="18" t="s">
        <v>3939</v>
      </c>
      <c r="B60">
        <v>3</v>
      </c>
      <c r="G60" s="18" t="s">
        <v>3957</v>
      </c>
      <c r="H60" s="18" t="s">
        <v>231</v>
      </c>
      <c r="K60">
        <f t="shared" si="1"/>
        <v>0</v>
      </c>
      <c r="L60">
        <f t="shared" si="1"/>
        <v>0</v>
      </c>
      <c r="M60">
        <f t="shared" si="1"/>
        <v>9</v>
      </c>
      <c r="N60">
        <f t="shared" si="1"/>
        <v>0</v>
      </c>
      <c r="O60">
        <f t="shared" si="1"/>
        <v>0</v>
      </c>
      <c r="P60">
        <v>0</v>
      </c>
      <c r="Q60">
        <f>SUM($K60:K60)</f>
        <v>0</v>
      </c>
      <c r="R60">
        <f>SUM($K60:L60)</f>
        <v>0</v>
      </c>
      <c r="S60">
        <f>SUM($K60:M60)</f>
        <v>9</v>
      </c>
      <c r="T60">
        <f>SUM($K60:N60)</f>
        <v>9</v>
      </c>
      <c r="U60">
        <f>SUM($K60:O60)</f>
        <v>9</v>
      </c>
    </row>
    <row r="61" spans="1:21">
      <c r="A61" s="18" t="s">
        <v>3940</v>
      </c>
      <c r="B61">
        <v>2</v>
      </c>
      <c r="G61" s="18" t="s">
        <v>3957</v>
      </c>
      <c r="K61">
        <f t="shared" si="1"/>
        <v>0</v>
      </c>
      <c r="L61">
        <f t="shared" si="1"/>
        <v>6</v>
      </c>
      <c r="M61">
        <f t="shared" si="1"/>
        <v>0</v>
      </c>
      <c r="N61">
        <f t="shared" si="1"/>
        <v>0</v>
      </c>
      <c r="O61">
        <f t="shared" si="1"/>
        <v>0</v>
      </c>
      <c r="P61">
        <v>0</v>
      </c>
      <c r="Q61">
        <f>SUM($K61:K61)</f>
        <v>0</v>
      </c>
      <c r="R61">
        <f>SUM($K61:L61)</f>
        <v>6</v>
      </c>
      <c r="S61">
        <f>SUM($K61:M61)</f>
        <v>6</v>
      </c>
      <c r="T61">
        <f>SUM($K61:N61)</f>
        <v>6</v>
      </c>
      <c r="U61">
        <f>SUM($K61:O61)</f>
        <v>6</v>
      </c>
    </row>
    <row r="62" spans="1:21">
      <c r="A62" s="18" t="s">
        <v>3941</v>
      </c>
      <c r="B62">
        <v>3</v>
      </c>
      <c r="G62" s="18" t="s">
        <v>3957</v>
      </c>
      <c r="K62">
        <f t="shared" si="1"/>
        <v>0</v>
      </c>
      <c r="L62">
        <f t="shared" si="1"/>
        <v>0</v>
      </c>
      <c r="M62">
        <f t="shared" si="1"/>
        <v>9</v>
      </c>
      <c r="N62">
        <f t="shared" si="1"/>
        <v>0</v>
      </c>
      <c r="O62">
        <f t="shared" si="1"/>
        <v>0</v>
      </c>
      <c r="P62">
        <v>0</v>
      </c>
      <c r="Q62">
        <f>SUM($K62:K62)</f>
        <v>0</v>
      </c>
      <c r="R62">
        <f>SUM($K62:L62)</f>
        <v>0</v>
      </c>
      <c r="S62">
        <f>SUM($K62:M62)</f>
        <v>9</v>
      </c>
      <c r="T62">
        <f>SUM($K62:N62)</f>
        <v>9</v>
      </c>
      <c r="U62">
        <f>SUM($K62:O62)</f>
        <v>9</v>
      </c>
    </row>
    <row r="63" spans="1:21">
      <c r="A63" s="18" t="s">
        <v>3942</v>
      </c>
      <c r="B63">
        <v>1</v>
      </c>
      <c r="G63" s="18" t="s">
        <v>3957</v>
      </c>
      <c r="K63">
        <f t="shared" si="1"/>
        <v>3</v>
      </c>
      <c r="L63">
        <f t="shared" si="1"/>
        <v>0</v>
      </c>
      <c r="M63">
        <f t="shared" si="1"/>
        <v>0</v>
      </c>
      <c r="N63">
        <f t="shared" si="1"/>
        <v>0</v>
      </c>
      <c r="O63">
        <f t="shared" si="1"/>
        <v>0</v>
      </c>
      <c r="P63">
        <v>0</v>
      </c>
      <c r="Q63">
        <f>SUM($K63:K63)</f>
        <v>3</v>
      </c>
      <c r="R63">
        <f>SUM($K63:L63)</f>
        <v>3</v>
      </c>
      <c r="S63">
        <f>SUM($K63:M63)</f>
        <v>3</v>
      </c>
      <c r="T63">
        <f>SUM($K63:N63)</f>
        <v>3</v>
      </c>
      <c r="U63">
        <f>SUM($K63:O63)</f>
        <v>3</v>
      </c>
    </row>
    <row r="64" spans="1:21">
      <c r="A64" s="18" t="s">
        <v>3943</v>
      </c>
      <c r="B64">
        <v>1</v>
      </c>
      <c r="G64" s="18" t="s">
        <v>3957</v>
      </c>
      <c r="K64">
        <f t="shared" si="1"/>
        <v>3</v>
      </c>
      <c r="L64">
        <f t="shared" si="1"/>
        <v>0</v>
      </c>
      <c r="M64">
        <f t="shared" si="1"/>
        <v>0</v>
      </c>
      <c r="N64">
        <f t="shared" si="1"/>
        <v>0</v>
      </c>
      <c r="O64">
        <f t="shared" si="1"/>
        <v>0</v>
      </c>
      <c r="P64">
        <v>0</v>
      </c>
      <c r="Q64">
        <f>SUM($K64:K64)</f>
        <v>3</v>
      </c>
      <c r="R64">
        <f>SUM($K64:L64)</f>
        <v>3</v>
      </c>
      <c r="S64">
        <f>SUM($K64:M64)</f>
        <v>3</v>
      </c>
      <c r="T64">
        <f>SUM($K64:N64)</f>
        <v>3</v>
      </c>
      <c r="U64">
        <f>SUM($K64:O64)</f>
        <v>3</v>
      </c>
    </row>
    <row r="65" spans="1:21">
      <c r="A65" s="18" t="s">
        <v>3944</v>
      </c>
      <c r="B65">
        <v>1</v>
      </c>
      <c r="C65">
        <v>2</v>
      </c>
      <c r="D65">
        <v>3</v>
      </c>
      <c r="E65">
        <v>4</v>
      </c>
      <c r="F65">
        <v>5</v>
      </c>
      <c r="G65" s="18" t="s">
        <v>3957</v>
      </c>
      <c r="K65">
        <f t="shared" si="1"/>
        <v>3</v>
      </c>
      <c r="L65">
        <f t="shared" si="1"/>
        <v>6</v>
      </c>
      <c r="M65">
        <f t="shared" si="1"/>
        <v>9</v>
      </c>
      <c r="N65">
        <f t="shared" si="1"/>
        <v>12</v>
      </c>
      <c r="O65">
        <f t="shared" si="1"/>
        <v>15</v>
      </c>
      <c r="P65">
        <v>0</v>
      </c>
      <c r="Q65">
        <f>SUM($K65:K65)</f>
        <v>3</v>
      </c>
      <c r="R65">
        <f>SUM($K65:L65)</f>
        <v>9</v>
      </c>
      <c r="S65">
        <f>SUM($K65:M65)</f>
        <v>18</v>
      </c>
      <c r="T65">
        <f>SUM($K65:N65)</f>
        <v>30</v>
      </c>
      <c r="U65">
        <f>SUM($K65:O65)</f>
        <v>45</v>
      </c>
    </row>
    <row r="66" spans="1:21">
      <c r="A66" s="18" t="s">
        <v>3945</v>
      </c>
      <c r="B66">
        <v>2</v>
      </c>
      <c r="G66" s="18" t="s">
        <v>3957</v>
      </c>
      <c r="K66">
        <f t="shared" si="1"/>
        <v>0</v>
      </c>
      <c r="L66">
        <f t="shared" si="1"/>
        <v>6</v>
      </c>
      <c r="M66">
        <f t="shared" si="1"/>
        <v>0</v>
      </c>
      <c r="N66">
        <f t="shared" si="1"/>
        <v>0</v>
      </c>
      <c r="O66">
        <f t="shared" si="1"/>
        <v>0</v>
      </c>
      <c r="P66">
        <v>0</v>
      </c>
      <c r="Q66">
        <f>SUM($K66:K66)</f>
        <v>0</v>
      </c>
      <c r="R66">
        <f>SUM($K66:L66)</f>
        <v>6</v>
      </c>
      <c r="S66">
        <f>SUM($K66:M66)</f>
        <v>6</v>
      </c>
      <c r="T66">
        <f>SUM($K66:N66)</f>
        <v>6</v>
      </c>
      <c r="U66">
        <f>SUM($K66:O66)</f>
        <v>6</v>
      </c>
    </row>
    <row r="67" spans="1:21">
      <c r="A67" s="18" t="s">
        <v>3946</v>
      </c>
      <c r="B67">
        <v>2</v>
      </c>
      <c r="G67" s="18" t="s">
        <v>3957</v>
      </c>
      <c r="K67">
        <f t="shared" si="1"/>
        <v>0</v>
      </c>
      <c r="L67">
        <f t="shared" si="1"/>
        <v>6</v>
      </c>
      <c r="M67">
        <f t="shared" si="1"/>
        <v>0</v>
      </c>
      <c r="N67">
        <f t="shared" si="1"/>
        <v>0</v>
      </c>
      <c r="O67">
        <f t="shared" si="1"/>
        <v>0</v>
      </c>
      <c r="P67">
        <v>0</v>
      </c>
      <c r="Q67">
        <f>SUM($K67:K67)</f>
        <v>0</v>
      </c>
      <c r="R67">
        <f>SUM($K67:L67)</f>
        <v>6</v>
      </c>
      <c r="S67">
        <f>SUM($K67:M67)</f>
        <v>6</v>
      </c>
      <c r="T67">
        <f>SUM($K67:N67)</f>
        <v>6</v>
      </c>
      <c r="U67">
        <f>SUM($K67:O67)</f>
        <v>6</v>
      </c>
    </row>
    <row r="68" spans="1:21">
      <c r="A68" s="18" t="s">
        <v>3947</v>
      </c>
      <c r="B68">
        <v>1</v>
      </c>
      <c r="C68">
        <v>3</v>
      </c>
      <c r="G68" s="18" t="s">
        <v>3957</v>
      </c>
      <c r="K68">
        <f t="shared" si="1"/>
        <v>3</v>
      </c>
      <c r="L68">
        <f t="shared" si="1"/>
        <v>0</v>
      </c>
      <c r="M68">
        <f t="shared" si="1"/>
        <v>9</v>
      </c>
      <c r="N68">
        <f t="shared" si="1"/>
        <v>0</v>
      </c>
      <c r="O68">
        <f t="shared" si="1"/>
        <v>0</v>
      </c>
      <c r="P68">
        <v>0</v>
      </c>
      <c r="Q68">
        <f>SUM($K68:K68)</f>
        <v>3</v>
      </c>
      <c r="R68">
        <f>SUM($K68:L68)</f>
        <v>3</v>
      </c>
      <c r="S68">
        <f>SUM($K68:M68)</f>
        <v>12</v>
      </c>
      <c r="T68">
        <f>SUM($K68:N68)</f>
        <v>12</v>
      </c>
      <c r="U68">
        <f>SUM($K68:O68)</f>
        <v>12</v>
      </c>
    </row>
    <row r="69" spans="1:21">
      <c r="A69" t="s">
        <v>3488</v>
      </c>
      <c r="B69">
        <v>1</v>
      </c>
      <c r="C69">
        <v>2</v>
      </c>
      <c r="D69">
        <v>5</v>
      </c>
      <c r="G69" s="18" t="s">
        <v>209</v>
      </c>
      <c r="K69">
        <f t="shared" si="1"/>
        <v>3</v>
      </c>
      <c r="L69">
        <f t="shared" si="1"/>
        <v>6</v>
      </c>
      <c r="M69">
        <f t="shared" si="1"/>
        <v>0</v>
      </c>
      <c r="N69">
        <f t="shared" si="1"/>
        <v>0</v>
      </c>
      <c r="O69">
        <f t="shared" si="1"/>
        <v>15</v>
      </c>
      <c r="P69">
        <v>0</v>
      </c>
      <c r="Q69">
        <f>SUM($K69:K69)</f>
        <v>3</v>
      </c>
      <c r="R69">
        <f>SUM($K69:L69)</f>
        <v>9</v>
      </c>
      <c r="S69">
        <f>SUM($K69:M69)</f>
        <v>9</v>
      </c>
      <c r="T69">
        <f>SUM($K69:N69)</f>
        <v>9</v>
      </c>
      <c r="U69">
        <f>SUM($K69:O69)</f>
        <v>24</v>
      </c>
    </row>
    <row r="70" spans="1:21">
      <c r="A70" s="18" t="s">
        <v>3948</v>
      </c>
      <c r="B70">
        <v>2</v>
      </c>
      <c r="G70" s="18" t="s">
        <v>3957</v>
      </c>
      <c r="K70">
        <f t="shared" si="1"/>
        <v>0</v>
      </c>
      <c r="L70">
        <f t="shared" si="1"/>
        <v>6</v>
      </c>
      <c r="M70">
        <f t="shared" si="1"/>
        <v>0</v>
      </c>
      <c r="N70">
        <f t="shared" si="1"/>
        <v>0</v>
      </c>
      <c r="O70">
        <f t="shared" si="1"/>
        <v>0</v>
      </c>
      <c r="P70">
        <v>0</v>
      </c>
      <c r="Q70">
        <f>SUM($K70:K70)</f>
        <v>0</v>
      </c>
      <c r="R70">
        <f>SUM($K70:L70)</f>
        <v>6</v>
      </c>
      <c r="S70">
        <f>SUM($K70:M70)</f>
        <v>6</v>
      </c>
      <c r="T70">
        <f>SUM($K70:N70)</f>
        <v>6</v>
      </c>
      <c r="U70">
        <f>SUM($K70:O70)</f>
        <v>6</v>
      </c>
    </row>
    <row r="71" spans="1:21">
      <c r="A71" t="s">
        <v>3489</v>
      </c>
      <c r="B71">
        <v>5</v>
      </c>
      <c r="G71" s="18" t="s">
        <v>209</v>
      </c>
      <c r="K71">
        <f t="shared" si="1"/>
        <v>0</v>
      </c>
      <c r="L71">
        <f t="shared" si="1"/>
        <v>0</v>
      </c>
      <c r="M71">
        <f t="shared" si="1"/>
        <v>0</v>
      </c>
      <c r="N71">
        <f t="shared" si="1"/>
        <v>0</v>
      </c>
      <c r="O71">
        <f t="shared" si="1"/>
        <v>15</v>
      </c>
      <c r="P71">
        <v>0</v>
      </c>
      <c r="Q71">
        <f>SUM($K71:K71)</f>
        <v>0</v>
      </c>
      <c r="R71">
        <f>SUM($K71:L71)</f>
        <v>0</v>
      </c>
      <c r="S71">
        <f>SUM($K71:M71)</f>
        <v>0</v>
      </c>
      <c r="T71">
        <f>SUM($K71:N71)</f>
        <v>0</v>
      </c>
      <c r="U71">
        <f>SUM($K71:O71)</f>
        <v>15</v>
      </c>
    </row>
    <row r="72" spans="1:21">
      <c r="A72" s="18" t="s">
        <v>3949</v>
      </c>
      <c r="B72">
        <v>4</v>
      </c>
      <c r="G72" s="18" t="s">
        <v>3957</v>
      </c>
      <c r="K72">
        <f t="shared" si="1"/>
        <v>0</v>
      </c>
      <c r="L72">
        <f t="shared" si="1"/>
        <v>0</v>
      </c>
      <c r="M72">
        <f t="shared" si="1"/>
        <v>0</v>
      </c>
      <c r="N72">
        <f t="shared" si="1"/>
        <v>12</v>
      </c>
      <c r="O72">
        <f t="shared" si="1"/>
        <v>0</v>
      </c>
      <c r="P72">
        <v>0</v>
      </c>
      <c r="Q72">
        <f>SUM($K72:K72)</f>
        <v>0</v>
      </c>
      <c r="R72">
        <f>SUM($K72:L72)</f>
        <v>0</v>
      </c>
      <c r="S72">
        <f>SUM($K72:M72)</f>
        <v>0</v>
      </c>
      <c r="T72">
        <f>SUM($K72:N72)</f>
        <v>12</v>
      </c>
      <c r="U72">
        <f>SUM($K72:O72)</f>
        <v>12</v>
      </c>
    </row>
    <row r="73" spans="1:21">
      <c r="A73" s="18" t="s">
        <v>3950</v>
      </c>
      <c r="B73">
        <v>3</v>
      </c>
      <c r="G73" s="18" t="s">
        <v>3957</v>
      </c>
      <c r="K73">
        <f t="shared" si="1"/>
        <v>0</v>
      </c>
      <c r="L73">
        <f t="shared" si="1"/>
        <v>0</v>
      </c>
      <c r="M73">
        <f t="shared" si="1"/>
        <v>9</v>
      </c>
      <c r="N73">
        <f t="shared" si="1"/>
        <v>0</v>
      </c>
      <c r="O73">
        <f t="shared" si="1"/>
        <v>0</v>
      </c>
      <c r="P73">
        <v>0</v>
      </c>
      <c r="Q73">
        <f>SUM($K73:K73)</f>
        <v>0</v>
      </c>
      <c r="R73">
        <f>SUM($K73:L73)</f>
        <v>0</v>
      </c>
      <c r="S73">
        <f>SUM($K73:M73)</f>
        <v>9</v>
      </c>
      <c r="T73">
        <f>SUM($K73:N73)</f>
        <v>9</v>
      </c>
      <c r="U73">
        <f>SUM($K73:O73)</f>
        <v>9</v>
      </c>
    </row>
    <row r="74" spans="1:21">
      <c r="A74" s="18" t="s">
        <v>3951</v>
      </c>
      <c r="B74">
        <v>2</v>
      </c>
      <c r="G74" s="18" t="s">
        <v>3957</v>
      </c>
      <c r="K74">
        <f t="shared" si="1"/>
        <v>0</v>
      </c>
      <c r="L74">
        <f t="shared" si="1"/>
        <v>6</v>
      </c>
      <c r="M74">
        <f t="shared" si="1"/>
        <v>0</v>
      </c>
      <c r="N74">
        <f t="shared" si="1"/>
        <v>0</v>
      </c>
      <c r="O74">
        <f t="shared" si="1"/>
        <v>0</v>
      </c>
      <c r="P74">
        <v>0</v>
      </c>
      <c r="Q74">
        <f>SUM($K74:K74)</f>
        <v>0</v>
      </c>
      <c r="R74">
        <f>SUM($K74:L74)</f>
        <v>6</v>
      </c>
      <c r="S74">
        <f>SUM($K74:M74)</f>
        <v>6</v>
      </c>
      <c r="T74">
        <f>SUM($K74:N74)</f>
        <v>6</v>
      </c>
      <c r="U74">
        <f>SUM($K74:O74)</f>
        <v>6</v>
      </c>
    </row>
    <row r="75" spans="1:21">
      <c r="A75" s="18" t="s">
        <v>3952</v>
      </c>
      <c r="B75">
        <v>3</v>
      </c>
      <c r="G75" s="18" t="s">
        <v>3957</v>
      </c>
      <c r="K75">
        <f t="shared" si="1"/>
        <v>0</v>
      </c>
      <c r="L75">
        <f t="shared" si="1"/>
        <v>0</v>
      </c>
      <c r="M75">
        <f t="shared" si="1"/>
        <v>9</v>
      </c>
      <c r="N75">
        <f t="shared" si="1"/>
        <v>0</v>
      </c>
      <c r="O75">
        <f t="shared" si="1"/>
        <v>0</v>
      </c>
      <c r="P75">
        <v>0</v>
      </c>
      <c r="Q75">
        <f>SUM($K75:K75)</f>
        <v>0</v>
      </c>
      <c r="R75">
        <f>SUM($K75:L75)</f>
        <v>0</v>
      </c>
      <c r="S75">
        <f>SUM($K75:M75)</f>
        <v>9</v>
      </c>
      <c r="T75">
        <f>SUM($K75:N75)</f>
        <v>9</v>
      </c>
      <c r="U75">
        <f>SUM($K75:O75)</f>
        <v>9</v>
      </c>
    </row>
    <row r="76" spans="1:21">
      <c r="A76" t="s">
        <v>3490</v>
      </c>
      <c r="B76">
        <v>2</v>
      </c>
      <c r="G76" s="18" t="s">
        <v>209</v>
      </c>
      <c r="K76">
        <f t="shared" si="1"/>
        <v>0</v>
      </c>
      <c r="L76">
        <f t="shared" si="1"/>
        <v>6</v>
      </c>
      <c r="M76">
        <f t="shared" si="1"/>
        <v>0</v>
      </c>
      <c r="N76">
        <f t="shared" si="1"/>
        <v>0</v>
      </c>
      <c r="O76">
        <f t="shared" si="1"/>
        <v>0</v>
      </c>
      <c r="P76">
        <v>0</v>
      </c>
      <c r="Q76">
        <f>SUM($K76:K76)</f>
        <v>0</v>
      </c>
      <c r="R76">
        <f>SUM($K76:L76)</f>
        <v>6</v>
      </c>
      <c r="S76">
        <f>SUM($K76:M76)</f>
        <v>6</v>
      </c>
      <c r="T76">
        <f>SUM($K76:N76)</f>
        <v>6</v>
      </c>
      <c r="U76">
        <f>SUM($K76:O76)</f>
        <v>6</v>
      </c>
    </row>
    <row r="77" spans="1:21">
      <c r="A77" t="s">
        <v>3491</v>
      </c>
      <c r="B77">
        <v>1</v>
      </c>
      <c r="C77">
        <v>2</v>
      </c>
      <c r="G77" s="18" t="s">
        <v>209</v>
      </c>
      <c r="K77">
        <f t="shared" si="1"/>
        <v>3</v>
      </c>
      <c r="L77">
        <f t="shared" si="1"/>
        <v>6</v>
      </c>
      <c r="M77">
        <f t="shared" si="1"/>
        <v>0</v>
      </c>
      <c r="N77">
        <f t="shared" si="1"/>
        <v>0</v>
      </c>
      <c r="O77">
        <f t="shared" si="1"/>
        <v>0</v>
      </c>
      <c r="P77">
        <v>0</v>
      </c>
      <c r="Q77">
        <f>SUM($K77:K77)</f>
        <v>3</v>
      </c>
      <c r="R77">
        <f>SUM($K77:L77)</f>
        <v>9</v>
      </c>
      <c r="S77">
        <f>SUM($K77:M77)</f>
        <v>9</v>
      </c>
      <c r="T77">
        <f>SUM($K77:N77)</f>
        <v>9</v>
      </c>
      <c r="U77">
        <f>SUM($K77:O77)</f>
        <v>9</v>
      </c>
    </row>
    <row r="78" spans="1:21">
      <c r="A78" t="s">
        <v>3492</v>
      </c>
      <c r="B78">
        <v>4</v>
      </c>
      <c r="G78" s="18" t="s">
        <v>209</v>
      </c>
      <c r="K78">
        <f t="shared" si="1"/>
        <v>0</v>
      </c>
      <c r="L78">
        <f t="shared" si="1"/>
        <v>0</v>
      </c>
      <c r="M78">
        <f t="shared" si="1"/>
        <v>0</v>
      </c>
      <c r="N78">
        <f t="shared" si="1"/>
        <v>12</v>
      </c>
      <c r="O78">
        <f t="shared" si="1"/>
        <v>0</v>
      </c>
      <c r="P78">
        <v>0</v>
      </c>
      <c r="Q78">
        <f>SUM($K78:K78)</f>
        <v>0</v>
      </c>
      <c r="R78">
        <f>SUM($K78:L78)</f>
        <v>0</v>
      </c>
      <c r="S78">
        <f>SUM($K78:M78)</f>
        <v>0</v>
      </c>
      <c r="T78">
        <f>SUM($K78:N78)</f>
        <v>12</v>
      </c>
      <c r="U78">
        <f>SUM($K78:O78)</f>
        <v>12</v>
      </c>
    </row>
    <row r="79" spans="1:21">
      <c r="A79" s="18" t="s">
        <v>3953</v>
      </c>
      <c r="B79">
        <v>1</v>
      </c>
      <c r="G79" s="18" t="s">
        <v>3957</v>
      </c>
      <c r="H79" s="18" t="s">
        <v>3954</v>
      </c>
      <c r="K79">
        <f t="shared" ref="K79:O101" si="2">COUNTIF($B79:$F79,K$1)*K$1*3</f>
        <v>3</v>
      </c>
      <c r="L79">
        <f t="shared" si="2"/>
        <v>0</v>
      </c>
      <c r="M79">
        <f t="shared" si="2"/>
        <v>0</v>
      </c>
      <c r="N79">
        <f t="shared" si="2"/>
        <v>0</v>
      </c>
      <c r="O79">
        <f t="shared" si="2"/>
        <v>0</v>
      </c>
      <c r="P79">
        <v>0</v>
      </c>
      <c r="Q79">
        <f>SUM($K79:K79)</f>
        <v>3</v>
      </c>
      <c r="R79">
        <f>SUM($K79:L79)</f>
        <v>3</v>
      </c>
      <c r="S79">
        <f>SUM($K79:M79)</f>
        <v>3</v>
      </c>
      <c r="T79">
        <f>SUM($K79:N79)</f>
        <v>3</v>
      </c>
      <c r="U79">
        <f>SUM($K79:O79)</f>
        <v>3</v>
      </c>
    </row>
    <row r="80" spans="1:21">
      <c r="A80" s="18" t="s">
        <v>3955</v>
      </c>
      <c r="B80">
        <v>2</v>
      </c>
      <c r="G80" s="18" t="s">
        <v>3957</v>
      </c>
      <c r="H80" s="18" t="s">
        <v>3494</v>
      </c>
      <c r="K80">
        <f t="shared" si="2"/>
        <v>0</v>
      </c>
      <c r="L80">
        <f t="shared" si="2"/>
        <v>6</v>
      </c>
      <c r="M80">
        <f t="shared" si="2"/>
        <v>0</v>
      </c>
      <c r="N80">
        <f t="shared" si="2"/>
        <v>0</v>
      </c>
      <c r="O80">
        <f t="shared" si="2"/>
        <v>0</v>
      </c>
      <c r="P80">
        <v>0</v>
      </c>
      <c r="Q80">
        <f>SUM($K80:K80)</f>
        <v>0</v>
      </c>
      <c r="R80">
        <f>SUM($K80:L80)</f>
        <v>6</v>
      </c>
      <c r="S80">
        <f>SUM($K80:M80)</f>
        <v>6</v>
      </c>
      <c r="T80">
        <f>SUM($K80:N80)</f>
        <v>6</v>
      </c>
      <c r="U80">
        <f>SUM($K80:O80)</f>
        <v>6</v>
      </c>
    </row>
    <row r="81" spans="1:21">
      <c r="A81" t="s">
        <v>3493</v>
      </c>
      <c r="B81">
        <v>1</v>
      </c>
      <c r="C81">
        <v>2</v>
      </c>
      <c r="D81">
        <v>3</v>
      </c>
      <c r="E81">
        <v>4</v>
      </c>
      <c r="F81">
        <v>5</v>
      </c>
      <c r="G81" s="18" t="s">
        <v>209</v>
      </c>
      <c r="K81">
        <f t="shared" si="2"/>
        <v>3</v>
      </c>
      <c r="L81">
        <f t="shared" si="2"/>
        <v>6</v>
      </c>
      <c r="M81">
        <f t="shared" si="2"/>
        <v>9</v>
      </c>
      <c r="N81">
        <f t="shared" si="2"/>
        <v>12</v>
      </c>
      <c r="O81">
        <f t="shared" si="2"/>
        <v>15</v>
      </c>
      <c r="P81">
        <v>0</v>
      </c>
      <c r="Q81">
        <f>SUM($K81:K81)</f>
        <v>3</v>
      </c>
      <c r="R81">
        <f>SUM($K81:L81)</f>
        <v>9</v>
      </c>
      <c r="S81">
        <f>SUM($K81:M81)</f>
        <v>18</v>
      </c>
      <c r="T81">
        <f>SUM($K81:N81)</f>
        <v>30</v>
      </c>
      <c r="U81">
        <f>SUM($K81:O81)</f>
        <v>45</v>
      </c>
    </row>
    <row r="82" spans="1:21">
      <c r="A82" t="s">
        <v>3494</v>
      </c>
      <c r="B82">
        <v>3</v>
      </c>
      <c r="C82">
        <v>4</v>
      </c>
      <c r="G82" s="18" t="s">
        <v>209</v>
      </c>
      <c r="K82">
        <f t="shared" si="2"/>
        <v>0</v>
      </c>
      <c r="L82">
        <f t="shared" si="2"/>
        <v>0</v>
      </c>
      <c r="M82">
        <f t="shared" si="2"/>
        <v>9</v>
      </c>
      <c r="N82">
        <f t="shared" si="2"/>
        <v>12</v>
      </c>
      <c r="O82">
        <f t="shared" si="2"/>
        <v>0</v>
      </c>
      <c r="P82">
        <v>0</v>
      </c>
      <c r="Q82">
        <f>SUM($K82:K82)</f>
        <v>0</v>
      </c>
      <c r="R82">
        <f>SUM($K82:L82)</f>
        <v>0</v>
      </c>
      <c r="S82">
        <f>SUM($K82:M82)</f>
        <v>9</v>
      </c>
      <c r="T82">
        <f>SUM($K82:N82)</f>
        <v>21</v>
      </c>
      <c r="U82">
        <f>SUM($K82:O82)</f>
        <v>21</v>
      </c>
    </row>
    <row r="83" spans="1:21">
      <c r="A83" s="18" t="s">
        <v>3956</v>
      </c>
      <c r="B83">
        <v>1</v>
      </c>
      <c r="G83" s="18" t="s">
        <v>3957</v>
      </c>
      <c r="H83" s="18" t="s">
        <v>3956</v>
      </c>
      <c r="K83">
        <f t="shared" si="2"/>
        <v>3</v>
      </c>
      <c r="L83">
        <f t="shared" si="2"/>
        <v>0</v>
      </c>
      <c r="M83">
        <f t="shared" si="2"/>
        <v>0</v>
      </c>
      <c r="N83">
        <f t="shared" si="2"/>
        <v>0</v>
      </c>
      <c r="O83">
        <f t="shared" si="2"/>
        <v>0</v>
      </c>
      <c r="P83">
        <v>0</v>
      </c>
      <c r="Q83">
        <f>SUM($K83:K83)</f>
        <v>3</v>
      </c>
      <c r="R83">
        <f>SUM($K83:L83)</f>
        <v>3</v>
      </c>
      <c r="S83">
        <f>SUM($K83:M83)</f>
        <v>3</v>
      </c>
      <c r="T83">
        <f>SUM($K83:N83)</f>
        <v>3</v>
      </c>
      <c r="U83">
        <f>SUM($K83:O83)</f>
        <v>3</v>
      </c>
    </row>
    <row r="84" spans="1:21">
      <c r="A84" t="s">
        <v>3495</v>
      </c>
      <c r="B84">
        <v>4</v>
      </c>
      <c r="G84" s="18" t="s">
        <v>209</v>
      </c>
      <c r="K84">
        <f t="shared" si="2"/>
        <v>0</v>
      </c>
      <c r="L84">
        <f t="shared" si="2"/>
        <v>0</v>
      </c>
      <c r="M84">
        <f t="shared" si="2"/>
        <v>0</v>
      </c>
      <c r="N84">
        <f t="shared" si="2"/>
        <v>12</v>
      </c>
      <c r="O84">
        <f t="shared" si="2"/>
        <v>0</v>
      </c>
      <c r="P84">
        <v>0</v>
      </c>
      <c r="Q84">
        <f>SUM($K84:K84)</f>
        <v>0</v>
      </c>
      <c r="R84">
        <f>SUM($K84:L84)</f>
        <v>0</v>
      </c>
      <c r="S84">
        <f>SUM($K84:M84)</f>
        <v>0</v>
      </c>
      <c r="T84">
        <f>SUM($K84:N84)</f>
        <v>12</v>
      </c>
      <c r="U84">
        <f>SUM($K84:O84)</f>
        <v>12</v>
      </c>
    </row>
    <row r="85" spans="1:21">
      <c r="A85" s="18" t="s">
        <v>3496</v>
      </c>
      <c r="B85">
        <v>3</v>
      </c>
      <c r="C85">
        <v>5</v>
      </c>
      <c r="G85" s="18" t="s">
        <v>209</v>
      </c>
      <c r="K85">
        <f t="shared" si="2"/>
        <v>0</v>
      </c>
      <c r="L85">
        <f t="shared" si="2"/>
        <v>0</v>
      </c>
      <c r="M85">
        <f t="shared" si="2"/>
        <v>9</v>
      </c>
      <c r="N85">
        <f t="shared" si="2"/>
        <v>0</v>
      </c>
      <c r="O85">
        <f t="shared" si="2"/>
        <v>15</v>
      </c>
      <c r="P85">
        <v>0</v>
      </c>
      <c r="Q85">
        <f>SUM($K85:K85)</f>
        <v>0</v>
      </c>
      <c r="R85">
        <f>SUM($K85:L85)</f>
        <v>0</v>
      </c>
      <c r="S85">
        <f>SUM($K85:M85)</f>
        <v>9</v>
      </c>
      <c r="T85">
        <f>SUM($K85:N85)</f>
        <v>9</v>
      </c>
      <c r="U85">
        <f>SUM($K85:O85)</f>
        <v>24</v>
      </c>
    </row>
    <row r="86" spans="1:21">
      <c r="A86" s="19" t="s">
        <v>3497</v>
      </c>
      <c r="K86">
        <f t="shared" si="2"/>
        <v>0</v>
      </c>
      <c r="L86">
        <f t="shared" si="2"/>
        <v>0</v>
      </c>
      <c r="M86">
        <f t="shared" si="2"/>
        <v>0</v>
      </c>
      <c r="N86">
        <f t="shared" si="2"/>
        <v>0</v>
      </c>
      <c r="O86">
        <f t="shared" si="2"/>
        <v>0</v>
      </c>
      <c r="P86">
        <v>0</v>
      </c>
      <c r="Q86">
        <f>SUM($K86:K86)</f>
        <v>0</v>
      </c>
      <c r="R86">
        <f>SUM($K86:L86)</f>
        <v>0</v>
      </c>
      <c r="S86">
        <f>SUM($K86:M86)</f>
        <v>0</v>
      </c>
      <c r="T86">
        <f>SUM($K86:N86)</f>
        <v>0</v>
      </c>
      <c r="U86">
        <f>SUM($K86:O86)</f>
        <v>0</v>
      </c>
    </row>
    <row r="87" spans="1:21">
      <c r="A87" t="s">
        <v>3498</v>
      </c>
      <c r="K87">
        <f t="shared" si="2"/>
        <v>0</v>
      </c>
      <c r="L87">
        <f t="shared" si="2"/>
        <v>0</v>
      </c>
      <c r="M87">
        <f t="shared" si="2"/>
        <v>0</v>
      </c>
      <c r="N87">
        <f t="shared" si="2"/>
        <v>0</v>
      </c>
      <c r="O87">
        <f t="shared" si="2"/>
        <v>0</v>
      </c>
      <c r="P87">
        <v>0</v>
      </c>
      <c r="Q87">
        <f>SUM($K87:K87)</f>
        <v>0</v>
      </c>
      <c r="R87">
        <f>SUM($K87:L87)</f>
        <v>0</v>
      </c>
      <c r="S87">
        <f>SUM($K87:M87)</f>
        <v>0</v>
      </c>
      <c r="T87">
        <f>SUM($K87:N87)</f>
        <v>0</v>
      </c>
      <c r="U87">
        <f>SUM($K87:O87)</f>
        <v>0</v>
      </c>
    </row>
    <row r="88" spans="1:21">
      <c r="A88" t="s">
        <v>3499</v>
      </c>
      <c r="K88">
        <f t="shared" si="2"/>
        <v>0</v>
      </c>
      <c r="L88">
        <f t="shared" si="2"/>
        <v>0</v>
      </c>
      <c r="M88">
        <f t="shared" si="2"/>
        <v>0</v>
      </c>
      <c r="N88">
        <f t="shared" si="2"/>
        <v>0</v>
      </c>
      <c r="O88">
        <f t="shared" si="2"/>
        <v>0</v>
      </c>
      <c r="P88">
        <v>0</v>
      </c>
      <c r="Q88">
        <f>SUM($K88:K88)</f>
        <v>0</v>
      </c>
      <c r="R88">
        <f>SUM($K88:L88)</f>
        <v>0</v>
      </c>
      <c r="S88">
        <f>SUM($K88:M88)</f>
        <v>0</v>
      </c>
      <c r="T88">
        <f>SUM($K88:N88)</f>
        <v>0</v>
      </c>
      <c r="U88">
        <f>SUM($K88:O88)</f>
        <v>0</v>
      </c>
    </row>
    <row r="89" spans="1:21">
      <c r="A89" t="s">
        <v>3500</v>
      </c>
      <c r="K89">
        <f t="shared" si="2"/>
        <v>0</v>
      </c>
      <c r="L89">
        <f t="shared" si="2"/>
        <v>0</v>
      </c>
      <c r="M89">
        <f t="shared" si="2"/>
        <v>0</v>
      </c>
      <c r="N89">
        <f t="shared" si="2"/>
        <v>0</v>
      </c>
      <c r="O89">
        <f t="shared" si="2"/>
        <v>0</v>
      </c>
      <c r="P89">
        <v>0</v>
      </c>
      <c r="Q89">
        <f>SUM($K89:K89)</f>
        <v>0</v>
      </c>
      <c r="R89">
        <f>SUM($K89:L89)</f>
        <v>0</v>
      </c>
      <c r="S89">
        <f>SUM($K89:M89)</f>
        <v>0</v>
      </c>
      <c r="T89">
        <f>SUM($K89:N89)</f>
        <v>0</v>
      </c>
      <c r="U89">
        <f>SUM($K89:O89)</f>
        <v>0</v>
      </c>
    </row>
    <row r="90" spans="1:21">
      <c r="A90" t="s">
        <v>3501</v>
      </c>
      <c r="K90">
        <f t="shared" si="2"/>
        <v>0</v>
      </c>
      <c r="L90">
        <f t="shared" si="2"/>
        <v>0</v>
      </c>
      <c r="M90">
        <f t="shared" si="2"/>
        <v>0</v>
      </c>
      <c r="N90">
        <f t="shared" si="2"/>
        <v>0</v>
      </c>
      <c r="O90">
        <f t="shared" si="2"/>
        <v>0</v>
      </c>
      <c r="P90">
        <v>0</v>
      </c>
      <c r="Q90">
        <f>SUM($K90:K90)</f>
        <v>0</v>
      </c>
      <c r="R90">
        <f>SUM($K90:L90)</f>
        <v>0</v>
      </c>
      <c r="S90">
        <f>SUM($K90:M90)</f>
        <v>0</v>
      </c>
      <c r="T90">
        <f>SUM($K90:N90)</f>
        <v>0</v>
      </c>
      <c r="U90">
        <f>SUM($K90:O90)</f>
        <v>0</v>
      </c>
    </row>
    <row r="91" spans="1:21">
      <c r="A91" s="18" t="s">
        <v>3502</v>
      </c>
      <c r="K91">
        <f t="shared" si="2"/>
        <v>0</v>
      </c>
      <c r="L91">
        <f t="shared" si="2"/>
        <v>0</v>
      </c>
      <c r="M91">
        <f t="shared" si="2"/>
        <v>0</v>
      </c>
      <c r="N91">
        <f t="shared" si="2"/>
        <v>0</v>
      </c>
      <c r="O91">
        <f t="shared" si="2"/>
        <v>0</v>
      </c>
      <c r="P91">
        <v>0</v>
      </c>
      <c r="Q91">
        <f>SUM($K91:K91)</f>
        <v>0</v>
      </c>
      <c r="R91">
        <f>SUM($K91:L91)</f>
        <v>0</v>
      </c>
      <c r="S91">
        <f>SUM($K91:M91)</f>
        <v>0</v>
      </c>
      <c r="T91">
        <f>SUM($K91:N91)</f>
        <v>0</v>
      </c>
      <c r="U91">
        <f>SUM($K91:O91)</f>
        <v>0</v>
      </c>
    </row>
    <row r="92" spans="1:21">
      <c r="A92" s="18" t="s">
        <v>3503</v>
      </c>
      <c r="K92">
        <f t="shared" si="2"/>
        <v>0</v>
      </c>
      <c r="L92">
        <f t="shared" si="2"/>
        <v>0</v>
      </c>
      <c r="M92">
        <f t="shared" si="2"/>
        <v>0</v>
      </c>
      <c r="N92">
        <f t="shared" si="2"/>
        <v>0</v>
      </c>
      <c r="O92">
        <f t="shared" si="2"/>
        <v>0</v>
      </c>
      <c r="P92">
        <v>0</v>
      </c>
      <c r="Q92">
        <f>SUM($K92:K92)</f>
        <v>0</v>
      </c>
      <c r="R92">
        <f>SUM($K92:L92)</f>
        <v>0</v>
      </c>
      <c r="S92">
        <f>SUM($K92:M92)</f>
        <v>0</v>
      </c>
      <c r="T92">
        <f>SUM($K92:N92)</f>
        <v>0</v>
      </c>
      <c r="U92">
        <f>SUM($K92:O92)</f>
        <v>0</v>
      </c>
    </row>
    <row r="93" spans="1:21">
      <c r="A93" s="18" t="s">
        <v>3504</v>
      </c>
      <c r="K93">
        <f t="shared" si="2"/>
        <v>0</v>
      </c>
      <c r="L93">
        <f t="shared" si="2"/>
        <v>0</v>
      </c>
      <c r="M93">
        <f t="shared" si="2"/>
        <v>0</v>
      </c>
      <c r="N93">
        <f t="shared" si="2"/>
        <v>0</v>
      </c>
      <c r="O93">
        <f t="shared" si="2"/>
        <v>0</v>
      </c>
      <c r="P93">
        <v>0</v>
      </c>
      <c r="Q93">
        <f>SUM($K93:K93)</f>
        <v>0</v>
      </c>
      <c r="R93">
        <f>SUM($K93:L93)</f>
        <v>0</v>
      </c>
      <c r="S93">
        <f>SUM($K93:M93)</f>
        <v>0</v>
      </c>
      <c r="T93">
        <f>SUM($K93:N93)</f>
        <v>0</v>
      </c>
      <c r="U93">
        <f>SUM($K93:O93)</f>
        <v>0</v>
      </c>
    </row>
    <row r="94" spans="1:21">
      <c r="A94" s="18" t="s">
        <v>3505</v>
      </c>
      <c r="K94">
        <f t="shared" si="2"/>
        <v>0</v>
      </c>
      <c r="L94">
        <f t="shared" si="2"/>
        <v>0</v>
      </c>
      <c r="M94">
        <f t="shared" si="2"/>
        <v>0</v>
      </c>
      <c r="N94">
        <f t="shared" si="2"/>
        <v>0</v>
      </c>
      <c r="O94">
        <f t="shared" si="2"/>
        <v>0</v>
      </c>
      <c r="P94">
        <v>0</v>
      </c>
      <c r="Q94">
        <f>SUM($K94:K94)</f>
        <v>0</v>
      </c>
      <c r="R94">
        <f>SUM($K94:L94)</f>
        <v>0</v>
      </c>
      <c r="S94">
        <f>SUM($K94:M94)</f>
        <v>0</v>
      </c>
      <c r="T94">
        <f>SUM($K94:N94)</f>
        <v>0</v>
      </c>
      <c r="U94">
        <f>SUM($K94:O94)</f>
        <v>0</v>
      </c>
    </row>
    <row r="95" spans="1:21">
      <c r="A95" s="18" t="s">
        <v>3506</v>
      </c>
      <c r="K95">
        <f t="shared" si="2"/>
        <v>0</v>
      </c>
      <c r="L95">
        <f t="shared" si="2"/>
        <v>0</v>
      </c>
      <c r="M95">
        <f t="shared" si="2"/>
        <v>0</v>
      </c>
      <c r="N95">
        <f t="shared" si="2"/>
        <v>0</v>
      </c>
      <c r="O95">
        <f t="shared" si="2"/>
        <v>0</v>
      </c>
      <c r="P95">
        <v>0</v>
      </c>
      <c r="Q95">
        <f>SUM($K95:K95)</f>
        <v>0</v>
      </c>
      <c r="R95">
        <f>SUM($K95:L95)</f>
        <v>0</v>
      </c>
      <c r="S95">
        <f>SUM($K95:M95)</f>
        <v>0</v>
      </c>
      <c r="T95">
        <f>SUM($K95:N95)</f>
        <v>0</v>
      </c>
      <c r="U95">
        <f>SUM($K95:O95)</f>
        <v>0</v>
      </c>
    </row>
    <row r="96" spans="1:21">
      <c r="A96" t="s">
        <v>1523</v>
      </c>
      <c r="K96">
        <f t="shared" si="2"/>
        <v>0</v>
      </c>
      <c r="L96">
        <f t="shared" si="2"/>
        <v>0</v>
      </c>
      <c r="M96">
        <f t="shared" si="2"/>
        <v>0</v>
      </c>
      <c r="N96">
        <f t="shared" si="2"/>
        <v>0</v>
      </c>
      <c r="O96">
        <f t="shared" si="2"/>
        <v>0</v>
      </c>
      <c r="P96">
        <v>0</v>
      </c>
      <c r="Q96">
        <f>SUM($K96:K96)</f>
        <v>0</v>
      </c>
      <c r="R96">
        <f>SUM($K96:L96)</f>
        <v>0</v>
      </c>
      <c r="S96">
        <f>SUM($K96:M96)</f>
        <v>0</v>
      </c>
      <c r="T96">
        <f>SUM($K96:N96)</f>
        <v>0</v>
      </c>
      <c r="U96">
        <f>SUM($K96:O96)</f>
        <v>0</v>
      </c>
    </row>
    <row r="97" spans="1:21">
      <c r="A97" t="s">
        <v>3507</v>
      </c>
      <c r="K97">
        <f t="shared" si="2"/>
        <v>0</v>
      </c>
      <c r="L97">
        <f t="shared" si="2"/>
        <v>0</v>
      </c>
      <c r="M97">
        <f t="shared" si="2"/>
        <v>0</v>
      </c>
      <c r="N97">
        <f t="shared" si="2"/>
        <v>0</v>
      </c>
      <c r="O97">
        <f t="shared" si="2"/>
        <v>0</v>
      </c>
      <c r="P97">
        <v>0</v>
      </c>
      <c r="Q97">
        <f>SUM($K97:K97)</f>
        <v>0</v>
      </c>
      <c r="R97">
        <f>SUM($K97:L97)</f>
        <v>0</v>
      </c>
      <c r="S97">
        <f>SUM($K97:M97)</f>
        <v>0</v>
      </c>
      <c r="T97">
        <f>SUM($K97:N97)</f>
        <v>0</v>
      </c>
      <c r="U97">
        <f>SUM($K97:O97)</f>
        <v>0</v>
      </c>
    </row>
    <row r="98" spans="1:21">
      <c r="A98" t="s">
        <v>3508</v>
      </c>
      <c r="K98">
        <f t="shared" si="2"/>
        <v>0</v>
      </c>
      <c r="L98">
        <f t="shared" si="2"/>
        <v>0</v>
      </c>
      <c r="M98">
        <f t="shared" si="2"/>
        <v>0</v>
      </c>
      <c r="N98">
        <f t="shared" si="2"/>
        <v>0</v>
      </c>
      <c r="O98">
        <f t="shared" si="2"/>
        <v>0</v>
      </c>
      <c r="P98">
        <v>0</v>
      </c>
      <c r="Q98">
        <f>SUM($K98:K98)</f>
        <v>0</v>
      </c>
      <c r="R98">
        <f>SUM($K98:L98)</f>
        <v>0</v>
      </c>
      <c r="S98">
        <f>SUM($K98:M98)</f>
        <v>0</v>
      </c>
      <c r="T98">
        <f>SUM($K98:N98)</f>
        <v>0</v>
      </c>
      <c r="U98">
        <f>SUM($K98:O98)</f>
        <v>0</v>
      </c>
    </row>
    <row r="99" spans="1:21">
      <c r="A99" t="s">
        <v>3914</v>
      </c>
      <c r="K99">
        <f t="shared" si="2"/>
        <v>0</v>
      </c>
      <c r="L99">
        <f t="shared" si="2"/>
        <v>0</v>
      </c>
      <c r="M99">
        <f t="shared" si="2"/>
        <v>0</v>
      </c>
      <c r="N99">
        <f t="shared" si="2"/>
        <v>0</v>
      </c>
      <c r="O99">
        <f t="shared" si="2"/>
        <v>0</v>
      </c>
      <c r="P99">
        <v>0</v>
      </c>
      <c r="Q99">
        <f>SUM($K99:K99)</f>
        <v>0</v>
      </c>
      <c r="R99">
        <f>SUM($K99:L99)</f>
        <v>0</v>
      </c>
      <c r="S99">
        <f>SUM($K99:M99)</f>
        <v>0</v>
      </c>
      <c r="T99">
        <f>SUM($K99:N99)</f>
        <v>0</v>
      </c>
      <c r="U99">
        <f>SUM($K99:O99)</f>
        <v>0</v>
      </c>
    </row>
    <row r="100" spans="1:21">
      <c r="A100" t="s">
        <v>3915</v>
      </c>
      <c r="B100">
        <v>1</v>
      </c>
      <c r="C100">
        <v>2</v>
      </c>
      <c r="D100">
        <v>3</v>
      </c>
      <c r="E100">
        <v>4</v>
      </c>
      <c r="H100" s="18" t="s">
        <v>3922</v>
      </c>
      <c r="K100">
        <f t="shared" si="2"/>
        <v>3</v>
      </c>
      <c r="L100">
        <f t="shared" si="2"/>
        <v>6</v>
      </c>
      <c r="M100">
        <f t="shared" si="2"/>
        <v>9</v>
      </c>
      <c r="N100">
        <f t="shared" si="2"/>
        <v>12</v>
      </c>
      <c r="O100">
        <f t="shared" si="2"/>
        <v>0</v>
      </c>
      <c r="P100">
        <v>0</v>
      </c>
      <c r="Q100">
        <f>SUM($K100:K100)</f>
        <v>3</v>
      </c>
      <c r="R100">
        <f>SUM($K100:L100)</f>
        <v>9</v>
      </c>
      <c r="S100">
        <f>SUM($K100:M100)</f>
        <v>18</v>
      </c>
      <c r="T100">
        <f>SUM($K100:N100)</f>
        <v>30</v>
      </c>
      <c r="U100">
        <f>SUM($K100:O100)</f>
        <v>30</v>
      </c>
    </row>
    <row r="101" spans="1:21">
      <c r="A101" t="s">
        <v>3916</v>
      </c>
      <c r="B101">
        <v>1</v>
      </c>
      <c r="C101">
        <v>2</v>
      </c>
      <c r="D101">
        <v>3</v>
      </c>
      <c r="E101">
        <v>4</v>
      </c>
      <c r="F101">
        <v>5</v>
      </c>
      <c r="H101" s="18" t="s">
        <v>3922</v>
      </c>
      <c r="K101">
        <f t="shared" si="2"/>
        <v>3</v>
      </c>
      <c r="L101">
        <f t="shared" si="2"/>
        <v>6</v>
      </c>
      <c r="M101">
        <f t="shared" si="2"/>
        <v>9</v>
      </c>
      <c r="N101">
        <f t="shared" si="2"/>
        <v>12</v>
      </c>
      <c r="O101">
        <f t="shared" si="2"/>
        <v>15</v>
      </c>
      <c r="P101">
        <v>0</v>
      </c>
      <c r="Q101">
        <f>SUM($K101:K101)</f>
        <v>3</v>
      </c>
      <c r="R101">
        <f>SUM($K101:L101)</f>
        <v>9</v>
      </c>
      <c r="S101">
        <f>SUM($K101:M101)</f>
        <v>18</v>
      </c>
      <c r="T101">
        <f>SUM($K101:N101)</f>
        <v>30</v>
      </c>
      <c r="U101">
        <f>SUM($K101:O101)</f>
        <v>45</v>
      </c>
    </row>
  </sheetData>
  <sortState xmlns:xlrd2="http://schemas.microsoft.com/office/spreadsheetml/2017/richdata2" ref="A38:H85">
    <sortCondition ref="A38:A85"/>
  </sortState>
  <mergeCells count="1">
    <mergeCell ref="B1:F1"/>
  </mergeCells>
  <pageMargins left="0.39370078740157505" right="0.39370078740157505" top="0.78740157480315009" bottom="0.78740157480315009" header="0.39370078740157505" footer="0.39370078740157505"/>
  <pageSetup paperSize="0" fitToWidth="0" fitToHeight="0" pageOrder="overThenDown" useFirstPageNumber="1" horizontalDpi="0" verticalDpi="0" copies="0"/>
  <headerFooter alignWithMargins="0"/>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Feuil12"/>
  <dimension ref="A1:T1621"/>
  <sheetViews>
    <sheetView topLeftCell="A364" zoomScaleNormal="100" workbookViewId="0">
      <selection activeCell="K379" sqref="K379"/>
    </sheetView>
  </sheetViews>
  <sheetFormatPr baseColWidth="10" defaultRowHeight="14.25"/>
  <sheetData>
    <row r="1" spans="1:20" ht="28.5">
      <c r="A1" s="18" t="s">
        <v>3592</v>
      </c>
      <c r="B1" s="9" t="s">
        <v>1436</v>
      </c>
      <c r="C1" s="225" t="s">
        <v>84</v>
      </c>
      <c r="D1" s="9" t="s">
        <v>85</v>
      </c>
      <c r="E1" s="9" t="s">
        <v>83</v>
      </c>
      <c r="F1" s="9" t="s">
        <v>3593</v>
      </c>
      <c r="G1" s="9" t="s">
        <v>3594</v>
      </c>
      <c r="H1" s="9" t="s">
        <v>3595</v>
      </c>
      <c r="I1" s="9" t="s">
        <v>3596</v>
      </c>
      <c r="J1" s="9" t="s">
        <v>252</v>
      </c>
      <c r="K1" s="9" t="s">
        <v>3597</v>
      </c>
      <c r="L1" s="9" t="s">
        <v>3598</v>
      </c>
      <c r="M1" s="9" t="s">
        <v>3599</v>
      </c>
      <c r="N1" s="9" t="s">
        <v>3600</v>
      </c>
      <c r="O1" s="9" t="s">
        <v>81</v>
      </c>
      <c r="P1" s="9" t="s">
        <v>1437</v>
      </c>
      <c r="Q1" s="9" t="s">
        <v>82</v>
      </c>
      <c r="R1" s="9" t="s">
        <v>253</v>
      </c>
      <c r="S1" s="9" t="s">
        <v>1438</v>
      </c>
      <c r="T1" s="9" t="s">
        <v>3543</v>
      </c>
    </row>
    <row r="2" spans="1:20">
      <c r="A2" t="s">
        <v>4001</v>
      </c>
      <c r="B2" t="s">
        <v>3601</v>
      </c>
      <c r="C2" t="s">
        <v>3602</v>
      </c>
      <c r="D2">
        <v>39</v>
      </c>
      <c r="E2" t="s">
        <v>1664</v>
      </c>
      <c r="F2">
        <v>10</v>
      </c>
      <c r="G2">
        <v>1</v>
      </c>
      <c r="H2" t="s">
        <v>3603</v>
      </c>
      <c r="I2" t="s">
        <v>3238</v>
      </c>
      <c r="J2" s="18" t="s">
        <v>7347</v>
      </c>
      <c r="K2" s="18" t="s">
        <v>7347</v>
      </c>
      <c r="L2">
        <v>0</v>
      </c>
      <c r="M2">
        <v>3</v>
      </c>
      <c r="N2" t="s">
        <v>3604</v>
      </c>
      <c r="O2" t="s">
        <v>1457</v>
      </c>
      <c r="P2" t="s">
        <v>3605</v>
      </c>
      <c r="Q2" t="s">
        <v>1473</v>
      </c>
      <c r="R2" t="s">
        <v>2333</v>
      </c>
      <c r="S2" t="s">
        <v>3606</v>
      </c>
    </row>
    <row r="3" spans="1:20">
      <c r="A3" t="s">
        <v>4002</v>
      </c>
      <c r="B3" t="s">
        <v>285</v>
      </c>
      <c r="C3" t="s">
        <v>3607</v>
      </c>
      <c r="D3" t="s">
        <v>292</v>
      </c>
      <c r="E3" t="s">
        <v>1439</v>
      </c>
      <c r="F3">
        <v>1</v>
      </c>
      <c r="I3" t="s">
        <v>3238</v>
      </c>
      <c r="J3" t="s">
        <v>20</v>
      </c>
      <c r="K3" t="s">
        <v>20</v>
      </c>
      <c r="L3">
        <v>2</v>
      </c>
      <c r="M3">
        <v>1</v>
      </c>
      <c r="N3" t="s">
        <v>1440</v>
      </c>
      <c r="O3" t="s">
        <v>1441</v>
      </c>
      <c r="P3" t="s">
        <v>1442</v>
      </c>
      <c r="Q3" t="s">
        <v>1443</v>
      </c>
      <c r="R3" t="s">
        <v>1444</v>
      </c>
      <c r="S3" t="s">
        <v>1445</v>
      </c>
    </row>
    <row r="4" spans="1:20">
      <c r="A4" t="s">
        <v>4003</v>
      </c>
      <c r="B4" t="s">
        <v>259</v>
      </c>
      <c r="C4" t="s">
        <v>3607</v>
      </c>
      <c r="D4" t="s">
        <v>284</v>
      </c>
      <c r="E4" t="s">
        <v>1439</v>
      </c>
      <c r="F4">
        <v>1</v>
      </c>
      <c r="I4" t="s">
        <v>3238</v>
      </c>
      <c r="J4" t="s">
        <v>20</v>
      </c>
      <c r="K4" t="s">
        <v>20</v>
      </c>
      <c r="L4">
        <v>3</v>
      </c>
      <c r="M4">
        <v>1</v>
      </c>
      <c r="N4" t="s">
        <v>1446</v>
      </c>
      <c r="O4" t="s">
        <v>1447</v>
      </c>
      <c r="P4" t="s">
        <v>1444</v>
      </c>
      <c r="Q4" t="s">
        <v>1448</v>
      </c>
      <c r="R4" t="s">
        <v>285</v>
      </c>
      <c r="S4" t="s">
        <v>1449</v>
      </c>
    </row>
    <row r="5" spans="1:20">
      <c r="A5" t="s">
        <v>4006</v>
      </c>
      <c r="B5" t="s">
        <v>289</v>
      </c>
      <c r="C5" t="s">
        <v>3607</v>
      </c>
      <c r="D5" t="s">
        <v>290</v>
      </c>
      <c r="E5" t="s">
        <v>1456</v>
      </c>
      <c r="F5">
        <v>4</v>
      </c>
      <c r="G5">
        <v>1</v>
      </c>
      <c r="I5" t="s">
        <v>3238</v>
      </c>
      <c r="J5" t="s">
        <v>20</v>
      </c>
      <c r="K5" t="s">
        <v>20</v>
      </c>
      <c r="L5">
        <v>3</v>
      </c>
      <c r="M5">
        <v>1</v>
      </c>
      <c r="N5" t="s">
        <v>1446</v>
      </c>
      <c r="O5" t="s">
        <v>1457</v>
      </c>
      <c r="P5" t="s">
        <v>1452</v>
      </c>
      <c r="Q5" t="s">
        <v>1443</v>
      </c>
      <c r="R5" t="s">
        <v>285</v>
      </c>
      <c r="S5" t="s">
        <v>1458</v>
      </c>
    </row>
    <row r="6" spans="1:20">
      <c r="A6" t="s">
        <v>4007</v>
      </c>
      <c r="B6" t="s">
        <v>265</v>
      </c>
      <c r="C6" t="s">
        <v>3607</v>
      </c>
      <c r="D6" t="s">
        <v>275</v>
      </c>
      <c r="E6" t="s">
        <v>1439</v>
      </c>
      <c r="F6">
        <v>1</v>
      </c>
      <c r="I6" t="s">
        <v>3238</v>
      </c>
      <c r="J6" t="s">
        <v>20</v>
      </c>
      <c r="K6" t="s">
        <v>20</v>
      </c>
      <c r="L6">
        <v>3</v>
      </c>
      <c r="M6">
        <v>1</v>
      </c>
      <c r="N6" t="s">
        <v>1446</v>
      </c>
      <c r="O6" t="s">
        <v>1447</v>
      </c>
      <c r="P6" t="s">
        <v>1444</v>
      </c>
      <c r="Q6" t="s">
        <v>1443</v>
      </c>
      <c r="R6" t="s">
        <v>1444</v>
      </c>
      <c r="S6" t="s">
        <v>1459</v>
      </c>
    </row>
    <row r="7" spans="1:20">
      <c r="A7" t="s">
        <v>4004</v>
      </c>
      <c r="B7" t="s">
        <v>258</v>
      </c>
      <c r="C7" t="s">
        <v>3607</v>
      </c>
      <c r="D7">
        <v>256</v>
      </c>
      <c r="E7" t="s">
        <v>1450</v>
      </c>
      <c r="F7">
        <v>3</v>
      </c>
      <c r="I7" t="s">
        <v>3238</v>
      </c>
      <c r="J7" t="s">
        <v>20</v>
      </c>
      <c r="K7" t="s">
        <v>20</v>
      </c>
      <c r="L7">
        <v>4</v>
      </c>
      <c r="M7">
        <v>1</v>
      </c>
      <c r="N7" t="s">
        <v>1451</v>
      </c>
      <c r="O7" t="s">
        <v>1447</v>
      </c>
      <c r="P7" t="s">
        <v>1452</v>
      </c>
      <c r="Q7" t="s">
        <v>1443</v>
      </c>
      <c r="R7" t="s">
        <v>259</v>
      </c>
      <c r="S7" t="s">
        <v>1453</v>
      </c>
    </row>
    <row r="8" spans="1:20">
      <c r="A8" t="s">
        <v>4005</v>
      </c>
      <c r="B8" t="s">
        <v>269</v>
      </c>
      <c r="C8" t="s">
        <v>3607</v>
      </c>
      <c r="D8" t="s">
        <v>270</v>
      </c>
      <c r="E8" t="s">
        <v>1450</v>
      </c>
      <c r="F8">
        <v>3</v>
      </c>
      <c r="I8" t="s">
        <v>3238</v>
      </c>
      <c r="J8" t="s">
        <v>20</v>
      </c>
      <c r="K8" t="s">
        <v>20</v>
      </c>
      <c r="L8">
        <v>4</v>
      </c>
      <c r="M8">
        <v>1</v>
      </c>
      <c r="N8" t="s">
        <v>1451</v>
      </c>
      <c r="O8" t="s">
        <v>1441</v>
      </c>
      <c r="P8" t="s">
        <v>1454</v>
      </c>
      <c r="Q8" t="s">
        <v>1443</v>
      </c>
      <c r="R8" t="s">
        <v>259</v>
      </c>
      <c r="S8" t="s">
        <v>1455</v>
      </c>
    </row>
    <row r="9" spans="1:20">
      <c r="A9" t="s">
        <v>4008</v>
      </c>
      <c r="B9" t="s">
        <v>263</v>
      </c>
      <c r="C9" t="s">
        <v>3607</v>
      </c>
      <c r="D9" t="s">
        <v>264</v>
      </c>
      <c r="E9" t="s">
        <v>1460</v>
      </c>
      <c r="F9">
        <v>2</v>
      </c>
      <c r="I9" t="s">
        <v>3238</v>
      </c>
      <c r="J9" t="s">
        <v>20</v>
      </c>
      <c r="K9" t="s">
        <v>20</v>
      </c>
      <c r="L9">
        <v>4</v>
      </c>
      <c r="M9">
        <v>1</v>
      </c>
      <c r="N9" t="s">
        <v>1451</v>
      </c>
      <c r="O9" t="s">
        <v>1441</v>
      </c>
      <c r="P9" t="s">
        <v>1452</v>
      </c>
      <c r="Q9" t="s">
        <v>1443</v>
      </c>
      <c r="R9" t="s">
        <v>265</v>
      </c>
      <c r="S9" t="s">
        <v>1461</v>
      </c>
    </row>
    <row r="10" spans="1:20">
      <c r="A10" t="s">
        <v>4014</v>
      </c>
      <c r="B10" t="s">
        <v>274</v>
      </c>
      <c r="C10" t="s">
        <v>3607</v>
      </c>
      <c r="D10">
        <v>258</v>
      </c>
      <c r="E10" t="s">
        <v>1467</v>
      </c>
      <c r="F10">
        <v>5</v>
      </c>
      <c r="G10">
        <v>1</v>
      </c>
      <c r="I10" t="s">
        <v>3238</v>
      </c>
      <c r="J10" t="s">
        <v>20</v>
      </c>
      <c r="K10" t="s">
        <v>20</v>
      </c>
      <c r="L10">
        <v>4</v>
      </c>
      <c r="M10">
        <v>2</v>
      </c>
      <c r="N10" t="s">
        <v>1472</v>
      </c>
      <c r="O10" t="s">
        <v>1457</v>
      </c>
      <c r="P10" t="s">
        <v>1444</v>
      </c>
      <c r="Q10" t="s">
        <v>1473</v>
      </c>
      <c r="R10" t="s">
        <v>265</v>
      </c>
      <c r="S10" t="s">
        <v>1474</v>
      </c>
    </row>
    <row r="11" spans="1:20">
      <c r="A11" t="s">
        <v>4028</v>
      </c>
      <c r="B11" t="s">
        <v>3610</v>
      </c>
      <c r="C11" t="s">
        <v>3602</v>
      </c>
      <c r="D11">
        <v>5</v>
      </c>
      <c r="E11" t="s">
        <v>1497</v>
      </c>
      <c r="F11">
        <v>6</v>
      </c>
      <c r="I11" t="s">
        <v>3238</v>
      </c>
      <c r="J11" t="s">
        <v>20</v>
      </c>
      <c r="K11" t="s">
        <v>20</v>
      </c>
      <c r="L11">
        <v>4</v>
      </c>
      <c r="M11">
        <v>2</v>
      </c>
      <c r="N11" t="s">
        <v>1472</v>
      </c>
      <c r="O11" t="s">
        <v>1447</v>
      </c>
      <c r="P11" t="s">
        <v>1452</v>
      </c>
      <c r="Q11" t="s">
        <v>1443</v>
      </c>
      <c r="R11" t="s">
        <v>263</v>
      </c>
      <c r="S11" t="s">
        <v>3611</v>
      </c>
    </row>
    <row r="12" spans="1:20">
      <c r="A12" t="s">
        <v>4009</v>
      </c>
      <c r="B12" t="s">
        <v>288</v>
      </c>
      <c r="C12" t="s">
        <v>3607</v>
      </c>
      <c r="D12">
        <v>257</v>
      </c>
      <c r="E12" t="s">
        <v>1450</v>
      </c>
      <c r="F12">
        <v>3</v>
      </c>
      <c r="I12" t="s">
        <v>3238</v>
      </c>
      <c r="J12" t="s">
        <v>20</v>
      </c>
      <c r="K12" t="s">
        <v>20</v>
      </c>
      <c r="L12">
        <v>5</v>
      </c>
      <c r="M12">
        <v>2</v>
      </c>
      <c r="N12" t="s">
        <v>1462</v>
      </c>
      <c r="O12" t="s">
        <v>1447</v>
      </c>
      <c r="P12" t="s">
        <v>1463</v>
      </c>
      <c r="Q12" t="s">
        <v>1443</v>
      </c>
      <c r="R12" t="s">
        <v>259</v>
      </c>
      <c r="S12" t="s">
        <v>1464</v>
      </c>
    </row>
    <row r="13" spans="1:20">
      <c r="A13" t="s">
        <v>4010</v>
      </c>
      <c r="B13" t="s">
        <v>254</v>
      </c>
      <c r="C13" t="s">
        <v>3607</v>
      </c>
      <c r="D13" t="s">
        <v>255</v>
      </c>
      <c r="E13" t="s">
        <v>1465</v>
      </c>
      <c r="F13">
        <v>1</v>
      </c>
      <c r="G13">
        <v>1</v>
      </c>
      <c r="I13" t="s">
        <v>3238</v>
      </c>
      <c r="J13" t="s">
        <v>20</v>
      </c>
      <c r="K13" t="s">
        <v>20</v>
      </c>
      <c r="L13">
        <v>5</v>
      </c>
      <c r="M13">
        <v>2</v>
      </c>
      <c r="N13" t="s">
        <v>1462</v>
      </c>
      <c r="O13" t="s">
        <v>1447</v>
      </c>
      <c r="P13" t="s">
        <v>1452</v>
      </c>
      <c r="Q13" t="s">
        <v>1443</v>
      </c>
      <c r="R13" t="s">
        <v>269</v>
      </c>
      <c r="S13" t="s">
        <v>1466</v>
      </c>
    </row>
    <row r="14" spans="1:20">
      <c r="A14" t="s">
        <v>4011</v>
      </c>
      <c r="B14" t="s">
        <v>256</v>
      </c>
      <c r="C14" t="s">
        <v>3607</v>
      </c>
      <c r="D14" t="s">
        <v>257</v>
      </c>
      <c r="E14" t="s">
        <v>1467</v>
      </c>
      <c r="F14">
        <v>5</v>
      </c>
      <c r="G14">
        <v>1</v>
      </c>
      <c r="I14" t="s">
        <v>3238</v>
      </c>
      <c r="J14" t="s">
        <v>20</v>
      </c>
      <c r="K14" t="s">
        <v>20</v>
      </c>
      <c r="L14">
        <v>5</v>
      </c>
      <c r="M14">
        <v>2</v>
      </c>
      <c r="N14" t="s">
        <v>1462</v>
      </c>
      <c r="O14" t="s">
        <v>1457</v>
      </c>
      <c r="P14" t="s">
        <v>1452</v>
      </c>
      <c r="Q14" t="s">
        <v>1443</v>
      </c>
      <c r="R14" t="s">
        <v>289</v>
      </c>
      <c r="S14" t="s">
        <v>1468</v>
      </c>
    </row>
    <row r="15" spans="1:20">
      <c r="A15" t="s">
        <v>4012</v>
      </c>
      <c r="B15" t="s">
        <v>268</v>
      </c>
      <c r="C15" t="s">
        <v>3607</v>
      </c>
      <c r="D15">
        <v>258</v>
      </c>
      <c r="E15" t="s">
        <v>1450</v>
      </c>
      <c r="F15">
        <v>3</v>
      </c>
      <c r="I15" t="s">
        <v>3238</v>
      </c>
      <c r="J15" t="s">
        <v>20</v>
      </c>
      <c r="K15" t="s">
        <v>20</v>
      </c>
      <c r="L15">
        <v>5</v>
      </c>
      <c r="M15">
        <v>2</v>
      </c>
      <c r="N15" t="s">
        <v>1462</v>
      </c>
      <c r="O15" t="s">
        <v>1441</v>
      </c>
      <c r="P15" t="s">
        <v>1444</v>
      </c>
      <c r="Q15" t="s">
        <v>1443</v>
      </c>
      <c r="R15" t="s">
        <v>289</v>
      </c>
      <c r="S15" t="s">
        <v>1469</v>
      </c>
    </row>
    <row r="16" spans="1:20">
      <c r="A16" t="s">
        <v>4013</v>
      </c>
      <c r="B16" t="s">
        <v>1470</v>
      </c>
      <c r="C16" t="s">
        <v>3607</v>
      </c>
      <c r="D16" t="s">
        <v>273</v>
      </c>
      <c r="E16" t="s">
        <v>1467</v>
      </c>
      <c r="F16">
        <v>5</v>
      </c>
      <c r="G16">
        <v>1</v>
      </c>
      <c r="I16" t="s">
        <v>3238</v>
      </c>
      <c r="J16" t="s">
        <v>20</v>
      </c>
      <c r="K16" t="s">
        <v>20</v>
      </c>
      <c r="L16">
        <v>5</v>
      </c>
      <c r="M16">
        <v>2</v>
      </c>
      <c r="N16" t="s">
        <v>1462</v>
      </c>
      <c r="O16" t="s">
        <v>1447</v>
      </c>
      <c r="P16" t="s">
        <v>1442</v>
      </c>
      <c r="Q16" t="s">
        <v>1443</v>
      </c>
      <c r="R16" t="s">
        <v>268</v>
      </c>
      <c r="S16" t="s">
        <v>1471</v>
      </c>
    </row>
    <row r="17" spans="1:19">
      <c r="A17" t="s">
        <v>4015</v>
      </c>
      <c r="B17" t="s">
        <v>260</v>
      </c>
      <c r="C17" t="s">
        <v>3607</v>
      </c>
      <c r="D17" t="s">
        <v>261</v>
      </c>
      <c r="E17" t="s">
        <v>1450</v>
      </c>
      <c r="F17">
        <v>3</v>
      </c>
      <c r="I17" t="s">
        <v>3238</v>
      </c>
      <c r="J17" t="s">
        <v>20</v>
      </c>
      <c r="K17" t="s">
        <v>20</v>
      </c>
      <c r="L17">
        <v>5</v>
      </c>
      <c r="M17">
        <v>2</v>
      </c>
      <c r="N17" t="s">
        <v>1462</v>
      </c>
      <c r="O17" t="s">
        <v>1447</v>
      </c>
      <c r="P17" t="s">
        <v>1452</v>
      </c>
      <c r="Q17" t="s">
        <v>1443</v>
      </c>
      <c r="R17" t="s">
        <v>263</v>
      </c>
      <c r="S17" t="s">
        <v>1475</v>
      </c>
    </row>
    <row r="18" spans="1:19">
      <c r="A18" t="s">
        <v>4016</v>
      </c>
      <c r="B18" t="s">
        <v>281</v>
      </c>
      <c r="C18" t="s">
        <v>3607</v>
      </c>
      <c r="D18" t="s">
        <v>282</v>
      </c>
      <c r="E18" t="s">
        <v>1476</v>
      </c>
      <c r="F18">
        <v>3</v>
      </c>
      <c r="G18">
        <v>1</v>
      </c>
      <c r="I18" t="s">
        <v>3238</v>
      </c>
      <c r="J18" t="s">
        <v>20</v>
      </c>
      <c r="K18" t="s">
        <v>20</v>
      </c>
      <c r="L18">
        <v>5</v>
      </c>
      <c r="M18">
        <v>3</v>
      </c>
      <c r="N18" t="s">
        <v>1477</v>
      </c>
      <c r="O18" t="s">
        <v>1457</v>
      </c>
      <c r="P18" t="s">
        <v>1452</v>
      </c>
      <c r="Q18" t="s">
        <v>1443</v>
      </c>
      <c r="R18" t="s">
        <v>254</v>
      </c>
      <c r="S18" t="s">
        <v>1478</v>
      </c>
    </row>
    <row r="19" spans="1:19">
      <c r="A19" t="s">
        <v>4017</v>
      </c>
      <c r="B19" t="s">
        <v>278</v>
      </c>
      <c r="C19" t="s">
        <v>3607</v>
      </c>
      <c r="D19" t="s">
        <v>279</v>
      </c>
      <c r="E19" t="s">
        <v>1479</v>
      </c>
      <c r="F19">
        <v>6</v>
      </c>
      <c r="G19">
        <v>1</v>
      </c>
      <c r="I19" t="s">
        <v>3238</v>
      </c>
      <c r="J19" t="s">
        <v>20</v>
      </c>
      <c r="K19" t="s">
        <v>20</v>
      </c>
      <c r="L19">
        <v>5</v>
      </c>
      <c r="M19">
        <v>3</v>
      </c>
      <c r="N19" t="s">
        <v>1477</v>
      </c>
      <c r="O19" t="s">
        <v>1457</v>
      </c>
      <c r="P19" t="s">
        <v>1480</v>
      </c>
      <c r="Q19" t="s">
        <v>1443</v>
      </c>
      <c r="R19" t="s">
        <v>256</v>
      </c>
      <c r="S19" t="s">
        <v>1481</v>
      </c>
    </row>
    <row r="20" spans="1:19">
      <c r="A20" t="s">
        <v>4018</v>
      </c>
      <c r="B20" t="s">
        <v>266</v>
      </c>
      <c r="C20" t="s">
        <v>3607</v>
      </c>
      <c r="D20" t="s">
        <v>267</v>
      </c>
      <c r="E20" t="s">
        <v>1482</v>
      </c>
      <c r="F20">
        <v>7</v>
      </c>
      <c r="I20" t="s">
        <v>3238</v>
      </c>
      <c r="J20" t="s">
        <v>20</v>
      </c>
      <c r="K20" t="s">
        <v>20</v>
      </c>
      <c r="L20">
        <v>5</v>
      </c>
      <c r="M20">
        <v>3</v>
      </c>
      <c r="N20" t="s">
        <v>1477</v>
      </c>
      <c r="O20" t="s">
        <v>1447</v>
      </c>
      <c r="P20" t="s">
        <v>1452</v>
      </c>
      <c r="Q20" t="s">
        <v>1443</v>
      </c>
      <c r="R20" t="s">
        <v>1470</v>
      </c>
      <c r="S20" t="s">
        <v>1483</v>
      </c>
    </row>
    <row r="21" spans="1:19">
      <c r="A21" t="s">
        <v>4019</v>
      </c>
      <c r="B21" t="s">
        <v>276</v>
      </c>
      <c r="C21" t="s">
        <v>3607</v>
      </c>
      <c r="D21" t="s">
        <v>277</v>
      </c>
      <c r="E21" t="s">
        <v>1484</v>
      </c>
      <c r="F21" t="s">
        <v>3608</v>
      </c>
      <c r="G21">
        <v>1</v>
      </c>
      <c r="I21" t="s">
        <v>3238</v>
      </c>
      <c r="J21" t="s">
        <v>20</v>
      </c>
      <c r="K21" t="s">
        <v>20</v>
      </c>
      <c r="L21">
        <v>5</v>
      </c>
      <c r="M21">
        <v>3</v>
      </c>
      <c r="N21" t="s">
        <v>1477</v>
      </c>
      <c r="O21" t="s">
        <v>1457</v>
      </c>
      <c r="P21" t="s">
        <v>1452</v>
      </c>
      <c r="Q21" t="s">
        <v>1443</v>
      </c>
      <c r="R21" t="s">
        <v>265</v>
      </c>
      <c r="S21" t="s">
        <v>1485</v>
      </c>
    </row>
    <row r="22" spans="1:19">
      <c r="A22" t="s">
        <v>4020</v>
      </c>
      <c r="B22" t="s">
        <v>283</v>
      </c>
      <c r="C22" t="s">
        <v>3607</v>
      </c>
      <c r="D22">
        <v>259</v>
      </c>
      <c r="E22" t="s">
        <v>1486</v>
      </c>
      <c r="F22">
        <v>3</v>
      </c>
      <c r="H22" t="s">
        <v>2434</v>
      </c>
      <c r="I22" t="s">
        <v>3238</v>
      </c>
      <c r="J22" t="s">
        <v>20</v>
      </c>
      <c r="K22" t="s">
        <v>20</v>
      </c>
      <c r="L22">
        <v>5</v>
      </c>
      <c r="M22">
        <v>3</v>
      </c>
      <c r="N22" t="s">
        <v>1477</v>
      </c>
      <c r="O22" t="s">
        <v>1447</v>
      </c>
      <c r="P22" t="s">
        <v>1442</v>
      </c>
      <c r="Q22" t="s">
        <v>1443</v>
      </c>
      <c r="R22" t="s">
        <v>260</v>
      </c>
      <c r="S22" t="s">
        <v>1487</v>
      </c>
    </row>
    <row r="23" spans="1:19">
      <c r="A23" t="s">
        <v>4021</v>
      </c>
      <c r="B23" t="s">
        <v>280</v>
      </c>
      <c r="C23" t="s">
        <v>3607</v>
      </c>
      <c r="D23" t="s">
        <v>277</v>
      </c>
      <c r="E23" t="s">
        <v>1488</v>
      </c>
      <c r="F23">
        <v>4</v>
      </c>
      <c r="G23">
        <v>1</v>
      </c>
      <c r="H23" t="s">
        <v>2420</v>
      </c>
      <c r="I23" t="s">
        <v>3238</v>
      </c>
      <c r="J23" t="s">
        <v>20</v>
      </c>
      <c r="K23" t="s">
        <v>20</v>
      </c>
      <c r="L23">
        <v>5</v>
      </c>
      <c r="M23">
        <v>3</v>
      </c>
      <c r="N23" t="s">
        <v>1477</v>
      </c>
      <c r="O23" t="s">
        <v>1457</v>
      </c>
      <c r="P23" t="s">
        <v>1452</v>
      </c>
      <c r="Q23" t="s">
        <v>1443</v>
      </c>
      <c r="R23" t="s">
        <v>260</v>
      </c>
      <c r="S23" t="s">
        <v>1489</v>
      </c>
    </row>
    <row r="24" spans="1:19">
      <c r="A24" t="s">
        <v>4022</v>
      </c>
      <c r="B24" t="s">
        <v>286</v>
      </c>
      <c r="C24" t="s">
        <v>3607</v>
      </c>
      <c r="D24">
        <v>260</v>
      </c>
      <c r="E24" t="s">
        <v>1467</v>
      </c>
      <c r="F24">
        <v>5</v>
      </c>
      <c r="G24">
        <v>1</v>
      </c>
      <c r="I24" t="s">
        <v>3238</v>
      </c>
      <c r="J24" t="s">
        <v>20</v>
      </c>
      <c r="K24" t="s">
        <v>20</v>
      </c>
      <c r="L24">
        <v>5</v>
      </c>
      <c r="M24">
        <v>3</v>
      </c>
      <c r="N24" t="s">
        <v>1477</v>
      </c>
      <c r="O24" t="s">
        <v>1457</v>
      </c>
      <c r="P24" t="s">
        <v>1452</v>
      </c>
      <c r="Q24" t="s">
        <v>1443</v>
      </c>
      <c r="R24" t="s">
        <v>260</v>
      </c>
      <c r="S24" t="s">
        <v>1490</v>
      </c>
    </row>
    <row r="25" spans="1:19">
      <c r="A25" t="s">
        <v>4023</v>
      </c>
      <c r="B25" t="s">
        <v>271</v>
      </c>
      <c r="C25" t="s">
        <v>3607</v>
      </c>
      <c r="D25">
        <v>260</v>
      </c>
      <c r="E25" t="s">
        <v>1491</v>
      </c>
      <c r="F25">
        <v>3</v>
      </c>
      <c r="H25" t="s">
        <v>3603</v>
      </c>
      <c r="I25" t="s">
        <v>3238</v>
      </c>
      <c r="J25" t="s">
        <v>20</v>
      </c>
      <c r="K25" t="s">
        <v>20</v>
      </c>
      <c r="L25">
        <v>5</v>
      </c>
      <c r="M25">
        <v>3</v>
      </c>
      <c r="N25" t="s">
        <v>1477</v>
      </c>
      <c r="O25" t="s">
        <v>1447</v>
      </c>
      <c r="P25" t="s">
        <v>1452</v>
      </c>
      <c r="Q25" t="s">
        <v>1443</v>
      </c>
      <c r="R25" t="s">
        <v>286</v>
      </c>
      <c r="S25" t="s">
        <v>1492</v>
      </c>
    </row>
    <row r="26" spans="1:19">
      <c r="A26" t="s">
        <v>4024</v>
      </c>
      <c r="B26" t="s">
        <v>262</v>
      </c>
      <c r="C26" t="s">
        <v>3607</v>
      </c>
      <c r="D26">
        <v>260</v>
      </c>
      <c r="E26" t="s">
        <v>1450</v>
      </c>
      <c r="F26">
        <v>3</v>
      </c>
      <c r="I26" t="s">
        <v>3238</v>
      </c>
      <c r="J26" t="s">
        <v>20</v>
      </c>
      <c r="K26" t="s">
        <v>20</v>
      </c>
      <c r="L26">
        <v>5</v>
      </c>
      <c r="M26">
        <v>4</v>
      </c>
      <c r="N26" t="s">
        <v>1493</v>
      </c>
      <c r="O26" t="s">
        <v>1447</v>
      </c>
      <c r="P26" t="s">
        <v>1452</v>
      </c>
      <c r="Q26" t="s">
        <v>1443</v>
      </c>
      <c r="R26" t="s">
        <v>281</v>
      </c>
      <c r="S26" t="s">
        <v>1494</v>
      </c>
    </row>
    <row r="27" spans="1:19">
      <c r="A27" t="s">
        <v>4025</v>
      </c>
      <c r="B27" t="s">
        <v>272</v>
      </c>
      <c r="C27" t="s">
        <v>3607</v>
      </c>
      <c r="D27">
        <v>260</v>
      </c>
      <c r="E27" t="s">
        <v>1495</v>
      </c>
      <c r="F27">
        <v>6</v>
      </c>
      <c r="G27">
        <v>1</v>
      </c>
      <c r="H27" t="s">
        <v>2434</v>
      </c>
      <c r="I27" t="s">
        <v>3238</v>
      </c>
      <c r="J27" t="s">
        <v>20</v>
      </c>
      <c r="K27" t="s">
        <v>20</v>
      </c>
      <c r="L27">
        <v>5</v>
      </c>
      <c r="M27">
        <v>4</v>
      </c>
      <c r="N27" t="s">
        <v>1493</v>
      </c>
      <c r="O27" t="s">
        <v>1447</v>
      </c>
      <c r="P27" t="s">
        <v>1496</v>
      </c>
      <c r="Q27" t="s">
        <v>1443</v>
      </c>
      <c r="R27" t="s">
        <v>278</v>
      </c>
      <c r="S27" t="s">
        <v>3609</v>
      </c>
    </row>
    <row r="28" spans="1:19">
      <c r="A28" t="s">
        <v>4026</v>
      </c>
      <c r="B28" t="s">
        <v>287</v>
      </c>
      <c r="C28" t="s">
        <v>3607</v>
      </c>
      <c r="D28">
        <v>261</v>
      </c>
      <c r="E28" t="s">
        <v>1497</v>
      </c>
      <c r="F28">
        <v>6</v>
      </c>
      <c r="I28" t="s">
        <v>3238</v>
      </c>
      <c r="J28" t="s">
        <v>20</v>
      </c>
      <c r="K28" t="s">
        <v>20</v>
      </c>
      <c r="L28">
        <v>5</v>
      </c>
      <c r="M28">
        <v>4</v>
      </c>
      <c r="N28" t="s">
        <v>1493</v>
      </c>
      <c r="O28" t="s">
        <v>1457</v>
      </c>
      <c r="P28" t="s">
        <v>1444</v>
      </c>
      <c r="Q28" t="s">
        <v>1473</v>
      </c>
      <c r="R28" t="s">
        <v>266</v>
      </c>
      <c r="S28" t="s">
        <v>1498</v>
      </c>
    </row>
    <row r="29" spans="1:19">
      <c r="A29" t="s">
        <v>4027</v>
      </c>
      <c r="B29" t="s">
        <v>291</v>
      </c>
      <c r="C29" t="s">
        <v>3607</v>
      </c>
      <c r="D29">
        <v>261</v>
      </c>
      <c r="E29" t="s">
        <v>1439</v>
      </c>
      <c r="F29">
        <v>1</v>
      </c>
      <c r="I29" t="s">
        <v>3238</v>
      </c>
      <c r="J29" t="s">
        <v>20</v>
      </c>
      <c r="K29" t="s">
        <v>20</v>
      </c>
      <c r="L29">
        <v>5</v>
      </c>
      <c r="M29">
        <v>5</v>
      </c>
      <c r="N29" t="s">
        <v>1499</v>
      </c>
      <c r="O29" t="s">
        <v>1441</v>
      </c>
      <c r="P29" t="s">
        <v>1442</v>
      </c>
      <c r="Q29" t="s">
        <v>1443</v>
      </c>
      <c r="R29" t="s">
        <v>287</v>
      </c>
      <c r="S29" t="s">
        <v>1500</v>
      </c>
    </row>
    <row r="30" spans="1:19">
      <c r="A30" t="s">
        <v>4029</v>
      </c>
      <c r="B30" t="s">
        <v>3612</v>
      </c>
      <c r="C30" t="s">
        <v>3602</v>
      </c>
      <c r="D30">
        <v>6</v>
      </c>
      <c r="E30" t="s">
        <v>1479</v>
      </c>
      <c r="F30">
        <v>6</v>
      </c>
      <c r="G30">
        <v>1</v>
      </c>
      <c r="I30" t="s">
        <v>3238</v>
      </c>
      <c r="J30" t="s">
        <v>20</v>
      </c>
      <c r="K30" t="s">
        <v>20</v>
      </c>
      <c r="L30">
        <v>5</v>
      </c>
      <c r="M30">
        <v>3</v>
      </c>
      <c r="N30" t="s">
        <v>1477</v>
      </c>
      <c r="O30" t="s">
        <v>1457</v>
      </c>
      <c r="P30" t="s">
        <v>1452</v>
      </c>
      <c r="Q30" t="s">
        <v>1443</v>
      </c>
      <c r="R30" t="s">
        <v>260</v>
      </c>
      <c r="S30" t="s">
        <v>3613</v>
      </c>
    </row>
    <row r="31" spans="1:19">
      <c r="A31" t="s">
        <v>4030</v>
      </c>
      <c r="B31" t="s">
        <v>3614</v>
      </c>
      <c r="C31" t="s">
        <v>3602</v>
      </c>
      <c r="D31">
        <v>6</v>
      </c>
      <c r="E31" t="s">
        <v>1715</v>
      </c>
      <c r="F31">
        <v>13</v>
      </c>
      <c r="G31">
        <v>1</v>
      </c>
      <c r="I31" t="s">
        <v>3238</v>
      </c>
      <c r="J31" t="s">
        <v>20</v>
      </c>
      <c r="K31" t="s">
        <v>20</v>
      </c>
      <c r="L31">
        <v>5</v>
      </c>
      <c r="M31">
        <v>4</v>
      </c>
      <c r="N31" t="s">
        <v>1493</v>
      </c>
      <c r="O31" t="s">
        <v>1457</v>
      </c>
      <c r="P31" t="s">
        <v>1452</v>
      </c>
      <c r="Q31" t="s">
        <v>1443</v>
      </c>
      <c r="R31" t="s">
        <v>3615</v>
      </c>
      <c r="S31" t="s">
        <v>3616</v>
      </c>
    </row>
    <row r="32" spans="1:19">
      <c r="A32" t="s">
        <v>4031</v>
      </c>
      <c r="B32" t="s">
        <v>3617</v>
      </c>
      <c r="C32" t="s">
        <v>3602</v>
      </c>
      <c r="D32">
        <v>6</v>
      </c>
      <c r="E32" t="s">
        <v>3618</v>
      </c>
      <c r="F32" t="s">
        <v>3619</v>
      </c>
      <c r="I32" t="s">
        <v>3238</v>
      </c>
      <c r="J32" t="s">
        <v>20</v>
      </c>
      <c r="K32" t="s">
        <v>20</v>
      </c>
      <c r="L32">
        <v>5</v>
      </c>
      <c r="M32">
        <v>5</v>
      </c>
      <c r="N32" t="s">
        <v>1499</v>
      </c>
      <c r="O32" t="s">
        <v>1457</v>
      </c>
      <c r="P32" t="s">
        <v>1452</v>
      </c>
      <c r="Q32" t="s">
        <v>1443</v>
      </c>
      <c r="R32" t="s">
        <v>3620</v>
      </c>
      <c r="S32" t="s">
        <v>3621</v>
      </c>
    </row>
    <row r="33" spans="1:19">
      <c r="A33" t="s">
        <v>6722</v>
      </c>
      <c r="B33" t="s">
        <v>4990</v>
      </c>
      <c r="C33" t="s">
        <v>3968</v>
      </c>
      <c r="D33">
        <v>163</v>
      </c>
      <c r="E33" t="s">
        <v>4991</v>
      </c>
      <c r="F33">
        <v>1</v>
      </c>
      <c r="I33" t="s">
        <v>3560</v>
      </c>
      <c r="J33" t="s">
        <v>20</v>
      </c>
      <c r="K33" t="s">
        <v>20</v>
      </c>
      <c r="L33">
        <v>1</v>
      </c>
      <c r="M33">
        <v>1</v>
      </c>
      <c r="N33" t="s">
        <v>4992</v>
      </c>
      <c r="O33" t="s">
        <v>1441</v>
      </c>
      <c r="P33" t="s">
        <v>4993</v>
      </c>
      <c r="Q33" t="s">
        <v>1443</v>
      </c>
      <c r="R33" t="s">
        <v>1444</v>
      </c>
      <c r="S33" t="s">
        <v>4994</v>
      </c>
    </row>
    <row r="34" spans="1:19">
      <c r="A34" t="s">
        <v>6723</v>
      </c>
      <c r="B34" t="s">
        <v>4995</v>
      </c>
      <c r="C34" t="s">
        <v>3968</v>
      </c>
      <c r="D34">
        <v>163</v>
      </c>
      <c r="E34" t="s">
        <v>1450</v>
      </c>
      <c r="F34">
        <v>3</v>
      </c>
      <c r="I34" t="s">
        <v>3560</v>
      </c>
      <c r="J34" t="s">
        <v>20</v>
      </c>
      <c r="K34" t="s">
        <v>20</v>
      </c>
      <c r="L34">
        <v>2</v>
      </c>
      <c r="M34">
        <v>1</v>
      </c>
      <c r="N34" t="s">
        <v>1440</v>
      </c>
      <c r="O34" t="s">
        <v>1441</v>
      </c>
      <c r="P34" t="s">
        <v>4996</v>
      </c>
      <c r="Q34" t="s">
        <v>1443</v>
      </c>
      <c r="R34" t="s">
        <v>1444</v>
      </c>
      <c r="S34" t="s">
        <v>4997</v>
      </c>
    </row>
    <row r="35" spans="1:19">
      <c r="A35" t="s">
        <v>6725</v>
      </c>
      <c r="B35" t="s">
        <v>5001</v>
      </c>
      <c r="C35" t="s">
        <v>3968</v>
      </c>
      <c r="D35">
        <v>164</v>
      </c>
      <c r="E35" t="s">
        <v>1439</v>
      </c>
      <c r="F35">
        <v>1</v>
      </c>
      <c r="I35" t="s">
        <v>3560</v>
      </c>
      <c r="J35" t="s">
        <v>20</v>
      </c>
      <c r="K35" t="s">
        <v>20</v>
      </c>
      <c r="L35">
        <v>2</v>
      </c>
      <c r="M35">
        <v>1</v>
      </c>
      <c r="N35" t="s">
        <v>1440</v>
      </c>
      <c r="O35" t="s">
        <v>1441</v>
      </c>
      <c r="P35" t="s">
        <v>5002</v>
      </c>
      <c r="Q35" t="s">
        <v>1443</v>
      </c>
      <c r="R35" t="s">
        <v>1444</v>
      </c>
      <c r="S35" t="s">
        <v>5003</v>
      </c>
    </row>
    <row r="36" spans="1:19">
      <c r="A36" t="s">
        <v>6724</v>
      </c>
      <c r="B36" t="s">
        <v>4998</v>
      </c>
      <c r="C36" t="s">
        <v>3968</v>
      </c>
      <c r="D36">
        <v>164</v>
      </c>
      <c r="E36" t="s">
        <v>1554</v>
      </c>
      <c r="F36">
        <v>4</v>
      </c>
      <c r="I36" t="s">
        <v>3560</v>
      </c>
      <c r="J36" t="s">
        <v>20</v>
      </c>
      <c r="K36" t="s">
        <v>20</v>
      </c>
      <c r="L36">
        <v>3</v>
      </c>
      <c r="M36">
        <v>1</v>
      </c>
      <c r="N36" t="s">
        <v>1446</v>
      </c>
      <c r="O36" t="s">
        <v>1441</v>
      </c>
      <c r="P36" t="s">
        <v>4999</v>
      </c>
      <c r="Q36" t="s">
        <v>1443</v>
      </c>
      <c r="R36" t="s">
        <v>4995</v>
      </c>
      <c r="S36" t="s">
        <v>5000</v>
      </c>
    </row>
    <row r="37" spans="1:19">
      <c r="A37" t="s">
        <v>6726</v>
      </c>
      <c r="B37" t="s">
        <v>5004</v>
      </c>
      <c r="C37" t="s">
        <v>3968</v>
      </c>
      <c r="D37">
        <v>164</v>
      </c>
      <c r="E37" t="s">
        <v>1450</v>
      </c>
      <c r="F37">
        <v>3</v>
      </c>
      <c r="I37" t="s">
        <v>3560</v>
      </c>
      <c r="J37" t="s">
        <v>20</v>
      </c>
      <c r="K37" t="s">
        <v>20</v>
      </c>
      <c r="L37">
        <v>3</v>
      </c>
      <c r="M37">
        <v>1</v>
      </c>
      <c r="N37" t="s">
        <v>1446</v>
      </c>
      <c r="O37" t="s">
        <v>1441</v>
      </c>
      <c r="P37" t="s">
        <v>5005</v>
      </c>
      <c r="Q37" t="s">
        <v>1443</v>
      </c>
      <c r="R37" t="s">
        <v>5001</v>
      </c>
      <c r="S37" t="s">
        <v>5006</v>
      </c>
    </row>
    <row r="38" spans="1:19">
      <c r="A38" t="s">
        <v>6728</v>
      </c>
      <c r="B38" t="s">
        <v>5010</v>
      </c>
      <c r="C38" t="s">
        <v>3968</v>
      </c>
      <c r="D38">
        <v>164</v>
      </c>
      <c r="E38" t="s">
        <v>5011</v>
      </c>
      <c r="F38">
        <v>3</v>
      </c>
      <c r="G38">
        <v>1</v>
      </c>
      <c r="I38" t="s">
        <v>3560</v>
      </c>
      <c r="J38" t="s">
        <v>20</v>
      </c>
      <c r="K38" t="s">
        <v>20</v>
      </c>
      <c r="L38">
        <v>3</v>
      </c>
      <c r="M38">
        <v>2</v>
      </c>
      <c r="N38" t="s">
        <v>5012</v>
      </c>
      <c r="O38" t="s">
        <v>1457</v>
      </c>
      <c r="P38" t="s">
        <v>5013</v>
      </c>
      <c r="Q38" t="s">
        <v>1443</v>
      </c>
      <c r="R38" t="s">
        <v>5001</v>
      </c>
      <c r="S38" t="s">
        <v>5014</v>
      </c>
    </row>
    <row r="39" spans="1:19">
      <c r="A39" t="s">
        <v>6727</v>
      </c>
      <c r="B39" t="s">
        <v>5007</v>
      </c>
      <c r="C39" t="s">
        <v>3968</v>
      </c>
      <c r="D39">
        <v>164</v>
      </c>
      <c r="E39" t="s">
        <v>3737</v>
      </c>
      <c r="F39">
        <v>2</v>
      </c>
      <c r="H39" t="s">
        <v>2420</v>
      </c>
      <c r="I39" t="s">
        <v>3560</v>
      </c>
      <c r="J39" t="s">
        <v>20</v>
      </c>
      <c r="K39" t="s">
        <v>20</v>
      </c>
      <c r="L39">
        <v>4</v>
      </c>
      <c r="M39">
        <v>1</v>
      </c>
      <c r="N39" t="s">
        <v>1451</v>
      </c>
      <c r="O39" t="s">
        <v>1447</v>
      </c>
      <c r="P39" t="s">
        <v>5008</v>
      </c>
      <c r="Q39" t="s">
        <v>1443</v>
      </c>
      <c r="R39" t="s">
        <v>5001</v>
      </c>
      <c r="S39" t="s">
        <v>5009</v>
      </c>
    </row>
    <row r="40" spans="1:19">
      <c r="A40" t="s">
        <v>6729</v>
      </c>
      <c r="B40" t="s">
        <v>5015</v>
      </c>
      <c r="C40" t="s">
        <v>3968</v>
      </c>
      <c r="D40">
        <v>165</v>
      </c>
      <c r="E40" t="s">
        <v>1554</v>
      </c>
      <c r="F40">
        <v>4</v>
      </c>
      <c r="I40" t="s">
        <v>3560</v>
      </c>
      <c r="J40" t="s">
        <v>20</v>
      </c>
      <c r="K40" t="s">
        <v>20</v>
      </c>
      <c r="L40">
        <v>4</v>
      </c>
      <c r="M40">
        <v>2</v>
      </c>
      <c r="N40" t="s">
        <v>1472</v>
      </c>
      <c r="O40" t="s">
        <v>1457</v>
      </c>
      <c r="P40" t="s">
        <v>5002</v>
      </c>
      <c r="Q40" t="s">
        <v>1473</v>
      </c>
      <c r="R40" t="s">
        <v>5010</v>
      </c>
      <c r="S40" t="s">
        <v>5016</v>
      </c>
    </row>
    <row r="41" spans="1:19">
      <c r="A41" t="s">
        <v>6730</v>
      </c>
      <c r="B41" t="s">
        <v>5017</v>
      </c>
      <c r="C41" t="s">
        <v>3968</v>
      </c>
      <c r="D41">
        <v>165</v>
      </c>
      <c r="E41" t="s">
        <v>1554</v>
      </c>
      <c r="F41">
        <v>4</v>
      </c>
      <c r="I41" t="s">
        <v>3560</v>
      </c>
      <c r="J41" t="s">
        <v>20</v>
      </c>
      <c r="K41" t="s">
        <v>20</v>
      </c>
      <c r="L41">
        <v>4</v>
      </c>
      <c r="M41">
        <v>2</v>
      </c>
      <c r="N41" t="s">
        <v>1472</v>
      </c>
      <c r="O41" t="s">
        <v>1441</v>
      </c>
      <c r="P41" t="s">
        <v>5018</v>
      </c>
      <c r="Q41" t="s">
        <v>1443</v>
      </c>
      <c r="R41" t="s">
        <v>4998</v>
      </c>
      <c r="S41" t="s">
        <v>5019</v>
      </c>
    </row>
    <row r="42" spans="1:19">
      <c r="A42" t="s">
        <v>6731</v>
      </c>
      <c r="B42" t="s">
        <v>5020</v>
      </c>
      <c r="C42" t="s">
        <v>3968</v>
      </c>
      <c r="D42">
        <v>165</v>
      </c>
      <c r="E42" t="s">
        <v>5021</v>
      </c>
      <c r="F42">
        <v>2</v>
      </c>
      <c r="H42" t="s">
        <v>2420</v>
      </c>
      <c r="I42" t="s">
        <v>3560</v>
      </c>
      <c r="J42" t="s">
        <v>20</v>
      </c>
      <c r="K42" t="s">
        <v>20</v>
      </c>
      <c r="L42">
        <v>4</v>
      </c>
      <c r="M42">
        <v>2</v>
      </c>
      <c r="N42" t="s">
        <v>1472</v>
      </c>
      <c r="O42" t="s">
        <v>1441</v>
      </c>
      <c r="P42" t="s">
        <v>5022</v>
      </c>
      <c r="Q42" t="s">
        <v>1443</v>
      </c>
      <c r="R42" t="s">
        <v>4998</v>
      </c>
      <c r="S42" t="s">
        <v>5023</v>
      </c>
    </row>
    <row r="43" spans="1:19">
      <c r="A43" t="s">
        <v>6737</v>
      </c>
      <c r="B43" t="s">
        <v>5044</v>
      </c>
      <c r="C43" t="s">
        <v>3968</v>
      </c>
      <c r="D43">
        <v>166</v>
      </c>
      <c r="E43" t="s">
        <v>1632</v>
      </c>
      <c r="F43">
        <v>5</v>
      </c>
      <c r="H43" t="s">
        <v>2420</v>
      </c>
      <c r="I43" t="s">
        <v>3560</v>
      </c>
      <c r="J43" t="s">
        <v>20</v>
      </c>
      <c r="K43" t="s">
        <v>20</v>
      </c>
      <c r="L43">
        <v>4</v>
      </c>
      <c r="M43">
        <v>3</v>
      </c>
      <c r="N43" t="s">
        <v>5045</v>
      </c>
      <c r="O43" t="s">
        <v>1447</v>
      </c>
      <c r="P43" t="s">
        <v>5046</v>
      </c>
      <c r="Q43" t="s">
        <v>1443</v>
      </c>
      <c r="R43" t="s">
        <v>5020</v>
      </c>
      <c r="S43" t="s">
        <v>5047</v>
      </c>
    </row>
    <row r="44" spans="1:19">
      <c r="A44" t="s">
        <v>6738</v>
      </c>
      <c r="B44" t="s">
        <v>5048</v>
      </c>
      <c r="C44" t="s">
        <v>3968</v>
      </c>
      <c r="D44">
        <v>166</v>
      </c>
      <c r="E44" t="s">
        <v>3687</v>
      </c>
      <c r="I44" t="s">
        <v>3560</v>
      </c>
      <c r="J44" t="s">
        <v>20</v>
      </c>
      <c r="K44" t="s">
        <v>20</v>
      </c>
      <c r="L44">
        <v>4</v>
      </c>
      <c r="M44">
        <v>3</v>
      </c>
      <c r="N44" t="s">
        <v>5045</v>
      </c>
      <c r="O44" t="s">
        <v>1513</v>
      </c>
      <c r="P44" t="s">
        <v>5049</v>
      </c>
      <c r="Q44" t="s">
        <v>1513</v>
      </c>
      <c r="R44" t="s">
        <v>5050</v>
      </c>
      <c r="S44" t="s">
        <v>5051</v>
      </c>
    </row>
    <row r="45" spans="1:19">
      <c r="A45" t="s">
        <v>6732</v>
      </c>
      <c r="B45" t="s">
        <v>5024</v>
      </c>
      <c r="C45" t="s">
        <v>3968</v>
      </c>
      <c r="D45">
        <v>165</v>
      </c>
      <c r="E45" t="s">
        <v>5025</v>
      </c>
      <c r="F45">
        <v>4</v>
      </c>
      <c r="G45">
        <v>1</v>
      </c>
      <c r="H45" t="s">
        <v>5026</v>
      </c>
      <c r="I45" t="s">
        <v>3560</v>
      </c>
      <c r="J45" t="s">
        <v>20</v>
      </c>
      <c r="K45" t="s">
        <v>20</v>
      </c>
      <c r="L45">
        <v>5</v>
      </c>
      <c r="M45">
        <v>3</v>
      </c>
      <c r="N45" t="s">
        <v>5027</v>
      </c>
      <c r="O45" t="s">
        <v>1457</v>
      </c>
      <c r="P45" t="s">
        <v>5028</v>
      </c>
      <c r="Q45" t="s">
        <v>1443</v>
      </c>
      <c r="R45" t="s">
        <v>1444</v>
      </c>
      <c r="S45" t="s">
        <v>5029</v>
      </c>
    </row>
    <row r="46" spans="1:19">
      <c r="A46" t="s">
        <v>6733</v>
      </c>
      <c r="B46" t="s">
        <v>5030</v>
      </c>
      <c r="C46" t="s">
        <v>3968</v>
      </c>
      <c r="D46">
        <v>165</v>
      </c>
      <c r="E46" t="s">
        <v>2816</v>
      </c>
      <c r="F46">
        <v>6</v>
      </c>
      <c r="G46">
        <v>1</v>
      </c>
      <c r="H46" t="s">
        <v>1507</v>
      </c>
      <c r="I46" t="s">
        <v>3560</v>
      </c>
      <c r="J46" t="s">
        <v>20</v>
      </c>
      <c r="K46" t="s">
        <v>20</v>
      </c>
      <c r="L46">
        <v>5</v>
      </c>
      <c r="M46">
        <v>3</v>
      </c>
      <c r="N46" t="s">
        <v>1477</v>
      </c>
      <c r="O46" t="s">
        <v>1447</v>
      </c>
      <c r="P46" t="s">
        <v>5031</v>
      </c>
      <c r="Q46" t="s">
        <v>1443</v>
      </c>
      <c r="R46" t="s">
        <v>1444</v>
      </c>
      <c r="S46" t="s">
        <v>5032</v>
      </c>
    </row>
    <row r="47" spans="1:19">
      <c r="A47" t="s">
        <v>6734</v>
      </c>
      <c r="B47" t="s">
        <v>5033</v>
      </c>
      <c r="C47" t="s">
        <v>3968</v>
      </c>
      <c r="D47">
        <v>165</v>
      </c>
      <c r="E47" t="s">
        <v>5034</v>
      </c>
      <c r="F47">
        <v>8</v>
      </c>
      <c r="G47">
        <v>1</v>
      </c>
      <c r="H47" t="s">
        <v>5035</v>
      </c>
      <c r="I47" t="s">
        <v>3560</v>
      </c>
      <c r="J47" t="s">
        <v>20</v>
      </c>
      <c r="K47" t="s">
        <v>20</v>
      </c>
      <c r="L47">
        <v>5</v>
      </c>
      <c r="M47">
        <v>3</v>
      </c>
      <c r="N47" t="s">
        <v>5027</v>
      </c>
      <c r="O47" t="s">
        <v>1457</v>
      </c>
      <c r="P47" t="s">
        <v>5036</v>
      </c>
      <c r="Q47" t="s">
        <v>1443</v>
      </c>
      <c r="R47" t="s">
        <v>1444</v>
      </c>
      <c r="S47" t="s">
        <v>5037</v>
      </c>
    </row>
    <row r="48" spans="1:19">
      <c r="A48" t="s">
        <v>6735</v>
      </c>
      <c r="B48" t="s">
        <v>5038</v>
      </c>
      <c r="C48" t="s">
        <v>3968</v>
      </c>
      <c r="D48">
        <v>166</v>
      </c>
      <c r="E48" t="s">
        <v>1460</v>
      </c>
      <c r="F48">
        <v>2</v>
      </c>
      <c r="I48" t="s">
        <v>3560</v>
      </c>
      <c r="J48" t="s">
        <v>20</v>
      </c>
      <c r="K48" t="s">
        <v>20</v>
      </c>
      <c r="L48">
        <v>5</v>
      </c>
      <c r="M48">
        <v>3</v>
      </c>
      <c r="N48" t="s">
        <v>1477</v>
      </c>
      <c r="O48" t="s">
        <v>1441</v>
      </c>
      <c r="P48" t="s">
        <v>5039</v>
      </c>
      <c r="Q48" t="s">
        <v>1443</v>
      </c>
      <c r="R48" t="s">
        <v>1444</v>
      </c>
      <c r="S48" t="s">
        <v>5040</v>
      </c>
    </row>
    <row r="49" spans="1:19">
      <c r="A49" t="s">
        <v>6736</v>
      </c>
      <c r="B49" t="s">
        <v>5041</v>
      </c>
      <c r="C49" t="s">
        <v>3968</v>
      </c>
      <c r="D49">
        <v>166</v>
      </c>
      <c r="E49" t="s">
        <v>1465</v>
      </c>
      <c r="F49">
        <v>1</v>
      </c>
      <c r="G49">
        <v>1</v>
      </c>
      <c r="I49" t="s">
        <v>3560</v>
      </c>
      <c r="J49" t="s">
        <v>20</v>
      </c>
      <c r="K49" t="s">
        <v>20</v>
      </c>
      <c r="L49">
        <v>5</v>
      </c>
      <c r="M49">
        <v>3</v>
      </c>
      <c r="N49" t="s">
        <v>1477</v>
      </c>
      <c r="O49" t="s">
        <v>1447</v>
      </c>
      <c r="P49" t="s">
        <v>5042</v>
      </c>
      <c r="Q49" t="s">
        <v>1443</v>
      </c>
      <c r="R49" t="s">
        <v>1444</v>
      </c>
      <c r="S49" t="s">
        <v>5043</v>
      </c>
    </row>
    <row r="50" spans="1:19">
      <c r="A50" t="s">
        <v>6739</v>
      </c>
      <c r="B50" t="s">
        <v>5052</v>
      </c>
      <c r="C50" t="s">
        <v>3968</v>
      </c>
      <c r="D50">
        <v>164</v>
      </c>
      <c r="E50" t="s">
        <v>5053</v>
      </c>
      <c r="F50">
        <v>6</v>
      </c>
      <c r="G50">
        <v>1</v>
      </c>
      <c r="H50" t="s">
        <v>5054</v>
      </c>
      <c r="I50" t="s">
        <v>3560</v>
      </c>
      <c r="J50" t="s">
        <v>20</v>
      </c>
      <c r="K50" t="s">
        <v>20</v>
      </c>
      <c r="L50">
        <v>5</v>
      </c>
      <c r="M50">
        <v>3</v>
      </c>
      <c r="N50" t="s">
        <v>5027</v>
      </c>
      <c r="O50" t="s">
        <v>1457</v>
      </c>
      <c r="P50" t="s">
        <v>5055</v>
      </c>
      <c r="Q50" t="s">
        <v>1443</v>
      </c>
      <c r="R50" t="s">
        <v>5044</v>
      </c>
      <c r="S50" t="s">
        <v>5056</v>
      </c>
    </row>
    <row r="51" spans="1:19">
      <c r="A51" t="s">
        <v>6740</v>
      </c>
      <c r="B51" t="s">
        <v>5057</v>
      </c>
      <c r="C51" t="s">
        <v>3968</v>
      </c>
      <c r="D51">
        <v>167</v>
      </c>
      <c r="E51" t="s">
        <v>3759</v>
      </c>
      <c r="G51">
        <v>1</v>
      </c>
      <c r="I51" t="s">
        <v>3560</v>
      </c>
      <c r="J51" t="s">
        <v>20</v>
      </c>
      <c r="K51" t="s">
        <v>20</v>
      </c>
      <c r="L51">
        <v>5</v>
      </c>
      <c r="M51">
        <v>4</v>
      </c>
      <c r="N51" t="s">
        <v>1493</v>
      </c>
      <c r="O51" t="s">
        <v>1513</v>
      </c>
      <c r="P51" t="s">
        <v>5058</v>
      </c>
      <c r="Q51" t="s">
        <v>1513</v>
      </c>
      <c r="R51" t="s">
        <v>5044</v>
      </c>
      <c r="S51" t="s">
        <v>5059</v>
      </c>
    </row>
    <row r="52" spans="1:19">
      <c r="A52" t="s">
        <v>6741</v>
      </c>
      <c r="B52" t="s">
        <v>5060</v>
      </c>
      <c r="C52" t="s">
        <v>3968</v>
      </c>
      <c r="D52">
        <v>167</v>
      </c>
      <c r="E52" t="s">
        <v>5061</v>
      </c>
      <c r="F52">
        <v>8</v>
      </c>
      <c r="G52">
        <v>1</v>
      </c>
      <c r="H52" t="s">
        <v>1507</v>
      </c>
      <c r="I52" t="s">
        <v>3560</v>
      </c>
      <c r="J52" t="s">
        <v>20</v>
      </c>
      <c r="K52" t="s">
        <v>20</v>
      </c>
      <c r="L52">
        <v>5</v>
      </c>
      <c r="M52">
        <v>5</v>
      </c>
      <c r="N52" t="s">
        <v>1499</v>
      </c>
      <c r="O52" t="s">
        <v>1457</v>
      </c>
      <c r="P52" t="s">
        <v>5058</v>
      </c>
      <c r="Q52" t="s">
        <v>5062</v>
      </c>
      <c r="R52" t="s">
        <v>5057</v>
      </c>
      <c r="S52" t="s">
        <v>5063</v>
      </c>
    </row>
    <row r="53" spans="1:19">
      <c r="A53" t="s">
        <v>6742</v>
      </c>
      <c r="B53" t="s">
        <v>5064</v>
      </c>
      <c r="C53" t="s">
        <v>3968</v>
      </c>
      <c r="D53">
        <v>168</v>
      </c>
      <c r="E53" t="s">
        <v>5065</v>
      </c>
      <c r="F53">
        <v>6</v>
      </c>
      <c r="G53">
        <v>1</v>
      </c>
      <c r="H53" t="s">
        <v>5066</v>
      </c>
      <c r="I53" t="s">
        <v>3560</v>
      </c>
      <c r="J53" t="s">
        <v>20</v>
      </c>
      <c r="K53" t="s">
        <v>20</v>
      </c>
      <c r="L53">
        <v>5</v>
      </c>
      <c r="M53">
        <v>5</v>
      </c>
      <c r="N53" t="s">
        <v>5067</v>
      </c>
      <c r="O53" t="s">
        <v>1457</v>
      </c>
      <c r="P53" t="s">
        <v>5068</v>
      </c>
      <c r="Q53" t="s">
        <v>1443</v>
      </c>
      <c r="R53" t="s">
        <v>5060</v>
      </c>
      <c r="S53" t="s">
        <v>5069</v>
      </c>
    </row>
    <row r="54" spans="1:19">
      <c r="A54" t="s">
        <v>4032</v>
      </c>
      <c r="B54" t="s">
        <v>305</v>
      </c>
      <c r="C54" t="s">
        <v>3607</v>
      </c>
      <c r="D54" t="s">
        <v>306</v>
      </c>
      <c r="E54" t="s">
        <v>1450</v>
      </c>
      <c r="F54">
        <v>3</v>
      </c>
      <c r="I54" t="s">
        <v>3238</v>
      </c>
      <c r="J54" t="s">
        <v>22</v>
      </c>
      <c r="K54" t="s">
        <v>22</v>
      </c>
      <c r="L54">
        <v>1</v>
      </c>
      <c r="M54">
        <v>1</v>
      </c>
      <c r="N54" t="s">
        <v>1501</v>
      </c>
      <c r="O54" t="s">
        <v>1447</v>
      </c>
      <c r="P54" t="s">
        <v>1444</v>
      </c>
      <c r="Q54" t="s">
        <v>1473</v>
      </c>
      <c r="R54" t="s">
        <v>1444</v>
      </c>
      <c r="S54" t="s">
        <v>1502</v>
      </c>
    </row>
    <row r="55" spans="1:19">
      <c r="A55" t="s">
        <v>4033</v>
      </c>
      <c r="B55" t="s">
        <v>315</v>
      </c>
      <c r="C55" t="s">
        <v>3607</v>
      </c>
      <c r="D55" t="s">
        <v>316</v>
      </c>
      <c r="E55" t="s">
        <v>1460</v>
      </c>
      <c r="F55">
        <v>2</v>
      </c>
      <c r="I55" t="s">
        <v>3238</v>
      </c>
      <c r="J55" t="s">
        <v>22</v>
      </c>
      <c r="K55" t="s">
        <v>22</v>
      </c>
      <c r="L55">
        <v>2</v>
      </c>
      <c r="M55">
        <v>1</v>
      </c>
      <c r="N55" t="s">
        <v>1503</v>
      </c>
      <c r="O55" t="s">
        <v>1441</v>
      </c>
      <c r="P55" t="s">
        <v>1444</v>
      </c>
      <c r="Q55" t="s">
        <v>1443</v>
      </c>
      <c r="R55" t="s">
        <v>1444</v>
      </c>
      <c r="S55" t="s">
        <v>1504</v>
      </c>
    </row>
    <row r="56" spans="1:19">
      <c r="A56" t="s">
        <v>4035</v>
      </c>
      <c r="B56" t="s">
        <v>302</v>
      </c>
      <c r="C56" t="s">
        <v>3607</v>
      </c>
      <c r="D56">
        <v>261</v>
      </c>
      <c r="E56" t="s">
        <v>1507</v>
      </c>
      <c r="H56" t="s">
        <v>1507</v>
      </c>
      <c r="I56" t="s">
        <v>3238</v>
      </c>
      <c r="J56" t="s">
        <v>22</v>
      </c>
      <c r="K56" t="s">
        <v>22</v>
      </c>
      <c r="L56">
        <v>2</v>
      </c>
      <c r="M56">
        <v>1</v>
      </c>
      <c r="N56" t="s">
        <v>1503</v>
      </c>
      <c r="O56" t="s">
        <v>1447</v>
      </c>
      <c r="P56" t="s">
        <v>1444</v>
      </c>
      <c r="Q56" t="s">
        <v>1443</v>
      </c>
      <c r="R56" t="s">
        <v>1508</v>
      </c>
      <c r="S56" t="s">
        <v>1509</v>
      </c>
    </row>
    <row r="57" spans="1:19">
      <c r="A57" t="s">
        <v>4034</v>
      </c>
      <c r="B57" t="s">
        <v>325</v>
      </c>
      <c r="C57" t="s">
        <v>3607</v>
      </c>
      <c r="D57" t="s">
        <v>326</v>
      </c>
      <c r="E57" t="s">
        <v>1450</v>
      </c>
      <c r="F57">
        <v>3</v>
      </c>
      <c r="I57" t="s">
        <v>3238</v>
      </c>
      <c r="J57" t="s">
        <v>22</v>
      </c>
      <c r="K57" t="s">
        <v>22</v>
      </c>
      <c r="L57">
        <v>3</v>
      </c>
      <c r="M57">
        <v>1</v>
      </c>
      <c r="N57" t="s">
        <v>1505</v>
      </c>
      <c r="O57" t="s">
        <v>1447</v>
      </c>
      <c r="P57" t="s">
        <v>1444</v>
      </c>
      <c r="Q57" t="s">
        <v>1443</v>
      </c>
      <c r="R57" t="s">
        <v>315</v>
      </c>
      <c r="S57" t="s">
        <v>1506</v>
      </c>
    </row>
    <row r="58" spans="1:19">
      <c r="A58" t="s">
        <v>4036</v>
      </c>
      <c r="B58" t="s">
        <v>312</v>
      </c>
      <c r="C58" t="s">
        <v>3607</v>
      </c>
      <c r="D58" t="s">
        <v>313</v>
      </c>
      <c r="E58" t="s">
        <v>1450</v>
      </c>
      <c r="F58">
        <v>3</v>
      </c>
      <c r="I58" t="s">
        <v>3238</v>
      </c>
      <c r="J58" t="s">
        <v>22</v>
      </c>
      <c r="K58" t="s">
        <v>22</v>
      </c>
      <c r="L58">
        <v>3</v>
      </c>
      <c r="M58">
        <v>1</v>
      </c>
      <c r="N58" t="s">
        <v>1505</v>
      </c>
      <c r="O58" t="s">
        <v>1441</v>
      </c>
      <c r="P58" t="s">
        <v>1444</v>
      </c>
      <c r="Q58" t="s">
        <v>1443</v>
      </c>
      <c r="R58" t="s">
        <v>1444</v>
      </c>
      <c r="S58" t="s">
        <v>1510</v>
      </c>
    </row>
    <row r="59" spans="1:19">
      <c r="A59" t="s">
        <v>4038</v>
      </c>
      <c r="B59" t="s">
        <v>308</v>
      </c>
      <c r="C59" t="s">
        <v>3607</v>
      </c>
      <c r="D59" t="s">
        <v>309</v>
      </c>
      <c r="E59" t="s">
        <v>1515</v>
      </c>
      <c r="F59" t="s">
        <v>3622</v>
      </c>
      <c r="H59" t="s">
        <v>3623</v>
      </c>
      <c r="I59" t="s">
        <v>3238</v>
      </c>
      <c r="J59" t="s">
        <v>22</v>
      </c>
      <c r="K59" t="s">
        <v>22</v>
      </c>
      <c r="L59">
        <v>3</v>
      </c>
      <c r="M59">
        <v>1</v>
      </c>
      <c r="N59" t="s">
        <v>1505</v>
      </c>
      <c r="O59" t="s">
        <v>1457</v>
      </c>
      <c r="P59" t="s">
        <v>1444</v>
      </c>
      <c r="Q59" t="s">
        <v>1473</v>
      </c>
      <c r="R59" t="s">
        <v>1444</v>
      </c>
      <c r="S59" t="s">
        <v>1516</v>
      </c>
    </row>
    <row r="60" spans="1:19">
      <c r="A60" t="s">
        <v>4040</v>
      </c>
      <c r="B60" t="s">
        <v>331</v>
      </c>
      <c r="C60" t="s">
        <v>3607</v>
      </c>
      <c r="D60" t="s">
        <v>332</v>
      </c>
      <c r="E60" t="s">
        <v>1456</v>
      </c>
      <c r="F60">
        <v>4</v>
      </c>
      <c r="G60">
        <v>1</v>
      </c>
      <c r="I60" t="s">
        <v>3238</v>
      </c>
      <c r="J60" t="s">
        <v>22</v>
      </c>
      <c r="K60" t="s">
        <v>22</v>
      </c>
      <c r="L60">
        <v>3</v>
      </c>
      <c r="M60">
        <v>1</v>
      </c>
      <c r="N60" t="s">
        <v>1505</v>
      </c>
      <c r="O60" t="s">
        <v>1441</v>
      </c>
      <c r="P60" t="s">
        <v>1452</v>
      </c>
      <c r="Q60" t="s">
        <v>1443</v>
      </c>
      <c r="R60" t="s">
        <v>1521</v>
      </c>
      <c r="S60" t="s">
        <v>1522</v>
      </c>
    </row>
    <row r="61" spans="1:19">
      <c r="A61" t="s">
        <v>4041</v>
      </c>
      <c r="B61" t="s">
        <v>301</v>
      </c>
      <c r="C61" t="s">
        <v>3607</v>
      </c>
      <c r="D61">
        <v>263</v>
      </c>
      <c r="E61" t="s">
        <v>1450</v>
      </c>
      <c r="F61">
        <v>3</v>
      </c>
      <c r="I61" t="s">
        <v>3238</v>
      </c>
      <c r="J61" t="s">
        <v>22</v>
      </c>
      <c r="K61" t="s">
        <v>22</v>
      </c>
      <c r="L61">
        <v>3</v>
      </c>
      <c r="M61">
        <v>1</v>
      </c>
      <c r="N61" t="s">
        <v>1505</v>
      </c>
      <c r="O61" t="s">
        <v>1447</v>
      </c>
      <c r="P61" t="s">
        <v>1523</v>
      </c>
      <c r="Q61" t="s">
        <v>1524</v>
      </c>
      <c r="R61" t="s">
        <v>1525</v>
      </c>
      <c r="S61" t="s">
        <v>1526</v>
      </c>
    </row>
    <row r="62" spans="1:19">
      <c r="A62" t="s">
        <v>4046</v>
      </c>
      <c r="B62" t="s">
        <v>321</v>
      </c>
      <c r="C62" t="s">
        <v>3607</v>
      </c>
      <c r="D62" t="s">
        <v>322</v>
      </c>
      <c r="E62" t="s">
        <v>1511</v>
      </c>
      <c r="F62" t="s">
        <v>1511</v>
      </c>
      <c r="I62" t="s">
        <v>3238</v>
      </c>
      <c r="J62" t="s">
        <v>22</v>
      </c>
      <c r="K62" t="s">
        <v>22</v>
      </c>
      <c r="L62">
        <v>3</v>
      </c>
      <c r="M62">
        <v>2</v>
      </c>
      <c r="N62" t="s">
        <v>1536</v>
      </c>
      <c r="O62" t="s">
        <v>1513</v>
      </c>
      <c r="P62" t="s">
        <v>1444</v>
      </c>
      <c r="Q62" t="s">
        <v>1513</v>
      </c>
      <c r="R62" t="s">
        <v>312</v>
      </c>
      <c r="S62" t="s">
        <v>1537</v>
      </c>
    </row>
    <row r="63" spans="1:19">
      <c r="A63" t="s">
        <v>4048</v>
      </c>
      <c r="B63" t="s">
        <v>296</v>
      </c>
      <c r="C63" t="s">
        <v>3607</v>
      </c>
      <c r="D63" t="s">
        <v>297</v>
      </c>
      <c r="E63" t="s">
        <v>1439</v>
      </c>
      <c r="F63">
        <v>1</v>
      </c>
      <c r="I63" t="s">
        <v>3238</v>
      </c>
      <c r="J63" t="s">
        <v>22</v>
      </c>
      <c r="K63" t="s">
        <v>22</v>
      </c>
      <c r="L63">
        <v>3</v>
      </c>
      <c r="M63">
        <v>2</v>
      </c>
      <c r="N63" t="s">
        <v>1536</v>
      </c>
      <c r="O63" t="s">
        <v>1441</v>
      </c>
      <c r="P63" t="s">
        <v>1452</v>
      </c>
      <c r="Q63" t="s">
        <v>1443</v>
      </c>
      <c r="R63" t="s">
        <v>308</v>
      </c>
      <c r="S63" t="s">
        <v>1539</v>
      </c>
    </row>
    <row r="64" spans="1:19">
      <c r="A64" t="s">
        <v>4037</v>
      </c>
      <c r="B64" t="s">
        <v>337</v>
      </c>
      <c r="C64" t="s">
        <v>3607</v>
      </c>
      <c r="D64" t="s">
        <v>338</v>
      </c>
      <c r="E64" t="s">
        <v>1511</v>
      </c>
      <c r="F64" t="s">
        <v>1511</v>
      </c>
      <c r="I64" t="s">
        <v>3238</v>
      </c>
      <c r="J64" t="s">
        <v>22</v>
      </c>
      <c r="K64" t="s">
        <v>22</v>
      </c>
      <c r="L64">
        <v>4</v>
      </c>
      <c r="M64">
        <v>1</v>
      </c>
      <c r="N64" t="s">
        <v>1512</v>
      </c>
      <c r="O64" t="s">
        <v>1513</v>
      </c>
      <c r="P64" t="s">
        <v>1444</v>
      </c>
      <c r="Q64" t="s">
        <v>1513</v>
      </c>
      <c r="R64" t="s">
        <v>312</v>
      </c>
      <c r="S64" t="s">
        <v>1514</v>
      </c>
    </row>
    <row r="65" spans="1:19">
      <c r="A65" t="s">
        <v>4042</v>
      </c>
      <c r="B65" t="s">
        <v>327</v>
      </c>
      <c r="C65" t="s">
        <v>3607</v>
      </c>
      <c r="D65" t="s">
        <v>328</v>
      </c>
      <c r="E65" t="s">
        <v>1450</v>
      </c>
      <c r="F65">
        <v>3</v>
      </c>
      <c r="I65" t="s">
        <v>3238</v>
      </c>
      <c r="J65" t="s">
        <v>22</v>
      </c>
      <c r="K65" t="s">
        <v>22</v>
      </c>
      <c r="L65">
        <v>4</v>
      </c>
      <c r="M65">
        <v>1</v>
      </c>
      <c r="N65" t="s">
        <v>1512</v>
      </c>
      <c r="O65" t="s">
        <v>1447</v>
      </c>
      <c r="P65" t="s">
        <v>1523</v>
      </c>
      <c r="Q65" t="s">
        <v>1527</v>
      </c>
      <c r="R65" t="s">
        <v>301</v>
      </c>
      <c r="S65" t="s">
        <v>1528</v>
      </c>
    </row>
    <row r="66" spans="1:19">
      <c r="A66" t="s">
        <v>4043</v>
      </c>
      <c r="B66" t="s">
        <v>336</v>
      </c>
      <c r="C66" t="s">
        <v>3607</v>
      </c>
      <c r="D66" t="s">
        <v>295</v>
      </c>
      <c r="E66" t="s">
        <v>1529</v>
      </c>
      <c r="F66" t="s">
        <v>1511</v>
      </c>
      <c r="H66" t="s">
        <v>3625</v>
      </c>
      <c r="I66" t="s">
        <v>3238</v>
      </c>
      <c r="J66" t="s">
        <v>22</v>
      </c>
      <c r="K66" t="s">
        <v>22</v>
      </c>
      <c r="L66">
        <v>4</v>
      </c>
      <c r="M66">
        <v>2</v>
      </c>
      <c r="N66" t="s">
        <v>1530</v>
      </c>
      <c r="O66" t="s">
        <v>1513</v>
      </c>
      <c r="P66" t="s">
        <v>1444</v>
      </c>
      <c r="Q66" t="s">
        <v>1513</v>
      </c>
      <c r="R66" t="s">
        <v>325</v>
      </c>
      <c r="S66" t="s">
        <v>1531</v>
      </c>
    </row>
    <row r="67" spans="1:19">
      <c r="A67" t="s">
        <v>4045</v>
      </c>
      <c r="B67" t="s">
        <v>324</v>
      </c>
      <c r="C67" t="s">
        <v>3607</v>
      </c>
      <c r="D67" t="s">
        <v>295</v>
      </c>
      <c r="E67" t="s">
        <v>1467</v>
      </c>
      <c r="F67">
        <v>5</v>
      </c>
      <c r="G67">
        <v>1</v>
      </c>
      <c r="I67" t="s">
        <v>3238</v>
      </c>
      <c r="J67" t="s">
        <v>22</v>
      </c>
      <c r="K67" t="s">
        <v>22</v>
      </c>
      <c r="L67">
        <v>4</v>
      </c>
      <c r="M67">
        <v>2</v>
      </c>
      <c r="N67" t="s">
        <v>1530</v>
      </c>
      <c r="O67" t="s">
        <v>1447</v>
      </c>
      <c r="P67" t="s">
        <v>1444</v>
      </c>
      <c r="Q67" t="s">
        <v>1534</v>
      </c>
      <c r="R67" t="s">
        <v>312</v>
      </c>
      <c r="S67" t="s">
        <v>1535</v>
      </c>
    </row>
    <row r="68" spans="1:19">
      <c r="A68" t="s">
        <v>4063</v>
      </c>
      <c r="B68" t="s">
        <v>3626</v>
      </c>
      <c r="C68" t="s">
        <v>3602</v>
      </c>
      <c r="D68">
        <v>7</v>
      </c>
      <c r="E68" t="s">
        <v>1554</v>
      </c>
      <c r="F68">
        <v>4</v>
      </c>
      <c r="I68" t="s">
        <v>3238</v>
      </c>
      <c r="J68" t="s">
        <v>22</v>
      </c>
      <c r="K68" t="s">
        <v>22</v>
      </c>
      <c r="L68">
        <v>4</v>
      </c>
      <c r="M68">
        <v>1</v>
      </c>
      <c r="N68" t="s">
        <v>1512</v>
      </c>
      <c r="O68" t="s">
        <v>1447</v>
      </c>
      <c r="P68" t="s">
        <v>1444</v>
      </c>
      <c r="Q68" t="s">
        <v>1443</v>
      </c>
      <c r="R68" t="s">
        <v>308</v>
      </c>
      <c r="S68" t="s">
        <v>3627</v>
      </c>
    </row>
    <row r="69" spans="1:19">
      <c r="A69" t="s">
        <v>4039</v>
      </c>
      <c r="B69" t="s">
        <v>329</v>
      </c>
      <c r="C69" t="s">
        <v>3607</v>
      </c>
      <c r="D69" t="s">
        <v>330</v>
      </c>
      <c r="E69" t="s">
        <v>1517</v>
      </c>
      <c r="F69">
        <v>2</v>
      </c>
      <c r="H69" t="s">
        <v>3624</v>
      </c>
      <c r="I69" t="s">
        <v>3238</v>
      </c>
      <c r="J69" t="s">
        <v>22</v>
      </c>
      <c r="K69" t="s">
        <v>22</v>
      </c>
      <c r="L69">
        <v>5</v>
      </c>
      <c r="M69">
        <v>1</v>
      </c>
      <c r="N69" t="s">
        <v>1518</v>
      </c>
      <c r="O69" t="s">
        <v>1441</v>
      </c>
      <c r="P69" t="s">
        <v>1444</v>
      </c>
      <c r="Q69" t="s">
        <v>1519</v>
      </c>
      <c r="R69" t="s">
        <v>308</v>
      </c>
      <c r="S69" t="s">
        <v>1520</v>
      </c>
    </row>
    <row r="70" spans="1:19">
      <c r="A70" t="s">
        <v>4044</v>
      </c>
      <c r="B70" t="s">
        <v>310</v>
      </c>
      <c r="C70" t="s">
        <v>3607</v>
      </c>
      <c r="D70">
        <v>264</v>
      </c>
      <c r="E70" t="s">
        <v>1456</v>
      </c>
      <c r="F70">
        <v>4</v>
      </c>
      <c r="G70">
        <v>1</v>
      </c>
      <c r="I70" t="s">
        <v>3238</v>
      </c>
      <c r="J70" t="s">
        <v>22</v>
      </c>
      <c r="K70" t="s">
        <v>22</v>
      </c>
      <c r="L70">
        <v>5</v>
      </c>
      <c r="M70">
        <v>2</v>
      </c>
      <c r="N70" t="s">
        <v>1532</v>
      </c>
      <c r="O70" t="s">
        <v>1441</v>
      </c>
      <c r="P70" t="s">
        <v>1463</v>
      </c>
      <c r="Q70" t="s">
        <v>1443</v>
      </c>
      <c r="R70" t="s">
        <v>1525</v>
      </c>
      <c r="S70" t="s">
        <v>1533</v>
      </c>
    </row>
    <row r="71" spans="1:19">
      <c r="A71" t="s">
        <v>4047</v>
      </c>
      <c r="B71" t="s">
        <v>294</v>
      </c>
      <c r="C71" t="s">
        <v>3607</v>
      </c>
      <c r="D71" t="s">
        <v>295</v>
      </c>
      <c r="E71" t="s">
        <v>1511</v>
      </c>
      <c r="F71" t="s">
        <v>1511</v>
      </c>
      <c r="I71" t="s">
        <v>3238</v>
      </c>
      <c r="J71" t="s">
        <v>22</v>
      </c>
      <c r="K71" t="s">
        <v>22</v>
      </c>
      <c r="L71">
        <v>5</v>
      </c>
      <c r="M71">
        <v>2</v>
      </c>
      <c r="N71" t="s">
        <v>1532</v>
      </c>
      <c r="O71" t="s">
        <v>1513</v>
      </c>
      <c r="P71" t="s">
        <v>1444</v>
      </c>
      <c r="Q71" t="s">
        <v>1513</v>
      </c>
      <c r="R71" t="s">
        <v>337</v>
      </c>
      <c r="S71" t="s">
        <v>1538</v>
      </c>
    </row>
    <row r="72" spans="1:19">
      <c r="A72" t="s">
        <v>4049</v>
      </c>
      <c r="B72" t="s">
        <v>1540</v>
      </c>
      <c r="C72" t="s">
        <v>3607</v>
      </c>
      <c r="D72" t="s">
        <v>333</v>
      </c>
      <c r="E72" t="s">
        <v>1541</v>
      </c>
      <c r="F72">
        <v>5</v>
      </c>
      <c r="I72" t="s">
        <v>3238</v>
      </c>
      <c r="J72" t="s">
        <v>22</v>
      </c>
      <c r="K72" t="s">
        <v>22</v>
      </c>
      <c r="L72">
        <v>5</v>
      </c>
      <c r="M72">
        <v>2</v>
      </c>
      <c r="N72" t="s">
        <v>1532</v>
      </c>
      <c r="O72" t="s">
        <v>1447</v>
      </c>
      <c r="P72" t="s">
        <v>1444</v>
      </c>
      <c r="Q72" t="s">
        <v>1443</v>
      </c>
      <c r="R72" t="s">
        <v>308</v>
      </c>
      <c r="S72" t="s">
        <v>1542</v>
      </c>
    </row>
    <row r="73" spans="1:19">
      <c r="A73" t="s">
        <v>4050</v>
      </c>
      <c r="B73" t="s">
        <v>317</v>
      </c>
      <c r="C73" t="s">
        <v>3607</v>
      </c>
      <c r="D73">
        <v>265</v>
      </c>
      <c r="E73" t="s">
        <v>1543</v>
      </c>
      <c r="F73">
        <v>7</v>
      </c>
      <c r="G73">
        <v>1</v>
      </c>
      <c r="I73" t="s">
        <v>3238</v>
      </c>
      <c r="J73" t="s">
        <v>22</v>
      </c>
      <c r="K73" t="s">
        <v>22</v>
      </c>
      <c r="L73">
        <v>5</v>
      </c>
      <c r="M73">
        <v>3</v>
      </c>
      <c r="N73" t="s">
        <v>1544</v>
      </c>
      <c r="O73" t="s">
        <v>1457</v>
      </c>
      <c r="P73" t="s">
        <v>1444</v>
      </c>
      <c r="Q73" t="s">
        <v>1545</v>
      </c>
      <c r="R73" t="s">
        <v>336</v>
      </c>
      <c r="S73" t="s">
        <v>1546</v>
      </c>
    </row>
    <row r="74" spans="1:19">
      <c r="A74" t="s">
        <v>4051</v>
      </c>
      <c r="B74" t="s">
        <v>300</v>
      </c>
      <c r="C74" t="s">
        <v>3607</v>
      </c>
      <c r="D74" t="s">
        <v>295</v>
      </c>
      <c r="E74" t="s">
        <v>1467</v>
      </c>
      <c r="F74">
        <v>5</v>
      </c>
      <c r="G74">
        <v>1</v>
      </c>
      <c r="I74" t="s">
        <v>3238</v>
      </c>
      <c r="J74" t="s">
        <v>22</v>
      </c>
      <c r="K74" t="s">
        <v>22</v>
      </c>
      <c r="L74">
        <v>5</v>
      </c>
      <c r="M74">
        <v>3</v>
      </c>
      <c r="N74" t="s">
        <v>1544</v>
      </c>
      <c r="O74" t="s">
        <v>1447</v>
      </c>
      <c r="P74" t="s">
        <v>1444</v>
      </c>
      <c r="Q74" t="s">
        <v>1547</v>
      </c>
      <c r="R74" t="s">
        <v>317</v>
      </c>
      <c r="S74" t="s">
        <v>1548</v>
      </c>
    </row>
    <row r="75" spans="1:19">
      <c r="A75" t="s">
        <v>4052</v>
      </c>
      <c r="B75" t="s">
        <v>299</v>
      </c>
      <c r="C75" t="s">
        <v>3607</v>
      </c>
      <c r="D75">
        <v>265</v>
      </c>
      <c r="E75" t="s">
        <v>1467</v>
      </c>
      <c r="F75">
        <v>5</v>
      </c>
      <c r="G75">
        <v>1</v>
      </c>
      <c r="I75" t="s">
        <v>3238</v>
      </c>
      <c r="J75" t="s">
        <v>22</v>
      </c>
      <c r="K75" t="s">
        <v>22</v>
      </c>
      <c r="L75">
        <v>5</v>
      </c>
      <c r="M75">
        <v>3</v>
      </c>
      <c r="N75" t="s">
        <v>1544</v>
      </c>
      <c r="O75" t="s">
        <v>1441</v>
      </c>
      <c r="P75" t="s">
        <v>1444</v>
      </c>
      <c r="Q75" t="s">
        <v>1443</v>
      </c>
      <c r="R75" t="s">
        <v>324</v>
      </c>
      <c r="S75" t="s">
        <v>1549</v>
      </c>
    </row>
    <row r="76" spans="1:19">
      <c r="A76" t="s">
        <v>4053</v>
      </c>
      <c r="B76" t="s">
        <v>307</v>
      </c>
      <c r="C76" t="s">
        <v>3607</v>
      </c>
      <c r="D76">
        <v>265</v>
      </c>
      <c r="E76" t="s">
        <v>1550</v>
      </c>
      <c r="H76" t="s">
        <v>1550</v>
      </c>
      <c r="I76" t="s">
        <v>3238</v>
      </c>
      <c r="J76" t="s">
        <v>22</v>
      </c>
      <c r="K76" t="s">
        <v>22</v>
      </c>
      <c r="L76">
        <v>5</v>
      </c>
      <c r="M76">
        <v>3</v>
      </c>
      <c r="N76" t="s">
        <v>1544</v>
      </c>
      <c r="O76" t="s">
        <v>1441</v>
      </c>
      <c r="P76" t="s">
        <v>1444</v>
      </c>
      <c r="Q76" t="s">
        <v>1443</v>
      </c>
      <c r="R76" t="s">
        <v>294</v>
      </c>
      <c r="S76" t="s">
        <v>1551</v>
      </c>
    </row>
    <row r="77" spans="1:19">
      <c r="A77" t="s">
        <v>4054</v>
      </c>
      <c r="B77" t="s">
        <v>303</v>
      </c>
      <c r="C77" t="s">
        <v>3607</v>
      </c>
      <c r="D77" t="s">
        <v>304</v>
      </c>
      <c r="E77" t="s">
        <v>1456</v>
      </c>
      <c r="F77">
        <v>4</v>
      </c>
      <c r="G77">
        <v>1</v>
      </c>
      <c r="I77" t="s">
        <v>3238</v>
      </c>
      <c r="J77" t="s">
        <v>22</v>
      </c>
      <c r="K77" t="s">
        <v>22</v>
      </c>
      <c r="L77">
        <v>5</v>
      </c>
      <c r="M77">
        <v>3</v>
      </c>
      <c r="N77" t="s">
        <v>1544</v>
      </c>
      <c r="O77" t="s">
        <v>1447</v>
      </c>
      <c r="P77" t="s">
        <v>1444</v>
      </c>
      <c r="Q77" t="s">
        <v>1443</v>
      </c>
      <c r="R77" t="s">
        <v>1552</v>
      </c>
      <c r="S77" t="s">
        <v>1553</v>
      </c>
    </row>
    <row r="78" spans="1:19">
      <c r="A78" t="s">
        <v>4055</v>
      </c>
      <c r="B78" t="s">
        <v>323</v>
      </c>
      <c r="C78" t="s">
        <v>3607</v>
      </c>
      <c r="D78">
        <v>266</v>
      </c>
      <c r="E78" t="s">
        <v>1554</v>
      </c>
      <c r="F78">
        <v>4</v>
      </c>
      <c r="I78" t="s">
        <v>3238</v>
      </c>
      <c r="J78" t="s">
        <v>22</v>
      </c>
      <c r="K78" t="s">
        <v>22</v>
      </c>
      <c r="L78">
        <v>5</v>
      </c>
      <c r="M78">
        <v>3</v>
      </c>
      <c r="N78" t="s">
        <v>1544</v>
      </c>
      <c r="O78" t="s">
        <v>1441</v>
      </c>
      <c r="P78" t="s">
        <v>1444</v>
      </c>
      <c r="Q78" t="s">
        <v>1443</v>
      </c>
      <c r="R78" t="s">
        <v>1540</v>
      </c>
      <c r="S78" t="s">
        <v>1555</v>
      </c>
    </row>
    <row r="79" spans="1:19">
      <c r="A79" t="s">
        <v>4056</v>
      </c>
      <c r="B79" t="s">
        <v>311</v>
      </c>
      <c r="C79" t="s">
        <v>3607</v>
      </c>
      <c r="D79">
        <v>266</v>
      </c>
      <c r="E79" t="s">
        <v>1511</v>
      </c>
      <c r="F79" t="s">
        <v>1511</v>
      </c>
      <c r="I79" t="s">
        <v>3238</v>
      </c>
      <c r="J79" t="s">
        <v>22</v>
      </c>
      <c r="K79" t="s">
        <v>22</v>
      </c>
      <c r="L79">
        <v>5</v>
      </c>
      <c r="M79">
        <v>3</v>
      </c>
      <c r="N79" t="s">
        <v>1544</v>
      </c>
      <c r="O79" t="s">
        <v>1513</v>
      </c>
      <c r="P79" t="s">
        <v>1444</v>
      </c>
      <c r="Q79" t="s">
        <v>1513</v>
      </c>
      <c r="R79" t="s">
        <v>323</v>
      </c>
      <c r="S79" t="s">
        <v>1556</v>
      </c>
    </row>
    <row r="80" spans="1:19">
      <c r="A80" t="s">
        <v>4057</v>
      </c>
      <c r="B80" t="s">
        <v>334</v>
      </c>
      <c r="C80" t="s">
        <v>3607</v>
      </c>
      <c r="D80" t="s">
        <v>335</v>
      </c>
      <c r="E80" t="s">
        <v>1511</v>
      </c>
      <c r="F80" t="s">
        <v>1511</v>
      </c>
      <c r="I80" t="s">
        <v>3238</v>
      </c>
      <c r="J80" t="s">
        <v>22</v>
      </c>
      <c r="K80" t="s">
        <v>22</v>
      </c>
      <c r="L80">
        <v>5</v>
      </c>
      <c r="M80">
        <v>3</v>
      </c>
      <c r="N80" t="s">
        <v>1544</v>
      </c>
      <c r="O80" t="s">
        <v>1513</v>
      </c>
      <c r="P80" t="s">
        <v>1444</v>
      </c>
      <c r="Q80" t="s">
        <v>1513</v>
      </c>
      <c r="R80" t="s">
        <v>1557</v>
      </c>
      <c r="S80" t="s">
        <v>1558</v>
      </c>
    </row>
    <row r="81" spans="1:19">
      <c r="A81" t="s">
        <v>4058</v>
      </c>
      <c r="B81" t="s">
        <v>320</v>
      </c>
      <c r="C81" t="s">
        <v>3607</v>
      </c>
      <c r="D81">
        <v>266</v>
      </c>
      <c r="E81" t="s">
        <v>1511</v>
      </c>
      <c r="F81" t="s">
        <v>1511</v>
      </c>
      <c r="I81" t="s">
        <v>3238</v>
      </c>
      <c r="J81" t="s">
        <v>22</v>
      </c>
      <c r="K81" t="s">
        <v>22</v>
      </c>
      <c r="L81">
        <v>5</v>
      </c>
      <c r="M81">
        <v>4</v>
      </c>
      <c r="N81" t="s">
        <v>1559</v>
      </c>
      <c r="O81" t="s">
        <v>1513</v>
      </c>
      <c r="P81" t="s">
        <v>1444</v>
      </c>
      <c r="Q81" t="s">
        <v>1513</v>
      </c>
      <c r="R81" t="s">
        <v>303</v>
      </c>
      <c r="S81" t="s">
        <v>1560</v>
      </c>
    </row>
    <row r="82" spans="1:19">
      <c r="A82" t="s">
        <v>4059</v>
      </c>
      <c r="B82" t="s">
        <v>298</v>
      </c>
      <c r="C82" t="s">
        <v>3607</v>
      </c>
      <c r="D82">
        <v>266</v>
      </c>
      <c r="E82" t="s">
        <v>1511</v>
      </c>
      <c r="F82" t="s">
        <v>1511</v>
      </c>
      <c r="I82" t="s">
        <v>3238</v>
      </c>
      <c r="J82" t="s">
        <v>22</v>
      </c>
      <c r="K82" t="s">
        <v>22</v>
      </c>
      <c r="L82">
        <v>5</v>
      </c>
      <c r="M82">
        <v>4</v>
      </c>
      <c r="N82" t="s">
        <v>1559</v>
      </c>
      <c r="O82" t="s">
        <v>1513</v>
      </c>
      <c r="P82" t="s">
        <v>1444</v>
      </c>
      <c r="Q82" t="s">
        <v>1513</v>
      </c>
      <c r="R82" t="s">
        <v>1561</v>
      </c>
      <c r="S82" s="18" t="s">
        <v>1562</v>
      </c>
    </row>
    <row r="83" spans="1:19">
      <c r="A83" t="s">
        <v>4060</v>
      </c>
      <c r="B83" t="s">
        <v>293</v>
      </c>
      <c r="C83" t="s">
        <v>3607</v>
      </c>
      <c r="D83">
        <v>266</v>
      </c>
      <c r="E83" t="s">
        <v>1511</v>
      </c>
      <c r="F83" t="s">
        <v>1511</v>
      </c>
      <c r="I83" t="s">
        <v>3238</v>
      </c>
      <c r="J83" t="s">
        <v>22</v>
      </c>
      <c r="K83" t="s">
        <v>22</v>
      </c>
      <c r="L83">
        <v>5</v>
      </c>
      <c r="M83">
        <v>4</v>
      </c>
      <c r="N83" t="s">
        <v>1559</v>
      </c>
      <c r="O83" t="s">
        <v>1513</v>
      </c>
      <c r="P83" t="s">
        <v>1444</v>
      </c>
      <c r="Q83" t="s">
        <v>1513</v>
      </c>
      <c r="R83" t="s">
        <v>311</v>
      </c>
      <c r="S83" t="s">
        <v>1563</v>
      </c>
    </row>
    <row r="84" spans="1:19">
      <c r="A84" t="s">
        <v>4061</v>
      </c>
      <c r="B84" t="s">
        <v>314</v>
      </c>
      <c r="C84" t="s">
        <v>3607</v>
      </c>
      <c r="D84">
        <v>266</v>
      </c>
      <c r="E84" t="s">
        <v>1511</v>
      </c>
      <c r="F84" t="s">
        <v>1511</v>
      </c>
      <c r="I84" t="s">
        <v>3238</v>
      </c>
      <c r="J84" t="s">
        <v>22</v>
      </c>
      <c r="K84" t="s">
        <v>22</v>
      </c>
      <c r="L84">
        <v>5</v>
      </c>
      <c r="M84">
        <v>5</v>
      </c>
      <c r="N84" t="s">
        <v>1564</v>
      </c>
      <c r="O84" t="s">
        <v>1513</v>
      </c>
      <c r="P84" t="s">
        <v>1444</v>
      </c>
      <c r="Q84" t="s">
        <v>1513</v>
      </c>
      <c r="R84" t="s">
        <v>320</v>
      </c>
      <c r="S84" s="18" t="s">
        <v>1565</v>
      </c>
    </row>
    <row r="85" spans="1:19">
      <c r="A85" t="s">
        <v>4062</v>
      </c>
      <c r="B85" t="s">
        <v>318</v>
      </c>
      <c r="C85" t="s">
        <v>3607</v>
      </c>
      <c r="D85" t="s">
        <v>319</v>
      </c>
      <c r="E85" t="s">
        <v>1465</v>
      </c>
      <c r="F85">
        <v>1</v>
      </c>
      <c r="G85">
        <v>1</v>
      </c>
      <c r="I85" t="s">
        <v>3238</v>
      </c>
      <c r="J85" t="s">
        <v>22</v>
      </c>
      <c r="K85" t="s">
        <v>22</v>
      </c>
      <c r="L85">
        <v>5</v>
      </c>
      <c r="M85">
        <v>5</v>
      </c>
      <c r="N85" t="s">
        <v>1564</v>
      </c>
      <c r="O85" t="s">
        <v>1441</v>
      </c>
      <c r="P85" t="s">
        <v>1444</v>
      </c>
      <c r="Q85" t="s">
        <v>1443</v>
      </c>
      <c r="R85" t="s">
        <v>293</v>
      </c>
      <c r="S85" t="s">
        <v>1566</v>
      </c>
    </row>
    <row r="86" spans="1:19">
      <c r="A86" t="s">
        <v>4064</v>
      </c>
      <c r="B86" t="s">
        <v>3628</v>
      </c>
      <c r="C86" t="s">
        <v>3602</v>
      </c>
      <c r="D86">
        <v>8</v>
      </c>
      <c r="E86" t="s">
        <v>3629</v>
      </c>
      <c r="F86">
        <v>10</v>
      </c>
      <c r="G86">
        <v>1</v>
      </c>
      <c r="H86" t="s">
        <v>3630</v>
      </c>
      <c r="I86" t="s">
        <v>3238</v>
      </c>
      <c r="J86" t="s">
        <v>22</v>
      </c>
      <c r="K86" t="s">
        <v>22</v>
      </c>
      <c r="L86">
        <v>5</v>
      </c>
      <c r="M86">
        <v>5</v>
      </c>
      <c r="N86" t="s">
        <v>1564</v>
      </c>
      <c r="O86" t="s">
        <v>1457</v>
      </c>
      <c r="P86" t="s">
        <v>1620</v>
      </c>
      <c r="Q86" t="s">
        <v>1473</v>
      </c>
      <c r="R86" t="s">
        <v>3631</v>
      </c>
      <c r="S86" t="s">
        <v>3632</v>
      </c>
    </row>
    <row r="87" spans="1:19">
      <c r="A87" t="s">
        <v>6743</v>
      </c>
      <c r="B87" t="s">
        <v>5070</v>
      </c>
      <c r="C87" t="s">
        <v>3968</v>
      </c>
      <c r="D87">
        <v>168</v>
      </c>
      <c r="E87" t="s">
        <v>5071</v>
      </c>
      <c r="F87">
        <v>2</v>
      </c>
      <c r="I87" t="s">
        <v>3560</v>
      </c>
      <c r="J87" t="s">
        <v>22</v>
      </c>
      <c r="K87" t="s">
        <v>22</v>
      </c>
      <c r="L87">
        <v>1</v>
      </c>
      <c r="M87">
        <v>1</v>
      </c>
      <c r="N87" t="s">
        <v>1501</v>
      </c>
      <c r="O87" t="s">
        <v>1441</v>
      </c>
      <c r="P87" t="s">
        <v>5072</v>
      </c>
      <c r="Q87" t="s">
        <v>1443</v>
      </c>
      <c r="R87" t="s">
        <v>1444</v>
      </c>
      <c r="S87" t="s">
        <v>5073</v>
      </c>
    </row>
    <row r="88" spans="1:19">
      <c r="A88" t="s">
        <v>6751</v>
      </c>
      <c r="B88" t="s">
        <v>5093</v>
      </c>
      <c r="C88" t="s">
        <v>3968</v>
      </c>
      <c r="D88">
        <v>169</v>
      </c>
      <c r="E88" t="s">
        <v>1554</v>
      </c>
      <c r="F88">
        <v>4</v>
      </c>
      <c r="I88" t="s">
        <v>3560</v>
      </c>
      <c r="J88" t="s">
        <v>22</v>
      </c>
      <c r="K88" t="s">
        <v>22</v>
      </c>
      <c r="L88">
        <v>2</v>
      </c>
      <c r="M88">
        <v>1</v>
      </c>
      <c r="N88" t="s">
        <v>1503</v>
      </c>
      <c r="O88" t="s">
        <v>1441</v>
      </c>
      <c r="P88" t="s">
        <v>5094</v>
      </c>
      <c r="Q88" t="s">
        <v>1443</v>
      </c>
      <c r="R88" t="s">
        <v>1444</v>
      </c>
      <c r="S88" t="s">
        <v>5095</v>
      </c>
    </row>
    <row r="89" spans="1:19">
      <c r="A89" t="s">
        <v>6744</v>
      </c>
      <c r="B89" t="s">
        <v>5074</v>
      </c>
      <c r="C89" t="s">
        <v>3968</v>
      </c>
      <c r="D89">
        <v>168</v>
      </c>
      <c r="E89" t="s">
        <v>1450</v>
      </c>
      <c r="F89">
        <v>3</v>
      </c>
      <c r="I89" t="s">
        <v>3560</v>
      </c>
      <c r="J89" t="s">
        <v>22</v>
      </c>
      <c r="K89" t="s">
        <v>22</v>
      </c>
      <c r="L89">
        <v>3</v>
      </c>
      <c r="M89">
        <v>1</v>
      </c>
      <c r="N89" t="s">
        <v>1505</v>
      </c>
      <c r="O89" t="s">
        <v>1441</v>
      </c>
      <c r="P89" t="s">
        <v>5075</v>
      </c>
      <c r="Q89" t="s">
        <v>1443</v>
      </c>
      <c r="R89" t="s">
        <v>1444</v>
      </c>
      <c r="S89" t="s">
        <v>5076</v>
      </c>
    </row>
    <row r="90" spans="1:19">
      <c r="A90" t="s">
        <v>6745</v>
      </c>
      <c r="B90" t="s">
        <v>5077</v>
      </c>
      <c r="C90" t="s">
        <v>3968</v>
      </c>
      <c r="D90">
        <v>168</v>
      </c>
      <c r="E90" t="s">
        <v>1554</v>
      </c>
      <c r="F90">
        <v>4</v>
      </c>
      <c r="I90" t="s">
        <v>3560</v>
      </c>
      <c r="J90" t="s">
        <v>22</v>
      </c>
      <c r="K90" t="s">
        <v>22</v>
      </c>
      <c r="L90">
        <v>3</v>
      </c>
      <c r="M90">
        <v>1</v>
      </c>
      <c r="N90" t="s">
        <v>1505</v>
      </c>
      <c r="O90" t="s">
        <v>1441</v>
      </c>
      <c r="P90" t="s">
        <v>5002</v>
      </c>
      <c r="Q90" t="s">
        <v>1443</v>
      </c>
      <c r="R90" t="s">
        <v>5074</v>
      </c>
      <c r="S90" t="s">
        <v>5078</v>
      </c>
    </row>
    <row r="91" spans="1:19">
      <c r="A91" t="s">
        <v>6746</v>
      </c>
      <c r="B91" t="s">
        <v>5079</v>
      </c>
      <c r="C91" t="s">
        <v>3968</v>
      </c>
      <c r="D91">
        <v>169</v>
      </c>
      <c r="E91" t="s">
        <v>1439</v>
      </c>
      <c r="F91">
        <v>1</v>
      </c>
      <c r="I91" t="s">
        <v>3560</v>
      </c>
      <c r="J91" t="s">
        <v>22</v>
      </c>
      <c r="K91" t="s">
        <v>22</v>
      </c>
      <c r="L91">
        <v>3</v>
      </c>
      <c r="M91">
        <v>1</v>
      </c>
      <c r="N91" t="s">
        <v>1505</v>
      </c>
      <c r="O91" t="s">
        <v>1441</v>
      </c>
      <c r="P91" t="s">
        <v>5080</v>
      </c>
      <c r="Q91" t="s">
        <v>1443</v>
      </c>
      <c r="R91" t="s">
        <v>1444</v>
      </c>
      <c r="S91" t="s">
        <v>5081</v>
      </c>
    </row>
    <row r="92" spans="1:19">
      <c r="A92" t="s">
        <v>6747</v>
      </c>
      <c r="B92" t="s">
        <v>5082</v>
      </c>
      <c r="C92" t="s">
        <v>3968</v>
      </c>
      <c r="D92">
        <v>169</v>
      </c>
      <c r="E92" t="s">
        <v>1541</v>
      </c>
      <c r="F92">
        <v>5</v>
      </c>
      <c r="I92" t="s">
        <v>3560</v>
      </c>
      <c r="J92" t="s">
        <v>22</v>
      </c>
      <c r="K92" t="s">
        <v>22</v>
      </c>
      <c r="L92">
        <v>3</v>
      </c>
      <c r="M92">
        <v>1</v>
      </c>
      <c r="N92" t="s">
        <v>1505</v>
      </c>
      <c r="O92" t="s">
        <v>1457</v>
      </c>
      <c r="P92" t="s">
        <v>5083</v>
      </c>
      <c r="Q92" t="s">
        <v>1473</v>
      </c>
      <c r="R92" t="s">
        <v>1444</v>
      </c>
      <c r="S92" t="s">
        <v>5084</v>
      </c>
    </row>
    <row r="93" spans="1:19">
      <c r="A93" t="s">
        <v>6748</v>
      </c>
      <c r="B93" t="s">
        <v>5085</v>
      </c>
      <c r="C93" t="s">
        <v>3968</v>
      </c>
      <c r="D93">
        <v>169</v>
      </c>
      <c r="E93" t="s">
        <v>1450</v>
      </c>
      <c r="F93">
        <v>3</v>
      </c>
      <c r="I93" t="s">
        <v>3560</v>
      </c>
      <c r="J93" t="s">
        <v>22</v>
      </c>
      <c r="K93" t="s">
        <v>22</v>
      </c>
      <c r="L93">
        <v>4</v>
      </c>
      <c r="M93">
        <v>2</v>
      </c>
      <c r="N93" t="s">
        <v>1530</v>
      </c>
      <c r="O93" t="s">
        <v>1447</v>
      </c>
      <c r="P93" t="s">
        <v>5086</v>
      </c>
      <c r="Q93" t="s">
        <v>2189</v>
      </c>
      <c r="R93" t="s">
        <v>5087</v>
      </c>
      <c r="S93" t="s">
        <v>5088</v>
      </c>
    </row>
    <row r="94" spans="1:19">
      <c r="A94" t="s">
        <v>6749</v>
      </c>
      <c r="B94" t="s">
        <v>5089</v>
      </c>
      <c r="C94" t="s">
        <v>3968</v>
      </c>
      <c r="D94">
        <v>169</v>
      </c>
      <c r="E94" t="s">
        <v>1450</v>
      </c>
      <c r="F94">
        <v>3</v>
      </c>
      <c r="I94" t="s">
        <v>3560</v>
      </c>
      <c r="J94" t="s">
        <v>22</v>
      </c>
      <c r="K94" t="s">
        <v>22</v>
      </c>
      <c r="L94">
        <v>4</v>
      </c>
      <c r="M94">
        <v>1</v>
      </c>
      <c r="N94" t="s">
        <v>1512</v>
      </c>
      <c r="O94" t="s">
        <v>1441</v>
      </c>
      <c r="P94" t="s">
        <v>5002</v>
      </c>
      <c r="Q94" t="s">
        <v>1443</v>
      </c>
      <c r="R94" t="s">
        <v>5082</v>
      </c>
      <c r="S94" t="s">
        <v>5090</v>
      </c>
    </row>
    <row r="95" spans="1:19">
      <c r="A95" t="s">
        <v>6750</v>
      </c>
      <c r="B95" t="s">
        <v>5091</v>
      </c>
      <c r="C95" t="s">
        <v>3968</v>
      </c>
      <c r="D95">
        <v>169</v>
      </c>
      <c r="E95" t="s">
        <v>1450</v>
      </c>
      <c r="F95">
        <v>3</v>
      </c>
      <c r="I95" t="s">
        <v>3560</v>
      </c>
      <c r="J95" t="s">
        <v>22</v>
      </c>
      <c r="K95" t="s">
        <v>22</v>
      </c>
      <c r="L95">
        <v>5</v>
      </c>
      <c r="M95">
        <v>2</v>
      </c>
      <c r="N95" t="s">
        <v>1532</v>
      </c>
      <c r="O95" t="s">
        <v>1441</v>
      </c>
      <c r="P95" t="s">
        <v>5083</v>
      </c>
      <c r="Q95" t="s">
        <v>1443</v>
      </c>
      <c r="R95" t="s">
        <v>5082</v>
      </c>
      <c r="S95" t="s">
        <v>5092</v>
      </c>
    </row>
    <row r="96" spans="1:19">
      <c r="A96" t="s">
        <v>6752</v>
      </c>
      <c r="B96" t="s">
        <v>5096</v>
      </c>
      <c r="C96" t="s">
        <v>3968</v>
      </c>
      <c r="D96">
        <v>169</v>
      </c>
      <c r="E96" t="s">
        <v>5097</v>
      </c>
      <c r="F96">
        <v>5</v>
      </c>
      <c r="G96">
        <v>1</v>
      </c>
      <c r="H96" t="s">
        <v>2269</v>
      </c>
      <c r="I96" t="s">
        <v>3560</v>
      </c>
      <c r="J96" t="s">
        <v>22</v>
      </c>
      <c r="K96" t="s">
        <v>22</v>
      </c>
      <c r="L96">
        <v>5</v>
      </c>
      <c r="M96">
        <v>3</v>
      </c>
      <c r="N96" t="s">
        <v>5098</v>
      </c>
      <c r="O96" t="s">
        <v>1457</v>
      </c>
      <c r="P96" t="s">
        <v>5099</v>
      </c>
      <c r="Q96" t="s">
        <v>5062</v>
      </c>
      <c r="R96" t="s">
        <v>5085</v>
      </c>
      <c r="S96" t="s">
        <v>5100</v>
      </c>
    </row>
    <row r="97" spans="1:19">
      <c r="A97" t="s">
        <v>6753</v>
      </c>
      <c r="B97" t="s">
        <v>5101</v>
      </c>
      <c r="C97" t="s">
        <v>3968</v>
      </c>
      <c r="D97">
        <v>170</v>
      </c>
      <c r="E97" t="s">
        <v>5102</v>
      </c>
      <c r="F97">
        <v>5</v>
      </c>
      <c r="G97">
        <v>1</v>
      </c>
      <c r="H97" t="s">
        <v>5103</v>
      </c>
      <c r="I97" t="s">
        <v>3560</v>
      </c>
      <c r="J97" t="s">
        <v>22</v>
      </c>
      <c r="K97" t="s">
        <v>22</v>
      </c>
      <c r="L97">
        <v>5</v>
      </c>
      <c r="M97">
        <v>3</v>
      </c>
      <c r="N97" t="s">
        <v>5098</v>
      </c>
      <c r="O97" t="s">
        <v>1457</v>
      </c>
      <c r="P97" t="s">
        <v>5104</v>
      </c>
      <c r="Q97" t="s">
        <v>1443</v>
      </c>
      <c r="R97" t="s">
        <v>5091</v>
      </c>
      <c r="S97" t="s">
        <v>5105</v>
      </c>
    </row>
    <row r="98" spans="1:19">
      <c r="A98" t="s">
        <v>6754</v>
      </c>
      <c r="B98" t="s">
        <v>5106</v>
      </c>
      <c r="C98" t="s">
        <v>3968</v>
      </c>
      <c r="D98">
        <v>170</v>
      </c>
      <c r="E98" t="s">
        <v>5107</v>
      </c>
      <c r="F98">
        <v>5</v>
      </c>
      <c r="G98">
        <v>1</v>
      </c>
      <c r="H98" t="s">
        <v>5108</v>
      </c>
      <c r="I98" t="s">
        <v>3560</v>
      </c>
      <c r="J98" t="s">
        <v>22</v>
      </c>
      <c r="K98" t="s">
        <v>22</v>
      </c>
      <c r="L98">
        <v>5</v>
      </c>
      <c r="M98">
        <v>3</v>
      </c>
      <c r="N98" t="s">
        <v>5098</v>
      </c>
      <c r="O98" t="s">
        <v>1441</v>
      </c>
      <c r="P98" t="s">
        <v>5109</v>
      </c>
      <c r="Q98" t="s">
        <v>1443</v>
      </c>
      <c r="R98" t="s">
        <v>5074</v>
      </c>
      <c r="S98" t="s">
        <v>5110</v>
      </c>
    </row>
    <row r="99" spans="1:19">
      <c r="A99" t="s">
        <v>6755</v>
      </c>
      <c r="B99" t="s">
        <v>5111</v>
      </c>
      <c r="C99" t="s">
        <v>3968</v>
      </c>
      <c r="D99">
        <v>171</v>
      </c>
      <c r="E99" t="s">
        <v>1467</v>
      </c>
      <c r="F99">
        <v>5</v>
      </c>
      <c r="G99">
        <v>1</v>
      </c>
      <c r="I99" t="s">
        <v>3560</v>
      </c>
      <c r="J99" t="s">
        <v>22</v>
      </c>
      <c r="K99" t="s">
        <v>22</v>
      </c>
      <c r="L99">
        <v>5</v>
      </c>
      <c r="M99">
        <v>3</v>
      </c>
      <c r="N99" t="s">
        <v>1544</v>
      </c>
      <c r="O99" t="s">
        <v>1447</v>
      </c>
      <c r="P99" t="s">
        <v>5112</v>
      </c>
      <c r="Q99" t="s">
        <v>1473</v>
      </c>
      <c r="R99" t="s">
        <v>1444</v>
      </c>
      <c r="S99" t="s">
        <v>5113</v>
      </c>
    </row>
    <row r="100" spans="1:19">
      <c r="A100" t="s">
        <v>6756</v>
      </c>
      <c r="B100" t="s">
        <v>5114</v>
      </c>
      <c r="C100" t="s">
        <v>3968</v>
      </c>
      <c r="D100">
        <v>171</v>
      </c>
      <c r="E100" t="s">
        <v>1467</v>
      </c>
      <c r="F100">
        <v>5</v>
      </c>
      <c r="G100">
        <v>1</v>
      </c>
      <c r="I100" t="s">
        <v>3560</v>
      </c>
      <c r="J100" t="s">
        <v>22</v>
      </c>
      <c r="K100" t="s">
        <v>22</v>
      </c>
      <c r="L100">
        <v>5</v>
      </c>
      <c r="M100">
        <v>3</v>
      </c>
      <c r="N100" t="s">
        <v>1544</v>
      </c>
      <c r="O100" t="s">
        <v>1447</v>
      </c>
      <c r="P100" t="s">
        <v>5115</v>
      </c>
      <c r="Q100" t="s">
        <v>1473</v>
      </c>
      <c r="R100" t="s">
        <v>1444</v>
      </c>
      <c r="S100" t="s">
        <v>5116</v>
      </c>
    </row>
    <row r="101" spans="1:19">
      <c r="A101" t="s">
        <v>6757</v>
      </c>
      <c r="B101" t="s">
        <v>5117</v>
      </c>
      <c r="C101" t="s">
        <v>3968</v>
      </c>
      <c r="D101">
        <v>171</v>
      </c>
      <c r="E101" t="s">
        <v>2957</v>
      </c>
      <c r="F101">
        <v>4</v>
      </c>
      <c r="H101" t="s">
        <v>2434</v>
      </c>
      <c r="I101" t="s">
        <v>3560</v>
      </c>
      <c r="J101" t="s">
        <v>22</v>
      </c>
      <c r="K101" t="s">
        <v>22</v>
      </c>
      <c r="L101">
        <v>5</v>
      </c>
      <c r="M101">
        <v>3</v>
      </c>
      <c r="N101" t="s">
        <v>1544</v>
      </c>
      <c r="O101" t="s">
        <v>1457</v>
      </c>
      <c r="P101" t="s">
        <v>5118</v>
      </c>
      <c r="Q101" t="s">
        <v>1443</v>
      </c>
      <c r="R101" t="s">
        <v>5085</v>
      </c>
      <c r="S101" t="s">
        <v>5119</v>
      </c>
    </row>
    <row r="102" spans="1:19">
      <c r="A102" t="s">
        <v>6758</v>
      </c>
      <c r="B102" t="s">
        <v>5120</v>
      </c>
      <c r="C102" t="s">
        <v>3968</v>
      </c>
      <c r="D102">
        <v>171</v>
      </c>
      <c r="E102" t="s">
        <v>5121</v>
      </c>
      <c r="F102">
        <v>5</v>
      </c>
      <c r="H102" t="s">
        <v>5121</v>
      </c>
      <c r="I102" t="s">
        <v>3560</v>
      </c>
      <c r="J102" t="s">
        <v>22</v>
      </c>
      <c r="K102" t="s">
        <v>22</v>
      </c>
      <c r="L102">
        <v>5</v>
      </c>
      <c r="M102">
        <v>4</v>
      </c>
      <c r="N102" t="s">
        <v>1559</v>
      </c>
      <c r="O102" t="s">
        <v>1447</v>
      </c>
      <c r="P102" t="s">
        <v>5118</v>
      </c>
      <c r="Q102" t="s">
        <v>1443</v>
      </c>
      <c r="R102" t="s">
        <v>5117</v>
      </c>
      <c r="S102" t="s">
        <v>5122</v>
      </c>
    </row>
    <row r="103" spans="1:19">
      <c r="A103" t="s">
        <v>6759</v>
      </c>
      <c r="B103" t="s">
        <v>5123</v>
      </c>
      <c r="C103" t="s">
        <v>3968</v>
      </c>
      <c r="D103">
        <v>171</v>
      </c>
      <c r="E103" t="s">
        <v>1479</v>
      </c>
      <c r="F103">
        <v>6</v>
      </c>
      <c r="G103">
        <v>1</v>
      </c>
      <c r="I103" t="s">
        <v>3560</v>
      </c>
      <c r="J103" t="s">
        <v>22</v>
      </c>
      <c r="K103" t="s">
        <v>22</v>
      </c>
      <c r="L103">
        <v>5</v>
      </c>
      <c r="M103">
        <v>5</v>
      </c>
      <c r="N103" t="s">
        <v>1564</v>
      </c>
      <c r="O103" t="s">
        <v>1447</v>
      </c>
      <c r="P103" t="s">
        <v>5124</v>
      </c>
      <c r="Q103" t="s">
        <v>1443</v>
      </c>
      <c r="R103" t="s">
        <v>5117</v>
      </c>
      <c r="S103" t="s">
        <v>5125</v>
      </c>
    </row>
    <row r="104" spans="1:19">
      <c r="A104" t="s">
        <v>4065</v>
      </c>
      <c r="B104" t="s">
        <v>356</v>
      </c>
      <c r="C104" t="s">
        <v>3607</v>
      </c>
      <c r="D104" t="s">
        <v>364</v>
      </c>
      <c r="E104" t="s">
        <v>1541</v>
      </c>
      <c r="F104">
        <v>5</v>
      </c>
      <c r="I104" t="s">
        <v>3238</v>
      </c>
      <c r="J104" t="s">
        <v>23</v>
      </c>
      <c r="K104" t="s">
        <v>23</v>
      </c>
      <c r="L104">
        <v>2</v>
      </c>
      <c r="M104">
        <v>1</v>
      </c>
      <c r="N104" t="s">
        <v>1567</v>
      </c>
      <c r="O104" t="s">
        <v>1447</v>
      </c>
      <c r="P104" t="s">
        <v>1444</v>
      </c>
      <c r="Q104" t="s">
        <v>1473</v>
      </c>
      <c r="R104" t="s">
        <v>1444</v>
      </c>
      <c r="S104" t="s">
        <v>1568</v>
      </c>
    </row>
    <row r="105" spans="1:19">
      <c r="A105" t="s">
        <v>4066</v>
      </c>
      <c r="B105" t="s">
        <v>366</v>
      </c>
      <c r="C105" t="s">
        <v>3607</v>
      </c>
      <c r="D105">
        <v>267</v>
      </c>
      <c r="E105" t="s">
        <v>1511</v>
      </c>
      <c r="F105" t="s">
        <v>1511</v>
      </c>
      <c r="I105" t="s">
        <v>3238</v>
      </c>
      <c r="J105" t="s">
        <v>23</v>
      </c>
      <c r="K105" t="s">
        <v>23</v>
      </c>
      <c r="L105">
        <v>3</v>
      </c>
      <c r="M105">
        <v>1</v>
      </c>
      <c r="N105" t="s">
        <v>1569</v>
      </c>
      <c r="O105" t="s">
        <v>1447</v>
      </c>
      <c r="P105" t="s">
        <v>1444</v>
      </c>
      <c r="Q105" t="s">
        <v>1443</v>
      </c>
      <c r="R105" t="s">
        <v>356</v>
      </c>
      <c r="S105" t="s">
        <v>3515</v>
      </c>
    </row>
    <row r="106" spans="1:19">
      <c r="A106" t="s">
        <v>4067</v>
      </c>
      <c r="B106" t="s">
        <v>357</v>
      </c>
      <c r="C106" t="s">
        <v>3607</v>
      </c>
      <c r="D106" t="s">
        <v>358</v>
      </c>
      <c r="E106" t="s">
        <v>1570</v>
      </c>
      <c r="F106">
        <v>3</v>
      </c>
      <c r="G106">
        <v>1</v>
      </c>
      <c r="H106" t="s">
        <v>3633</v>
      </c>
      <c r="I106" t="s">
        <v>3238</v>
      </c>
      <c r="J106" t="s">
        <v>23</v>
      </c>
      <c r="K106" t="s">
        <v>23</v>
      </c>
      <c r="L106">
        <v>3</v>
      </c>
      <c r="M106">
        <v>1</v>
      </c>
      <c r="N106" t="s">
        <v>1569</v>
      </c>
      <c r="O106" t="s">
        <v>1457</v>
      </c>
      <c r="P106" t="s">
        <v>1444</v>
      </c>
      <c r="Q106" t="s">
        <v>1473</v>
      </c>
      <c r="R106" t="s">
        <v>356</v>
      </c>
      <c r="S106" t="s">
        <v>1571</v>
      </c>
    </row>
    <row r="107" spans="1:19">
      <c r="A107" t="s">
        <v>4069</v>
      </c>
      <c r="B107" t="s">
        <v>352</v>
      </c>
      <c r="C107" t="s">
        <v>3607</v>
      </c>
      <c r="D107" t="s">
        <v>359</v>
      </c>
      <c r="E107" t="s">
        <v>1570</v>
      </c>
      <c r="F107">
        <v>3</v>
      </c>
      <c r="G107">
        <v>1</v>
      </c>
      <c r="H107" t="s">
        <v>3633</v>
      </c>
      <c r="I107" t="s">
        <v>3238</v>
      </c>
      <c r="J107" t="s">
        <v>23</v>
      </c>
      <c r="K107" t="s">
        <v>23</v>
      </c>
      <c r="L107">
        <v>3</v>
      </c>
      <c r="M107">
        <v>1</v>
      </c>
      <c r="N107" t="s">
        <v>1569</v>
      </c>
      <c r="O107" t="s">
        <v>1457</v>
      </c>
      <c r="P107" t="s">
        <v>1444</v>
      </c>
      <c r="Q107" t="s">
        <v>1473</v>
      </c>
      <c r="R107" t="s">
        <v>356</v>
      </c>
      <c r="S107" t="s">
        <v>1573</v>
      </c>
    </row>
    <row r="108" spans="1:19">
      <c r="A108" t="s">
        <v>4070</v>
      </c>
      <c r="B108" t="s">
        <v>353</v>
      </c>
      <c r="C108" t="s">
        <v>3607</v>
      </c>
      <c r="D108">
        <v>269</v>
      </c>
      <c r="E108" t="s">
        <v>1460</v>
      </c>
      <c r="F108">
        <v>2</v>
      </c>
      <c r="I108" t="s">
        <v>3238</v>
      </c>
      <c r="J108" t="s">
        <v>23</v>
      </c>
      <c r="K108" t="s">
        <v>23</v>
      </c>
      <c r="L108">
        <v>3</v>
      </c>
      <c r="M108">
        <v>1</v>
      </c>
      <c r="N108" t="s">
        <v>1569</v>
      </c>
      <c r="O108" t="s">
        <v>1457</v>
      </c>
      <c r="P108" t="s">
        <v>1444</v>
      </c>
      <c r="Q108" t="s">
        <v>1443</v>
      </c>
      <c r="R108" t="s">
        <v>352</v>
      </c>
      <c r="S108" t="s">
        <v>1574</v>
      </c>
    </row>
    <row r="109" spans="1:19">
      <c r="A109" t="s">
        <v>4072</v>
      </c>
      <c r="B109" t="s">
        <v>349</v>
      </c>
      <c r="C109" t="s">
        <v>3607</v>
      </c>
      <c r="D109" t="s">
        <v>355</v>
      </c>
      <c r="E109" t="s">
        <v>1570</v>
      </c>
      <c r="F109">
        <v>3</v>
      </c>
      <c r="G109">
        <v>1</v>
      </c>
      <c r="H109" t="s">
        <v>3633</v>
      </c>
      <c r="I109" t="s">
        <v>3238</v>
      </c>
      <c r="J109" t="s">
        <v>23</v>
      </c>
      <c r="K109" t="s">
        <v>23</v>
      </c>
      <c r="L109">
        <v>3</v>
      </c>
      <c r="M109">
        <v>1</v>
      </c>
      <c r="N109" t="s">
        <v>1569</v>
      </c>
      <c r="O109" t="s">
        <v>1457</v>
      </c>
      <c r="P109" t="s">
        <v>1444</v>
      </c>
      <c r="Q109" t="s">
        <v>1473</v>
      </c>
      <c r="R109" t="s">
        <v>356</v>
      </c>
      <c r="S109" t="s">
        <v>1577</v>
      </c>
    </row>
    <row r="110" spans="1:19">
      <c r="A110" t="s">
        <v>4073</v>
      </c>
      <c r="B110" t="s">
        <v>365</v>
      </c>
      <c r="C110" t="s">
        <v>3607</v>
      </c>
      <c r="D110" t="s">
        <v>351</v>
      </c>
      <c r="E110" t="s">
        <v>1439</v>
      </c>
      <c r="F110">
        <v>1</v>
      </c>
      <c r="I110" t="s">
        <v>3238</v>
      </c>
      <c r="J110" t="s">
        <v>23</v>
      </c>
      <c r="K110" t="s">
        <v>23</v>
      </c>
      <c r="L110">
        <v>3</v>
      </c>
      <c r="M110">
        <v>1</v>
      </c>
      <c r="N110" t="s">
        <v>1569</v>
      </c>
      <c r="O110" t="s">
        <v>1447</v>
      </c>
      <c r="P110" t="s">
        <v>1444</v>
      </c>
      <c r="Q110" t="s">
        <v>1443</v>
      </c>
      <c r="R110" t="s">
        <v>349</v>
      </c>
      <c r="S110" t="s">
        <v>1578</v>
      </c>
    </row>
    <row r="111" spans="1:19">
      <c r="A111" t="s">
        <v>4074</v>
      </c>
      <c r="B111" t="s">
        <v>347</v>
      </c>
      <c r="C111" t="s">
        <v>3607</v>
      </c>
      <c r="D111" t="s">
        <v>348</v>
      </c>
      <c r="E111" t="s">
        <v>1450</v>
      </c>
      <c r="F111">
        <v>3</v>
      </c>
      <c r="I111" t="s">
        <v>3238</v>
      </c>
      <c r="J111" t="s">
        <v>23</v>
      </c>
      <c r="K111" t="s">
        <v>23</v>
      </c>
      <c r="L111">
        <v>3</v>
      </c>
      <c r="M111">
        <v>1</v>
      </c>
      <c r="N111" t="s">
        <v>1569</v>
      </c>
      <c r="O111" t="s">
        <v>1447</v>
      </c>
      <c r="P111" t="s">
        <v>1444</v>
      </c>
      <c r="Q111" t="s">
        <v>1473</v>
      </c>
      <c r="R111" t="s">
        <v>1579</v>
      </c>
      <c r="S111" t="s">
        <v>1580</v>
      </c>
    </row>
    <row r="112" spans="1:19">
      <c r="A112" t="s">
        <v>4068</v>
      </c>
      <c r="B112" t="s">
        <v>373</v>
      </c>
      <c r="C112" t="s">
        <v>3607</v>
      </c>
      <c r="D112" t="s">
        <v>374</v>
      </c>
      <c r="E112" t="s">
        <v>1450</v>
      </c>
      <c r="F112">
        <v>3</v>
      </c>
      <c r="I112" t="s">
        <v>3238</v>
      </c>
      <c r="J112" t="s">
        <v>23</v>
      </c>
      <c r="K112" t="s">
        <v>23</v>
      </c>
      <c r="L112">
        <v>4</v>
      </c>
      <c r="M112">
        <v>1</v>
      </c>
      <c r="N112" t="s">
        <v>1572</v>
      </c>
      <c r="O112" t="s">
        <v>1447</v>
      </c>
      <c r="P112" t="s">
        <v>1444</v>
      </c>
      <c r="Q112" t="s">
        <v>1443</v>
      </c>
      <c r="R112" t="s">
        <v>357</v>
      </c>
      <c r="S112" t="s">
        <v>3516</v>
      </c>
    </row>
    <row r="113" spans="1:19">
      <c r="A113" t="s">
        <v>4071</v>
      </c>
      <c r="B113" t="s">
        <v>350</v>
      </c>
      <c r="C113" t="s">
        <v>3607</v>
      </c>
      <c r="D113" t="s">
        <v>351</v>
      </c>
      <c r="E113" t="s">
        <v>1575</v>
      </c>
      <c r="F113" t="s">
        <v>3634</v>
      </c>
      <c r="I113" t="s">
        <v>3238</v>
      </c>
      <c r="J113" t="s">
        <v>23</v>
      </c>
      <c r="K113" t="s">
        <v>23</v>
      </c>
      <c r="L113">
        <v>4</v>
      </c>
      <c r="M113">
        <v>1</v>
      </c>
      <c r="N113" t="s">
        <v>1572</v>
      </c>
      <c r="O113" t="s">
        <v>1447</v>
      </c>
      <c r="P113" t="s">
        <v>1444</v>
      </c>
      <c r="Q113" t="s">
        <v>1443</v>
      </c>
      <c r="R113" t="s">
        <v>352</v>
      </c>
      <c r="S113" t="s">
        <v>1576</v>
      </c>
    </row>
    <row r="114" spans="1:19">
      <c r="A114" t="s">
        <v>4075</v>
      </c>
      <c r="B114" t="s">
        <v>339</v>
      </c>
      <c r="C114" t="s">
        <v>3607</v>
      </c>
      <c r="D114" t="s">
        <v>340</v>
      </c>
      <c r="E114" t="s">
        <v>1467</v>
      </c>
      <c r="F114">
        <v>5</v>
      </c>
      <c r="G114">
        <v>1</v>
      </c>
      <c r="I114" t="s">
        <v>3238</v>
      </c>
      <c r="J114" t="s">
        <v>23</v>
      </c>
      <c r="K114" t="s">
        <v>23</v>
      </c>
      <c r="L114">
        <v>4</v>
      </c>
      <c r="M114">
        <v>1</v>
      </c>
      <c r="N114" t="s">
        <v>1572</v>
      </c>
      <c r="O114" t="s">
        <v>1441</v>
      </c>
      <c r="P114" t="s">
        <v>1444</v>
      </c>
      <c r="Q114" t="s">
        <v>1443</v>
      </c>
      <c r="R114" t="s">
        <v>341</v>
      </c>
      <c r="S114" t="s">
        <v>1581</v>
      </c>
    </row>
    <row r="115" spans="1:19">
      <c r="A115" t="s">
        <v>4078</v>
      </c>
      <c r="B115" t="s">
        <v>360</v>
      </c>
      <c r="C115" t="s">
        <v>3607</v>
      </c>
      <c r="D115" t="s">
        <v>343</v>
      </c>
      <c r="E115" t="s">
        <v>1460</v>
      </c>
      <c r="F115">
        <v>2</v>
      </c>
      <c r="I115" t="s">
        <v>3238</v>
      </c>
      <c r="J115" t="s">
        <v>23</v>
      </c>
      <c r="K115" t="s">
        <v>23</v>
      </c>
      <c r="L115">
        <v>4</v>
      </c>
      <c r="M115">
        <v>2</v>
      </c>
      <c r="N115" t="s">
        <v>1585</v>
      </c>
      <c r="O115" t="s">
        <v>1447</v>
      </c>
      <c r="P115" t="s">
        <v>1444</v>
      </c>
      <c r="Q115" t="s">
        <v>1443</v>
      </c>
      <c r="R115" t="s">
        <v>365</v>
      </c>
      <c r="S115" t="s">
        <v>1586</v>
      </c>
    </row>
    <row r="116" spans="1:19">
      <c r="A116" t="s">
        <v>4079</v>
      </c>
      <c r="B116" t="s">
        <v>361</v>
      </c>
      <c r="C116" t="s">
        <v>3607</v>
      </c>
      <c r="D116">
        <v>271</v>
      </c>
      <c r="E116" t="s">
        <v>1511</v>
      </c>
      <c r="F116" t="s">
        <v>1511</v>
      </c>
      <c r="I116" t="s">
        <v>3238</v>
      </c>
      <c r="J116" t="s">
        <v>23</v>
      </c>
      <c r="K116" t="s">
        <v>23</v>
      </c>
      <c r="L116">
        <v>4</v>
      </c>
      <c r="M116">
        <v>2</v>
      </c>
      <c r="N116" t="s">
        <v>1585</v>
      </c>
      <c r="O116" t="s">
        <v>1513</v>
      </c>
      <c r="P116" t="s">
        <v>1444</v>
      </c>
      <c r="Q116" t="s">
        <v>1513</v>
      </c>
      <c r="R116" t="s">
        <v>347</v>
      </c>
      <c r="S116" t="s">
        <v>1587</v>
      </c>
    </row>
    <row r="117" spans="1:19">
      <c r="A117" t="s">
        <v>4076</v>
      </c>
      <c r="B117" t="s">
        <v>354</v>
      </c>
      <c r="C117" t="s">
        <v>3607</v>
      </c>
      <c r="D117" t="s">
        <v>343</v>
      </c>
      <c r="E117" t="s">
        <v>1554</v>
      </c>
      <c r="F117">
        <v>4</v>
      </c>
      <c r="I117" t="s">
        <v>3238</v>
      </c>
      <c r="J117" t="s">
        <v>23</v>
      </c>
      <c r="K117" t="s">
        <v>23</v>
      </c>
      <c r="L117">
        <v>5</v>
      </c>
      <c r="M117">
        <v>2</v>
      </c>
      <c r="N117" t="s">
        <v>1582</v>
      </c>
      <c r="O117" t="s">
        <v>1447</v>
      </c>
      <c r="P117" t="s">
        <v>1444</v>
      </c>
      <c r="Q117" t="s">
        <v>1443</v>
      </c>
      <c r="R117" t="s">
        <v>373</v>
      </c>
      <c r="S117" t="s">
        <v>1583</v>
      </c>
    </row>
    <row r="118" spans="1:19">
      <c r="A118" t="s">
        <v>4077</v>
      </c>
      <c r="B118" t="s">
        <v>363</v>
      </c>
      <c r="C118" t="s">
        <v>3607</v>
      </c>
      <c r="D118">
        <v>270</v>
      </c>
      <c r="E118" t="s">
        <v>1450</v>
      </c>
      <c r="F118">
        <v>3</v>
      </c>
      <c r="I118" t="s">
        <v>3238</v>
      </c>
      <c r="J118" t="s">
        <v>23</v>
      </c>
      <c r="K118" t="s">
        <v>23</v>
      </c>
      <c r="L118">
        <v>5</v>
      </c>
      <c r="M118">
        <v>2</v>
      </c>
      <c r="N118" t="s">
        <v>1582</v>
      </c>
      <c r="O118" t="s">
        <v>1447</v>
      </c>
      <c r="P118" t="s">
        <v>1444</v>
      </c>
      <c r="Q118" t="s">
        <v>1443</v>
      </c>
      <c r="R118" t="s">
        <v>350</v>
      </c>
      <c r="S118" t="s">
        <v>1584</v>
      </c>
    </row>
    <row r="119" spans="1:19">
      <c r="A119" t="s">
        <v>4080</v>
      </c>
      <c r="B119" t="s">
        <v>362</v>
      </c>
      <c r="C119" t="s">
        <v>3607</v>
      </c>
      <c r="D119" t="s">
        <v>343</v>
      </c>
      <c r="E119" t="s">
        <v>1465</v>
      </c>
      <c r="F119">
        <v>1</v>
      </c>
      <c r="G119">
        <v>1</v>
      </c>
      <c r="I119" t="s">
        <v>3238</v>
      </c>
      <c r="J119" t="s">
        <v>23</v>
      </c>
      <c r="K119" t="s">
        <v>23</v>
      </c>
      <c r="L119">
        <v>5</v>
      </c>
      <c r="M119">
        <v>2</v>
      </c>
      <c r="N119" t="s">
        <v>1582</v>
      </c>
      <c r="O119" t="s">
        <v>1447</v>
      </c>
      <c r="P119" t="s">
        <v>1444</v>
      </c>
      <c r="Q119" t="s">
        <v>1443</v>
      </c>
      <c r="R119" t="s">
        <v>1588</v>
      </c>
      <c r="S119" t="s">
        <v>1589</v>
      </c>
    </row>
    <row r="120" spans="1:19">
      <c r="A120" t="s">
        <v>4081</v>
      </c>
      <c r="B120" t="s">
        <v>371</v>
      </c>
      <c r="C120" t="s">
        <v>3607</v>
      </c>
      <c r="D120" t="s">
        <v>372</v>
      </c>
      <c r="E120" t="s">
        <v>1511</v>
      </c>
      <c r="F120" t="s">
        <v>1511</v>
      </c>
      <c r="I120" t="s">
        <v>3238</v>
      </c>
      <c r="J120" t="s">
        <v>23</v>
      </c>
      <c r="K120" t="s">
        <v>23</v>
      </c>
      <c r="L120">
        <v>5</v>
      </c>
      <c r="M120">
        <v>3</v>
      </c>
      <c r="N120" t="s">
        <v>1590</v>
      </c>
      <c r="O120" t="s">
        <v>1513</v>
      </c>
      <c r="P120" t="s">
        <v>1444</v>
      </c>
      <c r="Q120" t="s">
        <v>1513</v>
      </c>
      <c r="R120" t="s">
        <v>357</v>
      </c>
      <c r="S120" t="s">
        <v>1591</v>
      </c>
    </row>
    <row r="121" spans="1:19">
      <c r="A121" t="s">
        <v>4082</v>
      </c>
      <c r="B121" t="s">
        <v>342</v>
      </c>
      <c r="C121" t="s">
        <v>3607</v>
      </c>
      <c r="D121" t="s">
        <v>343</v>
      </c>
      <c r="E121" t="s">
        <v>1592</v>
      </c>
      <c r="G121">
        <v>1</v>
      </c>
      <c r="I121" t="s">
        <v>3238</v>
      </c>
      <c r="J121" t="s">
        <v>23</v>
      </c>
      <c r="K121" t="s">
        <v>23</v>
      </c>
      <c r="L121">
        <v>5</v>
      </c>
      <c r="M121">
        <v>3</v>
      </c>
      <c r="N121" t="s">
        <v>1590</v>
      </c>
      <c r="O121" t="s">
        <v>1447</v>
      </c>
      <c r="P121" t="s">
        <v>1444</v>
      </c>
      <c r="Q121" t="s">
        <v>1443</v>
      </c>
      <c r="R121" t="s">
        <v>354</v>
      </c>
      <c r="S121" t="s">
        <v>1593</v>
      </c>
    </row>
    <row r="122" spans="1:19">
      <c r="A122" t="s">
        <v>4083</v>
      </c>
      <c r="B122" t="s">
        <v>369</v>
      </c>
      <c r="C122" t="s">
        <v>3607</v>
      </c>
      <c r="D122" t="s">
        <v>370</v>
      </c>
      <c r="E122" t="s">
        <v>1511</v>
      </c>
      <c r="F122" t="s">
        <v>1511</v>
      </c>
      <c r="I122" t="s">
        <v>3238</v>
      </c>
      <c r="J122" t="s">
        <v>23</v>
      </c>
      <c r="K122" t="s">
        <v>23</v>
      </c>
      <c r="L122">
        <v>5</v>
      </c>
      <c r="M122">
        <v>3</v>
      </c>
      <c r="N122" t="s">
        <v>1590</v>
      </c>
      <c r="O122" t="s">
        <v>1513</v>
      </c>
      <c r="P122" t="s">
        <v>1444</v>
      </c>
      <c r="Q122" t="s">
        <v>1513</v>
      </c>
      <c r="R122" t="s">
        <v>352</v>
      </c>
      <c r="S122" t="s">
        <v>1594</v>
      </c>
    </row>
    <row r="123" spans="1:19">
      <c r="A123" t="s">
        <v>4084</v>
      </c>
      <c r="B123" t="s">
        <v>367</v>
      </c>
      <c r="C123" t="s">
        <v>3607</v>
      </c>
      <c r="D123" t="s">
        <v>368</v>
      </c>
      <c r="E123" t="s">
        <v>1511</v>
      </c>
      <c r="F123" t="s">
        <v>1511</v>
      </c>
      <c r="I123" t="s">
        <v>3238</v>
      </c>
      <c r="J123" t="s">
        <v>23</v>
      </c>
      <c r="K123" t="s">
        <v>23</v>
      </c>
      <c r="L123">
        <v>5</v>
      </c>
      <c r="M123">
        <v>3</v>
      </c>
      <c r="N123" t="s">
        <v>1590</v>
      </c>
      <c r="O123" t="s">
        <v>1513</v>
      </c>
      <c r="P123" t="s">
        <v>1444</v>
      </c>
      <c r="Q123" t="s">
        <v>1513</v>
      </c>
      <c r="R123" t="s">
        <v>1579</v>
      </c>
      <c r="S123" s="18" t="s">
        <v>1595</v>
      </c>
    </row>
    <row r="124" spans="1:19">
      <c r="A124" t="s">
        <v>4085</v>
      </c>
      <c r="B124" t="s">
        <v>344</v>
      </c>
      <c r="C124" t="s">
        <v>3607</v>
      </c>
      <c r="D124">
        <v>273</v>
      </c>
      <c r="E124" t="s">
        <v>1596</v>
      </c>
      <c r="F124" t="s">
        <v>3635</v>
      </c>
      <c r="I124" t="s">
        <v>3238</v>
      </c>
      <c r="J124" t="s">
        <v>23</v>
      </c>
      <c r="K124" t="s">
        <v>23</v>
      </c>
      <c r="L124">
        <v>5</v>
      </c>
      <c r="M124">
        <v>4</v>
      </c>
      <c r="N124" t="s">
        <v>1597</v>
      </c>
      <c r="O124" t="s">
        <v>1447</v>
      </c>
      <c r="P124" t="s">
        <v>1444</v>
      </c>
      <c r="Q124" t="s">
        <v>1547</v>
      </c>
      <c r="R124" t="s">
        <v>367</v>
      </c>
      <c r="S124" t="s">
        <v>1598</v>
      </c>
    </row>
    <row r="125" spans="1:19">
      <c r="A125" t="s">
        <v>4086</v>
      </c>
      <c r="B125" t="s">
        <v>345</v>
      </c>
      <c r="C125" t="s">
        <v>3607</v>
      </c>
      <c r="D125" t="s">
        <v>346</v>
      </c>
      <c r="E125" t="s">
        <v>1599</v>
      </c>
      <c r="F125">
        <v>10</v>
      </c>
      <c r="G125">
        <v>1</v>
      </c>
      <c r="I125" t="s">
        <v>3238</v>
      </c>
      <c r="J125" t="s">
        <v>23</v>
      </c>
      <c r="K125" t="s">
        <v>23</v>
      </c>
      <c r="L125">
        <v>5</v>
      </c>
      <c r="M125">
        <v>4</v>
      </c>
      <c r="N125" t="s">
        <v>1597</v>
      </c>
      <c r="O125" t="s">
        <v>1457</v>
      </c>
      <c r="P125" t="s">
        <v>1444</v>
      </c>
      <c r="Q125" t="s">
        <v>1600</v>
      </c>
      <c r="R125" t="s">
        <v>1601</v>
      </c>
      <c r="S125" t="s">
        <v>3636</v>
      </c>
    </row>
    <row r="126" spans="1:19">
      <c r="A126" t="s">
        <v>6760</v>
      </c>
      <c r="B126" t="s">
        <v>5126</v>
      </c>
      <c r="C126" t="s">
        <v>3968</v>
      </c>
      <c r="D126">
        <v>172</v>
      </c>
      <c r="E126" t="s">
        <v>5127</v>
      </c>
      <c r="F126">
        <v>1</v>
      </c>
      <c r="I126" t="s">
        <v>3560</v>
      </c>
      <c r="J126" t="s">
        <v>23</v>
      </c>
      <c r="K126" t="s">
        <v>23</v>
      </c>
      <c r="L126">
        <v>1</v>
      </c>
      <c r="M126">
        <v>1</v>
      </c>
      <c r="N126" t="s">
        <v>5128</v>
      </c>
      <c r="O126" t="s">
        <v>1441</v>
      </c>
      <c r="P126" t="s">
        <v>5129</v>
      </c>
      <c r="Q126" t="s">
        <v>1443</v>
      </c>
      <c r="R126" t="s">
        <v>1444</v>
      </c>
      <c r="S126" t="s">
        <v>5130</v>
      </c>
    </row>
    <row r="127" spans="1:19">
      <c r="A127" t="s">
        <v>6761</v>
      </c>
      <c r="B127" t="s">
        <v>5131</v>
      </c>
      <c r="C127" t="s">
        <v>3968</v>
      </c>
      <c r="D127">
        <v>172</v>
      </c>
      <c r="E127" t="s">
        <v>1439</v>
      </c>
      <c r="F127">
        <v>1</v>
      </c>
      <c r="I127" t="s">
        <v>3560</v>
      </c>
      <c r="J127" t="s">
        <v>23</v>
      </c>
      <c r="K127" t="s">
        <v>23</v>
      </c>
      <c r="L127">
        <v>2</v>
      </c>
      <c r="M127">
        <v>1</v>
      </c>
      <c r="N127" t="s">
        <v>1567</v>
      </c>
      <c r="O127" t="s">
        <v>1447</v>
      </c>
      <c r="P127" t="s">
        <v>5132</v>
      </c>
      <c r="Q127" t="s">
        <v>1448</v>
      </c>
      <c r="R127" t="s">
        <v>1444</v>
      </c>
      <c r="S127" t="s">
        <v>5133</v>
      </c>
    </row>
    <row r="128" spans="1:19">
      <c r="A128" t="s">
        <v>6762</v>
      </c>
      <c r="B128" t="s">
        <v>5134</v>
      </c>
      <c r="C128" t="s">
        <v>3968</v>
      </c>
      <c r="D128">
        <v>172</v>
      </c>
      <c r="E128" t="s">
        <v>1541</v>
      </c>
      <c r="F128">
        <v>5</v>
      </c>
      <c r="I128" t="s">
        <v>3560</v>
      </c>
      <c r="J128" t="s">
        <v>23</v>
      </c>
      <c r="K128" t="s">
        <v>23</v>
      </c>
      <c r="L128">
        <v>2</v>
      </c>
      <c r="M128">
        <v>1</v>
      </c>
      <c r="N128" t="s">
        <v>1567</v>
      </c>
      <c r="O128" t="s">
        <v>1457</v>
      </c>
      <c r="P128" t="s">
        <v>5083</v>
      </c>
      <c r="Q128" t="s">
        <v>1473</v>
      </c>
      <c r="R128" t="s">
        <v>1444</v>
      </c>
      <c r="S128" t="s">
        <v>5135</v>
      </c>
    </row>
    <row r="129" spans="1:19">
      <c r="A129" t="s">
        <v>6763</v>
      </c>
      <c r="B129" t="s">
        <v>5136</v>
      </c>
      <c r="C129" t="s">
        <v>3968</v>
      </c>
      <c r="D129">
        <v>172</v>
      </c>
      <c r="E129" t="s">
        <v>1450</v>
      </c>
      <c r="F129">
        <v>3</v>
      </c>
      <c r="I129" t="s">
        <v>3560</v>
      </c>
      <c r="J129" t="s">
        <v>23</v>
      </c>
      <c r="K129" t="s">
        <v>23</v>
      </c>
      <c r="L129">
        <v>3</v>
      </c>
      <c r="M129">
        <v>1</v>
      </c>
      <c r="N129" t="s">
        <v>1569</v>
      </c>
      <c r="O129" t="s">
        <v>1447</v>
      </c>
      <c r="P129" t="s">
        <v>5083</v>
      </c>
      <c r="Q129" t="s">
        <v>1443</v>
      </c>
      <c r="R129" t="s">
        <v>5134</v>
      </c>
      <c r="S129" t="s">
        <v>5137</v>
      </c>
    </row>
    <row r="130" spans="1:19">
      <c r="A130" t="s">
        <v>6764</v>
      </c>
      <c r="B130" t="s">
        <v>5138</v>
      </c>
      <c r="C130" t="s">
        <v>3968</v>
      </c>
      <c r="D130">
        <v>173</v>
      </c>
      <c r="E130" t="s">
        <v>1554</v>
      </c>
      <c r="F130">
        <v>4</v>
      </c>
      <c r="I130" t="s">
        <v>3560</v>
      </c>
      <c r="J130" t="s">
        <v>23</v>
      </c>
      <c r="K130" t="s">
        <v>23</v>
      </c>
      <c r="L130">
        <v>3</v>
      </c>
      <c r="M130">
        <v>2</v>
      </c>
      <c r="N130" t="s">
        <v>5139</v>
      </c>
      <c r="O130" t="s">
        <v>1447</v>
      </c>
      <c r="P130" t="s">
        <v>5140</v>
      </c>
      <c r="Q130" t="s">
        <v>1443</v>
      </c>
      <c r="R130" t="s">
        <v>5131</v>
      </c>
      <c r="S130" t="s">
        <v>5141</v>
      </c>
    </row>
    <row r="131" spans="1:19">
      <c r="A131" t="s">
        <v>6766</v>
      </c>
      <c r="B131" t="s">
        <v>5144</v>
      </c>
      <c r="C131" t="s">
        <v>3968</v>
      </c>
      <c r="D131">
        <v>173</v>
      </c>
      <c r="E131" t="s">
        <v>1450</v>
      </c>
      <c r="F131">
        <v>3</v>
      </c>
      <c r="I131" t="s">
        <v>3560</v>
      </c>
      <c r="J131" t="s">
        <v>23</v>
      </c>
      <c r="K131" t="s">
        <v>23</v>
      </c>
      <c r="L131">
        <v>3</v>
      </c>
      <c r="M131">
        <v>2</v>
      </c>
      <c r="N131" t="s">
        <v>5139</v>
      </c>
      <c r="O131" t="s">
        <v>1447</v>
      </c>
      <c r="P131" t="s">
        <v>5075</v>
      </c>
      <c r="Q131" t="s">
        <v>1443</v>
      </c>
      <c r="R131" t="s">
        <v>1444</v>
      </c>
      <c r="S131" t="s">
        <v>5145</v>
      </c>
    </row>
    <row r="132" spans="1:19">
      <c r="A132" t="s">
        <v>6765</v>
      </c>
      <c r="B132" t="s">
        <v>5142</v>
      </c>
      <c r="C132" t="s">
        <v>3968</v>
      </c>
      <c r="D132">
        <v>173</v>
      </c>
      <c r="E132" t="s">
        <v>1467</v>
      </c>
      <c r="F132">
        <v>5</v>
      </c>
      <c r="G132">
        <v>1</v>
      </c>
      <c r="I132" t="s">
        <v>3560</v>
      </c>
      <c r="J132" t="s">
        <v>23</v>
      </c>
      <c r="K132" t="s">
        <v>23</v>
      </c>
      <c r="L132">
        <v>4</v>
      </c>
      <c r="M132">
        <v>2</v>
      </c>
      <c r="N132" t="s">
        <v>1585</v>
      </c>
      <c r="O132" t="s">
        <v>1457</v>
      </c>
      <c r="P132" t="s">
        <v>5083</v>
      </c>
      <c r="Q132" t="s">
        <v>1443</v>
      </c>
      <c r="R132" t="s">
        <v>5136</v>
      </c>
      <c r="S132" t="s">
        <v>5143</v>
      </c>
    </row>
    <row r="133" spans="1:19">
      <c r="A133" t="s">
        <v>6772</v>
      </c>
      <c r="B133" t="s">
        <v>5159</v>
      </c>
      <c r="C133" t="s">
        <v>3968</v>
      </c>
      <c r="D133">
        <v>175</v>
      </c>
      <c r="E133" t="s">
        <v>1476</v>
      </c>
      <c r="F133">
        <v>3</v>
      </c>
      <c r="G133">
        <v>1</v>
      </c>
      <c r="I133" t="s">
        <v>3560</v>
      </c>
      <c r="J133" t="s">
        <v>23</v>
      </c>
      <c r="K133" t="s">
        <v>23</v>
      </c>
      <c r="L133">
        <v>4</v>
      </c>
      <c r="M133">
        <v>3</v>
      </c>
      <c r="N133" t="s">
        <v>5160</v>
      </c>
      <c r="O133" t="s">
        <v>1447</v>
      </c>
      <c r="P133" t="s">
        <v>5083</v>
      </c>
      <c r="Q133" t="s">
        <v>1443</v>
      </c>
      <c r="R133" t="s">
        <v>5161</v>
      </c>
      <c r="S133" t="s">
        <v>5162</v>
      </c>
    </row>
    <row r="134" spans="1:19">
      <c r="A134" t="s">
        <v>6773</v>
      </c>
      <c r="B134" t="s">
        <v>5163</v>
      </c>
      <c r="C134" t="s">
        <v>3968</v>
      </c>
      <c r="D134">
        <v>175</v>
      </c>
      <c r="E134" t="s">
        <v>1439</v>
      </c>
      <c r="F134">
        <v>1</v>
      </c>
      <c r="I134" t="s">
        <v>3560</v>
      </c>
      <c r="J134" t="s">
        <v>23</v>
      </c>
      <c r="K134" t="s">
        <v>23</v>
      </c>
      <c r="L134">
        <v>4</v>
      </c>
      <c r="M134">
        <v>3</v>
      </c>
      <c r="N134" t="s">
        <v>5160</v>
      </c>
      <c r="O134" t="s">
        <v>1447</v>
      </c>
      <c r="P134" t="s">
        <v>5075</v>
      </c>
      <c r="Q134" t="s">
        <v>1443</v>
      </c>
      <c r="R134" t="s">
        <v>5142</v>
      </c>
      <c r="S134" t="s">
        <v>5164</v>
      </c>
    </row>
    <row r="135" spans="1:19">
      <c r="A135" t="s">
        <v>6767</v>
      </c>
      <c r="B135" t="s">
        <v>5146</v>
      </c>
      <c r="C135" t="s">
        <v>3968</v>
      </c>
      <c r="D135">
        <v>174</v>
      </c>
      <c r="E135" t="s">
        <v>1467</v>
      </c>
      <c r="F135">
        <v>5</v>
      </c>
      <c r="G135">
        <v>1</v>
      </c>
      <c r="I135" t="s">
        <v>3560</v>
      </c>
      <c r="J135" t="s">
        <v>23</v>
      </c>
      <c r="K135" t="s">
        <v>23</v>
      </c>
      <c r="L135">
        <v>5</v>
      </c>
      <c r="M135">
        <v>3</v>
      </c>
      <c r="N135" t="s">
        <v>1590</v>
      </c>
      <c r="O135" t="s">
        <v>1457</v>
      </c>
      <c r="P135" t="s">
        <v>5147</v>
      </c>
      <c r="Q135" t="s">
        <v>1547</v>
      </c>
      <c r="R135" t="s">
        <v>1444</v>
      </c>
      <c r="S135" t="s">
        <v>5148</v>
      </c>
    </row>
    <row r="136" spans="1:19">
      <c r="A136" t="s">
        <v>6768</v>
      </c>
      <c r="B136" t="s">
        <v>5149</v>
      </c>
      <c r="C136" t="s">
        <v>3968</v>
      </c>
      <c r="D136">
        <v>174</v>
      </c>
      <c r="E136" t="s">
        <v>1599</v>
      </c>
      <c r="F136">
        <v>10</v>
      </c>
      <c r="G136">
        <v>1</v>
      </c>
      <c r="I136" t="s">
        <v>3560</v>
      </c>
      <c r="J136" t="s">
        <v>23</v>
      </c>
      <c r="K136" t="s">
        <v>23</v>
      </c>
      <c r="L136">
        <v>5</v>
      </c>
      <c r="M136">
        <v>3</v>
      </c>
      <c r="N136" t="s">
        <v>1590</v>
      </c>
      <c r="O136" t="s">
        <v>1457</v>
      </c>
      <c r="P136" t="s">
        <v>5104</v>
      </c>
      <c r="Q136" t="s">
        <v>2850</v>
      </c>
      <c r="R136" t="s">
        <v>5142</v>
      </c>
      <c r="S136" t="s">
        <v>5150</v>
      </c>
    </row>
    <row r="137" spans="1:19">
      <c r="A137" t="s">
        <v>6769</v>
      </c>
      <c r="B137" t="s">
        <v>5151</v>
      </c>
      <c r="C137" t="s">
        <v>3968</v>
      </c>
      <c r="D137">
        <v>174</v>
      </c>
      <c r="E137" t="s">
        <v>1476</v>
      </c>
      <c r="F137">
        <v>3</v>
      </c>
      <c r="G137">
        <v>1</v>
      </c>
      <c r="I137" t="s">
        <v>3560</v>
      </c>
      <c r="J137" t="s">
        <v>23</v>
      </c>
      <c r="K137" t="s">
        <v>23</v>
      </c>
      <c r="L137">
        <v>5</v>
      </c>
      <c r="M137">
        <v>3</v>
      </c>
      <c r="N137" t="s">
        <v>1590</v>
      </c>
      <c r="O137" t="s">
        <v>1457</v>
      </c>
      <c r="P137" t="s">
        <v>5112</v>
      </c>
      <c r="Q137" t="s">
        <v>1473</v>
      </c>
      <c r="R137" t="s">
        <v>1444</v>
      </c>
      <c r="S137" t="s">
        <v>5152</v>
      </c>
    </row>
    <row r="138" spans="1:19">
      <c r="A138" t="s">
        <v>6770</v>
      </c>
      <c r="B138" t="s">
        <v>5153</v>
      </c>
      <c r="C138" t="s">
        <v>3968</v>
      </c>
      <c r="D138">
        <v>174</v>
      </c>
      <c r="E138" t="s">
        <v>5154</v>
      </c>
      <c r="F138">
        <v>4</v>
      </c>
      <c r="G138">
        <v>1</v>
      </c>
      <c r="H138" t="s">
        <v>2434</v>
      </c>
      <c r="I138" t="s">
        <v>3560</v>
      </c>
      <c r="J138" t="s">
        <v>23</v>
      </c>
      <c r="K138" t="s">
        <v>23</v>
      </c>
      <c r="L138">
        <v>5</v>
      </c>
      <c r="M138">
        <v>3</v>
      </c>
      <c r="N138" t="s">
        <v>1590</v>
      </c>
      <c r="O138" t="s">
        <v>1447</v>
      </c>
      <c r="P138" t="s">
        <v>5155</v>
      </c>
      <c r="Q138" t="s">
        <v>1443</v>
      </c>
      <c r="R138" t="s">
        <v>1444</v>
      </c>
      <c r="S138" t="s">
        <v>5156</v>
      </c>
    </row>
    <row r="139" spans="1:19">
      <c r="A139" t="s">
        <v>6771</v>
      </c>
      <c r="B139" t="s">
        <v>5157</v>
      </c>
      <c r="C139" t="s">
        <v>3968</v>
      </c>
      <c r="D139">
        <v>174</v>
      </c>
      <c r="E139" t="s">
        <v>1479</v>
      </c>
      <c r="F139">
        <v>6</v>
      </c>
      <c r="G139">
        <v>1</v>
      </c>
      <c r="I139" t="s">
        <v>3560</v>
      </c>
      <c r="J139" t="s">
        <v>23</v>
      </c>
      <c r="K139" t="s">
        <v>23</v>
      </c>
      <c r="L139">
        <v>5</v>
      </c>
      <c r="M139">
        <v>3</v>
      </c>
      <c r="N139" t="s">
        <v>1590</v>
      </c>
      <c r="O139" t="s">
        <v>1447</v>
      </c>
      <c r="P139" t="s">
        <v>5115</v>
      </c>
      <c r="Q139" t="s">
        <v>1473</v>
      </c>
      <c r="R139" t="s">
        <v>1444</v>
      </c>
      <c r="S139" t="s">
        <v>5158</v>
      </c>
    </row>
    <row r="140" spans="1:19">
      <c r="A140" t="s">
        <v>6774</v>
      </c>
      <c r="B140" t="s">
        <v>5165</v>
      </c>
      <c r="C140" t="s">
        <v>3968</v>
      </c>
      <c r="D140">
        <v>175</v>
      </c>
      <c r="E140" t="s">
        <v>1467</v>
      </c>
      <c r="F140">
        <v>5</v>
      </c>
      <c r="G140">
        <v>1</v>
      </c>
      <c r="I140" t="s">
        <v>3560</v>
      </c>
      <c r="J140" t="s">
        <v>23</v>
      </c>
      <c r="K140" t="s">
        <v>23</v>
      </c>
      <c r="L140">
        <v>5</v>
      </c>
      <c r="M140">
        <v>3</v>
      </c>
      <c r="N140" t="s">
        <v>1590</v>
      </c>
      <c r="O140" t="s">
        <v>1457</v>
      </c>
      <c r="P140" t="s">
        <v>5083</v>
      </c>
      <c r="Q140" t="s">
        <v>5166</v>
      </c>
      <c r="R140" t="s">
        <v>5142</v>
      </c>
      <c r="S140" t="s">
        <v>5167</v>
      </c>
    </row>
    <row r="141" spans="1:19">
      <c r="A141" t="s">
        <v>6775</v>
      </c>
      <c r="B141" t="s">
        <v>5168</v>
      </c>
      <c r="C141" t="s">
        <v>3968</v>
      </c>
      <c r="D141">
        <v>175</v>
      </c>
      <c r="E141" t="s">
        <v>2217</v>
      </c>
      <c r="F141">
        <v>5</v>
      </c>
      <c r="H141" t="s">
        <v>2434</v>
      </c>
      <c r="I141" t="s">
        <v>3560</v>
      </c>
      <c r="J141" t="s">
        <v>23</v>
      </c>
      <c r="K141" t="s">
        <v>23</v>
      </c>
      <c r="L141">
        <v>5</v>
      </c>
      <c r="M141">
        <v>3</v>
      </c>
      <c r="N141" t="s">
        <v>1590</v>
      </c>
      <c r="O141" t="s">
        <v>1457</v>
      </c>
      <c r="P141" t="s">
        <v>5083</v>
      </c>
      <c r="Q141" t="s">
        <v>1804</v>
      </c>
      <c r="R141" t="s">
        <v>5165</v>
      </c>
      <c r="S141" t="s">
        <v>5169</v>
      </c>
    </row>
    <row r="142" spans="1:19">
      <c r="A142" t="s">
        <v>6776</v>
      </c>
      <c r="B142" t="s">
        <v>5170</v>
      </c>
      <c r="C142" t="s">
        <v>3968</v>
      </c>
      <c r="D142">
        <v>176</v>
      </c>
      <c r="E142" t="s">
        <v>5102</v>
      </c>
      <c r="F142">
        <v>5</v>
      </c>
      <c r="G142">
        <v>1</v>
      </c>
      <c r="H142" t="s">
        <v>5103</v>
      </c>
      <c r="I142" t="s">
        <v>3560</v>
      </c>
      <c r="J142" t="s">
        <v>23</v>
      </c>
      <c r="K142" t="s">
        <v>23</v>
      </c>
      <c r="L142">
        <v>5</v>
      </c>
      <c r="M142">
        <v>5</v>
      </c>
      <c r="N142" t="s">
        <v>5171</v>
      </c>
      <c r="O142" t="s">
        <v>1457</v>
      </c>
      <c r="P142" t="s">
        <v>5172</v>
      </c>
      <c r="Q142" t="s">
        <v>1443</v>
      </c>
      <c r="R142" t="s">
        <v>5168</v>
      </c>
      <c r="S142" t="s">
        <v>5173</v>
      </c>
    </row>
    <row r="143" spans="1:19">
      <c r="A143" t="s">
        <v>4087</v>
      </c>
      <c r="B143" t="s">
        <v>401</v>
      </c>
      <c r="C143" t="s">
        <v>3607</v>
      </c>
      <c r="D143" t="s">
        <v>402</v>
      </c>
      <c r="E143" t="s">
        <v>1439</v>
      </c>
      <c r="F143">
        <v>1</v>
      </c>
      <c r="I143" t="s">
        <v>3238</v>
      </c>
      <c r="J143" t="s">
        <v>24</v>
      </c>
      <c r="K143" t="s">
        <v>24</v>
      </c>
      <c r="L143">
        <v>1</v>
      </c>
      <c r="M143">
        <v>1</v>
      </c>
      <c r="N143" t="s">
        <v>1602</v>
      </c>
      <c r="O143" t="s">
        <v>1447</v>
      </c>
      <c r="P143" t="s">
        <v>1463</v>
      </c>
      <c r="Q143" t="s">
        <v>1443</v>
      </c>
      <c r="R143" t="s">
        <v>1444</v>
      </c>
      <c r="S143" t="s">
        <v>1603</v>
      </c>
    </row>
    <row r="144" spans="1:19">
      <c r="A144" t="s">
        <v>4088</v>
      </c>
      <c r="B144" t="s">
        <v>415</v>
      </c>
      <c r="C144" t="s">
        <v>3607</v>
      </c>
      <c r="D144" t="s">
        <v>416</v>
      </c>
      <c r="E144" t="s">
        <v>1450</v>
      </c>
      <c r="F144">
        <v>3</v>
      </c>
      <c r="I144" t="s">
        <v>3238</v>
      </c>
      <c r="J144" t="s">
        <v>24</v>
      </c>
      <c r="K144" t="s">
        <v>24</v>
      </c>
      <c r="L144">
        <v>3</v>
      </c>
      <c r="M144">
        <v>1</v>
      </c>
      <c r="N144" t="s">
        <v>1604</v>
      </c>
      <c r="O144" t="s">
        <v>1447</v>
      </c>
      <c r="P144" t="s">
        <v>1444</v>
      </c>
      <c r="Q144" t="s">
        <v>1600</v>
      </c>
      <c r="R144" t="s">
        <v>401</v>
      </c>
      <c r="S144" t="s">
        <v>1605</v>
      </c>
    </row>
    <row r="145" spans="1:19">
      <c r="A145" t="s">
        <v>4089</v>
      </c>
      <c r="B145" t="s">
        <v>397</v>
      </c>
      <c r="C145" t="s">
        <v>3607</v>
      </c>
      <c r="D145" t="s">
        <v>398</v>
      </c>
      <c r="E145" t="s">
        <v>1439</v>
      </c>
      <c r="F145">
        <v>1</v>
      </c>
      <c r="I145" t="s">
        <v>3238</v>
      </c>
      <c r="J145" t="s">
        <v>24</v>
      </c>
      <c r="K145" t="s">
        <v>24</v>
      </c>
      <c r="L145">
        <v>3</v>
      </c>
      <c r="M145">
        <v>1</v>
      </c>
      <c r="N145" t="s">
        <v>1604</v>
      </c>
      <c r="O145" t="s">
        <v>1441</v>
      </c>
      <c r="P145" t="s">
        <v>1442</v>
      </c>
      <c r="Q145" t="s">
        <v>1443</v>
      </c>
      <c r="R145" t="s">
        <v>1444</v>
      </c>
      <c r="S145" t="s">
        <v>1606</v>
      </c>
    </row>
    <row r="146" spans="1:19">
      <c r="A146" t="s">
        <v>4091</v>
      </c>
      <c r="B146" t="s">
        <v>409</v>
      </c>
      <c r="C146" t="s">
        <v>3607</v>
      </c>
      <c r="D146" t="s">
        <v>410</v>
      </c>
      <c r="E146" t="s">
        <v>1482</v>
      </c>
      <c r="F146">
        <v>7</v>
      </c>
      <c r="I146" t="s">
        <v>3238</v>
      </c>
      <c r="J146" t="s">
        <v>24</v>
      </c>
      <c r="K146" t="s">
        <v>24</v>
      </c>
      <c r="L146">
        <v>3</v>
      </c>
      <c r="M146">
        <v>1</v>
      </c>
      <c r="N146" t="s">
        <v>1604</v>
      </c>
      <c r="O146" t="s">
        <v>1447</v>
      </c>
      <c r="P146" t="s">
        <v>1452</v>
      </c>
      <c r="Q146" t="s">
        <v>1443</v>
      </c>
      <c r="R146" t="s">
        <v>397</v>
      </c>
      <c r="S146" t="s">
        <v>3522</v>
      </c>
    </row>
    <row r="147" spans="1:19">
      <c r="A147" t="s">
        <v>4092</v>
      </c>
      <c r="B147" t="s">
        <v>388</v>
      </c>
      <c r="C147" t="s">
        <v>3607</v>
      </c>
      <c r="D147" t="s">
        <v>391</v>
      </c>
      <c r="E147" t="s">
        <v>1439</v>
      </c>
      <c r="F147">
        <v>1</v>
      </c>
      <c r="I147" t="s">
        <v>3238</v>
      </c>
      <c r="J147" t="s">
        <v>24</v>
      </c>
      <c r="K147" t="s">
        <v>24</v>
      </c>
      <c r="L147">
        <v>3</v>
      </c>
      <c r="M147">
        <v>1</v>
      </c>
      <c r="N147" t="s">
        <v>1604</v>
      </c>
      <c r="O147" t="s">
        <v>1441</v>
      </c>
      <c r="P147" t="s">
        <v>1444</v>
      </c>
      <c r="Q147" t="s">
        <v>1443</v>
      </c>
      <c r="R147" t="s">
        <v>1444</v>
      </c>
      <c r="S147" t="s">
        <v>1609</v>
      </c>
    </row>
    <row r="148" spans="1:19">
      <c r="A148" t="s">
        <v>4093</v>
      </c>
      <c r="B148" t="s">
        <v>445</v>
      </c>
      <c r="C148" t="s">
        <v>3607</v>
      </c>
      <c r="D148" t="s">
        <v>391</v>
      </c>
      <c r="E148" t="s">
        <v>1610</v>
      </c>
      <c r="F148" t="s">
        <v>1610</v>
      </c>
      <c r="I148" t="s">
        <v>3238</v>
      </c>
      <c r="J148" t="s">
        <v>24</v>
      </c>
      <c r="K148" t="s">
        <v>24</v>
      </c>
      <c r="L148">
        <v>3</v>
      </c>
      <c r="M148">
        <v>1</v>
      </c>
      <c r="N148" t="s">
        <v>1604</v>
      </c>
      <c r="O148" t="s">
        <v>1447</v>
      </c>
      <c r="P148" t="s">
        <v>1444</v>
      </c>
      <c r="Q148" t="s">
        <v>1443</v>
      </c>
      <c r="R148" t="s">
        <v>388</v>
      </c>
      <c r="S148" t="s">
        <v>1611</v>
      </c>
    </row>
    <row r="149" spans="1:19">
      <c r="A149" t="s">
        <v>4096</v>
      </c>
      <c r="B149" t="s">
        <v>396</v>
      </c>
      <c r="C149" t="s">
        <v>3607</v>
      </c>
      <c r="D149" t="s">
        <v>442</v>
      </c>
      <c r="E149" t="s">
        <v>1450</v>
      </c>
      <c r="F149">
        <v>3</v>
      </c>
      <c r="I149" t="s">
        <v>3238</v>
      </c>
      <c r="J149" t="s">
        <v>24</v>
      </c>
      <c r="K149" t="s">
        <v>24</v>
      </c>
      <c r="L149">
        <v>3</v>
      </c>
      <c r="M149">
        <v>1</v>
      </c>
      <c r="N149" t="s">
        <v>1604</v>
      </c>
      <c r="O149" t="s">
        <v>1447</v>
      </c>
      <c r="P149" t="s">
        <v>1444</v>
      </c>
      <c r="Q149" t="s">
        <v>1443</v>
      </c>
      <c r="R149" t="s">
        <v>1444</v>
      </c>
      <c r="S149" t="s">
        <v>1616</v>
      </c>
    </row>
    <row r="150" spans="1:19">
      <c r="A150" t="s">
        <v>4100</v>
      </c>
      <c r="B150" t="s">
        <v>424</v>
      </c>
      <c r="C150" t="s">
        <v>3607</v>
      </c>
      <c r="D150" t="s">
        <v>425</v>
      </c>
      <c r="E150" t="s">
        <v>1488</v>
      </c>
      <c r="F150">
        <v>4</v>
      </c>
      <c r="G150">
        <v>1</v>
      </c>
      <c r="H150" t="s">
        <v>2420</v>
      </c>
      <c r="I150" t="s">
        <v>3238</v>
      </c>
      <c r="J150" t="s">
        <v>24</v>
      </c>
      <c r="K150" t="s">
        <v>24</v>
      </c>
      <c r="L150">
        <v>3</v>
      </c>
      <c r="M150">
        <v>2</v>
      </c>
      <c r="N150" t="s">
        <v>1626</v>
      </c>
      <c r="O150" t="s">
        <v>1457</v>
      </c>
      <c r="P150" t="s">
        <v>1454</v>
      </c>
      <c r="Q150" t="s">
        <v>1443</v>
      </c>
      <c r="R150" t="s">
        <v>401</v>
      </c>
      <c r="S150" t="s">
        <v>1627</v>
      </c>
    </row>
    <row r="151" spans="1:19">
      <c r="A151" t="s">
        <v>4090</v>
      </c>
      <c r="B151" t="s">
        <v>447</v>
      </c>
      <c r="C151" t="s">
        <v>3607</v>
      </c>
      <c r="D151" t="s">
        <v>398</v>
      </c>
      <c r="E151" t="s">
        <v>1450</v>
      </c>
      <c r="F151">
        <v>3</v>
      </c>
      <c r="I151" t="s">
        <v>3238</v>
      </c>
      <c r="J151" t="s">
        <v>24</v>
      </c>
      <c r="K151" t="s">
        <v>24</v>
      </c>
      <c r="L151">
        <v>4</v>
      </c>
      <c r="M151">
        <v>1</v>
      </c>
      <c r="N151" t="s">
        <v>1607</v>
      </c>
      <c r="O151" t="s">
        <v>1447</v>
      </c>
      <c r="P151" t="s">
        <v>1444</v>
      </c>
      <c r="Q151" t="s">
        <v>1443</v>
      </c>
      <c r="R151" t="s">
        <v>397</v>
      </c>
      <c r="S151" t="s">
        <v>1608</v>
      </c>
    </row>
    <row r="152" spans="1:19">
      <c r="A152" t="s">
        <v>4095</v>
      </c>
      <c r="B152" t="s">
        <v>386</v>
      </c>
      <c r="C152" t="s">
        <v>3607</v>
      </c>
      <c r="D152" t="s">
        <v>387</v>
      </c>
      <c r="E152" t="s">
        <v>1541</v>
      </c>
      <c r="F152">
        <v>5</v>
      </c>
      <c r="I152" t="s">
        <v>3238</v>
      </c>
      <c r="J152" t="s">
        <v>24</v>
      </c>
      <c r="K152" t="s">
        <v>24</v>
      </c>
      <c r="L152">
        <v>4</v>
      </c>
      <c r="M152">
        <v>1</v>
      </c>
      <c r="N152" t="s">
        <v>1607</v>
      </c>
      <c r="O152" t="s">
        <v>1447</v>
      </c>
      <c r="P152" t="s">
        <v>1442</v>
      </c>
      <c r="Q152" t="s">
        <v>1443</v>
      </c>
      <c r="R152" t="s">
        <v>388</v>
      </c>
      <c r="S152" t="s">
        <v>1615</v>
      </c>
    </row>
    <row r="153" spans="1:19">
      <c r="A153" t="s">
        <v>4097</v>
      </c>
      <c r="B153" t="s">
        <v>394</v>
      </c>
      <c r="C153" t="s">
        <v>3607</v>
      </c>
      <c r="D153" t="s">
        <v>395</v>
      </c>
      <c r="E153" t="s">
        <v>1439</v>
      </c>
      <c r="F153">
        <v>1</v>
      </c>
      <c r="I153" t="s">
        <v>3238</v>
      </c>
      <c r="J153" t="s">
        <v>24</v>
      </c>
      <c r="K153" t="s">
        <v>24</v>
      </c>
      <c r="L153">
        <v>4</v>
      </c>
      <c r="M153">
        <v>1</v>
      </c>
      <c r="N153" t="s">
        <v>1607</v>
      </c>
      <c r="O153" t="s">
        <v>1441</v>
      </c>
      <c r="P153" t="s">
        <v>1442</v>
      </c>
      <c r="Q153" t="s">
        <v>1443</v>
      </c>
      <c r="R153" t="s">
        <v>396</v>
      </c>
      <c r="S153" t="s">
        <v>1617</v>
      </c>
    </row>
    <row r="154" spans="1:19">
      <c r="A154" t="s">
        <v>4098</v>
      </c>
      <c r="B154" t="s">
        <v>429</v>
      </c>
      <c r="C154" t="s">
        <v>3607</v>
      </c>
      <c r="D154" t="s">
        <v>430</v>
      </c>
      <c r="E154" t="s">
        <v>1618</v>
      </c>
      <c r="F154">
        <v>3</v>
      </c>
      <c r="H154" t="s">
        <v>2420</v>
      </c>
      <c r="I154" t="s">
        <v>3238</v>
      </c>
      <c r="J154" t="s">
        <v>24</v>
      </c>
      <c r="K154" t="s">
        <v>24</v>
      </c>
      <c r="L154">
        <v>4</v>
      </c>
      <c r="M154">
        <v>2</v>
      </c>
      <c r="N154" t="s">
        <v>1619</v>
      </c>
      <c r="O154" t="s">
        <v>1447</v>
      </c>
      <c r="P154" t="s">
        <v>1620</v>
      </c>
      <c r="Q154" t="s">
        <v>1443</v>
      </c>
      <c r="R154" t="s">
        <v>415</v>
      </c>
      <c r="S154" t="s">
        <v>1621</v>
      </c>
    </row>
    <row r="155" spans="1:19">
      <c r="A155" t="s">
        <v>4101</v>
      </c>
      <c r="B155" t="s">
        <v>381</v>
      </c>
      <c r="C155" t="s">
        <v>3607</v>
      </c>
      <c r="D155" t="s">
        <v>382</v>
      </c>
      <c r="E155" t="s">
        <v>1628</v>
      </c>
      <c r="F155" t="s">
        <v>3638</v>
      </c>
      <c r="I155" t="s">
        <v>3238</v>
      </c>
      <c r="J155" t="s">
        <v>24</v>
      </c>
      <c r="K155" t="s">
        <v>24</v>
      </c>
      <c r="L155">
        <v>4</v>
      </c>
      <c r="M155">
        <v>2</v>
      </c>
      <c r="N155" t="s">
        <v>1619</v>
      </c>
      <c r="O155" t="s">
        <v>1447</v>
      </c>
      <c r="P155" t="s">
        <v>1452</v>
      </c>
      <c r="Q155" t="s">
        <v>1443</v>
      </c>
      <c r="R155" t="s">
        <v>397</v>
      </c>
      <c r="S155" t="s">
        <v>1629</v>
      </c>
    </row>
    <row r="156" spans="1:19">
      <c r="A156" t="s">
        <v>4102</v>
      </c>
      <c r="B156" t="s">
        <v>405</v>
      </c>
      <c r="C156" t="s">
        <v>3607</v>
      </c>
      <c r="D156" t="s">
        <v>382</v>
      </c>
      <c r="E156" t="s">
        <v>1467</v>
      </c>
      <c r="F156">
        <v>5</v>
      </c>
      <c r="G156">
        <v>1</v>
      </c>
      <c r="I156" t="s">
        <v>3238</v>
      </c>
      <c r="J156" t="s">
        <v>24</v>
      </c>
      <c r="K156" t="s">
        <v>24</v>
      </c>
      <c r="L156">
        <v>4</v>
      </c>
      <c r="M156">
        <v>2</v>
      </c>
      <c r="N156" t="s">
        <v>1619</v>
      </c>
      <c r="O156" t="s">
        <v>1447</v>
      </c>
      <c r="P156" t="s">
        <v>1630</v>
      </c>
      <c r="Q156" t="s">
        <v>1443</v>
      </c>
      <c r="R156" t="s">
        <v>397</v>
      </c>
      <c r="S156" t="s">
        <v>1631</v>
      </c>
    </row>
    <row r="157" spans="1:19">
      <c r="A157" t="s">
        <v>4104</v>
      </c>
      <c r="B157" t="s">
        <v>434</v>
      </c>
      <c r="C157" t="s">
        <v>3607</v>
      </c>
      <c r="D157" t="s">
        <v>435</v>
      </c>
      <c r="E157" t="s">
        <v>1541</v>
      </c>
      <c r="F157">
        <v>5</v>
      </c>
      <c r="I157" t="s">
        <v>3238</v>
      </c>
      <c r="J157" t="s">
        <v>24</v>
      </c>
      <c r="K157" t="s">
        <v>24</v>
      </c>
      <c r="L157">
        <v>4</v>
      </c>
      <c r="M157">
        <v>2</v>
      </c>
      <c r="N157" t="s">
        <v>1619</v>
      </c>
      <c r="O157" t="s">
        <v>1441</v>
      </c>
      <c r="P157" t="s">
        <v>1444</v>
      </c>
      <c r="Q157" t="s">
        <v>1443</v>
      </c>
      <c r="R157" t="s">
        <v>409</v>
      </c>
      <c r="S157" t="s">
        <v>1635</v>
      </c>
    </row>
    <row r="158" spans="1:19">
      <c r="A158" t="s">
        <v>4105</v>
      </c>
      <c r="B158" t="s">
        <v>420</v>
      </c>
      <c r="C158" t="s">
        <v>3607</v>
      </c>
      <c r="D158" t="s">
        <v>421</v>
      </c>
      <c r="E158" t="s">
        <v>1460</v>
      </c>
      <c r="F158">
        <v>2</v>
      </c>
      <c r="I158" t="s">
        <v>3238</v>
      </c>
      <c r="J158" t="s">
        <v>24</v>
      </c>
      <c r="K158" t="s">
        <v>24</v>
      </c>
      <c r="L158">
        <v>4</v>
      </c>
      <c r="M158">
        <v>2</v>
      </c>
      <c r="N158" t="s">
        <v>1619</v>
      </c>
      <c r="O158" t="s">
        <v>1447</v>
      </c>
      <c r="P158" t="s">
        <v>1444</v>
      </c>
      <c r="Q158" t="s">
        <v>1443</v>
      </c>
      <c r="R158" t="s">
        <v>388</v>
      </c>
      <c r="S158" t="s">
        <v>1636</v>
      </c>
    </row>
    <row r="159" spans="1:19">
      <c r="A159" t="s">
        <v>4106</v>
      </c>
      <c r="B159" t="s">
        <v>383</v>
      </c>
      <c r="C159" t="s">
        <v>3607</v>
      </c>
      <c r="D159" t="s">
        <v>384</v>
      </c>
      <c r="E159" t="s">
        <v>1554</v>
      </c>
      <c r="F159">
        <v>4</v>
      </c>
      <c r="I159" t="s">
        <v>3238</v>
      </c>
      <c r="J159" t="s">
        <v>24</v>
      </c>
      <c r="K159" t="s">
        <v>24</v>
      </c>
      <c r="L159">
        <v>4</v>
      </c>
      <c r="M159">
        <v>2</v>
      </c>
      <c r="N159" t="s">
        <v>1619</v>
      </c>
      <c r="O159" t="s">
        <v>1447</v>
      </c>
      <c r="P159" t="s">
        <v>1444</v>
      </c>
      <c r="Q159" t="s">
        <v>1547</v>
      </c>
      <c r="R159" t="s">
        <v>445</v>
      </c>
      <c r="S159" t="s">
        <v>1637</v>
      </c>
    </row>
    <row r="160" spans="1:19">
      <c r="A160" t="s">
        <v>4135</v>
      </c>
      <c r="B160" t="s">
        <v>3641</v>
      </c>
      <c r="C160" t="s">
        <v>3602</v>
      </c>
      <c r="D160">
        <v>8</v>
      </c>
      <c r="E160" t="s">
        <v>1476</v>
      </c>
      <c r="F160">
        <v>3</v>
      </c>
      <c r="G160">
        <v>1</v>
      </c>
      <c r="I160" t="s">
        <v>3238</v>
      </c>
      <c r="J160" t="s">
        <v>24</v>
      </c>
      <c r="K160" t="s">
        <v>24</v>
      </c>
      <c r="L160">
        <v>4</v>
      </c>
      <c r="M160">
        <v>1</v>
      </c>
      <c r="N160" t="s">
        <v>1607</v>
      </c>
      <c r="O160" t="s">
        <v>1447</v>
      </c>
      <c r="P160" t="s">
        <v>1452</v>
      </c>
      <c r="Q160" t="s">
        <v>1443</v>
      </c>
      <c r="R160" t="s">
        <v>3642</v>
      </c>
      <c r="S160" t="s">
        <v>3643</v>
      </c>
    </row>
    <row r="161" spans="1:19">
      <c r="A161" t="s">
        <v>4094</v>
      </c>
      <c r="B161" t="s">
        <v>390</v>
      </c>
      <c r="C161" t="s">
        <v>3607</v>
      </c>
      <c r="D161" t="s">
        <v>391</v>
      </c>
      <c r="E161" t="s">
        <v>1612</v>
      </c>
      <c r="F161" t="s">
        <v>1511</v>
      </c>
      <c r="H161" t="s">
        <v>3637</v>
      </c>
      <c r="I161" t="s">
        <v>3238</v>
      </c>
      <c r="J161" t="s">
        <v>24</v>
      </c>
      <c r="K161" t="s">
        <v>24</v>
      </c>
      <c r="L161">
        <v>5</v>
      </c>
      <c r="M161">
        <v>1</v>
      </c>
      <c r="N161" t="s">
        <v>1613</v>
      </c>
      <c r="O161" t="s">
        <v>1513</v>
      </c>
      <c r="P161" t="s">
        <v>1444</v>
      </c>
      <c r="Q161" t="s">
        <v>1443</v>
      </c>
      <c r="R161" t="s">
        <v>388</v>
      </c>
      <c r="S161" t="s">
        <v>1614</v>
      </c>
    </row>
    <row r="162" spans="1:19">
      <c r="A162" t="s">
        <v>4099</v>
      </c>
      <c r="B162" t="s">
        <v>436</v>
      </c>
      <c r="C162" t="s">
        <v>3607</v>
      </c>
      <c r="D162">
        <v>276</v>
      </c>
      <c r="E162" t="s">
        <v>1622</v>
      </c>
      <c r="F162">
        <v>3</v>
      </c>
      <c r="G162">
        <v>1</v>
      </c>
      <c r="H162" t="s">
        <v>2420</v>
      </c>
      <c r="I162" t="s">
        <v>3238</v>
      </c>
      <c r="J162" t="s">
        <v>24</v>
      </c>
      <c r="K162" t="s">
        <v>24</v>
      </c>
      <c r="L162">
        <v>5</v>
      </c>
      <c r="M162">
        <v>2</v>
      </c>
      <c r="N162" t="s">
        <v>1623</v>
      </c>
      <c r="O162" t="s">
        <v>1447</v>
      </c>
      <c r="P162" t="s">
        <v>1624</v>
      </c>
      <c r="Q162" t="s">
        <v>1443</v>
      </c>
      <c r="R162" t="s">
        <v>429</v>
      </c>
      <c r="S162" t="s">
        <v>1625</v>
      </c>
    </row>
    <row r="163" spans="1:19">
      <c r="A163" t="s">
        <v>4103</v>
      </c>
      <c r="B163" t="s">
        <v>380</v>
      </c>
      <c r="C163" t="s">
        <v>3607</v>
      </c>
      <c r="D163">
        <v>277</v>
      </c>
      <c r="E163" t="s">
        <v>1632</v>
      </c>
      <c r="F163">
        <v>5</v>
      </c>
      <c r="H163" t="s">
        <v>2420</v>
      </c>
      <c r="I163" t="s">
        <v>3238</v>
      </c>
      <c r="J163" t="s">
        <v>24</v>
      </c>
      <c r="K163" t="s">
        <v>24</v>
      </c>
      <c r="L163">
        <v>5</v>
      </c>
      <c r="M163">
        <v>2</v>
      </c>
      <c r="N163" t="s">
        <v>1623</v>
      </c>
      <c r="O163" t="s">
        <v>1447</v>
      </c>
      <c r="P163" t="s">
        <v>1633</v>
      </c>
      <c r="Q163" t="s">
        <v>1443</v>
      </c>
      <c r="R163" t="s">
        <v>447</v>
      </c>
      <c r="S163" t="s">
        <v>1634</v>
      </c>
    </row>
    <row r="164" spans="1:19">
      <c r="A164" t="s">
        <v>4107</v>
      </c>
      <c r="B164" t="s">
        <v>406</v>
      </c>
      <c r="C164" t="s">
        <v>3607</v>
      </c>
      <c r="D164" t="s">
        <v>407</v>
      </c>
      <c r="E164" t="s">
        <v>1467</v>
      </c>
      <c r="F164">
        <v>5</v>
      </c>
      <c r="G164">
        <v>1</v>
      </c>
      <c r="I164" t="s">
        <v>3238</v>
      </c>
      <c r="J164" t="s">
        <v>24</v>
      </c>
      <c r="K164" t="s">
        <v>24</v>
      </c>
      <c r="L164">
        <v>5</v>
      </c>
      <c r="M164">
        <v>2</v>
      </c>
      <c r="N164" t="s">
        <v>1623</v>
      </c>
      <c r="O164" t="s">
        <v>1457</v>
      </c>
      <c r="P164" t="s">
        <v>1452</v>
      </c>
      <c r="Q164" t="s">
        <v>1443</v>
      </c>
      <c r="R164" t="s">
        <v>394</v>
      </c>
      <c r="S164" t="s">
        <v>1638</v>
      </c>
    </row>
    <row r="165" spans="1:19">
      <c r="A165" t="s">
        <v>4108</v>
      </c>
      <c r="B165" t="s">
        <v>422</v>
      </c>
      <c r="C165" t="s">
        <v>3607</v>
      </c>
      <c r="D165" t="s">
        <v>407</v>
      </c>
      <c r="E165" t="s">
        <v>1511</v>
      </c>
      <c r="F165" t="s">
        <v>1511</v>
      </c>
      <c r="I165" t="s">
        <v>3238</v>
      </c>
      <c r="J165" t="s">
        <v>24</v>
      </c>
      <c r="K165" t="s">
        <v>24</v>
      </c>
      <c r="L165">
        <v>5</v>
      </c>
      <c r="M165">
        <v>2</v>
      </c>
      <c r="N165" t="s">
        <v>1623</v>
      </c>
      <c r="O165" t="s">
        <v>1513</v>
      </c>
      <c r="P165" t="s">
        <v>1444</v>
      </c>
      <c r="Q165" t="s">
        <v>1513</v>
      </c>
      <c r="R165" t="s">
        <v>394</v>
      </c>
      <c r="S165" t="s">
        <v>1639</v>
      </c>
    </row>
    <row r="166" spans="1:19">
      <c r="A166" t="s">
        <v>4109</v>
      </c>
      <c r="B166" t="s">
        <v>389</v>
      </c>
      <c r="C166" t="s">
        <v>3607</v>
      </c>
      <c r="D166">
        <v>278</v>
      </c>
      <c r="E166" t="s">
        <v>1511</v>
      </c>
      <c r="F166" t="s">
        <v>1511</v>
      </c>
      <c r="I166" t="s">
        <v>3238</v>
      </c>
      <c r="J166" t="s">
        <v>24</v>
      </c>
      <c r="K166" t="s">
        <v>24</v>
      </c>
      <c r="L166">
        <v>5</v>
      </c>
      <c r="M166">
        <v>3</v>
      </c>
      <c r="N166" t="s">
        <v>1640</v>
      </c>
      <c r="O166" t="s">
        <v>1447</v>
      </c>
      <c r="P166" t="s">
        <v>1444</v>
      </c>
      <c r="Q166" t="s">
        <v>1443</v>
      </c>
      <c r="R166" t="s">
        <v>429</v>
      </c>
      <c r="S166" t="s">
        <v>1641</v>
      </c>
    </row>
    <row r="167" spans="1:19">
      <c r="A167" t="s">
        <v>4110</v>
      </c>
      <c r="B167" t="s">
        <v>417</v>
      </c>
      <c r="C167" t="s">
        <v>3607</v>
      </c>
      <c r="D167" t="s">
        <v>418</v>
      </c>
      <c r="E167" t="s">
        <v>1642</v>
      </c>
      <c r="F167">
        <v>5</v>
      </c>
      <c r="G167">
        <v>1</v>
      </c>
      <c r="H167" t="s">
        <v>3630</v>
      </c>
      <c r="I167" t="s">
        <v>3238</v>
      </c>
      <c r="J167" t="s">
        <v>24</v>
      </c>
      <c r="K167" t="s">
        <v>24</v>
      </c>
      <c r="L167">
        <v>5</v>
      </c>
      <c r="M167">
        <v>3</v>
      </c>
      <c r="N167" t="s">
        <v>1640</v>
      </c>
      <c r="O167" t="s">
        <v>1457</v>
      </c>
      <c r="P167" t="s">
        <v>1454</v>
      </c>
      <c r="Q167" t="s">
        <v>1443</v>
      </c>
      <c r="R167" t="s">
        <v>424</v>
      </c>
      <c r="S167" t="s">
        <v>1643</v>
      </c>
    </row>
    <row r="168" spans="1:19">
      <c r="A168" t="s">
        <v>4111</v>
      </c>
      <c r="B168" t="s">
        <v>385</v>
      </c>
      <c r="C168" t="s">
        <v>3607</v>
      </c>
      <c r="D168">
        <v>279</v>
      </c>
      <c r="E168" t="s">
        <v>1541</v>
      </c>
      <c r="F168">
        <v>5</v>
      </c>
      <c r="I168" t="s">
        <v>3238</v>
      </c>
      <c r="J168" t="s">
        <v>24</v>
      </c>
      <c r="K168" t="s">
        <v>24</v>
      </c>
      <c r="L168">
        <v>5</v>
      </c>
      <c r="M168">
        <v>3</v>
      </c>
      <c r="N168" t="s">
        <v>1640</v>
      </c>
      <c r="O168" t="s">
        <v>1447</v>
      </c>
      <c r="P168" t="s">
        <v>1444</v>
      </c>
      <c r="Q168" t="s">
        <v>1443</v>
      </c>
      <c r="R168" t="s">
        <v>417</v>
      </c>
      <c r="S168" t="s">
        <v>1644</v>
      </c>
    </row>
    <row r="169" spans="1:19">
      <c r="A169" t="s">
        <v>4112</v>
      </c>
      <c r="B169" t="s">
        <v>375</v>
      </c>
      <c r="C169" t="s">
        <v>3607</v>
      </c>
      <c r="D169" t="s">
        <v>376</v>
      </c>
      <c r="E169" t="s">
        <v>1554</v>
      </c>
      <c r="F169">
        <v>4</v>
      </c>
      <c r="I169" t="s">
        <v>3238</v>
      </c>
      <c r="J169" t="s">
        <v>24</v>
      </c>
      <c r="K169" t="s">
        <v>24</v>
      </c>
      <c r="L169">
        <v>5</v>
      </c>
      <c r="M169">
        <v>3</v>
      </c>
      <c r="N169" t="s">
        <v>1640</v>
      </c>
      <c r="O169" t="s">
        <v>1441</v>
      </c>
      <c r="P169" t="s">
        <v>1463</v>
      </c>
      <c r="Q169" t="s">
        <v>1443</v>
      </c>
      <c r="R169" t="s">
        <v>381</v>
      </c>
      <c r="S169" t="s">
        <v>1645</v>
      </c>
    </row>
    <row r="170" spans="1:19">
      <c r="A170" t="s">
        <v>4113</v>
      </c>
      <c r="B170" t="s">
        <v>414</v>
      </c>
      <c r="C170" t="s">
        <v>3607</v>
      </c>
      <c r="D170">
        <v>279</v>
      </c>
      <c r="E170" t="s">
        <v>1511</v>
      </c>
      <c r="F170" t="s">
        <v>1511</v>
      </c>
      <c r="I170" t="s">
        <v>3238</v>
      </c>
      <c r="J170" t="s">
        <v>24</v>
      </c>
      <c r="K170" t="s">
        <v>24</v>
      </c>
      <c r="L170">
        <v>5</v>
      </c>
      <c r="M170">
        <v>3</v>
      </c>
      <c r="N170" t="s">
        <v>1640</v>
      </c>
      <c r="O170" t="s">
        <v>1513</v>
      </c>
      <c r="P170" t="s">
        <v>1444</v>
      </c>
      <c r="Q170" t="s">
        <v>1513</v>
      </c>
      <c r="R170" t="s">
        <v>405</v>
      </c>
      <c r="S170" t="s">
        <v>1646</v>
      </c>
    </row>
    <row r="171" spans="1:19">
      <c r="A171" t="s">
        <v>4114</v>
      </c>
      <c r="B171" t="s">
        <v>399</v>
      </c>
      <c r="C171" t="s">
        <v>3607</v>
      </c>
      <c r="D171" t="s">
        <v>400</v>
      </c>
      <c r="E171" t="s">
        <v>1439</v>
      </c>
      <c r="F171">
        <v>1</v>
      </c>
      <c r="I171" t="s">
        <v>3238</v>
      </c>
      <c r="J171" t="s">
        <v>24</v>
      </c>
      <c r="K171" t="s">
        <v>24</v>
      </c>
      <c r="L171">
        <v>5</v>
      </c>
      <c r="M171">
        <v>3</v>
      </c>
      <c r="N171" t="s">
        <v>1640</v>
      </c>
      <c r="O171" t="s">
        <v>1441</v>
      </c>
      <c r="P171" t="s">
        <v>1444</v>
      </c>
      <c r="Q171" t="s">
        <v>1443</v>
      </c>
      <c r="R171" t="s">
        <v>414</v>
      </c>
      <c r="S171" t="s">
        <v>1647</v>
      </c>
    </row>
    <row r="172" spans="1:19">
      <c r="A172" t="s">
        <v>4115</v>
      </c>
      <c r="B172" t="s">
        <v>431</v>
      </c>
      <c r="C172" t="s">
        <v>3607</v>
      </c>
      <c r="D172" t="s">
        <v>432</v>
      </c>
      <c r="E172" t="s">
        <v>1648</v>
      </c>
      <c r="F172" t="s">
        <v>3639</v>
      </c>
      <c r="I172" t="s">
        <v>3238</v>
      </c>
      <c r="J172" t="s">
        <v>24</v>
      </c>
      <c r="K172" t="s">
        <v>24</v>
      </c>
      <c r="L172">
        <v>5</v>
      </c>
      <c r="M172">
        <v>3</v>
      </c>
      <c r="N172" t="s">
        <v>1640</v>
      </c>
      <c r="O172" t="s">
        <v>1441</v>
      </c>
      <c r="P172" t="s">
        <v>1444</v>
      </c>
      <c r="Q172" t="s">
        <v>1443</v>
      </c>
      <c r="R172" t="s">
        <v>420</v>
      </c>
      <c r="S172" t="s">
        <v>1649</v>
      </c>
    </row>
    <row r="173" spans="1:19">
      <c r="A173" t="s">
        <v>4116</v>
      </c>
      <c r="B173" t="s">
        <v>446</v>
      </c>
      <c r="C173" t="s">
        <v>3607</v>
      </c>
      <c r="D173">
        <v>280</v>
      </c>
      <c r="E173" t="s">
        <v>1554</v>
      </c>
      <c r="F173">
        <v>4</v>
      </c>
      <c r="I173" t="s">
        <v>3238</v>
      </c>
      <c r="J173" t="s">
        <v>24</v>
      </c>
      <c r="K173" t="s">
        <v>24</v>
      </c>
      <c r="L173">
        <v>5</v>
      </c>
      <c r="M173">
        <v>3</v>
      </c>
      <c r="N173" t="s">
        <v>1640</v>
      </c>
      <c r="O173" t="s">
        <v>1447</v>
      </c>
      <c r="P173" t="s">
        <v>1452</v>
      </c>
      <c r="Q173" t="s">
        <v>1443</v>
      </c>
      <c r="R173" t="s">
        <v>1650</v>
      </c>
      <c r="S173" t="s">
        <v>1651</v>
      </c>
    </row>
    <row r="174" spans="1:19">
      <c r="A174" t="s">
        <v>4117</v>
      </c>
      <c r="B174" t="s">
        <v>428</v>
      </c>
      <c r="C174" t="s">
        <v>3607</v>
      </c>
      <c r="D174">
        <v>280</v>
      </c>
      <c r="E174" t="s">
        <v>1465</v>
      </c>
      <c r="F174">
        <v>1</v>
      </c>
      <c r="G174">
        <v>1</v>
      </c>
      <c r="I174" t="s">
        <v>3238</v>
      </c>
      <c r="J174" t="s">
        <v>24</v>
      </c>
      <c r="K174" t="s">
        <v>24</v>
      </c>
      <c r="L174">
        <v>5</v>
      </c>
      <c r="M174">
        <v>3</v>
      </c>
      <c r="N174" t="s">
        <v>1640</v>
      </c>
      <c r="O174" t="s">
        <v>1447</v>
      </c>
      <c r="P174" t="s">
        <v>1444</v>
      </c>
      <c r="Q174" t="s">
        <v>1443</v>
      </c>
      <c r="R174" t="s">
        <v>383</v>
      </c>
      <c r="S174" t="s">
        <v>1652</v>
      </c>
    </row>
    <row r="175" spans="1:19">
      <c r="A175" t="s">
        <v>4118</v>
      </c>
      <c r="B175" t="s">
        <v>392</v>
      </c>
      <c r="C175" t="s">
        <v>3607</v>
      </c>
      <c r="D175" t="s">
        <v>393</v>
      </c>
      <c r="E175" t="s">
        <v>1450</v>
      </c>
      <c r="F175">
        <v>3</v>
      </c>
      <c r="I175" t="s">
        <v>3238</v>
      </c>
      <c r="J175" t="s">
        <v>24</v>
      </c>
      <c r="K175" t="s">
        <v>24</v>
      </c>
      <c r="L175">
        <v>5</v>
      </c>
      <c r="M175">
        <v>3</v>
      </c>
      <c r="N175" t="s">
        <v>1640</v>
      </c>
      <c r="O175" t="s">
        <v>1447</v>
      </c>
      <c r="P175" t="s">
        <v>1442</v>
      </c>
      <c r="Q175" t="s">
        <v>1443</v>
      </c>
      <c r="R175" t="s">
        <v>390</v>
      </c>
      <c r="S175" t="s">
        <v>1653</v>
      </c>
    </row>
    <row r="176" spans="1:19">
      <c r="A176" t="s">
        <v>4119</v>
      </c>
      <c r="B176" t="s">
        <v>440</v>
      </c>
      <c r="C176" t="s">
        <v>3607</v>
      </c>
      <c r="D176" t="s">
        <v>441</v>
      </c>
      <c r="E176" t="s">
        <v>1541</v>
      </c>
      <c r="F176">
        <v>5</v>
      </c>
      <c r="I176" t="s">
        <v>3238</v>
      </c>
      <c r="J176" t="s">
        <v>24</v>
      </c>
      <c r="K176" t="s">
        <v>24</v>
      </c>
      <c r="L176">
        <v>5</v>
      </c>
      <c r="M176">
        <v>3</v>
      </c>
      <c r="N176" t="s">
        <v>1640</v>
      </c>
      <c r="O176" t="s">
        <v>1441</v>
      </c>
      <c r="P176" t="s">
        <v>1463</v>
      </c>
      <c r="Q176" t="s">
        <v>1654</v>
      </c>
      <c r="R176" t="s">
        <v>392</v>
      </c>
      <c r="S176" t="s">
        <v>1655</v>
      </c>
    </row>
    <row r="177" spans="1:19">
      <c r="A177" t="s">
        <v>4120</v>
      </c>
      <c r="B177" t="s">
        <v>443</v>
      </c>
      <c r="C177" t="s">
        <v>3607</v>
      </c>
      <c r="D177" t="s">
        <v>444</v>
      </c>
      <c r="E177" t="s">
        <v>1543</v>
      </c>
      <c r="F177">
        <v>7</v>
      </c>
      <c r="G177">
        <v>1</v>
      </c>
      <c r="I177" t="s">
        <v>3238</v>
      </c>
      <c r="J177" t="s">
        <v>24</v>
      </c>
      <c r="K177" t="s">
        <v>24</v>
      </c>
      <c r="L177">
        <v>5</v>
      </c>
      <c r="M177">
        <v>3</v>
      </c>
      <c r="N177" t="s">
        <v>1640</v>
      </c>
      <c r="O177" t="s">
        <v>1457</v>
      </c>
      <c r="P177" t="s">
        <v>1454</v>
      </c>
      <c r="Q177" t="s">
        <v>1443</v>
      </c>
      <c r="R177" t="s">
        <v>440</v>
      </c>
      <c r="S177" t="s">
        <v>1656</v>
      </c>
    </row>
    <row r="178" spans="1:19">
      <c r="A178" t="s">
        <v>4121</v>
      </c>
      <c r="B178" t="s">
        <v>433</v>
      </c>
      <c r="C178" t="s">
        <v>3607</v>
      </c>
      <c r="D178">
        <v>281</v>
      </c>
      <c r="E178" t="s">
        <v>1479</v>
      </c>
      <c r="F178">
        <v>6</v>
      </c>
      <c r="G178">
        <v>1</v>
      </c>
      <c r="I178" t="s">
        <v>3238</v>
      </c>
      <c r="J178" t="s">
        <v>24</v>
      </c>
      <c r="K178" t="s">
        <v>24</v>
      </c>
      <c r="L178">
        <v>5</v>
      </c>
      <c r="M178">
        <v>3</v>
      </c>
      <c r="N178" t="s">
        <v>1640</v>
      </c>
      <c r="O178" t="s">
        <v>1447</v>
      </c>
      <c r="P178" t="s">
        <v>1454</v>
      </c>
      <c r="Q178" t="s">
        <v>1443</v>
      </c>
      <c r="R178" t="s">
        <v>386</v>
      </c>
      <c r="S178" t="s">
        <v>1657</v>
      </c>
    </row>
    <row r="179" spans="1:19">
      <c r="A179" t="s">
        <v>4122</v>
      </c>
      <c r="B179" t="s">
        <v>419</v>
      </c>
      <c r="C179" t="s">
        <v>3607</v>
      </c>
      <c r="D179">
        <v>281</v>
      </c>
      <c r="E179" t="s">
        <v>1465</v>
      </c>
      <c r="F179">
        <v>1</v>
      </c>
      <c r="G179">
        <v>1</v>
      </c>
      <c r="I179" t="s">
        <v>3238</v>
      </c>
      <c r="J179" t="s">
        <v>24</v>
      </c>
      <c r="K179" t="s">
        <v>24</v>
      </c>
      <c r="L179">
        <v>5</v>
      </c>
      <c r="M179">
        <v>3</v>
      </c>
      <c r="N179" t="s">
        <v>1640</v>
      </c>
      <c r="O179" t="s">
        <v>1447</v>
      </c>
      <c r="P179" t="s">
        <v>1444</v>
      </c>
      <c r="Q179" t="s">
        <v>1443</v>
      </c>
      <c r="R179" t="s">
        <v>1658</v>
      </c>
      <c r="S179" t="s">
        <v>1659</v>
      </c>
    </row>
    <row r="180" spans="1:19">
      <c r="A180" t="s">
        <v>4123</v>
      </c>
      <c r="B180" t="s">
        <v>403</v>
      </c>
      <c r="C180" t="s">
        <v>3607</v>
      </c>
      <c r="D180" t="s">
        <v>404</v>
      </c>
      <c r="E180" t="s">
        <v>1511</v>
      </c>
      <c r="F180" t="s">
        <v>1511</v>
      </c>
      <c r="I180" t="s">
        <v>3238</v>
      </c>
      <c r="J180" t="s">
        <v>24</v>
      </c>
      <c r="K180" t="s">
        <v>24</v>
      </c>
      <c r="L180">
        <v>5</v>
      </c>
      <c r="M180">
        <v>3</v>
      </c>
      <c r="N180" t="s">
        <v>1640</v>
      </c>
      <c r="O180" t="s">
        <v>1513</v>
      </c>
      <c r="P180" t="s">
        <v>1444</v>
      </c>
      <c r="Q180" t="s">
        <v>1513</v>
      </c>
      <c r="R180" t="s">
        <v>406</v>
      </c>
      <c r="S180" t="s">
        <v>1660</v>
      </c>
    </row>
    <row r="181" spans="1:19">
      <c r="A181" t="s">
        <v>4124</v>
      </c>
      <c r="B181" t="s">
        <v>437</v>
      </c>
      <c r="C181" t="s">
        <v>3607</v>
      </c>
      <c r="D181" t="s">
        <v>404</v>
      </c>
      <c r="E181" t="s">
        <v>1460</v>
      </c>
      <c r="F181">
        <v>2</v>
      </c>
      <c r="I181" t="s">
        <v>3238</v>
      </c>
      <c r="J181" t="s">
        <v>24</v>
      </c>
      <c r="K181" t="s">
        <v>24</v>
      </c>
      <c r="L181">
        <v>5</v>
      </c>
      <c r="M181">
        <v>3</v>
      </c>
      <c r="N181" t="s">
        <v>1640</v>
      </c>
      <c r="O181" t="s">
        <v>1447</v>
      </c>
      <c r="P181" t="s">
        <v>1444</v>
      </c>
      <c r="Q181" t="s">
        <v>1443</v>
      </c>
      <c r="R181" t="s">
        <v>422</v>
      </c>
      <c r="S181" t="s">
        <v>1661</v>
      </c>
    </row>
    <row r="182" spans="1:19">
      <c r="A182" t="s">
        <v>4125</v>
      </c>
      <c r="B182" t="s">
        <v>438</v>
      </c>
      <c r="C182" t="s">
        <v>3607</v>
      </c>
      <c r="D182">
        <v>282</v>
      </c>
      <c r="E182" t="s">
        <v>1554</v>
      </c>
      <c r="F182">
        <v>4</v>
      </c>
      <c r="I182" t="s">
        <v>3238</v>
      </c>
      <c r="J182" t="s">
        <v>24</v>
      </c>
      <c r="K182" t="s">
        <v>24</v>
      </c>
      <c r="L182">
        <v>5</v>
      </c>
      <c r="M182">
        <v>3</v>
      </c>
      <c r="N182" t="s">
        <v>1640</v>
      </c>
      <c r="O182" t="s">
        <v>1447</v>
      </c>
      <c r="P182" t="s">
        <v>1444</v>
      </c>
      <c r="Q182" t="s">
        <v>1547</v>
      </c>
      <c r="R182" t="s">
        <v>437</v>
      </c>
      <c r="S182" t="s">
        <v>1662</v>
      </c>
    </row>
    <row r="183" spans="1:19">
      <c r="A183" t="s">
        <v>4126</v>
      </c>
      <c r="B183" t="s">
        <v>412</v>
      </c>
      <c r="C183" t="s">
        <v>3607</v>
      </c>
      <c r="D183" t="s">
        <v>413</v>
      </c>
      <c r="E183" t="s">
        <v>1486</v>
      </c>
      <c r="F183">
        <v>3</v>
      </c>
      <c r="G183" t="s">
        <v>2434</v>
      </c>
      <c r="I183" t="s">
        <v>3238</v>
      </c>
      <c r="J183" t="s">
        <v>24</v>
      </c>
      <c r="K183" t="s">
        <v>24</v>
      </c>
      <c r="L183">
        <v>5</v>
      </c>
      <c r="M183">
        <v>3</v>
      </c>
      <c r="N183" t="s">
        <v>1640</v>
      </c>
      <c r="O183" t="s">
        <v>1457</v>
      </c>
      <c r="P183" t="s">
        <v>1444</v>
      </c>
      <c r="Q183" t="s">
        <v>1443</v>
      </c>
      <c r="R183" t="s">
        <v>438</v>
      </c>
      <c r="S183" t="s">
        <v>1663</v>
      </c>
    </row>
    <row r="184" spans="1:19">
      <c r="A184" t="s">
        <v>4127</v>
      </c>
      <c r="B184" t="s">
        <v>411</v>
      </c>
      <c r="C184" t="s">
        <v>3607</v>
      </c>
      <c r="D184">
        <v>281</v>
      </c>
      <c r="E184" t="s">
        <v>1664</v>
      </c>
      <c r="F184">
        <v>10</v>
      </c>
      <c r="G184">
        <v>1</v>
      </c>
      <c r="H184" t="s">
        <v>3603</v>
      </c>
      <c r="I184" t="s">
        <v>3238</v>
      </c>
      <c r="J184" t="s">
        <v>24</v>
      </c>
      <c r="K184" t="s">
        <v>24</v>
      </c>
      <c r="L184">
        <v>5</v>
      </c>
      <c r="M184">
        <v>4</v>
      </c>
      <c r="N184" t="s">
        <v>1665</v>
      </c>
      <c r="O184" t="s">
        <v>1457</v>
      </c>
      <c r="P184" t="s">
        <v>1454</v>
      </c>
      <c r="Q184" t="s">
        <v>1443</v>
      </c>
      <c r="R184" t="s">
        <v>375</v>
      </c>
      <c r="S184" s="18" t="s">
        <v>1666</v>
      </c>
    </row>
    <row r="185" spans="1:19">
      <c r="A185" t="s">
        <v>4128</v>
      </c>
      <c r="B185" t="s">
        <v>423</v>
      </c>
      <c r="C185" t="s">
        <v>3607</v>
      </c>
      <c r="D185" t="s">
        <v>413</v>
      </c>
      <c r="E185" t="s">
        <v>1667</v>
      </c>
      <c r="F185" t="s">
        <v>3640</v>
      </c>
      <c r="H185" t="s">
        <v>3603</v>
      </c>
      <c r="I185" t="s">
        <v>3238</v>
      </c>
      <c r="J185" t="s">
        <v>24</v>
      </c>
      <c r="K185" t="s">
        <v>24</v>
      </c>
      <c r="L185">
        <v>5</v>
      </c>
      <c r="M185">
        <v>4</v>
      </c>
      <c r="N185" t="s">
        <v>1665</v>
      </c>
      <c r="O185" t="s">
        <v>1457</v>
      </c>
      <c r="P185" t="s">
        <v>1452</v>
      </c>
      <c r="Q185" t="s">
        <v>1473</v>
      </c>
      <c r="R185" t="s">
        <v>1668</v>
      </c>
      <c r="S185" t="s">
        <v>1669</v>
      </c>
    </row>
    <row r="186" spans="1:19">
      <c r="A186" t="s">
        <v>4129</v>
      </c>
      <c r="B186" t="s">
        <v>426</v>
      </c>
      <c r="C186" t="s">
        <v>3607</v>
      </c>
      <c r="D186">
        <v>282</v>
      </c>
      <c r="E186" t="s">
        <v>1456</v>
      </c>
      <c r="F186">
        <v>4</v>
      </c>
      <c r="G186">
        <v>1</v>
      </c>
      <c r="I186" t="s">
        <v>3238</v>
      </c>
      <c r="J186" t="s">
        <v>24</v>
      </c>
      <c r="K186" t="s">
        <v>24</v>
      </c>
      <c r="L186">
        <v>5</v>
      </c>
      <c r="M186">
        <v>4</v>
      </c>
      <c r="N186" t="s">
        <v>1665</v>
      </c>
      <c r="O186" t="s">
        <v>1447</v>
      </c>
      <c r="P186" t="s">
        <v>1444</v>
      </c>
      <c r="Q186" t="s">
        <v>1443</v>
      </c>
      <c r="R186" t="s">
        <v>440</v>
      </c>
      <c r="S186" t="s">
        <v>1670</v>
      </c>
    </row>
    <row r="187" spans="1:19">
      <c r="A187" t="s">
        <v>4130</v>
      </c>
      <c r="B187" t="s">
        <v>427</v>
      </c>
      <c r="C187" t="s">
        <v>3607</v>
      </c>
      <c r="D187" t="s">
        <v>413</v>
      </c>
      <c r="E187" t="s">
        <v>1671</v>
      </c>
      <c r="F187">
        <v>7</v>
      </c>
      <c r="G187">
        <v>1</v>
      </c>
      <c r="I187" t="s">
        <v>3238</v>
      </c>
      <c r="J187" t="s">
        <v>24</v>
      </c>
      <c r="K187" t="s">
        <v>24</v>
      </c>
      <c r="L187">
        <v>5</v>
      </c>
      <c r="M187">
        <v>4</v>
      </c>
      <c r="N187" t="s">
        <v>1665</v>
      </c>
      <c r="O187" t="s">
        <v>1457</v>
      </c>
      <c r="P187" t="s">
        <v>1480</v>
      </c>
      <c r="Q187" t="s">
        <v>1443</v>
      </c>
      <c r="R187" t="s">
        <v>403</v>
      </c>
      <c r="S187" t="s">
        <v>1672</v>
      </c>
    </row>
    <row r="188" spans="1:19">
      <c r="A188" t="s">
        <v>4131</v>
      </c>
      <c r="B188" t="s">
        <v>439</v>
      </c>
      <c r="C188" t="s">
        <v>3607</v>
      </c>
      <c r="D188">
        <v>283</v>
      </c>
      <c r="E188" t="s">
        <v>1511</v>
      </c>
      <c r="F188" t="s">
        <v>1511</v>
      </c>
      <c r="I188" t="s">
        <v>3238</v>
      </c>
      <c r="J188" t="s">
        <v>24</v>
      </c>
      <c r="K188" t="s">
        <v>24</v>
      </c>
      <c r="L188">
        <v>5</v>
      </c>
      <c r="M188">
        <v>4</v>
      </c>
      <c r="N188" t="s">
        <v>1665</v>
      </c>
      <c r="O188" t="s">
        <v>1447</v>
      </c>
      <c r="P188" t="s">
        <v>1444</v>
      </c>
      <c r="Q188" t="s">
        <v>1443</v>
      </c>
      <c r="R188" t="s">
        <v>412</v>
      </c>
      <c r="S188" t="s">
        <v>1673</v>
      </c>
    </row>
    <row r="189" spans="1:19">
      <c r="A189" t="s">
        <v>4132</v>
      </c>
      <c r="B189" t="s">
        <v>377</v>
      </c>
      <c r="C189" t="s">
        <v>3607</v>
      </c>
      <c r="D189" t="s">
        <v>378</v>
      </c>
      <c r="E189" t="s">
        <v>1486</v>
      </c>
      <c r="F189">
        <v>3</v>
      </c>
      <c r="H189" t="s">
        <v>2434</v>
      </c>
      <c r="I189" t="s">
        <v>3238</v>
      </c>
      <c r="J189" t="s">
        <v>24</v>
      </c>
      <c r="K189" t="s">
        <v>24</v>
      </c>
      <c r="L189">
        <v>5</v>
      </c>
      <c r="M189">
        <v>5</v>
      </c>
      <c r="N189" t="s">
        <v>1674</v>
      </c>
      <c r="O189" t="s">
        <v>1457</v>
      </c>
      <c r="P189" t="s">
        <v>1452</v>
      </c>
      <c r="Q189" t="s">
        <v>1443</v>
      </c>
      <c r="R189" t="s">
        <v>399</v>
      </c>
      <c r="S189" t="s">
        <v>1675</v>
      </c>
    </row>
    <row r="190" spans="1:19">
      <c r="A190" t="s">
        <v>4133</v>
      </c>
      <c r="B190" t="s">
        <v>408</v>
      </c>
      <c r="C190" t="s">
        <v>3607</v>
      </c>
      <c r="D190">
        <v>283</v>
      </c>
      <c r="E190" t="s">
        <v>1511</v>
      </c>
      <c r="F190" t="s">
        <v>1511</v>
      </c>
      <c r="I190" t="s">
        <v>3238</v>
      </c>
      <c r="J190" t="s">
        <v>24</v>
      </c>
      <c r="K190" t="s">
        <v>24</v>
      </c>
      <c r="L190">
        <v>5</v>
      </c>
      <c r="M190">
        <v>5</v>
      </c>
      <c r="N190" t="s">
        <v>1674</v>
      </c>
      <c r="O190" t="s">
        <v>1447</v>
      </c>
      <c r="P190" t="s">
        <v>1452</v>
      </c>
      <c r="Q190" t="s">
        <v>1443</v>
      </c>
      <c r="R190" t="s">
        <v>427</v>
      </c>
      <c r="S190" t="s">
        <v>1676</v>
      </c>
    </row>
    <row r="191" spans="1:19">
      <c r="A191" t="s">
        <v>4134</v>
      </c>
      <c r="B191" t="s">
        <v>379</v>
      </c>
      <c r="C191" t="s">
        <v>3607</v>
      </c>
      <c r="D191">
        <v>283</v>
      </c>
      <c r="E191" t="s">
        <v>1677</v>
      </c>
      <c r="F191">
        <v>15</v>
      </c>
      <c r="G191">
        <v>1</v>
      </c>
      <c r="H191" t="s">
        <v>3603</v>
      </c>
      <c r="I191" t="s">
        <v>3238</v>
      </c>
      <c r="J191" t="s">
        <v>24</v>
      </c>
      <c r="K191" t="s">
        <v>24</v>
      </c>
      <c r="L191">
        <v>5</v>
      </c>
      <c r="M191">
        <v>5</v>
      </c>
      <c r="N191" t="s">
        <v>1674</v>
      </c>
      <c r="O191" t="s">
        <v>1447</v>
      </c>
      <c r="P191" t="s">
        <v>1444</v>
      </c>
      <c r="Q191" t="s">
        <v>1473</v>
      </c>
      <c r="R191" t="s">
        <v>439</v>
      </c>
      <c r="S191" t="s">
        <v>3521</v>
      </c>
    </row>
    <row r="192" spans="1:19">
      <c r="A192" t="s">
        <v>4136</v>
      </c>
      <c r="B192" t="s">
        <v>3644</v>
      </c>
      <c r="C192" t="s">
        <v>3602</v>
      </c>
      <c r="D192">
        <v>8</v>
      </c>
      <c r="E192" t="s">
        <v>3645</v>
      </c>
      <c r="F192" t="s">
        <v>3603</v>
      </c>
      <c r="G192">
        <v>1</v>
      </c>
      <c r="I192" t="s">
        <v>3238</v>
      </c>
      <c r="J192" t="s">
        <v>24</v>
      </c>
      <c r="K192" t="s">
        <v>24</v>
      </c>
      <c r="L192">
        <v>5</v>
      </c>
      <c r="M192">
        <v>5</v>
      </c>
      <c r="N192" t="s">
        <v>1674</v>
      </c>
      <c r="O192" t="s">
        <v>1457</v>
      </c>
      <c r="P192" t="s">
        <v>1452</v>
      </c>
      <c r="Q192" t="s">
        <v>1443</v>
      </c>
      <c r="R192" t="s">
        <v>379</v>
      </c>
      <c r="S192" t="s">
        <v>3646</v>
      </c>
    </row>
    <row r="193" spans="1:19">
      <c r="A193" t="s">
        <v>4137</v>
      </c>
      <c r="B193" t="s">
        <v>3647</v>
      </c>
      <c r="C193" t="s">
        <v>3602</v>
      </c>
      <c r="D193">
        <v>9</v>
      </c>
      <c r="E193" t="s">
        <v>2090</v>
      </c>
      <c r="F193">
        <v>15</v>
      </c>
      <c r="G193">
        <v>1</v>
      </c>
      <c r="I193" t="s">
        <v>3238</v>
      </c>
      <c r="J193" t="s">
        <v>24</v>
      </c>
      <c r="K193" t="s">
        <v>24</v>
      </c>
      <c r="L193">
        <v>5</v>
      </c>
      <c r="M193">
        <v>5</v>
      </c>
      <c r="N193" t="s">
        <v>1674</v>
      </c>
      <c r="O193" t="s">
        <v>1457</v>
      </c>
      <c r="P193" t="s">
        <v>1452</v>
      </c>
      <c r="Q193" t="s">
        <v>1443</v>
      </c>
      <c r="R193" t="s">
        <v>3644</v>
      </c>
      <c r="S193" t="s">
        <v>3648</v>
      </c>
    </row>
    <row r="194" spans="1:19">
      <c r="A194" t="s">
        <v>6777</v>
      </c>
      <c r="B194" t="s">
        <v>5174</v>
      </c>
      <c r="C194" t="s">
        <v>3968</v>
      </c>
      <c r="D194">
        <v>176</v>
      </c>
      <c r="E194" t="s">
        <v>5175</v>
      </c>
      <c r="F194">
        <v>1</v>
      </c>
      <c r="I194" t="s">
        <v>3560</v>
      </c>
      <c r="J194" t="s">
        <v>24</v>
      </c>
      <c r="K194" t="s">
        <v>24</v>
      </c>
      <c r="L194">
        <v>1</v>
      </c>
      <c r="M194">
        <v>1</v>
      </c>
      <c r="N194" t="s">
        <v>1602</v>
      </c>
      <c r="O194" t="s">
        <v>5176</v>
      </c>
      <c r="P194" t="s">
        <v>5177</v>
      </c>
      <c r="Q194" t="s">
        <v>1443</v>
      </c>
      <c r="R194" t="s">
        <v>1444</v>
      </c>
      <c r="S194" t="s">
        <v>5178</v>
      </c>
    </row>
    <row r="195" spans="1:19">
      <c r="A195" t="s">
        <v>6778</v>
      </c>
      <c r="B195" t="s">
        <v>5179</v>
      </c>
      <c r="C195" t="s">
        <v>3968</v>
      </c>
      <c r="D195">
        <v>176</v>
      </c>
      <c r="E195" t="s">
        <v>1460</v>
      </c>
      <c r="F195">
        <v>2</v>
      </c>
      <c r="I195" t="s">
        <v>3560</v>
      </c>
      <c r="J195" t="s">
        <v>24</v>
      </c>
      <c r="K195" t="s">
        <v>24</v>
      </c>
      <c r="L195">
        <v>2</v>
      </c>
      <c r="M195">
        <v>1</v>
      </c>
      <c r="N195" t="s">
        <v>5180</v>
      </c>
      <c r="O195" t="s">
        <v>1441</v>
      </c>
      <c r="P195" t="s">
        <v>5181</v>
      </c>
      <c r="Q195" t="s">
        <v>1443</v>
      </c>
      <c r="R195" t="s">
        <v>1444</v>
      </c>
      <c r="S195" t="s">
        <v>5182</v>
      </c>
    </row>
    <row r="196" spans="1:19">
      <c r="A196" t="s">
        <v>6779</v>
      </c>
      <c r="B196" t="s">
        <v>5183</v>
      </c>
      <c r="C196" t="s">
        <v>3968</v>
      </c>
      <c r="D196">
        <v>176</v>
      </c>
      <c r="E196" t="s">
        <v>1450</v>
      </c>
      <c r="F196">
        <v>3</v>
      </c>
      <c r="I196" t="s">
        <v>3560</v>
      </c>
      <c r="J196" t="s">
        <v>24</v>
      </c>
      <c r="K196" t="s">
        <v>24</v>
      </c>
      <c r="L196">
        <v>2</v>
      </c>
      <c r="M196">
        <v>1</v>
      </c>
      <c r="N196" t="s">
        <v>5180</v>
      </c>
      <c r="O196" t="s">
        <v>1457</v>
      </c>
      <c r="P196" t="s">
        <v>5184</v>
      </c>
      <c r="Q196" t="s">
        <v>1443</v>
      </c>
      <c r="R196" t="s">
        <v>1444</v>
      </c>
      <c r="S196" t="s">
        <v>5185</v>
      </c>
    </row>
    <row r="197" spans="1:19">
      <c r="A197" t="s">
        <v>6780</v>
      </c>
      <c r="B197" t="s">
        <v>5186</v>
      </c>
      <c r="C197" t="s">
        <v>3968</v>
      </c>
      <c r="D197">
        <v>176</v>
      </c>
      <c r="E197" t="s">
        <v>1541</v>
      </c>
      <c r="F197">
        <v>5</v>
      </c>
      <c r="I197" t="s">
        <v>3560</v>
      </c>
      <c r="J197" t="s">
        <v>24</v>
      </c>
      <c r="K197" t="s">
        <v>24</v>
      </c>
      <c r="L197">
        <v>3</v>
      </c>
      <c r="M197">
        <v>1</v>
      </c>
      <c r="N197" t="s">
        <v>1604</v>
      </c>
      <c r="O197" t="s">
        <v>1441</v>
      </c>
      <c r="P197" t="s">
        <v>5184</v>
      </c>
      <c r="Q197" t="s">
        <v>1443</v>
      </c>
      <c r="R197" t="s">
        <v>5183</v>
      </c>
      <c r="S197" t="s">
        <v>5187</v>
      </c>
    </row>
    <row r="198" spans="1:19">
      <c r="A198" t="s">
        <v>6781</v>
      </c>
      <c r="B198" t="s">
        <v>5188</v>
      </c>
      <c r="C198" t="s">
        <v>3968</v>
      </c>
      <c r="D198">
        <v>176</v>
      </c>
      <c r="E198" t="s">
        <v>1554</v>
      </c>
      <c r="F198">
        <v>4</v>
      </c>
      <c r="I198" t="s">
        <v>3560</v>
      </c>
      <c r="J198" t="s">
        <v>24</v>
      </c>
      <c r="K198" t="s">
        <v>24</v>
      </c>
      <c r="L198">
        <v>3</v>
      </c>
      <c r="M198">
        <v>1</v>
      </c>
      <c r="N198" t="s">
        <v>1604</v>
      </c>
      <c r="O198" t="s">
        <v>1441</v>
      </c>
      <c r="P198" t="s">
        <v>5189</v>
      </c>
      <c r="Q198" t="s">
        <v>1443</v>
      </c>
      <c r="R198" t="s">
        <v>5190</v>
      </c>
      <c r="S198" t="s">
        <v>5191</v>
      </c>
    </row>
    <row r="199" spans="1:19">
      <c r="A199" t="s">
        <v>6782</v>
      </c>
      <c r="B199" t="s">
        <v>5192</v>
      </c>
      <c r="C199" t="s">
        <v>3968</v>
      </c>
      <c r="D199">
        <v>177</v>
      </c>
      <c r="E199" t="s">
        <v>5193</v>
      </c>
      <c r="F199">
        <v>1</v>
      </c>
      <c r="H199" t="s">
        <v>2420</v>
      </c>
      <c r="I199" t="s">
        <v>3560</v>
      </c>
      <c r="J199" t="s">
        <v>24</v>
      </c>
      <c r="K199" t="s">
        <v>24</v>
      </c>
      <c r="L199">
        <v>3</v>
      </c>
      <c r="M199">
        <v>2</v>
      </c>
      <c r="N199" t="s">
        <v>1626</v>
      </c>
      <c r="O199" t="s">
        <v>1447</v>
      </c>
      <c r="P199" t="s">
        <v>5194</v>
      </c>
      <c r="Q199" t="s">
        <v>1443</v>
      </c>
      <c r="R199" t="s">
        <v>1444</v>
      </c>
      <c r="S199" t="s">
        <v>5195</v>
      </c>
    </row>
    <row r="200" spans="1:19">
      <c r="A200" t="s">
        <v>6783</v>
      </c>
      <c r="B200" t="s">
        <v>5196</v>
      </c>
      <c r="C200" t="s">
        <v>3968</v>
      </c>
      <c r="D200">
        <v>177</v>
      </c>
      <c r="E200" t="s">
        <v>1632</v>
      </c>
      <c r="F200">
        <v>5</v>
      </c>
      <c r="H200" t="s">
        <v>2420</v>
      </c>
      <c r="I200" t="s">
        <v>3560</v>
      </c>
      <c r="J200" t="s">
        <v>24</v>
      </c>
      <c r="K200" t="s">
        <v>24</v>
      </c>
      <c r="L200">
        <v>3</v>
      </c>
      <c r="M200">
        <v>2</v>
      </c>
      <c r="N200" t="s">
        <v>1626</v>
      </c>
      <c r="O200" t="s">
        <v>1441</v>
      </c>
      <c r="P200" t="s">
        <v>5197</v>
      </c>
      <c r="Q200" t="s">
        <v>1654</v>
      </c>
      <c r="R200" t="s">
        <v>5186</v>
      </c>
      <c r="S200" t="s">
        <v>5198</v>
      </c>
    </row>
    <row r="201" spans="1:19">
      <c r="A201" t="s">
        <v>6784</v>
      </c>
      <c r="B201" t="s">
        <v>5199</v>
      </c>
      <c r="C201" t="s">
        <v>3968</v>
      </c>
      <c r="D201">
        <v>177</v>
      </c>
      <c r="E201" t="s">
        <v>5200</v>
      </c>
      <c r="F201">
        <v>4</v>
      </c>
      <c r="H201" t="s">
        <v>5201</v>
      </c>
      <c r="I201" t="s">
        <v>3560</v>
      </c>
      <c r="J201" t="s">
        <v>24</v>
      </c>
      <c r="K201" t="s">
        <v>24</v>
      </c>
      <c r="L201">
        <v>3</v>
      </c>
      <c r="M201">
        <v>2</v>
      </c>
      <c r="N201" t="s">
        <v>1626</v>
      </c>
      <c r="O201" t="s">
        <v>1457</v>
      </c>
      <c r="P201" t="s">
        <v>5202</v>
      </c>
      <c r="Q201" t="s">
        <v>1443</v>
      </c>
      <c r="R201" t="s">
        <v>5183</v>
      </c>
      <c r="S201" t="s">
        <v>5203</v>
      </c>
    </row>
    <row r="202" spans="1:19">
      <c r="A202" t="s">
        <v>6785</v>
      </c>
      <c r="B202" t="s">
        <v>5204</v>
      </c>
      <c r="C202" t="s">
        <v>3968</v>
      </c>
      <c r="D202">
        <v>178</v>
      </c>
      <c r="E202" t="s">
        <v>1541</v>
      </c>
      <c r="F202">
        <v>5</v>
      </c>
      <c r="I202" t="s">
        <v>3560</v>
      </c>
      <c r="J202" t="s">
        <v>24</v>
      </c>
      <c r="K202" t="s">
        <v>24</v>
      </c>
      <c r="L202">
        <v>3</v>
      </c>
      <c r="M202">
        <v>2</v>
      </c>
      <c r="N202" t="s">
        <v>1626</v>
      </c>
      <c r="O202" t="s">
        <v>1441</v>
      </c>
      <c r="P202" t="s">
        <v>5013</v>
      </c>
      <c r="Q202" t="s">
        <v>1654</v>
      </c>
      <c r="R202" t="s">
        <v>5188</v>
      </c>
      <c r="S202" t="s">
        <v>5205</v>
      </c>
    </row>
    <row r="203" spans="1:19">
      <c r="A203" t="s">
        <v>6786</v>
      </c>
      <c r="B203" t="s">
        <v>5206</v>
      </c>
      <c r="C203" t="s">
        <v>3968</v>
      </c>
      <c r="D203">
        <v>178</v>
      </c>
      <c r="E203" t="s">
        <v>1541</v>
      </c>
      <c r="F203">
        <v>5</v>
      </c>
      <c r="I203" t="s">
        <v>3560</v>
      </c>
      <c r="J203" t="s">
        <v>24</v>
      </c>
      <c r="K203" t="s">
        <v>24</v>
      </c>
      <c r="L203">
        <v>3</v>
      </c>
      <c r="M203">
        <v>2</v>
      </c>
      <c r="N203" t="s">
        <v>1626</v>
      </c>
      <c r="O203" t="s">
        <v>1441</v>
      </c>
      <c r="P203" t="s">
        <v>5207</v>
      </c>
      <c r="Q203" t="s">
        <v>1443</v>
      </c>
      <c r="R203" t="s">
        <v>5179</v>
      </c>
      <c r="S203" t="s">
        <v>5208</v>
      </c>
    </row>
    <row r="204" spans="1:19">
      <c r="A204" t="s">
        <v>6787</v>
      </c>
      <c r="B204" t="s">
        <v>5209</v>
      </c>
      <c r="C204" t="s">
        <v>3968</v>
      </c>
      <c r="D204">
        <v>178</v>
      </c>
      <c r="E204" t="s">
        <v>1450</v>
      </c>
      <c r="F204">
        <v>3</v>
      </c>
      <c r="I204" t="s">
        <v>3560</v>
      </c>
      <c r="J204" t="s">
        <v>24</v>
      </c>
      <c r="K204" t="s">
        <v>24</v>
      </c>
      <c r="L204">
        <v>3</v>
      </c>
      <c r="M204">
        <v>2</v>
      </c>
      <c r="N204" t="s">
        <v>1626</v>
      </c>
      <c r="O204" t="s">
        <v>1441</v>
      </c>
      <c r="P204" t="s">
        <v>5210</v>
      </c>
      <c r="Q204" t="s">
        <v>1443</v>
      </c>
      <c r="R204" t="s">
        <v>1444</v>
      </c>
      <c r="S204" t="s">
        <v>5211</v>
      </c>
    </row>
    <row r="205" spans="1:19">
      <c r="A205" t="s">
        <v>6788</v>
      </c>
      <c r="B205" t="s">
        <v>5212</v>
      </c>
      <c r="C205" t="s">
        <v>3968</v>
      </c>
      <c r="D205">
        <v>178</v>
      </c>
      <c r="E205" t="s">
        <v>1541</v>
      </c>
      <c r="F205">
        <v>5</v>
      </c>
      <c r="I205" t="s">
        <v>3560</v>
      </c>
      <c r="J205" t="s">
        <v>24</v>
      </c>
      <c r="K205" t="s">
        <v>24</v>
      </c>
      <c r="L205">
        <v>3</v>
      </c>
      <c r="M205">
        <v>2</v>
      </c>
      <c r="N205" t="s">
        <v>1626</v>
      </c>
      <c r="O205" t="s">
        <v>1441</v>
      </c>
      <c r="P205" t="s">
        <v>5213</v>
      </c>
      <c r="Q205" t="s">
        <v>1443</v>
      </c>
      <c r="R205" t="s">
        <v>5209</v>
      </c>
      <c r="S205" t="s">
        <v>5214</v>
      </c>
    </row>
    <row r="206" spans="1:19">
      <c r="A206" t="s">
        <v>6794</v>
      </c>
      <c r="B206" t="s">
        <v>5234</v>
      </c>
      <c r="C206" t="s">
        <v>3968</v>
      </c>
      <c r="D206">
        <v>179</v>
      </c>
      <c r="E206" t="s">
        <v>5235</v>
      </c>
      <c r="F206">
        <v>2</v>
      </c>
      <c r="H206" t="s">
        <v>2434</v>
      </c>
      <c r="I206" t="s">
        <v>3560</v>
      </c>
      <c r="J206" t="s">
        <v>24</v>
      </c>
      <c r="K206" t="s">
        <v>24</v>
      </c>
      <c r="L206">
        <v>4</v>
      </c>
      <c r="M206">
        <v>3</v>
      </c>
      <c r="N206" t="s">
        <v>5236</v>
      </c>
      <c r="O206" t="s">
        <v>1447</v>
      </c>
      <c r="P206" t="s">
        <v>5237</v>
      </c>
      <c r="Q206" t="s">
        <v>1443</v>
      </c>
      <c r="R206" t="s">
        <v>5206</v>
      </c>
      <c r="S206" t="s">
        <v>5238</v>
      </c>
    </row>
    <row r="207" spans="1:19">
      <c r="A207" t="s">
        <v>6796</v>
      </c>
      <c r="B207" t="s">
        <v>5241</v>
      </c>
      <c r="C207" t="s">
        <v>3968</v>
      </c>
      <c r="D207">
        <v>180</v>
      </c>
      <c r="E207" t="s">
        <v>5242</v>
      </c>
      <c r="F207">
        <v>2</v>
      </c>
      <c r="H207" t="s">
        <v>2420</v>
      </c>
      <c r="I207" t="s">
        <v>3560</v>
      </c>
      <c r="J207" t="s">
        <v>24</v>
      </c>
      <c r="K207" t="s">
        <v>24</v>
      </c>
      <c r="L207">
        <v>4</v>
      </c>
      <c r="M207">
        <v>3</v>
      </c>
      <c r="N207" t="s">
        <v>5243</v>
      </c>
      <c r="O207" t="s">
        <v>1447</v>
      </c>
      <c r="P207" t="s">
        <v>5244</v>
      </c>
      <c r="Q207" t="s">
        <v>1448</v>
      </c>
      <c r="R207" t="s">
        <v>5199</v>
      </c>
      <c r="S207" t="s">
        <v>5245</v>
      </c>
    </row>
    <row r="208" spans="1:19">
      <c r="A208" t="s">
        <v>6789</v>
      </c>
      <c r="B208" t="s">
        <v>5215</v>
      </c>
      <c r="C208" t="s">
        <v>3968</v>
      </c>
      <c r="D208">
        <v>178</v>
      </c>
      <c r="E208" t="s">
        <v>5216</v>
      </c>
      <c r="F208">
        <v>5</v>
      </c>
      <c r="G208">
        <v>1</v>
      </c>
      <c r="H208" t="s">
        <v>5121</v>
      </c>
      <c r="I208" t="s">
        <v>3560</v>
      </c>
      <c r="J208" t="s">
        <v>24</v>
      </c>
      <c r="K208" t="s">
        <v>24</v>
      </c>
      <c r="L208">
        <v>5</v>
      </c>
      <c r="M208">
        <v>3</v>
      </c>
      <c r="N208" t="s">
        <v>1640</v>
      </c>
      <c r="O208" t="s">
        <v>1457</v>
      </c>
      <c r="P208" t="s">
        <v>5028</v>
      </c>
      <c r="Q208" t="s">
        <v>1443</v>
      </c>
      <c r="R208" t="s">
        <v>1444</v>
      </c>
      <c r="S208" t="s">
        <v>5217</v>
      </c>
    </row>
    <row r="209" spans="1:19">
      <c r="A209" t="s">
        <v>6790</v>
      </c>
      <c r="B209" t="s">
        <v>5218</v>
      </c>
      <c r="C209" t="s">
        <v>3968</v>
      </c>
      <c r="D209">
        <v>178</v>
      </c>
      <c r="E209" t="s">
        <v>1467</v>
      </c>
      <c r="F209">
        <v>5</v>
      </c>
      <c r="G209">
        <v>1</v>
      </c>
      <c r="I209" t="s">
        <v>3560</v>
      </c>
      <c r="J209" t="s">
        <v>24</v>
      </c>
      <c r="K209" t="s">
        <v>24</v>
      </c>
      <c r="L209">
        <v>5</v>
      </c>
      <c r="M209">
        <v>3</v>
      </c>
      <c r="N209" t="s">
        <v>1640</v>
      </c>
      <c r="O209" t="s">
        <v>1457</v>
      </c>
      <c r="P209" t="s">
        <v>5219</v>
      </c>
      <c r="Q209" t="s">
        <v>1443</v>
      </c>
      <c r="R209" t="s">
        <v>1444</v>
      </c>
      <c r="S209" t="s">
        <v>5220</v>
      </c>
    </row>
    <row r="210" spans="1:19">
      <c r="A210" t="s">
        <v>6791</v>
      </c>
      <c r="B210" t="s">
        <v>5221</v>
      </c>
      <c r="C210" t="s">
        <v>3968</v>
      </c>
      <c r="D210">
        <v>179</v>
      </c>
      <c r="E210" t="s">
        <v>5222</v>
      </c>
      <c r="F210">
        <v>10</v>
      </c>
      <c r="G210">
        <v>1</v>
      </c>
      <c r="H210" t="s">
        <v>5223</v>
      </c>
      <c r="I210" t="s">
        <v>3560</v>
      </c>
      <c r="J210" t="s">
        <v>24</v>
      </c>
      <c r="K210" t="s">
        <v>24</v>
      </c>
      <c r="L210">
        <v>5</v>
      </c>
      <c r="M210">
        <v>3</v>
      </c>
      <c r="N210" t="s">
        <v>5224</v>
      </c>
      <c r="O210" t="s">
        <v>1457</v>
      </c>
      <c r="P210" t="s">
        <v>5036</v>
      </c>
      <c r="Q210" t="s">
        <v>1443</v>
      </c>
      <c r="R210" t="s">
        <v>1444</v>
      </c>
      <c r="S210" t="s">
        <v>5225</v>
      </c>
    </row>
    <row r="211" spans="1:19">
      <c r="A211" t="s">
        <v>6792</v>
      </c>
      <c r="B211" t="s">
        <v>5226</v>
      </c>
      <c r="C211" t="s">
        <v>3968</v>
      </c>
      <c r="D211">
        <v>179</v>
      </c>
      <c r="E211" t="s">
        <v>5227</v>
      </c>
      <c r="F211">
        <v>10</v>
      </c>
      <c r="G211">
        <v>1</v>
      </c>
      <c r="H211" t="s">
        <v>5201</v>
      </c>
      <c r="I211" t="s">
        <v>3560</v>
      </c>
      <c r="J211" t="s">
        <v>24</v>
      </c>
      <c r="K211" t="s">
        <v>24</v>
      </c>
      <c r="L211">
        <v>5</v>
      </c>
      <c r="M211">
        <v>3</v>
      </c>
      <c r="N211" t="s">
        <v>1640</v>
      </c>
      <c r="O211" t="s">
        <v>1457</v>
      </c>
      <c r="P211" t="s">
        <v>5228</v>
      </c>
      <c r="Q211" t="s">
        <v>5062</v>
      </c>
      <c r="R211" t="s">
        <v>1444</v>
      </c>
      <c r="S211" t="s">
        <v>5229</v>
      </c>
    </row>
    <row r="212" spans="1:19">
      <c r="A212" t="s">
        <v>6793</v>
      </c>
      <c r="B212" t="s">
        <v>5230</v>
      </c>
      <c r="C212" t="s">
        <v>3968</v>
      </c>
      <c r="D212">
        <v>179</v>
      </c>
      <c r="E212" t="s">
        <v>5231</v>
      </c>
      <c r="F212">
        <v>10</v>
      </c>
      <c r="G212">
        <v>1</v>
      </c>
      <c r="H212" t="s">
        <v>5201</v>
      </c>
      <c r="I212" t="s">
        <v>3560</v>
      </c>
      <c r="J212" t="s">
        <v>24</v>
      </c>
      <c r="K212" t="s">
        <v>24</v>
      </c>
      <c r="L212">
        <v>5</v>
      </c>
      <c r="M212">
        <v>3</v>
      </c>
      <c r="N212" t="s">
        <v>1640</v>
      </c>
      <c r="O212" t="s">
        <v>1457</v>
      </c>
      <c r="P212" t="s">
        <v>5232</v>
      </c>
      <c r="Q212" t="s">
        <v>1654</v>
      </c>
      <c r="R212" t="s">
        <v>1444</v>
      </c>
      <c r="S212" t="s">
        <v>5233</v>
      </c>
    </row>
    <row r="213" spans="1:19">
      <c r="A213" t="s">
        <v>6795</v>
      </c>
      <c r="B213" t="s">
        <v>5239</v>
      </c>
      <c r="C213" t="s">
        <v>3968</v>
      </c>
      <c r="D213">
        <v>180</v>
      </c>
      <c r="E213" t="s">
        <v>1465</v>
      </c>
      <c r="F213">
        <v>1</v>
      </c>
      <c r="G213">
        <v>1</v>
      </c>
      <c r="I213" t="s">
        <v>3560</v>
      </c>
      <c r="J213" t="s">
        <v>24</v>
      </c>
      <c r="K213" t="s">
        <v>24</v>
      </c>
      <c r="L213">
        <v>5</v>
      </c>
      <c r="M213">
        <v>3</v>
      </c>
      <c r="N213" t="s">
        <v>1640</v>
      </c>
      <c r="O213" t="s">
        <v>1447</v>
      </c>
      <c r="P213" t="s">
        <v>5068</v>
      </c>
      <c r="Q213" t="s">
        <v>1443</v>
      </c>
      <c r="R213" t="s">
        <v>5234</v>
      </c>
      <c r="S213" t="s">
        <v>5240</v>
      </c>
    </row>
    <row r="214" spans="1:19">
      <c r="A214" t="s">
        <v>6797</v>
      </c>
      <c r="B214" t="s">
        <v>5246</v>
      </c>
      <c r="C214" t="s">
        <v>3968</v>
      </c>
      <c r="D214">
        <v>180</v>
      </c>
      <c r="E214" t="s">
        <v>1456</v>
      </c>
      <c r="F214">
        <v>4</v>
      </c>
      <c r="G214">
        <v>1</v>
      </c>
      <c r="I214" t="s">
        <v>3560</v>
      </c>
      <c r="J214" t="s">
        <v>24</v>
      </c>
      <c r="K214" t="s">
        <v>24</v>
      </c>
      <c r="L214">
        <v>5</v>
      </c>
      <c r="M214">
        <v>3</v>
      </c>
      <c r="N214" t="s">
        <v>1640</v>
      </c>
      <c r="O214" t="s">
        <v>1457</v>
      </c>
      <c r="P214" t="s">
        <v>5247</v>
      </c>
      <c r="Q214" t="s">
        <v>1443</v>
      </c>
      <c r="R214" t="s">
        <v>5206</v>
      </c>
      <c r="S214" t="s">
        <v>5248</v>
      </c>
    </row>
    <row r="215" spans="1:19">
      <c r="A215" t="s">
        <v>6798</v>
      </c>
      <c r="B215" t="s">
        <v>5249</v>
      </c>
      <c r="C215" t="s">
        <v>3968</v>
      </c>
      <c r="D215">
        <v>180</v>
      </c>
      <c r="E215" t="s">
        <v>5216</v>
      </c>
      <c r="F215">
        <v>5</v>
      </c>
      <c r="G215">
        <v>1</v>
      </c>
      <c r="H215" t="s">
        <v>5121</v>
      </c>
      <c r="I215" t="s">
        <v>3560</v>
      </c>
      <c r="J215" t="s">
        <v>24</v>
      </c>
      <c r="K215" t="s">
        <v>24</v>
      </c>
      <c r="L215">
        <v>5</v>
      </c>
      <c r="M215">
        <v>4</v>
      </c>
      <c r="N215" t="s">
        <v>1665</v>
      </c>
      <c r="O215" t="s">
        <v>1447</v>
      </c>
      <c r="P215" t="s">
        <v>5250</v>
      </c>
      <c r="Q215" t="s">
        <v>1654</v>
      </c>
      <c r="R215" t="s">
        <v>5241</v>
      </c>
      <c r="S215" t="s">
        <v>5251</v>
      </c>
    </row>
    <row r="216" spans="1:19">
      <c r="A216" t="s">
        <v>6799</v>
      </c>
      <c r="B216" t="s">
        <v>5252</v>
      </c>
      <c r="C216" t="s">
        <v>3968</v>
      </c>
      <c r="D216">
        <v>180</v>
      </c>
      <c r="E216" t="s">
        <v>2931</v>
      </c>
      <c r="F216">
        <v>10</v>
      </c>
      <c r="G216">
        <v>1</v>
      </c>
      <c r="H216" t="s">
        <v>1507</v>
      </c>
      <c r="I216" t="s">
        <v>3560</v>
      </c>
      <c r="J216" t="s">
        <v>24</v>
      </c>
      <c r="K216" t="s">
        <v>24</v>
      </c>
      <c r="L216">
        <v>5</v>
      </c>
      <c r="M216">
        <v>4</v>
      </c>
      <c r="N216" t="s">
        <v>1665</v>
      </c>
      <c r="O216" t="s">
        <v>1457</v>
      </c>
      <c r="P216" t="s">
        <v>5013</v>
      </c>
      <c r="Q216" t="s">
        <v>1654</v>
      </c>
      <c r="R216" t="s">
        <v>5253</v>
      </c>
      <c r="S216" t="s">
        <v>5254</v>
      </c>
    </row>
    <row r="217" spans="1:19">
      <c r="A217" t="s">
        <v>6800</v>
      </c>
      <c r="B217" t="s">
        <v>5255</v>
      </c>
      <c r="C217" t="s">
        <v>3968</v>
      </c>
      <c r="D217">
        <v>180</v>
      </c>
      <c r="E217" t="s">
        <v>5256</v>
      </c>
      <c r="G217">
        <v>1</v>
      </c>
      <c r="H217" t="s">
        <v>5257</v>
      </c>
      <c r="I217" t="s">
        <v>3560</v>
      </c>
      <c r="J217" t="s">
        <v>24</v>
      </c>
      <c r="K217" t="s">
        <v>24</v>
      </c>
      <c r="L217">
        <v>5</v>
      </c>
      <c r="M217">
        <v>5</v>
      </c>
      <c r="N217" t="s">
        <v>1674</v>
      </c>
      <c r="O217" t="s">
        <v>1513</v>
      </c>
      <c r="P217" t="s">
        <v>5068</v>
      </c>
      <c r="Q217" t="s">
        <v>1513</v>
      </c>
      <c r="R217" t="s">
        <v>5249</v>
      </c>
      <c r="S217" t="s">
        <v>5258</v>
      </c>
    </row>
    <row r="218" spans="1:19">
      <c r="A218" t="s">
        <v>4138</v>
      </c>
      <c r="B218" t="s">
        <v>456</v>
      </c>
      <c r="C218" t="s">
        <v>3607</v>
      </c>
      <c r="D218" t="s">
        <v>466</v>
      </c>
      <c r="E218" t="s">
        <v>1439</v>
      </c>
      <c r="F218">
        <v>1</v>
      </c>
      <c r="I218" t="s">
        <v>3238</v>
      </c>
      <c r="J218" t="s">
        <v>25</v>
      </c>
      <c r="K218" t="s">
        <v>25</v>
      </c>
      <c r="L218">
        <v>1</v>
      </c>
      <c r="M218">
        <v>1</v>
      </c>
      <c r="N218" t="s">
        <v>1678</v>
      </c>
      <c r="O218" t="s">
        <v>1457</v>
      </c>
      <c r="P218" t="s">
        <v>1444</v>
      </c>
      <c r="Q218" t="s">
        <v>1443</v>
      </c>
      <c r="R218" t="s">
        <v>1444</v>
      </c>
      <c r="S218" t="s">
        <v>1679</v>
      </c>
    </row>
    <row r="219" spans="1:19">
      <c r="A219" t="s">
        <v>4143</v>
      </c>
      <c r="B219" t="s">
        <v>1687</v>
      </c>
      <c r="C219" t="s">
        <v>3607</v>
      </c>
      <c r="D219" t="s">
        <v>457</v>
      </c>
      <c r="E219" t="s">
        <v>1541</v>
      </c>
      <c r="F219">
        <v>5</v>
      </c>
      <c r="I219" t="s">
        <v>3238</v>
      </c>
      <c r="J219" t="s">
        <v>25</v>
      </c>
      <c r="K219" t="s">
        <v>25</v>
      </c>
      <c r="L219">
        <v>1</v>
      </c>
      <c r="M219">
        <v>1</v>
      </c>
      <c r="N219" t="s">
        <v>1678</v>
      </c>
      <c r="O219" t="s">
        <v>1447</v>
      </c>
      <c r="P219" t="s">
        <v>1444</v>
      </c>
      <c r="Q219" t="s">
        <v>1473</v>
      </c>
      <c r="R219" t="s">
        <v>1444</v>
      </c>
      <c r="S219" t="s">
        <v>1688</v>
      </c>
    </row>
    <row r="220" spans="1:19">
      <c r="A220" t="s">
        <v>4144</v>
      </c>
      <c r="B220" t="s">
        <v>461</v>
      </c>
      <c r="C220" t="s">
        <v>3607</v>
      </c>
      <c r="D220" t="s">
        <v>455</v>
      </c>
      <c r="E220" t="s">
        <v>1541</v>
      </c>
      <c r="F220">
        <v>5</v>
      </c>
      <c r="I220" t="s">
        <v>3238</v>
      </c>
      <c r="J220" t="s">
        <v>25</v>
      </c>
      <c r="K220" t="s">
        <v>25</v>
      </c>
      <c r="L220">
        <v>2</v>
      </c>
      <c r="M220">
        <v>1</v>
      </c>
      <c r="N220" t="s">
        <v>1689</v>
      </c>
      <c r="O220" t="s">
        <v>1457</v>
      </c>
      <c r="P220" t="s">
        <v>1444</v>
      </c>
      <c r="Q220" t="s">
        <v>1443</v>
      </c>
      <c r="R220" t="s">
        <v>1687</v>
      </c>
      <c r="S220" t="s">
        <v>1690</v>
      </c>
    </row>
    <row r="221" spans="1:19">
      <c r="A221" t="s">
        <v>4139</v>
      </c>
      <c r="B221" t="s">
        <v>471</v>
      </c>
      <c r="C221" t="s">
        <v>3607</v>
      </c>
      <c r="D221" t="s">
        <v>455</v>
      </c>
      <c r="E221" t="s">
        <v>1450</v>
      </c>
      <c r="F221">
        <v>3</v>
      </c>
      <c r="I221" t="s">
        <v>3238</v>
      </c>
      <c r="J221" t="s">
        <v>25</v>
      </c>
      <c r="K221" t="s">
        <v>25</v>
      </c>
      <c r="L221">
        <v>3</v>
      </c>
      <c r="M221">
        <v>1</v>
      </c>
      <c r="N221" t="s">
        <v>1680</v>
      </c>
      <c r="O221" t="s">
        <v>1457</v>
      </c>
      <c r="P221" t="s">
        <v>1444</v>
      </c>
      <c r="Q221" t="s">
        <v>1443</v>
      </c>
      <c r="R221" t="s">
        <v>456</v>
      </c>
      <c r="S221" t="s">
        <v>1681</v>
      </c>
    </row>
    <row r="222" spans="1:19">
      <c r="A222" t="s">
        <v>4140</v>
      </c>
      <c r="B222" t="s">
        <v>449</v>
      </c>
      <c r="C222" t="s">
        <v>3607</v>
      </c>
      <c r="D222" t="s">
        <v>455</v>
      </c>
      <c r="E222" t="s">
        <v>1450</v>
      </c>
      <c r="F222">
        <v>3</v>
      </c>
      <c r="I222" t="s">
        <v>3238</v>
      </c>
      <c r="J222" t="s">
        <v>25</v>
      </c>
      <c r="K222" t="s">
        <v>25</v>
      </c>
      <c r="L222">
        <v>3</v>
      </c>
      <c r="M222">
        <v>1</v>
      </c>
      <c r="N222" t="s">
        <v>1680</v>
      </c>
      <c r="O222" t="s">
        <v>1447</v>
      </c>
      <c r="P222" t="s">
        <v>1444</v>
      </c>
      <c r="Q222" t="s">
        <v>1443</v>
      </c>
      <c r="R222" t="s">
        <v>456</v>
      </c>
      <c r="S222" t="s">
        <v>1682</v>
      </c>
    </row>
    <row r="223" spans="1:19">
      <c r="A223" t="s">
        <v>4148</v>
      </c>
      <c r="B223" t="s">
        <v>462</v>
      </c>
      <c r="C223" t="s">
        <v>3607</v>
      </c>
      <c r="D223" t="s">
        <v>463</v>
      </c>
      <c r="E223" t="s">
        <v>1554</v>
      </c>
      <c r="F223">
        <v>4</v>
      </c>
      <c r="I223" t="s">
        <v>3238</v>
      </c>
      <c r="J223" t="s">
        <v>25</v>
      </c>
      <c r="K223" t="s">
        <v>25</v>
      </c>
      <c r="L223">
        <v>3</v>
      </c>
      <c r="M223">
        <v>1</v>
      </c>
      <c r="N223" t="s">
        <v>1680</v>
      </c>
      <c r="O223" t="s">
        <v>1447</v>
      </c>
      <c r="P223" t="s">
        <v>1444</v>
      </c>
      <c r="Q223" t="s">
        <v>1473</v>
      </c>
      <c r="R223" t="s">
        <v>1697</v>
      </c>
      <c r="S223" t="s">
        <v>1698</v>
      </c>
    </row>
    <row r="224" spans="1:19">
      <c r="A224" t="s">
        <v>4141</v>
      </c>
      <c r="B224" t="s">
        <v>448</v>
      </c>
      <c r="C224" t="s">
        <v>3607</v>
      </c>
      <c r="D224">
        <v>284</v>
      </c>
      <c r="E224" t="s">
        <v>1541</v>
      </c>
      <c r="F224">
        <v>5</v>
      </c>
      <c r="I224" t="s">
        <v>3238</v>
      </c>
      <c r="J224" t="s">
        <v>25</v>
      </c>
      <c r="K224" t="s">
        <v>25</v>
      </c>
      <c r="L224">
        <v>4</v>
      </c>
      <c r="M224">
        <v>1</v>
      </c>
      <c r="N224" t="s">
        <v>1683</v>
      </c>
      <c r="O224" t="s">
        <v>1447</v>
      </c>
      <c r="P224" t="s">
        <v>1444</v>
      </c>
      <c r="Q224" t="s">
        <v>1473</v>
      </c>
      <c r="R224" t="s">
        <v>449</v>
      </c>
      <c r="S224" t="s">
        <v>1684</v>
      </c>
    </row>
    <row r="225" spans="1:19">
      <c r="A225" t="s">
        <v>4145</v>
      </c>
      <c r="B225" t="s">
        <v>460</v>
      </c>
      <c r="C225" t="s">
        <v>3607</v>
      </c>
      <c r="D225">
        <v>285</v>
      </c>
      <c r="E225" t="s">
        <v>1511</v>
      </c>
      <c r="F225" t="s">
        <v>1511</v>
      </c>
      <c r="I225" t="s">
        <v>3238</v>
      </c>
      <c r="J225" t="s">
        <v>25</v>
      </c>
      <c r="K225" t="s">
        <v>25</v>
      </c>
      <c r="L225">
        <v>4</v>
      </c>
      <c r="M225">
        <v>1</v>
      </c>
      <c r="N225" t="s">
        <v>1683</v>
      </c>
      <c r="O225" t="s">
        <v>1513</v>
      </c>
      <c r="P225" t="s">
        <v>1444</v>
      </c>
      <c r="Q225" t="s">
        <v>1513</v>
      </c>
      <c r="R225" t="s">
        <v>461</v>
      </c>
      <c r="S225" t="s">
        <v>1691</v>
      </c>
    </row>
    <row r="226" spans="1:19">
      <c r="A226" t="s">
        <v>4142</v>
      </c>
      <c r="B226" t="s">
        <v>467</v>
      </c>
      <c r="C226" t="s">
        <v>3607</v>
      </c>
      <c r="D226" t="s">
        <v>468</v>
      </c>
      <c r="E226" t="s">
        <v>1439</v>
      </c>
      <c r="F226">
        <v>1</v>
      </c>
      <c r="I226" t="s">
        <v>3238</v>
      </c>
      <c r="J226" t="s">
        <v>25</v>
      </c>
      <c r="K226" t="s">
        <v>25</v>
      </c>
      <c r="L226">
        <v>5</v>
      </c>
      <c r="M226">
        <v>1</v>
      </c>
      <c r="N226" t="s">
        <v>1685</v>
      </c>
      <c r="O226" t="s">
        <v>1457</v>
      </c>
      <c r="P226" t="s">
        <v>1444</v>
      </c>
      <c r="Q226" t="s">
        <v>1443</v>
      </c>
      <c r="R226" t="s">
        <v>448</v>
      </c>
      <c r="S226" t="s">
        <v>1686</v>
      </c>
    </row>
    <row r="227" spans="1:19">
      <c r="A227" t="s">
        <v>4146</v>
      </c>
      <c r="B227" t="s">
        <v>452</v>
      </c>
      <c r="C227" t="s">
        <v>3607</v>
      </c>
      <c r="D227">
        <v>285</v>
      </c>
      <c r="E227" t="s">
        <v>1692</v>
      </c>
      <c r="F227">
        <v>8</v>
      </c>
      <c r="I227" t="s">
        <v>3238</v>
      </c>
      <c r="J227" t="s">
        <v>25</v>
      </c>
      <c r="K227" t="s">
        <v>25</v>
      </c>
      <c r="L227">
        <v>5</v>
      </c>
      <c r="M227">
        <v>1</v>
      </c>
      <c r="N227" t="s">
        <v>1685</v>
      </c>
      <c r="O227" t="s">
        <v>1457</v>
      </c>
      <c r="P227" t="s">
        <v>1444</v>
      </c>
      <c r="Q227" t="s">
        <v>1693</v>
      </c>
      <c r="R227" t="s">
        <v>1687</v>
      </c>
      <c r="S227" t="s">
        <v>1694</v>
      </c>
    </row>
    <row r="228" spans="1:19">
      <c r="A228" t="s">
        <v>4147</v>
      </c>
      <c r="B228" t="s">
        <v>450</v>
      </c>
      <c r="C228" t="s">
        <v>3607</v>
      </c>
      <c r="D228" t="s">
        <v>451</v>
      </c>
      <c r="E228" t="s">
        <v>1599</v>
      </c>
      <c r="F228">
        <v>10</v>
      </c>
      <c r="G228">
        <v>1</v>
      </c>
      <c r="I228" t="s">
        <v>3238</v>
      </c>
      <c r="J228" t="s">
        <v>25</v>
      </c>
      <c r="K228" t="s">
        <v>25</v>
      </c>
      <c r="L228">
        <v>5</v>
      </c>
      <c r="M228">
        <v>1</v>
      </c>
      <c r="N228" t="s">
        <v>1685</v>
      </c>
      <c r="O228" t="s">
        <v>1457</v>
      </c>
      <c r="P228" t="s">
        <v>1444</v>
      </c>
      <c r="Q228" t="s">
        <v>1695</v>
      </c>
      <c r="R228" t="s">
        <v>452</v>
      </c>
      <c r="S228" t="s">
        <v>1696</v>
      </c>
    </row>
    <row r="229" spans="1:19">
      <c r="A229" t="s">
        <v>4149</v>
      </c>
      <c r="B229" t="s">
        <v>472</v>
      </c>
      <c r="C229" t="s">
        <v>3607</v>
      </c>
      <c r="D229" t="s">
        <v>463</v>
      </c>
      <c r="E229" t="s">
        <v>1479</v>
      </c>
      <c r="F229">
        <v>6</v>
      </c>
      <c r="G229">
        <v>1</v>
      </c>
      <c r="I229" t="s">
        <v>3238</v>
      </c>
      <c r="J229" t="s">
        <v>25</v>
      </c>
      <c r="K229" t="s">
        <v>25</v>
      </c>
      <c r="L229">
        <v>5</v>
      </c>
      <c r="M229">
        <v>2</v>
      </c>
      <c r="N229" t="s">
        <v>1699</v>
      </c>
      <c r="O229" t="s">
        <v>1441</v>
      </c>
      <c r="P229" t="s">
        <v>1444</v>
      </c>
      <c r="Q229" t="s">
        <v>1443</v>
      </c>
      <c r="R229" t="s">
        <v>1700</v>
      </c>
      <c r="S229" t="s">
        <v>1701</v>
      </c>
    </row>
    <row r="230" spans="1:19">
      <c r="A230" t="s">
        <v>4150</v>
      </c>
      <c r="B230" t="s">
        <v>481</v>
      </c>
      <c r="C230" t="s">
        <v>3607</v>
      </c>
      <c r="D230">
        <v>286</v>
      </c>
      <c r="E230" t="s">
        <v>1511</v>
      </c>
      <c r="F230" t="s">
        <v>1511</v>
      </c>
      <c r="I230" t="s">
        <v>3238</v>
      </c>
      <c r="J230" t="s">
        <v>25</v>
      </c>
      <c r="K230" t="s">
        <v>25</v>
      </c>
      <c r="L230">
        <v>5</v>
      </c>
      <c r="M230">
        <v>2</v>
      </c>
      <c r="N230" t="s">
        <v>1699</v>
      </c>
      <c r="O230" t="s">
        <v>1513</v>
      </c>
      <c r="P230" t="s">
        <v>1444</v>
      </c>
      <c r="Q230" t="s">
        <v>1513</v>
      </c>
      <c r="R230" t="s">
        <v>467</v>
      </c>
      <c r="S230" t="s">
        <v>1702</v>
      </c>
    </row>
    <row r="231" spans="1:19">
      <c r="A231" t="s">
        <v>4151</v>
      </c>
      <c r="B231" t="s">
        <v>453</v>
      </c>
      <c r="C231" t="s">
        <v>3607</v>
      </c>
      <c r="D231" t="s">
        <v>454</v>
      </c>
      <c r="E231" t="s">
        <v>1467</v>
      </c>
      <c r="F231">
        <v>5</v>
      </c>
      <c r="G231">
        <v>1</v>
      </c>
      <c r="I231" t="s">
        <v>3238</v>
      </c>
      <c r="J231" t="s">
        <v>25</v>
      </c>
      <c r="K231" t="s">
        <v>25</v>
      </c>
      <c r="L231">
        <v>5</v>
      </c>
      <c r="M231">
        <v>2</v>
      </c>
      <c r="N231" t="s">
        <v>1699</v>
      </c>
      <c r="O231" t="s">
        <v>1447</v>
      </c>
      <c r="P231" t="s">
        <v>1444</v>
      </c>
      <c r="Q231" t="s">
        <v>1443</v>
      </c>
      <c r="R231" t="s">
        <v>1703</v>
      </c>
      <c r="S231" t="s">
        <v>1704</v>
      </c>
    </row>
    <row r="232" spans="1:19">
      <c r="A232" t="s">
        <v>4152</v>
      </c>
      <c r="B232" t="s">
        <v>469</v>
      </c>
      <c r="C232" t="s">
        <v>3607</v>
      </c>
      <c r="D232" t="s">
        <v>465</v>
      </c>
      <c r="E232" t="s">
        <v>1541</v>
      </c>
      <c r="F232">
        <v>5</v>
      </c>
      <c r="I232" t="s">
        <v>3238</v>
      </c>
      <c r="J232" t="s">
        <v>25</v>
      </c>
      <c r="K232" t="s">
        <v>25</v>
      </c>
      <c r="L232">
        <v>5</v>
      </c>
      <c r="M232">
        <v>2</v>
      </c>
      <c r="N232" t="s">
        <v>1699</v>
      </c>
      <c r="O232" t="s">
        <v>1457</v>
      </c>
      <c r="P232" t="s">
        <v>1705</v>
      </c>
      <c r="Q232" t="s">
        <v>1547</v>
      </c>
      <c r="R232" t="s">
        <v>1687</v>
      </c>
      <c r="S232" t="s">
        <v>1706</v>
      </c>
    </row>
    <row r="233" spans="1:19">
      <c r="A233" t="s">
        <v>4153</v>
      </c>
      <c r="B233" t="s">
        <v>476</v>
      </c>
      <c r="C233" t="s">
        <v>3607</v>
      </c>
      <c r="D233" t="s">
        <v>465</v>
      </c>
      <c r="E233" t="s">
        <v>1439</v>
      </c>
      <c r="F233">
        <v>1</v>
      </c>
      <c r="I233" t="s">
        <v>3238</v>
      </c>
      <c r="J233" t="s">
        <v>25</v>
      </c>
      <c r="K233" t="s">
        <v>25</v>
      </c>
      <c r="L233">
        <v>5</v>
      </c>
      <c r="M233">
        <v>2</v>
      </c>
      <c r="N233" t="s">
        <v>1699</v>
      </c>
      <c r="O233" t="s">
        <v>1441</v>
      </c>
      <c r="P233" t="s">
        <v>1444</v>
      </c>
      <c r="Q233" t="s">
        <v>1443</v>
      </c>
      <c r="R233" t="s">
        <v>462</v>
      </c>
      <c r="S233" t="s">
        <v>1707</v>
      </c>
    </row>
    <row r="234" spans="1:19">
      <c r="A234" t="s">
        <v>4154</v>
      </c>
      <c r="B234" t="s">
        <v>459</v>
      </c>
      <c r="C234" t="s">
        <v>3607</v>
      </c>
      <c r="D234">
        <v>286</v>
      </c>
      <c r="E234" t="s">
        <v>1511</v>
      </c>
      <c r="F234" t="s">
        <v>1511</v>
      </c>
      <c r="I234" t="s">
        <v>3238</v>
      </c>
      <c r="J234" t="s">
        <v>25</v>
      </c>
      <c r="K234" t="s">
        <v>25</v>
      </c>
      <c r="L234">
        <v>5</v>
      </c>
      <c r="M234">
        <v>3</v>
      </c>
      <c r="N234" t="s">
        <v>1708</v>
      </c>
      <c r="O234" t="s">
        <v>1513</v>
      </c>
      <c r="P234" t="s">
        <v>1444</v>
      </c>
      <c r="Q234" t="s">
        <v>1513</v>
      </c>
      <c r="R234" t="s">
        <v>472</v>
      </c>
      <c r="S234" t="s">
        <v>1709</v>
      </c>
    </row>
    <row r="235" spans="1:19">
      <c r="A235" t="s">
        <v>4155</v>
      </c>
      <c r="B235" t="s">
        <v>477</v>
      </c>
      <c r="C235" t="s">
        <v>3607</v>
      </c>
      <c r="D235" t="s">
        <v>454</v>
      </c>
      <c r="E235" t="s">
        <v>1467</v>
      </c>
      <c r="F235">
        <v>5</v>
      </c>
      <c r="G235">
        <v>1</v>
      </c>
      <c r="I235" t="s">
        <v>3238</v>
      </c>
      <c r="J235" t="s">
        <v>25</v>
      </c>
      <c r="K235" t="s">
        <v>25</v>
      </c>
      <c r="L235">
        <v>5</v>
      </c>
      <c r="M235">
        <v>3</v>
      </c>
      <c r="N235" t="s">
        <v>1708</v>
      </c>
      <c r="O235" t="s">
        <v>1457</v>
      </c>
      <c r="P235" t="s">
        <v>1710</v>
      </c>
      <c r="Q235" t="s">
        <v>1443</v>
      </c>
      <c r="R235" t="s">
        <v>472</v>
      </c>
      <c r="S235" t="s">
        <v>1711</v>
      </c>
    </row>
    <row r="236" spans="1:19">
      <c r="A236" t="s">
        <v>4156</v>
      </c>
      <c r="B236" t="s">
        <v>482</v>
      </c>
      <c r="C236" t="s">
        <v>3607</v>
      </c>
      <c r="D236">
        <v>287</v>
      </c>
      <c r="E236" t="s">
        <v>1712</v>
      </c>
      <c r="F236" t="s">
        <v>1511</v>
      </c>
      <c r="H236" t="s">
        <v>3649</v>
      </c>
      <c r="I236" t="s">
        <v>3238</v>
      </c>
      <c r="J236" t="s">
        <v>25</v>
      </c>
      <c r="K236" t="s">
        <v>25</v>
      </c>
      <c r="L236">
        <v>5</v>
      </c>
      <c r="M236">
        <v>3</v>
      </c>
      <c r="N236" t="s">
        <v>1708</v>
      </c>
      <c r="O236" t="s">
        <v>1513</v>
      </c>
      <c r="P236" t="s">
        <v>1444</v>
      </c>
      <c r="Q236" t="s">
        <v>1513</v>
      </c>
      <c r="R236" t="s">
        <v>453</v>
      </c>
      <c r="S236" t="s">
        <v>1713</v>
      </c>
    </row>
    <row r="237" spans="1:19">
      <c r="A237" t="s">
        <v>4157</v>
      </c>
      <c r="B237" t="s">
        <v>473</v>
      </c>
      <c r="C237" t="s">
        <v>3607</v>
      </c>
      <c r="D237" t="s">
        <v>474</v>
      </c>
      <c r="E237" t="s">
        <v>1511</v>
      </c>
      <c r="F237" t="s">
        <v>1511</v>
      </c>
      <c r="I237" t="s">
        <v>3238</v>
      </c>
      <c r="J237" t="s">
        <v>25</v>
      </c>
      <c r="K237" t="s">
        <v>25</v>
      </c>
      <c r="L237">
        <v>5</v>
      </c>
      <c r="M237">
        <v>3</v>
      </c>
      <c r="N237" t="s">
        <v>1708</v>
      </c>
      <c r="O237" t="s">
        <v>1513</v>
      </c>
      <c r="P237" t="s">
        <v>1444</v>
      </c>
      <c r="Q237" t="s">
        <v>1513</v>
      </c>
      <c r="R237" t="s">
        <v>482</v>
      </c>
      <c r="S237" t="s">
        <v>1714</v>
      </c>
    </row>
    <row r="238" spans="1:19">
      <c r="A238" t="s">
        <v>4158</v>
      </c>
      <c r="B238" t="s">
        <v>464</v>
      </c>
      <c r="C238" t="s">
        <v>3607</v>
      </c>
      <c r="D238" t="s">
        <v>465</v>
      </c>
      <c r="E238" t="s">
        <v>1715</v>
      </c>
      <c r="F238">
        <v>13</v>
      </c>
      <c r="G238">
        <v>1</v>
      </c>
      <c r="I238" t="s">
        <v>3238</v>
      </c>
      <c r="J238" t="s">
        <v>25</v>
      </c>
      <c r="K238" t="s">
        <v>25</v>
      </c>
      <c r="L238">
        <v>5</v>
      </c>
      <c r="M238">
        <v>3</v>
      </c>
      <c r="N238" t="s">
        <v>1708</v>
      </c>
      <c r="O238" t="s">
        <v>1457</v>
      </c>
      <c r="P238" t="s">
        <v>1444</v>
      </c>
      <c r="Q238" t="s">
        <v>1547</v>
      </c>
      <c r="R238" t="s">
        <v>469</v>
      </c>
      <c r="S238" t="s">
        <v>1716</v>
      </c>
    </row>
    <row r="239" spans="1:19">
      <c r="A239" t="s">
        <v>4159</v>
      </c>
      <c r="B239" t="s">
        <v>458</v>
      </c>
      <c r="C239" t="s">
        <v>3607</v>
      </c>
      <c r="D239">
        <v>288</v>
      </c>
      <c r="E239" t="s">
        <v>1511</v>
      </c>
      <c r="F239" t="s">
        <v>1511</v>
      </c>
      <c r="I239" t="s">
        <v>3238</v>
      </c>
      <c r="J239" t="s">
        <v>25</v>
      </c>
      <c r="K239" t="s">
        <v>25</v>
      </c>
      <c r="L239">
        <v>5</v>
      </c>
      <c r="M239">
        <v>3</v>
      </c>
      <c r="N239" t="s">
        <v>1708</v>
      </c>
      <c r="O239" t="s">
        <v>1513</v>
      </c>
      <c r="P239" t="s">
        <v>1444</v>
      </c>
      <c r="Q239" t="s">
        <v>1513</v>
      </c>
      <c r="R239" t="s">
        <v>476</v>
      </c>
      <c r="S239" t="s">
        <v>1717</v>
      </c>
    </row>
    <row r="240" spans="1:19">
      <c r="A240" t="s">
        <v>4160</v>
      </c>
      <c r="B240" t="s">
        <v>470</v>
      </c>
      <c r="C240" t="s">
        <v>3607</v>
      </c>
      <c r="D240">
        <v>288</v>
      </c>
      <c r="E240" t="s">
        <v>1511</v>
      </c>
      <c r="F240" t="s">
        <v>1511</v>
      </c>
      <c r="I240" t="s">
        <v>3238</v>
      </c>
      <c r="J240" t="s">
        <v>25</v>
      </c>
      <c r="K240" t="s">
        <v>25</v>
      </c>
      <c r="L240">
        <v>5</v>
      </c>
      <c r="M240">
        <v>3</v>
      </c>
      <c r="N240" t="s">
        <v>1708</v>
      </c>
      <c r="O240" t="s">
        <v>1513</v>
      </c>
      <c r="P240" t="s">
        <v>1444</v>
      </c>
      <c r="Q240" t="s">
        <v>1513</v>
      </c>
      <c r="R240" t="s">
        <v>473</v>
      </c>
      <c r="S240" t="s">
        <v>1718</v>
      </c>
    </row>
    <row r="241" spans="1:19">
      <c r="A241" t="s">
        <v>4161</v>
      </c>
      <c r="B241" t="s">
        <v>479</v>
      </c>
      <c r="C241" t="s">
        <v>3607</v>
      </c>
      <c r="D241" t="s">
        <v>480</v>
      </c>
      <c r="E241" t="s">
        <v>1599</v>
      </c>
      <c r="F241">
        <v>10</v>
      </c>
      <c r="G241">
        <v>1</v>
      </c>
      <c r="I241" t="s">
        <v>3238</v>
      </c>
      <c r="J241" t="s">
        <v>25</v>
      </c>
      <c r="K241" t="s">
        <v>25</v>
      </c>
      <c r="L241">
        <v>5</v>
      </c>
      <c r="M241">
        <v>4</v>
      </c>
      <c r="N241" t="s">
        <v>1719</v>
      </c>
      <c r="O241" t="s">
        <v>1457</v>
      </c>
      <c r="P241" t="s">
        <v>1705</v>
      </c>
      <c r="Q241" t="s">
        <v>1547</v>
      </c>
      <c r="R241" t="s">
        <v>464</v>
      </c>
      <c r="S241" t="s">
        <v>1720</v>
      </c>
    </row>
    <row r="242" spans="1:19">
      <c r="A242" t="s">
        <v>4162</v>
      </c>
      <c r="B242" t="s">
        <v>478</v>
      </c>
      <c r="C242" t="s">
        <v>3607</v>
      </c>
      <c r="D242">
        <v>288</v>
      </c>
      <c r="E242" t="s">
        <v>1541</v>
      </c>
      <c r="F242">
        <v>5</v>
      </c>
      <c r="I242" t="s">
        <v>3238</v>
      </c>
      <c r="J242" t="s">
        <v>25</v>
      </c>
      <c r="K242" t="s">
        <v>25</v>
      </c>
      <c r="L242">
        <v>5</v>
      </c>
      <c r="M242">
        <v>4</v>
      </c>
      <c r="N242" t="s">
        <v>1719</v>
      </c>
      <c r="O242" t="s">
        <v>1441</v>
      </c>
      <c r="P242" t="s">
        <v>1444</v>
      </c>
      <c r="Q242" t="s">
        <v>1443</v>
      </c>
      <c r="R242" t="s">
        <v>458</v>
      </c>
      <c r="S242" t="s">
        <v>1721</v>
      </c>
    </row>
    <row r="243" spans="1:19">
      <c r="A243" t="s">
        <v>4163</v>
      </c>
      <c r="B243" t="s">
        <v>475</v>
      </c>
      <c r="C243" t="s">
        <v>3607</v>
      </c>
      <c r="D243">
        <v>289</v>
      </c>
      <c r="E243" t="s">
        <v>1599</v>
      </c>
      <c r="F243">
        <v>10</v>
      </c>
      <c r="G243">
        <v>1</v>
      </c>
      <c r="I243" t="s">
        <v>3238</v>
      </c>
      <c r="J243" t="s">
        <v>25</v>
      </c>
      <c r="K243" t="s">
        <v>25</v>
      </c>
      <c r="L243">
        <v>5</v>
      </c>
      <c r="M243">
        <v>5</v>
      </c>
      <c r="N243" t="s">
        <v>1722</v>
      </c>
      <c r="O243" t="s">
        <v>1457</v>
      </c>
      <c r="P243" t="s">
        <v>1444</v>
      </c>
      <c r="Q243" t="s">
        <v>1723</v>
      </c>
      <c r="R243" t="s">
        <v>479</v>
      </c>
      <c r="S243" t="s">
        <v>1724</v>
      </c>
    </row>
    <row r="244" spans="1:19">
      <c r="A244" t="s">
        <v>4164</v>
      </c>
      <c r="B244" t="s">
        <v>3650</v>
      </c>
      <c r="C244" t="s">
        <v>3602</v>
      </c>
      <c r="D244">
        <v>9</v>
      </c>
      <c r="E244" t="s">
        <v>1497</v>
      </c>
      <c r="F244">
        <v>6</v>
      </c>
      <c r="I244" t="s">
        <v>3238</v>
      </c>
      <c r="J244" t="s">
        <v>25</v>
      </c>
      <c r="K244" t="s">
        <v>25</v>
      </c>
      <c r="L244">
        <v>5</v>
      </c>
      <c r="M244">
        <v>2</v>
      </c>
      <c r="N244" t="s">
        <v>1699</v>
      </c>
      <c r="O244" t="s">
        <v>1457</v>
      </c>
      <c r="P244" t="s">
        <v>1523</v>
      </c>
      <c r="Q244" t="s">
        <v>1443</v>
      </c>
      <c r="R244" t="s">
        <v>460</v>
      </c>
      <c r="S244" t="s">
        <v>3651</v>
      </c>
    </row>
    <row r="245" spans="1:19">
      <c r="A245" t="s">
        <v>4165</v>
      </c>
      <c r="B245" t="s">
        <v>3652</v>
      </c>
      <c r="C245" t="s">
        <v>3602</v>
      </c>
      <c r="D245">
        <v>9</v>
      </c>
      <c r="E245" t="s">
        <v>1541</v>
      </c>
      <c r="F245">
        <v>5</v>
      </c>
      <c r="I245" t="s">
        <v>3238</v>
      </c>
      <c r="J245" t="s">
        <v>25</v>
      </c>
      <c r="K245" t="s">
        <v>25</v>
      </c>
      <c r="L245">
        <v>5</v>
      </c>
      <c r="M245">
        <v>3</v>
      </c>
      <c r="N245" t="s">
        <v>1708</v>
      </c>
      <c r="O245" t="s">
        <v>1457</v>
      </c>
      <c r="P245" t="s">
        <v>1523</v>
      </c>
      <c r="Q245" t="s">
        <v>1547</v>
      </c>
      <c r="R245" t="s">
        <v>481</v>
      </c>
      <c r="S245" t="s">
        <v>3653</v>
      </c>
    </row>
    <row r="246" spans="1:19">
      <c r="A246" t="s">
        <v>4166</v>
      </c>
      <c r="B246" t="s">
        <v>3654</v>
      </c>
      <c r="C246" t="s">
        <v>3602</v>
      </c>
      <c r="D246">
        <v>10</v>
      </c>
      <c r="E246" t="s">
        <v>1541</v>
      </c>
      <c r="F246">
        <v>5</v>
      </c>
      <c r="I246" t="s">
        <v>3238</v>
      </c>
      <c r="J246" t="s">
        <v>25</v>
      </c>
      <c r="K246" t="s">
        <v>25</v>
      </c>
      <c r="L246">
        <v>5</v>
      </c>
      <c r="M246">
        <v>4</v>
      </c>
      <c r="N246" t="s">
        <v>1719</v>
      </c>
      <c r="O246" t="s">
        <v>1457</v>
      </c>
      <c r="P246" t="s">
        <v>1523</v>
      </c>
      <c r="Q246" t="s">
        <v>1443</v>
      </c>
      <c r="R246" t="s">
        <v>3652</v>
      </c>
      <c r="S246" t="s">
        <v>3655</v>
      </c>
    </row>
    <row r="247" spans="1:19">
      <c r="A247" t="s">
        <v>4167</v>
      </c>
      <c r="B247" t="s">
        <v>3656</v>
      </c>
      <c r="C247" t="s">
        <v>3602</v>
      </c>
      <c r="D247">
        <v>11</v>
      </c>
      <c r="E247" t="s">
        <v>1692</v>
      </c>
      <c r="F247">
        <v>8</v>
      </c>
      <c r="I247" t="s">
        <v>3238</v>
      </c>
      <c r="J247" t="s">
        <v>25</v>
      </c>
      <c r="K247" t="s">
        <v>25</v>
      </c>
      <c r="L247">
        <v>5</v>
      </c>
      <c r="M247">
        <v>4</v>
      </c>
      <c r="N247" t="s">
        <v>1719</v>
      </c>
      <c r="O247" t="s">
        <v>1457</v>
      </c>
      <c r="P247" t="s">
        <v>1444</v>
      </c>
      <c r="Q247" t="s">
        <v>1443</v>
      </c>
      <c r="R247" t="s">
        <v>470</v>
      </c>
      <c r="S247" t="s">
        <v>3657</v>
      </c>
    </row>
    <row r="248" spans="1:19">
      <c r="A248" t="s">
        <v>6801</v>
      </c>
      <c r="B248" t="s">
        <v>5259</v>
      </c>
      <c r="C248" t="s">
        <v>3968</v>
      </c>
      <c r="D248">
        <v>181</v>
      </c>
      <c r="E248" t="s">
        <v>5071</v>
      </c>
      <c r="F248">
        <v>2</v>
      </c>
      <c r="I248" t="s">
        <v>3560</v>
      </c>
      <c r="J248" t="s">
        <v>25</v>
      </c>
      <c r="K248" t="s">
        <v>25</v>
      </c>
      <c r="L248">
        <v>1</v>
      </c>
      <c r="M248">
        <v>1</v>
      </c>
      <c r="N248" t="s">
        <v>1678</v>
      </c>
      <c r="O248" t="s">
        <v>1441</v>
      </c>
      <c r="P248" t="s">
        <v>5260</v>
      </c>
      <c r="Q248" t="s">
        <v>1443</v>
      </c>
      <c r="R248" t="s">
        <v>1444</v>
      </c>
      <c r="S248" t="s">
        <v>5261</v>
      </c>
    </row>
    <row r="249" spans="1:19">
      <c r="A249" t="s">
        <v>6802</v>
      </c>
      <c r="B249" t="s">
        <v>5262</v>
      </c>
      <c r="C249" t="s">
        <v>3968</v>
      </c>
      <c r="D249">
        <v>181</v>
      </c>
      <c r="E249" t="s">
        <v>1460</v>
      </c>
      <c r="F249">
        <v>2</v>
      </c>
      <c r="I249" t="s">
        <v>3560</v>
      </c>
      <c r="J249" t="s">
        <v>25</v>
      </c>
      <c r="K249" t="s">
        <v>25</v>
      </c>
      <c r="L249">
        <v>2</v>
      </c>
      <c r="M249">
        <v>1</v>
      </c>
      <c r="N249" t="s">
        <v>1689</v>
      </c>
      <c r="O249" t="s">
        <v>1457</v>
      </c>
      <c r="P249" t="s">
        <v>5263</v>
      </c>
      <c r="Q249" t="s">
        <v>1443</v>
      </c>
      <c r="R249" t="s">
        <v>1444</v>
      </c>
      <c r="S249" t="s">
        <v>5264</v>
      </c>
    </row>
    <row r="250" spans="1:19">
      <c r="A250" t="s">
        <v>6803</v>
      </c>
      <c r="B250" t="s">
        <v>5265</v>
      </c>
      <c r="C250" t="s">
        <v>3968</v>
      </c>
      <c r="D250">
        <v>181</v>
      </c>
      <c r="E250" t="s">
        <v>1450</v>
      </c>
      <c r="F250">
        <v>3</v>
      </c>
      <c r="I250" t="s">
        <v>3560</v>
      </c>
      <c r="J250" t="s">
        <v>25</v>
      </c>
      <c r="K250" t="s">
        <v>25</v>
      </c>
      <c r="L250">
        <v>2</v>
      </c>
      <c r="M250">
        <v>1</v>
      </c>
      <c r="N250" t="s">
        <v>1689</v>
      </c>
      <c r="O250" t="s">
        <v>1457</v>
      </c>
      <c r="P250" t="s">
        <v>5263</v>
      </c>
      <c r="Q250" t="s">
        <v>1443</v>
      </c>
      <c r="R250" t="s">
        <v>1444</v>
      </c>
      <c r="S250" t="s">
        <v>5266</v>
      </c>
    </row>
    <row r="251" spans="1:19">
      <c r="A251" t="s">
        <v>6804</v>
      </c>
      <c r="B251" t="s">
        <v>5267</v>
      </c>
      <c r="C251" t="s">
        <v>3968</v>
      </c>
      <c r="D251">
        <v>181</v>
      </c>
      <c r="E251" t="s">
        <v>1460</v>
      </c>
      <c r="F251">
        <v>2</v>
      </c>
      <c r="I251" t="s">
        <v>3560</v>
      </c>
      <c r="J251" t="s">
        <v>25</v>
      </c>
      <c r="K251" t="s">
        <v>25</v>
      </c>
      <c r="L251">
        <v>2</v>
      </c>
      <c r="M251">
        <v>1</v>
      </c>
      <c r="N251" t="s">
        <v>1689</v>
      </c>
      <c r="O251" t="s">
        <v>1457</v>
      </c>
      <c r="P251" t="s">
        <v>5263</v>
      </c>
      <c r="Q251" t="s">
        <v>1443</v>
      </c>
      <c r="R251" t="s">
        <v>5268</v>
      </c>
      <c r="S251" t="s">
        <v>5269</v>
      </c>
    </row>
    <row r="252" spans="1:19">
      <c r="A252" t="s">
        <v>6805</v>
      </c>
      <c r="B252" t="s">
        <v>5270</v>
      </c>
      <c r="C252" t="s">
        <v>3968</v>
      </c>
      <c r="D252">
        <v>181</v>
      </c>
      <c r="E252" t="s">
        <v>1439</v>
      </c>
      <c r="F252">
        <v>1</v>
      </c>
      <c r="I252" t="s">
        <v>3560</v>
      </c>
      <c r="J252" t="s">
        <v>25</v>
      </c>
      <c r="K252" t="s">
        <v>25</v>
      </c>
      <c r="L252">
        <v>3</v>
      </c>
      <c r="M252">
        <v>2</v>
      </c>
      <c r="N252" t="s">
        <v>5271</v>
      </c>
      <c r="O252" t="s">
        <v>1457</v>
      </c>
      <c r="P252" t="s">
        <v>5263</v>
      </c>
      <c r="Q252" t="s">
        <v>1547</v>
      </c>
      <c r="R252" t="s">
        <v>1444</v>
      </c>
      <c r="S252" t="s">
        <v>5272</v>
      </c>
    </row>
    <row r="253" spans="1:19">
      <c r="A253" t="s">
        <v>6807</v>
      </c>
      <c r="B253" t="s">
        <v>5276</v>
      </c>
      <c r="C253" t="s">
        <v>3968</v>
      </c>
      <c r="D253">
        <v>182</v>
      </c>
      <c r="E253" t="s">
        <v>1541</v>
      </c>
      <c r="F253">
        <v>5</v>
      </c>
      <c r="I253" t="s">
        <v>3560</v>
      </c>
      <c r="J253" t="s">
        <v>25</v>
      </c>
      <c r="K253" t="s">
        <v>25</v>
      </c>
      <c r="L253">
        <v>3</v>
      </c>
      <c r="M253">
        <v>2</v>
      </c>
      <c r="N253" t="s">
        <v>5271</v>
      </c>
      <c r="O253" t="s">
        <v>1447</v>
      </c>
      <c r="P253" t="s">
        <v>5083</v>
      </c>
      <c r="Q253" t="s">
        <v>1443</v>
      </c>
      <c r="R253" t="s">
        <v>5267</v>
      </c>
      <c r="S253" t="s">
        <v>5277</v>
      </c>
    </row>
    <row r="254" spans="1:19">
      <c r="A254" t="s">
        <v>6808</v>
      </c>
      <c r="B254" t="s">
        <v>5278</v>
      </c>
      <c r="C254" t="s">
        <v>3968</v>
      </c>
      <c r="D254">
        <v>182</v>
      </c>
      <c r="E254" t="s">
        <v>1450</v>
      </c>
      <c r="F254">
        <v>3</v>
      </c>
      <c r="I254" t="s">
        <v>3560</v>
      </c>
      <c r="J254" t="s">
        <v>25</v>
      </c>
      <c r="K254" t="s">
        <v>25</v>
      </c>
      <c r="L254">
        <v>3</v>
      </c>
      <c r="M254">
        <v>2</v>
      </c>
      <c r="N254" t="s">
        <v>5271</v>
      </c>
      <c r="O254" t="s">
        <v>1441</v>
      </c>
      <c r="P254" t="s">
        <v>5263</v>
      </c>
      <c r="Q254" t="s">
        <v>1443</v>
      </c>
      <c r="R254" t="s">
        <v>5262</v>
      </c>
      <c r="S254" t="s">
        <v>5279</v>
      </c>
    </row>
    <row r="255" spans="1:19">
      <c r="A255" t="s">
        <v>6806</v>
      </c>
      <c r="B255" t="s">
        <v>5273</v>
      </c>
      <c r="C255" t="s">
        <v>3968</v>
      </c>
      <c r="D255">
        <v>182</v>
      </c>
      <c r="E255" t="s">
        <v>1924</v>
      </c>
      <c r="F255">
        <v>2</v>
      </c>
      <c r="G255">
        <v>1</v>
      </c>
      <c r="I255" t="s">
        <v>3560</v>
      </c>
      <c r="J255" t="s">
        <v>25</v>
      </c>
      <c r="K255" t="s">
        <v>25</v>
      </c>
      <c r="L255">
        <v>4</v>
      </c>
      <c r="M255">
        <v>2</v>
      </c>
      <c r="N255" t="s">
        <v>5274</v>
      </c>
      <c r="O255" t="s">
        <v>1441</v>
      </c>
      <c r="P255" t="s">
        <v>5263</v>
      </c>
      <c r="Q255" t="s">
        <v>1693</v>
      </c>
      <c r="R255" t="s">
        <v>5270</v>
      </c>
      <c r="S255" t="s">
        <v>5275</v>
      </c>
    </row>
    <row r="256" spans="1:19">
      <c r="A256" t="s">
        <v>6809</v>
      </c>
      <c r="B256" t="s">
        <v>5280</v>
      </c>
      <c r="C256" t="s">
        <v>3968</v>
      </c>
      <c r="D256">
        <v>182</v>
      </c>
      <c r="E256" t="s">
        <v>1450</v>
      </c>
      <c r="F256">
        <v>3</v>
      </c>
      <c r="I256" t="s">
        <v>3560</v>
      </c>
      <c r="J256" t="s">
        <v>25</v>
      </c>
      <c r="K256" t="s">
        <v>25</v>
      </c>
      <c r="L256">
        <v>4</v>
      </c>
      <c r="M256">
        <v>2</v>
      </c>
      <c r="N256" t="s">
        <v>5274</v>
      </c>
      <c r="O256" t="s">
        <v>1447</v>
      </c>
      <c r="P256" t="s">
        <v>5263</v>
      </c>
      <c r="Q256" t="s">
        <v>1473</v>
      </c>
      <c r="R256" t="s">
        <v>5278</v>
      </c>
      <c r="S256" t="s">
        <v>5281</v>
      </c>
    </row>
    <row r="257" spans="1:19">
      <c r="A257" t="s">
        <v>6810</v>
      </c>
      <c r="B257" t="s">
        <v>5282</v>
      </c>
      <c r="C257" t="s">
        <v>3968</v>
      </c>
      <c r="D257">
        <v>182</v>
      </c>
      <c r="E257" t="s">
        <v>1554</v>
      </c>
      <c r="F257">
        <v>4</v>
      </c>
      <c r="I257" t="s">
        <v>3560</v>
      </c>
      <c r="J257" t="s">
        <v>25</v>
      </c>
      <c r="K257" t="s">
        <v>25</v>
      </c>
      <c r="L257">
        <v>4</v>
      </c>
      <c r="M257">
        <v>2</v>
      </c>
      <c r="N257" t="s">
        <v>5274</v>
      </c>
      <c r="O257" t="s">
        <v>1441</v>
      </c>
      <c r="P257" t="s">
        <v>5263</v>
      </c>
      <c r="Q257" t="s">
        <v>1443</v>
      </c>
      <c r="R257" t="s">
        <v>5268</v>
      </c>
      <c r="S257" t="s">
        <v>5283</v>
      </c>
    </row>
    <row r="258" spans="1:19">
      <c r="A258" t="s">
        <v>6816</v>
      </c>
      <c r="B258" t="s">
        <v>5299</v>
      </c>
      <c r="C258" t="s">
        <v>3968</v>
      </c>
      <c r="D258">
        <v>185</v>
      </c>
      <c r="E258" t="s">
        <v>1467</v>
      </c>
      <c r="F258">
        <v>5</v>
      </c>
      <c r="G258">
        <v>1</v>
      </c>
      <c r="I258" t="s">
        <v>3560</v>
      </c>
      <c r="J258" t="s">
        <v>25</v>
      </c>
      <c r="K258" t="s">
        <v>25</v>
      </c>
      <c r="L258">
        <v>4</v>
      </c>
      <c r="M258">
        <v>3</v>
      </c>
      <c r="N258" t="s">
        <v>5300</v>
      </c>
      <c r="O258" t="s">
        <v>1457</v>
      </c>
      <c r="P258" t="s">
        <v>5263</v>
      </c>
      <c r="Q258" t="s">
        <v>1547</v>
      </c>
      <c r="R258" t="s">
        <v>5270</v>
      </c>
      <c r="S258" t="s">
        <v>5301</v>
      </c>
    </row>
    <row r="259" spans="1:19">
      <c r="A259" t="s">
        <v>6817</v>
      </c>
      <c r="B259" t="s">
        <v>5302</v>
      </c>
      <c r="C259" t="s">
        <v>3968</v>
      </c>
      <c r="D259">
        <v>185</v>
      </c>
      <c r="E259" t="s">
        <v>1476</v>
      </c>
      <c r="F259">
        <v>3</v>
      </c>
      <c r="G259">
        <v>1</v>
      </c>
      <c r="I259" t="s">
        <v>3560</v>
      </c>
      <c r="J259" t="s">
        <v>25</v>
      </c>
      <c r="K259" t="s">
        <v>25</v>
      </c>
      <c r="L259">
        <v>4</v>
      </c>
      <c r="M259">
        <v>3</v>
      </c>
      <c r="N259" t="s">
        <v>5300</v>
      </c>
      <c r="O259" t="s">
        <v>1447</v>
      </c>
      <c r="P259" t="s">
        <v>5075</v>
      </c>
      <c r="Q259" t="s">
        <v>1473</v>
      </c>
      <c r="R259" t="s">
        <v>5282</v>
      </c>
      <c r="S259" t="s">
        <v>5303</v>
      </c>
    </row>
    <row r="260" spans="1:19">
      <c r="A260" t="s">
        <v>6818</v>
      </c>
      <c r="B260" t="s">
        <v>5304</v>
      </c>
      <c r="C260" t="s">
        <v>3968</v>
      </c>
      <c r="D260">
        <v>185</v>
      </c>
      <c r="E260" t="s">
        <v>1541</v>
      </c>
      <c r="F260">
        <v>5</v>
      </c>
      <c r="I260" t="s">
        <v>3560</v>
      </c>
      <c r="J260" t="s">
        <v>25</v>
      </c>
      <c r="K260" t="s">
        <v>25</v>
      </c>
      <c r="L260">
        <v>4</v>
      </c>
      <c r="M260">
        <v>3</v>
      </c>
      <c r="N260" t="s">
        <v>5300</v>
      </c>
      <c r="O260" t="s">
        <v>1447</v>
      </c>
      <c r="P260" t="s">
        <v>5305</v>
      </c>
      <c r="Q260" t="s">
        <v>1443</v>
      </c>
      <c r="R260" t="s">
        <v>5306</v>
      </c>
      <c r="S260" t="s">
        <v>5307</v>
      </c>
    </row>
    <row r="261" spans="1:19">
      <c r="A261" t="s">
        <v>6819</v>
      </c>
      <c r="B261" t="s">
        <v>5308</v>
      </c>
      <c r="C261" t="s">
        <v>3968</v>
      </c>
      <c r="D261">
        <v>185</v>
      </c>
      <c r="E261" t="s">
        <v>1467</v>
      </c>
      <c r="F261">
        <v>5</v>
      </c>
      <c r="G261">
        <v>1</v>
      </c>
      <c r="I261" t="s">
        <v>3560</v>
      </c>
      <c r="J261" t="s">
        <v>25</v>
      </c>
      <c r="K261" t="s">
        <v>25</v>
      </c>
      <c r="L261">
        <v>4</v>
      </c>
      <c r="M261">
        <v>3</v>
      </c>
      <c r="N261" t="s">
        <v>5300</v>
      </c>
      <c r="O261" t="s">
        <v>1457</v>
      </c>
      <c r="P261" t="s">
        <v>5263</v>
      </c>
      <c r="Q261" t="s">
        <v>1443</v>
      </c>
      <c r="R261" t="s">
        <v>5309</v>
      </c>
      <c r="S261" t="s">
        <v>5310</v>
      </c>
    </row>
    <row r="262" spans="1:19">
      <c r="A262" t="s">
        <v>6811</v>
      </c>
      <c r="B262" t="s">
        <v>5284</v>
      </c>
      <c r="C262" t="s">
        <v>3968</v>
      </c>
      <c r="D262">
        <v>182</v>
      </c>
      <c r="E262" t="s">
        <v>1543</v>
      </c>
      <c r="F262">
        <v>7</v>
      </c>
      <c r="G262">
        <v>1</v>
      </c>
      <c r="I262" t="s">
        <v>3560</v>
      </c>
      <c r="J262" t="s">
        <v>25</v>
      </c>
      <c r="K262" t="s">
        <v>25</v>
      </c>
      <c r="L262">
        <v>5</v>
      </c>
      <c r="M262">
        <v>3</v>
      </c>
      <c r="N262" t="s">
        <v>1708</v>
      </c>
      <c r="O262" t="s">
        <v>1457</v>
      </c>
      <c r="P262" t="s">
        <v>5147</v>
      </c>
      <c r="Q262" t="s">
        <v>1693</v>
      </c>
      <c r="R262" t="s">
        <v>1444</v>
      </c>
      <c r="S262" t="s">
        <v>5285</v>
      </c>
    </row>
    <row r="263" spans="1:19">
      <c r="A263" t="s">
        <v>6812</v>
      </c>
      <c r="B263" t="s">
        <v>5286</v>
      </c>
      <c r="C263" t="s">
        <v>3968</v>
      </c>
      <c r="D263">
        <v>183</v>
      </c>
      <c r="E263" t="s">
        <v>1599</v>
      </c>
      <c r="F263">
        <v>10</v>
      </c>
      <c r="G263">
        <v>1</v>
      </c>
      <c r="I263" t="s">
        <v>3560</v>
      </c>
      <c r="J263" t="s">
        <v>25</v>
      </c>
      <c r="K263" t="s">
        <v>25</v>
      </c>
      <c r="L263">
        <v>5</v>
      </c>
      <c r="M263">
        <v>3</v>
      </c>
      <c r="N263" t="s">
        <v>1708</v>
      </c>
      <c r="O263" t="s">
        <v>1457</v>
      </c>
      <c r="P263" t="s">
        <v>5287</v>
      </c>
      <c r="Q263" t="s">
        <v>1547</v>
      </c>
      <c r="R263" t="s">
        <v>1444</v>
      </c>
      <c r="S263" t="s">
        <v>5288</v>
      </c>
    </row>
    <row r="264" spans="1:19">
      <c r="A264" t="s">
        <v>6813</v>
      </c>
      <c r="B264" t="s">
        <v>5289</v>
      </c>
      <c r="C264" t="s">
        <v>3968</v>
      </c>
      <c r="D264">
        <v>183</v>
      </c>
      <c r="E264" t="s">
        <v>1467</v>
      </c>
      <c r="F264">
        <v>5</v>
      </c>
      <c r="G264">
        <v>1</v>
      </c>
      <c r="I264" t="s">
        <v>3560</v>
      </c>
      <c r="J264" t="s">
        <v>25</v>
      </c>
      <c r="K264" t="s">
        <v>25</v>
      </c>
      <c r="L264">
        <v>5</v>
      </c>
      <c r="M264">
        <v>3</v>
      </c>
      <c r="N264" t="s">
        <v>1708</v>
      </c>
      <c r="O264" t="s">
        <v>1457</v>
      </c>
      <c r="P264" t="s">
        <v>5290</v>
      </c>
      <c r="Q264" t="s">
        <v>5291</v>
      </c>
      <c r="R264" t="s">
        <v>1444</v>
      </c>
      <c r="S264" t="s">
        <v>5292</v>
      </c>
    </row>
    <row r="265" spans="1:19">
      <c r="A265" t="s">
        <v>6814</v>
      </c>
      <c r="B265" t="s">
        <v>5293</v>
      </c>
      <c r="C265" t="s">
        <v>3968</v>
      </c>
      <c r="D265">
        <v>184</v>
      </c>
      <c r="E265" t="s">
        <v>1479</v>
      </c>
      <c r="F265">
        <v>6</v>
      </c>
      <c r="G265">
        <v>1</v>
      </c>
      <c r="I265" t="s">
        <v>3560</v>
      </c>
      <c r="J265" t="s">
        <v>25</v>
      </c>
      <c r="K265" t="s">
        <v>25</v>
      </c>
      <c r="L265">
        <v>5</v>
      </c>
      <c r="M265">
        <v>3</v>
      </c>
      <c r="N265" t="s">
        <v>1708</v>
      </c>
      <c r="O265" t="s">
        <v>1457</v>
      </c>
      <c r="P265" t="s">
        <v>5294</v>
      </c>
      <c r="Q265" t="s">
        <v>1443</v>
      </c>
      <c r="R265" t="s">
        <v>5282</v>
      </c>
      <c r="S265" t="s">
        <v>5295</v>
      </c>
    </row>
    <row r="266" spans="1:19">
      <c r="A266" t="s">
        <v>6815</v>
      </c>
      <c r="B266" t="s">
        <v>5296</v>
      </c>
      <c r="C266" t="s">
        <v>3968</v>
      </c>
      <c r="D266">
        <v>184</v>
      </c>
      <c r="E266" t="s">
        <v>1543</v>
      </c>
      <c r="F266">
        <v>7</v>
      </c>
      <c r="G266">
        <v>1</v>
      </c>
      <c r="I266" t="s">
        <v>3560</v>
      </c>
      <c r="J266" t="s">
        <v>25</v>
      </c>
      <c r="K266" t="s">
        <v>25</v>
      </c>
      <c r="L266">
        <v>5</v>
      </c>
      <c r="M266">
        <v>3</v>
      </c>
      <c r="N266" t="s">
        <v>1708</v>
      </c>
      <c r="O266" t="s">
        <v>1457</v>
      </c>
      <c r="P266" t="s">
        <v>5297</v>
      </c>
      <c r="Q266" t="s">
        <v>1443</v>
      </c>
      <c r="R266" t="s">
        <v>1444</v>
      </c>
      <c r="S266" t="s">
        <v>5298</v>
      </c>
    </row>
    <row r="267" spans="1:19">
      <c r="A267" t="s">
        <v>6820</v>
      </c>
      <c r="B267" t="s">
        <v>5311</v>
      </c>
      <c r="C267" t="s">
        <v>3968</v>
      </c>
      <c r="D267">
        <v>186</v>
      </c>
      <c r="E267" t="s">
        <v>1467</v>
      </c>
      <c r="F267">
        <v>5</v>
      </c>
      <c r="G267">
        <v>1</v>
      </c>
      <c r="I267" t="s">
        <v>3560</v>
      </c>
      <c r="J267" t="s">
        <v>25</v>
      </c>
      <c r="K267" t="s">
        <v>25</v>
      </c>
      <c r="L267">
        <v>5</v>
      </c>
      <c r="M267">
        <v>3</v>
      </c>
      <c r="N267" t="s">
        <v>1708</v>
      </c>
      <c r="O267" t="s">
        <v>1441</v>
      </c>
      <c r="P267" t="s">
        <v>5263</v>
      </c>
      <c r="Q267" t="s">
        <v>1443</v>
      </c>
      <c r="R267" t="s">
        <v>5278</v>
      </c>
      <c r="S267" t="s">
        <v>5312</v>
      </c>
    </row>
    <row r="268" spans="1:19">
      <c r="A268" t="s">
        <v>6821</v>
      </c>
      <c r="B268" t="s">
        <v>5313</v>
      </c>
      <c r="C268" t="s">
        <v>3968</v>
      </c>
      <c r="D268">
        <v>186</v>
      </c>
      <c r="E268" t="s">
        <v>1592</v>
      </c>
      <c r="F268">
        <v>1</v>
      </c>
      <c r="G268">
        <v>1</v>
      </c>
      <c r="I268" t="s">
        <v>3560</v>
      </c>
      <c r="J268" t="s">
        <v>25</v>
      </c>
      <c r="K268" t="s">
        <v>25</v>
      </c>
      <c r="L268">
        <v>5</v>
      </c>
      <c r="M268">
        <v>3</v>
      </c>
      <c r="N268" t="s">
        <v>1708</v>
      </c>
      <c r="O268" t="s">
        <v>1441</v>
      </c>
      <c r="P268" t="s">
        <v>5002</v>
      </c>
      <c r="Q268" t="s">
        <v>1443</v>
      </c>
      <c r="R268" t="s">
        <v>5273</v>
      </c>
      <c r="S268" t="s">
        <v>5314</v>
      </c>
    </row>
    <row r="269" spans="1:19">
      <c r="A269" t="s">
        <v>6822</v>
      </c>
      <c r="B269" t="s">
        <v>5315</v>
      </c>
      <c r="C269" t="s">
        <v>3968</v>
      </c>
      <c r="D269">
        <v>186</v>
      </c>
      <c r="E269" t="s">
        <v>1599</v>
      </c>
      <c r="F269">
        <v>10</v>
      </c>
      <c r="G269">
        <v>1</v>
      </c>
      <c r="I269" t="s">
        <v>3560</v>
      </c>
      <c r="J269" t="s">
        <v>25</v>
      </c>
      <c r="K269" t="s">
        <v>25</v>
      </c>
      <c r="L269">
        <v>5</v>
      </c>
      <c r="M269">
        <v>4</v>
      </c>
      <c r="N269" t="s">
        <v>1719</v>
      </c>
      <c r="O269" t="s">
        <v>1447</v>
      </c>
      <c r="P269" t="s">
        <v>5305</v>
      </c>
      <c r="Q269" t="s">
        <v>1443</v>
      </c>
      <c r="R269" t="s">
        <v>5316</v>
      </c>
      <c r="S269" t="s">
        <v>5317</v>
      </c>
    </row>
    <row r="270" spans="1:19">
      <c r="A270" t="s">
        <v>6823</v>
      </c>
      <c r="B270" t="s">
        <v>5318</v>
      </c>
      <c r="C270" t="s">
        <v>3968</v>
      </c>
      <c r="D270">
        <v>186</v>
      </c>
      <c r="E270" t="s">
        <v>1599</v>
      </c>
      <c r="F270">
        <v>10</v>
      </c>
      <c r="G270">
        <v>1</v>
      </c>
      <c r="I270" t="s">
        <v>3560</v>
      </c>
      <c r="J270" t="s">
        <v>25</v>
      </c>
      <c r="K270" t="s">
        <v>25</v>
      </c>
      <c r="L270">
        <v>5</v>
      </c>
      <c r="M270">
        <v>4</v>
      </c>
      <c r="N270" t="s">
        <v>1719</v>
      </c>
      <c r="O270" t="s">
        <v>1457</v>
      </c>
      <c r="P270" t="s">
        <v>5319</v>
      </c>
      <c r="Q270" t="s">
        <v>1473</v>
      </c>
      <c r="R270" t="s">
        <v>5308</v>
      </c>
      <c r="S270" t="s">
        <v>5320</v>
      </c>
    </row>
    <row r="271" spans="1:19">
      <c r="A271" t="s">
        <v>6824</v>
      </c>
      <c r="B271" t="s">
        <v>5321</v>
      </c>
      <c r="C271" t="s">
        <v>3968</v>
      </c>
      <c r="D271">
        <v>186</v>
      </c>
      <c r="E271" t="s">
        <v>1467</v>
      </c>
      <c r="F271">
        <v>5</v>
      </c>
      <c r="G271">
        <v>1</v>
      </c>
      <c r="I271" t="s">
        <v>3560</v>
      </c>
      <c r="J271" t="s">
        <v>25</v>
      </c>
      <c r="K271" t="s">
        <v>25</v>
      </c>
      <c r="L271">
        <v>5</v>
      </c>
      <c r="M271">
        <v>4</v>
      </c>
      <c r="N271" t="s">
        <v>1719</v>
      </c>
      <c r="O271" t="s">
        <v>1447</v>
      </c>
      <c r="P271" t="s">
        <v>5002</v>
      </c>
      <c r="Q271" t="s">
        <v>1443</v>
      </c>
      <c r="R271" t="s">
        <v>5313</v>
      </c>
      <c r="S271" t="s">
        <v>5322</v>
      </c>
    </row>
    <row r="272" spans="1:19">
      <c r="A272" t="s">
        <v>4208</v>
      </c>
      <c r="B272" t="s">
        <v>514</v>
      </c>
      <c r="C272" t="s">
        <v>3607</v>
      </c>
      <c r="D272" t="s">
        <v>512</v>
      </c>
      <c r="E272" t="s">
        <v>1497</v>
      </c>
      <c r="F272">
        <v>6</v>
      </c>
      <c r="I272" t="s">
        <v>3238</v>
      </c>
      <c r="J272" t="s">
        <v>26</v>
      </c>
      <c r="K272" t="s">
        <v>26</v>
      </c>
      <c r="L272">
        <v>1</v>
      </c>
      <c r="M272">
        <v>1</v>
      </c>
      <c r="N272" t="s">
        <v>1791</v>
      </c>
      <c r="O272" t="s">
        <v>1441</v>
      </c>
      <c r="P272" t="s">
        <v>1444</v>
      </c>
      <c r="Q272" t="s">
        <v>1443</v>
      </c>
      <c r="R272" t="s">
        <v>1444</v>
      </c>
      <c r="S272" t="s">
        <v>1792</v>
      </c>
    </row>
    <row r="273" spans="1:19">
      <c r="A273" t="s">
        <v>4168</v>
      </c>
      <c r="B273" t="s">
        <v>1725</v>
      </c>
      <c r="C273" t="s">
        <v>3607</v>
      </c>
      <c r="D273">
        <v>289</v>
      </c>
      <c r="E273" t="s">
        <v>1511</v>
      </c>
      <c r="F273" t="s">
        <v>1511</v>
      </c>
      <c r="I273" t="s">
        <v>3238</v>
      </c>
      <c r="J273" t="s">
        <v>26</v>
      </c>
      <c r="K273" t="s">
        <v>26</v>
      </c>
      <c r="L273">
        <v>2</v>
      </c>
      <c r="M273">
        <v>1</v>
      </c>
      <c r="N273" t="s">
        <v>1726</v>
      </c>
      <c r="O273" t="s">
        <v>1513</v>
      </c>
      <c r="P273" t="s">
        <v>1444</v>
      </c>
      <c r="Q273" t="s">
        <v>1513</v>
      </c>
      <c r="R273" t="s">
        <v>1444</v>
      </c>
      <c r="S273" t="s">
        <v>1727</v>
      </c>
    </row>
    <row r="274" spans="1:19">
      <c r="A274" t="s">
        <v>4209</v>
      </c>
      <c r="B274" t="s">
        <v>536</v>
      </c>
      <c r="C274" t="s">
        <v>3607</v>
      </c>
      <c r="D274">
        <v>297</v>
      </c>
      <c r="E274" t="s">
        <v>1511</v>
      </c>
      <c r="F274" t="s">
        <v>1511</v>
      </c>
      <c r="I274" t="s">
        <v>3238</v>
      </c>
      <c r="J274" t="s">
        <v>26</v>
      </c>
      <c r="K274" t="s">
        <v>26</v>
      </c>
      <c r="L274">
        <v>2</v>
      </c>
      <c r="M274">
        <v>1</v>
      </c>
      <c r="N274" t="s">
        <v>1726</v>
      </c>
      <c r="O274" t="s">
        <v>1513</v>
      </c>
      <c r="P274" t="s">
        <v>1444</v>
      </c>
      <c r="Q274" t="s">
        <v>1513</v>
      </c>
      <c r="R274" t="s">
        <v>514</v>
      </c>
      <c r="S274" t="s">
        <v>1793</v>
      </c>
    </row>
    <row r="275" spans="1:19">
      <c r="A275" t="s">
        <v>4169</v>
      </c>
      <c r="B275" t="s">
        <v>1728</v>
      </c>
      <c r="C275" t="s">
        <v>3607</v>
      </c>
      <c r="D275">
        <v>289</v>
      </c>
      <c r="E275" t="s">
        <v>1511</v>
      </c>
      <c r="F275" t="s">
        <v>1511</v>
      </c>
      <c r="I275" t="s">
        <v>3238</v>
      </c>
      <c r="J275" t="s">
        <v>26</v>
      </c>
      <c r="K275" t="s">
        <v>26</v>
      </c>
      <c r="L275">
        <v>3</v>
      </c>
      <c r="M275">
        <v>1</v>
      </c>
      <c r="N275" t="s">
        <v>1729</v>
      </c>
      <c r="O275" t="s">
        <v>1513</v>
      </c>
      <c r="P275" t="s">
        <v>1444</v>
      </c>
      <c r="Q275" t="s">
        <v>1513</v>
      </c>
      <c r="R275" t="s">
        <v>1725</v>
      </c>
      <c r="S275" t="s">
        <v>1730</v>
      </c>
    </row>
    <row r="276" spans="1:19">
      <c r="A276" t="s">
        <v>4187</v>
      </c>
      <c r="B276" t="s">
        <v>486</v>
      </c>
      <c r="C276" t="s">
        <v>3607</v>
      </c>
      <c r="D276">
        <v>292</v>
      </c>
      <c r="E276" t="s">
        <v>1511</v>
      </c>
      <c r="F276" t="s">
        <v>1511</v>
      </c>
      <c r="I276" t="s">
        <v>3238</v>
      </c>
      <c r="J276" t="s">
        <v>26</v>
      </c>
      <c r="K276" t="s">
        <v>26</v>
      </c>
      <c r="L276">
        <v>3</v>
      </c>
      <c r="M276">
        <v>1</v>
      </c>
      <c r="N276" t="s">
        <v>1729</v>
      </c>
      <c r="O276" t="s">
        <v>1513</v>
      </c>
      <c r="P276" t="s">
        <v>1444</v>
      </c>
      <c r="Q276" t="s">
        <v>1513</v>
      </c>
      <c r="R276" t="s">
        <v>1444</v>
      </c>
      <c r="S276" t="s">
        <v>1762</v>
      </c>
    </row>
    <row r="277" spans="1:19">
      <c r="A277" t="s">
        <v>4190</v>
      </c>
      <c r="B277" t="s">
        <v>498</v>
      </c>
      <c r="C277" s="18" t="s">
        <v>3607</v>
      </c>
      <c r="D277" t="s">
        <v>499</v>
      </c>
      <c r="E277" s="18" t="s">
        <v>1497</v>
      </c>
      <c r="F277" s="18">
        <v>6</v>
      </c>
      <c r="G277" s="18"/>
      <c r="H277" s="18"/>
      <c r="I277" s="18" t="s">
        <v>3238</v>
      </c>
      <c r="J277" t="s">
        <v>26</v>
      </c>
      <c r="K277" t="s">
        <v>26</v>
      </c>
      <c r="L277">
        <v>3</v>
      </c>
      <c r="M277">
        <v>1</v>
      </c>
      <c r="N277" t="s">
        <v>1729</v>
      </c>
      <c r="O277" t="s">
        <v>1457</v>
      </c>
      <c r="P277" t="s">
        <v>1523</v>
      </c>
      <c r="Q277" t="s">
        <v>1693</v>
      </c>
      <c r="R277" t="s">
        <v>1444</v>
      </c>
      <c r="S277" t="s">
        <v>1766</v>
      </c>
    </row>
    <row r="278" spans="1:19">
      <c r="A278" t="s">
        <v>4198</v>
      </c>
      <c r="B278" t="s">
        <v>497</v>
      </c>
      <c r="C278" t="s">
        <v>3607</v>
      </c>
      <c r="D278" t="s">
        <v>494</v>
      </c>
      <c r="E278" t="s">
        <v>1599</v>
      </c>
      <c r="F278">
        <v>10</v>
      </c>
      <c r="G278">
        <v>1</v>
      </c>
      <c r="I278" t="s">
        <v>3238</v>
      </c>
      <c r="J278" t="s">
        <v>26</v>
      </c>
      <c r="K278" t="s">
        <v>26</v>
      </c>
      <c r="L278">
        <v>3</v>
      </c>
      <c r="M278">
        <v>1</v>
      </c>
      <c r="N278" t="s">
        <v>1729</v>
      </c>
      <c r="O278" t="s">
        <v>1457</v>
      </c>
      <c r="P278" t="s">
        <v>1444</v>
      </c>
      <c r="Q278" t="s">
        <v>1443</v>
      </c>
      <c r="R278" t="s">
        <v>1444</v>
      </c>
      <c r="S278" t="s">
        <v>1779</v>
      </c>
    </row>
    <row r="279" spans="1:19">
      <c r="A279" t="s">
        <v>4210</v>
      </c>
      <c r="B279" t="s">
        <v>532</v>
      </c>
      <c r="C279" t="s">
        <v>3607</v>
      </c>
      <c r="D279" t="s">
        <v>512</v>
      </c>
      <c r="E279" t="s">
        <v>1497</v>
      </c>
      <c r="F279">
        <v>6</v>
      </c>
      <c r="I279" t="s">
        <v>3238</v>
      </c>
      <c r="J279" t="s">
        <v>26</v>
      </c>
      <c r="K279" t="s">
        <v>26</v>
      </c>
      <c r="L279">
        <v>3</v>
      </c>
      <c r="M279">
        <v>1</v>
      </c>
      <c r="N279" t="s">
        <v>1729</v>
      </c>
      <c r="O279" t="s">
        <v>1441</v>
      </c>
      <c r="P279" t="s">
        <v>1444</v>
      </c>
      <c r="Q279" t="s">
        <v>1443</v>
      </c>
      <c r="R279" t="s">
        <v>514</v>
      </c>
      <c r="S279" t="s">
        <v>1794</v>
      </c>
    </row>
    <row r="280" spans="1:19">
      <c r="A280" t="s">
        <v>4211</v>
      </c>
      <c r="B280" t="s">
        <v>488</v>
      </c>
      <c r="C280" t="s">
        <v>3607</v>
      </c>
      <c r="D280">
        <v>297</v>
      </c>
      <c r="E280" t="s">
        <v>1511</v>
      </c>
      <c r="F280" t="s">
        <v>1511</v>
      </c>
      <c r="I280" t="s">
        <v>3238</v>
      </c>
      <c r="J280" t="s">
        <v>26</v>
      </c>
      <c r="K280" t="s">
        <v>26</v>
      </c>
      <c r="L280">
        <v>3</v>
      </c>
      <c r="M280">
        <v>2</v>
      </c>
      <c r="N280" t="s">
        <v>1795</v>
      </c>
      <c r="O280" t="s">
        <v>1447</v>
      </c>
      <c r="P280" t="s">
        <v>1444</v>
      </c>
      <c r="Q280" t="s">
        <v>1443</v>
      </c>
      <c r="R280" t="s">
        <v>514</v>
      </c>
      <c r="S280" t="s">
        <v>1796</v>
      </c>
    </row>
    <row r="281" spans="1:19">
      <c r="A281" t="s">
        <v>4212</v>
      </c>
      <c r="B281" t="s">
        <v>511</v>
      </c>
      <c r="C281" t="s">
        <v>3607</v>
      </c>
      <c r="D281" t="s">
        <v>512</v>
      </c>
      <c r="E281" t="s">
        <v>1797</v>
      </c>
      <c r="F281">
        <v>4</v>
      </c>
      <c r="H281" t="s">
        <v>3662</v>
      </c>
      <c r="I281" t="s">
        <v>3238</v>
      </c>
      <c r="J281" t="s">
        <v>26</v>
      </c>
      <c r="K281" t="s">
        <v>26</v>
      </c>
      <c r="L281">
        <v>3</v>
      </c>
      <c r="M281">
        <v>2</v>
      </c>
      <c r="N281" t="s">
        <v>1795</v>
      </c>
      <c r="O281" t="s">
        <v>1447</v>
      </c>
      <c r="P281" t="s">
        <v>1798</v>
      </c>
      <c r="Q281" t="s">
        <v>1443</v>
      </c>
      <c r="R281" t="s">
        <v>514</v>
      </c>
      <c r="S281" t="s">
        <v>1799</v>
      </c>
    </row>
    <row r="282" spans="1:19">
      <c r="A282" t="s">
        <v>4170</v>
      </c>
      <c r="B282" t="s">
        <v>1731</v>
      </c>
      <c r="C282" t="s">
        <v>3607</v>
      </c>
      <c r="D282">
        <v>289</v>
      </c>
      <c r="E282" t="s">
        <v>1732</v>
      </c>
      <c r="F282">
        <v>4</v>
      </c>
      <c r="G282">
        <v>1</v>
      </c>
      <c r="H282" t="s">
        <v>3658</v>
      </c>
      <c r="I282" t="s">
        <v>3238</v>
      </c>
      <c r="J282" t="s">
        <v>26</v>
      </c>
      <c r="K282" t="s">
        <v>26</v>
      </c>
      <c r="L282">
        <v>4</v>
      </c>
      <c r="M282">
        <v>1</v>
      </c>
      <c r="N282" t="s">
        <v>1733</v>
      </c>
      <c r="O282" t="s">
        <v>1457</v>
      </c>
      <c r="P282" t="s">
        <v>1444</v>
      </c>
      <c r="Q282" t="s">
        <v>1443</v>
      </c>
      <c r="R282" t="s">
        <v>1444</v>
      </c>
      <c r="S282" t="s">
        <v>1734</v>
      </c>
    </row>
    <row r="283" spans="1:19">
      <c r="A283" t="s">
        <v>4188</v>
      </c>
      <c r="B283" t="s">
        <v>492</v>
      </c>
      <c r="C283" t="s">
        <v>3607</v>
      </c>
      <c r="D283">
        <v>292</v>
      </c>
      <c r="E283" t="s">
        <v>1511</v>
      </c>
      <c r="F283" t="s">
        <v>1511</v>
      </c>
      <c r="I283" t="s">
        <v>3238</v>
      </c>
      <c r="J283" t="s">
        <v>26</v>
      </c>
      <c r="K283" t="s">
        <v>26</v>
      </c>
      <c r="L283">
        <v>4</v>
      </c>
      <c r="M283">
        <v>1</v>
      </c>
      <c r="N283" t="s">
        <v>1733</v>
      </c>
      <c r="O283" t="s">
        <v>1513</v>
      </c>
      <c r="P283" t="s">
        <v>1444</v>
      </c>
      <c r="Q283" t="s">
        <v>1513</v>
      </c>
      <c r="R283" t="s">
        <v>486</v>
      </c>
      <c r="S283" t="s">
        <v>1763</v>
      </c>
    </row>
    <row r="284" spans="1:19">
      <c r="A284" t="s">
        <v>4204</v>
      </c>
      <c r="B284" t="s">
        <v>500</v>
      </c>
      <c r="C284" t="s">
        <v>3542</v>
      </c>
      <c r="D284">
        <v>19</v>
      </c>
      <c r="E284" t="s">
        <v>3541</v>
      </c>
      <c r="F284">
        <v>10</v>
      </c>
      <c r="G284">
        <v>1</v>
      </c>
      <c r="H284" t="s">
        <v>3659</v>
      </c>
      <c r="I284" t="s">
        <v>3238</v>
      </c>
      <c r="J284" t="s">
        <v>26</v>
      </c>
      <c r="K284" t="s">
        <v>26</v>
      </c>
      <c r="L284">
        <v>4</v>
      </c>
      <c r="M284">
        <v>2</v>
      </c>
      <c r="N284" t="s">
        <v>1785</v>
      </c>
      <c r="O284" t="s">
        <v>1457</v>
      </c>
      <c r="P284" t="s">
        <v>1444</v>
      </c>
      <c r="Q284" t="s">
        <v>1443</v>
      </c>
      <c r="R284" t="s">
        <v>1786</v>
      </c>
      <c r="S284" t="s">
        <v>3544</v>
      </c>
    </row>
    <row r="285" spans="1:19">
      <c r="A285" t="s">
        <v>4213</v>
      </c>
      <c r="B285" t="s">
        <v>537</v>
      </c>
      <c r="C285" t="s">
        <v>3607</v>
      </c>
      <c r="D285" t="s">
        <v>512</v>
      </c>
      <c r="E285" t="s">
        <v>1800</v>
      </c>
      <c r="F285">
        <v>3</v>
      </c>
      <c r="H285" t="s">
        <v>3663</v>
      </c>
      <c r="I285" t="s">
        <v>3238</v>
      </c>
      <c r="J285" t="s">
        <v>26</v>
      </c>
      <c r="K285" t="s">
        <v>26</v>
      </c>
      <c r="L285">
        <v>4</v>
      </c>
      <c r="M285">
        <v>2</v>
      </c>
      <c r="N285" t="s">
        <v>1785</v>
      </c>
      <c r="O285" t="s">
        <v>1447</v>
      </c>
      <c r="P285" t="s">
        <v>1798</v>
      </c>
      <c r="Q285" t="s">
        <v>1443</v>
      </c>
      <c r="R285" t="s">
        <v>511</v>
      </c>
      <c r="S285" t="s">
        <v>1801</v>
      </c>
    </row>
    <row r="286" spans="1:19">
      <c r="A286" t="s">
        <v>4214</v>
      </c>
      <c r="B286" t="s">
        <v>513</v>
      </c>
      <c r="C286" t="s">
        <v>3607</v>
      </c>
      <c r="D286">
        <v>298</v>
      </c>
      <c r="E286" t="s">
        <v>1511</v>
      </c>
      <c r="F286" t="s">
        <v>1511</v>
      </c>
      <c r="I286" t="s">
        <v>3238</v>
      </c>
      <c r="J286" t="s">
        <v>26</v>
      </c>
      <c r="K286" t="s">
        <v>26</v>
      </c>
      <c r="L286">
        <v>4</v>
      </c>
      <c r="M286">
        <v>2</v>
      </c>
      <c r="N286" t="s">
        <v>1785</v>
      </c>
      <c r="O286" t="s">
        <v>1513</v>
      </c>
      <c r="P286" t="s">
        <v>1444</v>
      </c>
      <c r="Q286" t="s">
        <v>1513</v>
      </c>
      <c r="R286" t="s">
        <v>511</v>
      </c>
      <c r="S286" t="s">
        <v>1802</v>
      </c>
    </row>
    <row r="287" spans="1:19">
      <c r="A287" t="s">
        <v>4171</v>
      </c>
      <c r="B287" t="s">
        <v>1735</v>
      </c>
      <c r="C287" t="s">
        <v>3607</v>
      </c>
      <c r="D287">
        <v>289</v>
      </c>
      <c r="E287" t="s">
        <v>1511</v>
      </c>
      <c r="F287" t="s">
        <v>1511</v>
      </c>
      <c r="I287" t="s">
        <v>3238</v>
      </c>
      <c r="J287" t="s">
        <v>26</v>
      </c>
      <c r="K287" t="s">
        <v>26</v>
      </c>
      <c r="L287">
        <v>5</v>
      </c>
      <c r="M287">
        <v>2</v>
      </c>
      <c r="N287" t="s">
        <v>1736</v>
      </c>
      <c r="O287" t="s">
        <v>1513</v>
      </c>
      <c r="P287" t="s">
        <v>1444</v>
      </c>
      <c r="Q287" t="s">
        <v>1513</v>
      </c>
      <c r="R287" t="s">
        <v>1731</v>
      </c>
      <c r="S287" t="s">
        <v>1737</v>
      </c>
    </row>
    <row r="288" spans="1:19">
      <c r="A288" t="s">
        <v>4172</v>
      </c>
      <c r="B288" t="s">
        <v>528</v>
      </c>
      <c r="C288" t="s">
        <v>3607</v>
      </c>
      <c r="D288" t="s">
        <v>529</v>
      </c>
      <c r="E288" t="s">
        <v>1497</v>
      </c>
      <c r="F288">
        <v>6</v>
      </c>
      <c r="I288" t="s">
        <v>3238</v>
      </c>
      <c r="J288" t="s">
        <v>26</v>
      </c>
      <c r="K288" t="s">
        <v>26</v>
      </c>
      <c r="L288">
        <v>5</v>
      </c>
      <c r="M288">
        <v>2</v>
      </c>
      <c r="N288" t="s">
        <v>1736</v>
      </c>
      <c r="O288" t="s">
        <v>1457</v>
      </c>
      <c r="P288" t="s">
        <v>1523</v>
      </c>
      <c r="Q288" t="s">
        <v>1443</v>
      </c>
      <c r="R288" t="s">
        <v>1731</v>
      </c>
      <c r="S288" t="s">
        <v>1738</v>
      </c>
    </row>
    <row r="289" spans="1:19">
      <c r="A289" t="s">
        <v>4173</v>
      </c>
      <c r="B289" t="s">
        <v>483</v>
      </c>
      <c r="C289" t="s">
        <v>3607</v>
      </c>
      <c r="D289">
        <v>290</v>
      </c>
      <c r="E289" t="s">
        <v>1511</v>
      </c>
      <c r="F289" t="s">
        <v>1511</v>
      </c>
      <c r="I289" t="s">
        <v>3238</v>
      </c>
      <c r="J289" t="s">
        <v>26</v>
      </c>
      <c r="K289" t="s">
        <v>26</v>
      </c>
      <c r="L289">
        <v>5</v>
      </c>
      <c r="M289">
        <v>2</v>
      </c>
      <c r="N289" t="s">
        <v>1736</v>
      </c>
      <c r="O289" t="s">
        <v>1513</v>
      </c>
      <c r="P289" t="s">
        <v>1444</v>
      </c>
      <c r="Q289" t="s">
        <v>1513</v>
      </c>
      <c r="R289" t="s">
        <v>1739</v>
      </c>
      <c r="S289" t="s">
        <v>1740</v>
      </c>
    </row>
    <row r="290" spans="1:19">
      <c r="A290" t="s">
        <v>4174</v>
      </c>
      <c r="B290" t="s">
        <v>504</v>
      </c>
      <c r="C290" t="s">
        <v>3607</v>
      </c>
      <c r="D290" t="s">
        <v>505</v>
      </c>
      <c r="E290" t="s">
        <v>1511</v>
      </c>
      <c r="F290" t="s">
        <v>1511</v>
      </c>
      <c r="I290" t="s">
        <v>3238</v>
      </c>
      <c r="J290" t="s">
        <v>26</v>
      </c>
      <c r="K290" t="s">
        <v>26</v>
      </c>
      <c r="L290">
        <v>5</v>
      </c>
      <c r="M290">
        <v>2</v>
      </c>
      <c r="N290" t="s">
        <v>1736</v>
      </c>
      <c r="O290" t="s">
        <v>1513</v>
      </c>
      <c r="P290" t="s">
        <v>1705</v>
      </c>
      <c r="Q290" t="s">
        <v>1513</v>
      </c>
      <c r="R290" t="s">
        <v>483</v>
      </c>
      <c r="S290" t="s">
        <v>1741</v>
      </c>
    </row>
    <row r="291" spans="1:19">
      <c r="A291" t="s">
        <v>4175</v>
      </c>
      <c r="B291" t="s">
        <v>496</v>
      </c>
      <c r="C291" t="s">
        <v>3607</v>
      </c>
      <c r="D291">
        <v>290</v>
      </c>
      <c r="E291" t="s">
        <v>1467</v>
      </c>
      <c r="F291">
        <v>5</v>
      </c>
      <c r="G291">
        <v>1</v>
      </c>
      <c r="I291" t="s">
        <v>3238</v>
      </c>
      <c r="J291" t="s">
        <v>26</v>
      </c>
      <c r="K291" t="s">
        <v>26</v>
      </c>
      <c r="L291">
        <v>5</v>
      </c>
      <c r="M291">
        <v>3</v>
      </c>
      <c r="N291" t="s">
        <v>1742</v>
      </c>
      <c r="O291" t="s">
        <v>1457</v>
      </c>
      <c r="P291" t="s">
        <v>1444</v>
      </c>
      <c r="Q291" t="s">
        <v>1443</v>
      </c>
      <c r="R291" t="s">
        <v>504</v>
      </c>
      <c r="S291" t="s">
        <v>1743</v>
      </c>
    </row>
    <row r="292" spans="1:19">
      <c r="A292" t="s">
        <v>4176</v>
      </c>
      <c r="B292" t="s">
        <v>495</v>
      </c>
      <c r="C292" t="s">
        <v>3607</v>
      </c>
      <c r="D292">
        <v>290</v>
      </c>
      <c r="E292" t="s">
        <v>1511</v>
      </c>
      <c r="F292" t="s">
        <v>1511</v>
      </c>
      <c r="I292" t="s">
        <v>3238</v>
      </c>
      <c r="J292" t="s">
        <v>26</v>
      </c>
      <c r="K292" t="s">
        <v>26</v>
      </c>
      <c r="L292">
        <v>5</v>
      </c>
      <c r="M292">
        <v>3</v>
      </c>
      <c r="N292" t="s">
        <v>1742</v>
      </c>
      <c r="O292" t="s">
        <v>1513</v>
      </c>
      <c r="P292" t="s">
        <v>1444</v>
      </c>
      <c r="Q292" t="s">
        <v>1513</v>
      </c>
      <c r="R292" t="s">
        <v>496</v>
      </c>
      <c r="S292" t="s">
        <v>1744</v>
      </c>
    </row>
    <row r="293" spans="1:19">
      <c r="A293" t="s">
        <v>4177</v>
      </c>
      <c r="B293" t="s">
        <v>526</v>
      </c>
      <c r="C293" t="s">
        <v>3607</v>
      </c>
      <c r="D293" t="s">
        <v>505</v>
      </c>
      <c r="E293" t="s">
        <v>1511</v>
      </c>
      <c r="F293" t="s">
        <v>1511</v>
      </c>
      <c r="I293" t="s">
        <v>3238</v>
      </c>
      <c r="J293" t="s">
        <v>26</v>
      </c>
      <c r="K293" t="s">
        <v>26</v>
      </c>
      <c r="L293">
        <v>5</v>
      </c>
      <c r="M293">
        <v>3</v>
      </c>
      <c r="N293" t="s">
        <v>1742</v>
      </c>
      <c r="O293" t="s">
        <v>1513</v>
      </c>
      <c r="P293" t="s">
        <v>1444</v>
      </c>
      <c r="Q293" t="s">
        <v>1513</v>
      </c>
      <c r="R293" t="s">
        <v>495</v>
      </c>
      <c r="S293" t="s">
        <v>1745</v>
      </c>
    </row>
    <row r="294" spans="1:19">
      <c r="A294" t="s">
        <v>4178</v>
      </c>
      <c r="B294" t="s">
        <v>530</v>
      </c>
      <c r="C294" t="s">
        <v>3607</v>
      </c>
      <c r="D294">
        <v>290</v>
      </c>
      <c r="E294" t="s">
        <v>1599</v>
      </c>
      <c r="F294">
        <v>10</v>
      </c>
      <c r="G294">
        <v>1</v>
      </c>
      <c r="I294" t="s">
        <v>3238</v>
      </c>
      <c r="J294" t="s">
        <v>26</v>
      </c>
      <c r="K294" t="s">
        <v>26</v>
      </c>
      <c r="L294">
        <v>5</v>
      </c>
      <c r="M294">
        <v>3</v>
      </c>
      <c r="N294" t="s">
        <v>1742</v>
      </c>
      <c r="O294" t="s">
        <v>1457</v>
      </c>
      <c r="P294" t="s">
        <v>1444</v>
      </c>
      <c r="Q294" t="s">
        <v>1547</v>
      </c>
      <c r="R294" t="s">
        <v>483</v>
      </c>
      <c r="S294" t="s">
        <v>1746</v>
      </c>
    </row>
    <row r="295" spans="1:19">
      <c r="A295" t="s">
        <v>4179</v>
      </c>
      <c r="B295" t="s">
        <v>539</v>
      </c>
      <c r="C295" t="s">
        <v>3607</v>
      </c>
      <c r="D295" t="s">
        <v>540</v>
      </c>
      <c r="E295" t="s">
        <v>1511</v>
      </c>
      <c r="F295" t="s">
        <v>1511</v>
      </c>
      <c r="I295" t="s">
        <v>3238</v>
      </c>
      <c r="J295" t="s">
        <v>26</v>
      </c>
      <c r="K295" t="s">
        <v>26</v>
      </c>
      <c r="L295">
        <v>5</v>
      </c>
      <c r="M295">
        <v>3</v>
      </c>
      <c r="N295" t="s">
        <v>1742</v>
      </c>
      <c r="O295" t="s">
        <v>1447</v>
      </c>
      <c r="P295" t="s">
        <v>1444</v>
      </c>
      <c r="Q295" t="s">
        <v>1443</v>
      </c>
      <c r="R295" t="s">
        <v>530</v>
      </c>
      <c r="S295" t="s">
        <v>1747</v>
      </c>
    </row>
    <row r="296" spans="1:19">
      <c r="A296" t="s">
        <v>4180</v>
      </c>
      <c r="B296" t="s">
        <v>538</v>
      </c>
      <c r="C296" t="s">
        <v>3607</v>
      </c>
      <c r="D296">
        <v>291</v>
      </c>
      <c r="E296" t="s">
        <v>1599</v>
      </c>
      <c r="F296">
        <v>10</v>
      </c>
      <c r="G296">
        <v>1</v>
      </c>
      <c r="I296" t="s">
        <v>3238</v>
      </c>
      <c r="J296" t="s">
        <v>26</v>
      </c>
      <c r="K296" t="s">
        <v>26</v>
      </c>
      <c r="L296">
        <v>5</v>
      </c>
      <c r="M296">
        <v>4</v>
      </c>
      <c r="N296" t="s">
        <v>1748</v>
      </c>
      <c r="O296" t="s">
        <v>1447</v>
      </c>
      <c r="P296" t="s">
        <v>1444</v>
      </c>
      <c r="Q296" t="s">
        <v>1443</v>
      </c>
      <c r="R296" t="s">
        <v>526</v>
      </c>
      <c r="S296" t="s">
        <v>1749</v>
      </c>
    </row>
    <row r="297" spans="1:19">
      <c r="A297" t="s">
        <v>4181</v>
      </c>
      <c r="B297" t="s">
        <v>515</v>
      </c>
      <c r="C297" t="s">
        <v>3607</v>
      </c>
      <c r="D297" t="s">
        <v>516</v>
      </c>
      <c r="E297" t="s">
        <v>1511</v>
      </c>
      <c r="F297" t="s">
        <v>1511</v>
      </c>
      <c r="I297" t="s">
        <v>3238</v>
      </c>
      <c r="J297" t="s">
        <v>26</v>
      </c>
      <c r="K297" t="s">
        <v>26</v>
      </c>
      <c r="L297">
        <v>5</v>
      </c>
      <c r="M297">
        <v>4</v>
      </c>
      <c r="N297" t="s">
        <v>1748</v>
      </c>
      <c r="O297" t="s">
        <v>1513</v>
      </c>
      <c r="P297" t="s">
        <v>1705</v>
      </c>
      <c r="Q297" t="s">
        <v>1513</v>
      </c>
      <c r="R297" t="s">
        <v>526</v>
      </c>
      <c r="S297" t="s">
        <v>1750</v>
      </c>
    </row>
    <row r="298" spans="1:19">
      <c r="A298" t="s">
        <v>4182</v>
      </c>
      <c r="B298" t="s">
        <v>510</v>
      </c>
      <c r="C298" t="s">
        <v>3607</v>
      </c>
      <c r="D298">
        <v>291</v>
      </c>
      <c r="E298" t="s">
        <v>1751</v>
      </c>
      <c r="H298" t="s">
        <v>1751</v>
      </c>
      <c r="I298" t="s">
        <v>3238</v>
      </c>
      <c r="J298" t="s">
        <v>26</v>
      </c>
      <c r="K298" t="s">
        <v>26</v>
      </c>
      <c r="L298">
        <v>5</v>
      </c>
      <c r="M298">
        <v>5</v>
      </c>
      <c r="N298" t="s">
        <v>1752</v>
      </c>
      <c r="O298" t="s">
        <v>1457</v>
      </c>
      <c r="P298" t="s">
        <v>1444</v>
      </c>
      <c r="Q298" t="s">
        <v>1443</v>
      </c>
      <c r="R298" t="s">
        <v>538</v>
      </c>
      <c r="S298" t="s">
        <v>1753</v>
      </c>
    </row>
    <row r="299" spans="1:19">
      <c r="A299" t="s">
        <v>4183</v>
      </c>
      <c r="B299" t="s">
        <v>527</v>
      </c>
      <c r="C299" t="s">
        <v>3607</v>
      </c>
      <c r="D299">
        <v>291</v>
      </c>
      <c r="E299" t="s">
        <v>1511</v>
      </c>
      <c r="F299" t="s">
        <v>1511</v>
      </c>
      <c r="I299" t="s">
        <v>3238</v>
      </c>
      <c r="J299" t="s">
        <v>26</v>
      </c>
      <c r="K299" t="s">
        <v>26</v>
      </c>
      <c r="L299">
        <v>5</v>
      </c>
      <c r="M299">
        <v>5</v>
      </c>
      <c r="N299" t="s">
        <v>1752</v>
      </c>
      <c r="O299" t="s">
        <v>1513</v>
      </c>
      <c r="P299" t="s">
        <v>1444</v>
      </c>
      <c r="Q299" t="s">
        <v>1513</v>
      </c>
      <c r="R299" t="s">
        <v>510</v>
      </c>
      <c r="S299" t="s">
        <v>1754</v>
      </c>
    </row>
    <row r="300" spans="1:19">
      <c r="A300" t="s">
        <v>4184</v>
      </c>
      <c r="B300" t="s">
        <v>531</v>
      </c>
      <c r="C300" t="s">
        <v>3607</v>
      </c>
      <c r="D300" t="s">
        <v>516</v>
      </c>
      <c r="E300" t="s">
        <v>1511</v>
      </c>
      <c r="F300" t="s">
        <v>1511</v>
      </c>
      <c r="I300" t="s">
        <v>3238</v>
      </c>
      <c r="J300" t="s">
        <v>26</v>
      </c>
      <c r="K300" t="s">
        <v>26</v>
      </c>
      <c r="L300">
        <v>5</v>
      </c>
      <c r="M300">
        <v>5</v>
      </c>
      <c r="N300" t="s">
        <v>1752</v>
      </c>
      <c r="O300" t="s">
        <v>1513</v>
      </c>
      <c r="P300" t="s">
        <v>1444</v>
      </c>
      <c r="Q300" t="s">
        <v>1513</v>
      </c>
      <c r="R300" t="s">
        <v>515</v>
      </c>
      <c r="S300" t="s">
        <v>1755</v>
      </c>
    </row>
    <row r="301" spans="1:19">
      <c r="A301" t="s">
        <v>4185</v>
      </c>
      <c r="B301" t="s">
        <v>541</v>
      </c>
      <c r="C301" t="s">
        <v>3607</v>
      </c>
      <c r="D301">
        <v>292</v>
      </c>
      <c r="E301" t="s">
        <v>1511</v>
      </c>
      <c r="F301" t="s">
        <v>1511</v>
      </c>
      <c r="I301" t="s">
        <v>3238</v>
      </c>
      <c r="J301" t="s">
        <v>26</v>
      </c>
      <c r="K301" t="s">
        <v>26</v>
      </c>
      <c r="L301">
        <v>5</v>
      </c>
      <c r="M301">
        <v>5</v>
      </c>
      <c r="N301" t="s">
        <v>1752</v>
      </c>
      <c r="O301" t="s">
        <v>1447</v>
      </c>
      <c r="P301" t="s">
        <v>1444</v>
      </c>
      <c r="Q301" t="s">
        <v>1443</v>
      </c>
      <c r="R301" t="s">
        <v>1756</v>
      </c>
      <c r="S301" t="s">
        <v>1757</v>
      </c>
    </row>
    <row r="302" spans="1:19">
      <c r="A302" t="s">
        <v>4186</v>
      </c>
      <c r="B302" t="s">
        <v>506</v>
      </c>
      <c r="C302" t="s">
        <v>3607</v>
      </c>
      <c r="D302">
        <v>292</v>
      </c>
      <c r="E302" t="s">
        <v>1758</v>
      </c>
      <c r="H302" t="s">
        <v>1758</v>
      </c>
      <c r="I302" t="s">
        <v>3238</v>
      </c>
      <c r="J302" t="s">
        <v>26</v>
      </c>
      <c r="K302" t="s">
        <v>26</v>
      </c>
      <c r="L302">
        <v>5</v>
      </c>
      <c r="M302">
        <v>5</v>
      </c>
      <c r="N302" t="s">
        <v>1759</v>
      </c>
      <c r="O302" t="s">
        <v>1447</v>
      </c>
      <c r="P302" t="s">
        <v>1444</v>
      </c>
      <c r="Q302" t="s">
        <v>1443</v>
      </c>
      <c r="R302" t="s">
        <v>1760</v>
      </c>
      <c r="S302" t="s">
        <v>1761</v>
      </c>
    </row>
    <row r="303" spans="1:19">
      <c r="A303" t="s">
        <v>4189</v>
      </c>
      <c r="B303" t="s">
        <v>490</v>
      </c>
      <c r="C303" t="s">
        <v>3607</v>
      </c>
      <c r="D303" t="s">
        <v>491</v>
      </c>
      <c r="E303" t="s">
        <v>1511</v>
      </c>
      <c r="F303" t="s">
        <v>1511</v>
      </c>
      <c r="I303" t="s">
        <v>3238</v>
      </c>
      <c r="J303" t="s">
        <v>26</v>
      </c>
      <c r="K303" t="s">
        <v>26</v>
      </c>
      <c r="L303">
        <v>5</v>
      </c>
      <c r="M303">
        <v>1</v>
      </c>
      <c r="N303" t="s">
        <v>1764</v>
      </c>
      <c r="O303" t="s">
        <v>1513</v>
      </c>
      <c r="P303" t="s">
        <v>1444</v>
      </c>
      <c r="Q303" t="s">
        <v>1513</v>
      </c>
      <c r="R303" t="s">
        <v>492</v>
      </c>
      <c r="S303" t="s">
        <v>1765</v>
      </c>
    </row>
    <row r="304" spans="1:19">
      <c r="A304" t="s">
        <v>4191</v>
      </c>
      <c r="B304" t="s">
        <v>522</v>
      </c>
      <c r="C304" t="s">
        <v>3607</v>
      </c>
      <c r="D304" t="s">
        <v>523</v>
      </c>
      <c r="E304" t="s">
        <v>1511</v>
      </c>
      <c r="F304" t="s">
        <v>1511</v>
      </c>
      <c r="I304" t="s">
        <v>3238</v>
      </c>
      <c r="J304" t="s">
        <v>26</v>
      </c>
      <c r="K304" t="s">
        <v>26</v>
      </c>
      <c r="L304">
        <v>5</v>
      </c>
      <c r="M304">
        <v>1</v>
      </c>
      <c r="N304" t="s">
        <v>1764</v>
      </c>
      <c r="O304" t="s">
        <v>1513</v>
      </c>
      <c r="P304" t="s">
        <v>1444</v>
      </c>
      <c r="Q304" t="s">
        <v>1513</v>
      </c>
      <c r="R304" t="s">
        <v>1767</v>
      </c>
      <c r="S304" t="s">
        <v>1768</v>
      </c>
    </row>
    <row r="305" spans="1:19">
      <c r="A305" t="s">
        <v>4192</v>
      </c>
      <c r="B305" t="s">
        <v>533</v>
      </c>
      <c r="C305" t="s">
        <v>3607</v>
      </c>
      <c r="D305" t="s">
        <v>534</v>
      </c>
      <c r="E305" t="s">
        <v>1511</v>
      </c>
      <c r="F305" t="s">
        <v>1511</v>
      </c>
      <c r="I305" t="s">
        <v>3238</v>
      </c>
      <c r="J305" t="s">
        <v>26</v>
      </c>
      <c r="K305" t="s">
        <v>26</v>
      </c>
      <c r="L305">
        <v>5</v>
      </c>
      <c r="M305">
        <v>2</v>
      </c>
      <c r="N305" t="s">
        <v>1736</v>
      </c>
      <c r="O305" t="s">
        <v>1513</v>
      </c>
      <c r="P305" t="s">
        <v>1444</v>
      </c>
      <c r="Q305" t="s">
        <v>1513</v>
      </c>
      <c r="R305" t="s">
        <v>1769</v>
      </c>
      <c r="S305" t="s">
        <v>1770</v>
      </c>
    </row>
    <row r="306" spans="1:19">
      <c r="A306" t="s">
        <v>4193</v>
      </c>
      <c r="B306" t="s">
        <v>535</v>
      </c>
      <c r="C306" s="18" t="s">
        <v>3607</v>
      </c>
      <c r="D306">
        <v>293</v>
      </c>
      <c r="E306" s="18" t="s">
        <v>1599</v>
      </c>
      <c r="F306" s="18">
        <v>10</v>
      </c>
      <c r="G306" s="18">
        <v>1</v>
      </c>
      <c r="H306" s="18"/>
      <c r="I306" s="18" t="s">
        <v>3238</v>
      </c>
      <c r="J306" t="s">
        <v>26</v>
      </c>
      <c r="K306" t="s">
        <v>26</v>
      </c>
      <c r="L306">
        <v>5</v>
      </c>
      <c r="M306">
        <v>2</v>
      </c>
      <c r="N306" t="s">
        <v>1736</v>
      </c>
      <c r="O306" t="s">
        <v>1447</v>
      </c>
      <c r="P306" t="s">
        <v>1444</v>
      </c>
      <c r="Q306" t="s">
        <v>1443</v>
      </c>
      <c r="R306" t="s">
        <v>498</v>
      </c>
      <c r="S306" s="18" t="s">
        <v>1771</v>
      </c>
    </row>
    <row r="307" spans="1:19">
      <c r="A307" t="s">
        <v>4194</v>
      </c>
      <c r="B307" t="s">
        <v>503</v>
      </c>
      <c r="C307" t="s">
        <v>3607</v>
      </c>
      <c r="D307">
        <v>294</v>
      </c>
      <c r="E307" t="s">
        <v>1511</v>
      </c>
      <c r="F307" t="s">
        <v>1511</v>
      </c>
      <c r="I307" t="s">
        <v>3238</v>
      </c>
      <c r="J307" t="s">
        <v>26</v>
      </c>
      <c r="K307" t="s">
        <v>26</v>
      </c>
      <c r="L307">
        <v>5</v>
      </c>
      <c r="M307">
        <v>3</v>
      </c>
      <c r="N307" t="s">
        <v>1742</v>
      </c>
      <c r="O307" t="s">
        <v>1513</v>
      </c>
      <c r="P307" t="s">
        <v>1444</v>
      </c>
      <c r="Q307" t="s">
        <v>1513</v>
      </c>
      <c r="R307" t="s">
        <v>533</v>
      </c>
      <c r="S307" t="s">
        <v>1772</v>
      </c>
    </row>
    <row r="308" spans="1:19">
      <c r="A308" t="s">
        <v>4195</v>
      </c>
      <c r="B308" t="s">
        <v>1773</v>
      </c>
      <c r="C308" t="s">
        <v>3607</v>
      </c>
      <c r="D308">
        <v>294</v>
      </c>
      <c r="E308" t="s">
        <v>1467</v>
      </c>
      <c r="F308">
        <v>5</v>
      </c>
      <c r="G308">
        <v>1</v>
      </c>
      <c r="I308" t="s">
        <v>3238</v>
      </c>
      <c r="J308" t="s">
        <v>26</v>
      </c>
      <c r="K308" t="s">
        <v>26</v>
      </c>
      <c r="L308">
        <v>5</v>
      </c>
      <c r="M308">
        <v>3</v>
      </c>
      <c r="N308" t="s">
        <v>1742</v>
      </c>
      <c r="O308" t="s">
        <v>1457</v>
      </c>
      <c r="P308" t="s">
        <v>1774</v>
      </c>
      <c r="Q308" t="s">
        <v>1443</v>
      </c>
      <c r="R308" t="s">
        <v>1775</v>
      </c>
      <c r="S308" t="s">
        <v>1776</v>
      </c>
    </row>
    <row r="309" spans="1:19">
      <c r="A309" t="s">
        <v>4196</v>
      </c>
      <c r="B309" t="s">
        <v>525</v>
      </c>
      <c r="C309" t="s">
        <v>3607</v>
      </c>
      <c r="D309">
        <v>294</v>
      </c>
      <c r="E309" t="s">
        <v>1497</v>
      </c>
      <c r="F309">
        <v>6</v>
      </c>
      <c r="I309" t="s">
        <v>3238</v>
      </c>
      <c r="J309" t="s">
        <v>26</v>
      </c>
      <c r="K309" t="s">
        <v>26</v>
      </c>
      <c r="L309">
        <v>5</v>
      </c>
      <c r="M309">
        <v>1</v>
      </c>
      <c r="N309" t="s">
        <v>1764</v>
      </c>
      <c r="O309" t="s">
        <v>1457</v>
      </c>
      <c r="P309" t="s">
        <v>1523</v>
      </c>
      <c r="Q309" t="s">
        <v>1693</v>
      </c>
      <c r="R309" t="s">
        <v>498</v>
      </c>
      <c r="S309" t="s">
        <v>1777</v>
      </c>
    </row>
    <row r="310" spans="1:19">
      <c r="A310" t="s">
        <v>4197</v>
      </c>
      <c r="B310" t="s">
        <v>507</v>
      </c>
      <c r="C310" t="s">
        <v>3607</v>
      </c>
      <c r="D310" t="s">
        <v>508</v>
      </c>
      <c r="E310" t="s">
        <v>1541</v>
      </c>
      <c r="F310">
        <v>5</v>
      </c>
      <c r="I310" t="s">
        <v>3238</v>
      </c>
      <c r="J310" t="s">
        <v>26</v>
      </c>
      <c r="K310" t="s">
        <v>26</v>
      </c>
      <c r="L310">
        <v>5</v>
      </c>
      <c r="M310">
        <v>1</v>
      </c>
      <c r="N310" t="s">
        <v>1764</v>
      </c>
      <c r="O310" t="s">
        <v>1457</v>
      </c>
      <c r="P310" t="s">
        <v>1444</v>
      </c>
      <c r="Q310" t="s">
        <v>1443</v>
      </c>
      <c r="R310" t="s">
        <v>498</v>
      </c>
      <c r="S310" t="s">
        <v>1778</v>
      </c>
    </row>
    <row r="311" spans="1:19">
      <c r="A311" t="s">
        <v>4199</v>
      </c>
      <c r="B311" t="s">
        <v>485</v>
      </c>
      <c r="C311" t="s">
        <v>3607</v>
      </c>
      <c r="D311" t="s">
        <v>494</v>
      </c>
      <c r="E311" t="s">
        <v>1456</v>
      </c>
      <c r="F311">
        <v>4</v>
      </c>
      <c r="G311">
        <v>1</v>
      </c>
      <c r="I311" t="s">
        <v>3238</v>
      </c>
      <c r="J311" t="s">
        <v>26</v>
      </c>
      <c r="K311" t="s">
        <v>26</v>
      </c>
      <c r="L311">
        <v>5</v>
      </c>
      <c r="M311">
        <v>1</v>
      </c>
      <c r="N311" t="s">
        <v>1764</v>
      </c>
      <c r="O311" t="s">
        <v>1457</v>
      </c>
      <c r="P311" t="s">
        <v>1444</v>
      </c>
      <c r="Q311" t="s">
        <v>1443</v>
      </c>
      <c r="R311" t="s">
        <v>497</v>
      </c>
      <c r="S311" t="s">
        <v>1780</v>
      </c>
    </row>
    <row r="312" spans="1:19">
      <c r="A312" t="s">
        <v>4200</v>
      </c>
      <c r="B312" t="s">
        <v>484</v>
      </c>
      <c r="C312" t="s">
        <v>3607</v>
      </c>
      <c r="D312">
        <v>295</v>
      </c>
      <c r="E312" t="s">
        <v>1511</v>
      </c>
      <c r="F312" t="s">
        <v>1511</v>
      </c>
      <c r="I312" t="s">
        <v>3238</v>
      </c>
      <c r="J312" t="s">
        <v>26</v>
      </c>
      <c r="K312" t="s">
        <v>26</v>
      </c>
      <c r="L312">
        <v>5</v>
      </c>
      <c r="M312">
        <v>1</v>
      </c>
      <c r="N312" t="s">
        <v>1764</v>
      </c>
      <c r="O312" t="s">
        <v>1513</v>
      </c>
      <c r="P312" t="s">
        <v>1444</v>
      </c>
      <c r="Q312" t="s">
        <v>1513</v>
      </c>
      <c r="R312" t="s">
        <v>485</v>
      </c>
      <c r="S312" t="s">
        <v>1781</v>
      </c>
    </row>
    <row r="313" spans="1:19">
      <c r="A313" t="s">
        <v>4201</v>
      </c>
      <c r="B313" t="s">
        <v>521</v>
      </c>
      <c r="C313" t="s">
        <v>3607</v>
      </c>
      <c r="D313">
        <v>295</v>
      </c>
      <c r="E313" t="s">
        <v>1497</v>
      </c>
      <c r="F313">
        <v>6</v>
      </c>
      <c r="I313" t="s">
        <v>3238</v>
      </c>
      <c r="J313" t="s">
        <v>26</v>
      </c>
      <c r="K313" t="s">
        <v>26</v>
      </c>
      <c r="L313">
        <v>5</v>
      </c>
      <c r="M313">
        <v>2</v>
      </c>
      <c r="N313" t="s">
        <v>1736</v>
      </c>
      <c r="O313" t="s">
        <v>1457</v>
      </c>
      <c r="P313" t="s">
        <v>1523</v>
      </c>
      <c r="Q313" t="s">
        <v>1473</v>
      </c>
      <c r="R313" t="s">
        <v>507</v>
      </c>
      <c r="S313" t="s">
        <v>1782</v>
      </c>
    </row>
    <row r="314" spans="1:19">
      <c r="A314" t="s">
        <v>4202</v>
      </c>
      <c r="B314" t="s">
        <v>493</v>
      </c>
      <c r="C314" t="s">
        <v>3607</v>
      </c>
      <c r="D314" t="s">
        <v>494</v>
      </c>
      <c r="E314" t="s">
        <v>1541</v>
      </c>
      <c r="F314">
        <v>5</v>
      </c>
      <c r="I314" t="s">
        <v>3238</v>
      </c>
      <c r="J314" t="s">
        <v>26</v>
      </c>
      <c r="K314" t="s">
        <v>26</v>
      </c>
      <c r="L314">
        <v>5</v>
      </c>
      <c r="M314">
        <v>2</v>
      </c>
      <c r="N314" t="s">
        <v>1736</v>
      </c>
      <c r="O314" t="s">
        <v>1457</v>
      </c>
      <c r="P314" t="s">
        <v>1444</v>
      </c>
      <c r="Q314" t="s">
        <v>1443</v>
      </c>
      <c r="R314" t="s">
        <v>521</v>
      </c>
      <c r="S314" t="s">
        <v>1783</v>
      </c>
    </row>
    <row r="315" spans="1:19">
      <c r="A315" t="s">
        <v>4203</v>
      </c>
      <c r="B315" t="s">
        <v>487</v>
      </c>
      <c r="C315" t="s">
        <v>3607</v>
      </c>
      <c r="D315">
        <v>296</v>
      </c>
      <c r="E315" t="s">
        <v>1482</v>
      </c>
      <c r="F315">
        <v>7</v>
      </c>
      <c r="I315" t="s">
        <v>3238</v>
      </c>
      <c r="J315" t="s">
        <v>26</v>
      </c>
      <c r="K315" t="s">
        <v>26</v>
      </c>
      <c r="L315">
        <v>5</v>
      </c>
      <c r="M315">
        <v>2</v>
      </c>
      <c r="N315" t="s">
        <v>1736</v>
      </c>
      <c r="O315" t="s">
        <v>1457</v>
      </c>
      <c r="P315" t="s">
        <v>1444</v>
      </c>
      <c r="Q315" t="s">
        <v>1693</v>
      </c>
      <c r="R315" t="s">
        <v>485</v>
      </c>
      <c r="S315" t="s">
        <v>1784</v>
      </c>
    </row>
    <row r="316" spans="1:19">
      <c r="A316" t="s">
        <v>4205</v>
      </c>
      <c r="B316" t="s">
        <v>1787</v>
      </c>
      <c r="C316" t="s">
        <v>3607</v>
      </c>
      <c r="D316">
        <v>296</v>
      </c>
      <c r="E316" t="s">
        <v>1788</v>
      </c>
      <c r="F316">
        <v>6</v>
      </c>
      <c r="H316" t="s">
        <v>3660</v>
      </c>
      <c r="I316" t="s">
        <v>3238</v>
      </c>
      <c r="J316" t="s">
        <v>26</v>
      </c>
      <c r="K316" t="s">
        <v>26</v>
      </c>
      <c r="L316">
        <v>5</v>
      </c>
      <c r="M316">
        <v>3</v>
      </c>
      <c r="N316" t="s">
        <v>1742</v>
      </c>
      <c r="O316" t="s">
        <v>1441</v>
      </c>
      <c r="P316" t="s">
        <v>1444</v>
      </c>
      <c r="Q316" t="s">
        <v>1443</v>
      </c>
      <c r="R316" t="s">
        <v>493</v>
      </c>
      <c r="S316" t="s">
        <v>1789</v>
      </c>
    </row>
    <row r="317" spans="1:19">
      <c r="A317" t="s">
        <v>4206</v>
      </c>
      <c r="B317" t="s">
        <v>524</v>
      </c>
      <c r="C317" t="s">
        <v>3607</v>
      </c>
      <c r="D317">
        <v>296</v>
      </c>
      <c r="E317" t="s">
        <v>1467</v>
      </c>
      <c r="F317">
        <v>5</v>
      </c>
      <c r="G317">
        <v>1</v>
      </c>
      <c r="I317" t="s">
        <v>3238</v>
      </c>
      <c r="J317" t="s">
        <v>26</v>
      </c>
      <c r="K317" t="s">
        <v>26</v>
      </c>
      <c r="L317">
        <v>5</v>
      </c>
      <c r="M317">
        <v>3</v>
      </c>
      <c r="N317" t="s">
        <v>1742</v>
      </c>
      <c r="O317" t="s">
        <v>1447</v>
      </c>
      <c r="P317" t="s">
        <v>1444</v>
      </c>
      <c r="Q317" t="s">
        <v>1443</v>
      </c>
      <c r="R317" t="s">
        <v>487</v>
      </c>
      <c r="S317" t="s">
        <v>1790</v>
      </c>
    </row>
    <row r="318" spans="1:19">
      <c r="A318" t="s">
        <v>4207</v>
      </c>
      <c r="B318" t="s">
        <v>489</v>
      </c>
      <c r="C318" t="s">
        <v>3542</v>
      </c>
      <c r="D318">
        <v>19</v>
      </c>
      <c r="E318" t="s">
        <v>3545</v>
      </c>
      <c r="F318">
        <v>10</v>
      </c>
      <c r="H318" t="s">
        <v>3661</v>
      </c>
      <c r="I318" t="s">
        <v>3238</v>
      </c>
      <c r="J318" t="s">
        <v>26</v>
      </c>
      <c r="K318" t="s">
        <v>26</v>
      </c>
      <c r="L318">
        <v>5</v>
      </c>
      <c r="M318">
        <v>3</v>
      </c>
      <c r="N318" t="s">
        <v>1742</v>
      </c>
      <c r="O318" t="s">
        <v>1457</v>
      </c>
      <c r="P318" t="s">
        <v>1444</v>
      </c>
      <c r="Q318" t="s">
        <v>1443</v>
      </c>
      <c r="R318" t="s">
        <v>500</v>
      </c>
      <c r="S318" t="s">
        <v>3546</v>
      </c>
    </row>
    <row r="319" spans="1:19">
      <c r="A319" t="s">
        <v>4215</v>
      </c>
      <c r="B319" t="s">
        <v>509</v>
      </c>
      <c r="C319" t="s">
        <v>3607</v>
      </c>
      <c r="D319">
        <v>298</v>
      </c>
      <c r="E319" t="s">
        <v>1803</v>
      </c>
      <c r="F319" t="s">
        <v>3664</v>
      </c>
      <c r="G319">
        <v>1</v>
      </c>
      <c r="I319" t="s">
        <v>3238</v>
      </c>
      <c r="J319" t="s">
        <v>26</v>
      </c>
      <c r="K319" t="s">
        <v>26</v>
      </c>
      <c r="L319">
        <v>5</v>
      </c>
      <c r="M319">
        <v>3</v>
      </c>
      <c r="N319" t="s">
        <v>1742</v>
      </c>
      <c r="O319" t="s">
        <v>1457</v>
      </c>
      <c r="P319" t="s">
        <v>1444</v>
      </c>
      <c r="Q319" t="s">
        <v>1804</v>
      </c>
      <c r="R319" t="s">
        <v>537</v>
      </c>
      <c r="S319" t="s">
        <v>1805</v>
      </c>
    </row>
    <row r="320" spans="1:19">
      <c r="A320" t="s">
        <v>4216</v>
      </c>
      <c r="B320" t="s">
        <v>520</v>
      </c>
      <c r="C320" t="s">
        <v>3607</v>
      </c>
      <c r="D320">
        <v>298</v>
      </c>
      <c r="E320" t="s">
        <v>1806</v>
      </c>
      <c r="H320" t="s">
        <v>1806</v>
      </c>
      <c r="I320" t="s">
        <v>3238</v>
      </c>
      <c r="J320" t="s">
        <v>26</v>
      </c>
      <c r="K320" t="s">
        <v>26</v>
      </c>
      <c r="L320">
        <v>5</v>
      </c>
      <c r="M320">
        <v>3</v>
      </c>
      <c r="N320" t="s">
        <v>1742</v>
      </c>
      <c r="O320" t="s">
        <v>1447</v>
      </c>
      <c r="P320" t="s">
        <v>1444</v>
      </c>
      <c r="Q320" t="s">
        <v>1443</v>
      </c>
      <c r="R320" t="s">
        <v>509</v>
      </c>
      <c r="S320" t="s">
        <v>1807</v>
      </c>
    </row>
    <row r="321" spans="1:19">
      <c r="A321" t="s">
        <v>4217</v>
      </c>
      <c r="B321" t="s">
        <v>519</v>
      </c>
      <c r="C321" t="s">
        <v>3607</v>
      </c>
      <c r="D321">
        <v>298</v>
      </c>
      <c r="E321" t="s">
        <v>1808</v>
      </c>
      <c r="F321">
        <v>12</v>
      </c>
      <c r="G321">
        <v>1</v>
      </c>
      <c r="H321" t="s">
        <v>3665</v>
      </c>
      <c r="I321" t="s">
        <v>3238</v>
      </c>
      <c r="J321" t="s">
        <v>26</v>
      </c>
      <c r="K321" t="s">
        <v>26</v>
      </c>
      <c r="L321">
        <v>5</v>
      </c>
      <c r="M321">
        <v>3</v>
      </c>
      <c r="N321" t="s">
        <v>1742</v>
      </c>
      <c r="O321" t="s">
        <v>1441</v>
      </c>
      <c r="P321" t="s">
        <v>1444</v>
      </c>
      <c r="Q321" t="s">
        <v>1443</v>
      </c>
      <c r="R321" t="s">
        <v>1809</v>
      </c>
      <c r="S321" t="s">
        <v>1810</v>
      </c>
    </row>
    <row r="322" spans="1:19">
      <c r="A322" t="s">
        <v>4218</v>
      </c>
      <c r="B322" t="s">
        <v>501</v>
      </c>
      <c r="C322" t="s">
        <v>3607</v>
      </c>
      <c r="D322" t="s">
        <v>502</v>
      </c>
      <c r="E322" t="s">
        <v>1511</v>
      </c>
      <c r="F322" t="s">
        <v>1511</v>
      </c>
      <c r="I322" t="s">
        <v>3238</v>
      </c>
      <c r="J322" t="s">
        <v>26</v>
      </c>
      <c r="K322" t="s">
        <v>26</v>
      </c>
      <c r="L322">
        <v>5</v>
      </c>
      <c r="M322">
        <v>3</v>
      </c>
      <c r="N322" t="s">
        <v>1742</v>
      </c>
      <c r="O322" t="s">
        <v>1513</v>
      </c>
      <c r="P322" t="s">
        <v>1444</v>
      </c>
      <c r="Q322" t="s">
        <v>1513</v>
      </c>
      <c r="R322" t="s">
        <v>1811</v>
      </c>
      <c r="S322" t="s">
        <v>1812</v>
      </c>
    </row>
    <row r="323" spans="1:19">
      <c r="A323" t="s">
        <v>4219</v>
      </c>
      <c r="B323" t="s">
        <v>518</v>
      </c>
      <c r="C323" t="s">
        <v>3607</v>
      </c>
      <c r="D323">
        <v>298</v>
      </c>
      <c r="E323" t="s">
        <v>1511</v>
      </c>
      <c r="F323" t="s">
        <v>1511</v>
      </c>
      <c r="I323" t="s">
        <v>3238</v>
      </c>
      <c r="J323" t="s">
        <v>26</v>
      </c>
      <c r="K323" t="s">
        <v>26</v>
      </c>
      <c r="L323">
        <v>5</v>
      </c>
      <c r="M323">
        <v>4</v>
      </c>
      <c r="N323" t="s">
        <v>1748</v>
      </c>
      <c r="O323" t="s">
        <v>1513</v>
      </c>
      <c r="P323" t="s">
        <v>1444</v>
      </c>
      <c r="Q323" t="s">
        <v>1513</v>
      </c>
      <c r="R323" t="s">
        <v>519</v>
      </c>
      <c r="S323" t="s">
        <v>1813</v>
      </c>
    </row>
    <row r="324" spans="1:19">
      <c r="A324" t="s">
        <v>4220</v>
      </c>
      <c r="B324" t="s">
        <v>517</v>
      </c>
      <c r="C324" t="s">
        <v>3607</v>
      </c>
      <c r="D324">
        <v>299</v>
      </c>
      <c r="E324" t="s">
        <v>1511</v>
      </c>
      <c r="F324" t="s">
        <v>1511</v>
      </c>
      <c r="I324" t="s">
        <v>3238</v>
      </c>
      <c r="J324" t="s">
        <v>26</v>
      </c>
      <c r="K324" t="s">
        <v>26</v>
      </c>
      <c r="L324">
        <v>5</v>
      </c>
      <c r="M324">
        <v>4</v>
      </c>
      <c r="N324" t="s">
        <v>1748</v>
      </c>
      <c r="O324" t="s">
        <v>1513</v>
      </c>
      <c r="P324" t="s">
        <v>1444</v>
      </c>
      <c r="Q324" t="s">
        <v>1513</v>
      </c>
      <c r="R324" t="s">
        <v>501</v>
      </c>
      <c r="S324" t="s">
        <v>1814</v>
      </c>
    </row>
    <row r="325" spans="1:19">
      <c r="A325" t="s">
        <v>4221</v>
      </c>
      <c r="B325" t="s">
        <v>3666</v>
      </c>
      <c r="C325" t="s">
        <v>3602</v>
      </c>
      <c r="D325">
        <v>11</v>
      </c>
      <c r="E325" t="s">
        <v>2090</v>
      </c>
      <c r="F325">
        <v>15</v>
      </c>
      <c r="G325">
        <v>1</v>
      </c>
      <c r="I325" t="s">
        <v>3238</v>
      </c>
      <c r="J325" t="s">
        <v>26</v>
      </c>
      <c r="K325" t="s">
        <v>26</v>
      </c>
      <c r="L325">
        <v>5</v>
      </c>
      <c r="M325">
        <v>3</v>
      </c>
      <c r="N325" t="s">
        <v>1742</v>
      </c>
      <c r="O325" t="s">
        <v>1447</v>
      </c>
      <c r="P325" t="s">
        <v>1444</v>
      </c>
      <c r="Q325" t="s">
        <v>1443</v>
      </c>
      <c r="R325" t="s">
        <v>535</v>
      </c>
      <c r="S325" t="s">
        <v>3667</v>
      </c>
    </row>
    <row r="326" spans="1:19">
      <c r="A326" t="s">
        <v>6825</v>
      </c>
      <c r="B326" t="s">
        <v>5323</v>
      </c>
      <c r="C326" t="s">
        <v>3968</v>
      </c>
      <c r="D326">
        <v>187</v>
      </c>
      <c r="E326" t="s">
        <v>4991</v>
      </c>
      <c r="F326">
        <v>1</v>
      </c>
      <c r="I326" t="s">
        <v>3560</v>
      </c>
      <c r="J326" t="s">
        <v>26</v>
      </c>
      <c r="K326" t="s">
        <v>26</v>
      </c>
      <c r="L326">
        <v>1</v>
      </c>
      <c r="M326">
        <v>1</v>
      </c>
      <c r="N326" t="s">
        <v>1791</v>
      </c>
      <c r="O326" t="s">
        <v>1441</v>
      </c>
      <c r="P326" t="s">
        <v>5129</v>
      </c>
      <c r="Q326" t="s">
        <v>1443</v>
      </c>
      <c r="R326" t="s">
        <v>1444</v>
      </c>
      <c r="S326" t="s">
        <v>5324</v>
      </c>
    </row>
    <row r="327" spans="1:19">
      <c r="A327" t="s">
        <v>6826</v>
      </c>
      <c r="B327" t="s">
        <v>5325</v>
      </c>
      <c r="C327" t="s">
        <v>3968</v>
      </c>
      <c r="D327">
        <v>187</v>
      </c>
      <c r="E327" t="s">
        <v>1497</v>
      </c>
      <c r="F327">
        <v>6</v>
      </c>
      <c r="I327" t="s">
        <v>3560</v>
      </c>
      <c r="J327" t="s">
        <v>26</v>
      </c>
      <c r="K327" t="s">
        <v>26</v>
      </c>
      <c r="L327">
        <v>3</v>
      </c>
      <c r="M327">
        <v>1</v>
      </c>
      <c r="N327" t="s">
        <v>1729</v>
      </c>
      <c r="O327" t="s">
        <v>1441</v>
      </c>
      <c r="P327" t="s">
        <v>5094</v>
      </c>
      <c r="Q327" t="s">
        <v>5326</v>
      </c>
      <c r="R327" t="s">
        <v>1444</v>
      </c>
      <c r="S327" t="s">
        <v>5327</v>
      </c>
    </row>
    <row r="328" spans="1:19">
      <c r="A328" t="s">
        <v>6827</v>
      </c>
      <c r="B328" t="s">
        <v>5328</v>
      </c>
      <c r="C328" t="s">
        <v>3968</v>
      </c>
      <c r="D328">
        <v>187</v>
      </c>
      <c r="E328" t="s">
        <v>1465</v>
      </c>
      <c r="F328">
        <v>1</v>
      </c>
      <c r="G328">
        <v>1</v>
      </c>
      <c r="I328" t="s">
        <v>3560</v>
      </c>
      <c r="J328" t="s">
        <v>26</v>
      </c>
      <c r="K328" t="s">
        <v>26</v>
      </c>
      <c r="L328">
        <v>3</v>
      </c>
      <c r="M328">
        <v>1</v>
      </c>
      <c r="N328" t="s">
        <v>1729</v>
      </c>
      <c r="O328" t="s">
        <v>1457</v>
      </c>
      <c r="P328" t="s">
        <v>5083</v>
      </c>
      <c r="Q328" t="s">
        <v>1443</v>
      </c>
      <c r="R328" t="s">
        <v>1444</v>
      </c>
      <c r="S328" t="s">
        <v>5329</v>
      </c>
    </row>
    <row r="329" spans="1:19">
      <c r="A329" t="s">
        <v>6828</v>
      </c>
      <c r="B329" t="s">
        <v>5330</v>
      </c>
      <c r="C329" t="s">
        <v>3968</v>
      </c>
      <c r="D329">
        <v>188</v>
      </c>
      <c r="E329" t="s">
        <v>3687</v>
      </c>
      <c r="I329" t="s">
        <v>3560</v>
      </c>
      <c r="J329" t="s">
        <v>26</v>
      </c>
      <c r="K329" t="s">
        <v>26</v>
      </c>
      <c r="L329">
        <v>3</v>
      </c>
      <c r="M329">
        <v>2</v>
      </c>
      <c r="N329" t="s">
        <v>1795</v>
      </c>
      <c r="O329" t="s">
        <v>1513</v>
      </c>
      <c r="P329" t="s">
        <v>1444</v>
      </c>
      <c r="Q329" t="s">
        <v>1513</v>
      </c>
      <c r="R329" t="s">
        <v>5325</v>
      </c>
      <c r="S329" t="s">
        <v>5331</v>
      </c>
    </row>
    <row r="330" spans="1:19">
      <c r="A330" t="s">
        <v>6829</v>
      </c>
      <c r="B330" t="s">
        <v>5332</v>
      </c>
      <c r="C330" t="s">
        <v>3968</v>
      </c>
      <c r="D330">
        <v>188</v>
      </c>
      <c r="E330" t="s">
        <v>1541</v>
      </c>
      <c r="F330">
        <v>5</v>
      </c>
      <c r="I330" t="s">
        <v>3560</v>
      </c>
      <c r="J330" t="s">
        <v>26</v>
      </c>
      <c r="K330" t="s">
        <v>26</v>
      </c>
      <c r="L330">
        <v>3</v>
      </c>
      <c r="M330">
        <v>2</v>
      </c>
      <c r="N330" t="s">
        <v>1795</v>
      </c>
      <c r="O330" t="s">
        <v>1441</v>
      </c>
      <c r="P330" t="s">
        <v>5083</v>
      </c>
      <c r="Q330" t="s">
        <v>5326</v>
      </c>
      <c r="R330" t="s">
        <v>5328</v>
      </c>
      <c r="S330" t="s">
        <v>5333</v>
      </c>
    </row>
    <row r="331" spans="1:19">
      <c r="A331" t="s">
        <v>6833</v>
      </c>
      <c r="B331" t="s">
        <v>5341</v>
      </c>
      <c r="C331" t="s">
        <v>3968</v>
      </c>
      <c r="D331">
        <v>188</v>
      </c>
      <c r="E331" t="s">
        <v>1467</v>
      </c>
      <c r="F331">
        <v>5</v>
      </c>
      <c r="G331">
        <v>1</v>
      </c>
      <c r="I331" t="s">
        <v>3560</v>
      </c>
      <c r="J331" t="s">
        <v>26</v>
      </c>
      <c r="K331" t="s">
        <v>26</v>
      </c>
      <c r="L331">
        <v>4</v>
      </c>
      <c r="M331">
        <v>2</v>
      </c>
      <c r="N331" t="s">
        <v>1785</v>
      </c>
      <c r="O331" t="s">
        <v>1457</v>
      </c>
      <c r="P331" t="s">
        <v>5075</v>
      </c>
      <c r="Q331" t="s">
        <v>1443</v>
      </c>
      <c r="R331" t="s">
        <v>1444</v>
      </c>
      <c r="S331" t="s">
        <v>5342</v>
      </c>
    </row>
    <row r="332" spans="1:19">
      <c r="A332" t="s">
        <v>6834</v>
      </c>
      <c r="B332" t="s">
        <v>5343</v>
      </c>
      <c r="C332" t="s">
        <v>3968</v>
      </c>
      <c r="D332">
        <v>188</v>
      </c>
      <c r="E332" t="s">
        <v>1541</v>
      </c>
      <c r="F332">
        <v>5</v>
      </c>
      <c r="I332" t="s">
        <v>3560</v>
      </c>
      <c r="J332" t="s">
        <v>26</v>
      </c>
      <c r="K332" t="s">
        <v>26</v>
      </c>
      <c r="L332">
        <v>4</v>
      </c>
      <c r="M332">
        <v>2</v>
      </c>
      <c r="N332" t="s">
        <v>1785</v>
      </c>
      <c r="O332" t="s">
        <v>1447</v>
      </c>
      <c r="P332" t="s">
        <v>5083</v>
      </c>
      <c r="Q332" t="s">
        <v>1443</v>
      </c>
      <c r="R332" t="s">
        <v>1444</v>
      </c>
      <c r="S332" t="s">
        <v>5344</v>
      </c>
    </row>
    <row r="333" spans="1:19">
      <c r="A333" t="s">
        <v>6830</v>
      </c>
      <c r="B333" t="s">
        <v>5334</v>
      </c>
      <c r="C333" t="s">
        <v>3968</v>
      </c>
      <c r="D333">
        <v>188</v>
      </c>
      <c r="E333" t="s">
        <v>1945</v>
      </c>
      <c r="F333">
        <v>10</v>
      </c>
      <c r="I333" t="s">
        <v>3560</v>
      </c>
      <c r="J333" t="s">
        <v>26</v>
      </c>
      <c r="K333" t="s">
        <v>26</v>
      </c>
      <c r="L333">
        <v>5</v>
      </c>
      <c r="M333">
        <v>2</v>
      </c>
      <c r="N333" t="s">
        <v>1736</v>
      </c>
      <c r="O333" t="s">
        <v>1441</v>
      </c>
      <c r="P333" t="s">
        <v>5083</v>
      </c>
      <c r="Q333" t="s">
        <v>1443</v>
      </c>
      <c r="R333" t="s">
        <v>5332</v>
      </c>
      <c r="S333" t="s">
        <v>5335</v>
      </c>
    </row>
    <row r="334" spans="1:19">
      <c r="A334" t="s">
        <v>6831</v>
      </c>
      <c r="B334" t="s">
        <v>5336</v>
      </c>
      <c r="C334" t="s">
        <v>3968</v>
      </c>
      <c r="D334">
        <v>188</v>
      </c>
      <c r="E334" t="s">
        <v>1479</v>
      </c>
      <c r="F334">
        <v>6</v>
      </c>
      <c r="G334">
        <v>1</v>
      </c>
      <c r="I334" t="s">
        <v>3560</v>
      </c>
      <c r="J334" t="s">
        <v>26</v>
      </c>
      <c r="K334" t="s">
        <v>26</v>
      </c>
      <c r="L334">
        <v>5</v>
      </c>
      <c r="M334">
        <v>2</v>
      </c>
      <c r="N334" t="s">
        <v>1736</v>
      </c>
      <c r="O334" t="s">
        <v>1441</v>
      </c>
      <c r="P334" t="s">
        <v>5094</v>
      </c>
      <c r="Q334" t="s">
        <v>1443</v>
      </c>
      <c r="R334" t="s">
        <v>5330</v>
      </c>
      <c r="S334" t="s">
        <v>5337</v>
      </c>
    </row>
    <row r="335" spans="1:19">
      <c r="A335" t="s">
        <v>6832</v>
      </c>
      <c r="B335" t="s">
        <v>5338</v>
      </c>
      <c r="C335" t="s">
        <v>3968</v>
      </c>
      <c r="D335">
        <v>188</v>
      </c>
      <c r="E335" t="s">
        <v>5339</v>
      </c>
      <c r="F335">
        <v>1</v>
      </c>
      <c r="G335">
        <v>1</v>
      </c>
      <c r="I335" t="s">
        <v>3560</v>
      </c>
      <c r="J335" t="s">
        <v>26</v>
      </c>
      <c r="K335" t="s">
        <v>26</v>
      </c>
      <c r="L335">
        <v>5</v>
      </c>
      <c r="M335">
        <v>2</v>
      </c>
      <c r="N335" t="s">
        <v>1736</v>
      </c>
      <c r="O335" t="s">
        <v>1441</v>
      </c>
      <c r="P335" t="s">
        <v>5083</v>
      </c>
      <c r="Q335" t="s">
        <v>1443</v>
      </c>
      <c r="R335" t="s">
        <v>5336</v>
      </c>
      <c r="S335" t="s">
        <v>5340</v>
      </c>
    </row>
    <row r="336" spans="1:19">
      <c r="A336" t="s">
        <v>6835</v>
      </c>
      <c r="B336" t="s">
        <v>5345</v>
      </c>
      <c r="C336" t="s">
        <v>3968</v>
      </c>
      <c r="D336">
        <v>189</v>
      </c>
      <c r="E336" t="s">
        <v>1467</v>
      </c>
      <c r="F336">
        <v>5</v>
      </c>
      <c r="G336">
        <v>1</v>
      </c>
      <c r="I336" t="s">
        <v>3560</v>
      </c>
      <c r="J336" t="s">
        <v>26</v>
      </c>
      <c r="K336" t="s">
        <v>26</v>
      </c>
      <c r="L336">
        <v>5</v>
      </c>
      <c r="M336">
        <v>3</v>
      </c>
      <c r="N336" t="s">
        <v>1742</v>
      </c>
      <c r="O336" t="s">
        <v>1441</v>
      </c>
      <c r="P336" t="s">
        <v>5147</v>
      </c>
      <c r="Q336" t="s">
        <v>5326</v>
      </c>
      <c r="R336" t="s">
        <v>1444</v>
      </c>
      <c r="S336" t="s">
        <v>5346</v>
      </c>
    </row>
    <row r="337" spans="1:19">
      <c r="A337" t="s">
        <v>6836</v>
      </c>
      <c r="B337" t="s">
        <v>5347</v>
      </c>
      <c r="C337" t="s">
        <v>3968</v>
      </c>
      <c r="D337">
        <v>189</v>
      </c>
      <c r="E337" t="s">
        <v>5348</v>
      </c>
      <c r="F337">
        <v>15</v>
      </c>
      <c r="G337">
        <v>1</v>
      </c>
      <c r="I337" t="s">
        <v>3560</v>
      </c>
      <c r="J337" t="s">
        <v>26</v>
      </c>
      <c r="K337" t="s">
        <v>26</v>
      </c>
      <c r="L337">
        <v>5</v>
      </c>
      <c r="M337">
        <v>3</v>
      </c>
      <c r="N337" t="s">
        <v>1742</v>
      </c>
      <c r="O337" t="s">
        <v>1457</v>
      </c>
      <c r="P337" t="s">
        <v>5287</v>
      </c>
      <c r="Q337" t="s">
        <v>5326</v>
      </c>
      <c r="R337" t="s">
        <v>1444</v>
      </c>
      <c r="S337" t="s">
        <v>5349</v>
      </c>
    </row>
    <row r="338" spans="1:19">
      <c r="A338" t="s">
        <v>6837</v>
      </c>
      <c r="B338" t="s">
        <v>5350</v>
      </c>
      <c r="C338" t="s">
        <v>3968</v>
      </c>
      <c r="D338">
        <v>189</v>
      </c>
      <c r="E338" t="s">
        <v>2090</v>
      </c>
      <c r="F338">
        <v>15</v>
      </c>
      <c r="G338">
        <v>1</v>
      </c>
      <c r="I338" t="s">
        <v>3560</v>
      </c>
      <c r="J338" t="s">
        <v>26</v>
      </c>
      <c r="K338" t="s">
        <v>26</v>
      </c>
      <c r="L338">
        <v>5</v>
      </c>
      <c r="M338">
        <v>3</v>
      </c>
      <c r="N338" t="s">
        <v>1742</v>
      </c>
      <c r="O338" t="s">
        <v>1457</v>
      </c>
      <c r="P338" t="s">
        <v>5290</v>
      </c>
      <c r="Q338" t="s">
        <v>5326</v>
      </c>
      <c r="R338" t="s">
        <v>1444</v>
      </c>
      <c r="S338" t="s">
        <v>5351</v>
      </c>
    </row>
    <row r="339" spans="1:19">
      <c r="A339" t="s">
        <v>6838</v>
      </c>
      <c r="B339" t="s">
        <v>5352</v>
      </c>
      <c r="C339" t="s">
        <v>3968</v>
      </c>
      <c r="D339">
        <v>189</v>
      </c>
      <c r="E339" t="s">
        <v>5353</v>
      </c>
      <c r="F339">
        <v>15</v>
      </c>
      <c r="G339">
        <v>1</v>
      </c>
      <c r="I339" t="s">
        <v>3560</v>
      </c>
      <c r="J339" t="s">
        <v>26</v>
      </c>
      <c r="K339" t="s">
        <v>26</v>
      </c>
      <c r="L339">
        <v>5</v>
      </c>
      <c r="M339">
        <v>3</v>
      </c>
      <c r="N339" t="s">
        <v>1742</v>
      </c>
      <c r="O339" t="s">
        <v>1447</v>
      </c>
      <c r="P339" t="s">
        <v>5112</v>
      </c>
      <c r="Q339" t="s">
        <v>1443</v>
      </c>
      <c r="R339" t="s">
        <v>1444</v>
      </c>
      <c r="S339" t="s">
        <v>5354</v>
      </c>
    </row>
    <row r="340" spans="1:19">
      <c r="A340" t="s">
        <v>6839</v>
      </c>
      <c r="B340" t="s">
        <v>5355</v>
      </c>
      <c r="C340" t="s">
        <v>3968</v>
      </c>
      <c r="D340">
        <v>190</v>
      </c>
      <c r="E340" t="s">
        <v>5356</v>
      </c>
      <c r="F340">
        <v>10</v>
      </c>
      <c r="G340">
        <v>1</v>
      </c>
      <c r="I340" t="s">
        <v>3560</v>
      </c>
      <c r="J340" t="s">
        <v>26</v>
      </c>
      <c r="K340" t="s">
        <v>26</v>
      </c>
      <c r="L340">
        <v>5</v>
      </c>
      <c r="M340">
        <v>3</v>
      </c>
      <c r="N340" t="s">
        <v>1742</v>
      </c>
      <c r="O340" t="s">
        <v>1457</v>
      </c>
      <c r="P340" t="s">
        <v>5115</v>
      </c>
      <c r="Q340" t="s">
        <v>1443</v>
      </c>
      <c r="R340" t="s">
        <v>1444</v>
      </c>
      <c r="S340" t="s">
        <v>5357</v>
      </c>
    </row>
    <row r="341" spans="1:19">
      <c r="A341" t="s">
        <v>6840</v>
      </c>
      <c r="B341" t="s">
        <v>5358</v>
      </c>
      <c r="C341" t="s">
        <v>3968</v>
      </c>
      <c r="D341">
        <v>190</v>
      </c>
      <c r="E341" t="s">
        <v>1467</v>
      </c>
      <c r="F341">
        <v>5</v>
      </c>
      <c r="G341">
        <v>1</v>
      </c>
      <c r="I341" t="s">
        <v>3560</v>
      </c>
      <c r="J341" t="s">
        <v>26</v>
      </c>
      <c r="K341" t="s">
        <v>26</v>
      </c>
      <c r="L341">
        <v>5</v>
      </c>
      <c r="M341">
        <v>3</v>
      </c>
      <c r="N341" t="s">
        <v>1742</v>
      </c>
      <c r="O341" t="s">
        <v>1457</v>
      </c>
      <c r="P341" t="s">
        <v>5075</v>
      </c>
      <c r="Q341" t="s">
        <v>5359</v>
      </c>
      <c r="R341" t="s">
        <v>5360</v>
      </c>
      <c r="S341" t="s">
        <v>5361</v>
      </c>
    </row>
    <row r="342" spans="1:19">
      <c r="A342" t="s">
        <v>6841</v>
      </c>
      <c r="B342" t="s">
        <v>5362</v>
      </c>
      <c r="C342" t="s">
        <v>3968</v>
      </c>
      <c r="D342">
        <v>190</v>
      </c>
      <c r="E342" t="s">
        <v>3687</v>
      </c>
      <c r="I342" t="s">
        <v>3560</v>
      </c>
      <c r="J342" t="s">
        <v>26</v>
      </c>
      <c r="K342" t="s">
        <v>26</v>
      </c>
      <c r="L342">
        <v>5</v>
      </c>
      <c r="M342">
        <v>3</v>
      </c>
      <c r="N342" t="s">
        <v>1742</v>
      </c>
      <c r="O342" t="s">
        <v>1447</v>
      </c>
      <c r="P342" t="s">
        <v>5363</v>
      </c>
      <c r="Q342" t="s">
        <v>1443</v>
      </c>
      <c r="R342" t="s">
        <v>5343</v>
      </c>
      <c r="S342" t="s">
        <v>5364</v>
      </c>
    </row>
    <row r="343" spans="1:19">
      <c r="A343" t="s">
        <v>4228</v>
      </c>
      <c r="B343" t="s">
        <v>542</v>
      </c>
      <c r="C343" t="s">
        <v>3607</v>
      </c>
      <c r="D343" t="s">
        <v>543</v>
      </c>
      <c r="E343" t="s">
        <v>1439</v>
      </c>
      <c r="F343">
        <v>1</v>
      </c>
      <c r="I343" t="s">
        <v>3238</v>
      </c>
      <c r="J343" t="s">
        <v>27</v>
      </c>
      <c r="K343" t="s">
        <v>27</v>
      </c>
      <c r="L343">
        <v>2</v>
      </c>
      <c r="M343">
        <v>1</v>
      </c>
      <c r="N343" t="s">
        <v>1827</v>
      </c>
      <c r="O343" t="s">
        <v>1447</v>
      </c>
      <c r="P343" t="s">
        <v>1444</v>
      </c>
      <c r="Q343" t="s">
        <v>1443</v>
      </c>
      <c r="R343" t="s">
        <v>1444</v>
      </c>
      <c r="S343" t="s">
        <v>1828</v>
      </c>
    </row>
    <row r="344" spans="1:19">
      <c r="A344" t="s">
        <v>4222</v>
      </c>
      <c r="B344" t="s">
        <v>548</v>
      </c>
      <c r="C344" t="s">
        <v>3607</v>
      </c>
      <c r="D344" t="s">
        <v>561</v>
      </c>
      <c r="E344" t="s">
        <v>1815</v>
      </c>
      <c r="H344" t="s">
        <v>1815</v>
      </c>
      <c r="I344" t="s">
        <v>3238</v>
      </c>
      <c r="J344" t="s">
        <v>27</v>
      </c>
      <c r="K344" t="s">
        <v>27</v>
      </c>
      <c r="L344">
        <v>3</v>
      </c>
      <c r="M344">
        <v>1</v>
      </c>
      <c r="N344" t="s">
        <v>1816</v>
      </c>
      <c r="O344" t="s">
        <v>1447</v>
      </c>
      <c r="P344" t="s">
        <v>1620</v>
      </c>
      <c r="Q344" t="s">
        <v>1443</v>
      </c>
      <c r="R344" t="s">
        <v>1444</v>
      </c>
      <c r="S344" t="s">
        <v>1817</v>
      </c>
    </row>
    <row r="345" spans="1:19">
      <c r="A345" t="s">
        <v>4225</v>
      </c>
      <c r="B345" t="s">
        <v>549</v>
      </c>
      <c r="C345" t="s">
        <v>3607</v>
      </c>
      <c r="D345" t="s">
        <v>550</v>
      </c>
      <c r="E345" t="s">
        <v>1541</v>
      </c>
      <c r="F345">
        <v>5</v>
      </c>
      <c r="I345" t="s">
        <v>3238</v>
      </c>
      <c r="J345" t="s">
        <v>27</v>
      </c>
      <c r="K345" t="s">
        <v>27</v>
      </c>
      <c r="L345">
        <v>3</v>
      </c>
      <c r="M345">
        <v>1</v>
      </c>
      <c r="N345" t="s">
        <v>1816</v>
      </c>
      <c r="O345" t="s">
        <v>1447</v>
      </c>
      <c r="P345" t="s">
        <v>1442</v>
      </c>
      <c r="Q345" t="s">
        <v>1443</v>
      </c>
      <c r="R345" t="s">
        <v>548</v>
      </c>
      <c r="S345" t="s">
        <v>1823</v>
      </c>
    </row>
    <row r="346" spans="1:19">
      <c r="A346" t="s">
        <v>4226</v>
      </c>
      <c r="B346" t="s">
        <v>558</v>
      </c>
      <c r="C346" t="s">
        <v>3607</v>
      </c>
      <c r="D346">
        <v>299</v>
      </c>
      <c r="E346" t="s">
        <v>1824</v>
      </c>
      <c r="F346">
        <v>1</v>
      </c>
      <c r="I346" t="s">
        <v>3238</v>
      </c>
      <c r="J346" t="s">
        <v>27</v>
      </c>
      <c r="K346" t="s">
        <v>27</v>
      </c>
      <c r="L346">
        <v>3</v>
      </c>
      <c r="M346">
        <v>1</v>
      </c>
      <c r="N346" t="s">
        <v>1816</v>
      </c>
      <c r="O346" t="s">
        <v>1447</v>
      </c>
      <c r="P346" t="s">
        <v>1444</v>
      </c>
      <c r="Q346" t="s">
        <v>1443</v>
      </c>
      <c r="R346" t="s">
        <v>549</v>
      </c>
      <c r="S346" t="s">
        <v>1825</v>
      </c>
    </row>
    <row r="347" spans="1:19">
      <c r="A347" t="s">
        <v>4229</v>
      </c>
      <c r="B347" t="s">
        <v>571</v>
      </c>
      <c r="C347" t="s">
        <v>3607</v>
      </c>
      <c r="D347" t="s">
        <v>572</v>
      </c>
      <c r="E347" t="s">
        <v>1460</v>
      </c>
      <c r="F347">
        <v>2</v>
      </c>
      <c r="I347" t="s">
        <v>3238</v>
      </c>
      <c r="J347" t="s">
        <v>27</v>
      </c>
      <c r="K347" t="s">
        <v>27</v>
      </c>
      <c r="L347">
        <v>3</v>
      </c>
      <c r="M347">
        <v>1</v>
      </c>
      <c r="N347" t="s">
        <v>1816</v>
      </c>
      <c r="O347" t="s">
        <v>1447</v>
      </c>
      <c r="P347" t="s">
        <v>1444</v>
      </c>
      <c r="Q347" t="s">
        <v>1443</v>
      </c>
      <c r="R347" t="s">
        <v>542</v>
      </c>
      <c r="S347" t="s">
        <v>1829</v>
      </c>
    </row>
    <row r="348" spans="1:19">
      <c r="A348" t="s">
        <v>4223</v>
      </c>
      <c r="B348" t="s">
        <v>546</v>
      </c>
      <c r="C348" t="s">
        <v>3607</v>
      </c>
      <c r="D348" t="s">
        <v>547</v>
      </c>
      <c r="E348" t="s">
        <v>1460</v>
      </c>
      <c r="F348">
        <v>2</v>
      </c>
      <c r="I348" t="s">
        <v>3238</v>
      </c>
      <c r="J348" t="s">
        <v>27</v>
      </c>
      <c r="K348" t="s">
        <v>27</v>
      </c>
      <c r="L348">
        <v>4</v>
      </c>
      <c r="M348">
        <v>1</v>
      </c>
      <c r="N348" t="s">
        <v>1818</v>
      </c>
      <c r="O348" t="s">
        <v>1441</v>
      </c>
      <c r="P348" t="s">
        <v>1444</v>
      </c>
      <c r="Q348" t="s">
        <v>1443</v>
      </c>
      <c r="R348" t="s">
        <v>548</v>
      </c>
      <c r="S348" t="s">
        <v>1819</v>
      </c>
    </row>
    <row r="349" spans="1:19">
      <c r="A349" t="s">
        <v>4227</v>
      </c>
      <c r="B349" t="s">
        <v>566</v>
      </c>
      <c r="C349" t="s">
        <v>3607</v>
      </c>
      <c r="D349" t="s">
        <v>567</v>
      </c>
      <c r="E349" t="s">
        <v>1511</v>
      </c>
      <c r="F349" t="s">
        <v>1511</v>
      </c>
      <c r="I349" t="s">
        <v>3238</v>
      </c>
      <c r="J349" t="s">
        <v>27</v>
      </c>
      <c r="K349" t="s">
        <v>27</v>
      </c>
      <c r="L349">
        <v>4</v>
      </c>
      <c r="M349">
        <v>1</v>
      </c>
      <c r="N349" t="s">
        <v>1818</v>
      </c>
      <c r="O349" t="s">
        <v>1513</v>
      </c>
      <c r="P349" t="s">
        <v>1444</v>
      </c>
      <c r="Q349" t="s">
        <v>1513</v>
      </c>
      <c r="R349" t="s">
        <v>548</v>
      </c>
      <c r="S349" t="s">
        <v>1826</v>
      </c>
    </row>
    <row r="350" spans="1:19">
      <c r="A350" t="s">
        <v>4231</v>
      </c>
      <c r="B350" t="s">
        <v>544</v>
      </c>
      <c r="C350" t="s">
        <v>3607</v>
      </c>
      <c r="D350" t="s">
        <v>545</v>
      </c>
      <c r="E350" t="s">
        <v>1476</v>
      </c>
      <c r="F350">
        <v>3</v>
      </c>
      <c r="G350">
        <v>1</v>
      </c>
      <c r="I350" t="s">
        <v>3238</v>
      </c>
      <c r="J350" t="s">
        <v>27</v>
      </c>
      <c r="K350" t="s">
        <v>27</v>
      </c>
      <c r="L350">
        <v>4</v>
      </c>
      <c r="M350">
        <v>2</v>
      </c>
      <c r="N350" t="s">
        <v>1832</v>
      </c>
      <c r="O350" t="s">
        <v>1447</v>
      </c>
      <c r="P350" t="s">
        <v>1444</v>
      </c>
      <c r="Q350" t="s">
        <v>1600</v>
      </c>
      <c r="R350" t="s">
        <v>549</v>
      </c>
      <c r="S350" t="s">
        <v>1833</v>
      </c>
    </row>
    <row r="351" spans="1:19">
      <c r="A351" t="s">
        <v>4235</v>
      </c>
      <c r="B351" t="s">
        <v>555</v>
      </c>
      <c r="C351" t="s">
        <v>3607</v>
      </c>
      <c r="D351">
        <v>301</v>
      </c>
      <c r="E351" t="s">
        <v>1554</v>
      </c>
      <c r="F351">
        <v>4</v>
      </c>
      <c r="I351" t="s">
        <v>3238</v>
      </c>
      <c r="J351" t="s">
        <v>27</v>
      </c>
      <c r="K351" t="s">
        <v>27</v>
      </c>
      <c r="L351">
        <v>4</v>
      </c>
      <c r="M351">
        <v>2</v>
      </c>
      <c r="N351" t="s">
        <v>1832</v>
      </c>
      <c r="O351" t="s">
        <v>1447</v>
      </c>
      <c r="P351" t="s">
        <v>1444</v>
      </c>
      <c r="Q351" t="s">
        <v>1473</v>
      </c>
      <c r="R351" t="s">
        <v>542</v>
      </c>
      <c r="S351" t="s">
        <v>1837</v>
      </c>
    </row>
    <row r="352" spans="1:19">
      <c r="A352" t="s">
        <v>4236</v>
      </c>
      <c r="B352" t="s">
        <v>553</v>
      </c>
      <c r="C352" t="s">
        <v>3607</v>
      </c>
      <c r="D352">
        <v>301</v>
      </c>
      <c r="E352" t="s">
        <v>1467</v>
      </c>
      <c r="F352">
        <v>5</v>
      </c>
      <c r="G352">
        <v>1</v>
      </c>
      <c r="I352" t="s">
        <v>3238</v>
      </c>
      <c r="J352" t="s">
        <v>27</v>
      </c>
      <c r="K352" t="s">
        <v>27</v>
      </c>
      <c r="L352">
        <v>4</v>
      </c>
      <c r="M352">
        <v>2</v>
      </c>
      <c r="N352" t="s">
        <v>1832</v>
      </c>
      <c r="O352" t="s">
        <v>1447</v>
      </c>
      <c r="P352" t="s">
        <v>1620</v>
      </c>
      <c r="Q352" t="s">
        <v>1473</v>
      </c>
      <c r="R352" t="s">
        <v>571</v>
      </c>
      <c r="S352" t="s">
        <v>1838</v>
      </c>
    </row>
    <row r="353" spans="1:19">
      <c r="A353" t="s">
        <v>4224</v>
      </c>
      <c r="B353" t="s">
        <v>570</v>
      </c>
      <c r="C353" t="s">
        <v>3607</v>
      </c>
      <c r="D353">
        <v>299</v>
      </c>
      <c r="E353" t="s">
        <v>1820</v>
      </c>
      <c r="F353" t="s">
        <v>1820</v>
      </c>
      <c r="I353" t="s">
        <v>3238</v>
      </c>
      <c r="J353" t="s">
        <v>27</v>
      </c>
      <c r="K353" t="s">
        <v>27</v>
      </c>
      <c r="L353">
        <v>5</v>
      </c>
      <c r="M353">
        <v>1</v>
      </c>
      <c r="N353" t="s">
        <v>1821</v>
      </c>
      <c r="O353" t="s">
        <v>1513</v>
      </c>
      <c r="P353" t="s">
        <v>1444</v>
      </c>
      <c r="Q353" t="s">
        <v>1513</v>
      </c>
      <c r="R353" t="s">
        <v>546</v>
      </c>
      <c r="S353" t="s">
        <v>1822</v>
      </c>
    </row>
    <row r="354" spans="1:19">
      <c r="A354" t="s">
        <v>4230</v>
      </c>
      <c r="B354" t="s">
        <v>551</v>
      </c>
      <c r="C354" t="s">
        <v>3607</v>
      </c>
      <c r="D354" t="s">
        <v>552</v>
      </c>
      <c r="E354" t="s">
        <v>1541</v>
      </c>
      <c r="F354">
        <v>5</v>
      </c>
      <c r="I354" t="s">
        <v>3238</v>
      </c>
      <c r="J354" t="s">
        <v>27</v>
      </c>
      <c r="K354" t="s">
        <v>27</v>
      </c>
      <c r="L354">
        <v>5</v>
      </c>
      <c r="M354">
        <v>2</v>
      </c>
      <c r="N354" t="s">
        <v>1830</v>
      </c>
      <c r="O354" t="s">
        <v>1447</v>
      </c>
      <c r="P354" t="s">
        <v>1444</v>
      </c>
      <c r="Q354" t="s">
        <v>1443</v>
      </c>
      <c r="R354" t="s">
        <v>546</v>
      </c>
      <c r="S354" t="s">
        <v>1831</v>
      </c>
    </row>
    <row r="355" spans="1:19">
      <c r="A355" t="s">
        <v>4232</v>
      </c>
      <c r="B355" t="s">
        <v>554</v>
      </c>
      <c r="C355" t="s">
        <v>3607</v>
      </c>
      <c r="D355">
        <v>301</v>
      </c>
      <c r="E355" t="s">
        <v>1511</v>
      </c>
      <c r="F355" t="s">
        <v>1511</v>
      </c>
      <c r="I355" t="s">
        <v>3238</v>
      </c>
      <c r="J355" t="s">
        <v>27</v>
      </c>
      <c r="K355" t="s">
        <v>27</v>
      </c>
      <c r="L355">
        <v>5</v>
      </c>
      <c r="M355">
        <v>2</v>
      </c>
      <c r="N355" t="s">
        <v>1830</v>
      </c>
      <c r="O355" t="s">
        <v>1513</v>
      </c>
      <c r="P355" t="s">
        <v>1444</v>
      </c>
      <c r="Q355" t="s">
        <v>1513</v>
      </c>
      <c r="R355" t="s">
        <v>566</v>
      </c>
      <c r="S355" t="s">
        <v>1834</v>
      </c>
    </row>
    <row r="356" spans="1:19">
      <c r="A356" t="s">
        <v>4233</v>
      </c>
      <c r="B356" t="s">
        <v>568</v>
      </c>
      <c r="C356" t="s">
        <v>3607</v>
      </c>
      <c r="D356" t="s">
        <v>569</v>
      </c>
      <c r="E356" t="s">
        <v>1456</v>
      </c>
      <c r="F356">
        <v>4</v>
      </c>
      <c r="G356">
        <v>1</v>
      </c>
      <c r="I356" t="s">
        <v>3238</v>
      </c>
      <c r="J356" t="s">
        <v>27</v>
      </c>
      <c r="K356" t="s">
        <v>27</v>
      </c>
      <c r="L356">
        <v>5</v>
      </c>
      <c r="M356">
        <v>2</v>
      </c>
      <c r="N356" t="s">
        <v>1830</v>
      </c>
      <c r="O356" t="s">
        <v>1447</v>
      </c>
      <c r="P356" t="s">
        <v>1442</v>
      </c>
      <c r="Q356" t="s">
        <v>1443</v>
      </c>
      <c r="R356" t="s">
        <v>554</v>
      </c>
      <c r="S356" t="s">
        <v>1835</v>
      </c>
    </row>
    <row r="357" spans="1:19">
      <c r="A357" t="s">
        <v>4234</v>
      </c>
      <c r="B357" t="s">
        <v>565</v>
      </c>
      <c r="C357" t="s">
        <v>3607</v>
      </c>
      <c r="D357">
        <v>301</v>
      </c>
      <c r="E357" t="s">
        <v>1541</v>
      </c>
      <c r="F357">
        <v>5</v>
      </c>
      <c r="I357" t="s">
        <v>3238</v>
      </c>
      <c r="J357" t="s">
        <v>27</v>
      </c>
      <c r="K357" t="s">
        <v>27</v>
      </c>
      <c r="L357">
        <v>5</v>
      </c>
      <c r="M357">
        <v>2</v>
      </c>
      <c r="N357" t="s">
        <v>1830</v>
      </c>
      <c r="O357" t="s">
        <v>1447</v>
      </c>
      <c r="P357" t="s">
        <v>1444</v>
      </c>
      <c r="Q357" t="s">
        <v>1443</v>
      </c>
      <c r="R357" t="s">
        <v>554</v>
      </c>
      <c r="S357" t="s">
        <v>1836</v>
      </c>
    </row>
    <row r="358" spans="1:19">
      <c r="A358" t="s">
        <v>4237</v>
      </c>
      <c r="B358" t="s">
        <v>563</v>
      </c>
      <c r="C358" t="s">
        <v>3607</v>
      </c>
      <c r="D358" t="s">
        <v>564</v>
      </c>
      <c r="E358" t="s">
        <v>1839</v>
      </c>
      <c r="F358" t="s">
        <v>1839</v>
      </c>
      <c r="I358" t="s">
        <v>3238</v>
      </c>
      <c r="J358" t="s">
        <v>27</v>
      </c>
      <c r="K358" t="s">
        <v>27</v>
      </c>
      <c r="L358">
        <v>5</v>
      </c>
      <c r="M358">
        <v>2</v>
      </c>
      <c r="N358" t="s">
        <v>1830</v>
      </c>
      <c r="O358" t="s">
        <v>1447</v>
      </c>
      <c r="P358" t="s">
        <v>1444</v>
      </c>
      <c r="Q358" t="s">
        <v>1443</v>
      </c>
      <c r="R358" t="s">
        <v>571</v>
      </c>
      <c r="S358" t="s">
        <v>1840</v>
      </c>
    </row>
    <row r="359" spans="1:19">
      <c r="A359" t="s">
        <v>4238</v>
      </c>
      <c r="B359" t="s">
        <v>577</v>
      </c>
      <c r="C359" t="s">
        <v>3607</v>
      </c>
      <c r="D359" t="s">
        <v>545</v>
      </c>
      <c r="E359" t="s">
        <v>1511</v>
      </c>
      <c r="F359" t="s">
        <v>1511</v>
      </c>
      <c r="I359" t="s">
        <v>3238</v>
      </c>
      <c r="J359" t="s">
        <v>27</v>
      </c>
      <c r="K359" t="s">
        <v>27</v>
      </c>
      <c r="L359">
        <v>5</v>
      </c>
      <c r="M359">
        <v>2</v>
      </c>
      <c r="N359" t="s">
        <v>1830</v>
      </c>
      <c r="O359" t="s">
        <v>1513</v>
      </c>
      <c r="P359" t="s">
        <v>1444</v>
      </c>
      <c r="Q359" t="s">
        <v>1513</v>
      </c>
      <c r="R359" t="s">
        <v>563</v>
      </c>
      <c r="S359" t="s">
        <v>1841</v>
      </c>
    </row>
    <row r="360" spans="1:19">
      <c r="A360" t="s">
        <v>4239</v>
      </c>
      <c r="B360" t="s">
        <v>576</v>
      </c>
      <c r="C360" t="s">
        <v>3607</v>
      </c>
      <c r="D360">
        <v>302</v>
      </c>
      <c r="E360" t="s">
        <v>1842</v>
      </c>
      <c r="F360" t="s">
        <v>1842</v>
      </c>
      <c r="I360" t="s">
        <v>3238</v>
      </c>
      <c r="J360" t="s">
        <v>27</v>
      </c>
      <c r="K360" t="s">
        <v>27</v>
      </c>
      <c r="L360">
        <v>5</v>
      </c>
      <c r="M360">
        <v>2</v>
      </c>
      <c r="N360" t="s">
        <v>1830</v>
      </c>
      <c r="O360" t="s">
        <v>1447</v>
      </c>
      <c r="P360" t="s">
        <v>1452</v>
      </c>
      <c r="Q360" t="s">
        <v>1443</v>
      </c>
      <c r="R360" t="s">
        <v>563</v>
      </c>
      <c r="S360" t="s">
        <v>1843</v>
      </c>
    </row>
    <row r="361" spans="1:19">
      <c r="A361" t="s">
        <v>4240</v>
      </c>
      <c r="B361" t="s">
        <v>573</v>
      </c>
      <c r="C361" t="s">
        <v>3607</v>
      </c>
      <c r="D361">
        <v>302</v>
      </c>
      <c r="E361" t="s">
        <v>1456</v>
      </c>
      <c r="F361">
        <v>4</v>
      </c>
      <c r="G361">
        <v>1</v>
      </c>
      <c r="I361" t="s">
        <v>3238</v>
      </c>
      <c r="J361" t="s">
        <v>27</v>
      </c>
      <c r="K361" t="s">
        <v>27</v>
      </c>
      <c r="L361">
        <v>5</v>
      </c>
      <c r="M361">
        <v>3</v>
      </c>
      <c r="N361" t="s">
        <v>1844</v>
      </c>
      <c r="O361" t="s">
        <v>1447</v>
      </c>
      <c r="P361" t="s">
        <v>1444</v>
      </c>
      <c r="Q361" t="s">
        <v>1443</v>
      </c>
      <c r="R361" t="s">
        <v>551</v>
      </c>
      <c r="S361" t="s">
        <v>1845</v>
      </c>
    </row>
    <row r="362" spans="1:19">
      <c r="A362" t="s">
        <v>4241</v>
      </c>
      <c r="B362" t="s">
        <v>1846</v>
      </c>
      <c r="C362" t="s">
        <v>3607</v>
      </c>
      <c r="D362">
        <v>302</v>
      </c>
      <c r="E362" t="s">
        <v>1541</v>
      </c>
      <c r="F362">
        <v>5</v>
      </c>
      <c r="I362" t="s">
        <v>3238</v>
      </c>
      <c r="J362" t="s">
        <v>27</v>
      </c>
      <c r="K362" t="s">
        <v>27</v>
      </c>
      <c r="L362">
        <v>5</v>
      </c>
      <c r="M362">
        <v>3</v>
      </c>
      <c r="N362" t="s">
        <v>1844</v>
      </c>
      <c r="O362" t="s">
        <v>1447</v>
      </c>
      <c r="P362" t="s">
        <v>1444</v>
      </c>
      <c r="Q362" t="s">
        <v>1443</v>
      </c>
      <c r="R362" t="s">
        <v>565</v>
      </c>
      <c r="S362" t="s">
        <v>1847</v>
      </c>
    </row>
    <row r="363" spans="1:19">
      <c r="A363" t="s">
        <v>4242</v>
      </c>
      <c r="B363" t="s">
        <v>574</v>
      </c>
      <c r="C363" t="s">
        <v>3607</v>
      </c>
      <c r="D363">
        <v>302</v>
      </c>
      <c r="E363" t="s">
        <v>1511</v>
      </c>
      <c r="F363" t="s">
        <v>1511</v>
      </c>
      <c r="I363" t="s">
        <v>3238</v>
      </c>
      <c r="J363" t="s">
        <v>27</v>
      </c>
      <c r="K363" t="s">
        <v>27</v>
      </c>
      <c r="L363">
        <v>5</v>
      </c>
      <c r="M363">
        <v>3</v>
      </c>
      <c r="N363" t="s">
        <v>1844</v>
      </c>
      <c r="O363" t="s">
        <v>1513</v>
      </c>
      <c r="P363" t="s">
        <v>1444</v>
      </c>
      <c r="Q363" t="s">
        <v>1513</v>
      </c>
      <c r="R363" t="s">
        <v>1846</v>
      </c>
      <c r="S363" t="s">
        <v>1848</v>
      </c>
    </row>
    <row r="364" spans="1:19">
      <c r="A364" t="s">
        <v>4243</v>
      </c>
      <c r="B364" t="s">
        <v>557</v>
      </c>
      <c r="C364" t="s">
        <v>3607</v>
      </c>
      <c r="D364">
        <v>302</v>
      </c>
      <c r="E364" t="s">
        <v>1497</v>
      </c>
      <c r="F364">
        <v>6</v>
      </c>
      <c r="I364" t="s">
        <v>3238</v>
      </c>
      <c r="J364" t="s">
        <v>27</v>
      </c>
      <c r="K364" t="s">
        <v>27</v>
      </c>
      <c r="L364">
        <v>5</v>
      </c>
      <c r="M364">
        <v>3</v>
      </c>
      <c r="N364" t="s">
        <v>1844</v>
      </c>
      <c r="O364" t="s">
        <v>1447</v>
      </c>
      <c r="P364" t="s">
        <v>1705</v>
      </c>
      <c r="Q364" t="s">
        <v>1473</v>
      </c>
      <c r="R364" t="s">
        <v>576</v>
      </c>
      <c r="S364" t="s">
        <v>1849</v>
      </c>
    </row>
    <row r="365" spans="1:19">
      <c r="A365" t="s">
        <v>4244</v>
      </c>
      <c r="B365" t="s">
        <v>559</v>
      </c>
      <c r="C365" t="s">
        <v>3607</v>
      </c>
      <c r="D365" t="s">
        <v>560</v>
      </c>
      <c r="E365" t="s">
        <v>1850</v>
      </c>
      <c r="F365">
        <v>3</v>
      </c>
      <c r="H365" t="s">
        <v>3668</v>
      </c>
      <c r="I365" t="s">
        <v>3238</v>
      </c>
      <c r="J365" t="s">
        <v>27</v>
      </c>
      <c r="K365" t="s">
        <v>27</v>
      </c>
      <c r="L365">
        <v>5</v>
      </c>
      <c r="M365">
        <v>3</v>
      </c>
      <c r="N365" t="s">
        <v>1844</v>
      </c>
      <c r="O365" t="s">
        <v>1457</v>
      </c>
      <c r="P365" t="s">
        <v>1444</v>
      </c>
      <c r="Q365" t="s">
        <v>1473</v>
      </c>
      <c r="R365" t="s">
        <v>576</v>
      </c>
      <c r="S365" t="s">
        <v>1851</v>
      </c>
    </row>
    <row r="366" spans="1:19">
      <c r="A366" t="s">
        <v>4245</v>
      </c>
      <c r="B366" t="s">
        <v>575</v>
      </c>
      <c r="C366" t="s">
        <v>3607</v>
      </c>
      <c r="D366">
        <v>303</v>
      </c>
      <c r="E366" t="s">
        <v>1511</v>
      </c>
      <c r="F366" t="s">
        <v>1511</v>
      </c>
      <c r="I366" t="s">
        <v>3238</v>
      </c>
      <c r="J366" t="s">
        <v>27</v>
      </c>
      <c r="K366" t="s">
        <v>27</v>
      </c>
      <c r="L366">
        <v>5</v>
      </c>
      <c r="M366">
        <v>3</v>
      </c>
      <c r="N366" t="s">
        <v>1844</v>
      </c>
      <c r="O366" t="s">
        <v>1513</v>
      </c>
      <c r="P366" t="s">
        <v>1444</v>
      </c>
      <c r="Q366" t="s">
        <v>1513</v>
      </c>
      <c r="R366" t="s">
        <v>559</v>
      </c>
      <c r="S366" t="s">
        <v>1852</v>
      </c>
    </row>
    <row r="367" spans="1:19">
      <c r="A367" t="s">
        <v>4246</v>
      </c>
      <c r="B367" t="s">
        <v>556</v>
      </c>
      <c r="C367" t="s">
        <v>3607</v>
      </c>
      <c r="D367">
        <v>303</v>
      </c>
      <c r="E367" t="s">
        <v>1465</v>
      </c>
      <c r="F367">
        <v>1</v>
      </c>
      <c r="G367">
        <v>1</v>
      </c>
      <c r="I367" t="s">
        <v>3238</v>
      </c>
      <c r="J367" t="s">
        <v>27</v>
      </c>
      <c r="K367" t="s">
        <v>27</v>
      </c>
      <c r="L367">
        <v>5</v>
      </c>
      <c r="M367">
        <v>3</v>
      </c>
      <c r="N367" t="s">
        <v>1844</v>
      </c>
      <c r="O367" t="s">
        <v>1457</v>
      </c>
      <c r="P367" t="s">
        <v>1444</v>
      </c>
      <c r="Q367" t="s">
        <v>1600</v>
      </c>
      <c r="R367" t="s">
        <v>559</v>
      </c>
      <c r="S367" t="s">
        <v>1853</v>
      </c>
    </row>
    <row r="368" spans="1:19">
      <c r="A368" t="s">
        <v>4247</v>
      </c>
      <c r="B368" t="s">
        <v>562</v>
      </c>
      <c r="C368" t="s">
        <v>3607</v>
      </c>
      <c r="D368">
        <v>303</v>
      </c>
      <c r="E368" t="s">
        <v>1511</v>
      </c>
      <c r="F368" t="s">
        <v>1511</v>
      </c>
      <c r="I368" t="s">
        <v>3238</v>
      </c>
      <c r="J368" t="s">
        <v>27</v>
      </c>
      <c r="K368" t="s">
        <v>27</v>
      </c>
      <c r="L368">
        <v>5</v>
      </c>
      <c r="M368">
        <v>5</v>
      </c>
      <c r="N368" t="s">
        <v>1854</v>
      </c>
      <c r="O368" t="s">
        <v>1513</v>
      </c>
      <c r="P368" t="s">
        <v>1620</v>
      </c>
      <c r="Q368" t="s">
        <v>1443</v>
      </c>
      <c r="R368" t="s">
        <v>568</v>
      </c>
      <c r="S368" t="s">
        <v>1855</v>
      </c>
    </row>
    <row r="369" spans="1:19">
      <c r="A369" t="s">
        <v>6842</v>
      </c>
      <c r="B369" t="s">
        <v>5365</v>
      </c>
      <c r="C369" t="s">
        <v>3968</v>
      </c>
      <c r="D369">
        <v>190</v>
      </c>
      <c r="E369" t="s">
        <v>5366</v>
      </c>
      <c r="F369">
        <v>2</v>
      </c>
      <c r="I369" t="s">
        <v>3560</v>
      </c>
      <c r="J369" t="s">
        <v>27</v>
      </c>
      <c r="K369" t="s">
        <v>27</v>
      </c>
      <c r="L369">
        <v>1</v>
      </c>
      <c r="M369">
        <v>1</v>
      </c>
      <c r="N369" t="s">
        <v>5367</v>
      </c>
      <c r="O369" t="s">
        <v>5176</v>
      </c>
      <c r="P369" t="s">
        <v>5368</v>
      </c>
      <c r="Q369" t="s">
        <v>1443</v>
      </c>
      <c r="R369" t="s">
        <v>1444</v>
      </c>
      <c r="S369" t="s">
        <v>5369</v>
      </c>
    </row>
    <row r="370" spans="1:19">
      <c r="A370" t="s">
        <v>6843</v>
      </c>
      <c r="B370" t="s">
        <v>5370</v>
      </c>
      <c r="C370" t="s">
        <v>3968</v>
      </c>
      <c r="D370">
        <v>190</v>
      </c>
      <c r="E370" t="s">
        <v>3734</v>
      </c>
      <c r="F370">
        <v>1</v>
      </c>
      <c r="H370" t="s">
        <v>2420</v>
      </c>
      <c r="I370" t="s">
        <v>3560</v>
      </c>
      <c r="J370" t="s">
        <v>27</v>
      </c>
      <c r="K370" t="s">
        <v>27</v>
      </c>
      <c r="L370">
        <v>3</v>
      </c>
      <c r="M370">
        <v>1</v>
      </c>
      <c r="N370" t="s">
        <v>1816</v>
      </c>
      <c r="O370" t="s">
        <v>1447</v>
      </c>
      <c r="P370" t="s">
        <v>5371</v>
      </c>
      <c r="Q370" t="s">
        <v>1443</v>
      </c>
      <c r="R370" t="s">
        <v>1444</v>
      </c>
      <c r="S370" t="s">
        <v>5372</v>
      </c>
    </row>
    <row r="371" spans="1:19">
      <c r="A371" t="s">
        <v>6844</v>
      </c>
      <c r="B371" t="s">
        <v>5373</v>
      </c>
      <c r="C371" t="s">
        <v>3968</v>
      </c>
      <c r="D371">
        <v>190</v>
      </c>
      <c r="E371" t="s">
        <v>1460</v>
      </c>
      <c r="F371">
        <v>2</v>
      </c>
      <c r="I371" t="s">
        <v>3560</v>
      </c>
      <c r="J371" t="s">
        <v>27</v>
      </c>
      <c r="K371" t="s">
        <v>27</v>
      </c>
      <c r="L371">
        <v>3</v>
      </c>
      <c r="M371">
        <v>1</v>
      </c>
      <c r="N371" t="s">
        <v>1816</v>
      </c>
      <c r="O371" t="s">
        <v>1441</v>
      </c>
      <c r="P371" t="s">
        <v>5118</v>
      </c>
      <c r="Q371" t="s">
        <v>1443</v>
      </c>
      <c r="R371" t="s">
        <v>1444</v>
      </c>
      <c r="S371" t="s">
        <v>5374</v>
      </c>
    </row>
    <row r="372" spans="1:19">
      <c r="A372" t="s">
        <v>6845</v>
      </c>
      <c r="B372" t="s">
        <v>5375</v>
      </c>
      <c r="C372" t="s">
        <v>3968</v>
      </c>
      <c r="D372">
        <v>191</v>
      </c>
      <c r="E372" t="s">
        <v>1486</v>
      </c>
      <c r="F372">
        <v>3</v>
      </c>
      <c r="H372" t="s">
        <v>2434</v>
      </c>
      <c r="I372" t="s">
        <v>3560</v>
      </c>
      <c r="J372" t="s">
        <v>27</v>
      </c>
      <c r="K372" t="s">
        <v>27</v>
      </c>
      <c r="L372">
        <v>3</v>
      </c>
      <c r="M372">
        <v>2</v>
      </c>
      <c r="N372" t="s">
        <v>5376</v>
      </c>
      <c r="O372" t="s">
        <v>1447</v>
      </c>
      <c r="P372" t="s">
        <v>5371</v>
      </c>
      <c r="Q372" t="s">
        <v>1443</v>
      </c>
      <c r="R372" t="s">
        <v>5370</v>
      </c>
      <c r="S372" t="s">
        <v>5377</v>
      </c>
    </row>
    <row r="373" spans="1:19">
      <c r="A373" t="s">
        <v>6846</v>
      </c>
      <c r="B373" t="s">
        <v>5378</v>
      </c>
      <c r="C373" t="s">
        <v>3968</v>
      </c>
      <c r="D373">
        <v>191</v>
      </c>
      <c r="E373" t="s">
        <v>1554</v>
      </c>
      <c r="F373">
        <v>4</v>
      </c>
      <c r="I373" t="s">
        <v>3560</v>
      </c>
      <c r="J373" t="s">
        <v>27</v>
      </c>
      <c r="K373" t="s">
        <v>27</v>
      </c>
      <c r="L373">
        <v>4</v>
      </c>
      <c r="M373">
        <v>2</v>
      </c>
      <c r="N373" t="s">
        <v>1832</v>
      </c>
      <c r="O373" t="s">
        <v>1447</v>
      </c>
      <c r="P373" t="s">
        <v>5379</v>
      </c>
      <c r="Q373" t="s">
        <v>1443</v>
      </c>
      <c r="R373" t="s">
        <v>5375</v>
      </c>
      <c r="S373" t="s">
        <v>5380</v>
      </c>
    </row>
    <row r="374" spans="1:19">
      <c r="A374" t="s">
        <v>6853</v>
      </c>
      <c r="B374" t="s">
        <v>5402</v>
      </c>
      <c r="C374" t="s">
        <v>3968</v>
      </c>
      <c r="D374">
        <v>192</v>
      </c>
      <c r="E374" t="s">
        <v>1554</v>
      </c>
      <c r="F374">
        <v>4</v>
      </c>
      <c r="I374" t="s">
        <v>3560</v>
      </c>
      <c r="J374" t="s">
        <v>27</v>
      </c>
      <c r="K374" t="s">
        <v>27</v>
      </c>
      <c r="L374">
        <v>4</v>
      </c>
      <c r="M374">
        <v>3</v>
      </c>
      <c r="N374" t="s">
        <v>5403</v>
      </c>
      <c r="O374" t="s">
        <v>1441</v>
      </c>
      <c r="P374" t="s">
        <v>5263</v>
      </c>
      <c r="Q374" t="s">
        <v>1443</v>
      </c>
      <c r="R374" t="s">
        <v>5373</v>
      </c>
      <c r="S374" t="s">
        <v>5404</v>
      </c>
    </row>
    <row r="375" spans="1:19">
      <c r="A375" t="s">
        <v>6854</v>
      </c>
      <c r="B375" t="s">
        <v>5405</v>
      </c>
      <c r="C375" t="s">
        <v>3968</v>
      </c>
      <c r="D375">
        <v>193</v>
      </c>
      <c r="E375" t="s">
        <v>2861</v>
      </c>
      <c r="F375">
        <v>4</v>
      </c>
      <c r="H375" t="s">
        <v>2420</v>
      </c>
      <c r="I375" t="s">
        <v>3560</v>
      </c>
      <c r="J375" t="s">
        <v>27</v>
      </c>
      <c r="K375" t="s">
        <v>27</v>
      </c>
      <c r="L375">
        <v>4</v>
      </c>
      <c r="M375">
        <v>3</v>
      </c>
      <c r="N375" t="s">
        <v>5403</v>
      </c>
      <c r="O375" t="s">
        <v>1447</v>
      </c>
      <c r="P375" t="s">
        <v>5018</v>
      </c>
      <c r="Q375" t="s">
        <v>1443</v>
      </c>
      <c r="R375" t="s">
        <v>5375</v>
      </c>
      <c r="S375" t="s">
        <v>5406</v>
      </c>
    </row>
    <row r="376" spans="1:19">
      <c r="A376" t="s">
        <v>6847</v>
      </c>
      <c r="B376" t="s">
        <v>5381</v>
      </c>
      <c r="C376" t="s">
        <v>3968</v>
      </c>
      <c r="D376">
        <v>191</v>
      </c>
      <c r="E376" t="s">
        <v>1450</v>
      </c>
      <c r="F376">
        <v>3</v>
      </c>
      <c r="I376" t="s">
        <v>3560</v>
      </c>
      <c r="J376" t="s">
        <v>27</v>
      </c>
      <c r="K376" t="s">
        <v>27</v>
      </c>
      <c r="L376">
        <v>5</v>
      </c>
      <c r="M376">
        <v>2</v>
      </c>
      <c r="N376" t="s">
        <v>1830</v>
      </c>
      <c r="O376" t="s">
        <v>1447</v>
      </c>
      <c r="P376" t="s">
        <v>5382</v>
      </c>
      <c r="Q376" t="s">
        <v>1443</v>
      </c>
      <c r="R376" t="s">
        <v>5370</v>
      </c>
      <c r="S376" t="s">
        <v>5383</v>
      </c>
    </row>
    <row r="377" spans="1:19">
      <c r="A377" t="s">
        <v>6848</v>
      </c>
      <c r="B377" t="s">
        <v>5384</v>
      </c>
      <c r="C377" t="s">
        <v>3968</v>
      </c>
      <c r="D377">
        <v>191</v>
      </c>
      <c r="E377" t="s">
        <v>1467</v>
      </c>
      <c r="F377">
        <v>5</v>
      </c>
      <c r="G377">
        <v>1</v>
      </c>
      <c r="I377" t="s">
        <v>3560</v>
      </c>
      <c r="J377" t="s">
        <v>27</v>
      </c>
      <c r="K377" t="s">
        <v>27</v>
      </c>
      <c r="L377">
        <v>5</v>
      </c>
      <c r="M377">
        <v>3</v>
      </c>
      <c r="N377" t="s">
        <v>1844</v>
      </c>
      <c r="O377" t="s">
        <v>1447</v>
      </c>
      <c r="P377" t="s">
        <v>5385</v>
      </c>
      <c r="Q377" t="s">
        <v>1443</v>
      </c>
      <c r="R377" t="s">
        <v>1444</v>
      </c>
      <c r="S377" t="s">
        <v>5386</v>
      </c>
    </row>
    <row r="378" spans="1:19">
      <c r="A378" t="s">
        <v>6849</v>
      </c>
      <c r="B378" t="s">
        <v>5387</v>
      </c>
      <c r="C378" t="s">
        <v>3968</v>
      </c>
      <c r="D378">
        <v>192</v>
      </c>
      <c r="E378" t="s">
        <v>5102</v>
      </c>
      <c r="F378">
        <v>5</v>
      </c>
      <c r="G378">
        <v>1</v>
      </c>
      <c r="H378" t="s">
        <v>5103</v>
      </c>
      <c r="I378" t="s">
        <v>3560</v>
      </c>
      <c r="J378" t="s">
        <v>27</v>
      </c>
      <c r="K378" t="s">
        <v>27</v>
      </c>
      <c r="L378">
        <v>5</v>
      </c>
      <c r="M378">
        <v>3</v>
      </c>
      <c r="N378" t="s">
        <v>5388</v>
      </c>
      <c r="O378" t="s">
        <v>1457</v>
      </c>
      <c r="P378" t="s">
        <v>5104</v>
      </c>
      <c r="Q378" t="s">
        <v>1443</v>
      </c>
      <c r="R378" t="s">
        <v>1444</v>
      </c>
      <c r="S378" t="s">
        <v>5389</v>
      </c>
    </row>
    <row r="379" spans="1:19">
      <c r="A379" t="s">
        <v>6850</v>
      </c>
      <c r="B379" t="s">
        <v>5390</v>
      </c>
      <c r="C379" t="s">
        <v>3968</v>
      </c>
      <c r="D379">
        <v>192</v>
      </c>
      <c r="E379" t="s">
        <v>1482</v>
      </c>
      <c r="F379">
        <v>7</v>
      </c>
      <c r="I379" t="s">
        <v>3560</v>
      </c>
      <c r="J379" t="s">
        <v>27</v>
      </c>
      <c r="K379" t="s">
        <v>27</v>
      </c>
      <c r="L379">
        <v>5</v>
      </c>
      <c r="M379">
        <v>3</v>
      </c>
      <c r="N379" t="s">
        <v>1844</v>
      </c>
      <c r="O379" t="s">
        <v>1447</v>
      </c>
      <c r="P379" t="s">
        <v>5391</v>
      </c>
      <c r="Q379" t="s">
        <v>1443</v>
      </c>
      <c r="R379" t="s">
        <v>5375</v>
      </c>
      <c r="S379" t="s">
        <v>5392</v>
      </c>
    </row>
    <row r="380" spans="1:19">
      <c r="A380" t="s">
        <v>6851</v>
      </c>
      <c r="B380" t="s">
        <v>5393</v>
      </c>
      <c r="C380" t="s">
        <v>3968</v>
      </c>
      <c r="D380">
        <v>192</v>
      </c>
      <c r="E380" t="s">
        <v>5394</v>
      </c>
      <c r="F380">
        <v>3</v>
      </c>
      <c r="H380" t="s">
        <v>5395</v>
      </c>
      <c r="I380" t="s">
        <v>3560</v>
      </c>
      <c r="J380" t="s">
        <v>27</v>
      </c>
      <c r="K380" t="s">
        <v>27</v>
      </c>
      <c r="L380">
        <v>5</v>
      </c>
      <c r="M380">
        <v>3</v>
      </c>
      <c r="N380" t="s">
        <v>1844</v>
      </c>
      <c r="O380" t="s">
        <v>1447</v>
      </c>
      <c r="P380" t="s">
        <v>5396</v>
      </c>
      <c r="Q380" t="s">
        <v>1443</v>
      </c>
      <c r="R380" t="s">
        <v>1444</v>
      </c>
      <c r="S380" t="s">
        <v>5397</v>
      </c>
    </row>
    <row r="381" spans="1:19">
      <c r="A381" t="s">
        <v>6852</v>
      </c>
      <c r="B381" t="s">
        <v>5398</v>
      </c>
      <c r="C381" t="s">
        <v>3968</v>
      </c>
      <c r="D381">
        <v>192</v>
      </c>
      <c r="E381" t="s">
        <v>5399</v>
      </c>
      <c r="F381">
        <v>2</v>
      </c>
      <c r="H381" t="s">
        <v>2434</v>
      </c>
      <c r="I381" t="s">
        <v>3560</v>
      </c>
      <c r="J381" t="s">
        <v>27</v>
      </c>
      <c r="K381" t="s">
        <v>27</v>
      </c>
      <c r="L381">
        <v>5</v>
      </c>
      <c r="M381">
        <v>3</v>
      </c>
      <c r="N381" t="s">
        <v>1844</v>
      </c>
      <c r="O381" t="s">
        <v>1447</v>
      </c>
      <c r="P381" t="s">
        <v>5400</v>
      </c>
      <c r="Q381" t="s">
        <v>1443</v>
      </c>
      <c r="R381" t="s">
        <v>1444</v>
      </c>
      <c r="S381" t="s">
        <v>5401</v>
      </c>
    </row>
    <row r="382" spans="1:19">
      <c r="A382" t="s">
        <v>6855</v>
      </c>
      <c r="B382" t="s">
        <v>5407</v>
      </c>
      <c r="C382" t="s">
        <v>3968</v>
      </c>
      <c r="D382">
        <v>193</v>
      </c>
      <c r="E382" t="s">
        <v>5408</v>
      </c>
      <c r="F382">
        <v>6</v>
      </c>
      <c r="H382" t="s">
        <v>5201</v>
      </c>
      <c r="I382" t="s">
        <v>3560</v>
      </c>
      <c r="J382" t="s">
        <v>27</v>
      </c>
      <c r="K382" t="s">
        <v>27</v>
      </c>
      <c r="L382">
        <v>5</v>
      </c>
      <c r="M382">
        <v>3</v>
      </c>
      <c r="N382" t="s">
        <v>1844</v>
      </c>
      <c r="O382" t="s">
        <v>1447</v>
      </c>
      <c r="P382" t="s">
        <v>5371</v>
      </c>
      <c r="Q382" t="s">
        <v>2189</v>
      </c>
      <c r="R382" t="s">
        <v>5381</v>
      </c>
      <c r="S382" t="s">
        <v>5409</v>
      </c>
    </row>
    <row r="383" spans="1:19">
      <c r="A383" t="s">
        <v>6856</v>
      </c>
      <c r="B383" t="s">
        <v>5410</v>
      </c>
      <c r="C383" t="s">
        <v>3968</v>
      </c>
      <c r="D383">
        <v>193</v>
      </c>
      <c r="E383" t="s">
        <v>1456</v>
      </c>
      <c r="F383">
        <v>4</v>
      </c>
      <c r="G383">
        <v>1</v>
      </c>
      <c r="I383" t="s">
        <v>3560</v>
      </c>
      <c r="J383" t="s">
        <v>27</v>
      </c>
      <c r="K383" t="s">
        <v>27</v>
      </c>
      <c r="L383">
        <v>5</v>
      </c>
      <c r="M383">
        <v>4</v>
      </c>
      <c r="N383" t="s">
        <v>5411</v>
      </c>
      <c r="O383" t="s">
        <v>1447</v>
      </c>
      <c r="P383" t="s">
        <v>5412</v>
      </c>
      <c r="Q383" t="s">
        <v>5062</v>
      </c>
      <c r="R383" t="s">
        <v>5407</v>
      </c>
      <c r="S383" t="s">
        <v>5413</v>
      </c>
    </row>
    <row r="384" spans="1:19">
      <c r="A384" t="s">
        <v>6857</v>
      </c>
      <c r="B384" t="s">
        <v>5414</v>
      </c>
      <c r="C384" t="s">
        <v>3968</v>
      </c>
      <c r="D384">
        <v>193</v>
      </c>
      <c r="E384" t="s">
        <v>3687</v>
      </c>
      <c r="I384" t="s">
        <v>3560</v>
      </c>
      <c r="J384" t="s">
        <v>27</v>
      </c>
      <c r="K384" t="s">
        <v>27</v>
      </c>
      <c r="L384">
        <v>5</v>
      </c>
      <c r="M384">
        <v>5</v>
      </c>
      <c r="N384" t="s">
        <v>1854</v>
      </c>
      <c r="O384" t="s">
        <v>1513</v>
      </c>
      <c r="P384" t="s">
        <v>5415</v>
      </c>
      <c r="Q384" t="s">
        <v>1513</v>
      </c>
      <c r="R384" t="s">
        <v>5416</v>
      </c>
      <c r="S384" t="s">
        <v>5417</v>
      </c>
    </row>
    <row r="385" spans="1:19">
      <c r="A385" t="s">
        <v>4248</v>
      </c>
      <c r="B385" t="s">
        <v>589</v>
      </c>
      <c r="C385" t="s">
        <v>3607</v>
      </c>
      <c r="D385" t="s">
        <v>590</v>
      </c>
      <c r="E385" t="s">
        <v>1439</v>
      </c>
      <c r="F385">
        <v>1</v>
      </c>
      <c r="I385" t="s">
        <v>3238</v>
      </c>
      <c r="J385" t="s">
        <v>28</v>
      </c>
      <c r="K385" t="s">
        <v>28</v>
      </c>
      <c r="L385">
        <v>1</v>
      </c>
      <c r="M385">
        <v>1</v>
      </c>
      <c r="N385" t="s">
        <v>1856</v>
      </c>
      <c r="O385" t="s">
        <v>1447</v>
      </c>
      <c r="P385" t="s">
        <v>1857</v>
      </c>
      <c r="Q385" t="s">
        <v>1443</v>
      </c>
      <c r="R385" t="s">
        <v>1858</v>
      </c>
      <c r="S385" t="s">
        <v>1859</v>
      </c>
    </row>
    <row r="386" spans="1:19">
      <c r="A386" t="s">
        <v>4251</v>
      </c>
      <c r="B386" t="s">
        <v>583</v>
      </c>
      <c r="C386" t="s">
        <v>3607</v>
      </c>
      <c r="D386" t="s">
        <v>584</v>
      </c>
      <c r="E386" t="s">
        <v>1866</v>
      </c>
      <c r="F386" t="s">
        <v>1866</v>
      </c>
      <c r="I386" t="s">
        <v>3238</v>
      </c>
      <c r="J386" t="s">
        <v>28</v>
      </c>
      <c r="K386" t="s">
        <v>28</v>
      </c>
      <c r="L386">
        <v>1</v>
      </c>
      <c r="M386">
        <v>1</v>
      </c>
      <c r="N386" t="s">
        <v>1856</v>
      </c>
      <c r="O386" t="s">
        <v>1513</v>
      </c>
      <c r="P386" t="s">
        <v>1705</v>
      </c>
      <c r="Q386" t="s">
        <v>1513</v>
      </c>
      <c r="R386" t="s">
        <v>585</v>
      </c>
      <c r="S386" t="s">
        <v>1867</v>
      </c>
    </row>
    <row r="387" spans="1:19">
      <c r="A387" t="s">
        <v>4249</v>
      </c>
      <c r="B387" t="s">
        <v>613</v>
      </c>
      <c r="C387" t="s">
        <v>3607</v>
      </c>
      <c r="D387" t="s">
        <v>614</v>
      </c>
      <c r="E387" t="s">
        <v>1511</v>
      </c>
      <c r="F387" t="s">
        <v>1511</v>
      </c>
      <c r="I387" t="s">
        <v>3238</v>
      </c>
      <c r="J387" t="s">
        <v>28</v>
      </c>
      <c r="K387" t="s">
        <v>28</v>
      </c>
      <c r="L387">
        <v>2</v>
      </c>
      <c r="M387">
        <v>1</v>
      </c>
      <c r="N387" t="s">
        <v>1860</v>
      </c>
      <c r="O387" t="s">
        <v>1513</v>
      </c>
      <c r="P387" t="s">
        <v>1857</v>
      </c>
      <c r="Q387" t="s">
        <v>1513</v>
      </c>
      <c r="R387" t="s">
        <v>1861</v>
      </c>
      <c r="S387" t="s">
        <v>1862</v>
      </c>
    </row>
    <row r="388" spans="1:19">
      <c r="A388" t="s">
        <v>4250</v>
      </c>
      <c r="B388" t="s">
        <v>593</v>
      </c>
      <c r="C388" t="s">
        <v>3607</v>
      </c>
      <c r="D388" t="s">
        <v>594</v>
      </c>
      <c r="E388" t="s">
        <v>1863</v>
      </c>
      <c r="F388" t="s">
        <v>1863</v>
      </c>
      <c r="I388" t="s">
        <v>3238</v>
      </c>
      <c r="J388" t="s">
        <v>28</v>
      </c>
      <c r="K388" t="s">
        <v>28</v>
      </c>
      <c r="L388">
        <v>3</v>
      </c>
      <c r="M388">
        <v>1</v>
      </c>
      <c r="N388" t="s">
        <v>1864</v>
      </c>
      <c r="O388" t="s">
        <v>1513</v>
      </c>
      <c r="P388" t="s">
        <v>1444</v>
      </c>
      <c r="Q388" t="s">
        <v>1513</v>
      </c>
      <c r="R388" t="s">
        <v>1444</v>
      </c>
      <c r="S388" t="s">
        <v>1865</v>
      </c>
    </row>
    <row r="389" spans="1:19">
      <c r="A389" t="s">
        <v>4252</v>
      </c>
      <c r="B389" t="s">
        <v>598</v>
      </c>
      <c r="C389" t="s">
        <v>3607</v>
      </c>
      <c r="D389">
        <v>305</v>
      </c>
      <c r="E389" t="s">
        <v>1511</v>
      </c>
      <c r="F389" t="s">
        <v>1511</v>
      </c>
      <c r="I389" t="s">
        <v>3238</v>
      </c>
      <c r="J389" t="s">
        <v>28</v>
      </c>
      <c r="K389" t="s">
        <v>28</v>
      </c>
      <c r="L389">
        <v>3</v>
      </c>
      <c r="M389">
        <v>1</v>
      </c>
      <c r="N389" t="s">
        <v>1864</v>
      </c>
      <c r="O389" t="s">
        <v>1513</v>
      </c>
      <c r="P389" t="s">
        <v>1444</v>
      </c>
      <c r="Q389" t="s">
        <v>1513</v>
      </c>
      <c r="R389" t="s">
        <v>583</v>
      </c>
      <c r="S389" t="s">
        <v>1868</v>
      </c>
    </row>
    <row r="390" spans="1:19">
      <c r="A390" t="s">
        <v>4253</v>
      </c>
      <c r="B390" t="s">
        <v>608</v>
      </c>
      <c r="C390" t="s">
        <v>3607</v>
      </c>
      <c r="D390" t="s">
        <v>609</v>
      </c>
      <c r="E390" t="s">
        <v>1869</v>
      </c>
      <c r="F390" t="s">
        <v>1869</v>
      </c>
      <c r="I390" t="s">
        <v>3238</v>
      </c>
      <c r="J390" t="s">
        <v>28</v>
      </c>
      <c r="K390" t="s">
        <v>28</v>
      </c>
      <c r="L390">
        <v>3</v>
      </c>
      <c r="M390">
        <v>2</v>
      </c>
      <c r="N390" t="s">
        <v>1870</v>
      </c>
      <c r="O390" t="s">
        <v>1447</v>
      </c>
      <c r="P390" t="s">
        <v>1444</v>
      </c>
      <c r="Q390" t="s">
        <v>1443</v>
      </c>
      <c r="R390" t="s">
        <v>589</v>
      </c>
      <c r="S390" t="s">
        <v>1871</v>
      </c>
    </row>
    <row r="391" spans="1:19">
      <c r="A391" t="s">
        <v>4255</v>
      </c>
      <c r="B391" t="s">
        <v>616</v>
      </c>
      <c r="C391" t="s">
        <v>3607</v>
      </c>
      <c r="D391">
        <v>306</v>
      </c>
      <c r="E391" t="s">
        <v>1467</v>
      </c>
      <c r="F391">
        <v>5</v>
      </c>
      <c r="G391">
        <v>1</v>
      </c>
      <c r="I391" t="s">
        <v>3238</v>
      </c>
      <c r="J391" t="s">
        <v>28</v>
      </c>
      <c r="K391" t="s">
        <v>28</v>
      </c>
      <c r="L391">
        <v>3</v>
      </c>
      <c r="M391">
        <v>2</v>
      </c>
      <c r="N391" t="s">
        <v>1870</v>
      </c>
      <c r="O391" t="s">
        <v>1457</v>
      </c>
      <c r="P391" t="s">
        <v>1444</v>
      </c>
      <c r="Q391" t="s">
        <v>1473</v>
      </c>
      <c r="R391" t="s">
        <v>613</v>
      </c>
      <c r="S391" t="s">
        <v>1875</v>
      </c>
    </row>
    <row r="392" spans="1:19">
      <c r="A392" t="s">
        <v>4254</v>
      </c>
      <c r="B392" t="s">
        <v>618</v>
      </c>
      <c r="C392" t="s">
        <v>3607</v>
      </c>
      <c r="D392" t="s">
        <v>619</v>
      </c>
      <c r="E392" t="s">
        <v>1511</v>
      </c>
      <c r="F392" t="s">
        <v>1511</v>
      </c>
      <c r="I392" t="s">
        <v>3238</v>
      </c>
      <c r="J392" t="s">
        <v>28</v>
      </c>
      <c r="K392" t="s">
        <v>28</v>
      </c>
      <c r="L392">
        <v>4</v>
      </c>
      <c r="M392">
        <v>2</v>
      </c>
      <c r="N392" t="s">
        <v>1872</v>
      </c>
      <c r="O392" t="s">
        <v>1513</v>
      </c>
      <c r="P392" t="s">
        <v>1857</v>
      </c>
      <c r="Q392" t="s">
        <v>1513</v>
      </c>
      <c r="R392" t="s">
        <v>1873</v>
      </c>
      <c r="S392" t="s">
        <v>1874</v>
      </c>
    </row>
    <row r="393" spans="1:19">
      <c r="A393" t="s">
        <v>4256</v>
      </c>
      <c r="B393" t="s">
        <v>599</v>
      </c>
      <c r="C393" t="s">
        <v>3607</v>
      </c>
      <c r="D393" t="s">
        <v>600</v>
      </c>
      <c r="E393" t="s">
        <v>1541</v>
      </c>
      <c r="F393">
        <v>5</v>
      </c>
      <c r="I393" t="s">
        <v>3238</v>
      </c>
      <c r="J393" t="s">
        <v>28</v>
      </c>
      <c r="K393" t="s">
        <v>28</v>
      </c>
      <c r="L393">
        <v>4</v>
      </c>
      <c r="M393">
        <v>2</v>
      </c>
      <c r="N393" t="s">
        <v>1872</v>
      </c>
      <c r="O393" t="s">
        <v>1457</v>
      </c>
      <c r="P393" t="s">
        <v>1876</v>
      </c>
      <c r="Q393" t="s">
        <v>1443</v>
      </c>
      <c r="R393" t="s">
        <v>1877</v>
      </c>
      <c r="S393" t="s">
        <v>1878</v>
      </c>
    </row>
    <row r="394" spans="1:19">
      <c r="A394" t="s">
        <v>4259</v>
      </c>
      <c r="B394" t="s">
        <v>611</v>
      </c>
      <c r="C394" t="s">
        <v>3607</v>
      </c>
      <c r="D394" t="s">
        <v>612</v>
      </c>
      <c r="E394" t="s">
        <v>1456</v>
      </c>
      <c r="F394">
        <v>4</v>
      </c>
      <c r="G394">
        <v>1</v>
      </c>
      <c r="I394" t="s">
        <v>3238</v>
      </c>
      <c r="J394" t="s">
        <v>28</v>
      </c>
      <c r="K394" t="s">
        <v>28</v>
      </c>
      <c r="L394">
        <v>4</v>
      </c>
      <c r="M394">
        <v>2</v>
      </c>
      <c r="N394" t="s">
        <v>1872</v>
      </c>
      <c r="O394" t="s">
        <v>1447</v>
      </c>
      <c r="P394" t="s">
        <v>1857</v>
      </c>
      <c r="Q394" t="s">
        <v>1443</v>
      </c>
      <c r="R394" t="s">
        <v>1883</v>
      </c>
      <c r="S394" t="s">
        <v>1884</v>
      </c>
    </row>
    <row r="395" spans="1:19">
      <c r="A395" t="s">
        <v>4257</v>
      </c>
      <c r="B395" t="s">
        <v>582</v>
      </c>
      <c r="C395" t="s">
        <v>3607</v>
      </c>
      <c r="D395">
        <v>306</v>
      </c>
      <c r="E395" t="s">
        <v>1511</v>
      </c>
      <c r="F395" t="s">
        <v>1511</v>
      </c>
      <c r="I395" t="s">
        <v>3238</v>
      </c>
      <c r="J395" t="s">
        <v>28</v>
      </c>
      <c r="K395" t="s">
        <v>28</v>
      </c>
      <c r="L395">
        <v>5</v>
      </c>
      <c r="M395">
        <v>2</v>
      </c>
      <c r="N395" t="s">
        <v>1879</v>
      </c>
      <c r="O395" t="s">
        <v>1447</v>
      </c>
      <c r="P395" t="s">
        <v>1857</v>
      </c>
      <c r="Q395" t="s">
        <v>1443</v>
      </c>
      <c r="R395" t="s">
        <v>1880</v>
      </c>
      <c r="S395" t="s">
        <v>1881</v>
      </c>
    </row>
    <row r="396" spans="1:19">
      <c r="A396" t="s">
        <v>4258</v>
      </c>
      <c r="B396" t="s">
        <v>591</v>
      </c>
      <c r="C396" t="s">
        <v>3607</v>
      </c>
      <c r="D396" t="s">
        <v>592</v>
      </c>
      <c r="E396" t="s">
        <v>1511</v>
      </c>
      <c r="F396" t="s">
        <v>1511</v>
      </c>
      <c r="I396" t="s">
        <v>3238</v>
      </c>
      <c r="J396" t="s">
        <v>28</v>
      </c>
      <c r="K396" t="s">
        <v>28</v>
      </c>
      <c r="L396">
        <v>5</v>
      </c>
      <c r="M396">
        <v>2</v>
      </c>
      <c r="N396" t="s">
        <v>1879</v>
      </c>
      <c r="O396" t="s">
        <v>1447</v>
      </c>
      <c r="P396" t="s">
        <v>1857</v>
      </c>
      <c r="Q396" t="s">
        <v>1443</v>
      </c>
      <c r="R396" t="s">
        <v>1880</v>
      </c>
      <c r="S396" t="s">
        <v>1882</v>
      </c>
    </row>
    <row r="397" spans="1:19">
      <c r="A397" t="s">
        <v>4260</v>
      </c>
      <c r="B397" t="s">
        <v>603</v>
      </c>
      <c r="C397" t="s">
        <v>3607</v>
      </c>
      <c r="D397" t="s">
        <v>604</v>
      </c>
      <c r="E397" t="s">
        <v>1511</v>
      </c>
      <c r="F397" t="s">
        <v>1511</v>
      </c>
      <c r="I397" t="s">
        <v>3238</v>
      </c>
      <c r="J397" t="s">
        <v>28</v>
      </c>
      <c r="K397" t="s">
        <v>28</v>
      </c>
      <c r="L397">
        <v>5</v>
      </c>
      <c r="M397">
        <v>2</v>
      </c>
      <c r="N397" t="s">
        <v>1879</v>
      </c>
      <c r="O397" t="s">
        <v>1513</v>
      </c>
      <c r="P397" t="s">
        <v>1857</v>
      </c>
      <c r="Q397" t="s">
        <v>1513</v>
      </c>
      <c r="R397" t="s">
        <v>1885</v>
      </c>
      <c r="S397" t="s">
        <v>1886</v>
      </c>
    </row>
    <row r="398" spans="1:19">
      <c r="A398" t="s">
        <v>4261</v>
      </c>
      <c r="B398" t="s">
        <v>622</v>
      </c>
      <c r="C398" t="s">
        <v>3607</v>
      </c>
      <c r="D398">
        <v>307</v>
      </c>
      <c r="E398" t="s">
        <v>1450</v>
      </c>
      <c r="F398">
        <v>3</v>
      </c>
      <c r="I398" t="s">
        <v>3238</v>
      </c>
      <c r="J398" t="s">
        <v>28</v>
      </c>
      <c r="K398" t="s">
        <v>28</v>
      </c>
      <c r="L398">
        <v>5</v>
      </c>
      <c r="M398">
        <v>2</v>
      </c>
      <c r="N398" t="s">
        <v>1879</v>
      </c>
      <c r="O398" t="s">
        <v>1447</v>
      </c>
      <c r="P398" t="s">
        <v>1444</v>
      </c>
      <c r="Q398" t="s">
        <v>1443</v>
      </c>
      <c r="R398" t="s">
        <v>603</v>
      </c>
      <c r="S398" t="s">
        <v>1887</v>
      </c>
    </row>
    <row r="399" spans="1:19">
      <c r="A399" t="s">
        <v>4262</v>
      </c>
      <c r="B399" t="s">
        <v>578</v>
      </c>
      <c r="C399" t="s">
        <v>3607</v>
      </c>
      <c r="D399">
        <v>307</v>
      </c>
      <c r="E399" t="s">
        <v>1497</v>
      </c>
      <c r="F399">
        <v>6</v>
      </c>
      <c r="I399" t="s">
        <v>3238</v>
      </c>
      <c r="J399" t="s">
        <v>28</v>
      </c>
      <c r="K399" t="s">
        <v>28</v>
      </c>
      <c r="L399">
        <v>5</v>
      </c>
      <c r="M399">
        <v>2</v>
      </c>
      <c r="N399" t="s">
        <v>1879</v>
      </c>
      <c r="O399" t="s">
        <v>1457</v>
      </c>
      <c r="P399" t="s">
        <v>1857</v>
      </c>
      <c r="Q399" t="s">
        <v>1534</v>
      </c>
      <c r="R399" t="s">
        <v>1888</v>
      </c>
      <c r="S399" t="s">
        <v>1889</v>
      </c>
    </row>
    <row r="400" spans="1:19">
      <c r="A400" t="s">
        <v>4263</v>
      </c>
      <c r="B400" t="s">
        <v>601</v>
      </c>
      <c r="C400" t="s">
        <v>3607</v>
      </c>
      <c r="D400" t="s">
        <v>602</v>
      </c>
      <c r="E400" t="s">
        <v>1712</v>
      </c>
      <c r="F400" t="s">
        <v>1712</v>
      </c>
      <c r="I400" t="s">
        <v>3238</v>
      </c>
      <c r="J400" t="s">
        <v>28</v>
      </c>
      <c r="K400" t="s">
        <v>28</v>
      </c>
      <c r="L400">
        <v>5</v>
      </c>
      <c r="M400">
        <v>2</v>
      </c>
      <c r="N400" t="s">
        <v>1879</v>
      </c>
      <c r="O400" t="s">
        <v>1513</v>
      </c>
      <c r="P400" t="s">
        <v>1444</v>
      </c>
      <c r="Q400" t="s">
        <v>1513</v>
      </c>
      <c r="R400" t="s">
        <v>583</v>
      </c>
      <c r="S400" t="s">
        <v>1890</v>
      </c>
    </row>
    <row r="401" spans="1:19">
      <c r="A401" t="s">
        <v>4264</v>
      </c>
      <c r="B401" t="s">
        <v>615</v>
      </c>
      <c r="C401" t="s">
        <v>3607</v>
      </c>
      <c r="D401">
        <v>308</v>
      </c>
      <c r="E401" t="s">
        <v>1511</v>
      </c>
      <c r="F401" t="s">
        <v>1511</v>
      </c>
      <c r="I401" t="s">
        <v>3238</v>
      </c>
      <c r="J401" t="s">
        <v>28</v>
      </c>
      <c r="K401" t="s">
        <v>28</v>
      </c>
      <c r="L401">
        <v>5</v>
      </c>
      <c r="M401">
        <v>2</v>
      </c>
      <c r="N401" t="s">
        <v>1879</v>
      </c>
      <c r="O401" t="s">
        <v>1513</v>
      </c>
      <c r="P401" t="s">
        <v>1444</v>
      </c>
      <c r="Q401" t="s">
        <v>1513</v>
      </c>
      <c r="R401" t="s">
        <v>1891</v>
      </c>
      <c r="S401" t="s">
        <v>1892</v>
      </c>
    </row>
    <row r="402" spans="1:19">
      <c r="A402" t="s">
        <v>4265</v>
      </c>
      <c r="B402" t="s">
        <v>606</v>
      </c>
      <c r="C402" t="s">
        <v>3607</v>
      </c>
      <c r="D402" t="s">
        <v>607</v>
      </c>
      <c r="E402" t="s">
        <v>1456</v>
      </c>
      <c r="F402">
        <v>4</v>
      </c>
      <c r="G402">
        <v>1</v>
      </c>
      <c r="I402" t="s">
        <v>3238</v>
      </c>
      <c r="J402" t="s">
        <v>28</v>
      </c>
      <c r="K402" t="s">
        <v>28</v>
      </c>
      <c r="L402">
        <v>5</v>
      </c>
      <c r="M402">
        <v>2</v>
      </c>
      <c r="N402" t="s">
        <v>1879</v>
      </c>
      <c r="O402" t="s">
        <v>1457</v>
      </c>
      <c r="P402" t="s">
        <v>1444</v>
      </c>
      <c r="Q402" t="s">
        <v>1443</v>
      </c>
      <c r="R402" t="s">
        <v>615</v>
      </c>
      <c r="S402" t="s">
        <v>1893</v>
      </c>
    </row>
    <row r="403" spans="1:19">
      <c r="A403" t="s">
        <v>4266</v>
      </c>
      <c r="B403" t="s">
        <v>610</v>
      </c>
      <c r="C403" t="s">
        <v>3607</v>
      </c>
      <c r="D403">
        <v>308</v>
      </c>
      <c r="E403" t="s">
        <v>1511</v>
      </c>
      <c r="F403" t="s">
        <v>1511</v>
      </c>
      <c r="I403" t="s">
        <v>3238</v>
      </c>
      <c r="J403" t="s">
        <v>28</v>
      </c>
      <c r="K403" t="s">
        <v>28</v>
      </c>
      <c r="L403">
        <v>5</v>
      </c>
      <c r="M403">
        <v>3</v>
      </c>
      <c r="N403" t="s">
        <v>1894</v>
      </c>
      <c r="O403" t="s">
        <v>1447</v>
      </c>
      <c r="P403" t="s">
        <v>1444</v>
      </c>
      <c r="Q403" t="s">
        <v>1443</v>
      </c>
      <c r="R403" t="s">
        <v>608</v>
      </c>
      <c r="S403" t="s">
        <v>1895</v>
      </c>
    </row>
    <row r="404" spans="1:19">
      <c r="A404" t="s">
        <v>4267</v>
      </c>
      <c r="B404" t="s">
        <v>588</v>
      </c>
      <c r="C404" t="s">
        <v>3607</v>
      </c>
      <c r="D404">
        <v>308</v>
      </c>
      <c r="E404" t="s">
        <v>1511</v>
      </c>
      <c r="F404" t="s">
        <v>1511</v>
      </c>
      <c r="I404" t="s">
        <v>3238</v>
      </c>
      <c r="J404" t="s">
        <v>28</v>
      </c>
      <c r="K404" t="s">
        <v>28</v>
      </c>
      <c r="L404">
        <v>5</v>
      </c>
      <c r="M404">
        <v>3</v>
      </c>
      <c r="N404" t="s">
        <v>1894</v>
      </c>
      <c r="O404" t="s">
        <v>1441</v>
      </c>
      <c r="P404" t="s">
        <v>1857</v>
      </c>
      <c r="Q404" t="s">
        <v>1443</v>
      </c>
      <c r="R404" t="s">
        <v>1896</v>
      </c>
      <c r="S404" t="s">
        <v>1897</v>
      </c>
    </row>
    <row r="405" spans="1:19">
      <c r="A405" t="s">
        <v>4268</v>
      </c>
      <c r="B405" t="s">
        <v>1898</v>
      </c>
      <c r="C405" t="s">
        <v>3607</v>
      </c>
      <c r="D405" t="s">
        <v>617</v>
      </c>
      <c r="E405" t="s">
        <v>1543</v>
      </c>
      <c r="F405">
        <v>7</v>
      </c>
      <c r="G405">
        <v>1</v>
      </c>
      <c r="I405" t="s">
        <v>3238</v>
      </c>
      <c r="J405" t="s">
        <v>28</v>
      </c>
      <c r="K405" t="s">
        <v>28</v>
      </c>
      <c r="L405">
        <v>5</v>
      </c>
      <c r="M405">
        <v>3</v>
      </c>
      <c r="N405" t="s">
        <v>1894</v>
      </c>
      <c r="O405" t="s">
        <v>1457</v>
      </c>
      <c r="P405" t="s">
        <v>1444</v>
      </c>
      <c r="Q405" t="s">
        <v>1443</v>
      </c>
      <c r="R405" t="s">
        <v>608</v>
      </c>
      <c r="S405" t="s">
        <v>1899</v>
      </c>
    </row>
    <row r="406" spans="1:19">
      <c r="A406" t="s">
        <v>4269</v>
      </c>
      <c r="B406" t="s">
        <v>605</v>
      </c>
      <c r="C406" t="s">
        <v>3607</v>
      </c>
      <c r="D406">
        <v>309</v>
      </c>
      <c r="E406" t="s">
        <v>1511</v>
      </c>
      <c r="F406" t="s">
        <v>1511</v>
      </c>
      <c r="I406" t="s">
        <v>3238</v>
      </c>
      <c r="J406" t="s">
        <v>28</v>
      </c>
      <c r="K406" t="s">
        <v>28</v>
      </c>
      <c r="L406">
        <v>5</v>
      </c>
      <c r="M406">
        <v>3</v>
      </c>
      <c r="N406" t="s">
        <v>1894</v>
      </c>
      <c r="O406" t="s">
        <v>1447</v>
      </c>
      <c r="P406" t="s">
        <v>1444</v>
      </c>
      <c r="Q406" t="s">
        <v>1443</v>
      </c>
      <c r="R406" t="s">
        <v>1900</v>
      </c>
      <c r="S406" t="s">
        <v>1901</v>
      </c>
    </row>
    <row r="407" spans="1:19">
      <c r="A407" t="s">
        <v>4270</v>
      </c>
      <c r="B407" t="s">
        <v>579</v>
      </c>
      <c r="C407" t="s">
        <v>3607</v>
      </c>
      <c r="D407" t="s">
        <v>580</v>
      </c>
      <c r="E407" t="s">
        <v>1511</v>
      </c>
      <c r="F407" t="s">
        <v>1511</v>
      </c>
      <c r="I407" t="s">
        <v>3238</v>
      </c>
      <c r="J407" t="s">
        <v>28</v>
      </c>
      <c r="K407" t="s">
        <v>28</v>
      </c>
      <c r="L407">
        <v>5</v>
      </c>
      <c r="M407">
        <v>3</v>
      </c>
      <c r="N407" t="s">
        <v>1894</v>
      </c>
      <c r="O407" t="s">
        <v>1513</v>
      </c>
      <c r="P407" t="s">
        <v>1857</v>
      </c>
      <c r="Q407" t="s">
        <v>1443</v>
      </c>
      <c r="R407" t="s">
        <v>1880</v>
      </c>
      <c r="S407" t="s">
        <v>1902</v>
      </c>
    </row>
    <row r="408" spans="1:19">
      <c r="A408" t="s">
        <v>4271</v>
      </c>
      <c r="B408" t="s">
        <v>620</v>
      </c>
      <c r="C408" t="s">
        <v>3607</v>
      </c>
      <c r="D408" t="s">
        <v>621</v>
      </c>
      <c r="E408" t="s">
        <v>1450</v>
      </c>
      <c r="F408">
        <v>3</v>
      </c>
      <c r="I408" t="s">
        <v>3238</v>
      </c>
      <c r="J408" t="s">
        <v>28</v>
      </c>
      <c r="K408" t="s">
        <v>28</v>
      </c>
      <c r="L408">
        <v>5</v>
      </c>
      <c r="M408">
        <v>3</v>
      </c>
      <c r="N408" t="s">
        <v>1894</v>
      </c>
      <c r="O408" t="s">
        <v>1447</v>
      </c>
      <c r="P408" t="s">
        <v>1444</v>
      </c>
      <c r="Q408" t="s">
        <v>1443</v>
      </c>
      <c r="R408" t="s">
        <v>603</v>
      </c>
      <c r="S408" t="s">
        <v>1903</v>
      </c>
    </row>
    <row r="409" spans="1:19">
      <c r="A409" t="s">
        <v>4272</v>
      </c>
      <c r="B409" t="s">
        <v>595</v>
      </c>
      <c r="C409" t="s">
        <v>3607</v>
      </c>
      <c r="D409" t="s">
        <v>596</v>
      </c>
      <c r="E409" t="s">
        <v>1599</v>
      </c>
      <c r="F409">
        <v>10</v>
      </c>
      <c r="G409">
        <v>1</v>
      </c>
      <c r="I409" t="s">
        <v>3238</v>
      </c>
      <c r="J409" t="s">
        <v>28</v>
      </c>
      <c r="K409" t="s">
        <v>28</v>
      </c>
      <c r="L409">
        <v>5</v>
      </c>
      <c r="M409">
        <v>3</v>
      </c>
      <c r="N409" t="s">
        <v>1894</v>
      </c>
      <c r="O409" t="s">
        <v>1447</v>
      </c>
      <c r="P409" t="s">
        <v>1857</v>
      </c>
      <c r="Q409" t="s">
        <v>1547</v>
      </c>
      <c r="R409" t="s">
        <v>1904</v>
      </c>
      <c r="S409" t="s">
        <v>3669</v>
      </c>
    </row>
    <row r="410" spans="1:19">
      <c r="A410" t="s">
        <v>4273</v>
      </c>
      <c r="B410" t="s">
        <v>587</v>
      </c>
      <c r="C410" t="s">
        <v>3607</v>
      </c>
      <c r="D410">
        <v>310</v>
      </c>
      <c r="E410" t="s">
        <v>1439</v>
      </c>
      <c r="F410">
        <v>1</v>
      </c>
      <c r="I410" t="s">
        <v>3238</v>
      </c>
      <c r="J410" t="s">
        <v>28</v>
      </c>
      <c r="K410" t="s">
        <v>28</v>
      </c>
      <c r="L410">
        <v>5</v>
      </c>
      <c r="M410">
        <v>3</v>
      </c>
      <c r="N410" t="s">
        <v>1894</v>
      </c>
      <c r="O410" t="s">
        <v>1441</v>
      </c>
      <c r="P410" t="s">
        <v>1857</v>
      </c>
      <c r="Q410" t="s">
        <v>1443</v>
      </c>
      <c r="R410" t="s">
        <v>1905</v>
      </c>
      <c r="S410" t="s">
        <v>1906</v>
      </c>
    </row>
    <row r="411" spans="1:19">
      <c r="A411" t="s">
        <v>4274</v>
      </c>
      <c r="B411" t="s">
        <v>586</v>
      </c>
      <c r="C411" t="s">
        <v>3607</v>
      </c>
      <c r="D411" t="s">
        <v>580</v>
      </c>
      <c r="E411" t="s">
        <v>1543</v>
      </c>
      <c r="F411">
        <v>7</v>
      </c>
      <c r="G411">
        <v>1</v>
      </c>
      <c r="I411" t="s">
        <v>3238</v>
      </c>
      <c r="J411" t="s">
        <v>28</v>
      </c>
      <c r="K411" t="s">
        <v>28</v>
      </c>
      <c r="L411">
        <v>5</v>
      </c>
      <c r="M411">
        <v>3</v>
      </c>
      <c r="N411" t="s">
        <v>1894</v>
      </c>
      <c r="O411" t="s">
        <v>1447</v>
      </c>
      <c r="P411" t="s">
        <v>1857</v>
      </c>
      <c r="Q411" t="s">
        <v>1443</v>
      </c>
      <c r="R411" t="s">
        <v>1907</v>
      </c>
      <c r="S411" t="s">
        <v>1908</v>
      </c>
    </row>
    <row r="412" spans="1:19">
      <c r="A412" t="s">
        <v>4275</v>
      </c>
      <c r="B412" t="s">
        <v>581</v>
      </c>
      <c r="C412" t="s">
        <v>3607</v>
      </c>
      <c r="D412" t="s">
        <v>580</v>
      </c>
      <c r="E412" t="s">
        <v>1511</v>
      </c>
      <c r="F412" t="s">
        <v>1511</v>
      </c>
      <c r="I412" t="s">
        <v>3238</v>
      </c>
      <c r="J412" t="s">
        <v>28</v>
      </c>
      <c r="K412" t="s">
        <v>28</v>
      </c>
      <c r="L412">
        <v>5</v>
      </c>
      <c r="M412">
        <v>4</v>
      </c>
      <c r="N412" t="s">
        <v>1909</v>
      </c>
      <c r="O412" t="s">
        <v>1513</v>
      </c>
      <c r="P412" t="s">
        <v>1857</v>
      </c>
      <c r="Q412" t="s">
        <v>1513</v>
      </c>
      <c r="R412" t="s">
        <v>1910</v>
      </c>
      <c r="S412" t="s">
        <v>1911</v>
      </c>
    </row>
    <row r="413" spans="1:19">
      <c r="A413" t="s">
        <v>4276</v>
      </c>
      <c r="B413" t="s">
        <v>597</v>
      </c>
      <c r="C413" t="s">
        <v>3607</v>
      </c>
      <c r="D413">
        <v>311</v>
      </c>
      <c r="E413" t="s">
        <v>1482</v>
      </c>
      <c r="F413">
        <v>7</v>
      </c>
      <c r="I413" t="s">
        <v>3238</v>
      </c>
      <c r="J413" t="s">
        <v>28</v>
      </c>
      <c r="K413" t="s">
        <v>28</v>
      </c>
      <c r="L413">
        <v>5</v>
      </c>
      <c r="M413">
        <v>4</v>
      </c>
      <c r="N413" t="s">
        <v>1909</v>
      </c>
      <c r="O413" t="s">
        <v>1447</v>
      </c>
      <c r="P413" t="s">
        <v>1444</v>
      </c>
      <c r="Q413" t="s">
        <v>1547</v>
      </c>
      <c r="R413" t="s">
        <v>1912</v>
      </c>
      <c r="S413" t="s">
        <v>1913</v>
      </c>
    </row>
    <row r="414" spans="1:19">
      <c r="A414" t="s">
        <v>4277</v>
      </c>
      <c r="B414" t="s">
        <v>3670</v>
      </c>
      <c r="C414" t="s">
        <v>3602</v>
      </c>
      <c r="D414">
        <v>12</v>
      </c>
      <c r="E414" t="s">
        <v>1541</v>
      </c>
      <c r="F414">
        <v>5</v>
      </c>
      <c r="I414" t="s">
        <v>3238</v>
      </c>
      <c r="J414" t="s">
        <v>28</v>
      </c>
      <c r="K414" t="s">
        <v>28</v>
      </c>
      <c r="L414">
        <v>5</v>
      </c>
      <c r="M414">
        <v>3</v>
      </c>
      <c r="N414" t="s">
        <v>1894</v>
      </c>
      <c r="O414" t="s">
        <v>1457</v>
      </c>
      <c r="P414" t="s">
        <v>1444</v>
      </c>
      <c r="Q414" t="s">
        <v>1547</v>
      </c>
      <c r="R414" t="s">
        <v>622</v>
      </c>
      <c r="S414" t="s">
        <v>3671</v>
      </c>
    </row>
    <row r="415" spans="1:19">
      <c r="A415" t="s">
        <v>4278</v>
      </c>
      <c r="B415" t="s">
        <v>3672</v>
      </c>
      <c r="C415" t="s">
        <v>3602</v>
      </c>
      <c r="D415">
        <v>13</v>
      </c>
      <c r="E415" t="s">
        <v>1554</v>
      </c>
      <c r="F415">
        <v>4</v>
      </c>
      <c r="I415" t="s">
        <v>3238</v>
      </c>
      <c r="J415" t="s">
        <v>28</v>
      </c>
      <c r="K415" t="s">
        <v>28</v>
      </c>
      <c r="L415">
        <v>5</v>
      </c>
      <c r="M415">
        <v>3</v>
      </c>
      <c r="N415" t="s">
        <v>1894</v>
      </c>
      <c r="O415" t="s">
        <v>1447</v>
      </c>
      <c r="P415" t="s">
        <v>1857</v>
      </c>
      <c r="Q415" t="s">
        <v>1443</v>
      </c>
      <c r="R415" t="s">
        <v>3673</v>
      </c>
      <c r="S415" t="s">
        <v>3674</v>
      </c>
    </row>
    <row r="416" spans="1:19">
      <c r="A416" t="s">
        <v>6858</v>
      </c>
      <c r="B416" t="s">
        <v>5418</v>
      </c>
      <c r="C416" t="s">
        <v>3968</v>
      </c>
      <c r="D416">
        <v>194</v>
      </c>
      <c r="E416" t="s">
        <v>5419</v>
      </c>
      <c r="F416">
        <v>2</v>
      </c>
      <c r="I416" t="s">
        <v>3560</v>
      </c>
      <c r="J416" t="s">
        <v>28</v>
      </c>
      <c r="K416" t="s">
        <v>28</v>
      </c>
      <c r="L416">
        <v>1</v>
      </c>
      <c r="M416">
        <v>1</v>
      </c>
      <c r="N416" t="s">
        <v>5420</v>
      </c>
      <c r="O416" t="s">
        <v>5176</v>
      </c>
      <c r="P416" t="s">
        <v>5129</v>
      </c>
      <c r="Q416" t="s">
        <v>1443</v>
      </c>
      <c r="R416" t="s">
        <v>1444</v>
      </c>
      <c r="S416" t="s">
        <v>5421</v>
      </c>
    </row>
    <row r="417" spans="1:19">
      <c r="A417" t="s">
        <v>6861</v>
      </c>
      <c r="B417" t="s">
        <v>5427</v>
      </c>
      <c r="C417" t="s">
        <v>3968</v>
      </c>
      <c r="D417">
        <v>194</v>
      </c>
      <c r="E417" t="s">
        <v>1592</v>
      </c>
      <c r="F417">
        <v>1</v>
      </c>
      <c r="G417">
        <v>1</v>
      </c>
      <c r="I417" t="s">
        <v>3560</v>
      </c>
      <c r="J417" t="s">
        <v>28</v>
      </c>
      <c r="K417" t="s">
        <v>28</v>
      </c>
      <c r="L417">
        <v>2</v>
      </c>
      <c r="M417">
        <v>1</v>
      </c>
      <c r="N417" t="s">
        <v>1860</v>
      </c>
      <c r="O417" t="s">
        <v>1457</v>
      </c>
      <c r="P417" t="s">
        <v>5083</v>
      </c>
      <c r="Q417" t="s">
        <v>1547</v>
      </c>
      <c r="R417" t="s">
        <v>1444</v>
      </c>
      <c r="S417" t="s">
        <v>5428</v>
      </c>
    </row>
    <row r="418" spans="1:19">
      <c r="A418" t="s">
        <v>6862</v>
      </c>
      <c r="B418" t="s">
        <v>5429</v>
      </c>
      <c r="C418" t="s">
        <v>3968</v>
      </c>
      <c r="D418">
        <v>194</v>
      </c>
      <c r="E418" t="s">
        <v>1497</v>
      </c>
      <c r="F418">
        <v>6</v>
      </c>
      <c r="I418" t="s">
        <v>3560</v>
      </c>
      <c r="J418" t="s">
        <v>28</v>
      </c>
      <c r="K418" t="s">
        <v>28</v>
      </c>
      <c r="L418">
        <v>2</v>
      </c>
      <c r="M418">
        <v>2</v>
      </c>
      <c r="N418" t="s">
        <v>5430</v>
      </c>
      <c r="O418" t="s">
        <v>1447</v>
      </c>
      <c r="P418" t="s">
        <v>5083</v>
      </c>
      <c r="Q418" t="s">
        <v>1473</v>
      </c>
      <c r="R418" t="s">
        <v>1444</v>
      </c>
      <c r="S418" t="s">
        <v>5431</v>
      </c>
    </row>
    <row r="419" spans="1:19">
      <c r="A419" t="s">
        <v>6859</v>
      </c>
      <c r="B419" t="s">
        <v>5422</v>
      </c>
      <c r="C419" t="s">
        <v>3968</v>
      </c>
      <c r="D419">
        <v>194</v>
      </c>
      <c r="E419" t="s">
        <v>1554</v>
      </c>
      <c r="F419">
        <v>4</v>
      </c>
      <c r="I419" t="s">
        <v>3560</v>
      </c>
      <c r="J419" t="s">
        <v>28</v>
      </c>
      <c r="K419" t="s">
        <v>28</v>
      </c>
      <c r="L419">
        <v>3</v>
      </c>
      <c r="M419">
        <v>1</v>
      </c>
      <c r="N419" t="s">
        <v>1864</v>
      </c>
      <c r="O419" t="s">
        <v>1447</v>
      </c>
      <c r="P419" t="s">
        <v>5080</v>
      </c>
      <c r="Q419" t="s">
        <v>1443</v>
      </c>
      <c r="R419" t="s">
        <v>1444</v>
      </c>
      <c r="S419" t="s">
        <v>5423</v>
      </c>
    </row>
    <row r="420" spans="1:19">
      <c r="A420" t="s">
        <v>6860</v>
      </c>
      <c r="B420" t="s">
        <v>5424</v>
      </c>
      <c r="C420" t="s">
        <v>3968</v>
      </c>
      <c r="D420">
        <v>194</v>
      </c>
      <c r="E420" t="s">
        <v>1554</v>
      </c>
      <c r="F420">
        <v>4</v>
      </c>
      <c r="I420" t="s">
        <v>3560</v>
      </c>
      <c r="J420" t="s">
        <v>28</v>
      </c>
      <c r="K420" t="s">
        <v>28</v>
      </c>
      <c r="L420">
        <v>3</v>
      </c>
      <c r="M420">
        <v>1</v>
      </c>
      <c r="N420" t="s">
        <v>1864</v>
      </c>
      <c r="O420" t="s">
        <v>1447</v>
      </c>
      <c r="P420" t="s">
        <v>5425</v>
      </c>
      <c r="Q420" t="s">
        <v>1443</v>
      </c>
      <c r="R420" t="s">
        <v>1444</v>
      </c>
      <c r="S420" t="s">
        <v>5426</v>
      </c>
    </row>
    <row r="421" spans="1:19">
      <c r="A421" t="s">
        <v>6863</v>
      </c>
      <c r="B421" t="s">
        <v>5432</v>
      </c>
      <c r="C421" t="s">
        <v>3968</v>
      </c>
      <c r="D421">
        <v>194</v>
      </c>
      <c r="E421" t="s">
        <v>1465</v>
      </c>
      <c r="F421">
        <v>1</v>
      </c>
      <c r="G421">
        <v>1</v>
      </c>
      <c r="I421" t="s">
        <v>3560</v>
      </c>
      <c r="J421" t="s">
        <v>28</v>
      </c>
      <c r="K421" t="s">
        <v>28</v>
      </c>
      <c r="L421">
        <v>3</v>
      </c>
      <c r="M421">
        <v>2</v>
      </c>
      <c r="N421" t="s">
        <v>1870</v>
      </c>
      <c r="O421" t="s">
        <v>1447</v>
      </c>
      <c r="P421" t="s">
        <v>5094</v>
      </c>
      <c r="Q421" t="s">
        <v>1443</v>
      </c>
      <c r="R421" t="s">
        <v>5429</v>
      </c>
      <c r="S421" t="s">
        <v>5433</v>
      </c>
    </row>
    <row r="422" spans="1:19">
      <c r="A422" t="s">
        <v>6865</v>
      </c>
      <c r="B422" t="s">
        <v>5436</v>
      </c>
      <c r="C422" t="s">
        <v>3968</v>
      </c>
      <c r="D422">
        <v>195</v>
      </c>
      <c r="E422" t="s">
        <v>1467</v>
      </c>
      <c r="F422">
        <v>5</v>
      </c>
      <c r="G422">
        <v>1</v>
      </c>
      <c r="I422" t="s">
        <v>3560</v>
      </c>
      <c r="J422" t="s">
        <v>28</v>
      </c>
      <c r="K422" t="s">
        <v>28</v>
      </c>
      <c r="L422">
        <v>3</v>
      </c>
      <c r="M422">
        <v>2</v>
      </c>
      <c r="N422" t="s">
        <v>1870</v>
      </c>
      <c r="O422" t="s">
        <v>1447</v>
      </c>
      <c r="P422" t="s">
        <v>5083</v>
      </c>
      <c r="Q422" t="s">
        <v>3027</v>
      </c>
      <c r="R422" t="s">
        <v>1444</v>
      </c>
      <c r="S422" t="s">
        <v>5437</v>
      </c>
    </row>
    <row r="423" spans="1:19">
      <c r="A423" t="s">
        <v>6864</v>
      </c>
      <c r="B423" t="s">
        <v>5434</v>
      </c>
      <c r="C423" t="s">
        <v>3968</v>
      </c>
      <c r="D423">
        <v>193</v>
      </c>
      <c r="E423" t="s">
        <v>1541</v>
      </c>
      <c r="F423">
        <v>5</v>
      </c>
      <c r="I423" t="s">
        <v>3560</v>
      </c>
      <c r="J423" t="s">
        <v>28</v>
      </c>
      <c r="K423" t="s">
        <v>28</v>
      </c>
      <c r="L423">
        <v>4</v>
      </c>
      <c r="M423">
        <v>2</v>
      </c>
      <c r="N423" t="s">
        <v>1872</v>
      </c>
      <c r="O423" t="s">
        <v>1447</v>
      </c>
      <c r="P423" t="s">
        <v>5075</v>
      </c>
      <c r="Q423" t="s">
        <v>1443</v>
      </c>
      <c r="R423" t="s">
        <v>5432</v>
      </c>
      <c r="S423" t="s">
        <v>5435</v>
      </c>
    </row>
    <row r="424" spans="1:19">
      <c r="A424" t="s">
        <v>6866</v>
      </c>
      <c r="B424" t="s">
        <v>5438</v>
      </c>
      <c r="C424" t="s">
        <v>3968</v>
      </c>
      <c r="D424">
        <v>195</v>
      </c>
      <c r="E424" t="s">
        <v>1541</v>
      </c>
      <c r="F424">
        <v>5</v>
      </c>
      <c r="I424" t="s">
        <v>3560</v>
      </c>
      <c r="J424" t="s">
        <v>28</v>
      </c>
      <c r="K424" t="s">
        <v>28</v>
      </c>
      <c r="L424">
        <v>4</v>
      </c>
      <c r="M424">
        <v>2</v>
      </c>
      <c r="N424" t="s">
        <v>1872</v>
      </c>
      <c r="O424" t="s">
        <v>1447</v>
      </c>
      <c r="P424" t="s">
        <v>5094</v>
      </c>
      <c r="Q424" t="s">
        <v>1443</v>
      </c>
      <c r="R424" t="s">
        <v>5439</v>
      </c>
      <c r="S424" t="s">
        <v>5440</v>
      </c>
    </row>
    <row r="425" spans="1:19">
      <c r="A425" t="s">
        <v>6867</v>
      </c>
      <c r="B425" t="s">
        <v>5441</v>
      </c>
      <c r="C425" t="s">
        <v>3968</v>
      </c>
      <c r="D425">
        <v>195</v>
      </c>
      <c r="E425" t="s">
        <v>1924</v>
      </c>
      <c r="F425">
        <v>2</v>
      </c>
      <c r="G425">
        <v>1</v>
      </c>
      <c r="I425" t="s">
        <v>3560</v>
      </c>
      <c r="J425" t="s">
        <v>28</v>
      </c>
      <c r="K425" t="s">
        <v>28</v>
      </c>
      <c r="L425">
        <v>4</v>
      </c>
      <c r="M425">
        <v>2</v>
      </c>
      <c r="N425" t="s">
        <v>1872</v>
      </c>
      <c r="O425" t="s">
        <v>1447</v>
      </c>
      <c r="P425" t="s">
        <v>5083</v>
      </c>
      <c r="Q425" t="s">
        <v>1473</v>
      </c>
      <c r="R425" t="s">
        <v>5438</v>
      </c>
      <c r="S425" t="s">
        <v>5442</v>
      </c>
    </row>
    <row r="426" spans="1:19">
      <c r="A426" t="s">
        <v>6873</v>
      </c>
      <c r="B426" t="s">
        <v>5456</v>
      </c>
      <c r="C426" t="s">
        <v>3968</v>
      </c>
      <c r="D426">
        <v>196</v>
      </c>
      <c r="E426" t="s">
        <v>1456</v>
      </c>
      <c r="F426">
        <v>4</v>
      </c>
      <c r="G426">
        <v>1</v>
      </c>
      <c r="I426" t="s">
        <v>3560</v>
      </c>
      <c r="J426" t="s">
        <v>28</v>
      </c>
      <c r="K426" t="s">
        <v>28</v>
      </c>
      <c r="L426">
        <v>4</v>
      </c>
      <c r="M426">
        <v>3</v>
      </c>
      <c r="N426" t="s">
        <v>5457</v>
      </c>
      <c r="O426" t="s">
        <v>1447</v>
      </c>
      <c r="P426" t="s">
        <v>5083</v>
      </c>
      <c r="Q426" t="s">
        <v>1443</v>
      </c>
      <c r="R426" t="s">
        <v>5458</v>
      </c>
      <c r="S426" t="s">
        <v>5459</v>
      </c>
    </row>
    <row r="427" spans="1:19">
      <c r="A427" t="s">
        <v>6868</v>
      </c>
      <c r="B427" t="s">
        <v>5443</v>
      </c>
      <c r="C427" t="s">
        <v>3968</v>
      </c>
      <c r="D427">
        <v>195</v>
      </c>
      <c r="E427" t="s">
        <v>1479</v>
      </c>
      <c r="F427">
        <v>6</v>
      </c>
      <c r="G427">
        <v>1</v>
      </c>
      <c r="I427" t="s">
        <v>3560</v>
      </c>
      <c r="J427" t="s">
        <v>28</v>
      </c>
      <c r="K427" t="s">
        <v>28</v>
      </c>
      <c r="L427">
        <v>5</v>
      </c>
      <c r="M427">
        <v>3</v>
      </c>
      <c r="N427" t="s">
        <v>1894</v>
      </c>
      <c r="O427" t="s">
        <v>1457</v>
      </c>
      <c r="P427" t="s">
        <v>5147</v>
      </c>
      <c r="Q427" t="s">
        <v>1547</v>
      </c>
      <c r="R427" t="s">
        <v>1444</v>
      </c>
      <c r="S427" t="s">
        <v>5444</v>
      </c>
    </row>
    <row r="428" spans="1:19">
      <c r="A428" t="s">
        <v>6869</v>
      </c>
      <c r="B428" t="s">
        <v>5445</v>
      </c>
      <c r="C428" t="s">
        <v>3968</v>
      </c>
      <c r="D428">
        <v>195</v>
      </c>
      <c r="E428" t="s">
        <v>1482</v>
      </c>
      <c r="F428">
        <v>7</v>
      </c>
      <c r="I428" t="s">
        <v>3560</v>
      </c>
      <c r="J428" t="s">
        <v>28</v>
      </c>
      <c r="K428" t="s">
        <v>28</v>
      </c>
      <c r="L428">
        <v>5</v>
      </c>
      <c r="M428">
        <v>3</v>
      </c>
      <c r="N428" t="s">
        <v>1894</v>
      </c>
      <c r="O428" t="s">
        <v>1447</v>
      </c>
      <c r="P428" t="s">
        <v>5446</v>
      </c>
      <c r="Q428" t="s">
        <v>1443</v>
      </c>
      <c r="R428" t="s">
        <v>1444</v>
      </c>
      <c r="S428" t="s">
        <v>5447</v>
      </c>
    </row>
    <row r="429" spans="1:19">
      <c r="A429" t="s">
        <v>6870</v>
      </c>
      <c r="B429" t="s">
        <v>5448</v>
      </c>
      <c r="C429" t="s">
        <v>3968</v>
      </c>
      <c r="D429">
        <v>196</v>
      </c>
      <c r="E429" t="s">
        <v>2039</v>
      </c>
      <c r="F429">
        <v>8</v>
      </c>
      <c r="G429">
        <v>1</v>
      </c>
      <c r="I429" t="s">
        <v>3560</v>
      </c>
      <c r="J429" t="s">
        <v>28</v>
      </c>
      <c r="K429" t="s">
        <v>28</v>
      </c>
      <c r="L429">
        <v>5</v>
      </c>
      <c r="M429">
        <v>3</v>
      </c>
      <c r="N429" t="s">
        <v>1894</v>
      </c>
      <c r="O429" t="s">
        <v>1447</v>
      </c>
      <c r="P429" t="s">
        <v>5449</v>
      </c>
      <c r="Q429" t="s">
        <v>1473</v>
      </c>
      <c r="R429" t="s">
        <v>1444</v>
      </c>
      <c r="S429" t="s">
        <v>5450</v>
      </c>
    </row>
    <row r="430" spans="1:19">
      <c r="A430" t="s">
        <v>6871</v>
      </c>
      <c r="B430" t="s">
        <v>5451</v>
      </c>
      <c r="C430" t="s">
        <v>3968</v>
      </c>
      <c r="D430">
        <v>196</v>
      </c>
      <c r="E430" t="s">
        <v>1541</v>
      </c>
      <c r="F430">
        <v>5</v>
      </c>
      <c r="I430" t="s">
        <v>3560</v>
      </c>
      <c r="J430" t="s">
        <v>28</v>
      </c>
      <c r="K430" t="s">
        <v>28</v>
      </c>
      <c r="L430">
        <v>5</v>
      </c>
      <c r="M430">
        <v>3</v>
      </c>
      <c r="N430" t="s">
        <v>1894</v>
      </c>
      <c r="O430" t="s">
        <v>1447</v>
      </c>
      <c r="P430" t="s">
        <v>5112</v>
      </c>
      <c r="Q430" t="s">
        <v>1443</v>
      </c>
      <c r="R430" t="s">
        <v>1444</v>
      </c>
      <c r="S430" t="s">
        <v>5452</v>
      </c>
    </row>
    <row r="431" spans="1:19">
      <c r="A431" t="s">
        <v>6872</v>
      </c>
      <c r="B431" t="s">
        <v>5453</v>
      </c>
      <c r="C431" t="s">
        <v>3968</v>
      </c>
      <c r="D431">
        <v>196</v>
      </c>
      <c r="E431" t="s">
        <v>3687</v>
      </c>
      <c r="I431" t="s">
        <v>3560</v>
      </c>
      <c r="J431" t="s">
        <v>28</v>
      </c>
      <c r="K431" t="s">
        <v>28</v>
      </c>
      <c r="L431">
        <v>5</v>
      </c>
      <c r="M431">
        <v>3</v>
      </c>
      <c r="N431" t="s">
        <v>1894</v>
      </c>
      <c r="O431" t="s">
        <v>1457</v>
      </c>
      <c r="P431" t="s">
        <v>5115</v>
      </c>
      <c r="Q431" t="s">
        <v>5454</v>
      </c>
      <c r="R431" t="s">
        <v>1444</v>
      </c>
      <c r="S431" t="s">
        <v>5455</v>
      </c>
    </row>
    <row r="432" spans="1:19">
      <c r="A432" t="s">
        <v>6874</v>
      </c>
      <c r="B432" t="s">
        <v>5460</v>
      </c>
      <c r="C432" t="s">
        <v>3968</v>
      </c>
      <c r="D432">
        <v>197</v>
      </c>
      <c r="E432" t="s">
        <v>1543</v>
      </c>
      <c r="F432">
        <v>7</v>
      </c>
      <c r="G432">
        <v>1</v>
      </c>
      <c r="I432" t="s">
        <v>3560</v>
      </c>
      <c r="J432" t="s">
        <v>28</v>
      </c>
      <c r="K432" t="s">
        <v>28</v>
      </c>
      <c r="L432">
        <v>5</v>
      </c>
      <c r="M432">
        <v>3</v>
      </c>
      <c r="N432" t="s">
        <v>1894</v>
      </c>
      <c r="O432" t="s">
        <v>1457</v>
      </c>
      <c r="P432" t="s">
        <v>5083</v>
      </c>
      <c r="Q432" t="s">
        <v>1547</v>
      </c>
      <c r="R432" t="s">
        <v>5461</v>
      </c>
      <c r="S432" t="s">
        <v>5462</v>
      </c>
    </row>
    <row r="433" spans="1:19">
      <c r="A433" t="s">
        <v>6875</v>
      </c>
      <c r="B433" t="s">
        <v>5463</v>
      </c>
      <c r="C433" t="s">
        <v>3968</v>
      </c>
      <c r="D433">
        <v>197</v>
      </c>
      <c r="E433" t="s">
        <v>3687</v>
      </c>
      <c r="I433" t="s">
        <v>3560</v>
      </c>
      <c r="J433" t="s">
        <v>28</v>
      </c>
      <c r="K433" t="s">
        <v>28</v>
      </c>
      <c r="L433">
        <v>5</v>
      </c>
      <c r="M433">
        <v>4</v>
      </c>
      <c r="N433" t="s">
        <v>1909</v>
      </c>
      <c r="O433" t="s">
        <v>1447</v>
      </c>
      <c r="P433" t="s">
        <v>5083</v>
      </c>
      <c r="Q433" t="s">
        <v>1443</v>
      </c>
      <c r="R433" t="s">
        <v>5456</v>
      </c>
      <c r="S433" t="s">
        <v>5464</v>
      </c>
    </row>
    <row r="434" spans="1:19">
      <c r="A434" t="s">
        <v>4279</v>
      </c>
      <c r="B434" t="s">
        <v>1914</v>
      </c>
      <c r="C434" t="s">
        <v>3607</v>
      </c>
      <c r="D434" t="s">
        <v>641</v>
      </c>
      <c r="E434" t="s">
        <v>1511</v>
      </c>
      <c r="F434" t="s">
        <v>1511</v>
      </c>
      <c r="I434" t="s">
        <v>3238</v>
      </c>
      <c r="J434" t="s">
        <v>29</v>
      </c>
      <c r="K434" t="s">
        <v>29</v>
      </c>
      <c r="L434">
        <v>1</v>
      </c>
      <c r="M434">
        <v>1</v>
      </c>
      <c r="N434" t="s">
        <v>1915</v>
      </c>
      <c r="O434" t="s">
        <v>1447</v>
      </c>
      <c r="P434" t="s">
        <v>1444</v>
      </c>
      <c r="Q434" t="s">
        <v>1443</v>
      </c>
      <c r="R434" t="s">
        <v>1444</v>
      </c>
      <c r="S434" t="s">
        <v>1916</v>
      </c>
    </row>
    <row r="435" spans="1:19">
      <c r="A435" t="s">
        <v>4280</v>
      </c>
      <c r="B435" t="s">
        <v>1917</v>
      </c>
      <c r="C435" t="s">
        <v>3607</v>
      </c>
      <c r="D435">
        <v>311</v>
      </c>
      <c r="E435" t="s">
        <v>1511</v>
      </c>
      <c r="F435" t="s">
        <v>1511</v>
      </c>
      <c r="I435" t="s">
        <v>3238</v>
      </c>
      <c r="J435" t="s">
        <v>29</v>
      </c>
      <c r="K435" t="s">
        <v>29</v>
      </c>
      <c r="L435">
        <v>2</v>
      </c>
      <c r="M435">
        <v>1</v>
      </c>
      <c r="N435" t="s">
        <v>1918</v>
      </c>
      <c r="O435" t="s">
        <v>1513</v>
      </c>
      <c r="P435" t="s">
        <v>1444</v>
      </c>
      <c r="Q435" t="s">
        <v>1513</v>
      </c>
      <c r="R435" t="s">
        <v>1914</v>
      </c>
      <c r="S435" t="s">
        <v>1919</v>
      </c>
    </row>
    <row r="436" spans="1:19">
      <c r="A436" t="s">
        <v>4281</v>
      </c>
      <c r="B436" t="s">
        <v>623</v>
      </c>
      <c r="C436" t="s">
        <v>3607</v>
      </c>
      <c r="D436">
        <v>312</v>
      </c>
      <c r="E436" t="s">
        <v>1541</v>
      </c>
      <c r="F436">
        <v>5</v>
      </c>
      <c r="I436" t="s">
        <v>3238</v>
      </c>
      <c r="J436" t="s">
        <v>29</v>
      </c>
      <c r="K436" t="s">
        <v>29</v>
      </c>
      <c r="L436">
        <v>3</v>
      </c>
      <c r="M436">
        <v>1</v>
      </c>
      <c r="N436" t="s">
        <v>1920</v>
      </c>
      <c r="O436" t="s">
        <v>1457</v>
      </c>
      <c r="P436" t="s">
        <v>1523</v>
      </c>
      <c r="Q436" t="s">
        <v>1443</v>
      </c>
      <c r="R436" t="s">
        <v>1914</v>
      </c>
      <c r="S436" t="s">
        <v>1921</v>
      </c>
    </row>
    <row r="437" spans="1:19">
      <c r="A437" t="s">
        <v>4296</v>
      </c>
      <c r="B437" t="s">
        <v>3675</v>
      </c>
      <c r="C437" t="s">
        <v>3602</v>
      </c>
      <c r="D437">
        <v>14</v>
      </c>
      <c r="E437" t="s">
        <v>1439</v>
      </c>
      <c r="F437">
        <v>1</v>
      </c>
      <c r="I437" t="s">
        <v>3238</v>
      </c>
      <c r="J437" t="s">
        <v>29</v>
      </c>
      <c r="K437" t="s">
        <v>29</v>
      </c>
      <c r="L437">
        <v>3</v>
      </c>
      <c r="M437">
        <v>1</v>
      </c>
      <c r="N437" t="s">
        <v>1920</v>
      </c>
      <c r="O437" t="s">
        <v>1441</v>
      </c>
      <c r="P437" t="s">
        <v>1444</v>
      </c>
      <c r="Q437" t="s">
        <v>1443</v>
      </c>
      <c r="R437" t="s">
        <v>623</v>
      </c>
      <c r="S437" t="s">
        <v>3676</v>
      </c>
    </row>
    <row r="438" spans="1:19">
      <c r="A438" t="s">
        <v>4282</v>
      </c>
      <c r="B438" t="s">
        <v>626</v>
      </c>
      <c r="C438" t="s">
        <v>3607</v>
      </c>
      <c r="D438">
        <v>312</v>
      </c>
      <c r="E438" t="s">
        <v>1511</v>
      </c>
      <c r="F438" t="s">
        <v>1511</v>
      </c>
      <c r="I438" t="s">
        <v>3238</v>
      </c>
      <c r="J438" t="s">
        <v>29</v>
      </c>
      <c r="K438" t="s">
        <v>29</v>
      </c>
      <c r="L438">
        <v>4</v>
      </c>
      <c r="M438">
        <v>1</v>
      </c>
      <c r="N438" t="s">
        <v>1922</v>
      </c>
      <c r="O438" t="s">
        <v>1513</v>
      </c>
      <c r="P438" t="s">
        <v>1444</v>
      </c>
      <c r="Q438" t="s">
        <v>1513</v>
      </c>
      <c r="R438" t="s">
        <v>623</v>
      </c>
      <c r="S438" t="s">
        <v>1923</v>
      </c>
    </row>
    <row r="439" spans="1:19">
      <c r="A439" t="s">
        <v>4284</v>
      </c>
      <c r="B439" t="s">
        <v>1927</v>
      </c>
      <c r="C439" t="s">
        <v>3607</v>
      </c>
      <c r="D439" t="s">
        <v>631</v>
      </c>
      <c r="E439" t="s">
        <v>1450</v>
      </c>
      <c r="F439">
        <v>3</v>
      </c>
      <c r="I439" t="s">
        <v>3238</v>
      </c>
      <c r="J439" t="s">
        <v>29</v>
      </c>
      <c r="K439" t="s">
        <v>29</v>
      </c>
      <c r="L439">
        <v>4</v>
      </c>
      <c r="M439">
        <v>1</v>
      </c>
      <c r="N439" t="s">
        <v>1922</v>
      </c>
      <c r="O439" t="s">
        <v>1447</v>
      </c>
      <c r="P439" t="s">
        <v>1444</v>
      </c>
      <c r="Q439" t="s">
        <v>1443</v>
      </c>
      <c r="R439" t="s">
        <v>623</v>
      </c>
      <c r="S439" t="s">
        <v>1928</v>
      </c>
    </row>
    <row r="440" spans="1:19">
      <c r="A440" t="s">
        <v>4297</v>
      </c>
      <c r="B440" t="s">
        <v>3677</v>
      </c>
      <c r="C440" t="s">
        <v>3602</v>
      </c>
      <c r="D440">
        <v>14</v>
      </c>
      <c r="E440" t="s">
        <v>1450</v>
      </c>
      <c r="F440">
        <v>3</v>
      </c>
      <c r="I440" t="s">
        <v>3238</v>
      </c>
      <c r="J440" t="s">
        <v>29</v>
      </c>
      <c r="K440" t="s">
        <v>29</v>
      </c>
      <c r="L440">
        <v>4</v>
      </c>
      <c r="M440">
        <v>2</v>
      </c>
      <c r="N440" t="s">
        <v>3678</v>
      </c>
      <c r="O440" t="s">
        <v>1457</v>
      </c>
      <c r="P440" t="s">
        <v>1523</v>
      </c>
      <c r="Q440" t="s">
        <v>3679</v>
      </c>
      <c r="R440" t="s">
        <v>3680</v>
      </c>
      <c r="S440" t="s">
        <v>3681</v>
      </c>
    </row>
    <row r="441" spans="1:19">
      <c r="A441" t="s">
        <v>4283</v>
      </c>
      <c r="B441" t="s">
        <v>630</v>
      </c>
      <c r="C441" t="s">
        <v>3607</v>
      </c>
      <c r="D441" t="s">
        <v>631</v>
      </c>
      <c r="E441" t="s">
        <v>1924</v>
      </c>
      <c r="F441">
        <v>2</v>
      </c>
      <c r="G441">
        <v>1</v>
      </c>
      <c r="I441" t="s">
        <v>3238</v>
      </c>
      <c r="J441" t="s">
        <v>29</v>
      </c>
      <c r="K441" t="s">
        <v>29</v>
      </c>
      <c r="L441">
        <v>5</v>
      </c>
      <c r="M441">
        <v>1</v>
      </c>
      <c r="N441" t="s">
        <v>1925</v>
      </c>
      <c r="O441" t="s">
        <v>1457</v>
      </c>
      <c r="P441" t="s">
        <v>1444</v>
      </c>
      <c r="Q441" t="s">
        <v>1443</v>
      </c>
      <c r="R441" t="s">
        <v>623</v>
      </c>
      <c r="S441" t="s">
        <v>1926</v>
      </c>
    </row>
    <row r="442" spans="1:19">
      <c r="A442" t="s">
        <v>4285</v>
      </c>
      <c r="B442" t="s">
        <v>636</v>
      </c>
      <c r="C442" t="s">
        <v>3607</v>
      </c>
      <c r="D442" t="s">
        <v>631</v>
      </c>
      <c r="E442" t="s">
        <v>1511</v>
      </c>
      <c r="F442" t="s">
        <v>1511</v>
      </c>
      <c r="I442" t="s">
        <v>3238</v>
      </c>
      <c r="J442" t="s">
        <v>29</v>
      </c>
      <c r="K442" t="s">
        <v>29</v>
      </c>
      <c r="L442">
        <v>5</v>
      </c>
      <c r="M442">
        <v>2</v>
      </c>
      <c r="N442" t="s">
        <v>1929</v>
      </c>
      <c r="O442" t="s">
        <v>1513</v>
      </c>
      <c r="P442" t="s">
        <v>1523</v>
      </c>
      <c r="Q442" t="s">
        <v>1513</v>
      </c>
      <c r="R442" t="s">
        <v>626</v>
      </c>
      <c r="S442" t="s">
        <v>1930</v>
      </c>
    </row>
    <row r="443" spans="1:19">
      <c r="A443" t="s">
        <v>4286</v>
      </c>
      <c r="B443" t="s">
        <v>1931</v>
      </c>
      <c r="C443" t="s">
        <v>3607</v>
      </c>
      <c r="D443">
        <v>312</v>
      </c>
      <c r="E443" t="s">
        <v>1932</v>
      </c>
      <c r="F443" t="s">
        <v>1932</v>
      </c>
      <c r="I443" t="s">
        <v>3238</v>
      </c>
      <c r="J443" t="s">
        <v>29</v>
      </c>
      <c r="K443" t="s">
        <v>29</v>
      </c>
      <c r="L443">
        <v>5</v>
      </c>
      <c r="M443">
        <v>2</v>
      </c>
      <c r="N443" t="s">
        <v>1929</v>
      </c>
      <c r="O443" t="s">
        <v>1447</v>
      </c>
      <c r="P443" t="s">
        <v>1444</v>
      </c>
      <c r="Q443" t="s">
        <v>1443</v>
      </c>
      <c r="R443" t="s">
        <v>630</v>
      </c>
      <c r="S443" t="s">
        <v>1933</v>
      </c>
    </row>
    <row r="444" spans="1:19">
      <c r="A444" t="s">
        <v>4287</v>
      </c>
      <c r="B444" t="s">
        <v>634</v>
      </c>
      <c r="C444" t="s">
        <v>3607</v>
      </c>
      <c r="D444">
        <v>313</v>
      </c>
      <c r="E444" t="s">
        <v>1467</v>
      </c>
      <c r="F444">
        <v>5</v>
      </c>
      <c r="G444">
        <v>1</v>
      </c>
      <c r="I444" t="s">
        <v>3238</v>
      </c>
      <c r="J444" t="s">
        <v>29</v>
      </c>
      <c r="K444" t="s">
        <v>29</v>
      </c>
      <c r="L444">
        <v>5</v>
      </c>
      <c r="M444">
        <v>2</v>
      </c>
      <c r="N444" t="s">
        <v>1929</v>
      </c>
      <c r="O444" t="s">
        <v>1441</v>
      </c>
      <c r="P444" t="s">
        <v>1523</v>
      </c>
      <c r="Q444" t="s">
        <v>1443</v>
      </c>
      <c r="R444" t="s">
        <v>1927</v>
      </c>
      <c r="S444" t="s">
        <v>1934</v>
      </c>
    </row>
    <row r="445" spans="1:19">
      <c r="A445" t="s">
        <v>4288</v>
      </c>
      <c r="B445" t="s">
        <v>624</v>
      </c>
      <c r="C445" t="s">
        <v>3607</v>
      </c>
      <c r="D445" t="s">
        <v>625</v>
      </c>
      <c r="E445" t="s">
        <v>1497</v>
      </c>
      <c r="F445">
        <v>6</v>
      </c>
      <c r="I445" t="s">
        <v>3238</v>
      </c>
      <c r="J445" t="s">
        <v>29</v>
      </c>
      <c r="K445" t="s">
        <v>29</v>
      </c>
      <c r="L445">
        <v>5</v>
      </c>
      <c r="M445">
        <v>3</v>
      </c>
      <c r="N445" t="s">
        <v>1935</v>
      </c>
      <c r="O445" t="s">
        <v>1447</v>
      </c>
      <c r="P445" t="s">
        <v>1523</v>
      </c>
      <c r="Q445" t="s">
        <v>1473</v>
      </c>
      <c r="R445" t="s">
        <v>636</v>
      </c>
      <c r="S445" t="s">
        <v>1936</v>
      </c>
    </row>
    <row r="446" spans="1:19">
      <c r="A446" t="s">
        <v>4289</v>
      </c>
      <c r="B446" t="s">
        <v>632</v>
      </c>
      <c r="C446" t="s">
        <v>3607</v>
      </c>
      <c r="D446" t="s">
        <v>633</v>
      </c>
      <c r="E446" t="s">
        <v>1937</v>
      </c>
      <c r="F446" t="s">
        <v>1937</v>
      </c>
      <c r="I446" t="s">
        <v>3238</v>
      </c>
      <c r="J446" t="s">
        <v>29</v>
      </c>
      <c r="K446" t="s">
        <v>29</v>
      </c>
      <c r="L446">
        <v>5</v>
      </c>
      <c r="M446">
        <v>3</v>
      </c>
      <c r="N446" t="s">
        <v>1935</v>
      </c>
      <c r="O446" t="s">
        <v>1447</v>
      </c>
      <c r="P446" t="s">
        <v>1444</v>
      </c>
      <c r="Q446" t="s">
        <v>1938</v>
      </c>
      <c r="R446" t="s">
        <v>630</v>
      </c>
      <c r="S446" t="s">
        <v>1939</v>
      </c>
    </row>
    <row r="447" spans="1:19">
      <c r="A447" t="s">
        <v>4290</v>
      </c>
      <c r="B447" t="s">
        <v>637</v>
      </c>
      <c r="C447" t="s">
        <v>3607</v>
      </c>
      <c r="D447" t="s">
        <v>638</v>
      </c>
      <c r="E447" t="s">
        <v>1450</v>
      </c>
      <c r="F447">
        <v>3</v>
      </c>
      <c r="I447" t="s">
        <v>3238</v>
      </c>
      <c r="J447" t="s">
        <v>29</v>
      </c>
      <c r="K447" t="s">
        <v>29</v>
      </c>
      <c r="L447">
        <v>5</v>
      </c>
      <c r="M447">
        <v>3</v>
      </c>
      <c r="N447" t="s">
        <v>1935</v>
      </c>
      <c r="O447" t="s">
        <v>1441</v>
      </c>
      <c r="P447" t="s">
        <v>1523</v>
      </c>
      <c r="Q447" t="s">
        <v>1443</v>
      </c>
      <c r="R447" t="s">
        <v>1940</v>
      </c>
      <c r="S447" t="s">
        <v>1941</v>
      </c>
    </row>
    <row r="448" spans="1:19">
      <c r="A448" t="s">
        <v>4291</v>
      </c>
      <c r="B448" t="s">
        <v>639</v>
      </c>
      <c r="C448" t="s">
        <v>3607</v>
      </c>
      <c r="D448" t="s">
        <v>640</v>
      </c>
      <c r="E448" t="s">
        <v>1599</v>
      </c>
      <c r="F448">
        <v>10</v>
      </c>
      <c r="G448">
        <v>1</v>
      </c>
      <c r="I448" t="s">
        <v>3238</v>
      </c>
      <c r="J448" t="s">
        <v>29</v>
      </c>
      <c r="K448" t="s">
        <v>29</v>
      </c>
      <c r="L448">
        <v>5</v>
      </c>
      <c r="M448">
        <v>3</v>
      </c>
      <c r="N448" t="s">
        <v>1935</v>
      </c>
      <c r="O448" t="s">
        <v>1457</v>
      </c>
      <c r="P448" t="s">
        <v>1444</v>
      </c>
      <c r="Q448" t="s">
        <v>1443</v>
      </c>
      <c r="R448" t="s">
        <v>637</v>
      </c>
      <c r="S448" t="s">
        <v>1942</v>
      </c>
    </row>
    <row r="449" spans="1:19">
      <c r="A449" t="s">
        <v>4292</v>
      </c>
      <c r="B449" t="s">
        <v>628</v>
      </c>
      <c r="C449" t="s">
        <v>3607</v>
      </c>
      <c r="D449" t="s">
        <v>629</v>
      </c>
      <c r="E449" t="s">
        <v>1541</v>
      </c>
      <c r="F449">
        <v>5</v>
      </c>
      <c r="I449" t="s">
        <v>3238</v>
      </c>
      <c r="J449" t="s">
        <v>29</v>
      </c>
      <c r="K449" t="s">
        <v>29</v>
      </c>
      <c r="L449">
        <v>5</v>
      </c>
      <c r="M449">
        <v>3</v>
      </c>
      <c r="N449" t="s">
        <v>1935</v>
      </c>
      <c r="O449" t="s">
        <v>1457</v>
      </c>
      <c r="P449" t="s">
        <v>1444</v>
      </c>
      <c r="Q449" t="s">
        <v>1443</v>
      </c>
      <c r="R449" t="s">
        <v>639</v>
      </c>
      <c r="S449" s="18" t="s">
        <v>1943</v>
      </c>
    </row>
    <row r="450" spans="1:19">
      <c r="A450" t="s">
        <v>4293</v>
      </c>
      <c r="B450" t="s">
        <v>1944</v>
      </c>
      <c r="C450" t="s">
        <v>3607</v>
      </c>
      <c r="D450">
        <v>314</v>
      </c>
      <c r="E450" t="s">
        <v>1945</v>
      </c>
      <c r="F450">
        <v>10</v>
      </c>
      <c r="I450" t="s">
        <v>3238</v>
      </c>
      <c r="J450" t="s">
        <v>29</v>
      </c>
      <c r="K450" t="s">
        <v>29</v>
      </c>
      <c r="L450">
        <v>5</v>
      </c>
      <c r="M450">
        <v>4</v>
      </c>
      <c r="N450" t="s">
        <v>1946</v>
      </c>
      <c r="O450" t="s">
        <v>1447</v>
      </c>
      <c r="P450" t="s">
        <v>1444</v>
      </c>
      <c r="Q450" t="s">
        <v>1443</v>
      </c>
      <c r="R450" t="s">
        <v>624</v>
      </c>
      <c r="S450" s="18" t="s">
        <v>1947</v>
      </c>
    </row>
    <row r="451" spans="1:19">
      <c r="A451" t="s">
        <v>4294</v>
      </c>
      <c r="B451" t="s">
        <v>627</v>
      </c>
      <c r="C451" t="s">
        <v>3607</v>
      </c>
      <c r="D451">
        <v>315</v>
      </c>
      <c r="E451" t="s">
        <v>1465</v>
      </c>
      <c r="F451">
        <v>1</v>
      </c>
      <c r="G451">
        <v>1</v>
      </c>
      <c r="I451" t="s">
        <v>3238</v>
      </c>
      <c r="J451" t="s">
        <v>29</v>
      </c>
      <c r="K451" t="s">
        <v>29</v>
      </c>
      <c r="L451">
        <v>5</v>
      </c>
      <c r="M451">
        <v>4</v>
      </c>
      <c r="N451" t="s">
        <v>1946</v>
      </c>
      <c r="O451" t="s">
        <v>1447</v>
      </c>
      <c r="P451" t="s">
        <v>1444</v>
      </c>
      <c r="Q451" t="s">
        <v>1443</v>
      </c>
      <c r="R451" t="s">
        <v>628</v>
      </c>
      <c r="S451" t="s">
        <v>1948</v>
      </c>
    </row>
    <row r="452" spans="1:19">
      <c r="A452" t="s">
        <v>4295</v>
      </c>
      <c r="B452" t="s">
        <v>635</v>
      </c>
      <c r="C452" t="s">
        <v>3607</v>
      </c>
      <c r="D452">
        <v>315</v>
      </c>
      <c r="E452" t="s">
        <v>1949</v>
      </c>
      <c r="F452">
        <v>12</v>
      </c>
      <c r="G452">
        <v>1</v>
      </c>
      <c r="I452" t="s">
        <v>3238</v>
      </c>
      <c r="J452" t="s">
        <v>29</v>
      </c>
      <c r="K452" t="s">
        <v>29</v>
      </c>
      <c r="L452">
        <v>5</v>
      </c>
      <c r="M452">
        <v>5</v>
      </c>
      <c r="N452" t="s">
        <v>1950</v>
      </c>
      <c r="O452" t="s">
        <v>1457</v>
      </c>
      <c r="P452" t="s">
        <v>1444</v>
      </c>
      <c r="Q452" t="s">
        <v>1443</v>
      </c>
      <c r="R452" t="s">
        <v>1951</v>
      </c>
      <c r="S452" t="s">
        <v>1952</v>
      </c>
    </row>
    <row r="453" spans="1:19">
      <c r="A453" t="s">
        <v>6876</v>
      </c>
      <c r="B453" t="s">
        <v>5465</v>
      </c>
      <c r="C453" t="s">
        <v>3968</v>
      </c>
      <c r="D453">
        <v>197</v>
      </c>
      <c r="E453" t="s">
        <v>5071</v>
      </c>
      <c r="F453">
        <v>2</v>
      </c>
      <c r="I453" t="s">
        <v>3560</v>
      </c>
      <c r="J453" t="s">
        <v>29</v>
      </c>
      <c r="K453" t="s">
        <v>29</v>
      </c>
      <c r="L453">
        <v>1</v>
      </c>
      <c r="M453">
        <v>1</v>
      </c>
      <c r="N453" t="s">
        <v>1915</v>
      </c>
      <c r="O453" t="s">
        <v>1441</v>
      </c>
      <c r="P453" t="s">
        <v>5260</v>
      </c>
      <c r="Q453" t="s">
        <v>1443</v>
      </c>
      <c r="R453" t="s">
        <v>1444</v>
      </c>
      <c r="S453" t="s">
        <v>5466</v>
      </c>
    </row>
    <row r="454" spans="1:19">
      <c r="A454" t="s">
        <v>6877</v>
      </c>
      <c r="B454" t="s">
        <v>5467</v>
      </c>
      <c r="C454" t="s">
        <v>3968</v>
      </c>
      <c r="D454">
        <v>198</v>
      </c>
      <c r="E454" t="s">
        <v>1439</v>
      </c>
      <c r="F454">
        <v>1</v>
      </c>
      <c r="I454" t="s">
        <v>3560</v>
      </c>
      <c r="J454" t="s">
        <v>29</v>
      </c>
      <c r="K454" t="s">
        <v>29</v>
      </c>
      <c r="L454">
        <v>2</v>
      </c>
      <c r="M454">
        <v>1</v>
      </c>
      <c r="N454" t="s">
        <v>1918</v>
      </c>
      <c r="O454" t="s">
        <v>1441</v>
      </c>
      <c r="P454" t="s">
        <v>5425</v>
      </c>
      <c r="Q454" t="s">
        <v>1443</v>
      </c>
      <c r="R454" t="s">
        <v>1444</v>
      </c>
      <c r="S454" t="s">
        <v>5468</v>
      </c>
    </row>
    <row r="455" spans="1:19">
      <c r="A455" t="s">
        <v>6878</v>
      </c>
      <c r="B455" t="s">
        <v>5469</v>
      </c>
      <c r="C455" t="s">
        <v>3968</v>
      </c>
      <c r="D455">
        <v>198</v>
      </c>
      <c r="E455" t="s">
        <v>1465</v>
      </c>
      <c r="F455">
        <v>1</v>
      </c>
      <c r="G455">
        <v>1</v>
      </c>
      <c r="I455" t="s">
        <v>3560</v>
      </c>
      <c r="J455" t="s">
        <v>29</v>
      </c>
      <c r="K455" t="s">
        <v>29</v>
      </c>
      <c r="L455">
        <v>3</v>
      </c>
      <c r="M455">
        <v>2</v>
      </c>
      <c r="N455" t="s">
        <v>5470</v>
      </c>
      <c r="O455" t="s">
        <v>1441</v>
      </c>
      <c r="P455" t="s">
        <v>5263</v>
      </c>
      <c r="Q455" t="s">
        <v>1443</v>
      </c>
      <c r="R455" t="s">
        <v>5471</v>
      </c>
      <c r="S455" t="s">
        <v>5472</v>
      </c>
    </row>
    <row r="456" spans="1:19">
      <c r="A456" t="s">
        <v>6879</v>
      </c>
      <c r="B456" t="s">
        <v>5473</v>
      </c>
      <c r="C456" t="s">
        <v>3968</v>
      </c>
      <c r="D456">
        <v>198</v>
      </c>
      <c r="E456" t="s">
        <v>1554</v>
      </c>
      <c r="F456">
        <v>4</v>
      </c>
      <c r="I456" t="s">
        <v>3560</v>
      </c>
      <c r="J456" t="s">
        <v>29</v>
      </c>
      <c r="K456" t="s">
        <v>29</v>
      </c>
      <c r="L456">
        <v>3</v>
      </c>
      <c r="M456">
        <v>1</v>
      </c>
      <c r="N456" t="s">
        <v>1920</v>
      </c>
      <c r="O456" t="s">
        <v>1441</v>
      </c>
      <c r="P456" t="s">
        <v>5263</v>
      </c>
      <c r="Q456" t="s">
        <v>1443</v>
      </c>
      <c r="R456" t="s">
        <v>1444</v>
      </c>
      <c r="S456" t="s">
        <v>5474</v>
      </c>
    </row>
    <row r="457" spans="1:19">
      <c r="A457" t="s">
        <v>6880</v>
      </c>
      <c r="B457" t="s">
        <v>5471</v>
      </c>
      <c r="C457" t="s">
        <v>3968</v>
      </c>
      <c r="D457">
        <v>198</v>
      </c>
      <c r="E457" t="s">
        <v>1554</v>
      </c>
      <c r="F457">
        <v>4</v>
      </c>
      <c r="I457" t="s">
        <v>3560</v>
      </c>
      <c r="J457" t="s">
        <v>29</v>
      </c>
      <c r="K457" t="s">
        <v>29</v>
      </c>
      <c r="L457">
        <v>3</v>
      </c>
      <c r="M457">
        <v>2</v>
      </c>
      <c r="N457" t="s">
        <v>5470</v>
      </c>
      <c r="O457" t="s">
        <v>1441</v>
      </c>
      <c r="P457" t="s">
        <v>5263</v>
      </c>
      <c r="Q457" t="s">
        <v>1443</v>
      </c>
      <c r="R457" t="s">
        <v>5473</v>
      </c>
      <c r="S457" t="s">
        <v>5475</v>
      </c>
    </row>
    <row r="458" spans="1:19">
      <c r="A458" t="s">
        <v>6881</v>
      </c>
      <c r="B458" t="s">
        <v>5476</v>
      </c>
      <c r="C458" t="s">
        <v>3968</v>
      </c>
      <c r="D458">
        <v>198</v>
      </c>
      <c r="E458" t="s">
        <v>1541</v>
      </c>
      <c r="F458">
        <v>5</v>
      </c>
      <c r="I458" t="s">
        <v>3560</v>
      </c>
      <c r="J458" t="s">
        <v>29</v>
      </c>
      <c r="K458" t="s">
        <v>29</v>
      </c>
      <c r="L458">
        <v>3</v>
      </c>
      <c r="M458">
        <v>2</v>
      </c>
      <c r="N458" t="s">
        <v>5470</v>
      </c>
      <c r="O458" t="s">
        <v>1441</v>
      </c>
      <c r="P458" t="s">
        <v>5363</v>
      </c>
      <c r="Q458" t="s">
        <v>1443</v>
      </c>
      <c r="R458" t="s">
        <v>5471</v>
      </c>
      <c r="S458" t="s">
        <v>5477</v>
      </c>
    </row>
    <row r="459" spans="1:19">
      <c r="A459" t="s">
        <v>6883</v>
      </c>
      <c r="B459" t="s">
        <v>5482</v>
      </c>
      <c r="C459" t="s">
        <v>3968</v>
      </c>
      <c r="D459">
        <v>199</v>
      </c>
      <c r="E459" t="s">
        <v>1541</v>
      </c>
      <c r="F459">
        <v>5</v>
      </c>
      <c r="I459" t="s">
        <v>3560</v>
      </c>
      <c r="J459" t="s">
        <v>29</v>
      </c>
      <c r="K459" t="s">
        <v>29</v>
      </c>
      <c r="L459">
        <v>3</v>
      </c>
      <c r="M459">
        <v>2</v>
      </c>
      <c r="N459" t="s">
        <v>5470</v>
      </c>
      <c r="O459" t="s">
        <v>1457</v>
      </c>
      <c r="P459" t="s">
        <v>5263</v>
      </c>
      <c r="Q459" t="s">
        <v>1473</v>
      </c>
      <c r="R459" t="s">
        <v>5467</v>
      </c>
      <c r="S459" t="s">
        <v>5483</v>
      </c>
    </row>
    <row r="460" spans="1:19">
      <c r="A460" t="s">
        <v>6882</v>
      </c>
      <c r="B460" t="s">
        <v>5478</v>
      </c>
      <c r="C460" t="s">
        <v>3968</v>
      </c>
      <c r="D460">
        <v>199</v>
      </c>
      <c r="E460" t="s">
        <v>1456</v>
      </c>
      <c r="F460">
        <v>4</v>
      </c>
      <c r="G460">
        <v>1</v>
      </c>
      <c r="I460" t="s">
        <v>3560</v>
      </c>
      <c r="J460" t="s">
        <v>29</v>
      </c>
      <c r="K460" t="s">
        <v>29</v>
      </c>
      <c r="L460">
        <v>4</v>
      </c>
      <c r="M460">
        <v>2</v>
      </c>
      <c r="N460" t="s">
        <v>3678</v>
      </c>
      <c r="O460" t="s">
        <v>1457</v>
      </c>
      <c r="P460" t="s">
        <v>5479</v>
      </c>
      <c r="Q460" t="s">
        <v>5480</v>
      </c>
      <c r="R460" t="s">
        <v>5471</v>
      </c>
      <c r="S460" t="s">
        <v>5481</v>
      </c>
    </row>
    <row r="461" spans="1:19">
      <c r="A461" t="s">
        <v>6889</v>
      </c>
      <c r="B461" t="s">
        <v>5495</v>
      </c>
      <c r="C461" t="s">
        <v>3968</v>
      </c>
      <c r="D461">
        <v>200</v>
      </c>
      <c r="E461" t="s">
        <v>1479</v>
      </c>
      <c r="F461">
        <v>6</v>
      </c>
      <c r="G461">
        <v>1</v>
      </c>
      <c r="I461" t="s">
        <v>3560</v>
      </c>
      <c r="J461" t="s">
        <v>29</v>
      </c>
      <c r="K461" t="s">
        <v>29</v>
      </c>
      <c r="L461">
        <v>4</v>
      </c>
      <c r="M461">
        <v>3</v>
      </c>
      <c r="N461" t="s">
        <v>5496</v>
      </c>
      <c r="O461" t="s">
        <v>1447</v>
      </c>
      <c r="P461" t="s">
        <v>5305</v>
      </c>
      <c r="Q461" t="s">
        <v>1443</v>
      </c>
      <c r="R461" t="s">
        <v>5497</v>
      </c>
      <c r="S461" t="s">
        <v>5498</v>
      </c>
    </row>
    <row r="462" spans="1:19">
      <c r="A462" t="s">
        <v>6890</v>
      </c>
      <c r="B462" t="s">
        <v>5499</v>
      </c>
      <c r="C462" t="s">
        <v>3968</v>
      </c>
      <c r="D462">
        <v>201</v>
      </c>
      <c r="E462" t="s">
        <v>1450</v>
      </c>
      <c r="F462">
        <v>3</v>
      </c>
      <c r="I462" t="s">
        <v>3560</v>
      </c>
      <c r="J462" t="s">
        <v>29</v>
      </c>
      <c r="K462" t="s">
        <v>29</v>
      </c>
      <c r="L462">
        <v>4</v>
      </c>
      <c r="M462">
        <v>3</v>
      </c>
      <c r="N462" t="s">
        <v>5496</v>
      </c>
      <c r="O462" t="s">
        <v>1457</v>
      </c>
      <c r="P462" t="s">
        <v>5083</v>
      </c>
      <c r="Q462" t="s">
        <v>1443</v>
      </c>
      <c r="R462" t="s">
        <v>5469</v>
      </c>
      <c r="S462" t="s">
        <v>5500</v>
      </c>
    </row>
    <row r="463" spans="1:19">
      <c r="A463" t="s">
        <v>6892</v>
      </c>
      <c r="B463" t="s">
        <v>5504</v>
      </c>
      <c r="C463" t="s">
        <v>3968</v>
      </c>
      <c r="D463">
        <v>201</v>
      </c>
      <c r="E463" t="s">
        <v>1439</v>
      </c>
      <c r="F463">
        <v>1</v>
      </c>
      <c r="I463" t="s">
        <v>3560</v>
      </c>
      <c r="J463" t="s">
        <v>29</v>
      </c>
      <c r="K463" t="s">
        <v>29</v>
      </c>
      <c r="L463">
        <v>4</v>
      </c>
      <c r="M463">
        <v>3</v>
      </c>
      <c r="N463" t="s">
        <v>5496</v>
      </c>
      <c r="O463" t="s">
        <v>1447</v>
      </c>
      <c r="P463" t="s">
        <v>5002</v>
      </c>
      <c r="Q463" t="s">
        <v>1443</v>
      </c>
      <c r="R463" t="s">
        <v>5478</v>
      </c>
      <c r="S463" t="s">
        <v>5505</v>
      </c>
    </row>
    <row r="464" spans="1:19">
      <c r="A464" t="s">
        <v>6884</v>
      </c>
      <c r="B464" t="s">
        <v>5484</v>
      </c>
      <c r="C464" t="s">
        <v>3968</v>
      </c>
      <c r="D464">
        <v>199</v>
      </c>
      <c r="E464" t="s">
        <v>1541</v>
      </c>
      <c r="F464">
        <v>5</v>
      </c>
      <c r="I464" t="s">
        <v>3560</v>
      </c>
      <c r="J464" t="s">
        <v>29</v>
      </c>
      <c r="K464" t="s">
        <v>29</v>
      </c>
      <c r="L464">
        <v>5</v>
      </c>
      <c r="M464">
        <v>3</v>
      </c>
      <c r="N464" t="s">
        <v>1935</v>
      </c>
      <c r="O464" t="s">
        <v>1447</v>
      </c>
      <c r="P464" t="s">
        <v>5147</v>
      </c>
      <c r="Q464" t="s">
        <v>3027</v>
      </c>
      <c r="R464" t="s">
        <v>1444</v>
      </c>
      <c r="S464" t="s">
        <v>5485</v>
      </c>
    </row>
    <row r="465" spans="1:19">
      <c r="A465" t="s">
        <v>6885</v>
      </c>
      <c r="B465" t="s">
        <v>5486</v>
      </c>
      <c r="C465" t="s">
        <v>3968</v>
      </c>
      <c r="D465">
        <v>199</v>
      </c>
      <c r="E465" t="s">
        <v>1476</v>
      </c>
      <c r="F465">
        <v>3</v>
      </c>
      <c r="G465">
        <v>1</v>
      </c>
      <c r="I465" t="s">
        <v>3560</v>
      </c>
      <c r="J465" t="s">
        <v>29</v>
      </c>
      <c r="K465" t="s">
        <v>29</v>
      </c>
      <c r="L465">
        <v>5</v>
      </c>
      <c r="M465">
        <v>3</v>
      </c>
      <c r="N465" t="s">
        <v>1935</v>
      </c>
      <c r="O465" t="s">
        <v>1457</v>
      </c>
      <c r="P465" t="s">
        <v>5287</v>
      </c>
      <c r="Q465" t="s">
        <v>1443</v>
      </c>
      <c r="R465" t="s">
        <v>5478</v>
      </c>
      <c r="S465" t="s">
        <v>5487</v>
      </c>
    </row>
    <row r="466" spans="1:19">
      <c r="A466" t="s">
        <v>6886</v>
      </c>
      <c r="B466" t="s">
        <v>5488</v>
      </c>
      <c r="C466" t="s">
        <v>3968</v>
      </c>
      <c r="D466">
        <v>200</v>
      </c>
      <c r="E466" t="s">
        <v>1467</v>
      </c>
      <c r="F466">
        <v>5</v>
      </c>
      <c r="G466">
        <v>1</v>
      </c>
      <c r="I466" t="s">
        <v>3560</v>
      </c>
      <c r="J466" t="s">
        <v>29</v>
      </c>
      <c r="K466" t="s">
        <v>29</v>
      </c>
      <c r="L466">
        <v>5</v>
      </c>
      <c r="M466">
        <v>3</v>
      </c>
      <c r="N466" t="s">
        <v>1935</v>
      </c>
      <c r="O466" t="s">
        <v>1441</v>
      </c>
      <c r="P466" t="s">
        <v>5489</v>
      </c>
      <c r="Q466" t="s">
        <v>1443</v>
      </c>
      <c r="R466" t="s">
        <v>5469</v>
      </c>
      <c r="S466" t="s">
        <v>5490</v>
      </c>
    </row>
    <row r="467" spans="1:19">
      <c r="A467" t="s">
        <v>6887</v>
      </c>
      <c r="B467" t="s">
        <v>5491</v>
      </c>
      <c r="C467" t="s">
        <v>3968</v>
      </c>
      <c r="D467">
        <v>200</v>
      </c>
      <c r="E467" t="s">
        <v>1467</v>
      </c>
      <c r="F467">
        <v>5</v>
      </c>
      <c r="G467">
        <v>1</v>
      </c>
      <c r="I467" t="s">
        <v>3560</v>
      </c>
      <c r="J467" t="s">
        <v>29</v>
      </c>
      <c r="K467" t="s">
        <v>29</v>
      </c>
      <c r="L467">
        <v>5</v>
      </c>
      <c r="M467">
        <v>3</v>
      </c>
      <c r="N467" t="s">
        <v>1935</v>
      </c>
      <c r="O467" t="s">
        <v>1457</v>
      </c>
      <c r="P467" t="s">
        <v>5112</v>
      </c>
      <c r="Q467" t="s">
        <v>1443</v>
      </c>
      <c r="R467" t="s">
        <v>5482</v>
      </c>
      <c r="S467" t="s">
        <v>5492</v>
      </c>
    </row>
    <row r="468" spans="1:19">
      <c r="A468" t="s">
        <v>6888</v>
      </c>
      <c r="B468" t="s">
        <v>5493</v>
      </c>
      <c r="C468" t="s">
        <v>3968</v>
      </c>
      <c r="D468">
        <v>200</v>
      </c>
      <c r="E468" t="s">
        <v>1541</v>
      </c>
      <c r="F468">
        <v>5</v>
      </c>
      <c r="I468" t="s">
        <v>3560</v>
      </c>
      <c r="J468" t="s">
        <v>29</v>
      </c>
      <c r="K468" t="s">
        <v>29</v>
      </c>
      <c r="L468">
        <v>5</v>
      </c>
      <c r="M468">
        <v>3</v>
      </c>
      <c r="N468" t="s">
        <v>1935</v>
      </c>
      <c r="O468" t="s">
        <v>1457</v>
      </c>
      <c r="P468" t="s">
        <v>5115</v>
      </c>
      <c r="Q468" t="s">
        <v>1443</v>
      </c>
      <c r="R468" t="s">
        <v>1444</v>
      </c>
      <c r="S468" t="s">
        <v>5494</v>
      </c>
    </row>
    <row r="469" spans="1:19">
      <c r="A469" t="s">
        <v>6891</v>
      </c>
      <c r="B469" t="s">
        <v>5501</v>
      </c>
      <c r="C469" t="s">
        <v>3968</v>
      </c>
      <c r="D469">
        <v>201</v>
      </c>
      <c r="E469" t="s">
        <v>1476</v>
      </c>
      <c r="F469">
        <v>3</v>
      </c>
      <c r="G469">
        <v>1</v>
      </c>
      <c r="I469" t="s">
        <v>3560</v>
      </c>
      <c r="J469" t="s">
        <v>29</v>
      </c>
      <c r="K469" t="s">
        <v>29</v>
      </c>
      <c r="L469">
        <v>5</v>
      </c>
      <c r="M469">
        <v>3</v>
      </c>
      <c r="N469" t="s">
        <v>1935</v>
      </c>
      <c r="O469" t="s">
        <v>1447</v>
      </c>
      <c r="P469" t="s">
        <v>5502</v>
      </c>
      <c r="Q469" t="s">
        <v>1443</v>
      </c>
      <c r="R469" t="s">
        <v>5499</v>
      </c>
      <c r="S469" t="s">
        <v>5503</v>
      </c>
    </row>
    <row r="470" spans="1:19">
      <c r="A470" t="s">
        <v>6893</v>
      </c>
      <c r="B470" t="s">
        <v>5506</v>
      </c>
      <c r="C470" t="s">
        <v>3968</v>
      </c>
      <c r="D470">
        <v>201</v>
      </c>
      <c r="E470" t="s">
        <v>3687</v>
      </c>
      <c r="I470" t="s">
        <v>3560</v>
      </c>
      <c r="J470" t="s">
        <v>29</v>
      </c>
      <c r="K470" t="s">
        <v>29</v>
      </c>
      <c r="L470">
        <v>5</v>
      </c>
      <c r="M470">
        <v>3</v>
      </c>
      <c r="N470" t="s">
        <v>1935</v>
      </c>
      <c r="O470" t="s">
        <v>1447</v>
      </c>
      <c r="P470" t="s">
        <v>5507</v>
      </c>
      <c r="Q470" t="s">
        <v>1443</v>
      </c>
      <c r="R470" t="s">
        <v>5504</v>
      </c>
      <c r="S470" t="s">
        <v>5508</v>
      </c>
    </row>
    <row r="471" spans="1:19">
      <c r="A471" t="s">
        <v>6894</v>
      </c>
      <c r="B471" t="s">
        <v>5509</v>
      </c>
      <c r="C471" t="s">
        <v>3968</v>
      </c>
      <c r="D471">
        <v>202</v>
      </c>
      <c r="E471" t="s">
        <v>1541</v>
      </c>
      <c r="F471">
        <v>5</v>
      </c>
      <c r="I471" t="s">
        <v>3560</v>
      </c>
      <c r="J471" t="s">
        <v>29</v>
      </c>
      <c r="K471" t="s">
        <v>29</v>
      </c>
      <c r="L471">
        <v>5</v>
      </c>
      <c r="M471">
        <v>4</v>
      </c>
      <c r="N471" t="s">
        <v>1946</v>
      </c>
      <c r="O471" t="s">
        <v>1457</v>
      </c>
      <c r="P471" t="s">
        <v>5305</v>
      </c>
      <c r="Q471" t="s">
        <v>1443</v>
      </c>
      <c r="R471" t="s">
        <v>5510</v>
      </c>
      <c r="S471" t="s">
        <v>5511</v>
      </c>
    </row>
    <row r="472" spans="1:19">
      <c r="A472" t="s">
        <v>6895</v>
      </c>
      <c r="B472" t="s">
        <v>5512</v>
      </c>
      <c r="C472" t="s">
        <v>3968</v>
      </c>
      <c r="D472">
        <v>202</v>
      </c>
      <c r="E472" t="s">
        <v>2039</v>
      </c>
      <c r="F472">
        <v>8</v>
      </c>
      <c r="G472">
        <v>1</v>
      </c>
      <c r="I472" t="s">
        <v>3560</v>
      </c>
      <c r="J472" t="s">
        <v>29</v>
      </c>
      <c r="K472" t="s">
        <v>29</v>
      </c>
      <c r="L472">
        <v>5</v>
      </c>
      <c r="M472">
        <v>5</v>
      </c>
      <c r="N472" t="s">
        <v>1950</v>
      </c>
      <c r="O472" t="s">
        <v>1457</v>
      </c>
      <c r="P472" t="s">
        <v>5263</v>
      </c>
      <c r="Q472" t="s">
        <v>1695</v>
      </c>
      <c r="R472" t="s">
        <v>5509</v>
      </c>
      <c r="S472" t="s">
        <v>5513</v>
      </c>
    </row>
    <row r="473" spans="1:19">
      <c r="A473" t="s">
        <v>4298</v>
      </c>
      <c r="B473" t="s">
        <v>643</v>
      </c>
      <c r="C473" t="s">
        <v>3607</v>
      </c>
      <c r="D473">
        <v>315</v>
      </c>
      <c r="E473" t="s">
        <v>1511</v>
      </c>
      <c r="F473" t="s">
        <v>1511</v>
      </c>
      <c r="I473" t="s">
        <v>3238</v>
      </c>
      <c r="J473" t="s">
        <v>30</v>
      </c>
      <c r="K473" t="s">
        <v>30</v>
      </c>
      <c r="L473">
        <v>1</v>
      </c>
      <c r="M473">
        <v>1</v>
      </c>
      <c r="N473" t="s">
        <v>1953</v>
      </c>
      <c r="O473" t="s">
        <v>1513</v>
      </c>
      <c r="P473" t="s">
        <v>1444</v>
      </c>
      <c r="Q473" t="s">
        <v>1513</v>
      </c>
      <c r="R473" t="s">
        <v>1444</v>
      </c>
      <c r="S473" t="s">
        <v>1954</v>
      </c>
    </row>
    <row r="474" spans="1:19">
      <c r="A474" t="s">
        <v>4299</v>
      </c>
      <c r="B474" t="s">
        <v>667</v>
      </c>
      <c r="C474" t="s">
        <v>3607</v>
      </c>
      <c r="D474" t="s">
        <v>671</v>
      </c>
      <c r="E474" t="s">
        <v>1497</v>
      </c>
      <c r="F474">
        <v>6</v>
      </c>
      <c r="I474" t="s">
        <v>3238</v>
      </c>
      <c r="J474" t="s">
        <v>30</v>
      </c>
      <c r="K474" t="s">
        <v>30</v>
      </c>
      <c r="L474">
        <v>2</v>
      </c>
      <c r="M474">
        <v>1</v>
      </c>
      <c r="N474" t="s">
        <v>1955</v>
      </c>
      <c r="O474" t="s">
        <v>1447</v>
      </c>
      <c r="P474" t="s">
        <v>1444</v>
      </c>
      <c r="Q474" t="s">
        <v>1473</v>
      </c>
      <c r="R474" t="s">
        <v>643</v>
      </c>
      <c r="S474" t="s">
        <v>1956</v>
      </c>
    </row>
    <row r="475" spans="1:19">
      <c r="A475" t="s">
        <v>4304</v>
      </c>
      <c r="B475" t="s">
        <v>649</v>
      </c>
      <c r="C475" t="s">
        <v>3607</v>
      </c>
      <c r="D475" t="s">
        <v>650</v>
      </c>
      <c r="E475" t="s">
        <v>1450</v>
      </c>
      <c r="F475">
        <v>3</v>
      </c>
      <c r="I475" t="s">
        <v>3238</v>
      </c>
      <c r="J475" t="s">
        <v>30</v>
      </c>
      <c r="K475" t="s">
        <v>30</v>
      </c>
      <c r="L475">
        <v>2</v>
      </c>
      <c r="M475">
        <v>1</v>
      </c>
      <c r="N475" t="s">
        <v>1955</v>
      </c>
      <c r="O475" t="s">
        <v>1441</v>
      </c>
      <c r="P475" t="s">
        <v>1523</v>
      </c>
      <c r="Q475" t="s">
        <v>1443</v>
      </c>
      <c r="R475" t="s">
        <v>1444</v>
      </c>
      <c r="S475" t="s">
        <v>1965</v>
      </c>
    </row>
    <row r="476" spans="1:19">
      <c r="A476" t="s">
        <v>4305</v>
      </c>
      <c r="B476" t="s">
        <v>657</v>
      </c>
      <c r="C476" t="s">
        <v>3607</v>
      </c>
      <c r="D476" t="s">
        <v>658</v>
      </c>
      <c r="E476" t="s">
        <v>1966</v>
      </c>
      <c r="F476">
        <v>1</v>
      </c>
      <c r="H476" t="s">
        <v>3682</v>
      </c>
      <c r="I476" t="s">
        <v>3238</v>
      </c>
      <c r="J476" t="s">
        <v>30</v>
      </c>
      <c r="K476" t="s">
        <v>30</v>
      </c>
      <c r="L476">
        <v>2</v>
      </c>
      <c r="M476">
        <v>1</v>
      </c>
      <c r="N476" t="s">
        <v>1955</v>
      </c>
      <c r="O476" t="s">
        <v>1447</v>
      </c>
      <c r="P476" t="s">
        <v>1444</v>
      </c>
      <c r="Q476" t="s">
        <v>1443</v>
      </c>
      <c r="R476" t="s">
        <v>1444</v>
      </c>
      <c r="S476" t="s">
        <v>1967</v>
      </c>
    </row>
    <row r="477" spans="1:19">
      <c r="A477" t="s">
        <v>4300</v>
      </c>
      <c r="B477" t="s">
        <v>666</v>
      </c>
      <c r="C477" t="s">
        <v>3607</v>
      </c>
      <c r="D477" t="s">
        <v>642</v>
      </c>
      <c r="E477" t="s">
        <v>1450</v>
      </c>
      <c r="F477">
        <v>3</v>
      </c>
      <c r="I477" t="s">
        <v>3238</v>
      </c>
      <c r="J477" t="s">
        <v>30</v>
      </c>
      <c r="K477" t="s">
        <v>30</v>
      </c>
      <c r="L477">
        <v>3</v>
      </c>
      <c r="M477">
        <v>1</v>
      </c>
      <c r="N477" t="s">
        <v>1957</v>
      </c>
      <c r="O477" t="s">
        <v>1447</v>
      </c>
      <c r="P477" t="s">
        <v>1444</v>
      </c>
      <c r="Q477" t="s">
        <v>1443</v>
      </c>
      <c r="R477" t="s">
        <v>667</v>
      </c>
      <c r="S477" t="s">
        <v>1958</v>
      </c>
    </row>
    <row r="478" spans="1:19">
      <c r="A478" t="s">
        <v>4301</v>
      </c>
      <c r="B478" t="s">
        <v>1959</v>
      </c>
      <c r="C478" t="s">
        <v>3607</v>
      </c>
      <c r="D478" t="s">
        <v>642</v>
      </c>
      <c r="E478" t="s">
        <v>1460</v>
      </c>
      <c r="F478">
        <v>2</v>
      </c>
      <c r="I478" t="s">
        <v>3238</v>
      </c>
      <c r="J478" t="s">
        <v>30</v>
      </c>
      <c r="K478" t="s">
        <v>30</v>
      </c>
      <c r="L478">
        <v>3</v>
      </c>
      <c r="M478">
        <v>1</v>
      </c>
      <c r="N478" t="s">
        <v>1957</v>
      </c>
      <c r="O478" t="s">
        <v>1441</v>
      </c>
      <c r="P478" t="s">
        <v>1444</v>
      </c>
      <c r="Q478" t="s">
        <v>1443</v>
      </c>
      <c r="R478" t="s">
        <v>643</v>
      </c>
      <c r="S478" t="s">
        <v>1960</v>
      </c>
    </row>
    <row r="479" spans="1:19">
      <c r="A479" t="s">
        <v>4302</v>
      </c>
      <c r="B479" t="s">
        <v>1961</v>
      </c>
      <c r="C479" t="s">
        <v>3607</v>
      </c>
      <c r="D479">
        <v>316</v>
      </c>
      <c r="E479" t="s">
        <v>1439</v>
      </c>
      <c r="F479">
        <v>1</v>
      </c>
      <c r="I479" t="s">
        <v>3238</v>
      </c>
      <c r="J479" t="s">
        <v>30</v>
      </c>
      <c r="K479" t="s">
        <v>30</v>
      </c>
      <c r="L479">
        <v>3</v>
      </c>
      <c r="M479">
        <v>1</v>
      </c>
      <c r="N479" t="s">
        <v>1957</v>
      </c>
      <c r="O479" t="s">
        <v>1441</v>
      </c>
      <c r="P479" t="s">
        <v>1444</v>
      </c>
      <c r="Q479" t="s">
        <v>1443</v>
      </c>
      <c r="R479" t="s">
        <v>1444</v>
      </c>
      <c r="S479" t="s">
        <v>1962</v>
      </c>
    </row>
    <row r="480" spans="1:19">
      <c r="A480" t="s">
        <v>4307</v>
      </c>
      <c r="B480" t="s">
        <v>665</v>
      </c>
      <c r="C480" t="s">
        <v>3607</v>
      </c>
      <c r="D480">
        <v>317</v>
      </c>
      <c r="E480" t="s">
        <v>1511</v>
      </c>
      <c r="F480" t="s">
        <v>1511</v>
      </c>
      <c r="I480" t="s">
        <v>3238</v>
      </c>
      <c r="J480" t="s">
        <v>30</v>
      </c>
      <c r="K480" t="s">
        <v>30</v>
      </c>
      <c r="L480">
        <v>3</v>
      </c>
      <c r="M480">
        <v>2</v>
      </c>
      <c r="N480" t="s">
        <v>1970</v>
      </c>
      <c r="O480" t="s">
        <v>1447</v>
      </c>
      <c r="P480" t="s">
        <v>1444</v>
      </c>
      <c r="Q480" t="s">
        <v>1443</v>
      </c>
      <c r="R480" t="s">
        <v>666</v>
      </c>
      <c r="S480" t="s">
        <v>1971</v>
      </c>
    </row>
    <row r="481" spans="1:19">
      <c r="A481" t="s">
        <v>4309</v>
      </c>
      <c r="B481" t="s">
        <v>655</v>
      </c>
      <c r="C481" t="s">
        <v>3607</v>
      </c>
      <c r="D481" t="s">
        <v>656</v>
      </c>
      <c r="E481" t="s">
        <v>1456</v>
      </c>
      <c r="F481">
        <v>4</v>
      </c>
      <c r="G481">
        <v>1</v>
      </c>
      <c r="I481" t="s">
        <v>3238</v>
      </c>
      <c r="J481" t="s">
        <v>30</v>
      </c>
      <c r="K481" t="s">
        <v>30</v>
      </c>
      <c r="L481">
        <v>3</v>
      </c>
      <c r="M481">
        <v>2</v>
      </c>
      <c r="N481" t="s">
        <v>1970</v>
      </c>
      <c r="O481" t="s">
        <v>1447</v>
      </c>
      <c r="P481" t="s">
        <v>1444</v>
      </c>
      <c r="Q481" t="s">
        <v>1443</v>
      </c>
      <c r="R481" t="s">
        <v>1444</v>
      </c>
      <c r="S481" t="s">
        <v>1974</v>
      </c>
    </row>
    <row r="482" spans="1:19">
      <c r="A482" t="s">
        <v>4326</v>
      </c>
      <c r="B482" t="s">
        <v>3686</v>
      </c>
      <c r="C482" t="s">
        <v>3602</v>
      </c>
      <c r="D482">
        <v>14</v>
      </c>
      <c r="E482" t="s">
        <v>3687</v>
      </c>
      <c r="F482" t="s">
        <v>1511</v>
      </c>
      <c r="I482" t="s">
        <v>3238</v>
      </c>
      <c r="J482" t="s">
        <v>30</v>
      </c>
      <c r="K482" t="s">
        <v>30</v>
      </c>
      <c r="L482">
        <v>3</v>
      </c>
      <c r="M482">
        <v>2</v>
      </c>
      <c r="N482" t="s">
        <v>1970</v>
      </c>
      <c r="O482" t="s">
        <v>1513</v>
      </c>
      <c r="P482" t="s">
        <v>1444</v>
      </c>
      <c r="Q482" t="s">
        <v>1513</v>
      </c>
      <c r="R482" t="s">
        <v>667</v>
      </c>
      <c r="S482" t="s">
        <v>3688</v>
      </c>
    </row>
    <row r="483" spans="1:19">
      <c r="A483" t="s">
        <v>4303</v>
      </c>
      <c r="B483" t="s">
        <v>653</v>
      </c>
      <c r="C483" t="s">
        <v>3607</v>
      </c>
      <c r="D483" t="s">
        <v>654</v>
      </c>
      <c r="E483" t="s">
        <v>1450</v>
      </c>
      <c r="F483">
        <v>3</v>
      </c>
      <c r="I483" t="s">
        <v>3238</v>
      </c>
      <c r="J483" t="s">
        <v>30</v>
      </c>
      <c r="K483" t="s">
        <v>30</v>
      </c>
      <c r="L483">
        <v>4</v>
      </c>
      <c r="M483">
        <v>1</v>
      </c>
      <c r="N483" t="s">
        <v>1963</v>
      </c>
      <c r="O483" t="s">
        <v>1447</v>
      </c>
      <c r="P483" t="s">
        <v>1444</v>
      </c>
      <c r="Q483" t="s">
        <v>1443</v>
      </c>
      <c r="R483" t="s">
        <v>1961</v>
      </c>
      <c r="S483" t="s">
        <v>1964</v>
      </c>
    </row>
    <row r="484" spans="1:19">
      <c r="A484" t="s">
        <v>4306</v>
      </c>
      <c r="B484" t="s">
        <v>651</v>
      </c>
      <c r="C484" t="s">
        <v>3607</v>
      </c>
      <c r="D484">
        <v>317</v>
      </c>
      <c r="E484" t="s">
        <v>1497</v>
      </c>
      <c r="F484">
        <v>6</v>
      </c>
      <c r="I484" t="s">
        <v>3238</v>
      </c>
      <c r="J484" t="s">
        <v>30</v>
      </c>
      <c r="K484" t="s">
        <v>30</v>
      </c>
      <c r="L484">
        <v>4</v>
      </c>
      <c r="M484">
        <v>1</v>
      </c>
      <c r="N484" t="s">
        <v>1963</v>
      </c>
      <c r="O484" t="s">
        <v>1457</v>
      </c>
      <c r="P484" t="s">
        <v>1444</v>
      </c>
      <c r="Q484" t="s">
        <v>1968</v>
      </c>
      <c r="R484" t="s">
        <v>1444</v>
      </c>
      <c r="S484" t="s">
        <v>1969</v>
      </c>
    </row>
    <row r="485" spans="1:19">
      <c r="A485" t="s">
        <v>4308</v>
      </c>
      <c r="B485" t="s">
        <v>646</v>
      </c>
      <c r="C485" t="s">
        <v>3607</v>
      </c>
      <c r="D485">
        <v>317</v>
      </c>
      <c r="E485" t="s">
        <v>1541</v>
      </c>
      <c r="F485">
        <v>5</v>
      </c>
      <c r="I485" t="s">
        <v>3238</v>
      </c>
      <c r="J485" t="s">
        <v>30</v>
      </c>
      <c r="K485" t="s">
        <v>30</v>
      </c>
      <c r="L485">
        <v>4</v>
      </c>
      <c r="M485">
        <v>2</v>
      </c>
      <c r="N485" t="s">
        <v>1972</v>
      </c>
      <c r="O485" t="s">
        <v>1447</v>
      </c>
      <c r="P485" t="s">
        <v>1444</v>
      </c>
      <c r="Q485" t="s">
        <v>1443</v>
      </c>
      <c r="R485" t="s">
        <v>1959</v>
      </c>
      <c r="S485" t="s">
        <v>1973</v>
      </c>
    </row>
    <row r="486" spans="1:19">
      <c r="A486" t="s">
        <v>4310</v>
      </c>
      <c r="B486" t="s">
        <v>1975</v>
      </c>
      <c r="C486" t="s">
        <v>3607</v>
      </c>
      <c r="D486" t="s">
        <v>674</v>
      </c>
      <c r="E486" t="s">
        <v>1976</v>
      </c>
      <c r="H486" t="s">
        <v>1976</v>
      </c>
      <c r="I486" t="s">
        <v>3238</v>
      </c>
      <c r="J486" t="s">
        <v>30</v>
      </c>
      <c r="K486" t="s">
        <v>30</v>
      </c>
      <c r="L486">
        <v>4</v>
      </c>
      <c r="M486">
        <v>2</v>
      </c>
      <c r="N486" t="s">
        <v>1972</v>
      </c>
      <c r="O486" t="s">
        <v>1447</v>
      </c>
      <c r="P486" t="s">
        <v>1444</v>
      </c>
      <c r="Q486" t="s">
        <v>1443</v>
      </c>
      <c r="R486" t="s">
        <v>655</v>
      </c>
      <c r="S486" t="s">
        <v>1977</v>
      </c>
    </row>
    <row r="487" spans="1:19">
      <c r="A487" t="s">
        <v>4312</v>
      </c>
      <c r="B487" t="s">
        <v>668</v>
      </c>
      <c r="C487" t="s">
        <v>3607</v>
      </c>
      <c r="D487" t="s">
        <v>645</v>
      </c>
      <c r="E487" t="s">
        <v>1439</v>
      </c>
      <c r="F487">
        <v>1</v>
      </c>
      <c r="I487" t="s">
        <v>3238</v>
      </c>
      <c r="J487" t="s">
        <v>30</v>
      </c>
      <c r="K487" t="s">
        <v>30</v>
      </c>
      <c r="L487">
        <v>4</v>
      </c>
      <c r="M487">
        <v>2</v>
      </c>
      <c r="N487" t="s">
        <v>1972</v>
      </c>
      <c r="O487" t="s">
        <v>1447</v>
      </c>
      <c r="P487" t="s">
        <v>1444</v>
      </c>
      <c r="Q487" t="s">
        <v>1443</v>
      </c>
      <c r="R487" t="s">
        <v>653</v>
      </c>
      <c r="S487" t="s">
        <v>3517</v>
      </c>
    </row>
    <row r="488" spans="1:19">
      <c r="A488" t="s">
        <v>4313</v>
      </c>
      <c r="B488" t="s">
        <v>1979</v>
      </c>
      <c r="C488" t="s">
        <v>3607</v>
      </c>
      <c r="D488" t="s">
        <v>659</v>
      </c>
      <c r="E488" t="s">
        <v>1497</v>
      </c>
      <c r="F488">
        <v>6</v>
      </c>
      <c r="I488" t="s">
        <v>3238</v>
      </c>
      <c r="J488" t="s">
        <v>30</v>
      </c>
      <c r="K488" t="s">
        <v>30</v>
      </c>
      <c r="L488">
        <v>4</v>
      </c>
      <c r="M488">
        <v>2</v>
      </c>
      <c r="N488" t="s">
        <v>1972</v>
      </c>
      <c r="O488" t="s">
        <v>1441</v>
      </c>
      <c r="P488" t="s">
        <v>1523</v>
      </c>
      <c r="Q488" t="s">
        <v>1443</v>
      </c>
      <c r="R488" t="s">
        <v>649</v>
      </c>
      <c r="S488" t="s">
        <v>1980</v>
      </c>
    </row>
    <row r="489" spans="1:19">
      <c r="A489" t="s">
        <v>4318</v>
      </c>
      <c r="B489" t="s">
        <v>669</v>
      </c>
      <c r="C489" t="s">
        <v>3607</v>
      </c>
      <c r="D489">
        <v>320</v>
      </c>
      <c r="E489" t="s">
        <v>1554</v>
      </c>
      <c r="F489">
        <v>4</v>
      </c>
      <c r="I489" t="s">
        <v>3238</v>
      </c>
      <c r="J489" t="s">
        <v>30</v>
      </c>
      <c r="K489" t="s">
        <v>30</v>
      </c>
      <c r="L489">
        <v>4</v>
      </c>
      <c r="M489">
        <v>3</v>
      </c>
      <c r="N489" t="s">
        <v>1990</v>
      </c>
      <c r="O489" t="s">
        <v>1447</v>
      </c>
      <c r="P489" t="s">
        <v>1444</v>
      </c>
      <c r="Q489" t="s">
        <v>1443</v>
      </c>
      <c r="R489" t="s">
        <v>649</v>
      </c>
      <c r="S489" t="s">
        <v>1991</v>
      </c>
    </row>
    <row r="490" spans="1:19">
      <c r="A490" t="s">
        <v>4320</v>
      </c>
      <c r="B490" t="s">
        <v>644</v>
      </c>
      <c r="C490" t="s">
        <v>3607</v>
      </c>
      <c r="D490" t="s">
        <v>645</v>
      </c>
      <c r="E490" t="s">
        <v>1599</v>
      </c>
      <c r="F490">
        <v>10</v>
      </c>
      <c r="G490">
        <v>1</v>
      </c>
      <c r="I490" t="s">
        <v>3238</v>
      </c>
      <c r="J490" t="s">
        <v>30</v>
      </c>
      <c r="K490" t="s">
        <v>30</v>
      </c>
      <c r="L490">
        <v>4</v>
      </c>
      <c r="M490">
        <v>3</v>
      </c>
      <c r="N490" t="s">
        <v>1990</v>
      </c>
      <c r="O490" t="s">
        <v>1447</v>
      </c>
      <c r="P490" t="s">
        <v>1444</v>
      </c>
      <c r="Q490" t="s">
        <v>1443</v>
      </c>
      <c r="R490" t="s">
        <v>657</v>
      </c>
      <c r="S490" t="s">
        <v>1995</v>
      </c>
    </row>
    <row r="491" spans="1:19">
      <c r="A491" t="s">
        <v>4311</v>
      </c>
      <c r="B491" t="s">
        <v>660</v>
      </c>
      <c r="C491" t="s">
        <v>3607</v>
      </c>
      <c r="D491">
        <v>318</v>
      </c>
      <c r="E491" t="s">
        <v>1479</v>
      </c>
      <c r="F491">
        <v>6</v>
      </c>
      <c r="G491">
        <v>1</v>
      </c>
      <c r="I491" t="s">
        <v>3238</v>
      </c>
      <c r="J491" t="s">
        <v>30</v>
      </c>
      <c r="K491" t="s">
        <v>30</v>
      </c>
      <c r="L491">
        <v>5</v>
      </c>
      <c r="M491">
        <v>2</v>
      </c>
      <c r="N491" t="s">
        <v>1978</v>
      </c>
      <c r="O491" t="s">
        <v>1457</v>
      </c>
      <c r="P491" t="s">
        <v>1444</v>
      </c>
      <c r="Q491" t="s">
        <v>1547</v>
      </c>
      <c r="R491" t="s">
        <v>1975</v>
      </c>
      <c r="S491" t="s">
        <v>3683</v>
      </c>
    </row>
    <row r="492" spans="1:19">
      <c r="A492" t="s">
        <v>4314</v>
      </c>
      <c r="B492" t="s">
        <v>1981</v>
      </c>
      <c r="C492" t="s">
        <v>3607</v>
      </c>
      <c r="D492" t="s">
        <v>659</v>
      </c>
      <c r="E492" t="s">
        <v>1592</v>
      </c>
      <c r="G492">
        <v>1</v>
      </c>
      <c r="I492" t="s">
        <v>3238</v>
      </c>
      <c r="J492" t="s">
        <v>30</v>
      </c>
      <c r="K492" t="s">
        <v>30</v>
      </c>
      <c r="L492">
        <v>5</v>
      </c>
      <c r="M492">
        <v>2</v>
      </c>
      <c r="N492" t="s">
        <v>1978</v>
      </c>
      <c r="O492" t="s">
        <v>1441</v>
      </c>
      <c r="P492" t="s">
        <v>1444</v>
      </c>
      <c r="Q492" t="s">
        <v>1443</v>
      </c>
      <c r="R492" t="s">
        <v>1982</v>
      </c>
      <c r="S492" t="s">
        <v>1983</v>
      </c>
    </row>
    <row r="493" spans="1:19">
      <c r="A493" t="s">
        <v>4315</v>
      </c>
      <c r="B493" t="s">
        <v>663</v>
      </c>
      <c r="C493" t="s">
        <v>3607</v>
      </c>
      <c r="D493" t="s">
        <v>664</v>
      </c>
      <c r="E493" t="s">
        <v>1863</v>
      </c>
      <c r="F493" t="s">
        <v>1863</v>
      </c>
      <c r="I493" t="s">
        <v>3238</v>
      </c>
      <c r="J493" t="s">
        <v>30</v>
      </c>
      <c r="K493" t="s">
        <v>30</v>
      </c>
      <c r="L493">
        <v>5</v>
      </c>
      <c r="M493">
        <v>2</v>
      </c>
      <c r="N493" t="s">
        <v>1978</v>
      </c>
      <c r="O493" t="s">
        <v>1513</v>
      </c>
      <c r="P493" t="s">
        <v>1523</v>
      </c>
      <c r="Q493" t="s">
        <v>1513</v>
      </c>
      <c r="R493" t="s">
        <v>1984</v>
      </c>
      <c r="S493" t="s">
        <v>1985</v>
      </c>
    </row>
    <row r="494" spans="1:19">
      <c r="A494" t="s">
        <v>4316</v>
      </c>
      <c r="B494" t="s">
        <v>647</v>
      </c>
      <c r="C494" t="s">
        <v>3607</v>
      </c>
      <c r="D494">
        <v>320</v>
      </c>
      <c r="E494" t="s">
        <v>1592</v>
      </c>
      <c r="G494">
        <v>1</v>
      </c>
      <c r="I494" t="s">
        <v>3238</v>
      </c>
      <c r="J494" t="s">
        <v>30</v>
      </c>
      <c r="K494" t="s">
        <v>30</v>
      </c>
      <c r="L494">
        <v>5</v>
      </c>
      <c r="M494">
        <v>3</v>
      </c>
      <c r="N494" t="s">
        <v>1986</v>
      </c>
      <c r="O494" t="s">
        <v>1447</v>
      </c>
      <c r="P494" t="s">
        <v>1444</v>
      </c>
      <c r="Q494" t="s">
        <v>1443</v>
      </c>
      <c r="R494" t="s">
        <v>1987</v>
      </c>
      <c r="S494" t="s">
        <v>1988</v>
      </c>
    </row>
    <row r="495" spans="1:19">
      <c r="A495" t="s">
        <v>4317</v>
      </c>
      <c r="B495" t="s">
        <v>670</v>
      </c>
      <c r="C495" t="s">
        <v>3607</v>
      </c>
      <c r="D495">
        <v>320</v>
      </c>
      <c r="E495" t="s">
        <v>1497</v>
      </c>
      <c r="F495">
        <v>6</v>
      </c>
      <c r="I495" t="s">
        <v>3238</v>
      </c>
      <c r="J495" t="s">
        <v>30</v>
      </c>
      <c r="K495" t="s">
        <v>30</v>
      </c>
      <c r="L495">
        <v>5</v>
      </c>
      <c r="M495">
        <v>3</v>
      </c>
      <c r="N495" t="s">
        <v>1986</v>
      </c>
      <c r="O495" t="s">
        <v>1441</v>
      </c>
      <c r="P495" t="s">
        <v>1444</v>
      </c>
      <c r="Q495" t="s">
        <v>1443</v>
      </c>
      <c r="R495" t="s">
        <v>1981</v>
      </c>
      <c r="S495" t="s">
        <v>1989</v>
      </c>
    </row>
    <row r="496" spans="1:19">
      <c r="A496" t="s">
        <v>4319</v>
      </c>
      <c r="B496" t="s">
        <v>1992</v>
      </c>
      <c r="C496" t="s">
        <v>3607</v>
      </c>
      <c r="D496" t="s">
        <v>652</v>
      </c>
      <c r="E496" t="s">
        <v>1993</v>
      </c>
      <c r="F496">
        <v>3</v>
      </c>
      <c r="H496" t="s">
        <v>2269</v>
      </c>
      <c r="I496" t="s">
        <v>3238</v>
      </c>
      <c r="J496" t="s">
        <v>30</v>
      </c>
      <c r="K496" t="s">
        <v>30</v>
      </c>
      <c r="L496">
        <v>5</v>
      </c>
      <c r="M496">
        <v>3</v>
      </c>
      <c r="N496" t="s">
        <v>1986</v>
      </c>
      <c r="O496" t="s">
        <v>1441</v>
      </c>
      <c r="P496" t="s">
        <v>1444</v>
      </c>
      <c r="Q496" t="s">
        <v>1443</v>
      </c>
      <c r="R496" t="s">
        <v>1994</v>
      </c>
      <c r="S496" t="s">
        <v>3684</v>
      </c>
    </row>
    <row r="497" spans="1:19">
      <c r="A497" t="s">
        <v>4321</v>
      </c>
      <c r="B497" t="s">
        <v>648</v>
      </c>
      <c r="C497" t="s">
        <v>3607</v>
      </c>
      <c r="D497" t="s">
        <v>645</v>
      </c>
      <c r="E497" t="s">
        <v>1599</v>
      </c>
      <c r="F497">
        <v>10</v>
      </c>
      <c r="G497">
        <v>1</v>
      </c>
      <c r="I497" t="s">
        <v>3238</v>
      </c>
      <c r="J497" t="s">
        <v>30</v>
      </c>
      <c r="K497" t="s">
        <v>30</v>
      </c>
      <c r="L497">
        <v>5</v>
      </c>
      <c r="M497">
        <v>3</v>
      </c>
      <c r="N497" t="s">
        <v>1986</v>
      </c>
      <c r="O497" t="s">
        <v>1441</v>
      </c>
      <c r="P497" t="s">
        <v>1523</v>
      </c>
      <c r="Q497" t="s">
        <v>1443</v>
      </c>
      <c r="R497" t="s">
        <v>651</v>
      </c>
      <c r="S497" t="s">
        <v>1996</v>
      </c>
    </row>
    <row r="498" spans="1:19">
      <c r="A498" t="s">
        <v>4322</v>
      </c>
      <c r="B498" t="s">
        <v>672</v>
      </c>
      <c r="C498" t="s">
        <v>3607</v>
      </c>
      <c r="D498">
        <v>321</v>
      </c>
      <c r="E498" t="s">
        <v>1997</v>
      </c>
      <c r="F498" t="s">
        <v>1997</v>
      </c>
      <c r="I498" t="s">
        <v>3238</v>
      </c>
      <c r="J498" t="s">
        <v>30</v>
      </c>
      <c r="K498" t="s">
        <v>30</v>
      </c>
      <c r="L498">
        <v>5</v>
      </c>
      <c r="M498">
        <v>3</v>
      </c>
      <c r="N498" t="s">
        <v>1986</v>
      </c>
      <c r="O498" t="s">
        <v>1447</v>
      </c>
      <c r="P498" t="s">
        <v>1444</v>
      </c>
      <c r="Q498" t="s">
        <v>1547</v>
      </c>
      <c r="R498" t="s">
        <v>663</v>
      </c>
      <c r="S498" t="s">
        <v>1998</v>
      </c>
    </row>
    <row r="499" spans="1:19">
      <c r="A499" t="s">
        <v>4323</v>
      </c>
      <c r="B499" t="s">
        <v>661</v>
      </c>
      <c r="C499" t="s">
        <v>3607</v>
      </c>
      <c r="D499" t="s">
        <v>662</v>
      </c>
      <c r="E499" t="s">
        <v>1949</v>
      </c>
      <c r="F499">
        <v>12</v>
      </c>
      <c r="G499">
        <v>1</v>
      </c>
      <c r="I499" t="s">
        <v>3238</v>
      </c>
      <c r="J499" t="s">
        <v>30</v>
      </c>
      <c r="K499" t="s">
        <v>30</v>
      </c>
      <c r="L499">
        <v>5</v>
      </c>
      <c r="M499">
        <v>4</v>
      </c>
      <c r="N499" t="s">
        <v>1999</v>
      </c>
      <c r="O499" t="s">
        <v>1447</v>
      </c>
      <c r="P499" t="s">
        <v>1444</v>
      </c>
      <c r="Q499" t="s">
        <v>1547</v>
      </c>
      <c r="R499" t="s">
        <v>2000</v>
      </c>
      <c r="S499" t="s">
        <v>3685</v>
      </c>
    </row>
    <row r="500" spans="1:19">
      <c r="A500" t="s">
        <v>4324</v>
      </c>
      <c r="B500" t="s">
        <v>2001</v>
      </c>
      <c r="C500" t="s">
        <v>3607</v>
      </c>
      <c r="D500">
        <v>322</v>
      </c>
      <c r="E500" t="s">
        <v>1541</v>
      </c>
      <c r="F500">
        <v>5</v>
      </c>
      <c r="I500" t="s">
        <v>3238</v>
      </c>
      <c r="J500" t="s">
        <v>30</v>
      </c>
      <c r="K500" t="s">
        <v>30</v>
      </c>
      <c r="L500">
        <v>5</v>
      </c>
      <c r="M500">
        <v>5</v>
      </c>
      <c r="N500" t="s">
        <v>2002</v>
      </c>
      <c r="O500" t="s">
        <v>1447</v>
      </c>
      <c r="P500" t="s">
        <v>1444</v>
      </c>
      <c r="Q500" t="s">
        <v>1600</v>
      </c>
      <c r="R500" t="s">
        <v>661</v>
      </c>
      <c r="S500" t="s">
        <v>2003</v>
      </c>
    </row>
    <row r="501" spans="1:19">
      <c r="A501" t="s">
        <v>4325</v>
      </c>
      <c r="B501" t="s">
        <v>673</v>
      </c>
      <c r="C501" t="s">
        <v>3607</v>
      </c>
      <c r="D501">
        <v>322</v>
      </c>
      <c r="E501" t="s">
        <v>1511</v>
      </c>
      <c r="F501" t="s">
        <v>1511</v>
      </c>
      <c r="I501" t="s">
        <v>3238</v>
      </c>
      <c r="J501" t="s">
        <v>30</v>
      </c>
      <c r="K501" t="s">
        <v>30</v>
      </c>
      <c r="L501">
        <v>5</v>
      </c>
      <c r="M501">
        <v>5</v>
      </c>
      <c r="N501" t="s">
        <v>2002</v>
      </c>
      <c r="O501" t="s">
        <v>1447</v>
      </c>
      <c r="P501" t="s">
        <v>1523</v>
      </c>
      <c r="Q501" t="s">
        <v>1443</v>
      </c>
      <c r="R501" t="s">
        <v>2001</v>
      </c>
      <c r="S501" t="s">
        <v>2004</v>
      </c>
    </row>
    <row r="502" spans="1:19">
      <c r="A502" t="s">
        <v>4327</v>
      </c>
      <c r="B502" t="s">
        <v>3689</v>
      </c>
      <c r="C502" t="s">
        <v>3602</v>
      </c>
      <c r="D502">
        <v>15</v>
      </c>
      <c r="E502" t="s">
        <v>1482</v>
      </c>
      <c r="F502">
        <v>7</v>
      </c>
      <c r="I502" t="s">
        <v>3238</v>
      </c>
      <c r="J502" t="s">
        <v>30</v>
      </c>
      <c r="K502" t="s">
        <v>30</v>
      </c>
      <c r="L502">
        <v>5</v>
      </c>
      <c r="M502">
        <v>3</v>
      </c>
      <c r="N502" t="s">
        <v>1986</v>
      </c>
      <c r="O502" t="s">
        <v>1457</v>
      </c>
      <c r="P502" t="s">
        <v>1523</v>
      </c>
      <c r="Q502" t="s">
        <v>1443</v>
      </c>
      <c r="R502" t="s">
        <v>660</v>
      </c>
      <c r="S502" t="s">
        <v>3690</v>
      </c>
    </row>
    <row r="503" spans="1:19">
      <c r="A503" t="s">
        <v>6896</v>
      </c>
      <c r="B503" t="s">
        <v>5514</v>
      </c>
      <c r="C503" t="s">
        <v>3968</v>
      </c>
      <c r="D503">
        <v>202</v>
      </c>
      <c r="E503" t="s">
        <v>5071</v>
      </c>
      <c r="F503">
        <v>2</v>
      </c>
      <c r="I503" t="s">
        <v>3560</v>
      </c>
      <c r="J503" t="s">
        <v>30</v>
      </c>
      <c r="K503" t="s">
        <v>30</v>
      </c>
      <c r="L503">
        <v>1</v>
      </c>
      <c r="M503">
        <v>1</v>
      </c>
      <c r="N503" t="s">
        <v>1953</v>
      </c>
      <c r="O503" t="s">
        <v>1441</v>
      </c>
      <c r="P503" t="s">
        <v>5515</v>
      </c>
      <c r="Q503" t="s">
        <v>1443</v>
      </c>
      <c r="R503" t="s">
        <v>1444</v>
      </c>
      <c r="S503" t="s">
        <v>5516</v>
      </c>
    </row>
    <row r="504" spans="1:19">
      <c r="A504" t="s">
        <v>6897</v>
      </c>
      <c r="B504" t="s">
        <v>5517</v>
      </c>
      <c r="C504" t="s">
        <v>3968</v>
      </c>
      <c r="D504">
        <v>202</v>
      </c>
      <c r="E504" t="s">
        <v>1460</v>
      </c>
      <c r="F504">
        <v>2</v>
      </c>
      <c r="I504" t="s">
        <v>3560</v>
      </c>
      <c r="J504" t="s">
        <v>30</v>
      </c>
      <c r="K504" t="s">
        <v>30</v>
      </c>
      <c r="L504">
        <v>2</v>
      </c>
      <c r="M504">
        <v>1</v>
      </c>
      <c r="N504" t="s">
        <v>1955</v>
      </c>
      <c r="O504" t="s">
        <v>1441</v>
      </c>
      <c r="P504" t="s">
        <v>5425</v>
      </c>
      <c r="Q504" t="s">
        <v>1443</v>
      </c>
      <c r="R504" t="s">
        <v>1444</v>
      </c>
      <c r="S504" t="s">
        <v>5518</v>
      </c>
    </row>
    <row r="505" spans="1:19">
      <c r="A505" t="s">
        <v>6898</v>
      </c>
      <c r="B505" t="s">
        <v>5519</v>
      </c>
      <c r="C505" t="s">
        <v>3968</v>
      </c>
      <c r="D505">
        <v>202</v>
      </c>
      <c r="E505" t="s">
        <v>1439</v>
      </c>
      <c r="F505">
        <v>1</v>
      </c>
      <c r="I505" t="s">
        <v>3560</v>
      </c>
      <c r="J505" t="s">
        <v>30</v>
      </c>
      <c r="K505" t="s">
        <v>30</v>
      </c>
      <c r="L505">
        <v>2</v>
      </c>
      <c r="M505">
        <v>1</v>
      </c>
      <c r="N505" t="s">
        <v>1955</v>
      </c>
      <c r="O505" t="s">
        <v>1441</v>
      </c>
      <c r="P505" t="s">
        <v>5425</v>
      </c>
      <c r="Q505" t="s">
        <v>1443</v>
      </c>
      <c r="R505" t="s">
        <v>1444</v>
      </c>
      <c r="S505" t="s">
        <v>5520</v>
      </c>
    </row>
    <row r="506" spans="1:19">
      <c r="A506" t="s">
        <v>6901</v>
      </c>
      <c r="B506" t="s">
        <v>5526</v>
      </c>
      <c r="C506" t="s">
        <v>3968</v>
      </c>
      <c r="D506">
        <v>203</v>
      </c>
      <c r="E506" t="s">
        <v>1439</v>
      </c>
      <c r="F506">
        <v>1</v>
      </c>
      <c r="I506" t="s">
        <v>3560</v>
      </c>
      <c r="J506" t="s">
        <v>30</v>
      </c>
      <c r="K506" t="s">
        <v>30</v>
      </c>
      <c r="L506">
        <v>2</v>
      </c>
      <c r="M506">
        <v>1</v>
      </c>
      <c r="N506" t="s">
        <v>1955</v>
      </c>
      <c r="O506" t="s">
        <v>1447</v>
      </c>
      <c r="P506" t="s">
        <v>5263</v>
      </c>
      <c r="Q506" t="s">
        <v>1443</v>
      </c>
      <c r="R506" t="s">
        <v>1444</v>
      </c>
      <c r="S506" t="s">
        <v>5527</v>
      </c>
    </row>
    <row r="507" spans="1:19">
      <c r="A507" t="s">
        <v>6899</v>
      </c>
      <c r="B507" t="s">
        <v>5521</v>
      </c>
      <c r="C507" t="s">
        <v>3968</v>
      </c>
      <c r="D507">
        <v>203</v>
      </c>
      <c r="E507" t="s">
        <v>1541</v>
      </c>
      <c r="F507">
        <v>5</v>
      </c>
      <c r="I507" t="s">
        <v>3560</v>
      </c>
      <c r="J507" t="s">
        <v>30</v>
      </c>
      <c r="K507" t="s">
        <v>30</v>
      </c>
      <c r="L507">
        <v>3</v>
      </c>
      <c r="M507">
        <v>1</v>
      </c>
      <c r="N507" t="s">
        <v>1957</v>
      </c>
      <c r="O507" t="s">
        <v>1441</v>
      </c>
      <c r="P507" t="s">
        <v>5305</v>
      </c>
      <c r="Q507" t="s">
        <v>1443</v>
      </c>
      <c r="R507" t="s">
        <v>1444</v>
      </c>
      <c r="S507" t="s">
        <v>5522</v>
      </c>
    </row>
    <row r="508" spans="1:19">
      <c r="A508" t="s">
        <v>6900</v>
      </c>
      <c r="B508" t="s">
        <v>5523</v>
      </c>
      <c r="C508" t="s">
        <v>3968</v>
      </c>
      <c r="D508">
        <v>203</v>
      </c>
      <c r="E508" t="s">
        <v>1439</v>
      </c>
      <c r="F508">
        <v>1</v>
      </c>
      <c r="I508" t="s">
        <v>3560</v>
      </c>
      <c r="J508" t="s">
        <v>30</v>
      </c>
      <c r="K508" t="s">
        <v>30</v>
      </c>
      <c r="L508">
        <v>3</v>
      </c>
      <c r="M508">
        <v>1</v>
      </c>
      <c r="N508" t="s">
        <v>1957</v>
      </c>
      <c r="O508" t="s">
        <v>1457</v>
      </c>
      <c r="P508" t="s">
        <v>5524</v>
      </c>
      <c r="Q508" t="s">
        <v>1547</v>
      </c>
      <c r="R508" t="s">
        <v>5521</v>
      </c>
      <c r="S508" t="s">
        <v>5525</v>
      </c>
    </row>
    <row r="509" spans="1:19">
      <c r="A509" t="s">
        <v>6902</v>
      </c>
      <c r="B509" t="s">
        <v>5528</v>
      </c>
      <c r="C509" t="s">
        <v>3968</v>
      </c>
      <c r="D509">
        <v>204</v>
      </c>
      <c r="E509" t="s">
        <v>1541</v>
      </c>
      <c r="F509">
        <v>5</v>
      </c>
      <c r="I509" t="s">
        <v>3560</v>
      </c>
      <c r="J509" t="s">
        <v>30</v>
      </c>
      <c r="K509" t="s">
        <v>30</v>
      </c>
      <c r="L509">
        <v>3</v>
      </c>
      <c r="M509">
        <v>1</v>
      </c>
      <c r="N509" t="s">
        <v>1957</v>
      </c>
      <c r="O509" t="s">
        <v>1457</v>
      </c>
      <c r="P509" t="s">
        <v>5002</v>
      </c>
      <c r="Q509" t="s">
        <v>1443</v>
      </c>
      <c r="R509" t="s">
        <v>5529</v>
      </c>
      <c r="S509" t="s">
        <v>5530</v>
      </c>
    </row>
    <row r="510" spans="1:19">
      <c r="A510" t="s">
        <v>6903</v>
      </c>
      <c r="B510" t="s">
        <v>5531</v>
      </c>
      <c r="C510" t="s">
        <v>3968</v>
      </c>
      <c r="D510">
        <v>204</v>
      </c>
      <c r="E510" t="s">
        <v>1439</v>
      </c>
      <c r="F510">
        <v>1</v>
      </c>
      <c r="I510" t="s">
        <v>3560</v>
      </c>
      <c r="J510" t="s">
        <v>30</v>
      </c>
      <c r="K510" t="s">
        <v>30</v>
      </c>
      <c r="L510">
        <v>3</v>
      </c>
      <c r="M510">
        <v>2</v>
      </c>
      <c r="N510" t="s">
        <v>1970</v>
      </c>
      <c r="O510" t="s">
        <v>1457</v>
      </c>
      <c r="P510" t="s">
        <v>5083</v>
      </c>
      <c r="Q510" t="s">
        <v>1443</v>
      </c>
      <c r="R510" t="s">
        <v>5523</v>
      </c>
      <c r="S510" t="s">
        <v>5532</v>
      </c>
    </row>
    <row r="511" spans="1:19">
      <c r="A511" t="s">
        <v>6905</v>
      </c>
      <c r="B511" t="s">
        <v>5535</v>
      </c>
      <c r="C511" t="s">
        <v>3968</v>
      </c>
      <c r="D511">
        <v>204</v>
      </c>
      <c r="E511" t="s">
        <v>1541</v>
      </c>
      <c r="F511">
        <v>5</v>
      </c>
      <c r="I511" t="s">
        <v>3560</v>
      </c>
      <c r="J511" t="s">
        <v>30</v>
      </c>
      <c r="K511" t="s">
        <v>30</v>
      </c>
      <c r="L511">
        <v>3</v>
      </c>
      <c r="M511">
        <v>2</v>
      </c>
      <c r="N511" t="s">
        <v>1970</v>
      </c>
      <c r="O511" t="s">
        <v>1441</v>
      </c>
      <c r="P511" t="s">
        <v>5263</v>
      </c>
      <c r="Q511" t="s">
        <v>1443</v>
      </c>
      <c r="R511" t="s">
        <v>5536</v>
      </c>
      <c r="S511" t="s">
        <v>5537</v>
      </c>
    </row>
    <row r="512" spans="1:19">
      <c r="A512" t="s">
        <v>6906</v>
      </c>
      <c r="B512" t="s">
        <v>5538</v>
      </c>
      <c r="C512" t="s">
        <v>3968</v>
      </c>
      <c r="D512">
        <v>204</v>
      </c>
      <c r="E512" t="s">
        <v>1554</v>
      </c>
      <c r="F512">
        <v>4</v>
      </c>
      <c r="I512" t="s">
        <v>3560</v>
      </c>
      <c r="J512" t="s">
        <v>30</v>
      </c>
      <c r="K512" t="s">
        <v>30</v>
      </c>
      <c r="L512">
        <v>3</v>
      </c>
      <c r="M512">
        <v>2</v>
      </c>
      <c r="N512" t="s">
        <v>1970</v>
      </c>
      <c r="O512" t="s">
        <v>1457</v>
      </c>
      <c r="P512" t="s">
        <v>5263</v>
      </c>
      <c r="Q512" t="s">
        <v>1443</v>
      </c>
      <c r="R512" t="s">
        <v>5539</v>
      </c>
      <c r="S512" t="s">
        <v>5540</v>
      </c>
    </row>
    <row r="513" spans="1:19">
      <c r="A513" t="s">
        <v>6904</v>
      </c>
      <c r="B513" t="s">
        <v>5533</v>
      </c>
      <c r="C513" t="s">
        <v>3968</v>
      </c>
      <c r="D513">
        <v>204</v>
      </c>
      <c r="E513" t="s">
        <v>1460</v>
      </c>
      <c r="F513">
        <v>2</v>
      </c>
      <c r="I513" t="s">
        <v>3560</v>
      </c>
      <c r="J513" t="s">
        <v>30</v>
      </c>
      <c r="K513" t="s">
        <v>30</v>
      </c>
      <c r="L513">
        <v>4</v>
      </c>
      <c r="M513">
        <v>1</v>
      </c>
      <c r="N513" t="s">
        <v>1963</v>
      </c>
      <c r="O513" t="s">
        <v>1441</v>
      </c>
      <c r="P513" t="s">
        <v>5507</v>
      </c>
      <c r="Q513" t="s">
        <v>1443</v>
      </c>
      <c r="R513" t="s">
        <v>5526</v>
      </c>
      <c r="S513" t="s">
        <v>5534</v>
      </c>
    </row>
    <row r="514" spans="1:19">
      <c r="A514" t="s">
        <v>6907</v>
      </c>
      <c r="B514" t="s">
        <v>5541</v>
      </c>
      <c r="C514" t="s">
        <v>3968</v>
      </c>
      <c r="D514">
        <v>204</v>
      </c>
      <c r="E514" t="s">
        <v>1554</v>
      </c>
      <c r="F514">
        <v>4</v>
      </c>
      <c r="I514" t="s">
        <v>3560</v>
      </c>
      <c r="J514" t="s">
        <v>30</v>
      </c>
      <c r="K514" t="s">
        <v>30</v>
      </c>
      <c r="L514">
        <v>4</v>
      </c>
      <c r="M514">
        <v>2</v>
      </c>
      <c r="N514" t="s">
        <v>1972</v>
      </c>
      <c r="O514" t="s">
        <v>1457</v>
      </c>
      <c r="P514" t="s">
        <v>5002</v>
      </c>
      <c r="Q514" t="s">
        <v>1534</v>
      </c>
      <c r="R514" t="s">
        <v>5526</v>
      </c>
      <c r="S514" t="s">
        <v>5542</v>
      </c>
    </row>
    <row r="515" spans="1:19">
      <c r="A515" t="s">
        <v>6908</v>
      </c>
      <c r="B515" t="s">
        <v>5543</v>
      </c>
      <c r="C515" t="s">
        <v>3968</v>
      </c>
      <c r="D515">
        <v>205</v>
      </c>
      <c r="E515" t="s">
        <v>5544</v>
      </c>
      <c r="F515">
        <v>4</v>
      </c>
      <c r="H515" t="s">
        <v>5201</v>
      </c>
      <c r="I515" t="s">
        <v>3560</v>
      </c>
      <c r="J515" t="s">
        <v>30</v>
      </c>
      <c r="K515" t="s">
        <v>30</v>
      </c>
      <c r="L515">
        <v>4</v>
      </c>
      <c r="M515">
        <v>2</v>
      </c>
      <c r="N515" t="s">
        <v>1972</v>
      </c>
      <c r="O515" t="s">
        <v>1441</v>
      </c>
      <c r="P515" t="s">
        <v>5263</v>
      </c>
      <c r="Q515" t="s">
        <v>1443</v>
      </c>
      <c r="R515" t="s">
        <v>5521</v>
      </c>
      <c r="S515" t="s">
        <v>5545</v>
      </c>
    </row>
    <row r="516" spans="1:19">
      <c r="A516" t="s">
        <v>6909</v>
      </c>
      <c r="B516" t="s">
        <v>5546</v>
      </c>
      <c r="C516" t="s">
        <v>3968</v>
      </c>
      <c r="D516">
        <v>205</v>
      </c>
      <c r="E516" t="s">
        <v>1465</v>
      </c>
      <c r="F516">
        <v>1</v>
      </c>
      <c r="G516">
        <v>1</v>
      </c>
      <c r="I516" t="s">
        <v>3560</v>
      </c>
      <c r="J516" t="s">
        <v>30</v>
      </c>
      <c r="K516" t="s">
        <v>30</v>
      </c>
      <c r="L516">
        <v>4</v>
      </c>
      <c r="M516">
        <v>2</v>
      </c>
      <c r="N516" t="s">
        <v>1972</v>
      </c>
      <c r="O516" t="s">
        <v>1457</v>
      </c>
      <c r="P516" t="s">
        <v>5263</v>
      </c>
      <c r="Q516" t="s">
        <v>1443</v>
      </c>
      <c r="R516" t="s">
        <v>5517</v>
      </c>
      <c r="S516" t="s">
        <v>5547</v>
      </c>
    </row>
    <row r="517" spans="1:19">
      <c r="A517" t="s">
        <v>6910</v>
      </c>
      <c r="B517" t="s">
        <v>5548</v>
      </c>
      <c r="C517" t="s">
        <v>3968</v>
      </c>
      <c r="D517">
        <v>205</v>
      </c>
      <c r="E517" t="s">
        <v>1450</v>
      </c>
      <c r="F517">
        <v>3</v>
      </c>
      <c r="I517" t="s">
        <v>3560</v>
      </c>
      <c r="J517" t="s">
        <v>30</v>
      </c>
      <c r="K517" t="s">
        <v>30</v>
      </c>
      <c r="L517">
        <v>4</v>
      </c>
      <c r="M517">
        <v>2</v>
      </c>
      <c r="N517" t="s">
        <v>1972</v>
      </c>
      <c r="O517" t="s">
        <v>1447</v>
      </c>
      <c r="P517" t="s">
        <v>5425</v>
      </c>
      <c r="Q517" t="s">
        <v>1443</v>
      </c>
      <c r="R517" t="s">
        <v>5549</v>
      </c>
      <c r="S517" t="s">
        <v>5550</v>
      </c>
    </row>
    <row r="518" spans="1:19">
      <c r="A518" t="s">
        <v>6916</v>
      </c>
      <c r="B518" t="s">
        <v>5565</v>
      </c>
      <c r="C518" t="s">
        <v>3968</v>
      </c>
      <c r="D518">
        <v>206</v>
      </c>
      <c r="E518" t="s">
        <v>1476</v>
      </c>
      <c r="F518">
        <v>3</v>
      </c>
      <c r="G518">
        <v>1</v>
      </c>
      <c r="I518" t="s">
        <v>3560</v>
      </c>
      <c r="J518" t="s">
        <v>30</v>
      </c>
      <c r="K518" t="s">
        <v>30</v>
      </c>
      <c r="L518">
        <v>4</v>
      </c>
      <c r="M518">
        <v>3</v>
      </c>
      <c r="N518" t="s">
        <v>1990</v>
      </c>
      <c r="O518" t="s">
        <v>1447</v>
      </c>
      <c r="P518" t="s">
        <v>5263</v>
      </c>
      <c r="Q518" t="s">
        <v>1473</v>
      </c>
      <c r="R518" t="s">
        <v>5546</v>
      </c>
      <c r="S518" t="s">
        <v>5566</v>
      </c>
    </row>
    <row r="519" spans="1:19">
      <c r="A519" t="s">
        <v>6911</v>
      </c>
      <c r="B519" t="s">
        <v>5551</v>
      </c>
      <c r="C519" t="s">
        <v>3968</v>
      </c>
      <c r="D519">
        <v>205</v>
      </c>
      <c r="E519" t="s">
        <v>2039</v>
      </c>
      <c r="F519">
        <v>8</v>
      </c>
      <c r="G519">
        <v>1</v>
      </c>
      <c r="I519" t="s">
        <v>3560</v>
      </c>
      <c r="J519" t="s">
        <v>30</v>
      </c>
      <c r="K519" t="s">
        <v>30</v>
      </c>
      <c r="L519">
        <v>5</v>
      </c>
      <c r="M519">
        <v>3</v>
      </c>
      <c r="N519" t="s">
        <v>1986</v>
      </c>
      <c r="O519" t="s">
        <v>1457</v>
      </c>
      <c r="P519" t="s">
        <v>5147</v>
      </c>
      <c r="Q519" t="s">
        <v>5552</v>
      </c>
      <c r="R519" t="s">
        <v>1444</v>
      </c>
      <c r="S519" t="s">
        <v>5553</v>
      </c>
    </row>
    <row r="520" spans="1:19">
      <c r="A520" t="s">
        <v>6912</v>
      </c>
      <c r="B520" t="s">
        <v>5554</v>
      </c>
      <c r="C520" t="s">
        <v>3968</v>
      </c>
      <c r="D520">
        <v>205</v>
      </c>
      <c r="E520" t="s">
        <v>1467</v>
      </c>
      <c r="F520">
        <v>5</v>
      </c>
      <c r="G520">
        <v>1</v>
      </c>
      <c r="I520" t="s">
        <v>3560</v>
      </c>
      <c r="J520" t="s">
        <v>30</v>
      </c>
      <c r="K520" t="s">
        <v>30</v>
      </c>
      <c r="L520">
        <v>5</v>
      </c>
      <c r="M520">
        <v>3</v>
      </c>
      <c r="N520" t="s">
        <v>1986</v>
      </c>
      <c r="O520" t="s">
        <v>1457</v>
      </c>
      <c r="P520" t="s">
        <v>5555</v>
      </c>
      <c r="Q520" t="s">
        <v>1443</v>
      </c>
      <c r="R520" t="s">
        <v>1444</v>
      </c>
      <c r="S520" t="s">
        <v>5556</v>
      </c>
    </row>
    <row r="521" spans="1:19">
      <c r="A521" t="s">
        <v>6913</v>
      </c>
      <c r="B521" t="s">
        <v>5557</v>
      </c>
      <c r="C521" t="s">
        <v>3968</v>
      </c>
      <c r="D521">
        <v>206</v>
      </c>
      <c r="E521" t="s">
        <v>1467</v>
      </c>
      <c r="F521">
        <v>5</v>
      </c>
      <c r="G521">
        <v>1</v>
      </c>
      <c r="I521" t="s">
        <v>3560</v>
      </c>
      <c r="J521" t="s">
        <v>30</v>
      </c>
      <c r="K521" t="s">
        <v>30</v>
      </c>
      <c r="L521">
        <v>5</v>
      </c>
      <c r="M521">
        <v>3</v>
      </c>
      <c r="N521" t="s">
        <v>1986</v>
      </c>
      <c r="O521" t="s">
        <v>1457</v>
      </c>
      <c r="P521" t="s">
        <v>5290</v>
      </c>
      <c r="Q521" t="s">
        <v>1443</v>
      </c>
      <c r="R521" t="s">
        <v>1444</v>
      </c>
      <c r="S521" t="s">
        <v>5558</v>
      </c>
    </row>
    <row r="522" spans="1:19">
      <c r="A522" t="s">
        <v>6914</v>
      </c>
      <c r="B522" t="s">
        <v>5559</v>
      </c>
      <c r="C522" t="s">
        <v>3968</v>
      </c>
      <c r="D522">
        <v>206</v>
      </c>
      <c r="E522" t="s">
        <v>2090</v>
      </c>
      <c r="F522">
        <v>15</v>
      </c>
      <c r="G522">
        <v>1</v>
      </c>
      <c r="I522" t="s">
        <v>3560</v>
      </c>
      <c r="J522" t="s">
        <v>30</v>
      </c>
      <c r="K522" t="s">
        <v>30</v>
      </c>
      <c r="L522">
        <v>5</v>
      </c>
      <c r="M522">
        <v>3</v>
      </c>
      <c r="N522" t="s">
        <v>1986</v>
      </c>
      <c r="O522" t="s">
        <v>1457</v>
      </c>
      <c r="P522" t="s">
        <v>5560</v>
      </c>
      <c r="Q522" t="s">
        <v>5062</v>
      </c>
      <c r="R522" t="s">
        <v>5561</v>
      </c>
      <c r="S522" t="s">
        <v>5562</v>
      </c>
    </row>
    <row r="523" spans="1:19">
      <c r="A523" t="s">
        <v>6915</v>
      </c>
      <c r="B523" t="s">
        <v>5563</v>
      </c>
      <c r="C523" t="s">
        <v>3968</v>
      </c>
      <c r="D523">
        <v>206</v>
      </c>
      <c r="E523" t="s">
        <v>1467</v>
      </c>
      <c r="F523">
        <v>5</v>
      </c>
      <c r="G523">
        <v>1</v>
      </c>
      <c r="I523" t="s">
        <v>3560</v>
      </c>
      <c r="J523" t="s">
        <v>30</v>
      </c>
      <c r="K523" t="s">
        <v>30</v>
      </c>
      <c r="L523">
        <v>5</v>
      </c>
      <c r="M523">
        <v>3</v>
      </c>
      <c r="N523" t="s">
        <v>1986</v>
      </c>
      <c r="O523" t="s">
        <v>1457</v>
      </c>
      <c r="P523" t="s">
        <v>5115</v>
      </c>
      <c r="Q523" t="s">
        <v>1804</v>
      </c>
      <c r="R523" t="s">
        <v>1444</v>
      </c>
      <c r="S523" t="s">
        <v>5564</v>
      </c>
    </row>
    <row r="524" spans="1:19">
      <c r="A524" t="s">
        <v>6917</v>
      </c>
      <c r="B524" t="s">
        <v>5567</v>
      </c>
      <c r="C524" t="s">
        <v>3968</v>
      </c>
      <c r="D524">
        <v>207</v>
      </c>
      <c r="E524" t="s">
        <v>1465</v>
      </c>
      <c r="F524">
        <v>1</v>
      </c>
      <c r="G524">
        <v>1</v>
      </c>
      <c r="I524" t="s">
        <v>3560</v>
      </c>
      <c r="J524" t="s">
        <v>30</v>
      </c>
      <c r="K524" t="s">
        <v>30</v>
      </c>
      <c r="L524">
        <v>5</v>
      </c>
      <c r="M524">
        <v>3</v>
      </c>
      <c r="N524" t="s">
        <v>1986</v>
      </c>
      <c r="O524" t="s">
        <v>1447</v>
      </c>
      <c r="P524" t="s">
        <v>5075</v>
      </c>
      <c r="Q524" t="s">
        <v>1443</v>
      </c>
      <c r="R524" t="s">
        <v>5548</v>
      </c>
      <c r="S524" t="s">
        <v>5568</v>
      </c>
    </row>
    <row r="525" spans="1:19">
      <c r="A525" t="s">
        <v>6918</v>
      </c>
      <c r="B525" t="s">
        <v>5569</v>
      </c>
      <c r="C525" t="s">
        <v>3968</v>
      </c>
      <c r="D525">
        <v>207</v>
      </c>
      <c r="E525" t="s">
        <v>1476</v>
      </c>
      <c r="F525">
        <v>3</v>
      </c>
      <c r="G525">
        <v>1</v>
      </c>
      <c r="I525" t="s">
        <v>3560</v>
      </c>
      <c r="J525" t="s">
        <v>30</v>
      </c>
      <c r="K525" t="s">
        <v>30</v>
      </c>
      <c r="L525">
        <v>5</v>
      </c>
      <c r="M525">
        <v>3</v>
      </c>
      <c r="N525" t="s">
        <v>1986</v>
      </c>
      <c r="O525" t="s">
        <v>1457</v>
      </c>
      <c r="P525" t="s">
        <v>5263</v>
      </c>
      <c r="Q525" t="s">
        <v>1443</v>
      </c>
      <c r="R525" t="s">
        <v>5543</v>
      </c>
      <c r="S525" t="s">
        <v>5570</v>
      </c>
    </row>
    <row r="526" spans="1:19">
      <c r="A526" t="s">
        <v>6919</v>
      </c>
      <c r="B526" t="s">
        <v>5571</v>
      </c>
      <c r="C526" t="s">
        <v>3968</v>
      </c>
      <c r="D526">
        <v>207</v>
      </c>
      <c r="E526" t="s">
        <v>1476</v>
      </c>
      <c r="F526">
        <v>3</v>
      </c>
      <c r="G526">
        <v>1</v>
      </c>
      <c r="I526" t="s">
        <v>3560</v>
      </c>
      <c r="J526" t="s">
        <v>30</v>
      </c>
      <c r="K526" t="s">
        <v>30</v>
      </c>
      <c r="L526">
        <v>5</v>
      </c>
      <c r="M526">
        <v>3</v>
      </c>
      <c r="N526" t="s">
        <v>1986</v>
      </c>
      <c r="O526" t="s">
        <v>1457</v>
      </c>
      <c r="P526" t="s">
        <v>5507</v>
      </c>
      <c r="Q526" t="s">
        <v>1443</v>
      </c>
      <c r="R526" t="s">
        <v>5535</v>
      </c>
      <c r="S526" t="s">
        <v>5572</v>
      </c>
    </row>
    <row r="527" spans="1:19">
      <c r="A527" t="s">
        <v>6920</v>
      </c>
      <c r="B527" t="s">
        <v>5573</v>
      </c>
      <c r="C527" t="s">
        <v>3968</v>
      </c>
      <c r="D527">
        <v>207</v>
      </c>
      <c r="E527" t="s">
        <v>1599</v>
      </c>
      <c r="F527">
        <v>10</v>
      </c>
      <c r="G527">
        <v>1</v>
      </c>
      <c r="I527" t="s">
        <v>3560</v>
      </c>
      <c r="J527" t="s">
        <v>30</v>
      </c>
      <c r="K527" t="s">
        <v>30</v>
      </c>
      <c r="L527">
        <v>5</v>
      </c>
      <c r="M527">
        <v>4</v>
      </c>
      <c r="N527" t="s">
        <v>1999</v>
      </c>
      <c r="O527" t="s">
        <v>1457</v>
      </c>
      <c r="P527" t="s">
        <v>5574</v>
      </c>
      <c r="Q527" t="s">
        <v>1443</v>
      </c>
      <c r="R527" t="s">
        <v>5575</v>
      </c>
      <c r="S527" t="s">
        <v>5576</v>
      </c>
    </row>
    <row r="528" spans="1:19">
      <c r="A528" t="s">
        <v>6921</v>
      </c>
      <c r="B528" t="s">
        <v>5577</v>
      </c>
      <c r="C528" t="s">
        <v>3968</v>
      </c>
      <c r="D528">
        <v>208</v>
      </c>
      <c r="E528" t="s">
        <v>1924</v>
      </c>
      <c r="F528">
        <v>2</v>
      </c>
      <c r="G528">
        <v>1</v>
      </c>
      <c r="I528" t="s">
        <v>3560</v>
      </c>
      <c r="J528" t="s">
        <v>30</v>
      </c>
      <c r="K528" t="s">
        <v>30</v>
      </c>
      <c r="L528">
        <v>5</v>
      </c>
      <c r="M528">
        <v>4</v>
      </c>
      <c r="N528" t="s">
        <v>1999</v>
      </c>
      <c r="O528" t="s">
        <v>1457</v>
      </c>
      <c r="P528" t="s">
        <v>5263</v>
      </c>
      <c r="Q528" t="s">
        <v>2850</v>
      </c>
      <c r="R528" t="s">
        <v>5571</v>
      </c>
      <c r="S528" t="s">
        <v>5578</v>
      </c>
    </row>
    <row r="529" spans="1:19">
      <c r="A529" t="s">
        <v>6922</v>
      </c>
      <c r="B529" t="s">
        <v>5579</v>
      </c>
      <c r="C529" t="s">
        <v>3968</v>
      </c>
      <c r="D529">
        <v>208</v>
      </c>
      <c r="E529" t="s">
        <v>1599</v>
      </c>
      <c r="F529">
        <v>10</v>
      </c>
      <c r="G529">
        <v>1</v>
      </c>
      <c r="I529" t="s">
        <v>3560</v>
      </c>
      <c r="J529" t="s">
        <v>30</v>
      </c>
      <c r="K529" t="s">
        <v>30</v>
      </c>
      <c r="L529">
        <v>5</v>
      </c>
      <c r="M529">
        <v>5</v>
      </c>
      <c r="N529" t="s">
        <v>2002</v>
      </c>
      <c r="O529" t="s">
        <v>1447</v>
      </c>
      <c r="P529" t="s">
        <v>5263</v>
      </c>
      <c r="Q529" t="s">
        <v>1443</v>
      </c>
      <c r="R529" t="s">
        <v>5580</v>
      </c>
      <c r="S529" t="s">
        <v>5581</v>
      </c>
    </row>
    <row r="530" spans="1:19">
      <c r="A530" t="s">
        <v>6923</v>
      </c>
      <c r="B530" t="s">
        <v>5582</v>
      </c>
      <c r="C530" t="s">
        <v>3968</v>
      </c>
      <c r="D530">
        <v>208</v>
      </c>
      <c r="E530" t="s">
        <v>1715</v>
      </c>
      <c r="F530">
        <v>13</v>
      </c>
      <c r="G530">
        <v>1</v>
      </c>
      <c r="I530" t="s">
        <v>3560</v>
      </c>
      <c r="J530" t="s">
        <v>30</v>
      </c>
      <c r="K530" t="s">
        <v>30</v>
      </c>
      <c r="L530">
        <v>5</v>
      </c>
      <c r="M530">
        <v>5</v>
      </c>
      <c r="N530" t="s">
        <v>2002</v>
      </c>
      <c r="O530" t="s">
        <v>1447</v>
      </c>
      <c r="P530" t="s">
        <v>5305</v>
      </c>
      <c r="Q530" t="s">
        <v>1443</v>
      </c>
      <c r="R530" t="s">
        <v>5573</v>
      </c>
      <c r="S530" t="s">
        <v>5583</v>
      </c>
    </row>
    <row r="531" spans="1:19">
      <c r="A531" t="s">
        <v>4328</v>
      </c>
      <c r="B531" t="s">
        <v>684</v>
      </c>
      <c r="C531" t="s">
        <v>3607</v>
      </c>
      <c r="D531" t="s">
        <v>718</v>
      </c>
      <c r="E531" t="s">
        <v>1450</v>
      </c>
      <c r="F531">
        <v>3</v>
      </c>
      <c r="I531" t="s">
        <v>3238</v>
      </c>
      <c r="J531" t="s">
        <v>31</v>
      </c>
      <c r="K531" t="s">
        <v>31</v>
      </c>
      <c r="L531">
        <v>1</v>
      </c>
      <c r="M531">
        <v>1</v>
      </c>
      <c r="N531" t="s">
        <v>2005</v>
      </c>
      <c r="O531" t="s">
        <v>1447</v>
      </c>
      <c r="P531" t="s">
        <v>2006</v>
      </c>
      <c r="Q531" t="s">
        <v>1443</v>
      </c>
      <c r="R531" t="s">
        <v>1444</v>
      </c>
      <c r="S531" t="s">
        <v>2007</v>
      </c>
    </row>
    <row r="532" spans="1:19">
      <c r="A532" t="s">
        <v>4329</v>
      </c>
      <c r="B532" t="s">
        <v>682</v>
      </c>
      <c r="C532" t="s">
        <v>3607</v>
      </c>
      <c r="D532" t="s">
        <v>683</v>
      </c>
      <c r="E532" t="s">
        <v>1439</v>
      </c>
      <c r="F532">
        <v>1</v>
      </c>
      <c r="I532" t="s">
        <v>3238</v>
      </c>
      <c r="J532" t="s">
        <v>31</v>
      </c>
      <c r="K532" t="s">
        <v>31</v>
      </c>
      <c r="L532">
        <v>3</v>
      </c>
      <c r="M532">
        <v>1</v>
      </c>
      <c r="N532" t="s">
        <v>2008</v>
      </c>
      <c r="O532" t="s">
        <v>1441</v>
      </c>
      <c r="P532" t="s">
        <v>2009</v>
      </c>
      <c r="Q532" t="s">
        <v>1443</v>
      </c>
      <c r="R532" t="s">
        <v>684</v>
      </c>
      <c r="S532" t="s">
        <v>2010</v>
      </c>
    </row>
    <row r="533" spans="1:19">
      <c r="A533" t="s">
        <v>4330</v>
      </c>
      <c r="B533" t="s">
        <v>688</v>
      </c>
      <c r="C533" t="s">
        <v>3607</v>
      </c>
      <c r="D533" t="s">
        <v>689</v>
      </c>
      <c r="E533" t="s">
        <v>1554</v>
      </c>
      <c r="F533">
        <v>4</v>
      </c>
      <c r="I533" t="s">
        <v>3238</v>
      </c>
      <c r="J533" t="s">
        <v>31</v>
      </c>
      <c r="K533" t="s">
        <v>31</v>
      </c>
      <c r="L533">
        <v>3</v>
      </c>
      <c r="M533">
        <v>1</v>
      </c>
      <c r="N533" t="s">
        <v>2008</v>
      </c>
      <c r="O533" t="s">
        <v>1457</v>
      </c>
      <c r="P533" t="s">
        <v>2006</v>
      </c>
      <c r="Q533" t="s">
        <v>1443</v>
      </c>
      <c r="R533" t="s">
        <v>1444</v>
      </c>
      <c r="S533" t="s">
        <v>2011</v>
      </c>
    </row>
    <row r="534" spans="1:19">
      <c r="A534" t="s">
        <v>4331</v>
      </c>
      <c r="B534" t="s">
        <v>709</v>
      </c>
      <c r="C534" t="s">
        <v>3607</v>
      </c>
      <c r="D534" t="s">
        <v>686</v>
      </c>
      <c r="E534" t="s">
        <v>1450</v>
      </c>
      <c r="F534">
        <v>3</v>
      </c>
      <c r="I534" t="s">
        <v>3238</v>
      </c>
      <c r="J534" t="s">
        <v>31</v>
      </c>
      <c r="K534" t="s">
        <v>31</v>
      </c>
      <c r="L534">
        <v>3</v>
      </c>
      <c r="M534">
        <v>1</v>
      </c>
      <c r="N534" t="s">
        <v>2008</v>
      </c>
      <c r="O534" t="s">
        <v>1457</v>
      </c>
      <c r="P534" t="s">
        <v>1523</v>
      </c>
      <c r="Q534" t="s">
        <v>2012</v>
      </c>
      <c r="R534" t="s">
        <v>1444</v>
      </c>
      <c r="S534" t="s">
        <v>2013</v>
      </c>
    </row>
    <row r="535" spans="1:19">
      <c r="A535" t="s">
        <v>4332</v>
      </c>
      <c r="B535" t="s">
        <v>685</v>
      </c>
      <c r="C535" t="s">
        <v>3607</v>
      </c>
      <c r="D535" t="s">
        <v>686</v>
      </c>
      <c r="E535" t="s">
        <v>1460</v>
      </c>
      <c r="F535">
        <v>2</v>
      </c>
      <c r="I535" t="s">
        <v>3238</v>
      </c>
      <c r="J535" t="s">
        <v>31</v>
      </c>
      <c r="K535" t="s">
        <v>31</v>
      </c>
      <c r="L535">
        <v>3</v>
      </c>
      <c r="M535">
        <v>1</v>
      </c>
      <c r="N535" t="s">
        <v>2008</v>
      </c>
      <c r="O535" t="s">
        <v>1441</v>
      </c>
      <c r="P535" t="s">
        <v>2006</v>
      </c>
      <c r="Q535" t="s">
        <v>1443</v>
      </c>
      <c r="R535" t="s">
        <v>1444</v>
      </c>
      <c r="S535" t="s">
        <v>2014</v>
      </c>
    </row>
    <row r="536" spans="1:19">
      <c r="A536" t="s">
        <v>4333</v>
      </c>
      <c r="B536" t="s">
        <v>701</v>
      </c>
      <c r="C536" t="s">
        <v>3607</v>
      </c>
      <c r="D536" t="s">
        <v>708</v>
      </c>
      <c r="E536" t="s">
        <v>1439</v>
      </c>
      <c r="F536">
        <v>1</v>
      </c>
      <c r="I536" t="s">
        <v>3238</v>
      </c>
      <c r="J536" t="s">
        <v>31</v>
      </c>
      <c r="K536" t="s">
        <v>31</v>
      </c>
      <c r="L536">
        <v>3</v>
      </c>
      <c r="M536">
        <v>1</v>
      </c>
      <c r="N536" t="s">
        <v>2008</v>
      </c>
      <c r="O536" t="s">
        <v>1447</v>
      </c>
      <c r="P536" t="s">
        <v>1444</v>
      </c>
      <c r="Q536" t="s">
        <v>1443</v>
      </c>
      <c r="R536" t="s">
        <v>1444</v>
      </c>
      <c r="S536" t="s">
        <v>2015</v>
      </c>
    </row>
    <row r="537" spans="1:19">
      <c r="A537" t="s">
        <v>4334</v>
      </c>
      <c r="B537" t="s">
        <v>700</v>
      </c>
      <c r="C537" t="s">
        <v>3607</v>
      </c>
      <c r="D537">
        <v>324</v>
      </c>
      <c r="E537" t="s">
        <v>1439</v>
      </c>
      <c r="F537">
        <v>1</v>
      </c>
      <c r="I537" t="s">
        <v>3238</v>
      </c>
      <c r="J537" t="s">
        <v>31</v>
      </c>
      <c r="K537" t="s">
        <v>31</v>
      </c>
      <c r="L537">
        <v>4</v>
      </c>
      <c r="M537">
        <v>1</v>
      </c>
      <c r="N537" t="s">
        <v>2016</v>
      </c>
      <c r="O537" t="s">
        <v>1441</v>
      </c>
      <c r="P537" t="s">
        <v>1444</v>
      </c>
      <c r="Q537" t="s">
        <v>1443</v>
      </c>
      <c r="R537" t="s">
        <v>701</v>
      </c>
      <c r="S537" t="s">
        <v>2017</v>
      </c>
    </row>
    <row r="538" spans="1:19">
      <c r="A538" t="s">
        <v>4336</v>
      </c>
      <c r="B538" t="s">
        <v>703</v>
      </c>
      <c r="C538" t="s">
        <v>3607</v>
      </c>
      <c r="D538" t="s">
        <v>704</v>
      </c>
      <c r="E538" t="s">
        <v>1456</v>
      </c>
      <c r="F538">
        <v>4</v>
      </c>
      <c r="G538">
        <v>1</v>
      </c>
      <c r="I538" t="s">
        <v>3238</v>
      </c>
      <c r="J538" t="s">
        <v>31</v>
      </c>
      <c r="K538" t="s">
        <v>31</v>
      </c>
      <c r="L538">
        <v>4</v>
      </c>
      <c r="M538">
        <v>1</v>
      </c>
      <c r="N538" t="s">
        <v>2016</v>
      </c>
      <c r="O538" t="s">
        <v>1447</v>
      </c>
      <c r="P538" t="s">
        <v>1444</v>
      </c>
      <c r="Q538" t="s">
        <v>1443</v>
      </c>
      <c r="R538" t="s">
        <v>1444</v>
      </c>
      <c r="S538" t="s">
        <v>2021</v>
      </c>
    </row>
    <row r="539" spans="1:19">
      <c r="A539" t="s">
        <v>4338</v>
      </c>
      <c r="B539" t="s">
        <v>707</v>
      </c>
      <c r="C539" t="s">
        <v>3607</v>
      </c>
      <c r="D539" t="s">
        <v>683</v>
      </c>
      <c r="E539" t="s">
        <v>1450</v>
      </c>
      <c r="F539">
        <v>3</v>
      </c>
      <c r="I539" t="s">
        <v>3238</v>
      </c>
      <c r="J539" t="s">
        <v>31</v>
      </c>
      <c r="K539" t="s">
        <v>31</v>
      </c>
      <c r="L539">
        <v>4</v>
      </c>
      <c r="M539">
        <v>2</v>
      </c>
      <c r="N539" t="s">
        <v>2023</v>
      </c>
      <c r="O539" t="s">
        <v>1457</v>
      </c>
      <c r="P539" t="s">
        <v>2009</v>
      </c>
      <c r="Q539" t="s">
        <v>1443</v>
      </c>
      <c r="R539" t="s">
        <v>682</v>
      </c>
      <c r="S539" t="s">
        <v>2024</v>
      </c>
    </row>
    <row r="540" spans="1:19">
      <c r="A540" t="s">
        <v>4340</v>
      </c>
      <c r="B540" t="s">
        <v>678</v>
      </c>
      <c r="C540" t="s">
        <v>3607</v>
      </c>
      <c r="D540" t="s">
        <v>679</v>
      </c>
      <c r="E540" t="s">
        <v>1439</v>
      </c>
      <c r="F540">
        <v>1</v>
      </c>
      <c r="I540" t="s">
        <v>3238</v>
      </c>
      <c r="J540" t="s">
        <v>31</v>
      </c>
      <c r="K540" t="s">
        <v>31</v>
      </c>
      <c r="L540">
        <v>4</v>
      </c>
      <c r="M540">
        <v>2</v>
      </c>
      <c r="N540" t="s">
        <v>2023</v>
      </c>
      <c r="O540" t="s">
        <v>1441</v>
      </c>
      <c r="P540" t="s">
        <v>2027</v>
      </c>
      <c r="Q540" t="s">
        <v>1443</v>
      </c>
      <c r="R540" t="s">
        <v>688</v>
      </c>
      <c r="S540" t="s">
        <v>2028</v>
      </c>
    </row>
    <row r="541" spans="1:19">
      <c r="A541" t="s">
        <v>4335</v>
      </c>
      <c r="B541" t="s">
        <v>694</v>
      </c>
      <c r="C541" t="s">
        <v>3607</v>
      </c>
      <c r="D541" t="s">
        <v>695</v>
      </c>
      <c r="E541" t="s">
        <v>2018</v>
      </c>
      <c r="F541">
        <v>4</v>
      </c>
      <c r="G541">
        <v>1</v>
      </c>
      <c r="H541" t="s">
        <v>3691</v>
      </c>
      <c r="I541" t="s">
        <v>3238</v>
      </c>
      <c r="J541" t="s">
        <v>31</v>
      </c>
      <c r="K541" t="s">
        <v>31</v>
      </c>
      <c r="L541">
        <v>5</v>
      </c>
      <c r="M541">
        <v>1</v>
      </c>
      <c r="N541" t="s">
        <v>2019</v>
      </c>
      <c r="O541" t="s">
        <v>1447</v>
      </c>
      <c r="P541" t="s">
        <v>1444</v>
      </c>
      <c r="Q541" t="s">
        <v>1473</v>
      </c>
      <c r="R541" t="s">
        <v>1444</v>
      </c>
      <c r="S541" t="s">
        <v>2020</v>
      </c>
    </row>
    <row r="542" spans="1:19">
      <c r="A542" t="s">
        <v>4337</v>
      </c>
      <c r="B542" t="s">
        <v>719</v>
      </c>
      <c r="C542" t="s">
        <v>3607</v>
      </c>
      <c r="D542" t="s">
        <v>704</v>
      </c>
      <c r="E542" t="s">
        <v>1460</v>
      </c>
      <c r="F542">
        <v>2</v>
      </c>
      <c r="I542" t="s">
        <v>3238</v>
      </c>
      <c r="J542" t="s">
        <v>31</v>
      </c>
      <c r="K542" t="s">
        <v>31</v>
      </c>
      <c r="L542">
        <v>5</v>
      </c>
      <c r="M542">
        <v>1</v>
      </c>
      <c r="N542" t="s">
        <v>2019</v>
      </c>
      <c r="O542" t="s">
        <v>1447</v>
      </c>
      <c r="P542" t="s">
        <v>1444</v>
      </c>
      <c r="Q542" t="s">
        <v>1443</v>
      </c>
      <c r="R542" t="s">
        <v>703</v>
      </c>
      <c r="S542" t="s">
        <v>2022</v>
      </c>
    </row>
    <row r="543" spans="1:19">
      <c r="A543" t="s">
        <v>4339</v>
      </c>
      <c r="B543" t="s">
        <v>696</v>
      </c>
      <c r="C543" t="s">
        <v>3607</v>
      </c>
      <c r="D543">
        <v>325</v>
      </c>
      <c r="E543" t="s">
        <v>1554</v>
      </c>
      <c r="F543">
        <v>4</v>
      </c>
      <c r="I543" t="s">
        <v>3238</v>
      </c>
      <c r="J543" t="s">
        <v>31</v>
      </c>
      <c r="K543" t="s">
        <v>31</v>
      </c>
      <c r="L543">
        <v>5</v>
      </c>
      <c r="M543">
        <v>2</v>
      </c>
      <c r="N543" t="s">
        <v>2025</v>
      </c>
      <c r="O543" t="s">
        <v>1457</v>
      </c>
      <c r="P543" t="s">
        <v>2006</v>
      </c>
      <c r="Q543" t="s">
        <v>1443</v>
      </c>
      <c r="R543" t="s">
        <v>707</v>
      </c>
      <c r="S543" t="s">
        <v>2026</v>
      </c>
    </row>
    <row r="544" spans="1:19">
      <c r="A544" t="s">
        <v>4341</v>
      </c>
      <c r="B544" t="s">
        <v>716</v>
      </c>
      <c r="C544" t="s">
        <v>3607</v>
      </c>
      <c r="D544" t="s">
        <v>717</v>
      </c>
      <c r="E544" t="s">
        <v>1924</v>
      </c>
      <c r="F544">
        <v>2</v>
      </c>
      <c r="G544">
        <v>1</v>
      </c>
      <c r="I544" t="s">
        <v>3238</v>
      </c>
      <c r="J544" t="s">
        <v>31</v>
      </c>
      <c r="K544" t="s">
        <v>31</v>
      </c>
      <c r="L544">
        <v>5</v>
      </c>
      <c r="M544">
        <v>2</v>
      </c>
      <c r="N544" t="s">
        <v>2025</v>
      </c>
      <c r="O544" t="s">
        <v>1441</v>
      </c>
      <c r="P544" t="s">
        <v>2027</v>
      </c>
      <c r="Q544" t="s">
        <v>1443</v>
      </c>
      <c r="R544" t="s">
        <v>678</v>
      </c>
      <c r="S544" t="s">
        <v>2029</v>
      </c>
    </row>
    <row r="545" spans="1:19">
      <c r="A545" t="s">
        <v>4342</v>
      </c>
      <c r="B545" t="s">
        <v>705</v>
      </c>
      <c r="C545" t="s">
        <v>3607</v>
      </c>
      <c r="D545" t="s">
        <v>706</v>
      </c>
      <c r="E545" t="s">
        <v>1467</v>
      </c>
      <c r="F545">
        <v>5</v>
      </c>
      <c r="G545">
        <v>1</v>
      </c>
      <c r="I545" t="s">
        <v>3238</v>
      </c>
      <c r="J545" t="s">
        <v>31</v>
      </c>
      <c r="K545" t="s">
        <v>31</v>
      </c>
      <c r="L545">
        <v>5</v>
      </c>
      <c r="M545">
        <v>2</v>
      </c>
      <c r="N545" t="s">
        <v>2025</v>
      </c>
      <c r="O545" t="s">
        <v>1447</v>
      </c>
      <c r="P545" t="s">
        <v>1444</v>
      </c>
      <c r="Q545" t="s">
        <v>1473</v>
      </c>
      <c r="R545" t="s">
        <v>694</v>
      </c>
      <c r="S545" t="s">
        <v>2030</v>
      </c>
    </row>
    <row r="546" spans="1:19">
      <c r="A546" t="s">
        <v>4343</v>
      </c>
      <c r="B546" t="s">
        <v>715</v>
      </c>
      <c r="C546" t="s">
        <v>3607</v>
      </c>
      <c r="D546">
        <v>326</v>
      </c>
      <c r="E546" t="s">
        <v>1439</v>
      </c>
      <c r="F546">
        <v>1</v>
      </c>
      <c r="I546" t="s">
        <v>3238</v>
      </c>
      <c r="J546" t="s">
        <v>31</v>
      </c>
      <c r="K546" t="s">
        <v>31</v>
      </c>
      <c r="L546">
        <v>5</v>
      </c>
      <c r="M546">
        <v>2</v>
      </c>
      <c r="N546" t="s">
        <v>2025</v>
      </c>
      <c r="O546" t="s">
        <v>1447</v>
      </c>
      <c r="P546" t="s">
        <v>1444</v>
      </c>
      <c r="Q546" t="s">
        <v>1443</v>
      </c>
      <c r="R546" t="s">
        <v>719</v>
      </c>
      <c r="S546" t="s">
        <v>2031</v>
      </c>
    </row>
    <row r="547" spans="1:19">
      <c r="A547" t="s">
        <v>4344</v>
      </c>
      <c r="B547" t="s">
        <v>2032</v>
      </c>
      <c r="C547" t="s">
        <v>3607</v>
      </c>
      <c r="D547" t="s">
        <v>677</v>
      </c>
      <c r="E547" t="s">
        <v>1465</v>
      </c>
      <c r="F547">
        <v>1</v>
      </c>
      <c r="G547">
        <v>1</v>
      </c>
      <c r="I547" t="s">
        <v>3238</v>
      </c>
      <c r="J547" t="s">
        <v>31</v>
      </c>
      <c r="K547" t="s">
        <v>31</v>
      </c>
      <c r="L547">
        <v>5</v>
      </c>
      <c r="M547">
        <v>2</v>
      </c>
      <c r="N547" t="s">
        <v>2025</v>
      </c>
      <c r="O547" t="s">
        <v>1447</v>
      </c>
      <c r="P547" t="s">
        <v>1444</v>
      </c>
      <c r="Q547" t="s">
        <v>1473</v>
      </c>
      <c r="R547" t="s">
        <v>703</v>
      </c>
      <c r="S547" t="s">
        <v>2033</v>
      </c>
    </row>
    <row r="548" spans="1:19">
      <c r="A548" t="s">
        <v>4345</v>
      </c>
      <c r="B548" t="s">
        <v>702</v>
      </c>
      <c r="C548" t="s">
        <v>3607</v>
      </c>
      <c r="D548">
        <v>326</v>
      </c>
      <c r="E548" t="s">
        <v>2034</v>
      </c>
      <c r="F548" t="s">
        <v>2034</v>
      </c>
      <c r="I548" t="s">
        <v>3238</v>
      </c>
      <c r="J548" t="s">
        <v>31</v>
      </c>
      <c r="K548" t="s">
        <v>31</v>
      </c>
      <c r="L548">
        <v>5</v>
      </c>
      <c r="M548">
        <v>3</v>
      </c>
      <c r="N548" t="s">
        <v>2035</v>
      </c>
      <c r="O548" t="s">
        <v>1513</v>
      </c>
      <c r="P548" t="s">
        <v>2009</v>
      </c>
      <c r="Q548" t="s">
        <v>1443</v>
      </c>
      <c r="R548" t="s">
        <v>707</v>
      </c>
      <c r="S548" t="s">
        <v>2036</v>
      </c>
    </row>
    <row r="549" spans="1:19">
      <c r="A549" t="s">
        <v>4346</v>
      </c>
      <c r="B549" t="s">
        <v>680</v>
      </c>
      <c r="C549" t="s">
        <v>3607</v>
      </c>
      <c r="D549" t="s">
        <v>681</v>
      </c>
      <c r="E549" t="s">
        <v>1439</v>
      </c>
      <c r="F549">
        <v>1</v>
      </c>
      <c r="I549" t="s">
        <v>3238</v>
      </c>
      <c r="J549" t="s">
        <v>31</v>
      </c>
      <c r="K549" t="s">
        <v>31</v>
      </c>
      <c r="L549">
        <v>5</v>
      </c>
      <c r="M549">
        <v>3</v>
      </c>
      <c r="N549" t="s">
        <v>2035</v>
      </c>
      <c r="O549" t="s">
        <v>1447</v>
      </c>
      <c r="P549" t="s">
        <v>2009</v>
      </c>
      <c r="Q549" t="s">
        <v>2037</v>
      </c>
      <c r="R549" t="s">
        <v>702</v>
      </c>
      <c r="S549" t="s">
        <v>2038</v>
      </c>
    </row>
    <row r="550" spans="1:19">
      <c r="A550" t="s">
        <v>4347</v>
      </c>
      <c r="B550" t="s">
        <v>692</v>
      </c>
      <c r="C550" t="s">
        <v>3607</v>
      </c>
      <c r="D550" t="s">
        <v>693</v>
      </c>
      <c r="E550" t="s">
        <v>2039</v>
      </c>
      <c r="F550">
        <v>8</v>
      </c>
      <c r="G550">
        <v>1</v>
      </c>
      <c r="I550" t="s">
        <v>3238</v>
      </c>
      <c r="J550" t="s">
        <v>31</v>
      </c>
      <c r="K550" t="s">
        <v>31</v>
      </c>
      <c r="L550">
        <v>5</v>
      </c>
      <c r="M550">
        <v>3</v>
      </c>
      <c r="N550" t="s">
        <v>2035</v>
      </c>
      <c r="O550" t="s">
        <v>1441</v>
      </c>
      <c r="P550" t="s">
        <v>2040</v>
      </c>
      <c r="Q550" t="s">
        <v>1547</v>
      </c>
      <c r="R550" t="s">
        <v>678</v>
      </c>
      <c r="S550" t="s">
        <v>2041</v>
      </c>
    </row>
    <row r="551" spans="1:19">
      <c r="A551" t="s">
        <v>4348</v>
      </c>
      <c r="B551" t="s">
        <v>675</v>
      </c>
      <c r="C551" t="s">
        <v>3607</v>
      </c>
      <c r="D551" t="s">
        <v>676</v>
      </c>
      <c r="E551" t="s">
        <v>1439</v>
      </c>
      <c r="F551">
        <v>1</v>
      </c>
      <c r="I551" t="s">
        <v>3238</v>
      </c>
      <c r="J551" t="s">
        <v>31</v>
      </c>
      <c r="K551" t="s">
        <v>31</v>
      </c>
      <c r="L551">
        <v>5</v>
      </c>
      <c r="M551">
        <v>3</v>
      </c>
      <c r="N551" t="s">
        <v>2035</v>
      </c>
      <c r="O551" t="s">
        <v>1457</v>
      </c>
      <c r="P551" t="s">
        <v>2009</v>
      </c>
      <c r="Q551" t="s">
        <v>1443</v>
      </c>
      <c r="R551" t="s">
        <v>2042</v>
      </c>
      <c r="S551" t="s">
        <v>2043</v>
      </c>
    </row>
    <row r="552" spans="1:19">
      <c r="A552" t="s">
        <v>4349</v>
      </c>
      <c r="B552" t="s">
        <v>711</v>
      </c>
      <c r="C552" t="s">
        <v>3607</v>
      </c>
      <c r="D552" t="s">
        <v>712</v>
      </c>
      <c r="E552" t="s">
        <v>1465</v>
      </c>
      <c r="F552">
        <v>1</v>
      </c>
      <c r="G552">
        <v>1</v>
      </c>
      <c r="I552" t="s">
        <v>3238</v>
      </c>
      <c r="J552" t="s">
        <v>31</v>
      </c>
      <c r="K552" t="s">
        <v>31</v>
      </c>
      <c r="L552">
        <v>5</v>
      </c>
      <c r="M552">
        <v>3</v>
      </c>
      <c r="N552" t="s">
        <v>2035</v>
      </c>
      <c r="O552" t="s">
        <v>1457</v>
      </c>
      <c r="P552" t="s">
        <v>2044</v>
      </c>
      <c r="Q552" t="s">
        <v>1443</v>
      </c>
      <c r="R552" t="s">
        <v>2045</v>
      </c>
      <c r="S552" t="s">
        <v>2046</v>
      </c>
    </row>
    <row r="553" spans="1:19">
      <c r="A553" t="s">
        <v>4350</v>
      </c>
      <c r="B553" t="s">
        <v>2047</v>
      </c>
      <c r="C553" t="s">
        <v>3607</v>
      </c>
      <c r="D553">
        <v>328</v>
      </c>
      <c r="E553" t="s">
        <v>1497</v>
      </c>
      <c r="F553">
        <v>6</v>
      </c>
      <c r="I553" t="s">
        <v>3238</v>
      </c>
      <c r="J553" t="s">
        <v>31</v>
      </c>
      <c r="K553" t="s">
        <v>31</v>
      </c>
      <c r="L553">
        <v>5</v>
      </c>
      <c r="M553">
        <v>3</v>
      </c>
      <c r="N553" t="s">
        <v>2035</v>
      </c>
      <c r="O553" t="s">
        <v>1447</v>
      </c>
      <c r="P553" t="s">
        <v>1444</v>
      </c>
      <c r="Q553" t="s">
        <v>1547</v>
      </c>
      <c r="R553" t="s">
        <v>2048</v>
      </c>
      <c r="S553" t="s">
        <v>2049</v>
      </c>
    </row>
    <row r="554" spans="1:19">
      <c r="A554" t="s">
        <v>4351</v>
      </c>
      <c r="B554" t="s">
        <v>698</v>
      </c>
      <c r="C554" t="s">
        <v>3607</v>
      </c>
      <c r="D554" t="s">
        <v>699</v>
      </c>
      <c r="E554" t="s">
        <v>2050</v>
      </c>
      <c r="F554" t="s">
        <v>2050</v>
      </c>
      <c r="I554" t="s">
        <v>3238</v>
      </c>
      <c r="J554" t="s">
        <v>31</v>
      </c>
      <c r="K554" t="s">
        <v>31</v>
      </c>
      <c r="L554">
        <v>5</v>
      </c>
      <c r="M554">
        <v>3</v>
      </c>
      <c r="N554" t="s">
        <v>2035</v>
      </c>
      <c r="O554" t="s">
        <v>1447</v>
      </c>
      <c r="P554" t="s">
        <v>1444</v>
      </c>
      <c r="Q554" t="s">
        <v>1547</v>
      </c>
      <c r="R554" t="s">
        <v>2032</v>
      </c>
      <c r="S554" t="s">
        <v>2051</v>
      </c>
    </row>
    <row r="555" spans="1:19">
      <c r="A555" t="s">
        <v>4352</v>
      </c>
      <c r="B555" t="s">
        <v>2052</v>
      </c>
      <c r="C555" t="s">
        <v>3607</v>
      </c>
      <c r="D555" t="s">
        <v>710</v>
      </c>
      <c r="E555" t="s">
        <v>1439</v>
      </c>
      <c r="F555">
        <v>1</v>
      </c>
      <c r="I555" t="s">
        <v>3238</v>
      </c>
      <c r="J555" t="s">
        <v>31</v>
      </c>
      <c r="K555" t="s">
        <v>31</v>
      </c>
      <c r="L555">
        <v>5</v>
      </c>
      <c r="M555">
        <v>3</v>
      </c>
      <c r="N555" t="s">
        <v>2035</v>
      </c>
      <c r="O555" t="s">
        <v>1447</v>
      </c>
      <c r="P555" t="s">
        <v>1523</v>
      </c>
      <c r="Q555" t="s">
        <v>2053</v>
      </c>
      <c r="R555" t="s">
        <v>698</v>
      </c>
      <c r="S555" t="s">
        <v>2054</v>
      </c>
    </row>
    <row r="556" spans="1:19">
      <c r="A556" t="s">
        <v>4353</v>
      </c>
      <c r="B556" t="s">
        <v>690</v>
      </c>
      <c r="C556" t="s">
        <v>3607</v>
      </c>
      <c r="D556" t="s">
        <v>691</v>
      </c>
      <c r="E556" t="s">
        <v>1467</v>
      </c>
      <c r="F556">
        <v>5</v>
      </c>
      <c r="G556">
        <v>1</v>
      </c>
      <c r="I556" t="s">
        <v>3238</v>
      </c>
      <c r="J556" t="s">
        <v>31</v>
      </c>
      <c r="K556" t="s">
        <v>31</v>
      </c>
      <c r="L556">
        <v>5</v>
      </c>
      <c r="M556">
        <v>3</v>
      </c>
      <c r="N556" t="s">
        <v>2035</v>
      </c>
      <c r="O556" t="s">
        <v>1457</v>
      </c>
      <c r="P556" t="s">
        <v>1523</v>
      </c>
      <c r="Q556" t="s">
        <v>1443</v>
      </c>
      <c r="R556" t="s">
        <v>698</v>
      </c>
      <c r="S556" t="s">
        <v>2055</v>
      </c>
    </row>
    <row r="557" spans="1:19">
      <c r="A557" t="s">
        <v>4354</v>
      </c>
      <c r="B557" t="s">
        <v>687</v>
      </c>
      <c r="C557" t="s">
        <v>3607</v>
      </c>
      <c r="D557">
        <v>329</v>
      </c>
      <c r="E557" t="s">
        <v>2039</v>
      </c>
      <c r="F557">
        <v>8</v>
      </c>
      <c r="G557">
        <v>1</v>
      </c>
      <c r="I557" t="s">
        <v>3238</v>
      </c>
      <c r="J557" t="s">
        <v>31</v>
      </c>
      <c r="K557" t="s">
        <v>31</v>
      </c>
      <c r="L557">
        <v>5</v>
      </c>
      <c r="M557">
        <v>3</v>
      </c>
      <c r="N557" t="s">
        <v>2035</v>
      </c>
      <c r="O557" t="s">
        <v>1441</v>
      </c>
      <c r="P557" t="s">
        <v>1523</v>
      </c>
      <c r="Q557" t="s">
        <v>1443</v>
      </c>
      <c r="R557" t="s">
        <v>690</v>
      </c>
      <c r="S557" t="s">
        <v>2056</v>
      </c>
    </row>
    <row r="558" spans="1:19">
      <c r="A558" t="s">
        <v>4355</v>
      </c>
      <c r="B558" t="s">
        <v>697</v>
      </c>
      <c r="C558" t="s">
        <v>3607</v>
      </c>
      <c r="D558">
        <v>329</v>
      </c>
      <c r="E558" t="s">
        <v>1511</v>
      </c>
      <c r="F558" t="s">
        <v>1511</v>
      </c>
      <c r="I558" t="s">
        <v>3238</v>
      </c>
      <c r="J558" t="s">
        <v>31</v>
      </c>
      <c r="K558" t="s">
        <v>31</v>
      </c>
      <c r="L558">
        <v>5</v>
      </c>
      <c r="M558">
        <v>4</v>
      </c>
      <c r="N558" t="s">
        <v>2057</v>
      </c>
      <c r="O558" t="s">
        <v>1513</v>
      </c>
      <c r="P558" t="s">
        <v>2009</v>
      </c>
      <c r="Q558" t="s">
        <v>1513</v>
      </c>
      <c r="R558" t="s">
        <v>680</v>
      </c>
      <c r="S558" t="s">
        <v>2058</v>
      </c>
    </row>
    <row r="559" spans="1:19">
      <c r="A559" t="s">
        <v>4356</v>
      </c>
      <c r="B559" t="s">
        <v>713</v>
      </c>
      <c r="C559" t="s">
        <v>3607</v>
      </c>
      <c r="D559" t="s">
        <v>714</v>
      </c>
      <c r="E559" t="s">
        <v>1479</v>
      </c>
      <c r="F559">
        <v>6</v>
      </c>
      <c r="G559">
        <v>1</v>
      </c>
      <c r="I559" t="s">
        <v>3238</v>
      </c>
      <c r="J559" t="s">
        <v>31</v>
      </c>
      <c r="K559" t="s">
        <v>31</v>
      </c>
      <c r="L559">
        <v>5</v>
      </c>
      <c r="M559">
        <v>4</v>
      </c>
      <c r="N559" t="s">
        <v>2057</v>
      </c>
      <c r="O559" t="s">
        <v>1457</v>
      </c>
      <c r="P559" t="s">
        <v>2044</v>
      </c>
      <c r="Q559" t="s">
        <v>1443</v>
      </c>
      <c r="R559" t="s">
        <v>711</v>
      </c>
      <c r="S559" t="s">
        <v>2059</v>
      </c>
    </row>
    <row r="560" spans="1:19">
      <c r="A560" t="s">
        <v>4357</v>
      </c>
      <c r="B560" t="s">
        <v>3692</v>
      </c>
      <c r="C560" t="s">
        <v>3602</v>
      </c>
      <c r="D560">
        <v>15</v>
      </c>
      <c r="E560" t="s">
        <v>2039</v>
      </c>
      <c r="F560">
        <v>8</v>
      </c>
      <c r="G560">
        <v>1</v>
      </c>
      <c r="I560" t="s">
        <v>3238</v>
      </c>
      <c r="J560" t="s">
        <v>31</v>
      </c>
      <c r="K560" t="s">
        <v>31</v>
      </c>
      <c r="L560">
        <v>5</v>
      </c>
      <c r="M560">
        <v>3</v>
      </c>
      <c r="N560" t="s">
        <v>2035</v>
      </c>
      <c r="O560" t="s">
        <v>1457</v>
      </c>
      <c r="P560" t="s">
        <v>1444</v>
      </c>
      <c r="Q560" t="s">
        <v>1443</v>
      </c>
      <c r="R560" t="s">
        <v>707</v>
      </c>
      <c r="S560" t="s">
        <v>3693</v>
      </c>
    </row>
    <row r="561" spans="1:19">
      <c r="A561" t="s">
        <v>4358</v>
      </c>
      <c r="B561" t="s">
        <v>3694</v>
      </c>
      <c r="C561" t="s">
        <v>3602</v>
      </c>
      <c r="D561">
        <v>15</v>
      </c>
      <c r="E561" t="s">
        <v>2848</v>
      </c>
      <c r="F561">
        <v>5</v>
      </c>
      <c r="I561" t="s">
        <v>3238</v>
      </c>
      <c r="J561" t="s">
        <v>31</v>
      </c>
      <c r="K561" t="s">
        <v>31</v>
      </c>
      <c r="L561">
        <v>5</v>
      </c>
      <c r="M561">
        <v>3</v>
      </c>
      <c r="N561" t="s">
        <v>3695</v>
      </c>
      <c r="O561" t="s">
        <v>1457</v>
      </c>
      <c r="P561" t="s">
        <v>2009</v>
      </c>
      <c r="Q561" t="s">
        <v>1547</v>
      </c>
      <c r="R561" t="s">
        <v>711</v>
      </c>
      <c r="S561" t="s">
        <v>3696</v>
      </c>
    </row>
    <row r="562" spans="1:19">
      <c r="A562" t="s">
        <v>6924</v>
      </c>
      <c r="B562" t="s">
        <v>5584</v>
      </c>
      <c r="C562" t="s">
        <v>3968</v>
      </c>
      <c r="D562">
        <v>208</v>
      </c>
      <c r="E562" t="s">
        <v>5071</v>
      </c>
      <c r="F562">
        <v>2</v>
      </c>
      <c r="I562" t="s">
        <v>3560</v>
      </c>
      <c r="J562" t="s">
        <v>31</v>
      </c>
      <c r="K562" t="s">
        <v>31</v>
      </c>
      <c r="L562">
        <v>1</v>
      </c>
      <c r="M562">
        <v>1</v>
      </c>
      <c r="N562" t="s">
        <v>2005</v>
      </c>
      <c r="O562" t="s">
        <v>1441</v>
      </c>
      <c r="P562" t="s">
        <v>5585</v>
      </c>
      <c r="Q562" t="s">
        <v>1443</v>
      </c>
      <c r="R562" t="s">
        <v>1444</v>
      </c>
      <c r="S562" t="s">
        <v>5586</v>
      </c>
    </row>
    <row r="563" spans="1:19">
      <c r="A563" t="s">
        <v>6928</v>
      </c>
      <c r="B563" t="s">
        <v>5595</v>
      </c>
      <c r="C563" t="s">
        <v>3968</v>
      </c>
      <c r="D563">
        <v>209</v>
      </c>
      <c r="E563" t="s">
        <v>1450</v>
      </c>
      <c r="F563">
        <v>3</v>
      </c>
      <c r="I563" t="s">
        <v>3560</v>
      </c>
      <c r="J563" t="s">
        <v>31</v>
      </c>
      <c r="K563" t="s">
        <v>31</v>
      </c>
      <c r="L563">
        <v>1</v>
      </c>
      <c r="M563">
        <v>1</v>
      </c>
      <c r="N563" t="s">
        <v>2005</v>
      </c>
      <c r="O563" t="s">
        <v>1457</v>
      </c>
      <c r="P563" t="s">
        <v>5507</v>
      </c>
      <c r="Q563" t="s">
        <v>1443</v>
      </c>
      <c r="R563" t="s">
        <v>1444</v>
      </c>
      <c r="S563" t="s">
        <v>5596</v>
      </c>
    </row>
    <row r="564" spans="1:19">
      <c r="A564" t="s">
        <v>6925</v>
      </c>
      <c r="B564" t="s">
        <v>5587</v>
      </c>
      <c r="C564" t="s">
        <v>3968</v>
      </c>
      <c r="D564">
        <v>209</v>
      </c>
      <c r="E564" t="s">
        <v>1541</v>
      </c>
      <c r="F564">
        <v>5</v>
      </c>
      <c r="I564" t="s">
        <v>3560</v>
      </c>
      <c r="J564" t="s">
        <v>31</v>
      </c>
      <c r="K564" t="s">
        <v>31</v>
      </c>
      <c r="L564">
        <v>2</v>
      </c>
      <c r="M564">
        <v>1</v>
      </c>
      <c r="N564" t="s">
        <v>5588</v>
      </c>
      <c r="O564" t="s">
        <v>1457</v>
      </c>
      <c r="P564" t="s">
        <v>5589</v>
      </c>
      <c r="Q564" t="s">
        <v>1443</v>
      </c>
      <c r="R564" t="s">
        <v>1444</v>
      </c>
      <c r="S564" t="s">
        <v>5590</v>
      </c>
    </row>
    <row r="565" spans="1:19">
      <c r="A565" t="s">
        <v>6927</v>
      </c>
      <c r="B565" t="s">
        <v>5593</v>
      </c>
      <c r="C565" t="s">
        <v>3968</v>
      </c>
      <c r="D565">
        <v>209</v>
      </c>
      <c r="E565" t="s">
        <v>1554</v>
      </c>
      <c r="F565">
        <v>4</v>
      </c>
      <c r="I565" t="s">
        <v>3560</v>
      </c>
      <c r="J565" t="s">
        <v>31</v>
      </c>
      <c r="K565" t="s">
        <v>31</v>
      </c>
      <c r="L565">
        <v>2</v>
      </c>
      <c r="M565">
        <v>1</v>
      </c>
      <c r="N565" t="s">
        <v>5588</v>
      </c>
      <c r="O565" t="s">
        <v>1457</v>
      </c>
      <c r="P565" t="s">
        <v>5589</v>
      </c>
      <c r="Q565" t="s">
        <v>1443</v>
      </c>
      <c r="R565" t="s">
        <v>1444</v>
      </c>
      <c r="S565" t="s">
        <v>5594</v>
      </c>
    </row>
    <row r="566" spans="1:19">
      <c r="A566" t="s">
        <v>6926</v>
      </c>
      <c r="B566" t="s">
        <v>5591</v>
      </c>
      <c r="C566" t="s">
        <v>3968</v>
      </c>
      <c r="D566">
        <v>209</v>
      </c>
      <c r="E566" t="s">
        <v>1450</v>
      </c>
      <c r="F566">
        <v>3</v>
      </c>
      <c r="I566" t="s">
        <v>3560</v>
      </c>
      <c r="J566" t="s">
        <v>31</v>
      </c>
      <c r="K566" t="s">
        <v>31</v>
      </c>
      <c r="L566">
        <v>3</v>
      </c>
      <c r="M566">
        <v>1</v>
      </c>
      <c r="N566" t="s">
        <v>2008</v>
      </c>
      <c r="O566" t="s">
        <v>1447</v>
      </c>
      <c r="P566" t="s">
        <v>5094</v>
      </c>
      <c r="Q566" t="s">
        <v>1443</v>
      </c>
      <c r="R566" t="s">
        <v>1444</v>
      </c>
      <c r="S566" t="s">
        <v>5592</v>
      </c>
    </row>
    <row r="567" spans="1:19">
      <c r="A567" t="s">
        <v>6929</v>
      </c>
      <c r="B567" t="s">
        <v>5597</v>
      </c>
      <c r="C567" t="s">
        <v>3968</v>
      </c>
      <c r="D567">
        <v>209</v>
      </c>
      <c r="E567" t="s">
        <v>1476</v>
      </c>
      <c r="F567">
        <v>3</v>
      </c>
      <c r="G567">
        <v>1</v>
      </c>
      <c r="I567" t="s">
        <v>3560</v>
      </c>
      <c r="J567" t="s">
        <v>31</v>
      </c>
      <c r="K567" t="s">
        <v>31</v>
      </c>
      <c r="L567">
        <v>3</v>
      </c>
      <c r="M567">
        <v>1</v>
      </c>
      <c r="N567" t="s">
        <v>2008</v>
      </c>
      <c r="O567" t="s">
        <v>1441</v>
      </c>
      <c r="P567" t="s">
        <v>5598</v>
      </c>
      <c r="Q567" t="s">
        <v>1443</v>
      </c>
      <c r="R567" t="s">
        <v>5599</v>
      </c>
      <c r="S567" t="s">
        <v>5600</v>
      </c>
    </row>
    <row r="568" spans="1:19">
      <c r="A568" t="s">
        <v>6930</v>
      </c>
      <c r="B568" t="s">
        <v>5601</v>
      </c>
      <c r="C568" t="s">
        <v>3968</v>
      </c>
      <c r="D568">
        <v>210</v>
      </c>
      <c r="E568" t="s">
        <v>1541</v>
      </c>
      <c r="F568">
        <v>5</v>
      </c>
      <c r="I568" t="s">
        <v>3560</v>
      </c>
      <c r="J568" t="s">
        <v>31</v>
      </c>
      <c r="K568" t="s">
        <v>31</v>
      </c>
      <c r="L568">
        <v>3</v>
      </c>
      <c r="M568">
        <v>1</v>
      </c>
      <c r="N568" t="s">
        <v>2008</v>
      </c>
      <c r="O568" t="s">
        <v>1457</v>
      </c>
      <c r="P568" t="s">
        <v>5507</v>
      </c>
      <c r="Q568" t="s">
        <v>1473</v>
      </c>
      <c r="R568" t="s">
        <v>1444</v>
      </c>
      <c r="S568" t="s">
        <v>5602</v>
      </c>
    </row>
    <row r="569" spans="1:19">
      <c r="A569" t="s">
        <v>6931</v>
      </c>
      <c r="B569" t="s">
        <v>5603</v>
      </c>
      <c r="C569" t="s">
        <v>3968</v>
      </c>
      <c r="D569">
        <v>210</v>
      </c>
      <c r="E569" t="s">
        <v>1476</v>
      </c>
      <c r="F569">
        <v>3</v>
      </c>
      <c r="G569">
        <v>1</v>
      </c>
      <c r="I569" t="s">
        <v>3560</v>
      </c>
      <c r="J569" t="s">
        <v>31</v>
      </c>
      <c r="K569" t="s">
        <v>31</v>
      </c>
      <c r="L569">
        <v>3</v>
      </c>
      <c r="M569">
        <v>2</v>
      </c>
      <c r="N569" t="s">
        <v>5604</v>
      </c>
      <c r="O569" t="s">
        <v>1457</v>
      </c>
      <c r="P569" t="s">
        <v>5507</v>
      </c>
      <c r="Q569" t="s">
        <v>1473</v>
      </c>
      <c r="R569" t="s">
        <v>5595</v>
      </c>
      <c r="S569" t="s">
        <v>5605</v>
      </c>
    </row>
    <row r="570" spans="1:19">
      <c r="A570" t="s">
        <v>6932</v>
      </c>
      <c r="B570" t="s">
        <v>5606</v>
      </c>
      <c r="C570" t="s">
        <v>3968</v>
      </c>
      <c r="D570">
        <v>210</v>
      </c>
      <c r="E570" t="s">
        <v>1450</v>
      </c>
      <c r="F570">
        <v>3</v>
      </c>
      <c r="I570" t="s">
        <v>3560</v>
      </c>
      <c r="J570" t="s">
        <v>31</v>
      </c>
      <c r="K570" t="s">
        <v>31</v>
      </c>
      <c r="L570">
        <v>3</v>
      </c>
      <c r="M570">
        <v>2</v>
      </c>
      <c r="N570" t="s">
        <v>5604</v>
      </c>
      <c r="O570" t="s">
        <v>1457</v>
      </c>
      <c r="P570" t="s">
        <v>5507</v>
      </c>
      <c r="Q570" t="s">
        <v>1443</v>
      </c>
      <c r="R570" t="s">
        <v>5587</v>
      </c>
      <c r="S570" t="s">
        <v>5607</v>
      </c>
    </row>
    <row r="571" spans="1:19">
      <c r="A571" t="s">
        <v>6933</v>
      </c>
      <c r="B571" t="s">
        <v>5608</v>
      </c>
      <c r="C571" t="s">
        <v>3968</v>
      </c>
      <c r="D571">
        <v>210</v>
      </c>
      <c r="E571" t="s">
        <v>5609</v>
      </c>
      <c r="G571">
        <v>1</v>
      </c>
      <c r="I571" t="s">
        <v>3560</v>
      </c>
      <c r="J571" t="s">
        <v>31</v>
      </c>
      <c r="K571" t="s">
        <v>31</v>
      </c>
      <c r="L571">
        <v>3</v>
      </c>
      <c r="M571">
        <v>2</v>
      </c>
      <c r="N571" t="s">
        <v>5604</v>
      </c>
      <c r="O571" t="s">
        <v>1513</v>
      </c>
      <c r="P571" t="s">
        <v>5507</v>
      </c>
      <c r="Q571" t="s">
        <v>1513</v>
      </c>
      <c r="R571" t="s">
        <v>5601</v>
      </c>
      <c r="S571" t="s">
        <v>5610</v>
      </c>
    </row>
    <row r="572" spans="1:19">
      <c r="A572" t="s">
        <v>6934</v>
      </c>
      <c r="B572" t="s">
        <v>5611</v>
      </c>
      <c r="C572" t="s">
        <v>3968</v>
      </c>
      <c r="D572">
        <v>210</v>
      </c>
      <c r="E572" t="s">
        <v>1541</v>
      </c>
      <c r="F572">
        <v>5</v>
      </c>
      <c r="I572" t="s">
        <v>3560</v>
      </c>
      <c r="J572" t="s">
        <v>31</v>
      </c>
      <c r="K572" t="s">
        <v>31</v>
      </c>
      <c r="L572">
        <v>3</v>
      </c>
      <c r="M572">
        <v>2</v>
      </c>
      <c r="N572" t="s">
        <v>5604</v>
      </c>
      <c r="O572" t="s">
        <v>1447</v>
      </c>
      <c r="P572" t="s">
        <v>5507</v>
      </c>
      <c r="Q572" t="s">
        <v>1473</v>
      </c>
      <c r="R572" t="s">
        <v>5603</v>
      </c>
      <c r="S572" t="s">
        <v>5612</v>
      </c>
    </row>
    <row r="573" spans="1:19">
      <c r="A573" t="s">
        <v>6935</v>
      </c>
      <c r="B573" t="s">
        <v>5613</v>
      </c>
      <c r="C573" t="s">
        <v>3968</v>
      </c>
      <c r="D573">
        <v>210</v>
      </c>
      <c r="E573" t="s">
        <v>1465</v>
      </c>
      <c r="F573">
        <v>1</v>
      </c>
      <c r="G573">
        <v>1</v>
      </c>
      <c r="I573" t="s">
        <v>3560</v>
      </c>
      <c r="J573" t="s">
        <v>31</v>
      </c>
      <c r="K573" t="s">
        <v>31</v>
      </c>
      <c r="L573">
        <v>4</v>
      </c>
      <c r="M573">
        <v>2</v>
      </c>
      <c r="N573" t="s">
        <v>2023</v>
      </c>
      <c r="O573" t="s">
        <v>1457</v>
      </c>
      <c r="P573" t="s">
        <v>5589</v>
      </c>
      <c r="Q573" t="s">
        <v>1443</v>
      </c>
      <c r="R573" t="s">
        <v>5597</v>
      </c>
      <c r="S573" t="s">
        <v>5614</v>
      </c>
    </row>
    <row r="574" spans="1:19">
      <c r="A574" t="s">
        <v>6942</v>
      </c>
      <c r="B574" t="s">
        <v>5631</v>
      </c>
      <c r="C574" t="s">
        <v>3968</v>
      </c>
      <c r="D574">
        <v>212</v>
      </c>
      <c r="E574" t="s">
        <v>1541</v>
      </c>
      <c r="F574">
        <v>5</v>
      </c>
      <c r="I574" t="s">
        <v>3560</v>
      </c>
      <c r="J574" t="s">
        <v>31</v>
      </c>
      <c r="K574" t="s">
        <v>31</v>
      </c>
      <c r="L574">
        <v>4</v>
      </c>
      <c r="M574">
        <v>3</v>
      </c>
      <c r="N574" t="s">
        <v>5632</v>
      </c>
      <c r="O574" t="s">
        <v>1457</v>
      </c>
      <c r="P574" t="s">
        <v>5598</v>
      </c>
      <c r="Q574" t="s">
        <v>1443</v>
      </c>
      <c r="R574" t="s">
        <v>5613</v>
      </c>
      <c r="S574" t="s">
        <v>5633</v>
      </c>
    </row>
    <row r="575" spans="1:19">
      <c r="A575" t="s">
        <v>6936</v>
      </c>
      <c r="B575" t="s">
        <v>5615</v>
      </c>
      <c r="C575" t="s">
        <v>3968</v>
      </c>
      <c r="D575">
        <v>211</v>
      </c>
      <c r="E575" t="s">
        <v>1599</v>
      </c>
      <c r="F575">
        <v>10</v>
      </c>
      <c r="G575">
        <v>1</v>
      </c>
      <c r="I575" t="s">
        <v>3560</v>
      </c>
      <c r="J575" t="s">
        <v>31</v>
      </c>
      <c r="K575" t="s">
        <v>31</v>
      </c>
      <c r="L575">
        <v>5</v>
      </c>
      <c r="M575">
        <v>3</v>
      </c>
      <c r="N575" t="s">
        <v>2035</v>
      </c>
      <c r="O575" t="s">
        <v>1457</v>
      </c>
      <c r="P575" t="s">
        <v>5616</v>
      </c>
      <c r="Q575" t="s">
        <v>1443</v>
      </c>
      <c r="R575" t="s">
        <v>1444</v>
      </c>
      <c r="S575" t="s">
        <v>5617</v>
      </c>
    </row>
    <row r="576" spans="1:19">
      <c r="A576" t="s">
        <v>6937</v>
      </c>
      <c r="B576" t="s">
        <v>5618</v>
      </c>
      <c r="C576" t="s">
        <v>3968</v>
      </c>
      <c r="D576">
        <v>211</v>
      </c>
      <c r="E576" t="s">
        <v>1541</v>
      </c>
      <c r="F576">
        <v>5</v>
      </c>
      <c r="I576" t="s">
        <v>3560</v>
      </c>
      <c r="J576" t="s">
        <v>31</v>
      </c>
      <c r="K576" t="s">
        <v>31</v>
      </c>
      <c r="L576">
        <v>5</v>
      </c>
      <c r="M576">
        <v>3</v>
      </c>
      <c r="N576" t="s">
        <v>2035</v>
      </c>
      <c r="O576" t="s">
        <v>1447</v>
      </c>
      <c r="P576" t="s">
        <v>5287</v>
      </c>
      <c r="Q576" t="s">
        <v>1443</v>
      </c>
      <c r="R576" t="s">
        <v>1444</v>
      </c>
      <c r="S576" t="s">
        <v>5619</v>
      </c>
    </row>
    <row r="577" spans="1:19">
      <c r="A577" t="s">
        <v>6938</v>
      </c>
      <c r="B577" t="s">
        <v>5620</v>
      </c>
      <c r="C577" t="s">
        <v>3968</v>
      </c>
      <c r="D577">
        <v>211</v>
      </c>
      <c r="E577" t="s">
        <v>1543</v>
      </c>
      <c r="F577">
        <v>7</v>
      </c>
      <c r="G577">
        <v>1</v>
      </c>
      <c r="I577" t="s">
        <v>3560</v>
      </c>
      <c r="J577" t="s">
        <v>31</v>
      </c>
      <c r="K577" t="s">
        <v>31</v>
      </c>
      <c r="L577">
        <v>5</v>
      </c>
      <c r="M577">
        <v>3</v>
      </c>
      <c r="N577" t="s">
        <v>2035</v>
      </c>
      <c r="O577" t="s">
        <v>1457</v>
      </c>
      <c r="P577" t="s">
        <v>5621</v>
      </c>
      <c r="Q577" t="s">
        <v>1443</v>
      </c>
      <c r="R577" t="s">
        <v>1444</v>
      </c>
      <c r="S577" t="s">
        <v>5622</v>
      </c>
    </row>
    <row r="578" spans="1:19">
      <c r="A578" t="s">
        <v>6939</v>
      </c>
      <c r="B578" t="s">
        <v>5623</v>
      </c>
      <c r="C578" t="s">
        <v>3968</v>
      </c>
      <c r="D578">
        <v>211</v>
      </c>
      <c r="E578" t="s">
        <v>1599</v>
      </c>
      <c r="F578">
        <v>10</v>
      </c>
      <c r="G578">
        <v>1</v>
      </c>
      <c r="I578" t="s">
        <v>3560</v>
      </c>
      <c r="J578" t="s">
        <v>31</v>
      </c>
      <c r="K578" t="s">
        <v>31</v>
      </c>
      <c r="L578">
        <v>5</v>
      </c>
      <c r="M578">
        <v>3</v>
      </c>
      <c r="N578" t="s">
        <v>2035</v>
      </c>
      <c r="O578" t="s">
        <v>1457</v>
      </c>
      <c r="P578" t="s">
        <v>5624</v>
      </c>
      <c r="Q578" t="s">
        <v>1443</v>
      </c>
      <c r="R578" t="s">
        <v>1444</v>
      </c>
      <c r="S578" t="s">
        <v>5625</v>
      </c>
    </row>
    <row r="579" spans="1:19">
      <c r="A579" t="s">
        <v>6940</v>
      </c>
      <c r="B579" t="s">
        <v>5626</v>
      </c>
      <c r="C579" t="s">
        <v>3968</v>
      </c>
      <c r="D579">
        <v>212</v>
      </c>
      <c r="E579" t="s">
        <v>1479</v>
      </c>
      <c r="F579">
        <v>6</v>
      </c>
      <c r="G579">
        <v>1</v>
      </c>
      <c r="I579" t="s">
        <v>3560</v>
      </c>
      <c r="J579" t="s">
        <v>31</v>
      </c>
      <c r="K579" t="s">
        <v>31</v>
      </c>
      <c r="L579">
        <v>5</v>
      </c>
      <c r="M579">
        <v>3</v>
      </c>
      <c r="N579" t="s">
        <v>2035</v>
      </c>
      <c r="O579" t="s">
        <v>1457</v>
      </c>
      <c r="P579" t="s">
        <v>5627</v>
      </c>
      <c r="Q579" t="s">
        <v>1443</v>
      </c>
      <c r="R579" t="s">
        <v>1444</v>
      </c>
      <c r="S579" t="s">
        <v>5628</v>
      </c>
    </row>
    <row r="580" spans="1:19">
      <c r="A580" t="s">
        <v>6941</v>
      </c>
      <c r="B580" t="s">
        <v>5629</v>
      </c>
      <c r="C580" t="s">
        <v>3968</v>
      </c>
      <c r="D580">
        <v>212</v>
      </c>
      <c r="E580" t="s">
        <v>1924</v>
      </c>
      <c r="F580">
        <v>2</v>
      </c>
      <c r="G580">
        <v>1</v>
      </c>
      <c r="I580" t="s">
        <v>3560</v>
      </c>
      <c r="J580" t="s">
        <v>31</v>
      </c>
      <c r="K580" t="s">
        <v>31</v>
      </c>
      <c r="L580">
        <v>5</v>
      </c>
      <c r="M580">
        <v>3</v>
      </c>
      <c r="N580" t="s">
        <v>2035</v>
      </c>
      <c r="O580" t="s">
        <v>1447</v>
      </c>
      <c r="P580" t="s">
        <v>5507</v>
      </c>
      <c r="Q580" t="s">
        <v>1443</v>
      </c>
      <c r="R580" t="s">
        <v>5603</v>
      </c>
      <c r="S580" t="s">
        <v>5630</v>
      </c>
    </row>
    <row r="581" spans="1:19">
      <c r="A581" t="s">
        <v>6943</v>
      </c>
      <c r="B581" t="s">
        <v>5634</v>
      </c>
      <c r="C581" t="s">
        <v>3968</v>
      </c>
      <c r="D581">
        <v>212</v>
      </c>
      <c r="E581" t="s">
        <v>1465</v>
      </c>
      <c r="F581">
        <v>1</v>
      </c>
      <c r="G581">
        <v>1</v>
      </c>
      <c r="I581" t="s">
        <v>3560</v>
      </c>
      <c r="J581" t="s">
        <v>31</v>
      </c>
      <c r="K581" t="s">
        <v>31</v>
      </c>
      <c r="L581">
        <v>5</v>
      </c>
      <c r="M581">
        <v>3</v>
      </c>
      <c r="N581" t="s">
        <v>2035</v>
      </c>
      <c r="O581" t="s">
        <v>1457</v>
      </c>
      <c r="P581" t="s">
        <v>5507</v>
      </c>
      <c r="Q581" t="s">
        <v>1443</v>
      </c>
      <c r="R581" t="s">
        <v>5611</v>
      </c>
      <c r="S581" t="s">
        <v>5635</v>
      </c>
    </row>
    <row r="582" spans="1:19">
      <c r="A582" t="s">
        <v>6944</v>
      </c>
      <c r="B582" t="s">
        <v>5636</v>
      </c>
      <c r="C582" t="s">
        <v>3968</v>
      </c>
      <c r="D582">
        <v>212</v>
      </c>
      <c r="E582" t="s">
        <v>1467</v>
      </c>
      <c r="F582">
        <v>5</v>
      </c>
      <c r="G582">
        <v>1</v>
      </c>
      <c r="I582" t="s">
        <v>3560</v>
      </c>
      <c r="J582" t="s">
        <v>31</v>
      </c>
      <c r="K582" t="s">
        <v>31</v>
      </c>
      <c r="L582">
        <v>5</v>
      </c>
      <c r="M582">
        <v>4</v>
      </c>
      <c r="N582" t="s">
        <v>2057</v>
      </c>
      <c r="O582" t="s">
        <v>1441</v>
      </c>
      <c r="P582" t="s">
        <v>5507</v>
      </c>
      <c r="Q582" t="s">
        <v>1443</v>
      </c>
      <c r="R582" t="s">
        <v>5629</v>
      </c>
      <c r="S582" t="s">
        <v>5637</v>
      </c>
    </row>
    <row r="583" spans="1:19">
      <c r="A583" t="s">
        <v>6945</v>
      </c>
      <c r="B583" t="s">
        <v>5638</v>
      </c>
      <c r="C583" t="s">
        <v>3968</v>
      </c>
      <c r="D583">
        <v>213</v>
      </c>
      <c r="E583" t="s">
        <v>1543</v>
      </c>
      <c r="F583">
        <v>7</v>
      </c>
      <c r="G583">
        <v>1</v>
      </c>
      <c r="I583" t="s">
        <v>3560</v>
      </c>
      <c r="J583" t="s">
        <v>31</v>
      </c>
      <c r="K583" t="s">
        <v>31</v>
      </c>
      <c r="L583">
        <v>5</v>
      </c>
      <c r="M583">
        <v>4</v>
      </c>
      <c r="N583" t="s">
        <v>2057</v>
      </c>
      <c r="O583" t="s">
        <v>1457</v>
      </c>
      <c r="P583" t="s">
        <v>5639</v>
      </c>
      <c r="Q583" t="s">
        <v>1443</v>
      </c>
      <c r="R583" t="s">
        <v>5631</v>
      </c>
      <c r="S583" t="s">
        <v>5640</v>
      </c>
    </row>
    <row r="584" spans="1:19">
      <c r="A584" t="s">
        <v>6946</v>
      </c>
      <c r="B584" t="s">
        <v>5641</v>
      </c>
      <c r="C584" t="s">
        <v>3968</v>
      </c>
      <c r="D584">
        <v>213</v>
      </c>
      <c r="E584" t="s">
        <v>1599</v>
      </c>
      <c r="F584">
        <v>10</v>
      </c>
      <c r="G584">
        <v>1</v>
      </c>
      <c r="I584" t="s">
        <v>3560</v>
      </c>
      <c r="J584" t="s">
        <v>31</v>
      </c>
      <c r="K584" t="s">
        <v>31</v>
      </c>
      <c r="L584">
        <v>5</v>
      </c>
      <c r="M584">
        <v>4</v>
      </c>
      <c r="N584" t="s">
        <v>2057</v>
      </c>
      <c r="O584" t="s">
        <v>1457</v>
      </c>
      <c r="P584" t="s">
        <v>5642</v>
      </c>
      <c r="Q584" t="s">
        <v>1443</v>
      </c>
      <c r="R584" t="s">
        <v>5643</v>
      </c>
      <c r="S584" t="s">
        <v>5644</v>
      </c>
    </row>
    <row r="585" spans="1:19">
      <c r="A585" t="s">
        <v>6947</v>
      </c>
      <c r="B585" t="s">
        <v>5645</v>
      </c>
      <c r="C585" t="s">
        <v>3968</v>
      </c>
      <c r="D585">
        <v>213</v>
      </c>
      <c r="E585" t="s">
        <v>5216</v>
      </c>
      <c r="F585">
        <v>5</v>
      </c>
      <c r="G585">
        <v>1</v>
      </c>
      <c r="H585" t="s">
        <v>5121</v>
      </c>
      <c r="I585" t="s">
        <v>3560</v>
      </c>
      <c r="J585" t="s">
        <v>31</v>
      </c>
      <c r="K585" t="s">
        <v>31</v>
      </c>
      <c r="L585">
        <v>5</v>
      </c>
      <c r="M585">
        <v>5</v>
      </c>
      <c r="N585" t="s">
        <v>5646</v>
      </c>
      <c r="O585" t="s">
        <v>1457</v>
      </c>
      <c r="P585" t="s">
        <v>5647</v>
      </c>
      <c r="Q585" t="s">
        <v>1473</v>
      </c>
      <c r="R585" t="s">
        <v>5648</v>
      </c>
      <c r="S585" t="s">
        <v>5649</v>
      </c>
    </row>
    <row r="586" spans="1:19">
      <c r="A586" t="s">
        <v>4364</v>
      </c>
      <c r="B586" t="s">
        <v>730</v>
      </c>
      <c r="C586" t="s">
        <v>3607</v>
      </c>
      <c r="D586" t="s">
        <v>731</v>
      </c>
      <c r="E586" t="s">
        <v>1450</v>
      </c>
      <c r="F586">
        <v>3</v>
      </c>
      <c r="I586" t="s">
        <v>3238</v>
      </c>
      <c r="J586" t="s">
        <v>34</v>
      </c>
      <c r="K586" t="s">
        <v>34</v>
      </c>
      <c r="L586">
        <v>1</v>
      </c>
      <c r="M586">
        <v>1</v>
      </c>
      <c r="N586" t="s">
        <v>2070</v>
      </c>
      <c r="O586" t="s">
        <v>1457</v>
      </c>
      <c r="P586" t="s">
        <v>1444</v>
      </c>
      <c r="Q586" t="s">
        <v>1443</v>
      </c>
      <c r="R586" t="s">
        <v>1444</v>
      </c>
      <c r="S586" t="s">
        <v>2071</v>
      </c>
    </row>
    <row r="587" spans="1:19">
      <c r="A587" t="s">
        <v>4359</v>
      </c>
      <c r="B587" t="s">
        <v>723</v>
      </c>
      <c r="C587" t="s">
        <v>3607</v>
      </c>
      <c r="D587" t="s">
        <v>783</v>
      </c>
      <c r="E587" t="s">
        <v>1467</v>
      </c>
      <c r="F587">
        <v>5</v>
      </c>
      <c r="G587">
        <v>1</v>
      </c>
      <c r="I587" t="s">
        <v>3238</v>
      </c>
      <c r="J587" t="s">
        <v>34</v>
      </c>
      <c r="K587" t="s">
        <v>34</v>
      </c>
      <c r="L587">
        <v>2</v>
      </c>
      <c r="M587">
        <v>1</v>
      </c>
      <c r="N587" t="s">
        <v>2060</v>
      </c>
      <c r="O587" t="s">
        <v>1447</v>
      </c>
      <c r="P587" t="s">
        <v>1444</v>
      </c>
      <c r="Q587" t="s">
        <v>1938</v>
      </c>
      <c r="R587" t="s">
        <v>1444</v>
      </c>
      <c r="S587" t="s">
        <v>2061</v>
      </c>
    </row>
    <row r="588" spans="1:19">
      <c r="A588" t="s">
        <v>4365</v>
      </c>
      <c r="B588" t="s">
        <v>776</v>
      </c>
      <c r="C588" t="s">
        <v>3607</v>
      </c>
      <c r="D588" t="s">
        <v>777</v>
      </c>
      <c r="E588" t="s">
        <v>1467</v>
      </c>
      <c r="F588">
        <v>5</v>
      </c>
      <c r="G588">
        <v>1</v>
      </c>
      <c r="I588" t="s">
        <v>3238</v>
      </c>
      <c r="J588" t="s">
        <v>34</v>
      </c>
      <c r="K588" t="s">
        <v>34</v>
      </c>
      <c r="L588">
        <v>2</v>
      </c>
      <c r="M588">
        <v>1</v>
      </c>
      <c r="N588" t="s">
        <v>2060</v>
      </c>
      <c r="O588" t="s">
        <v>1457</v>
      </c>
      <c r="P588" t="s">
        <v>1444</v>
      </c>
      <c r="Q588" t="s">
        <v>1443</v>
      </c>
      <c r="R588" t="s">
        <v>730</v>
      </c>
      <c r="S588" t="s">
        <v>2072</v>
      </c>
    </row>
    <row r="589" spans="1:19">
      <c r="A589" t="s">
        <v>4360</v>
      </c>
      <c r="B589" t="s">
        <v>721</v>
      </c>
      <c r="C589" t="s">
        <v>3607</v>
      </c>
      <c r="D589" t="s">
        <v>722</v>
      </c>
      <c r="E589" t="s">
        <v>1599</v>
      </c>
      <c r="F589">
        <v>10</v>
      </c>
      <c r="G589">
        <v>1</v>
      </c>
      <c r="I589" t="s">
        <v>3238</v>
      </c>
      <c r="J589" t="s">
        <v>34</v>
      </c>
      <c r="K589" t="s">
        <v>34</v>
      </c>
      <c r="L589">
        <v>3</v>
      </c>
      <c r="M589">
        <v>1</v>
      </c>
      <c r="N589" t="s">
        <v>2062</v>
      </c>
      <c r="O589" t="s">
        <v>1457</v>
      </c>
      <c r="P589" t="s">
        <v>1444</v>
      </c>
      <c r="Q589" t="s">
        <v>1534</v>
      </c>
      <c r="R589" t="s">
        <v>723</v>
      </c>
      <c r="S589" t="s">
        <v>2063</v>
      </c>
    </row>
    <row r="590" spans="1:19">
      <c r="A590" t="s">
        <v>4361</v>
      </c>
      <c r="B590" t="s">
        <v>734</v>
      </c>
      <c r="C590" t="s">
        <v>3607</v>
      </c>
      <c r="D590" t="s">
        <v>740</v>
      </c>
      <c r="E590" t="s">
        <v>1511</v>
      </c>
      <c r="F590" t="s">
        <v>1511</v>
      </c>
      <c r="I590" t="s">
        <v>3238</v>
      </c>
      <c r="J590" t="s">
        <v>34</v>
      </c>
      <c r="K590" t="s">
        <v>34</v>
      </c>
      <c r="L590">
        <v>3</v>
      </c>
      <c r="M590">
        <v>1</v>
      </c>
      <c r="N590" t="s">
        <v>2062</v>
      </c>
      <c r="O590" t="s">
        <v>1513</v>
      </c>
      <c r="P590" t="s">
        <v>1444</v>
      </c>
      <c r="Q590" t="s">
        <v>1513</v>
      </c>
      <c r="R590" t="s">
        <v>1444</v>
      </c>
      <c r="S590" t="s">
        <v>2064</v>
      </c>
    </row>
    <row r="591" spans="1:19">
      <c r="A591" t="s">
        <v>4362</v>
      </c>
      <c r="B591" t="s">
        <v>2065</v>
      </c>
      <c r="C591" t="s">
        <v>3607</v>
      </c>
      <c r="D591" t="s">
        <v>733</v>
      </c>
      <c r="E591" t="s">
        <v>1554</v>
      </c>
      <c r="F591">
        <v>4</v>
      </c>
      <c r="I591" t="s">
        <v>3238</v>
      </c>
      <c r="J591" t="s">
        <v>34</v>
      </c>
      <c r="K591" t="s">
        <v>34</v>
      </c>
      <c r="L591">
        <v>3</v>
      </c>
      <c r="M591">
        <v>1</v>
      </c>
      <c r="N591" t="s">
        <v>2062</v>
      </c>
      <c r="O591" t="s">
        <v>1447</v>
      </c>
      <c r="P591" t="s">
        <v>1444</v>
      </c>
      <c r="Q591" t="s">
        <v>1473</v>
      </c>
      <c r="R591" t="s">
        <v>734</v>
      </c>
      <c r="S591" t="s">
        <v>2066</v>
      </c>
    </row>
    <row r="592" spans="1:19">
      <c r="A592" t="s">
        <v>4368</v>
      </c>
      <c r="B592" t="s">
        <v>720</v>
      </c>
      <c r="C592" t="s">
        <v>3607</v>
      </c>
      <c r="D592">
        <v>332</v>
      </c>
      <c r="E592" t="s">
        <v>1511</v>
      </c>
      <c r="F592" t="s">
        <v>1511</v>
      </c>
      <c r="I592" t="s">
        <v>3238</v>
      </c>
      <c r="J592" t="s">
        <v>34</v>
      </c>
      <c r="K592" t="s">
        <v>34</v>
      </c>
      <c r="L592">
        <v>4</v>
      </c>
      <c r="M592">
        <v>2</v>
      </c>
      <c r="N592" t="s">
        <v>2077</v>
      </c>
      <c r="O592" t="s">
        <v>1513</v>
      </c>
      <c r="P592" t="s">
        <v>1444</v>
      </c>
      <c r="Q592" t="s">
        <v>1513</v>
      </c>
      <c r="R592" t="s">
        <v>2078</v>
      </c>
      <c r="S592" t="s">
        <v>2079</v>
      </c>
    </row>
    <row r="593" spans="1:19">
      <c r="A593" t="s">
        <v>4371</v>
      </c>
      <c r="B593" t="s">
        <v>779</v>
      </c>
      <c r="C593" t="s">
        <v>3607</v>
      </c>
      <c r="D593" t="s">
        <v>748</v>
      </c>
      <c r="E593" t="s">
        <v>2082</v>
      </c>
      <c r="F593" t="s">
        <v>3697</v>
      </c>
      <c r="G593">
        <v>1</v>
      </c>
      <c r="I593" t="s">
        <v>3238</v>
      </c>
      <c r="J593" t="s">
        <v>34</v>
      </c>
      <c r="K593" t="s">
        <v>34</v>
      </c>
      <c r="L593">
        <v>4</v>
      </c>
      <c r="M593">
        <v>2</v>
      </c>
      <c r="N593" t="s">
        <v>2077</v>
      </c>
      <c r="O593" t="s">
        <v>1457</v>
      </c>
      <c r="P593" t="s">
        <v>1444</v>
      </c>
      <c r="Q593" t="s">
        <v>1443</v>
      </c>
      <c r="R593" t="s">
        <v>776</v>
      </c>
      <c r="S593" t="s">
        <v>2083</v>
      </c>
    </row>
    <row r="594" spans="1:19">
      <c r="A594" t="s">
        <v>4372</v>
      </c>
      <c r="B594" t="s">
        <v>726</v>
      </c>
      <c r="C594" t="s">
        <v>3607</v>
      </c>
      <c r="D594" t="s">
        <v>727</v>
      </c>
      <c r="E594" t="s">
        <v>1511</v>
      </c>
      <c r="F594" t="s">
        <v>1511</v>
      </c>
      <c r="I594" t="s">
        <v>3238</v>
      </c>
      <c r="J594" t="s">
        <v>34</v>
      </c>
      <c r="K594" t="s">
        <v>34</v>
      </c>
      <c r="L594">
        <v>4</v>
      </c>
      <c r="M594">
        <v>2</v>
      </c>
      <c r="N594" t="s">
        <v>2077</v>
      </c>
      <c r="O594" t="s">
        <v>1513</v>
      </c>
      <c r="P594" t="s">
        <v>1444</v>
      </c>
      <c r="Q594" t="s">
        <v>1513</v>
      </c>
      <c r="R594" t="s">
        <v>776</v>
      </c>
      <c r="S594" t="s">
        <v>2084</v>
      </c>
    </row>
    <row r="595" spans="1:19">
      <c r="A595" t="s">
        <v>4363</v>
      </c>
      <c r="B595" t="s">
        <v>736</v>
      </c>
      <c r="C595" t="s">
        <v>3607</v>
      </c>
      <c r="D595" t="s">
        <v>737</v>
      </c>
      <c r="E595" t="s">
        <v>2067</v>
      </c>
      <c r="H595" t="s">
        <v>2067</v>
      </c>
      <c r="I595" t="s">
        <v>3238</v>
      </c>
      <c r="J595" t="s">
        <v>34</v>
      </c>
      <c r="K595" t="s">
        <v>34</v>
      </c>
      <c r="L595">
        <v>5</v>
      </c>
      <c r="M595">
        <v>1</v>
      </c>
      <c r="N595" t="s">
        <v>2068</v>
      </c>
      <c r="O595" t="s">
        <v>1457</v>
      </c>
      <c r="P595" t="s">
        <v>1444</v>
      </c>
      <c r="Q595" t="s">
        <v>1443</v>
      </c>
      <c r="R595" t="s">
        <v>2065</v>
      </c>
      <c r="S595" t="s">
        <v>2069</v>
      </c>
    </row>
    <row r="596" spans="1:19">
      <c r="A596" t="s">
        <v>4366</v>
      </c>
      <c r="B596" t="s">
        <v>743</v>
      </c>
      <c r="C596" t="s">
        <v>3607</v>
      </c>
      <c r="D596">
        <v>331</v>
      </c>
      <c r="E596" t="s">
        <v>1599</v>
      </c>
      <c r="F596">
        <v>10</v>
      </c>
      <c r="G596">
        <v>1</v>
      </c>
      <c r="I596" t="s">
        <v>3238</v>
      </c>
      <c r="J596" t="s">
        <v>34</v>
      </c>
      <c r="K596" t="s">
        <v>34</v>
      </c>
      <c r="L596">
        <v>5</v>
      </c>
      <c r="M596">
        <v>2</v>
      </c>
      <c r="N596" t="s">
        <v>2073</v>
      </c>
      <c r="O596" t="s">
        <v>1441</v>
      </c>
      <c r="P596" t="s">
        <v>1523</v>
      </c>
      <c r="Q596" t="s">
        <v>1473</v>
      </c>
      <c r="R596" t="s">
        <v>736</v>
      </c>
      <c r="S596" t="s">
        <v>2074</v>
      </c>
    </row>
    <row r="597" spans="1:19">
      <c r="A597" t="s">
        <v>4367</v>
      </c>
      <c r="B597" t="s">
        <v>769</v>
      </c>
      <c r="C597" t="s">
        <v>3607</v>
      </c>
      <c r="D597" t="s">
        <v>770</v>
      </c>
      <c r="E597" t="s">
        <v>2075</v>
      </c>
      <c r="H597" t="s">
        <v>2075</v>
      </c>
      <c r="I597" t="s">
        <v>3238</v>
      </c>
      <c r="J597" t="s">
        <v>34</v>
      </c>
      <c r="K597" t="s">
        <v>34</v>
      </c>
      <c r="L597">
        <v>5</v>
      </c>
      <c r="M597">
        <v>2</v>
      </c>
      <c r="N597" t="s">
        <v>2073</v>
      </c>
      <c r="O597" t="s">
        <v>1447</v>
      </c>
      <c r="P597" t="s">
        <v>1444</v>
      </c>
      <c r="Q597" t="s">
        <v>1443</v>
      </c>
      <c r="R597" t="s">
        <v>736</v>
      </c>
      <c r="S597" t="s">
        <v>2076</v>
      </c>
    </row>
    <row r="598" spans="1:19">
      <c r="A598" t="s">
        <v>4369</v>
      </c>
      <c r="B598" t="s">
        <v>749</v>
      </c>
      <c r="C598" t="s">
        <v>3607</v>
      </c>
      <c r="D598">
        <v>332</v>
      </c>
      <c r="E598" t="s">
        <v>1450</v>
      </c>
      <c r="F598">
        <v>3</v>
      </c>
      <c r="I598" t="s">
        <v>3238</v>
      </c>
      <c r="J598" t="s">
        <v>34</v>
      </c>
      <c r="K598" t="s">
        <v>34</v>
      </c>
      <c r="L598">
        <v>5</v>
      </c>
      <c r="M598">
        <v>2</v>
      </c>
      <c r="N598" t="s">
        <v>2073</v>
      </c>
      <c r="O598" t="s">
        <v>1441</v>
      </c>
      <c r="P598" t="s">
        <v>1444</v>
      </c>
      <c r="Q598" t="s">
        <v>1443</v>
      </c>
      <c r="R598" t="s">
        <v>720</v>
      </c>
      <c r="S598" t="s">
        <v>2080</v>
      </c>
    </row>
    <row r="599" spans="1:19">
      <c r="A599" t="s">
        <v>4370</v>
      </c>
      <c r="B599" t="s">
        <v>772</v>
      </c>
      <c r="C599" t="s">
        <v>3607</v>
      </c>
      <c r="D599" t="s">
        <v>773</v>
      </c>
      <c r="E599" t="s">
        <v>1497</v>
      </c>
      <c r="F599">
        <v>6</v>
      </c>
      <c r="I599" t="s">
        <v>3238</v>
      </c>
      <c r="J599" t="s">
        <v>34</v>
      </c>
      <c r="K599" t="s">
        <v>34</v>
      </c>
      <c r="L599">
        <v>5</v>
      </c>
      <c r="M599">
        <v>2</v>
      </c>
      <c r="N599" t="s">
        <v>2073</v>
      </c>
      <c r="O599" t="s">
        <v>1457</v>
      </c>
      <c r="P599" t="s">
        <v>1523</v>
      </c>
      <c r="Q599" t="s">
        <v>1443</v>
      </c>
      <c r="R599" t="s">
        <v>749</v>
      </c>
      <c r="S599" s="18" t="s">
        <v>2081</v>
      </c>
    </row>
    <row r="600" spans="1:19">
      <c r="A600" t="s">
        <v>4373</v>
      </c>
      <c r="B600" t="s">
        <v>2085</v>
      </c>
      <c r="C600" t="s">
        <v>3607</v>
      </c>
      <c r="D600" t="s">
        <v>748</v>
      </c>
      <c r="E600" t="s">
        <v>1511</v>
      </c>
      <c r="F600" t="s">
        <v>1511</v>
      </c>
      <c r="I600" t="s">
        <v>3238</v>
      </c>
      <c r="J600" t="s">
        <v>34</v>
      </c>
      <c r="K600" t="s">
        <v>34</v>
      </c>
      <c r="L600">
        <v>5</v>
      </c>
      <c r="M600">
        <v>3</v>
      </c>
      <c r="N600" t="s">
        <v>2086</v>
      </c>
      <c r="O600" t="s">
        <v>1513</v>
      </c>
      <c r="P600" t="s">
        <v>1444</v>
      </c>
      <c r="Q600" t="s">
        <v>1513</v>
      </c>
      <c r="R600" t="s">
        <v>736</v>
      </c>
      <c r="S600" t="s">
        <v>2087</v>
      </c>
    </row>
    <row r="601" spans="1:19">
      <c r="A601" t="s">
        <v>4374</v>
      </c>
      <c r="B601" t="s">
        <v>762</v>
      </c>
      <c r="C601" t="s">
        <v>3607</v>
      </c>
      <c r="D601" t="s">
        <v>763</v>
      </c>
      <c r="E601" t="s">
        <v>1511</v>
      </c>
      <c r="F601" t="s">
        <v>1511</v>
      </c>
      <c r="I601" t="s">
        <v>3238</v>
      </c>
      <c r="J601" t="s">
        <v>34</v>
      </c>
      <c r="K601" t="s">
        <v>34</v>
      </c>
      <c r="L601">
        <v>5</v>
      </c>
      <c r="M601">
        <v>3</v>
      </c>
      <c r="N601" t="s">
        <v>2086</v>
      </c>
      <c r="O601" t="s">
        <v>1513</v>
      </c>
      <c r="P601" t="s">
        <v>1444</v>
      </c>
      <c r="Q601" t="s">
        <v>1513</v>
      </c>
      <c r="R601" t="s">
        <v>2085</v>
      </c>
      <c r="S601" t="s">
        <v>2088</v>
      </c>
    </row>
    <row r="602" spans="1:19">
      <c r="A602" t="s">
        <v>4375</v>
      </c>
      <c r="B602" t="s">
        <v>759</v>
      </c>
      <c r="C602" t="s">
        <v>3607</v>
      </c>
      <c r="D602">
        <v>333</v>
      </c>
      <c r="E602" t="s">
        <v>1456</v>
      </c>
      <c r="F602">
        <v>4</v>
      </c>
      <c r="G602">
        <v>1</v>
      </c>
      <c r="I602" t="s">
        <v>3238</v>
      </c>
      <c r="J602" t="s">
        <v>34</v>
      </c>
      <c r="K602" t="s">
        <v>34</v>
      </c>
      <c r="L602">
        <v>5</v>
      </c>
      <c r="M602">
        <v>3</v>
      </c>
      <c r="N602" t="s">
        <v>2086</v>
      </c>
      <c r="O602" t="s">
        <v>1457</v>
      </c>
      <c r="P602" t="s">
        <v>1444</v>
      </c>
      <c r="Q602" t="s">
        <v>1443</v>
      </c>
      <c r="R602" t="s">
        <v>772</v>
      </c>
      <c r="S602" t="s">
        <v>2089</v>
      </c>
    </row>
    <row r="603" spans="1:19">
      <c r="A603" t="s">
        <v>4376</v>
      </c>
      <c r="B603" t="s">
        <v>775</v>
      </c>
      <c r="C603" t="s">
        <v>3607</v>
      </c>
      <c r="D603">
        <v>333</v>
      </c>
      <c r="E603" t="s">
        <v>2090</v>
      </c>
      <c r="F603">
        <v>15</v>
      </c>
      <c r="G603">
        <v>1</v>
      </c>
      <c r="I603" t="s">
        <v>3238</v>
      </c>
      <c r="J603" t="s">
        <v>34</v>
      </c>
      <c r="K603" t="s">
        <v>34</v>
      </c>
      <c r="L603">
        <v>5</v>
      </c>
      <c r="M603">
        <v>3</v>
      </c>
      <c r="N603" t="s">
        <v>2086</v>
      </c>
      <c r="O603" t="s">
        <v>1457</v>
      </c>
      <c r="P603" t="s">
        <v>1444</v>
      </c>
      <c r="Q603" t="s">
        <v>1443</v>
      </c>
      <c r="R603" t="s">
        <v>2091</v>
      </c>
      <c r="S603" t="s">
        <v>2092</v>
      </c>
    </row>
    <row r="604" spans="1:19">
      <c r="A604" t="s">
        <v>4377</v>
      </c>
      <c r="B604" t="s">
        <v>741</v>
      </c>
      <c r="C604" t="s">
        <v>3607</v>
      </c>
      <c r="D604">
        <v>333</v>
      </c>
      <c r="E604" t="s">
        <v>1511</v>
      </c>
      <c r="F604" t="s">
        <v>1511</v>
      </c>
      <c r="I604" t="s">
        <v>3238</v>
      </c>
      <c r="J604" t="s">
        <v>34</v>
      </c>
      <c r="K604" t="s">
        <v>34</v>
      </c>
      <c r="L604">
        <v>5</v>
      </c>
      <c r="M604">
        <v>3</v>
      </c>
      <c r="N604" t="s">
        <v>2086</v>
      </c>
      <c r="O604" t="s">
        <v>1513</v>
      </c>
      <c r="P604" t="s">
        <v>1444</v>
      </c>
      <c r="Q604" t="s">
        <v>1513</v>
      </c>
      <c r="R604" t="s">
        <v>2093</v>
      </c>
      <c r="S604" t="s">
        <v>2094</v>
      </c>
    </row>
    <row r="605" spans="1:19">
      <c r="A605" t="s">
        <v>4378</v>
      </c>
      <c r="B605" t="s">
        <v>747</v>
      </c>
      <c r="C605" t="s">
        <v>3607</v>
      </c>
      <c r="D605">
        <v>333</v>
      </c>
      <c r="E605" t="s">
        <v>2095</v>
      </c>
      <c r="F605" t="s">
        <v>3698</v>
      </c>
      <c r="G605">
        <v>1</v>
      </c>
      <c r="I605" t="s">
        <v>3238</v>
      </c>
      <c r="J605" t="s">
        <v>34</v>
      </c>
      <c r="K605" t="s">
        <v>34</v>
      </c>
      <c r="L605">
        <v>5</v>
      </c>
      <c r="M605">
        <v>3</v>
      </c>
      <c r="N605" t="s">
        <v>2086</v>
      </c>
      <c r="O605" t="s">
        <v>1457</v>
      </c>
      <c r="P605" t="s">
        <v>1452</v>
      </c>
      <c r="Q605" t="s">
        <v>1443</v>
      </c>
      <c r="R605" t="s">
        <v>779</v>
      </c>
      <c r="S605" t="s">
        <v>2096</v>
      </c>
    </row>
    <row r="606" spans="1:19">
      <c r="A606" t="s">
        <v>4379</v>
      </c>
      <c r="B606" t="s">
        <v>728</v>
      </c>
      <c r="C606" t="s">
        <v>3607</v>
      </c>
      <c r="D606" t="s">
        <v>729</v>
      </c>
      <c r="E606" t="s">
        <v>1592</v>
      </c>
      <c r="F606" t="s">
        <v>3699</v>
      </c>
      <c r="G606">
        <v>1</v>
      </c>
      <c r="I606" t="s">
        <v>3238</v>
      </c>
      <c r="J606" t="s">
        <v>34</v>
      </c>
      <c r="K606" t="s">
        <v>34</v>
      </c>
      <c r="L606">
        <v>5</v>
      </c>
      <c r="M606">
        <v>3</v>
      </c>
      <c r="N606" t="s">
        <v>2086</v>
      </c>
      <c r="O606" t="s">
        <v>1457</v>
      </c>
      <c r="P606" t="s">
        <v>1444</v>
      </c>
      <c r="Q606" t="s">
        <v>1443</v>
      </c>
      <c r="R606" t="s">
        <v>747</v>
      </c>
      <c r="S606" t="s">
        <v>2097</v>
      </c>
    </row>
    <row r="607" spans="1:19">
      <c r="A607" t="s">
        <v>4380</v>
      </c>
      <c r="B607" t="s">
        <v>732</v>
      </c>
      <c r="C607" t="s">
        <v>3607</v>
      </c>
      <c r="D607">
        <v>334</v>
      </c>
      <c r="E607" t="s">
        <v>1479</v>
      </c>
      <c r="F607">
        <v>6</v>
      </c>
      <c r="G607">
        <v>1</v>
      </c>
      <c r="I607" t="s">
        <v>3238</v>
      </c>
      <c r="J607" t="s">
        <v>34</v>
      </c>
      <c r="K607" t="s">
        <v>34</v>
      </c>
      <c r="L607">
        <v>5</v>
      </c>
      <c r="M607">
        <v>3</v>
      </c>
      <c r="N607" t="s">
        <v>2086</v>
      </c>
      <c r="O607" t="s">
        <v>1457</v>
      </c>
      <c r="P607" t="s">
        <v>1523</v>
      </c>
      <c r="Q607" t="s">
        <v>1443</v>
      </c>
      <c r="R607" t="s">
        <v>728</v>
      </c>
      <c r="S607" t="s">
        <v>2098</v>
      </c>
    </row>
    <row r="608" spans="1:19">
      <c r="A608" t="s">
        <v>4381</v>
      </c>
      <c r="B608" t="s">
        <v>738</v>
      </c>
      <c r="C608" t="s">
        <v>3607</v>
      </c>
      <c r="D608" t="s">
        <v>739</v>
      </c>
      <c r="E608" t="s">
        <v>1599</v>
      </c>
      <c r="F608">
        <v>10</v>
      </c>
      <c r="G608">
        <v>1</v>
      </c>
      <c r="I608" t="s">
        <v>3238</v>
      </c>
      <c r="J608" t="s">
        <v>34</v>
      </c>
      <c r="K608" t="s">
        <v>34</v>
      </c>
      <c r="L608">
        <v>5</v>
      </c>
      <c r="M608">
        <v>3</v>
      </c>
      <c r="N608" t="s">
        <v>2086</v>
      </c>
      <c r="O608" t="s">
        <v>1447</v>
      </c>
      <c r="P608" t="s">
        <v>1630</v>
      </c>
      <c r="Q608" t="s">
        <v>1443</v>
      </c>
      <c r="R608" t="s">
        <v>728</v>
      </c>
      <c r="S608" t="s">
        <v>2099</v>
      </c>
    </row>
    <row r="609" spans="1:19">
      <c r="A609" t="s">
        <v>4382</v>
      </c>
      <c r="B609" t="s">
        <v>744</v>
      </c>
      <c r="C609" t="s">
        <v>3607</v>
      </c>
      <c r="D609" t="s">
        <v>745</v>
      </c>
      <c r="E609" t="s">
        <v>1511</v>
      </c>
      <c r="F609" t="s">
        <v>1511</v>
      </c>
      <c r="I609" t="s">
        <v>3238</v>
      </c>
      <c r="J609" t="s">
        <v>34</v>
      </c>
      <c r="K609" t="s">
        <v>34</v>
      </c>
      <c r="L609">
        <v>5</v>
      </c>
      <c r="M609">
        <v>3</v>
      </c>
      <c r="N609" t="s">
        <v>2086</v>
      </c>
      <c r="O609" t="s">
        <v>1513</v>
      </c>
      <c r="P609" t="s">
        <v>1444</v>
      </c>
      <c r="Q609" t="s">
        <v>1513</v>
      </c>
      <c r="R609" t="s">
        <v>726</v>
      </c>
      <c r="S609" t="s">
        <v>2100</v>
      </c>
    </row>
    <row r="610" spans="1:19">
      <c r="A610" t="s">
        <v>4383</v>
      </c>
      <c r="B610" t="s">
        <v>735</v>
      </c>
      <c r="C610" t="s">
        <v>3607</v>
      </c>
      <c r="D610">
        <v>334</v>
      </c>
      <c r="E610" t="s">
        <v>2101</v>
      </c>
      <c r="F610">
        <v>10</v>
      </c>
      <c r="H610" t="s">
        <v>3603</v>
      </c>
      <c r="I610" t="s">
        <v>3238</v>
      </c>
      <c r="J610" t="s">
        <v>34</v>
      </c>
      <c r="K610" t="s">
        <v>34</v>
      </c>
      <c r="L610">
        <v>5</v>
      </c>
      <c r="M610">
        <v>3</v>
      </c>
      <c r="N610" t="s">
        <v>2086</v>
      </c>
      <c r="O610" t="s">
        <v>1447</v>
      </c>
      <c r="P610" t="s">
        <v>1523</v>
      </c>
      <c r="Q610" t="s">
        <v>1443</v>
      </c>
      <c r="R610" t="s">
        <v>744</v>
      </c>
      <c r="S610" t="s">
        <v>2102</v>
      </c>
    </row>
    <row r="611" spans="1:19">
      <c r="A611" t="s">
        <v>4384</v>
      </c>
      <c r="B611" t="s">
        <v>756</v>
      </c>
      <c r="C611" t="s">
        <v>3607</v>
      </c>
      <c r="D611" t="s">
        <v>739</v>
      </c>
      <c r="E611" t="s">
        <v>2103</v>
      </c>
      <c r="F611" t="s">
        <v>2434</v>
      </c>
      <c r="H611" t="s">
        <v>2103</v>
      </c>
      <c r="I611" t="s">
        <v>3238</v>
      </c>
      <c r="J611" t="s">
        <v>34</v>
      </c>
      <c r="K611" t="s">
        <v>34</v>
      </c>
      <c r="L611">
        <v>5</v>
      </c>
      <c r="M611">
        <v>3</v>
      </c>
      <c r="N611" t="s">
        <v>2086</v>
      </c>
      <c r="O611" t="s">
        <v>1457</v>
      </c>
      <c r="P611" t="s">
        <v>1620</v>
      </c>
      <c r="Q611" t="s">
        <v>1443</v>
      </c>
      <c r="R611" t="s">
        <v>735</v>
      </c>
      <c r="S611" t="s">
        <v>2104</v>
      </c>
    </row>
    <row r="612" spans="1:19">
      <c r="A612" t="s">
        <v>4385</v>
      </c>
      <c r="B612" t="s">
        <v>765</v>
      </c>
      <c r="C612" t="s">
        <v>3607</v>
      </c>
      <c r="D612" t="s">
        <v>766</v>
      </c>
      <c r="E612" t="s">
        <v>1511</v>
      </c>
      <c r="F612" t="s">
        <v>1511</v>
      </c>
      <c r="I612" t="s">
        <v>3238</v>
      </c>
      <c r="J612" t="s">
        <v>34</v>
      </c>
      <c r="K612" t="s">
        <v>34</v>
      </c>
      <c r="L612">
        <v>5</v>
      </c>
      <c r="M612">
        <v>3</v>
      </c>
      <c r="N612" t="s">
        <v>2086</v>
      </c>
      <c r="O612" t="s">
        <v>1513</v>
      </c>
      <c r="P612" t="s">
        <v>1444</v>
      </c>
      <c r="Q612" t="s">
        <v>1513</v>
      </c>
      <c r="R612" t="s">
        <v>735</v>
      </c>
      <c r="S612" t="s">
        <v>2105</v>
      </c>
    </row>
    <row r="613" spans="1:19">
      <c r="A613" t="s">
        <v>4386</v>
      </c>
      <c r="B613" t="s">
        <v>751</v>
      </c>
      <c r="C613" t="s">
        <v>3607</v>
      </c>
      <c r="D613" t="s">
        <v>752</v>
      </c>
      <c r="E613" t="s">
        <v>2090</v>
      </c>
      <c r="F613">
        <v>15</v>
      </c>
      <c r="G613">
        <v>1</v>
      </c>
      <c r="I613" t="s">
        <v>3238</v>
      </c>
      <c r="J613" t="s">
        <v>34</v>
      </c>
      <c r="K613" t="s">
        <v>34</v>
      </c>
      <c r="L613">
        <v>5</v>
      </c>
      <c r="M613">
        <v>3</v>
      </c>
      <c r="N613" t="s">
        <v>2086</v>
      </c>
      <c r="O613" t="s">
        <v>1457</v>
      </c>
      <c r="P613" t="s">
        <v>1444</v>
      </c>
      <c r="Q613" t="s">
        <v>1443</v>
      </c>
      <c r="R613" t="s">
        <v>1444</v>
      </c>
      <c r="S613" t="s">
        <v>2106</v>
      </c>
    </row>
    <row r="614" spans="1:19">
      <c r="A614" t="s">
        <v>4387</v>
      </c>
      <c r="B614" t="s">
        <v>785</v>
      </c>
      <c r="C614" t="s">
        <v>3607</v>
      </c>
      <c r="D614" t="s">
        <v>786</v>
      </c>
      <c r="E614" t="s">
        <v>2107</v>
      </c>
      <c r="F614">
        <v>15</v>
      </c>
      <c r="H614" t="s">
        <v>3700</v>
      </c>
      <c r="I614" t="s">
        <v>3238</v>
      </c>
      <c r="J614" t="s">
        <v>34</v>
      </c>
      <c r="K614" t="s">
        <v>34</v>
      </c>
      <c r="L614">
        <v>5</v>
      </c>
      <c r="M614">
        <v>3</v>
      </c>
      <c r="N614" t="s">
        <v>2086</v>
      </c>
      <c r="O614" t="s">
        <v>1457</v>
      </c>
      <c r="P614" t="s">
        <v>1444</v>
      </c>
      <c r="Q614" t="s">
        <v>1443</v>
      </c>
      <c r="R614" t="s">
        <v>2108</v>
      </c>
      <c r="S614" t="s">
        <v>2109</v>
      </c>
    </row>
    <row r="615" spans="1:19">
      <c r="A615" t="s">
        <v>4388</v>
      </c>
      <c r="B615" t="s">
        <v>742</v>
      </c>
      <c r="C615" t="s">
        <v>3607</v>
      </c>
      <c r="D615">
        <v>337</v>
      </c>
      <c r="E615" t="s">
        <v>1511</v>
      </c>
      <c r="F615" t="s">
        <v>1511</v>
      </c>
      <c r="I615" t="s">
        <v>3238</v>
      </c>
      <c r="J615" t="s">
        <v>34</v>
      </c>
      <c r="K615" t="s">
        <v>34</v>
      </c>
      <c r="L615">
        <v>5</v>
      </c>
      <c r="M615">
        <v>3</v>
      </c>
      <c r="N615" t="s">
        <v>2086</v>
      </c>
      <c r="O615" t="s">
        <v>1513</v>
      </c>
      <c r="P615" t="s">
        <v>1444</v>
      </c>
      <c r="Q615" t="s">
        <v>1513</v>
      </c>
      <c r="R615" t="s">
        <v>785</v>
      </c>
      <c r="S615" t="s">
        <v>2110</v>
      </c>
    </row>
    <row r="616" spans="1:19">
      <c r="A616" t="s">
        <v>4389</v>
      </c>
      <c r="B616" t="s">
        <v>780</v>
      </c>
      <c r="C616" t="s">
        <v>3607</v>
      </c>
      <c r="D616" t="s">
        <v>781</v>
      </c>
      <c r="E616" t="s">
        <v>1511</v>
      </c>
      <c r="F616" t="s">
        <v>1511</v>
      </c>
      <c r="I616" t="s">
        <v>3238</v>
      </c>
      <c r="J616" t="s">
        <v>34</v>
      </c>
      <c r="K616" t="s">
        <v>34</v>
      </c>
      <c r="L616">
        <v>5</v>
      </c>
      <c r="M616">
        <v>3</v>
      </c>
      <c r="N616" t="s">
        <v>2086</v>
      </c>
      <c r="O616" t="s">
        <v>1513</v>
      </c>
      <c r="P616" t="s">
        <v>1444</v>
      </c>
      <c r="Q616" t="s">
        <v>1513</v>
      </c>
      <c r="R616" t="s">
        <v>785</v>
      </c>
      <c r="S616" t="s">
        <v>2111</v>
      </c>
    </row>
    <row r="617" spans="1:19">
      <c r="A617" t="s">
        <v>4390</v>
      </c>
      <c r="B617" t="s">
        <v>782</v>
      </c>
      <c r="C617" t="s">
        <v>3607</v>
      </c>
      <c r="D617" t="s">
        <v>781</v>
      </c>
      <c r="E617" t="s">
        <v>2112</v>
      </c>
      <c r="F617">
        <v>7</v>
      </c>
      <c r="H617" t="s">
        <v>3701</v>
      </c>
      <c r="I617" t="s">
        <v>3238</v>
      </c>
      <c r="J617" t="s">
        <v>34</v>
      </c>
      <c r="K617" t="s">
        <v>34</v>
      </c>
      <c r="L617">
        <v>5</v>
      </c>
      <c r="M617">
        <v>3</v>
      </c>
      <c r="N617" t="s">
        <v>2086</v>
      </c>
      <c r="O617" t="s">
        <v>1447</v>
      </c>
      <c r="P617" t="s">
        <v>1444</v>
      </c>
      <c r="Q617" t="s">
        <v>1443</v>
      </c>
      <c r="R617" t="s">
        <v>785</v>
      </c>
      <c r="S617" t="s">
        <v>2113</v>
      </c>
    </row>
    <row r="618" spans="1:19">
      <c r="A618" t="s">
        <v>4391</v>
      </c>
      <c r="B618" t="s">
        <v>784</v>
      </c>
      <c r="C618" t="s">
        <v>3607</v>
      </c>
      <c r="D618" t="s">
        <v>781</v>
      </c>
      <c r="E618" t="s">
        <v>1511</v>
      </c>
      <c r="F618" t="s">
        <v>1511</v>
      </c>
      <c r="I618" t="s">
        <v>3238</v>
      </c>
      <c r="J618" t="s">
        <v>34</v>
      </c>
      <c r="K618" t="s">
        <v>34</v>
      </c>
      <c r="L618">
        <v>5</v>
      </c>
      <c r="M618">
        <v>3</v>
      </c>
      <c r="N618" t="s">
        <v>2086</v>
      </c>
      <c r="O618" t="s">
        <v>1513</v>
      </c>
      <c r="P618" t="s">
        <v>1444</v>
      </c>
      <c r="Q618" t="s">
        <v>1513</v>
      </c>
      <c r="R618" t="s">
        <v>785</v>
      </c>
      <c r="S618" t="s">
        <v>2114</v>
      </c>
    </row>
    <row r="619" spans="1:19">
      <c r="A619" t="s">
        <v>4392</v>
      </c>
      <c r="B619" t="s">
        <v>771</v>
      </c>
      <c r="C619" t="s">
        <v>3607</v>
      </c>
      <c r="D619">
        <v>338</v>
      </c>
      <c r="E619" t="s">
        <v>1467</v>
      </c>
      <c r="F619">
        <v>5</v>
      </c>
      <c r="G619">
        <v>1</v>
      </c>
      <c r="I619" t="s">
        <v>3238</v>
      </c>
      <c r="J619" t="s">
        <v>34</v>
      </c>
      <c r="K619" t="s">
        <v>34</v>
      </c>
      <c r="L619">
        <v>5</v>
      </c>
      <c r="M619">
        <v>3</v>
      </c>
      <c r="N619" t="s">
        <v>2115</v>
      </c>
      <c r="O619" t="s">
        <v>1457</v>
      </c>
      <c r="P619" t="s">
        <v>1444</v>
      </c>
      <c r="Q619" t="s">
        <v>1443</v>
      </c>
      <c r="R619" t="s">
        <v>2116</v>
      </c>
      <c r="S619" t="s">
        <v>2117</v>
      </c>
    </row>
    <row r="620" spans="1:19">
      <c r="A620" t="s">
        <v>4393</v>
      </c>
      <c r="B620" t="s">
        <v>754</v>
      </c>
      <c r="C620" t="s">
        <v>3607</v>
      </c>
      <c r="D620" t="s">
        <v>755</v>
      </c>
      <c r="E620" t="s">
        <v>2118</v>
      </c>
      <c r="F620">
        <v>5</v>
      </c>
      <c r="H620" t="s">
        <v>3630</v>
      </c>
      <c r="I620" t="s">
        <v>3238</v>
      </c>
      <c r="J620" t="s">
        <v>34</v>
      </c>
      <c r="K620" t="s">
        <v>34</v>
      </c>
      <c r="L620">
        <v>5</v>
      </c>
      <c r="M620">
        <v>4</v>
      </c>
      <c r="N620" t="s">
        <v>2119</v>
      </c>
      <c r="O620" t="s">
        <v>1457</v>
      </c>
      <c r="P620" t="s">
        <v>1774</v>
      </c>
      <c r="Q620" t="s">
        <v>1547</v>
      </c>
      <c r="R620" t="s">
        <v>2120</v>
      </c>
      <c r="S620" t="s">
        <v>3518</v>
      </c>
    </row>
    <row r="621" spans="1:19">
      <c r="A621" t="s">
        <v>4394</v>
      </c>
      <c r="B621" t="s">
        <v>757</v>
      </c>
      <c r="C621" t="s">
        <v>3607</v>
      </c>
      <c r="D621" t="s">
        <v>758</v>
      </c>
      <c r="E621" t="s">
        <v>1949</v>
      </c>
      <c r="F621">
        <v>12</v>
      </c>
      <c r="G621">
        <v>1</v>
      </c>
      <c r="I621" t="s">
        <v>3238</v>
      </c>
      <c r="J621" t="s">
        <v>34</v>
      </c>
      <c r="K621" t="s">
        <v>34</v>
      </c>
      <c r="L621">
        <v>5</v>
      </c>
      <c r="M621">
        <v>4</v>
      </c>
      <c r="N621" t="s">
        <v>2119</v>
      </c>
      <c r="O621" t="s">
        <v>1457</v>
      </c>
      <c r="P621" t="s">
        <v>1444</v>
      </c>
      <c r="Q621" t="s">
        <v>1443</v>
      </c>
      <c r="R621" t="s">
        <v>772</v>
      </c>
      <c r="S621" t="s">
        <v>2121</v>
      </c>
    </row>
    <row r="622" spans="1:19">
      <c r="A622" t="s">
        <v>4395</v>
      </c>
      <c r="B622" t="s">
        <v>778</v>
      </c>
      <c r="C622" t="s">
        <v>3607</v>
      </c>
      <c r="D622">
        <v>339</v>
      </c>
      <c r="E622" t="s">
        <v>1945</v>
      </c>
      <c r="F622">
        <v>10</v>
      </c>
      <c r="I622" t="s">
        <v>3238</v>
      </c>
      <c r="J622" t="s">
        <v>34</v>
      </c>
      <c r="K622" t="s">
        <v>34</v>
      </c>
      <c r="L622">
        <v>5</v>
      </c>
      <c r="M622">
        <v>4</v>
      </c>
      <c r="N622" t="s">
        <v>2119</v>
      </c>
      <c r="O622" t="s">
        <v>1457</v>
      </c>
      <c r="P622" t="s">
        <v>1523</v>
      </c>
      <c r="Q622" t="s">
        <v>1443</v>
      </c>
      <c r="R622" t="s">
        <v>2122</v>
      </c>
      <c r="S622" t="s">
        <v>2123</v>
      </c>
    </row>
    <row r="623" spans="1:19">
      <c r="A623" t="s">
        <v>4396</v>
      </c>
      <c r="B623" t="s">
        <v>767</v>
      </c>
      <c r="C623" t="s">
        <v>3607</v>
      </c>
      <c r="D623" t="s">
        <v>768</v>
      </c>
      <c r="E623" t="s">
        <v>1511</v>
      </c>
      <c r="F623" t="s">
        <v>1511</v>
      </c>
      <c r="I623" t="s">
        <v>3238</v>
      </c>
      <c r="J623" t="s">
        <v>34</v>
      </c>
      <c r="K623" t="s">
        <v>34</v>
      </c>
      <c r="L623">
        <v>5</v>
      </c>
      <c r="M623">
        <v>4</v>
      </c>
      <c r="N623" t="s">
        <v>2119</v>
      </c>
      <c r="O623" t="s">
        <v>1457</v>
      </c>
      <c r="P623" t="s">
        <v>1444</v>
      </c>
      <c r="Q623" t="s">
        <v>1443</v>
      </c>
      <c r="R623" t="s">
        <v>756</v>
      </c>
      <c r="S623" t="s">
        <v>2124</v>
      </c>
    </row>
    <row r="624" spans="1:19">
      <c r="A624" t="s">
        <v>4397</v>
      </c>
      <c r="B624" t="s">
        <v>761</v>
      </c>
      <c r="C624" t="s">
        <v>3607</v>
      </c>
      <c r="D624" t="s">
        <v>725</v>
      </c>
      <c r="E624" t="s">
        <v>1511</v>
      </c>
      <c r="F624" t="s">
        <v>1511</v>
      </c>
      <c r="I624" t="s">
        <v>3238</v>
      </c>
      <c r="J624" t="s">
        <v>34</v>
      </c>
      <c r="K624" t="s">
        <v>34</v>
      </c>
      <c r="L624">
        <v>5</v>
      </c>
      <c r="M624">
        <v>4</v>
      </c>
      <c r="N624" t="s">
        <v>2119</v>
      </c>
      <c r="O624" t="s">
        <v>1457</v>
      </c>
      <c r="P624" t="s">
        <v>1444</v>
      </c>
      <c r="Q624" t="s">
        <v>1443</v>
      </c>
      <c r="R624" t="s">
        <v>765</v>
      </c>
      <c r="S624" t="s">
        <v>2125</v>
      </c>
    </row>
    <row r="625" spans="1:19">
      <c r="A625" t="s">
        <v>4398</v>
      </c>
      <c r="B625" t="s">
        <v>764</v>
      </c>
      <c r="C625" t="s">
        <v>3607</v>
      </c>
      <c r="D625">
        <v>340</v>
      </c>
      <c r="E625" t="s">
        <v>1511</v>
      </c>
      <c r="F625" t="s">
        <v>1511</v>
      </c>
      <c r="I625" t="s">
        <v>3238</v>
      </c>
      <c r="J625" t="s">
        <v>34</v>
      </c>
      <c r="K625" t="s">
        <v>34</v>
      </c>
      <c r="L625">
        <v>5</v>
      </c>
      <c r="M625">
        <v>4</v>
      </c>
      <c r="N625" t="s">
        <v>2119</v>
      </c>
      <c r="O625" t="s">
        <v>1513</v>
      </c>
      <c r="P625" t="s">
        <v>1444</v>
      </c>
      <c r="Q625" t="s">
        <v>1513</v>
      </c>
      <c r="R625" t="s">
        <v>780</v>
      </c>
      <c r="S625" t="s">
        <v>2126</v>
      </c>
    </row>
    <row r="626" spans="1:19">
      <c r="A626" t="s">
        <v>4399</v>
      </c>
      <c r="B626" t="s">
        <v>753</v>
      </c>
      <c r="C626" t="s">
        <v>3607</v>
      </c>
      <c r="D626">
        <v>340</v>
      </c>
      <c r="E626" t="s">
        <v>1511</v>
      </c>
      <c r="F626" t="s">
        <v>1511</v>
      </c>
      <c r="I626" t="s">
        <v>3238</v>
      </c>
      <c r="J626" t="s">
        <v>34</v>
      </c>
      <c r="K626" t="s">
        <v>34</v>
      </c>
      <c r="L626">
        <v>5</v>
      </c>
      <c r="M626">
        <v>4</v>
      </c>
      <c r="N626" t="s">
        <v>2119</v>
      </c>
      <c r="O626" t="s">
        <v>1513</v>
      </c>
      <c r="P626" t="s">
        <v>1444</v>
      </c>
      <c r="Q626" t="s">
        <v>1513</v>
      </c>
      <c r="R626" t="s">
        <v>764</v>
      </c>
      <c r="S626" t="s">
        <v>2127</v>
      </c>
    </row>
    <row r="627" spans="1:19">
      <c r="A627" t="s">
        <v>4400</v>
      </c>
      <c r="B627" t="s">
        <v>750</v>
      </c>
      <c r="C627" t="s">
        <v>3607</v>
      </c>
      <c r="D627">
        <v>340</v>
      </c>
      <c r="E627" t="s">
        <v>2128</v>
      </c>
      <c r="F627">
        <v>10</v>
      </c>
      <c r="H627" t="s">
        <v>3702</v>
      </c>
      <c r="I627" t="s">
        <v>3238</v>
      </c>
      <c r="J627" t="s">
        <v>34</v>
      </c>
      <c r="K627" t="s">
        <v>34</v>
      </c>
      <c r="L627">
        <v>5</v>
      </c>
      <c r="M627">
        <v>4</v>
      </c>
      <c r="N627" t="s">
        <v>2119</v>
      </c>
      <c r="O627" t="s">
        <v>1447</v>
      </c>
      <c r="P627" t="s">
        <v>1444</v>
      </c>
      <c r="Q627" t="s">
        <v>1443</v>
      </c>
      <c r="R627" t="s">
        <v>782</v>
      </c>
      <c r="S627" t="s">
        <v>2129</v>
      </c>
    </row>
    <row r="628" spans="1:19">
      <c r="A628" t="s">
        <v>4401</v>
      </c>
      <c r="B628" t="s">
        <v>724</v>
      </c>
      <c r="C628" t="s">
        <v>3607</v>
      </c>
      <c r="D628" t="s">
        <v>725</v>
      </c>
      <c r="E628" t="s">
        <v>1511</v>
      </c>
      <c r="F628" t="s">
        <v>1511</v>
      </c>
      <c r="I628" t="s">
        <v>3238</v>
      </c>
      <c r="J628" t="s">
        <v>34</v>
      </c>
      <c r="K628" t="s">
        <v>34</v>
      </c>
      <c r="L628">
        <v>5</v>
      </c>
      <c r="M628">
        <v>4</v>
      </c>
      <c r="N628" t="s">
        <v>2119</v>
      </c>
      <c r="O628" t="s">
        <v>1513</v>
      </c>
      <c r="P628" t="s">
        <v>1444</v>
      </c>
      <c r="Q628" t="s">
        <v>1513</v>
      </c>
      <c r="R628" t="s">
        <v>784</v>
      </c>
      <c r="S628" t="s">
        <v>2130</v>
      </c>
    </row>
    <row r="629" spans="1:19">
      <c r="A629" t="s">
        <v>4402</v>
      </c>
      <c r="B629" t="s">
        <v>2131</v>
      </c>
      <c r="C629" t="s">
        <v>3607</v>
      </c>
      <c r="D629">
        <v>341</v>
      </c>
      <c r="E629" t="s">
        <v>2132</v>
      </c>
      <c r="F629">
        <v>30</v>
      </c>
      <c r="G629">
        <v>1</v>
      </c>
      <c r="I629" t="s">
        <v>3238</v>
      </c>
      <c r="J629" t="s">
        <v>34</v>
      </c>
      <c r="K629" t="s">
        <v>34</v>
      </c>
      <c r="L629">
        <v>5</v>
      </c>
      <c r="M629">
        <v>5</v>
      </c>
      <c r="N629" t="s">
        <v>2133</v>
      </c>
      <c r="O629" t="s">
        <v>1457</v>
      </c>
      <c r="P629" t="s">
        <v>1444</v>
      </c>
      <c r="Q629" t="s">
        <v>1443</v>
      </c>
      <c r="R629" t="s">
        <v>2134</v>
      </c>
      <c r="S629" t="s">
        <v>2135</v>
      </c>
    </row>
    <row r="630" spans="1:19">
      <c r="A630" t="s">
        <v>4403</v>
      </c>
      <c r="B630" t="s">
        <v>746</v>
      </c>
      <c r="C630" t="s">
        <v>3607</v>
      </c>
      <c r="D630">
        <v>341</v>
      </c>
      <c r="E630" t="s">
        <v>1482</v>
      </c>
      <c r="F630">
        <v>7</v>
      </c>
      <c r="I630" t="s">
        <v>3238</v>
      </c>
      <c r="J630" t="s">
        <v>34</v>
      </c>
      <c r="K630" t="s">
        <v>34</v>
      </c>
      <c r="L630">
        <v>5</v>
      </c>
      <c r="M630">
        <v>5</v>
      </c>
      <c r="N630" t="s">
        <v>2133</v>
      </c>
      <c r="O630" t="s">
        <v>1447</v>
      </c>
      <c r="P630" t="s">
        <v>1444</v>
      </c>
      <c r="Q630" t="s">
        <v>1443</v>
      </c>
      <c r="R630" t="s">
        <v>761</v>
      </c>
      <c r="S630" t="s">
        <v>2136</v>
      </c>
    </row>
    <row r="631" spans="1:19">
      <c r="A631" t="s">
        <v>4404</v>
      </c>
      <c r="B631" t="s">
        <v>774</v>
      </c>
      <c r="C631" t="s">
        <v>3607</v>
      </c>
      <c r="D631" t="s">
        <v>725</v>
      </c>
      <c r="E631" t="s">
        <v>2137</v>
      </c>
      <c r="F631">
        <v>5</v>
      </c>
      <c r="H631" t="s">
        <v>3703</v>
      </c>
      <c r="I631" t="s">
        <v>3238</v>
      </c>
      <c r="J631" t="s">
        <v>34</v>
      </c>
      <c r="K631" t="s">
        <v>34</v>
      </c>
      <c r="L631">
        <v>5</v>
      </c>
      <c r="M631">
        <v>5</v>
      </c>
      <c r="N631" t="s">
        <v>2133</v>
      </c>
      <c r="O631" t="s">
        <v>1447</v>
      </c>
      <c r="P631" t="s">
        <v>1620</v>
      </c>
      <c r="Q631" t="s">
        <v>1443</v>
      </c>
      <c r="R631" t="s">
        <v>2138</v>
      </c>
      <c r="S631" t="s">
        <v>2139</v>
      </c>
    </row>
    <row r="632" spans="1:19">
      <c r="A632" t="s">
        <v>4405</v>
      </c>
      <c r="B632" t="s">
        <v>760</v>
      </c>
      <c r="C632" t="s">
        <v>3607</v>
      </c>
      <c r="D632">
        <v>341</v>
      </c>
      <c r="E632" t="s">
        <v>1511</v>
      </c>
      <c r="F632" t="s">
        <v>1511</v>
      </c>
      <c r="I632" t="s">
        <v>3238</v>
      </c>
      <c r="J632" t="s">
        <v>34</v>
      </c>
      <c r="K632" t="s">
        <v>34</v>
      </c>
      <c r="L632">
        <v>5</v>
      </c>
      <c r="M632">
        <v>5</v>
      </c>
      <c r="N632" t="s">
        <v>2133</v>
      </c>
      <c r="O632" t="s">
        <v>1513</v>
      </c>
      <c r="P632" t="s">
        <v>1444</v>
      </c>
      <c r="Q632" t="s">
        <v>1513</v>
      </c>
      <c r="R632" t="s">
        <v>724</v>
      </c>
      <c r="S632" t="s">
        <v>2140</v>
      </c>
    </row>
    <row r="633" spans="1:19">
      <c r="A633" t="s">
        <v>4406</v>
      </c>
      <c r="B633" t="s">
        <v>3704</v>
      </c>
      <c r="C633" t="s">
        <v>3602</v>
      </c>
      <c r="D633">
        <v>16</v>
      </c>
      <c r="E633" t="s">
        <v>3687</v>
      </c>
      <c r="F633" t="s">
        <v>1511</v>
      </c>
      <c r="I633" t="s">
        <v>3238</v>
      </c>
      <c r="J633" t="s">
        <v>34</v>
      </c>
      <c r="K633" t="s">
        <v>34</v>
      </c>
      <c r="L633">
        <v>5</v>
      </c>
      <c r="M633">
        <v>2</v>
      </c>
      <c r="N633" t="s">
        <v>2073</v>
      </c>
      <c r="O633" t="s">
        <v>1513</v>
      </c>
      <c r="P633" t="s">
        <v>1444</v>
      </c>
      <c r="Q633" t="s">
        <v>1513</v>
      </c>
      <c r="R633" t="s">
        <v>736</v>
      </c>
      <c r="S633" t="s">
        <v>3705</v>
      </c>
    </row>
    <row r="634" spans="1:19">
      <c r="A634" t="s">
        <v>4407</v>
      </c>
      <c r="B634" t="s">
        <v>3706</v>
      </c>
      <c r="C634" t="s">
        <v>3602</v>
      </c>
      <c r="D634">
        <v>16</v>
      </c>
      <c r="E634" t="s">
        <v>1439</v>
      </c>
      <c r="F634">
        <v>1</v>
      </c>
      <c r="I634" t="s">
        <v>3238</v>
      </c>
      <c r="J634" t="s">
        <v>34</v>
      </c>
      <c r="K634" t="s">
        <v>34</v>
      </c>
      <c r="L634">
        <v>5</v>
      </c>
      <c r="M634">
        <v>3</v>
      </c>
      <c r="N634" t="s">
        <v>2086</v>
      </c>
      <c r="O634" t="s">
        <v>1447</v>
      </c>
      <c r="P634" t="s">
        <v>1444</v>
      </c>
      <c r="Q634" t="s">
        <v>1443</v>
      </c>
      <c r="R634" t="s">
        <v>720</v>
      </c>
      <c r="S634" t="s">
        <v>3707</v>
      </c>
    </row>
    <row r="635" spans="1:19">
      <c r="A635" t="s">
        <v>4408</v>
      </c>
      <c r="B635" t="s">
        <v>3708</v>
      </c>
      <c r="C635" t="s">
        <v>3602</v>
      </c>
      <c r="D635">
        <v>16</v>
      </c>
      <c r="E635" t="s">
        <v>1497</v>
      </c>
      <c r="F635">
        <v>6</v>
      </c>
      <c r="I635" t="s">
        <v>3238</v>
      </c>
      <c r="J635" t="s">
        <v>34</v>
      </c>
      <c r="K635" t="s">
        <v>34</v>
      </c>
      <c r="L635">
        <v>5</v>
      </c>
      <c r="M635">
        <v>3</v>
      </c>
      <c r="N635" t="s">
        <v>2086</v>
      </c>
      <c r="O635" t="s">
        <v>1447</v>
      </c>
      <c r="P635" t="s">
        <v>1523</v>
      </c>
      <c r="Q635" t="s">
        <v>1443</v>
      </c>
      <c r="R635" t="s">
        <v>772</v>
      </c>
      <c r="S635" t="s">
        <v>3709</v>
      </c>
    </row>
    <row r="636" spans="1:19">
      <c r="A636" t="s">
        <v>4409</v>
      </c>
      <c r="B636" t="s">
        <v>3710</v>
      </c>
      <c r="C636" t="s">
        <v>3602</v>
      </c>
      <c r="D636">
        <v>17</v>
      </c>
      <c r="E636" t="s">
        <v>1511</v>
      </c>
      <c r="F636" t="s">
        <v>1511</v>
      </c>
      <c r="I636" t="s">
        <v>3238</v>
      </c>
      <c r="J636" t="s">
        <v>34</v>
      </c>
      <c r="K636" t="s">
        <v>34</v>
      </c>
      <c r="L636">
        <v>5</v>
      </c>
      <c r="M636">
        <v>3</v>
      </c>
      <c r="N636" t="s">
        <v>2086</v>
      </c>
      <c r="O636" t="s">
        <v>1513</v>
      </c>
      <c r="P636" t="s">
        <v>1444</v>
      </c>
      <c r="Q636" t="s">
        <v>1513</v>
      </c>
      <c r="R636" t="s">
        <v>775</v>
      </c>
      <c r="S636" t="s">
        <v>3711</v>
      </c>
    </row>
    <row r="637" spans="1:19">
      <c r="A637" t="s">
        <v>4410</v>
      </c>
      <c r="B637" t="s">
        <v>3712</v>
      </c>
      <c r="C637" t="s">
        <v>3602</v>
      </c>
      <c r="D637">
        <v>17</v>
      </c>
      <c r="E637" t="s">
        <v>1543</v>
      </c>
      <c r="F637">
        <v>7</v>
      </c>
      <c r="G637">
        <v>1</v>
      </c>
      <c r="I637" t="s">
        <v>3238</v>
      </c>
      <c r="J637" t="s">
        <v>34</v>
      </c>
      <c r="K637" t="s">
        <v>34</v>
      </c>
      <c r="L637">
        <v>5</v>
      </c>
      <c r="M637">
        <v>4</v>
      </c>
      <c r="N637" t="s">
        <v>2119</v>
      </c>
      <c r="O637" t="s">
        <v>1457</v>
      </c>
      <c r="P637" t="s">
        <v>1444</v>
      </c>
      <c r="Q637" t="s">
        <v>1443</v>
      </c>
      <c r="R637" t="s">
        <v>3708</v>
      </c>
      <c r="S637" t="s">
        <v>3713</v>
      </c>
    </row>
    <row r="638" spans="1:19">
      <c r="A638" t="s">
        <v>6948</v>
      </c>
      <c r="B638" t="s">
        <v>5650</v>
      </c>
      <c r="C638" t="s">
        <v>3968</v>
      </c>
      <c r="D638">
        <v>214</v>
      </c>
      <c r="E638" t="s">
        <v>5071</v>
      </c>
      <c r="F638">
        <v>2</v>
      </c>
      <c r="I638" t="s">
        <v>3560</v>
      </c>
      <c r="J638" t="s">
        <v>34</v>
      </c>
      <c r="K638" t="s">
        <v>34</v>
      </c>
      <c r="L638">
        <v>1</v>
      </c>
      <c r="M638">
        <v>1</v>
      </c>
      <c r="N638" t="s">
        <v>2070</v>
      </c>
      <c r="O638" t="s">
        <v>1441</v>
      </c>
      <c r="P638" t="s">
        <v>5585</v>
      </c>
      <c r="Q638" t="s">
        <v>1443</v>
      </c>
      <c r="R638" t="s">
        <v>1444</v>
      </c>
      <c r="S638" t="s">
        <v>5651</v>
      </c>
    </row>
    <row r="639" spans="1:19">
      <c r="A639" t="s">
        <v>6949</v>
      </c>
      <c r="B639" t="s">
        <v>5652</v>
      </c>
      <c r="C639" t="s">
        <v>3968</v>
      </c>
      <c r="D639">
        <v>214</v>
      </c>
      <c r="E639" t="s">
        <v>1450</v>
      </c>
      <c r="F639">
        <v>3</v>
      </c>
      <c r="I639" t="s">
        <v>3560</v>
      </c>
      <c r="J639" t="s">
        <v>34</v>
      </c>
      <c r="K639" t="s">
        <v>34</v>
      </c>
      <c r="L639">
        <v>2</v>
      </c>
      <c r="M639">
        <v>1</v>
      </c>
      <c r="N639" t="s">
        <v>2060</v>
      </c>
      <c r="O639" t="s">
        <v>1457</v>
      </c>
      <c r="P639" t="s">
        <v>5507</v>
      </c>
      <c r="Q639" t="s">
        <v>1443</v>
      </c>
      <c r="R639" t="s">
        <v>1444</v>
      </c>
      <c r="S639" t="s">
        <v>5653</v>
      </c>
    </row>
    <row r="640" spans="1:19">
      <c r="A640" t="s">
        <v>6950</v>
      </c>
      <c r="B640" t="s">
        <v>5654</v>
      </c>
      <c r="C640" t="s">
        <v>3968</v>
      </c>
      <c r="D640">
        <v>214</v>
      </c>
      <c r="E640" t="s">
        <v>1476</v>
      </c>
      <c r="F640">
        <v>3</v>
      </c>
      <c r="G640">
        <v>1</v>
      </c>
      <c r="I640" t="s">
        <v>3560</v>
      </c>
      <c r="J640" t="s">
        <v>34</v>
      </c>
      <c r="K640" t="s">
        <v>34</v>
      </c>
      <c r="L640">
        <v>3</v>
      </c>
      <c r="M640">
        <v>1</v>
      </c>
      <c r="N640" t="s">
        <v>2062</v>
      </c>
      <c r="O640" t="s">
        <v>1457</v>
      </c>
      <c r="P640" t="s">
        <v>5507</v>
      </c>
      <c r="Q640" t="s">
        <v>1443</v>
      </c>
      <c r="R640" t="s">
        <v>5652</v>
      </c>
      <c r="S640" t="s">
        <v>5655</v>
      </c>
    </row>
    <row r="641" spans="1:19">
      <c r="A641" t="s">
        <v>6951</v>
      </c>
      <c r="B641" t="s">
        <v>5656</v>
      </c>
      <c r="C641" t="s">
        <v>3968</v>
      </c>
      <c r="D641">
        <v>214</v>
      </c>
      <c r="E641" t="s">
        <v>1450</v>
      </c>
      <c r="F641">
        <v>3</v>
      </c>
      <c r="I641" t="s">
        <v>3560</v>
      </c>
      <c r="J641" t="s">
        <v>34</v>
      </c>
      <c r="K641" t="s">
        <v>34</v>
      </c>
      <c r="L641">
        <v>3</v>
      </c>
      <c r="M641">
        <v>1</v>
      </c>
      <c r="N641" t="s">
        <v>2062</v>
      </c>
      <c r="O641" t="s">
        <v>1457</v>
      </c>
      <c r="P641" t="s">
        <v>5657</v>
      </c>
      <c r="Q641" t="s">
        <v>1443</v>
      </c>
      <c r="R641" t="s">
        <v>1444</v>
      </c>
      <c r="S641" t="s">
        <v>5658</v>
      </c>
    </row>
    <row r="642" spans="1:19">
      <c r="A642" t="s">
        <v>6952</v>
      </c>
      <c r="B642" t="s">
        <v>5659</v>
      </c>
      <c r="C642" t="s">
        <v>3968</v>
      </c>
      <c r="D642">
        <v>214</v>
      </c>
      <c r="E642" t="s">
        <v>1439</v>
      </c>
      <c r="F642">
        <v>1</v>
      </c>
      <c r="I642" t="s">
        <v>3560</v>
      </c>
      <c r="J642" t="s">
        <v>34</v>
      </c>
      <c r="K642" t="s">
        <v>34</v>
      </c>
      <c r="L642">
        <v>3</v>
      </c>
      <c r="M642">
        <v>1</v>
      </c>
      <c r="N642" t="s">
        <v>2062</v>
      </c>
      <c r="O642" t="s">
        <v>1457</v>
      </c>
      <c r="P642" t="s">
        <v>5062</v>
      </c>
      <c r="Q642" t="s">
        <v>1443</v>
      </c>
      <c r="R642" t="s">
        <v>5660</v>
      </c>
      <c r="S642" t="s">
        <v>5661</v>
      </c>
    </row>
    <row r="643" spans="1:19">
      <c r="A643" t="s">
        <v>6953</v>
      </c>
      <c r="B643" t="s">
        <v>5662</v>
      </c>
      <c r="C643" t="s">
        <v>3968</v>
      </c>
      <c r="D643">
        <v>215</v>
      </c>
      <c r="E643" t="s">
        <v>5200</v>
      </c>
      <c r="F643">
        <v>4</v>
      </c>
      <c r="H643" t="s">
        <v>5201</v>
      </c>
      <c r="I643" t="s">
        <v>3560</v>
      </c>
      <c r="J643" t="s">
        <v>34</v>
      </c>
      <c r="K643" t="s">
        <v>34</v>
      </c>
      <c r="L643">
        <v>3</v>
      </c>
      <c r="M643">
        <v>1</v>
      </c>
      <c r="N643" t="s">
        <v>2062</v>
      </c>
      <c r="O643" t="s">
        <v>1457</v>
      </c>
      <c r="P643" t="s">
        <v>1463</v>
      </c>
      <c r="Q643" t="s">
        <v>1443</v>
      </c>
      <c r="R643" t="s">
        <v>5656</v>
      </c>
      <c r="S643" t="s">
        <v>5663</v>
      </c>
    </row>
    <row r="644" spans="1:19">
      <c r="A644" t="s">
        <v>6954</v>
      </c>
      <c r="B644" t="s">
        <v>5664</v>
      </c>
      <c r="C644" t="s">
        <v>3968</v>
      </c>
      <c r="D644">
        <v>216</v>
      </c>
      <c r="E644" t="s">
        <v>5665</v>
      </c>
      <c r="G644">
        <v>1</v>
      </c>
      <c r="I644" t="s">
        <v>3560</v>
      </c>
      <c r="J644" t="s">
        <v>34</v>
      </c>
      <c r="K644" t="s">
        <v>34</v>
      </c>
      <c r="L644">
        <v>3</v>
      </c>
      <c r="M644">
        <v>2</v>
      </c>
      <c r="N644" t="s">
        <v>5666</v>
      </c>
      <c r="O644" t="s">
        <v>1513</v>
      </c>
      <c r="P644" t="s">
        <v>1444</v>
      </c>
      <c r="Q644" t="s">
        <v>1513</v>
      </c>
      <c r="R644" t="s">
        <v>5660</v>
      </c>
      <c r="S644" t="s">
        <v>5667</v>
      </c>
    </row>
    <row r="645" spans="1:19">
      <c r="A645" t="s">
        <v>6955</v>
      </c>
      <c r="B645" t="s">
        <v>5668</v>
      </c>
      <c r="C645" t="s">
        <v>3968</v>
      </c>
      <c r="D645">
        <v>216</v>
      </c>
      <c r="E645" t="s">
        <v>1450</v>
      </c>
      <c r="F645">
        <v>3</v>
      </c>
      <c r="I645" t="s">
        <v>3560</v>
      </c>
      <c r="J645" t="s">
        <v>34</v>
      </c>
      <c r="K645" t="s">
        <v>34</v>
      </c>
      <c r="L645">
        <v>3</v>
      </c>
      <c r="M645">
        <v>2</v>
      </c>
      <c r="N645" t="s">
        <v>5666</v>
      </c>
      <c r="O645" t="s">
        <v>1441</v>
      </c>
      <c r="P645" t="s">
        <v>5507</v>
      </c>
      <c r="Q645" t="s">
        <v>5669</v>
      </c>
      <c r="R645" t="s">
        <v>5652</v>
      </c>
      <c r="S645" t="s">
        <v>5670</v>
      </c>
    </row>
    <row r="646" spans="1:19">
      <c r="A646" t="s">
        <v>6957</v>
      </c>
      <c r="B646" t="s">
        <v>5673</v>
      </c>
      <c r="C646" t="s">
        <v>3968</v>
      </c>
      <c r="D646">
        <v>216</v>
      </c>
      <c r="E646" t="s">
        <v>1541</v>
      </c>
      <c r="F646">
        <v>5</v>
      </c>
      <c r="I646" t="s">
        <v>3560</v>
      </c>
      <c r="J646" t="s">
        <v>34</v>
      </c>
      <c r="K646" t="s">
        <v>34</v>
      </c>
      <c r="L646">
        <v>4</v>
      </c>
      <c r="M646">
        <v>2</v>
      </c>
      <c r="N646" t="s">
        <v>2077</v>
      </c>
      <c r="O646" t="s">
        <v>1447</v>
      </c>
      <c r="P646" t="s">
        <v>5080</v>
      </c>
      <c r="Q646" t="s">
        <v>1443</v>
      </c>
      <c r="R646" t="s">
        <v>5654</v>
      </c>
      <c r="S646" t="s">
        <v>5674</v>
      </c>
    </row>
    <row r="647" spans="1:19">
      <c r="A647" t="s">
        <v>6963</v>
      </c>
      <c r="B647" t="s">
        <v>5689</v>
      </c>
      <c r="C647" t="s">
        <v>3968</v>
      </c>
      <c r="D647">
        <v>218</v>
      </c>
      <c r="E647" t="s">
        <v>3687</v>
      </c>
      <c r="I647" t="s">
        <v>3560</v>
      </c>
      <c r="J647" t="s">
        <v>34</v>
      </c>
      <c r="K647" t="s">
        <v>34</v>
      </c>
      <c r="L647">
        <v>4</v>
      </c>
      <c r="M647">
        <v>3</v>
      </c>
      <c r="N647" t="s">
        <v>5690</v>
      </c>
      <c r="O647" t="s">
        <v>1513</v>
      </c>
      <c r="P647" t="s">
        <v>1444</v>
      </c>
      <c r="Q647" t="s">
        <v>1513</v>
      </c>
      <c r="R647" t="s">
        <v>5664</v>
      </c>
      <c r="S647" t="s">
        <v>5691</v>
      </c>
    </row>
    <row r="648" spans="1:19">
      <c r="A648" t="s">
        <v>6964</v>
      </c>
      <c r="B648" t="s">
        <v>5692</v>
      </c>
      <c r="C648" t="s">
        <v>3968</v>
      </c>
      <c r="D648">
        <v>218</v>
      </c>
      <c r="E648" t="s">
        <v>1482</v>
      </c>
      <c r="F648">
        <v>7</v>
      </c>
      <c r="I648" t="s">
        <v>3560</v>
      </c>
      <c r="J648" t="s">
        <v>34</v>
      </c>
      <c r="K648" t="s">
        <v>34</v>
      </c>
      <c r="L648">
        <v>4</v>
      </c>
      <c r="M648">
        <v>3</v>
      </c>
      <c r="N648" t="s">
        <v>5690</v>
      </c>
      <c r="O648" t="s">
        <v>1441</v>
      </c>
      <c r="P648" t="s">
        <v>5507</v>
      </c>
      <c r="Q648" t="s">
        <v>1443</v>
      </c>
      <c r="R648" t="s">
        <v>5673</v>
      </c>
      <c r="S648" t="s">
        <v>5693</v>
      </c>
    </row>
    <row r="649" spans="1:19">
      <c r="A649" t="s">
        <v>6956</v>
      </c>
      <c r="B649" t="s">
        <v>5671</v>
      </c>
      <c r="C649" t="s">
        <v>3968</v>
      </c>
      <c r="D649">
        <v>216</v>
      </c>
      <c r="E649" t="s">
        <v>1465</v>
      </c>
      <c r="F649">
        <v>1</v>
      </c>
      <c r="G649">
        <v>1</v>
      </c>
      <c r="I649" t="s">
        <v>3560</v>
      </c>
      <c r="J649" t="s">
        <v>34</v>
      </c>
      <c r="K649" t="s">
        <v>34</v>
      </c>
      <c r="L649">
        <v>5</v>
      </c>
      <c r="M649">
        <v>2</v>
      </c>
      <c r="N649" t="s">
        <v>2073</v>
      </c>
      <c r="O649" t="s">
        <v>1457</v>
      </c>
      <c r="P649" t="s">
        <v>5507</v>
      </c>
      <c r="Q649" t="s">
        <v>1938</v>
      </c>
      <c r="R649" t="s">
        <v>5668</v>
      </c>
      <c r="S649" t="s">
        <v>5672</v>
      </c>
    </row>
    <row r="650" spans="1:19">
      <c r="A650" t="s">
        <v>6958</v>
      </c>
      <c r="B650" t="s">
        <v>5675</v>
      </c>
      <c r="C650" t="s">
        <v>3968</v>
      </c>
      <c r="D650">
        <v>216</v>
      </c>
      <c r="E650" t="s">
        <v>2090</v>
      </c>
      <c r="F650">
        <v>15</v>
      </c>
      <c r="G650">
        <v>1</v>
      </c>
      <c r="I650" t="s">
        <v>3560</v>
      </c>
      <c r="J650" t="s">
        <v>34</v>
      </c>
      <c r="K650" t="s">
        <v>34</v>
      </c>
      <c r="L650">
        <v>5</v>
      </c>
      <c r="M650">
        <v>3</v>
      </c>
      <c r="N650" t="s">
        <v>2086</v>
      </c>
      <c r="O650" t="s">
        <v>1457</v>
      </c>
      <c r="P650" t="s">
        <v>5676</v>
      </c>
      <c r="Q650" t="s">
        <v>1443</v>
      </c>
      <c r="R650" t="s">
        <v>5673</v>
      </c>
      <c r="S650" t="s">
        <v>5677</v>
      </c>
    </row>
    <row r="651" spans="1:19">
      <c r="A651" t="s">
        <v>6959</v>
      </c>
      <c r="B651" t="s">
        <v>5678</v>
      </c>
      <c r="C651" t="s">
        <v>3968</v>
      </c>
      <c r="D651">
        <v>217</v>
      </c>
      <c r="E651" t="s">
        <v>5679</v>
      </c>
      <c r="F651">
        <v>10</v>
      </c>
      <c r="G651">
        <v>1</v>
      </c>
      <c r="H651" t="s">
        <v>5103</v>
      </c>
      <c r="I651" t="s">
        <v>3560</v>
      </c>
      <c r="J651" t="s">
        <v>34</v>
      </c>
      <c r="K651" t="s">
        <v>34</v>
      </c>
      <c r="L651">
        <v>5</v>
      </c>
      <c r="M651">
        <v>3</v>
      </c>
      <c r="N651" t="s">
        <v>5680</v>
      </c>
      <c r="O651" t="s">
        <v>1457</v>
      </c>
      <c r="P651" t="s">
        <v>5104</v>
      </c>
      <c r="Q651" t="s">
        <v>1443</v>
      </c>
      <c r="R651" t="s">
        <v>1444</v>
      </c>
      <c r="S651" t="s">
        <v>5681</v>
      </c>
    </row>
    <row r="652" spans="1:19">
      <c r="A652" t="s">
        <v>6960</v>
      </c>
      <c r="B652" t="s">
        <v>5682</v>
      </c>
      <c r="C652" t="s">
        <v>3968</v>
      </c>
      <c r="D652">
        <v>217</v>
      </c>
      <c r="E652" t="s">
        <v>1543</v>
      </c>
      <c r="F652">
        <v>7</v>
      </c>
      <c r="G652">
        <v>1</v>
      </c>
      <c r="I652" t="s">
        <v>3560</v>
      </c>
      <c r="J652" t="s">
        <v>34</v>
      </c>
      <c r="K652" t="s">
        <v>34</v>
      </c>
      <c r="L652">
        <v>5</v>
      </c>
      <c r="M652">
        <v>3</v>
      </c>
      <c r="N652" t="s">
        <v>2086</v>
      </c>
      <c r="O652" t="s">
        <v>1457</v>
      </c>
      <c r="P652" t="s">
        <v>5290</v>
      </c>
      <c r="Q652" t="s">
        <v>1443</v>
      </c>
      <c r="R652" t="s">
        <v>1444</v>
      </c>
      <c r="S652" t="s">
        <v>5683</v>
      </c>
    </row>
    <row r="653" spans="1:19">
      <c r="A653" t="s">
        <v>6961</v>
      </c>
      <c r="B653" t="s">
        <v>5684</v>
      </c>
      <c r="C653" t="s">
        <v>3968</v>
      </c>
      <c r="D653">
        <v>217</v>
      </c>
      <c r="E653" t="s">
        <v>1465</v>
      </c>
      <c r="F653">
        <v>1</v>
      </c>
      <c r="G653">
        <v>1</v>
      </c>
      <c r="I653" t="s">
        <v>3560</v>
      </c>
      <c r="J653" t="s">
        <v>34</v>
      </c>
      <c r="K653" t="s">
        <v>34</v>
      </c>
      <c r="L653">
        <v>5</v>
      </c>
      <c r="M653">
        <v>3</v>
      </c>
      <c r="N653" t="s">
        <v>2086</v>
      </c>
      <c r="O653" t="s">
        <v>1457</v>
      </c>
      <c r="P653" t="s">
        <v>5112</v>
      </c>
      <c r="Q653" t="s">
        <v>5685</v>
      </c>
      <c r="R653" t="s">
        <v>1444</v>
      </c>
      <c r="S653" t="s">
        <v>5686</v>
      </c>
    </row>
    <row r="654" spans="1:19">
      <c r="A654" t="s">
        <v>6962</v>
      </c>
      <c r="B654" t="s">
        <v>5687</v>
      </c>
      <c r="C654" t="s">
        <v>3968</v>
      </c>
      <c r="D654">
        <v>218</v>
      </c>
      <c r="E654" t="s">
        <v>3687</v>
      </c>
      <c r="I654" t="s">
        <v>3560</v>
      </c>
      <c r="J654" t="s">
        <v>34</v>
      </c>
      <c r="K654" t="s">
        <v>34</v>
      </c>
      <c r="L654">
        <v>5</v>
      </c>
      <c r="M654">
        <v>3</v>
      </c>
      <c r="N654" t="s">
        <v>2086</v>
      </c>
      <c r="O654" t="s">
        <v>1513</v>
      </c>
      <c r="P654" t="s">
        <v>5115</v>
      </c>
      <c r="Q654" t="s">
        <v>1513</v>
      </c>
      <c r="R654" t="s">
        <v>1444</v>
      </c>
      <c r="S654" t="s">
        <v>5688</v>
      </c>
    </row>
    <row r="655" spans="1:19">
      <c r="A655" t="s">
        <v>6965</v>
      </c>
      <c r="B655" t="s">
        <v>5694</v>
      </c>
      <c r="C655" t="s">
        <v>3968</v>
      </c>
      <c r="D655">
        <v>218</v>
      </c>
      <c r="E655" t="s">
        <v>3687</v>
      </c>
      <c r="I655" t="s">
        <v>3560</v>
      </c>
      <c r="J655" t="s">
        <v>34</v>
      </c>
      <c r="K655" t="s">
        <v>34</v>
      </c>
      <c r="L655">
        <v>5</v>
      </c>
      <c r="M655">
        <v>3</v>
      </c>
      <c r="N655" t="s">
        <v>2086</v>
      </c>
      <c r="O655" t="s">
        <v>1513</v>
      </c>
      <c r="P655" t="s">
        <v>5415</v>
      </c>
      <c r="Q655" t="s">
        <v>1513</v>
      </c>
      <c r="R655" t="s">
        <v>5662</v>
      </c>
      <c r="S655" t="s">
        <v>5695</v>
      </c>
    </row>
    <row r="656" spans="1:19">
      <c r="A656" t="s">
        <v>6966</v>
      </c>
      <c r="B656" t="s">
        <v>5696</v>
      </c>
      <c r="C656" t="s">
        <v>3968</v>
      </c>
      <c r="D656">
        <v>219</v>
      </c>
      <c r="E656" t="s">
        <v>2090</v>
      </c>
      <c r="F656">
        <v>15</v>
      </c>
      <c r="G656">
        <v>1</v>
      </c>
      <c r="I656" t="s">
        <v>3560</v>
      </c>
      <c r="J656" t="s">
        <v>34</v>
      </c>
      <c r="K656" t="s">
        <v>34</v>
      </c>
      <c r="L656">
        <v>5</v>
      </c>
      <c r="M656">
        <v>4</v>
      </c>
      <c r="N656" t="s">
        <v>2119</v>
      </c>
      <c r="O656" t="s">
        <v>1457</v>
      </c>
      <c r="P656" t="s">
        <v>5507</v>
      </c>
      <c r="Q656" t="s">
        <v>1443</v>
      </c>
      <c r="R656" t="s">
        <v>5673</v>
      </c>
      <c r="S656" t="s">
        <v>5697</v>
      </c>
    </row>
    <row r="657" spans="1:19">
      <c r="A657" t="s">
        <v>6967</v>
      </c>
      <c r="B657" t="s">
        <v>5698</v>
      </c>
      <c r="C657" t="s">
        <v>3968</v>
      </c>
      <c r="D657">
        <v>219</v>
      </c>
      <c r="E657" t="s">
        <v>5699</v>
      </c>
      <c r="G657">
        <v>1</v>
      </c>
      <c r="I657" t="s">
        <v>3560</v>
      </c>
      <c r="J657" t="s">
        <v>34</v>
      </c>
      <c r="K657" t="s">
        <v>34</v>
      </c>
      <c r="L657">
        <v>5</v>
      </c>
      <c r="M657">
        <v>5</v>
      </c>
      <c r="N657" t="s">
        <v>2133</v>
      </c>
      <c r="O657" t="s">
        <v>1513</v>
      </c>
      <c r="P657" t="s">
        <v>5507</v>
      </c>
      <c r="Q657" t="s">
        <v>1513</v>
      </c>
      <c r="R657" t="s">
        <v>5696</v>
      </c>
      <c r="S657" t="s">
        <v>5700</v>
      </c>
    </row>
    <row r="658" spans="1:19">
      <c r="A658" t="s">
        <v>6968</v>
      </c>
      <c r="B658" t="s">
        <v>5701</v>
      </c>
      <c r="C658" t="s">
        <v>3968</v>
      </c>
      <c r="D658">
        <v>219</v>
      </c>
      <c r="E658" t="s">
        <v>3687</v>
      </c>
      <c r="I658" t="s">
        <v>3560</v>
      </c>
      <c r="J658" t="s">
        <v>34</v>
      </c>
      <c r="K658" t="s">
        <v>34</v>
      </c>
      <c r="L658">
        <v>5</v>
      </c>
      <c r="M658">
        <v>4</v>
      </c>
      <c r="N658" t="s">
        <v>2119</v>
      </c>
      <c r="O658" t="s">
        <v>1513</v>
      </c>
      <c r="P658" t="s">
        <v>1444</v>
      </c>
      <c r="Q658" t="s">
        <v>1513</v>
      </c>
      <c r="R658" t="s">
        <v>5689</v>
      </c>
      <c r="S658" t="s">
        <v>5702</v>
      </c>
    </row>
    <row r="659" spans="1:19">
      <c r="A659" t="s">
        <v>6969</v>
      </c>
      <c r="B659" t="s">
        <v>5703</v>
      </c>
      <c r="C659" t="s">
        <v>3968</v>
      </c>
      <c r="D659">
        <v>219</v>
      </c>
      <c r="E659" t="s">
        <v>5704</v>
      </c>
      <c r="F659">
        <v>2</v>
      </c>
      <c r="G659">
        <v>2</v>
      </c>
      <c r="H659" t="s">
        <v>5026</v>
      </c>
      <c r="I659" t="s">
        <v>3560</v>
      </c>
      <c r="J659" t="s">
        <v>34</v>
      </c>
      <c r="K659" t="s">
        <v>34</v>
      </c>
      <c r="L659">
        <v>5</v>
      </c>
      <c r="M659">
        <v>5</v>
      </c>
      <c r="N659" t="s">
        <v>2133</v>
      </c>
      <c r="O659" t="s">
        <v>1457</v>
      </c>
      <c r="P659" t="s">
        <v>5705</v>
      </c>
      <c r="Q659" t="s">
        <v>1443</v>
      </c>
      <c r="R659" t="s">
        <v>5701</v>
      </c>
      <c r="S659" t="s">
        <v>5706</v>
      </c>
    </row>
    <row r="660" spans="1:19">
      <c r="A660" t="s">
        <v>6970</v>
      </c>
      <c r="B660" t="s">
        <v>5707</v>
      </c>
      <c r="C660" t="s">
        <v>3968</v>
      </c>
      <c r="D660">
        <v>219</v>
      </c>
      <c r="E660" t="s">
        <v>5708</v>
      </c>
      <c r="F660">
        <v>20</v>
      </c>
      <c r="G660">
        <v>2</v>
      </c>
      <c r="I660" t="s">
        <v>3560</v>
      </c>
      <c r="J660" t="s">
        <v>34</v>
      </c>
      <c r="K660" t="s">
        <v>34</v>
      </c>
      <c r="L660">
        <v>5</v>
      </c>
      <c r="M660">
        <v>5</v>
      </c>
      <c r="N660" t="s">
        <v>2133</v>
      </c>
      <c r="O660" t="s">
        <v>1457</v>
      </c>
      <c r="P660" t="s">
        <v>5709</v>
      </c>
      <c r="Q660" t="s">
        <v>1443</v>
      </c>
      <c r="R660" t="s">
        <v>5710</v>
      </c>
      <c r="S660" t="s">
        <v>5711</v>
      </c>
    </row>
    <row r="661" spans="1:19">
      <c r="A661" t="s">
        <v>7256</v>
      </c>
      <c r="B661" t="s">
        <v>6462</v>
      </c>
      <c r="C661" t="s">
        <v>3968</v>
      </c>
      <c r="D661">
        <v>286</v>
      </c>
      <c r="E661" t="s">
        <v>3734</v>
      </c>
      <c r="F661">
        <v>1</v>
      </c>
      <c r="H661" t="s">
        <v>2420</v>
      </c>
      <c r="J661" t="s">
        <v>37</v>
      </c>
      <c r="K661" s="18" t="s">
        <v>7362</v>
      </c>
      <c r="L661">
        <v>2</v>
      </c>
      <c r="M661">
        <v>1</v>
      </c>
      <c r="N661" t="s">
        <v>2788</v>
      </c>
      <c r="O661" t="s">
        <v>1447</v>
      </c>
      <c r="P661" t="s">
        <v>5647</v>
      </c>
      <c r="Q661" t="s">
        <v>1443</v>
      </c>
      <c r="R661" t="s">
        <v>1444</v>
      </c>
      <c r="S661" t="s">
        <v>6463</v>
      </c>
    </row>
    <row r="662" spans="1:19">
      <c r="A662" t="s">
        <v>7257</v>
      </c>
      <c r="B662" t="s">
        <v>6464</v>
      </c>
      <c r="C662" t="s">
        <v>3968</v>
      </c>
      <c r="D662">
        <v>287</v>
      </c>
      <c r="E662" t="s">
        <v>1541</v>
      </c>
      <c r="F662">
        <v>5</v>
      </c>
      <c r="J662" t="s">
        <v>37</v>
      </c>
      <c r="K662" s="18" t="s">
        <v>7362</v>
      </c>
      <c r="L662">
        <v>3</v>
      </c>
      <c r="M662">
        <v>1</v>
      </c>
      <c r="N662" t="s">
        <v>2791</v>
      </c>
      <c r="O662" t="s">
        <v>1441</v>
      </c>
      <c r="P662" t="s">
        <v>5502</v>
      </c>
      <c r="Q662" t="s">
        <v>1443</v>
      </c>
      <c r="R662" t="s">
        <v>1444</v>
      </c>
      <c r="S662" t="s">
        <v>6465</v>
      </c>
    </row>
    <row r="663" spans="1:19">
      <c r="A663" t="s">
        <v>7258</v>
      </c>
      <c r="B663" t="s">
        <v>6466</v>
      </c>
      <c r="C663" t="s">
        <v>3968</v>
      </c>
      <c r="D663">
        <v>287</v>
      </c>
      <c r="E663" t="s">
        <v>1541</v>
      </c>
      <c r="F663">
        <v>5</v>
      </c>
      <c r="J663" t="s">
        <v>37</v>
      </c>
      <c r="K663" s="18" t="s">
        <v>7362</v>
      </c>
      <c r="L663">
        <v>3</v>
      </c>
      <c r="M663">
        <v>2</v>
      </c>
      <c r="N663" t="s">
        <v>2869</v>
      </c>
      <c r="O663" t="s">
        <v>1447</v>
      </c>
      <c r="P663" t="s">
        <v>5507</v>
      </c>
      <c r="Q663" t="s">
        <v>1443</v>
      </c>
      <c r="R663" t="s">
        <v>6464</v>
      </c>
      <c r="S663" t="s">
        <v>6467</v>
      </c>
    </row>
    <row r="664" spans="1:19">
      <c r="A664" t="s">
        <v>7259</v>
      </c>
      <c r="B664" t="s">
        <v>6468</v>
      </c>
      <c r="C664" t="s">
        <v>3968</v>
      </c>
      <c r="D664">
        <v>287</v>
      </c>
      <c r="E664" t="s">
        <v>1554</v>
      </c>
      <c r="F664">
        <v>4</v>
      </c>
      <c r="J664" t="s">
        <v>37</v>
      </c>
      <c r="K664" s="18" t="s">
        <v>7362</v>
      </c>
      <c r="L664">
        <v>4</v>
      </c>
      <c r="M664">
        <v>2</v>
      </c>
      <c r="N664" t="s">
        <v>2801</v>
      </c>
      <c r="O664" t="s">
        <v>1457</v>
      </c>
      <c r="P664" t="s">
        <v>6469</v>
      </c>
      <c r="Q664" t="s">
        <v>1443</v>
      </c>
      <c r="R664" t="s">
        <v>6462</v>
      </c>
      <c r="S664" t="s">
        <v>6470</v>
      </c>
    </row>
    <row r="665" spans="1:19">
      <c r="A665" t="s">
        <v>7260</v>
      </c>
      <c r="B665" t="s">
        <v>6471</v>
      </c>
      <c r="C665" t="s">
        <v>3968</v>
      </c>
      <c r="D665">
        <v>287</v>
      </c>
      <c r="E665" t="s">
        <v>1692</v>
      </c>
      <c r="F665">
        <v>8</v>
      </c>
      <c r="J665" t="s">
        <v>37</v>
      </c>
      <c r="K665" s="18" t="s">
        <v>7362</v>
      </c>
      <c r="L665">
        <v>4</v>
      </c>
      <c r="M665">
        <v>2</v>
      </c>
      <c r="N665" t="s">
        <v>2801</v>
      </c>
      <c r="O665" t="s">
        <v>1457</v>
      </c>
      <c r="P665" t="s">
        <v>6472</v>
      </c>
      <c r="Q665" t="s">
        <v>1473</v>
      </c>
      <c r="R665" t="s">
        <v>6473</v>
      </c>
      <c r="S665" t="s">
        <v>6474</v>
      </c>
    </row>
    <row r="666" spans="1:19">
      <c r="A666" t="s">
        <v>7261</v>
      </c>
      <c r="B666" t="s">
        <v>6475</v>
      </c>
      <c r="C666" t="s">
        <v>3968</v>
      </c>
      <c r="D666">
        <v>288</v>
      </c>
      <c r="E666" t="s">
        <v>1554</v>
      </c>
      <c r="F666">
        <v>4</v>
      </c>
      <c r="J666" t="s">
        <v>37</v>
      </c>
      <c r="K666" s="18" t="s">
        <v>7362</v>
      </c>
      <c r="L666">
        <v>4</v>
      </c>
      <c r="M666">
        <v>2</v>
      </c>
      <c r="N666" t="s">
        <v>2801</v>
      </c>
      <c r="O666" t="s">
        <v>1441</v>
      </c>
      <c r="P666" t="s">
        <v>6476</v>
      </c>
      <c r="Q666" t="s">
        <v>1443</v>
      </c>
      <c r="R666" t="s">
        <v>6471</v>
      </c>
      <c r="S666" t="s">
        <v>6477</v>
      </c>
    </row>
    <row r="667" spans="1:19">
      <c r="A667" t="s">
        <v>7262</v>
      </c>
      <c r="B667" t="s">
        <v>6478</v>
      </c>
      <c r="C667" t="s">
        <v>3968</v>
      </c>
      <c r="D667">
        <v>288</v>
      </c>
      <c r="E667" t="s">
        <v>1476</v>
      </c>
      <c r="F667">
        <v>3</v>
      </c>
      <c r="G667">
        <v>1</v>
      </c>
      <c r="J667" t="s">
        <v>37</v>
      </c>
      <c r="K667" s="18" t="s">
        <v>7362</v>
      </c>
      <c r="L667">
        <v>4</v>
      </c>
      <c r="M667">
        <v>3</v>
      </c>
      <c r="N667" t="s">
        <v>2807</v>
      </c>
      <c r="O667" t="s">
        <v>1441</v>
      </c>
      <c r="P667" t="s">
        <v>6469</v>
      </c>
      <c r="Q667" t="s">
        <v>1443</v>
      </c>
      <c r="R667" t="s">
        <v>6471</v>
      </c>
      <c r="S667" t="s">
        <v>6479</v>
      </c>
    </row>
    <row r="668" spans="1:19">
      <c r="A668" t="s">
        <v>7263</v>
      </c>
      <c r="B668" t="s">
        <v>6480</v>
      </c>
      <c r="C668" t="s">
        <v>3968</v>
      </c>
      <c r="D668">
        <v>288</v>
      </c>
      <c r="E668" t="s">
        <v>2039</v>
      </c>
      <c r="F668">
        <v>8</v>
      </c>
      <c r="G668">
        <v>1</v>
      </c>
      <c r="J668" t="s">
        <v>37</v>
      </c>
      <c r="K668" s="18" t="s">
        <v>7362</v>
      </c>
      <c r="L668">
        <v>5</v>
      </c>
      <c r="M668">
        <v>3</v>
      </c>
      <c r="N668" t="s">
        <v>2813</v>
      </c>
      <c r="O668" t="s">
        <v>1441</v>
      </c>
      <c r="P668" t="s">
        <v>6469</v>
      </c>
      <c r="Q668" t="s">
        <v>1443</v>
      </c>
      <c r="R668" t="s">
        <v>6481</v>
      </c>
      <c r="S668" t="s">
        <v>6482</v>
      </c>
    </row>
    <row r="669" spans="1:19">
      <c r="A669" t="s">
        <v>7264</v>
      </c>
      <c r="B669" t="s">
        <v>6483</v>
      </c>
      <c r="C669" t="s">
        <v>3968</v>
      </c>
      <c r="D669">
        <v>289</v>
      </c>
      <c r="E669" t="s">
        <v>6484</v>
      </c>
      <c r="F669">
        <v>7</v>
      </c>
      <c r="H669" t="s">
        <v>5121</v>
      </c>
      <c r="J669" t="s">
        <v>37</v>
      </c>
      <c r="K669" s="18" t="s">
        <v>7362</v>
      </c>
      <c r="L669">
        <v>5</v>
      </c>
      <c r="M669">
        <v>3</v>
      </c>
      <c r="N669" t="s">
        <v>2813</v>
      </c>
      <c r="O669" t="s">
        <v>1457</v>
      </c>
      <c r="P669" t="s">
        <v>5647</v>
      </c>
      <c r="Q669" t="s">
        <v>1443</v>
      </c>
      <c r="R669" t="s">
        <v>6481</v>
      </c>
      <c r="S669" t="s">
        <v>6485</v>
      </c>
    </row>
    <row r="670" spans="1:19">
      <c r="A670" t="s">
        <v>7265</v>
      </c>
      <c r="B670" t="s">
        <v>6486</v>
      </c>
      <c r="C670" t="s">
        <v>3968</v>
      </c>
      <c r="D670">
        <v>289</v>
      </c>
      <c r="E670" t="s">
        <v>1599</v>
      </c>
      <c r="F670">
        <v>10</v>
      </c>
      <c r="G670">
        <v>1</v>
      </c>
      <c r="J670" t="s">
        <v>37</v>
      </c>
      <c r="K670" s="18" t="s">
        <v>7362</v>
      </c>
      <c r="L670">
        <v>5</v>
      </c>
      <c r="M670">
        <v>4</v>
      </c>
      <c r="N670" t="s">
        <v>2901</v>
      </c>
      <c r="O670" t="s">
        <v>1457</v>
      </c>
      <c r="P670" t="s">
        <v>6469</v>
      </c>
      <c r="Q670" t="s">
        <v>1443</v>
      </c>
      <c r="R670" t="s">
        <v>6480</v>
      </c>
      <c r="S670" t="s">
        <v>6487</v>
      </c>
    </row>
    <row r="671" spans="1:19">
      <c r="A671" t="s">
        <v>7266</v>
      </c>
      <c r="B671" t="s">
        <v>6488</v>
      </c>
      <c r="C671" t="s">
        <v>3968</v>
      </c>
      <c r="D671">
        <v>289</v>
      </c>
      <c r="E671" t="s">
        <v>2090</v>
      </c>
      <c r="F671">
        <v>15</v>
      </c>
      <c r="G671">
        <v>1</v>
      </c>
      <c r="J671" t="s">
        <v>37</v>
      </c>
      <c r="K671" s="18" t="s">
        <v>7362</v>
      </c>
      <c r="L671">
        <v>5</v>
      </c>
      <c r="M671">
        <v>4</v>
      </c>
      <c r="N671" t="s">
        <v>2901</v>
      </c>
      <c r="O671" t="s">
        <v>1457</v>
      </c>
      <c r="P671" t="s">
        <v>5830</v>
      </c>
      <c r="Q671" t="s">
        <v>1443</v>
      </c>
      <c r="R671" t="s">
        <v>6483</v>
      </c>
      <c r="S671" t="s">
        <v>6489</v>
      </c>
    </row>
    <row r="672" spans="1:19">
      <c r="A672" t="s">
        <v>7267</v>
      </c>
      <c r="B672" t="s">
        <v>6490</v>
      </c>
      <c r="C672" t="s">
        <v>3968</v>
      </c>
      <c r="D672">
        <v>289</v>
      </c>
      <c r="E672" t="s">
        <v>6491</v>
      </c>
      <c r="G672">
        <v>1</v>
      </c>
      <c r="J672" t="s">
        <v>37</v>
      </c>
      <c r="K672" s="18" t="s">
        <v>7362</v>
      </c>
      <c r="L672">
        <v>5</v>
      </c>
      <c r="M672">
        <v>5</v>
      </c>
      <c r="N672" t="s">
        <v>6492</v>
      </c>
      <c r="O672" t="s">
        <v>1513</v>
      </c>
      <c r="P672" t="s">
        <v>5507</v>
      </c>
      <c r="Q672" t="s">
        <v>1513</v>
      </c>
      <c r="R672" t="s">
        <v>6493</v>
      </c>
      <c r="S672" t="s">
        <v>6494</v>
      </c>
    </row>
    <row r="673" spans="1:19">
      <c r="A673" t="s">
        <v>4488</v>
      </c>
      <c r="B673" t="s">
        <v>845</v>
      </c>
      <c r="C673" t="s">
        <v>3607</v>
      </c>
      <c r="D673" t="s">
        <v>1408</v>
      </c>
      <c r="E673" t="s">
        <v>1554</v>
      </c>
      <c r="F673">
        <v>4</v>
      </c>
      <c r="J673" t="s">
        <v>37</v>
      </c>
      <c r="K673" t="s">
        <v>7363</v>
      </c>
      <c r="L673">
        <v>2</v>
      </c>
      <c r="M673">
        <v>1</v>
      </c>
      <c r="N673" t="s">
        <v>2788</v>
      </c>
      <c r="O673" t="s">
        <v>1441</v>
      </c>
      <c r="P673" t="s">
        <v>2804</v>
      </c>
      <c r="Q673" t="s">
        <v>1443</v>
      </c>
      <c r="R673" t="s">
        <v>1444</v>
      </c>
      <c r="S673" t="s">
        <v>2936</v>
      </c>
    </row>
    <row r="674" spans="1:19">
      <c r="A674" t="s">
        <v>4489</v>
      </c>
      <c r="B674" t="s">
        <v>878</v>
      </c>
      <c r="C674" t="s">
        <v>3607</v>
      </c>
      <c r="D674" t="s">
        <v>1408</v>
      </c>
      <c r="E674" t="s">
        <v>1541</v>
      </c>
      <c r="F674">
        <v>5</v>
      </c>
      <c r="J674" t="s">
        <v>37</v>
      </c>
      <c r="K674" t="s">
        <v>7363</v>
      </c>
      <c r="L674">
        <v>3</v>
      </c>
      <c r="M674">
        <v>1</v>
      </c>
      <c r="N674" t="s">
        <v>2791</v>
      </c>
      <c r="O674" t="s">
        <v>1447</v>
      </c>
      <c r="P674" t="s">
        <v>2937</v>
      </c>
      <c r="Q674" t="s">
        <v>1443</v>
      </c>
      <c r="R674" t="s">
        <v>1444</v>
      </c>
      <c r="S674" t="s">
        <v>3533</v>
      </c>
    </row>
    <row r="675" spans="1:19">
      <c r="A675" t="s">
        <v>4490</v>
      </c>
      <c r="B675" t="s">
        <v>792</v>
      </c>
      <c r="C675" t="s">
        <v>3607</v>
      </c>
      <c r="D675" t="s">
        <v>1408</v>
      </c>
      <c r="E675" t="s">
        <v>1541</v>
      </c>
      <c r="F675">
        <v>5</v>
      </c>
      <c r="J675" t="s">
        <v>37</v>
      </c>
      <c r="K675" t="s">
        <v>7363</v>
      </c>
      <c r="L675">
        <v>3</v>
      </c>
      <c r="M675">
        <v>1</v>
      </c>
      <c r="N675" t="s">
        <v>2791</v>
      </c>
      <c r="O675" t="s">
        <v>1441</v>
      </c>
      <c r="P675" t="s">
        <v>1452</v>
      </c>
      <c r="Q675" t="s">
        <v>1443</v>
      </c>
      <c r="R675" t="s">
        <v>2938</v>
      </c>
      <c r="S675" t="s">
        <v>2939</v>
      </c>
    </row>
    <row r="676" spans="1:19">
      <c r="A676" t="s">
        <v>4491</v>
      </c>
      <c r="B676" t="s">
        <v>791</v>
      </c>
      <c r="C676" t="s">
        <v>3607</v>
      </c>
      <c r="D676" t="s">
        <v>1408</v>
      </c>
      <c r="E676" t="s">
        <v>1497</v>
      </c>
      <c r="F676">
        <v>6</v>
      </c>
      <c r="J676" t="s">
        <v>37</v>
      </c>
      <c r="K676" t="s">
        <v>7363</v>
      </c>
      <c r="L676">
        <v>4</v>
      </c>
      <c r="M676">
        <v>1</v>
      </c>
      <c r="N676" t="s">
        <v>2794</v>
      </c>
      <c r="O676" t="s">
        <v>1457</v>
      </c>
      <c r="P676" t="s">
        <v>2795</v>
      </c>
      <c r="Q676" t="s">
        <v>1473</v>
      </c>
      <c r="R676" t="s">
        <v>792</v>
      </c>
      <c r="S676" t="s">
        <v>2940</v>
      </c>
    </row>
    <row r="677" spans="1:19">
      <c r="A677" t="s">
        <v>4493</v>
      </c>
      <c r="B677" t="s">
        <v>871</v>
      </c>
      <c r="C677" t="s">
        <v>3607</v>
      </c>
      <c r="D677" t="s">
        <v>1408</v>
      </c>
      <c r="E677" t="s">
        <v>1924</v>
      </c>
      <c r="F677">
        <v>2</v>
      </c>
      <c r="G677">
        <v>1</v>
      </c>
      <c r="J677" t="s">
        <v>37</v>
      </c>
      <c r="K677" t="s">
        <v>7363</v>
      </c>
      <c r="L677">
        <v>4</v>
      </c>
      <c r="M677">
        <v>2</v>
      </c>
      <c r="N677" t="s">
        <v>2801</v>
      </c>
      <c r="O677" t="s">
        <v>1447</v>
      </c>
      <c r="P677" t="s">
        <v>2841</v>
      </c>
      <c r="Q677" t="s">
        <v>2942</v>
      </c>
      <c r="R677" t="s">
        <v>791</v>
      </c>
      <c r="S677" t="s">
        <v>2943</v>
      </c>
    </row>
    <row r="678" spans="1:19">
      <c r="A678" t="s">
        <v>4494</v>
      </c>
      <c r="B678" t="s">
        <v>874</v>
      </c>
      <c r="C678" t="s">
        <v>3607</v>
      </c>
      <c r="D678" t="s">
        <v>1408</v>
      </c>
      <c r="E678" t="s">
        <v>1497</v>
      </c>
      <c r="F678">
        <v>6</v>
      </c>
      <c r="J678" t="s">
        <v>37</v>
      </c>
      <c r="K678" t="s">
        <v>7363</v>
      </c>
      <c r="L678">
        <v>4</v>
      </c>
      <c r="M678">
        <v>2</v>
      </c>
      <c r="N678" t="s">
        <v>2801</v>
      </c>
      <c r="O678" t="s">
        <v>1447</v>
      </c>
      <c r="P678" t="s">
        <v>2195</v>
      </c>
      <c r="Q678" t="s">
        <v>1443</v>
      </c>
      <c r="R678" t="s">
        <v>791</v>
      </c>
      <c r="S678" t="s">
        <v>2944</v>
      </c>
    </row>
    <row r="679" spans="1:19">
      <c r="A679" t="s">
        <v>4492</v>
      </c>
      <c r="B679" t="s">
        <v>808</v>
      </c>
      <c r="C679" t="s">
        <v>3607</v>
      </c>
      <c r="D679" t="s">
        <v>1408</v>
      </c>
      <c r="E679" t="s">
        <v>2861</v>
      </c>
      <c r="F679">
        <v>4</v>
      </c>
      <c r="H679" t="s">
        <v>2420</v>
      </c>
      <c r="J679" t="s">
        <v>37</v>
      </c>
      <c r="K679" t="s">
        <v>7363</v>
      </c>
      <c r="L679">
        <v>5</v>
      </c>
      <c r="M679">
        <v>2</v>
      </c>
      <c r="N679" t="s">
        <v>2798</v>
      </c>
      <c r="O679" t="s">
        <v>1447</v>
      </c>
      <c r="P679" t="s">
        <v>2865</v>
      </c>
      <c r="Q679" t="s">
        <v>1443</v>
      </c>
      <c r="R679" t="s">
        <v>791</v>
      </c>
      <c r="S679" t="s">
        <v>2941</v>
      </c>
    </row>
    <row r="680" spans="1:19">
      <c r="A680" t="s">
        <v>4495</v>
      </c>
      <c r="B680" t="s">
        <v>846</v>
      </c>
      <c r="C680" t="s">
        <v>3607</v>
      </c>
      <c r="D680" t="s">
        <v>1408</v>
      </c>
      <c r="E680" t="s">
        <v>1599</v>
      </c>
      <c r="F680">
        <v>10</v>
      </c>
      <c r="G680">
        <v>1</v>
      </c>
      <c r="J680" t="s">
        <v>37</v>
      </c>
      <c r="K680" t="s">
        <v>7363</v>
      </c>
      <c r="L680">
        <v>5</v>
      </c>
      <c r="M680">
        <v>3</v>
      </c>
      <c r="N680" t="s">
        <v>2813</v>
      </c>
      <c r="O680" t="s">
        <v>1447</v>
      </c>
      <c r="P680" t="s">
        <v>2945</v>
      </c>
      <c r="Q680" t="s">
        <v>1443</v>
      </c>
      <c r="R680" t="s">
        <v>2946</v>
      </c>
      <c r="S680" t="s">
        <v>2947</v>
      </c>
    </row>
    <row r="681" spans="1:19">
      <c r="A681" t="s">
        <v>4496</v>
      </c>
      <c r="B681" t="s">
        <v>834</v>
      </c>
      <c r="C681" t="s">
        <v>3607</v>
      </c>
      <c r="D681" t="s">
        <v>1408</v>
      </c>
      <c r="E681" t="s">
        <v>1599</v>
      </c>
      <c r="F681">
        <v>10</v>
      </c>
      <c r="G681">
        <v>1</v>
      </c>
      <c r="J681" t="s">
        <v>37</v>
      </c>
      <c r="K681" t="s">
        <v>7363</v>
      </c>
      <c r="L681">
        <v>5</v>
      </c>
      <c r="M681">
        <v>3</v>
      </c>
      <c r="N681" t="s">
        <v>2813</v>
      </c>
      <c r="O681" t="s">
        <v>1457</v>
      </c>
      <c r="P681" t="s">
        <v>2817</v>
      </c>
      <c r="Q681" t="s">
        <v>1443</v>
      </c>
      <c r="R681" t="s">
        <v>846</v>
      </c>
      <c r="S681" t="s">
        <v>2948</v>
      </c>
    </row>
    <row r="682" spans="1:19">
      <c r="A682" t="s">
        <v>4458</v>
      </c>
      <c r="B682" t="s">
        <v>817</v>
      </c>
      <c r="C682" t="s">
        <v>3607</v>
      </c>
      <c r="D682" t="s">
        <v>1409</v>
      </c>
      <c r="E682" t="s">
        <v>1450</v>
      </c>
      <c r="F682">
        <v>3</v>
      </c>
      <c r="J682" t="s">
        <v>37</v>
      </c>
      <c r="K682" t="s">
        <v>3221</v>
      </c>
      <c r="L682">
        <v>2</v>
      </c>
      <c r="M682">
        <v>1</v>
      </c>
      <c r="N682" t="s">
        <v>2788</v>
      </c>
      <c r="O682" t="s">
        <v>1441</v>
      </c>
      <c r="P682" t="s">
        <v>2821</v>
      </c>
      <c r="Q682" t="s">
        <v>1443</v>
      </c>
      <c r="R682" t="s">
        <v>1444</v>
      </c>
      <c r="S682" t="s">
        <v>2887</v>
      </c>
    </row>
    <row r="683" spans="1:19">
      <c r="A683" t="s">
        <v>4459</v>
      </c>
      <c r="B683" t="s">
        <v>828</v>
      </c>
      <c r="C683" t="s">
        <v>3607</v>
      </c>
      <c r="D683" t="s">
        <v>1409</v>
      </c>
      <c r="E683" t="s">
        <v>1450</v>
      </c>
      <c r="F683">
        <v>3</v>
      </c>
      <c r="J683" t="s">
        <v>37</v>
      </c>
      <c r="K683" t="s">
        <v>3221</v>
      </c>
      <c r="L683">
        <v>2</v>
      </c>
      <c r="M683">
        <v>1</v>
      </c>
      <c r="N683" t="s">
        <v>2788</v>
      </c>
      <c r="O683" t="s">
        <v>1447</v>
      </c>
      <c r="P683" t="s">
        <v>2789</v>
      </c>
      <c r="Q683" t="s">
        <v>2189</v>
      </c>
      <c r="R683" t="s">
        <v>1444</v>
      </c>
      <c r="S683" t="s">
        <v>2888</v>
      </c>
    </row>
    <row r="684" spans="1:19">
      <c r="A684" t="s">
        <v>4460</v>
      </c>
      <c r="B684" t="s">
        <v>801</v>
      </c>
      <c r="C684" t="s">
        <v>3607</v>
      </c>
      <c r="D684" t="s">
        <v>1409</v>
      </c>
      <c r="E684" t="s">
        <v>1692</v>
      </c>
      <c r="F684">
        <v>8</v>
      </c>
      <c r="J684" t="s">
        <v>37</v>
      </c>
      <c r="K684" t="s">
        <v>3221</v>
      </c>
      <c r="L684">
        <v>4</v>
      </c>
      <c r="M684">
        <v>2</v>
      </c>
      <c r="N684" t="s">
        <v>2801</v>
      </c>
      <c r="O684" t="s">
        <v>1457</v>
      </c>
      <c r="P684" t="s">
        <v>2795</v>
      </c>
      <c r="Q684" t="s">
        <v>1473</v>
      </c>
      <c r="R684" t="s">
        <v>2889</v>
      </c>
      <c r="S684" t="s">
        <v>2890</v>
      </c>
    </row>
    <row r="685" spans="1:19">
      <c r="A685" t="s">
        <v>4464</v>
      </c>
      <c r="B685" t="s">
        <v>836</v>
      </c>
      <c r="C685" t="s">
        <v>3607</v>
      </c>
      <c r="D685" t="s">
        <v>1409</v>
      </c>
      <c r="E685" t="s">
        <v>1465</v>
      </c>
      <c r="F685">
        <v>1</v>
      </c>
      <c r="G685">
        <v>1</v>
      </c>
      <c r="J685" t="s">
        <v>37</v>
      </c>
      <c r="K685" t="s">
        <v>3221</v>
      </c>
      <c r="L685">
        <v>4</v>
      </c>
      <c r="M685">
        <v>2</v>
      </c>
      <c r="N685" t="s">
        <v>2801</v>
      </c>
      <c r="O685" t="s">
        <v>1441</v>
      </c>
      <c r="P685" t="s">
        <v>2833</v>
      </c>
      <c r="Q685" t="s">
        <v>1443</v>
      </c>
      <c r="R685" t="s">
        <v>801</v>
      </c>
      <c r="S685" t="s">
        <v>2897</v>
      </c>
    </row>
    <row r="686" spans="1:19">
      <c r="A686" t="s">
        <v>4466</v>
      </c>
      <c r="B686" t="s">
        <v>2900</v>
      </c>
      <c r="C686" t="s">
        <v>3607</v>
      </c>
      <c r="D686" t="s">
        <v>1409</v>
      </c>
      <c r="E686" t="s">
        <v>1450</v>
      </c>
      <c r="F686">
        <v>3</v>
      </c>
      <c r="J686" t="s">
        <v>37</v>
      </c>
      <c r="K686" t="s">
        <v>3221</v>
      </c>
      <c r="L686">
        <v>4</v>
      </c>
      <c r="M686">
        <v>2</v>
      </c>
      <c r="N686" t="s">
        <v>2801</v>
      </c>
      <c r="O686" t="s">
        <v>1441</v>
      </c>
      <c r="P686" t="s">
        <v>1452</v>
      </c>
      <c r="Q686" t="s">
        <v>1443</v>
      </c>
      <c r="R686" t="s">
        <v>836</v>
      </c>
      <c r="S686" t="s">
        <v>3719</v>
      </c>
    </row>
    <row r="687" spans="1:19">
      <c r="A687" t="s">
        <v>4461</v>
      </c>
      <c r="B687" t="s">
        <v>804</v>
      </c>
      <c r="C687" t="s">
        <v>3607</v>
      </c>
      <c r="D687" t="s">
        <v>1409</v>
      </c>
      <c r="E687" t="s">
        <v>2891</v>
      </c>
      <c r="F687">
        <v>6</v>
      </c>
      <c r="J687" t="s">
        <v>37</v>
      </c>
      <c r="K687" t="s">
        <v>3221</v>
      </c>
      <c r="L687">
        <v>5</v>
      </c>
      <c r="M687">
        <v>2</v>
      </c>
      <c r="N687" t="s">
        <v>2798</v>
      </c>
      <c r="O687" t="s">
        <v>1447</v>
      </c>
      <c r="P687" t="s">
        <v>2802</v>
      </c>
      <c r="Q687" t="s">
        <v>2189</v>
      </c>
      <c r="R687" t="s">
        <v>801</v>
      </c>
      <c r="S687" t="s">
        <v>2892</v>
      </c>
    </row>
    <row r="688" spans="1:19">
      <c r="A688" t="s">
        <v>4462</v>
      </c>
      <c r="B688" t="s">
        <v>824</v>
      </c>
      <c r="C688" t="s">
        <v>3607</v>
      </c>
      <c r="D688" t="s">
        <v>1409</v>
      </c>
      <c r="E688" t="s">
        <v>2893</v>
      </c>
      <c r="F688">
        <v>2</v>
      </c>
      <c r="H688" t="s">
        <v>3715</v>
      </c>
      <c r="J688" t="s">
        <v>37</v>
      </c>
      <c r="K688" t="s">
        <v>3221</v>
      </c>
      <c r="L688">
        <v>5</v>
      </c>
      <c r="M688">
        <v>3</v>
      </c>
      <c r="N688" t="s">
        <v>2813</v>
      </c>
      <c r="O688" t="s">
        <v>1447</v>
      </c>
      <c r="P688" t="s">
        <v>2808</v>
      </c>
      <c r="Q688" t="s">
        <v>1443</v>
      </c>
      <c r="R688" t="s">
        <v>804</v>
      </c>
      <c r="S688" t="s">
        <v>2894</v>
      </c>
    </row>
    <row r="689" spans="1:19">
      <c r="A689" t="s">
        <v>4463</v>
      </c>
      <c r="B689" t="s">
        <v>2895</v>
      </c>
      <c r="C689" t="s">
        <v>3607</v>
      </c>
      <c r="D689" t="s">
        <v>1409</v>
      </c>
      <c r="E689" t="s">
        <v>1554</v>
      </c>
      <c r="F689">
        <v>4</v>
      </c>
      <c r="J689" t="s">
        <v>37</v>
      </c>
      <c r="K689" t="s">
        <v>3221</v>
      </c>
      <c r="L689">
        <v>5</v>
      </c>
      <c r="M689">
        <v>3</v>
      </c>
      <c r="N689" t="s">
        <v>2813</v>
      </c>
      <c r="O689" t="s">
        <v>1447</v>
      </c>
      <c r="P689" t="s">
        <v>1463</v>
      </c>
      <c r="Q689" t="s">
        <v>1443</v>
      </c>
      <c r="R689" t="s">
        <v>804</v>
      </c>
      <c r="S689" t="s">
        <v>2896</v>
      </c>
    </row>
    <row r="690" spans="1:19">
      <c r="A690" t="s">
        <v>4465</v>
      </c>
      <c r="B690" t="s">
        <v>2898</v>
      </c>
      <c r="C690" t="s">
        <v>3607</v>
      </c>
      <c r="D690" t="s">
        <v>1409</v>
      </c>
      <c r="E690" t="s">
        <v>1541</v>
      </c>
      <c r="F690">
        <v>5</v>
      </c>
      <c r="J690" t="s">
        <v>37</v>
      </c>
      <c r="K690" t="s">
        <v>3221</v>
      </c>
      <c r="L690">
        <v>5</v>
      </c>
      <c r="M690">
        <v>2</v>
      </c>
      <c r="N690" t="s">
        <v>2798</v>
      </c>
      <c r="O690" t="s">
        <v>1441</v>
      </c>
      <c r="P690" t="s">
        <v>2841</v>
      </c>
      <c r="Q690" t="s">
        <v>1443</v>
      </c>
      <c r="R690" t="s">
        <v>836</v>
      </c>
      <c r="S690" t="s">
        <v>2899</v>
      </c>
    </row>
    <row r="691" spans="1:19">
      <c r="A691" t="s">
        <v>4467</v>
      </c>
      <c r="B691" t="s">
        <v>886</v>
      </c>
      <c r="C691" t="s">
        <v>3607</v>
      </c>
      <c r="D691" t="s">
        <v>1409</v>
      </c>
      <c r="E691" t="s">
        <v>1543</v>
      </c>
      <c r="F691">
        <v>7</v>
      </c>
      <c r="G691">
        <v>1</v>
      </c>
      <c r="J691" t="s">
        <v>37</v>
      </c>
      <c r="K691" t="s">
        <v>3221</v>
      </c>
      <c r="L691">
        <v>5</v>
      </c>
      <c r="M691">
        <v>4</v>
      </c>
      <c r="N691" t="s">
        <v>2901</v>
      </c>
      <c r="O691" t="s">
        <v>1447</v>
      </c>
      <c r="P691" t="s">
        <v>2833</v>
      </c>
      <c r="Q691" t="s">
        <v>1443</v>
      </c>
      <c r="R691" t="s">
        <v>2902</v>
      </c>
      <c r="S691" t="s">
        <v>2903</v>
      </c>
    </row>
    <row r="692" spans="1:19">
      <c r="A692" t="s">
        <v>4499</v>
      </c>
      <c r="B692" t="s">
        <v>847</v>
      </c>
      <c r="C692" t="s">
        <v>3607</v>
      </c>
      <c r="D692" t="s">
        <v>1408</v>
      </c>
      <c r="E692" t="s">
        <v>1439</v>
      </c>
      <c r="F692">
        <v>1</v>
      </c>
      <c r="J692" t="s">
        <v>37</v>
      </c>
      <c r="K692" t="s">
        <v>7364</v>
      </c>
      <c r="L692">
        <v>2</v>
      </c>
      <c r="M692">
        <v>1</v>
      </c>
      <c r="N692" t="s">
        <v>2788</v>
      </c>
      <c r="O692" t="s">
        <v>1447</v>
      </c>
      <c r="P692" t="s">
        <v>2804</v>
      </c>
      <c r="Q692" t="s">
        <v>1473</v>
      </c>
      <c r="R692" t="s">
        <v>1444</v>
      </c>
      <c r="S692" t="s">
        <v>2951</v>
      </c>
    </row>
    <row r="693" spans="1:19">
      <c r="A693" t="s">
        <v>4497</v>
      </c>
      <c r="B693" t="s">
        <v>806</v>
      </c>
      <c r="C693" t="s">
        <v>3607</v>
      </c>
      <c r="D693" t="s">
        <v>1408</v>
      </c>
      <c r="E693" t="s">
        <v>1450</v>
      </c>
      <c r="F693">
        <v>3</v>
      </c>
      <c r="J693" t="s">
        <v>37</v>
      </c>
      <c r="K693" t="s">
        <v>7364</v>
      </c>
      <c r="L693">
        <v>3</v>
      </c>
      <c r="M693">
        <v>1</v>
      </c>
      <c r="N693" t="s">
        <v>2791</v>
      </c>
      <c r="O693" t="s">
        <v>1447</v>
      </c>
      <c r="P693" t="s">
        <v>2789</v>
      </c>
      <c r="Q693" t="s">
        <v>1443</v>
      </c>
      <c r="R693" t="s">
        <v>1444</v>
      </c>
      <c r="S693" t="s">
        <v>2949</v>
      </c>
    </row>
    <row r="694" spans="1:19">
      <c r="A694" t="s">
        <v>4498</v>
      </c>
      <c r="B694" t="s">
        <v>815</v>
      </c>
      <c r="C694" t="s">
        <v>3607</v>
      </c>
      <c r="D694" t="s">
        <v>1408</v>
      </c>
      <c r="E694" t="s">
        <v>1450</v>
      </c>
      <c r="F694">
        <v>3</v>
      </c>
      <c r="J694" t="s">
        <v>37</v>
      </c>
      <c r="K694" t="s">
        <v>7364</v>
      </c>
      <c r="L694">
        <v>3</v>
      </c>
      <c r="M694">
        <v>1</v>
      </c>
      <c r="N694" t="s">
        <v>2791</v>
      </c>
      <c r="O694" t="s">
        <v>1441</v>
      </c>
      <c r="P694" t="s">
        <v>2792</v>
      </c>
      <c r="Q694" t="s">
        <v>1443</v>
      </c>
      <c r="R694" t="s">
        <v>1444</v>
      </c>
      <c r="S694" t="s">
        <v>2950</v>
      </c>
    </row>
    <row r="695" spans="1:19">
      <c r="A695" t="s">
        <v>4500</v>
      </c>
      <c r="B695" t="s">
        <v>811</v>
      </c>
      <c r="C695" t="s">
        <v>3607</v>
      </c>
      <c r="D695" t="s">
        <v>1408</v>
      </c>
      <c r="E695" t="s">
        <v>1692</v>
      </c>
      <c r="F695">
        <v>8</v>
      </c>
      <c r="J695" t="s">
        <v>37</v>
      </c>
      <c r="K695" t="s">
        <v>7364</v>
      </c>
      <c r="L695">
        <v>4</v>
      </c>
      <c r="M695">
        <v>2</v>
      </c>
      <c r="N695" t="s">
        <v>2801</v>
      </c>
      <c r="O695" t="s">
        <v>1457</v>
      </c>
      <c r="P695" t="s">
        <v>2795</v>
      </c>
      <c r="Q695" t="s">
        <v>1473</v>
      </c>
      <c r="R695" t="s">
        <v>2952</v>
      </c>
      <c r="S695" t="s">
        <v>2953</v>
      </c>
    </row>
    <row r="696" spans="1:19">
      <c r="A696" t="s">
        <v>4501</v>
      </c>
      <c r="B696" t="s">
        <v>827</v>
      </c>
      <c r="C696" t="s">
        <v>3607</v>
      </c>
      <c r="D696" t="s">
        <v>1408</v>
      </c>
      <c r="E696" t="s">
        <v>1476</v>
      </c>
      <c r="F696">
        <v>3</v>
      </c>
      <c r="G696">
        <v>1</v>
      </c>
      <c r="J696" t="s">
        <v>37</v>
      </c>
      <c r="K696" t="s">
        <v>7364</v>
      </c>
      <c r="L696">
        <v>4</v>
      </c>
      <c r="M696">
        <v>2</v>
      </c>
      <c r="N696" t="s">
        <v>2801</v>
      </c>
      <c r="O696" t="s">
        <v>1441</v>
      </c>
      <c r="P696" t="s">
        <v>1452</v>
      </c>
      <c r="Q696" t="s">
        <v>1443</v>
      </c>
      <c r="R696" t="s">
        <v>2954</v>
      </c>
      <c r="S696" t="s">
        <v>3721</v>
      </c>
    </row>
    <row r="697" spans="1:19">
      <c r="A697" t="s">
        <v>4503</v>
      </c>
      <c r="B697" t="s">
        <v>829</v>
      </c>
      <c r="C697" t="s">
        <v>3607</v>
      </c>
      <c r="D697" t="s">
        <v>1408</v>
      </c>
      <c r="E697" t="s">
        <v>1554</v>
      </c>
      <c r="F697">
        <v>4</v>
      </c>
      <c r="J697" t="s">
        <v>37</v>
      </c>
      <c r="K697" t="s">
        <v>7364</v>
      </c>
      <c r="L697">
        <v>4</v>
      </c>
      <c r="M697">
        <v>2</v>
      </c>
      <c r="N697" t="s">
        <v>2801</v>
      </c>
      <c r="O697" t="s">
        <v>1441</v>
      </c>
      <c r="P697" t="s">
        <v>1444</v>
      </c>
      <c r="Q697" t="s">
        <v>1443</v>
      </c>
      <c r="R697" t="s">
        <v>811</v>
      </c>
      <c r="S697" t="s">
        <v>2956</v>
      </c>
    </row>
    <row r="698" spans="1:19">
      <c r="A698" t="s">
        <v>4504</v>
      </c>
      <c r="B698" t="s">
        <v>856</v>
      </c>
      <c r="C698" t="s">
        <v>3607</v>
      </c>
      <c r="D698" t="s">
        <v>1408</v>
      </c>
      <c r="E698" t="s">
        <v>2957</v>
      </c>
      <c r="F698">
        <v>4</v>
      </c>
      <c r="H698" t="s">
        <v>2434</v>
      </c>
      <c r="J698" t="s">
        <v>37</v>
      </c>
      <c r="K698" t="s">
        <v>7364</v>
      </c>
      <c r="L698">
        <v>4</v>
      </c>
      <c r="M698">
        <v>2</v>
      </c>
      <c r="N698" t="s">
        <v>2801</v>
      </c>
      <c r="O698" t="s">
        <v>1447</v>
      </c>
      <c r="P698" t="s">
        <v>2804</v>
      </c>
      <c r="Q698" t="s">
        <v>1443</v>
      </c>
      <c r="R698" t="s">
        <v>2958</v>
      </c>
      <c r="S698" t="s">
        <v>2959</v>
      </c>
    </row>
    <row r="699" spans="1:19">
      <c r="A699" t="s">
        <v>4502</v>
      </c>
      <c r="B699" t="s">
        <v>2955</v>
      </c>
      <c r="C699" t="s">
        <v>3607</v>
      </c>
      <c r="D699" t="s">
        <v>1408</v>
      </c>
      <c r="E699" t="s">
        <v>1482</v>
      </c>
      <c r="F699">
        <v>7</v>
      </c>
      <c r="J699" t="s">
        <v>37</v>
      </c>
      <c r="K699" t="s">
        <v>7364</v>
      </c>
      <c r="L699">
        <v>5</v>
      </c>
      <c r="M699">
        <v>3</v>
      </c>
      <c r="N699" t="s">
        <v>2813</v>
      </c>
      <c r="O699" t="s">
        <v>1447</v>
      </c>
      <c r="P699" t="s">
        <v>2802</v>
      </c>
      <c r="Q699" t="s">
        <v>1443</v>
      </c>
      <c r="R699" t="s">
        <v>827</v>
      </c>
      <c r="S699" t="s">
        <v>3722</v>
      </c>
    </row>
    <row r="700" spans="1:19">
      <c r="A700" t="s">
        <v>4505</v>
      </c>
      <c r="B700" t="s">
        <v>2960</v>
      </c>
      <c r="C700" t="s">
        <v>3607</v>
      </c>
      <c r="D700" t="s">
        <v>1408</v>
      </c>
      <c r="E700" t="s">
        <v>2961</v>
      </c>
      <c r="F700" t="s">
        <v>2961</v>
      </c>
      <c r="J700" t="s">
        <v>37</v>
      </c>
      <c r="K700" t="s">
        <v>7364</v>
      </c>
      <c r="L700">
        <v>5</v>
      </c>
      <c r="M700">
        <v>3</v>
      </c>
      <c r="N700" t="s">
        <v>2813</v>
      </c>
      <c r="O700" t="s">
        <v>1513</v>
      </c>
      <c r="P700" t="s">
        <v>2837</v>
      </c>
      <c r="Q700" t="s">
        <v>1513</v>
      </c>
      <c r="R700" t="s">
        <v>2962</v>
      </c>
      <c r="S700" t="s">
        <v>3723</v>
      </c>
    </row>
    <row r="701" spans="1:19">
      <c r="A701" t="s">
        <v>7268</v>
      </c>
      <c r="B701" t="s">
        <v>6495</v>
      </c>
      <c r="C701" t="s">
        <v>3968</v>
      </c>
      <c r="D701">
        <v>290</v>
      </c>
      <c r="E701" t="s">
        <v>1632</v>
      </c>
      <c r="F701">
        <v>5</v>
      </c>
      <c r="H701" t="s">
        <v>2420</v>
      </c>
      <c r="J701" t="s">
        <v>37</v>
      </c>
      <c r="K701" t="s">
        <v>7365</v>
      </c>
      <c r="L701">
        <v>2</v>
      </c>
      <c r="M701">
        <v>1</v>
      </c>
      <c r="N701" t="s">
        <v>2788</v>
      </c>
      <c r="O701" t="s">
        <v>1447</v>
      </c>
      <c r="P701" t="s">
        <v>6496</v>
      </c>
      <c r="Q701" t="s">
        <v>1443</v>
      </c>
      <c r="R701" t="s">
        <v>1444</v>
      </c>
      <c r="S701" t="s">
        <v>6497</v>
      </c>
    </row>
    <row r="702" spans="1:19">
      <c r="A702" t="s">
        <v>7269</v>
      </c>
      <c r="B702" t="s">
        <v>6498</v>
      </c>
      <c r="C702" t="s">
        <v>3968</v>
      </c>
      <c r="D702">
        <v>290</v>
      </c>
      <c r="E702" t="s">
        <v>1450</v>
      </c>
      <c r="F702">
        <v>3</v>
      </c>
      <c r="J702" t="s">
        <v>37</v>
      </c>
      <c r="K702" t="s">
        <v>7365</v>
      </c>
      <c r="L702">
        <v>3</v>
      </c>
      <c r="M702">
        <v>1</v>
      </c>
      <c r="N702" t="s">
        <v>2791</v>
      </c>
      <c r="O702" t="s">
        <v>1441</v>
      </c>
      <c r="P702" t="s">
        <v>5210</v>
      </c>
      <c r="Q702" t="s">
        <v>1443</v>
      </c>
      <c r="R702" t="s">
        <v>1444</v>
      </c>
      <c r="S702" t="s">
        <v>6499</v>
      </c>
    </row>
    <row r="703" spans="1:19">
      <c r="A703" t="s">
        <v>7270</v>
      </c>
      <c r="B703" t="s">
        <v>6500</v>
      </c>
      <c r="C703" t="s">
        <v>3968</v>
      </c>
      <c r="D703">
        <v>290</v>
      </c>
      <c r="E703" t="s">
        <v>6501</v>
      </c>
      <c r="F703">
        <v>2</v>
      </c>
      <c r="H703" t="s">
        <v>2420</v>
      </c>
      <c r="J703" t="s">
        <v>37</v>
      </c>
      <c r="K703" t="s">
        <v>7365</v>
      </c>
      <c r="L703">
        <v>3</v>
      </c>
      <c r="M703">
        <v>2</v>
      </c>
      <c r="N703" t="s">
        <v>2869</v>
      </c>
      <c r="O703" t="s">
        <v>1441</v>
      </c>
      <c r="P703" t="s">
        <v>6502</v>
      </c>
      <c r="Q703" t="s">
        <v>1443</v>
      </c>
      <c r="R703" t="s">
        <v>6498</v>
      </c>
      <c r="S703" t="s">
        <v>6503</v>
      </c>
    </row>
    <row r="704" spans="1:19">
      <c r="A704" t="s">
        <v>7271</v>
      </c>
      <c r="B704" t="s">
        <v>6504</v>
      </c>
      <c r="C704" t="s">
        <v>3968</v>
      </c>
      <c r="D704">
        <v>290</v>
      </c>
      <c r="E704" t="s">
        <v>1497</v>
      </c>
      <c r="F704">
        <v>6</v>
      </c>
      <c r="J704" t="s">
        <v>37</v>
      </c>
      <c r="K704" t="s">
        <v>7365</v>
      </c>
      <c r="L704">
        <v>4</v>
      </c>
      <c r="M704">
        <v>2</v>
      </c>
      <c r="N704" t="s">
        <v>2801</v>
      </c>
      <c r="O704" t="s">
        <v>1447</v>
      </c>
      <c r="P704" t="s">
        <v>6496</v>
      </c>
      <c r="Q704" t="s">
        <v>1443</v>
      </c>
      <c r="R704" t="s">
        <v>6495</v>
      </c>
      <c r="S704" t="s">
        <v>6505</v>
      </c>
    </row>
    <row r="705" spans="1:19">
      <c r="A705" t="s">
        <v>7272</v>
      </c>
      <c r="B705" t="s">
        <v>6506</v>
      </c>
      <c r="C705" t="s">
        <v>3968</v>
      </c>
      <c r="D705">
        <v>290</v>
      </c>
      <c r="E705" t="s">
        <v>6507</v>
      </c>
      <c r="F705">
        <v>9</v>
      </c>
      <c r="J705" t="s">
        <v>37</v>
      </c>
      <c r="K705" t="s">
        <v>7365</v>
      </c>
      <c r="L705">
        <v>4</v>
      </c>
      <c r="M705">
        <v>2</v>
      </c>
      <c r="N705" t="s">
        <v>2801</v>
      </c>
      <c r="O705" t="s">
        <v>1457</v>
      </c>
      <c r="P705" t="s">
        <v>6508</v>
      </c>
      <c r="Q705" t="s">
        <v>1473</v>
      </c>
      <c r="R705" t="s">
        <v>6509</v>
      </c>
      <c r="S705" t="s">
        <v>6510</v>
      </c>
    </row>
    <row r="706" spans="1:19">
      <c r="A706" t="s">
        <v>7273</v>
      </c>
      <c r="B706" t="s">
        <v>6511</v>
      </c>
      <c r="C706" t="s">
        <v>3968</v>
      </c>
      <c r="D706">
        <v>291</v>
      </c>
      <c r="E706" t="s">
        <v>5216</v>
      </c>
      <c r="F706">
        <v>5</v>
      </c>
      <c r="G706">
        <v>1</v>
      </c>
      <c r="H706" t="s">
        <v>5121</v>
      </c>
      <c r="J706" t="s">
        <v>37</v>
      </c>
      <c r="K706" t="s">
        <v>7365</v>
      </c>
      <c r="L706">
        <v>4</v>
      </c>
      <c r="M706">
        <v>2</v>
      </c>
      <c r="N706" t="s">
        <v>2801</v>
      </c>
      <c r="O706" t="s">
        <v>1447</v>
      </c>
      <c r="P706" t="s">
        <v>6512</v>
      </c>
      <c r="Q706" t="s">
        <v>1443</v>
      </c>
      <c r="R706" t="s">
        <v>6506</v>
      </c>
      <c r="S706" t="s">
        <v>6513</v>
      </c>
    </row>
    <row r="707" spans="1:19">
      <c r="A707" t="s">
        <v>7274</v>
      </c>
      <c r="B707" t="s">
        <v>6514</v>
      </c>
      <c r="C707" t="s">
        <v>3968</v>
      </c>
      <c r="D707">
        <v>291</v>
      </c>
      <c r="E707" t="s">
        <v>5748</v>
      </c>
      <c r="F707">
        <v>10</v>
      </c>
      <c r="G707">
        <v>1</v>
      </c>
      <c r="H707" t="s">
        <v>5121</v>
      </c>
      <c r="J707" t="s">
        <v>37</v>
      </c>
      <c r="K707" t="s">
        <v>7365</v>
      </c>
      <c r="L707">
        <v>5</v>
      </c>
      <c r="M707">
        <v>3</v>
      </c>
      <c r="N707" t="s">
        <v>2813</v>
      </c>
      <c r="O707" t="s">
        <v>1457</v>
      </c>
      <c r="P707" t="s">
        <v>5197</v>
      </c>
      <c r="Q707" t="s">
        <v>1443</v>
      </c>
      <c r="R707" t="s">
        <v>6506</v>
      </c>
      <c r="S707" t="s">
        <v>6515</v>
      </c>
    </row>
    <row r="708" spans="1:19">
      <c r="A708" t="s">
        <v>7275</v>
      </c>
      <c r="B708" t="s">
        <v>6516</v>
      </c>
      <c r="C708" t="s">
        <v>3968</v>
      </c>
      <c r="D708">
        <v>291</v>
      </c>
      <c r="E708" t="s">
        <v>1476</v>
      </c>
      <c r="F708">
        <v>3</v>
      </c>
      <c r="G708">
        <v>1</v>
      </c>
      <c r="J708" t="s">
        <v>37</v>
      </c>
      <c r="K708" t="s">
        <v>7365</v>
      </c>
      <c r="L708">
        <v>5</v>
      </c>
      <c r="M708">
        <v>3</v>
      </c>
      <c r="N708" t="s">
        <v>2813</v>
      </c>
      <c r="O708" t="s">
        <v>1441</v>
      </c>
      <c r="P708" t="s">
        <v>5197</v>
      </c>
      <c r="Q708" t="s">
        <v>1443</v>
      </c>
      <c r="R708" t="s">
        <v>6506</v>
      </c>
      <c r="S708" t="s">
        <v>6517</v>
      </c>
    </row>
    <row r="709" spans="1:19">
      <c r="A709" t="s">
        <v>7276</v>
      </c>
      <c r="B709" t="s">
        <v>6518</v>
      </c>
      <c r="C709" t="s">
        <v>3968</v>
      </c>
      <c r="D709">
        <v>291</v>
      </c>
      <c r="E709" t="s">
        <v>1599</v>
      </c>
      <c r="F709">
        <v>10</v>
      </c>
      <c r="G709">
        <v>1</v>
      </c>
      <c r="J709" t="s">
        <v>37</v>
      </c>
      <c r="K709" t="s">
        <v>7365</v>
      </c>
      <c r="L709">
        <v>5</v>
      </c>
      <c r="M709">
        <v>3</v>
      </c>
      <c r="N709" t="s">
        <v>2813</v>
      </c>
      <c r="O709" t="s">
        <v>1447</v>
      </c>
      <c r="P709" t="s">
        <v>6519</v>
      </c>
      <c r="Q709" t="s">
        <v>1443</v>
      </c>
      <c r="R709" t="s">
        <v>6516</v>
      </c>
      <c r="S709" t="s">
        <v>6520</v>
      </c>
    </row>
    <row r="710" spans="1:19">
      <c r="A710" t="s">
        <v>7277</v>
      </c>
      <c r="B710" t="s">
        <v>6521</v>
      </c>
      <c r="C710" t="s">
        <v>3968</v>
      </c>
      <c r="D710">
        <v>291</v>
      </c>
      <c r="E710" t="s">
        <v>2299</v>
      </c>
      <c r="F710">
        <v>20</v>
      </c>
      <c r="G710">
        <v>1</v>
      </c>
      <c r="J710" t="s">
        <v>37</v>
      </c>
      <c r="K710" t="s">
        <v>7365</v>
      </c>
      <c r="L710">
        <v>5</v>
      </c>
      <c r="M710">
        <v>4</v>
      </c>
      <c r="N710" t="s">
        <v>2901</v>
      </c>
      <c r="O710" t="s">
        <v>1457</v>
      </c>
      <c r="P710" t="s">
        <v>5197</v>
      </c>
      <c r="Q710" t="s">
        <v>1443</v>
      </c>
      <c r="R710" t="s">
        <v>6522</v>
      </c>
      <c r="S710" t="s">
        <v>6523</v>
      </c>
    </row>
    <row r="711" spans="1:19">
      <c r="A711" t="s">
        <v>7278</v>
      </c>
      <c r="B711" t="s">
        <v>6524</v>
      </c>
      <c r="C711" t="s">
        <v>3968</v>
      </c>
      <c r="D711">
        <v>292</v>
      </c>
      <c r="E711" t="s">
        <v>6525</v>
      </c>
      <c r="F711">
        <v>10</v>
      </c>
      <c r="G711">
        <v>1</v>
      </c>
      <c r="H711" t="s">
        <v>6526</v>
      </c>
      <c r="J711" t="s">
        <v>37</v>
      </c>
      <c r="K711" t="s">
        <v>7365</v>
      </c>
      <c r="L711">
        <v>5</v>
      </c>
      <c r="M711">
        <v>4</v>
      </c>
      <c r="N711" t="s">
        <v>2901</v>
      </c>
      <c r="O711" t="s">
        <v>1441</v>
      </c>
      <c r="P711" t="s">
        <v>6512</v>
      </c>
      <c r="Q711" t="s">
        <v>1443</v>
      </c>
      <c r="R711" t="s">
        <v>6527</v>
      </c>
      <c r="S711" t="s">
        <v>6528</v>
      </c>
    </row>
    <row r="712" spans="1:19">
      <c r="A712" t="s">
        <v>7279</v>
      </c>
      <c r="B712" t="s">
        <v>6529</v>
      </c>
      <c r="C712" t="s">
        <v>3968</v>
      </c>
      <c r="D712">
        <v>292</v>
      </c>
      <c r="E712" t="s">
        <v>6530</v>
      </c>
      <c r="G712">
        <v>1</v>
      </c>
      <c r="H712" t="s">
        <v>6526</v>
      </c>
      <c r="J712" t="s">
        <v>37</v>
      </c>
      <c r="K712" t="s">
        <v>7365</v>
      </c>
      <c r="L712">
        <v>5</v>
      </c>
      <c r="M712">
        <v>5</v>
      </c>
      <c r="N712" t="s">
        <v>6492</v>
      </c>
      <c r="O712" t="s">
        <v>1513</v>
      </c>
      <c r="P712" t="s">
        <v>6072</v>
      </c>
      <c r="Q712" t="s">
        <v>1513</v>
      </c>
      <c r="R712" t="s">
        <v>6531</v>
      </c>
      <c r="S712" t="s">
        <v>6532</v>
      </c>
    </row>
    <row r="713" spans="1:19">
      <c r="A713" t="s">
        <v>4450</v>
      </c>
      <c r="B713" t="s">
        <v>2874</v>
      </c>
      <c r="C713" t="s">
        <v>3607</v>
      </c>
      <c r="D713" t="s">
        <v>814</v>
      </c>
      <c r="E713" t="s">
        <v>1450</v>
      </c>
      <c r="F713">
        <v>3</v>
      </c>
      <c r="J713" t="s">
        <v>37</v>
      </c>
      <c r="K713" t="s">
        <v>7366</v>
      </c>
      <c r="L713">
        <v>2</v>
      </c>
      <c r="M713">
        <v>1</v>
      </c>
      <c r="N713" t="s">
        <v>2788</v>
      </c>
      <c r="O713" t="s">
        <v>1447</v>
      </c>
      <c r="P713" t="s">
        <v>2841</v>
      </c>
      <c r="Q713" t="s">
        <v>1443</v>
      </c>
      <c r="R713" t="s">
        <v>1444</v>
      </c>
      <c r="S713" t="s">
        <v>2875</v>
      </c>
    </row>
    <row r="714" spans="1:19">
      <c r="A714" t="s">
        <v>4451</v>
      </c>
      <c r="B714" t="s">
        <v>855</v>
      </c>
      <c r="C714" t="s">
        <v>3607</v>
      </c>
      <c r="D714" t="s">
        <v>814</v>
      </c>
      <c r="E714" t="s">
        <v>1554</v>
      </c>
      <c r="F714">
        <v>4</v>
      </c>
      <c r="J714" t="s">
        <v>37</v>
      </c>
      <c r="K714" t="s">
        <v>7366</v>
      </c>
      <c r="L714">
        <v>3</v>
      </c>
      <c r="M714">
        <v>1</v>
      </c>
      <c r="N714" t="s">
        <v>2791</v>
      </c>
      <c r="O714" t="s">
        <v>1441</v>
      </c>
      <c r="P714" t="s">
        <v>2821</v>
      </c>
      <c r="Q714" t="s">
        <v>1443</v>
      </c>
      <c r="R714" t="s">
        <v>1444</v>
      </c>
      <c r="S714" t="s">
        <v>2876</v>
      </c>
    </row>
    <row r="715" spans="1:19">
      <c r="A715" t="s">
        <v>4452</v>
      </c>
      <c r="B715" t="s">
        <v>813</v>
      </c>
      <c r="C715" t="s">
        <v>3607</v>
      </c>
      <c r="D715" t="s">
        <v>814</v>
      </c>
      <c r="E715" t="s">
        <v>1692</v>
      </c>
      <c r="F715">
        <v>8</v>
      </c>
      <c r="J715" t="s">
        <v>37</v>
      </c>
      <c r="K715" t="s">
        <v>7366</v>
      </c>
      <c r="L715">
        <v>4</v>
      </c>
      <c r="M715">
        <v>1</v>
      </c>
      <c r="N715" t="s">
        <v>2794</v>
      </c>
      <c r="O715" t="s">
        <v>1457</v>
      </c>
      <c r="P715" t="s">
        <v>2877</v>
      </c>
      <c r="Q715" t="s">
        <v>1473</v>
      </c>
      <c r="R715" t="s">
        <v>2878</v>
      </c>
      <c r="S715" t="s">
        <v>2879</v>
      </c>
    </row>
    <row r="716" spans="1:19">
      <c r="A716" t="s">
        <v>4455</v>
      </c>
      <c r="B716" t="s">
        <v>858</v>
      </c>
      <c r="C716" t="s">
        <v>3607</v>
      </c>
      <c r="D716" t="s">
        <v>814</v>
      </c>
      <c r="E716" t="s">
        <v>1541</v>
      </c>
      <c r="F716">
        <v>5</v>
      </c>
      <c r="J716" t="s">
        <v>37</v>
      </c>
      <c r="K716" t="s">
        <v>7366</v>
      </c>
      <c r="L716">
        <v>4</v>
      </c>
      <c r="M716">
        <v>2</v>
      </c>
      <c r="N716" t="s">
        <v>2801</v>
      </c>
      <c r="O716" t="s">
        <v>1441</v>
      </c>
      <c r="P716" t="s">
        <v>2883</v>
      </c>
      <c r="Q716" t="s">
        <v>1443</v>
      </c>
      <c r="R716" t="s">
        <v>813</v>
      </c>
      <c r="S716" t="s">
        <v>2884</v>
      </c>
    </row>
    <row r="717" spans="1:19">
      <c r="A717" t="s">
        <v>4456</v>
      </c>
      <c r="B717" t="s">
        <v>876</v>
      </c>
      <c r="C717" t="s">
        <v>3607</v>
      </c>
      <c r="D717" t="s">
        <v>814</v>
      </c>
      <c r="E717" t="s">
        <v>1465</v>
      </c>
      <c r="F717">
        <v>1</v>
      </c>
      <c r="G717">
        <v>1</v>
      </c>
      <c r="J717" t="s">
        <v>37</v>
      </c>
      <c r="K717" t="s">
        <v>7366</v>
      </c>
      <c r="L717">
        <v>4</v>
      </c>
      <c r="M717">
        <v>3</v>
      </c>
      <c r="N717" t="s">
        <v>2807</v>
      </c>
      <c r="O717" t="s">
        <v>1441</v>
      </c>
      <c r="P717" t="s">
        <v>2802</v>
      </c>
      <c r="Q717" t="s">
        <v>1443</v>
      </c>
      <c r="R717" t="s">
        <v>858</v>
      </c>
      <c r="S717" t="s">
        <v>3718</v>
      </c>
    </row>
    <row r="718" spans="1:19">
      <c r="A718" t="s">
        <v>4453</v>
      </c>
      <c r="B718" t="s">
        <v>816</v>
      </c>
      <c r="C718" t="s">
        <v>3607</v>
      </c>
      <c r="D718" t="s">
        <v>814</v>
      </c>
      <c r="E718" t="s">
        <v>1456</v>
      </c>
      <c r="F718">
        <v>4</v>
      </c>
      <c r="G718">
        <v>1</v>
      </c>
      <c r="J718" t="s">
        <v>37</v>
      </c>
      <c r="K718" t="s">
        <v>7366</v>
      </c>
      <c r="L718">
        <v>5</v>
      </c>
      <c r="M718">
        <v>2</v>
      </c>
      <c r="N718" t="s">
        <v>2798</v>
      </c>
      <c r="O718" t="s">
        <v>1447</v>
      </c>
      <c r="P718" t="s">
        <v>2833</v>
      </c>
      <c r="Q718" t="s">
        <v>1443</v>
      </c>
      <c r="R718" t="s">
        <v>813</v>
      </c>
      <c r="S718" t="s">
        <v>2880</v>
      </c>
    </row>
    <row r="719" spans="1:19">
      <c r="A719" t="s">
        <v>4454</v>
      </c>
      <c r="B719" t="s">
        <v>857</v>
      </c>
      <c r="C719" t="s">
        <v>3607</v>
      </c>
      <c r="D719" t="s">
        <v>814</v>
      </c>
      <c r="E719" t="s">
        <v>1945</v>
      </c>
      <c r="F719">
        <v>10</v>
      </c>
      <c r="J719" t="s">
        <v>37</v>
      </c>
      <c r="K719" t="s">
        <v>7366</v>
      </c>
      <c r="L719">
        <v>5</v>
      </c>
      <c r="M719">
        <v>2</v>
      </c>
      <c r="N719" t="s">
        <v>2798</v>
      </c>
      <c r="O719" t="s">
        <v>1447</v>
      </c>
      <c r="P719" t="s">
        <v>2881</v>
      </c>
      <c r="Q719" t="s">
        <v>1443</v>
      </c>
      <c r="R719" t="s">
        <v>816</v>
      </c>
      <c r="S719" t="s">
        <v>2882</v>
      </c>
    </row>
    <row r="720" spans="1:19">
      <c r="A720" t="s">
        <v>4457</v>
      </c>
      <c r="B720" t="s">
        <v>881</v>
      </c>
      <c r="C720" t="s">
        <v>3607</v>
      </c>
      <c r="D720" t="s">
        <v>814</v>
      </c>
      <c r="E720" t="s">
        <v>1467</v>
      </c>
      <c r="F720">
        <v>5</v>
      </c>
      <c r="G720">
        <v>1</v>
      </c>
      <c r="J720" t="s">
        <v>37</v>
      </c>
      <c r="K720" t="s">
        <v>7366</v>
      </c>
      <c r="L720">
        <v>5</v>
      </c>
      <c r="M720">
        <v>3</v>
      </c>
      <c r="N720" t="s">
        <v>2813</v>
      </c>
      <c r="O720" t="s">
        <v>1457</v>
      </c>
      <c r="P720" t="s">
        <v>2841</v>
      </c>
      <c r="Q720" t="s">
        <v>1443</v>
      </c>
      <c r="R720" t="s">
        <v>2885</v>
      </c>
      <c r="S720" t="s">
        <v>2886</v>
      </c>
    </row>
    <row r="721" spans="1:19">
      <c r="A721" t="s">
        <v>7280</v>
      </c>
      <c r="B721" t="s">
        <v>6533</v>
      </c>
      <c r="C721" t="s">
        <v>3968</v>
      </c>
      <c r="D721">
        <v>293</v>
      </c>
      <c r="E721" t="s">
        <v>1541</v>
      </c>
      <c r="F721">
        <v>5</v>
      </c>
      <c r="J721" t="s">
        <v>37</v>
      </c>
      <c r="K721" t="s">
        <v>7367</v>
      </c>
      <c r="L721">
        <v>3</v>
      </c>
      <c r="M721">
        <v>1</v>
      </c>
      <c r="N721" t="s">
        <v>2791</v>
      </c>
      <c r="O721" t="s">
        <v>1441</v>
      </c>
      <c r="P721" t="s">
        <v>5124</v>
      </c>
      <c r="Q721" t="s">
        <v>1443</v>
      </c>
      <c r="R721" t="s">
        <v>1444</v>
      </c>
      <c r="S721" t="s">
        <v>6534</v>
      </c>
    </row>
    <row r="722" spans="1:19">
      <c r="A722" t="s">
        <v>7281</v>
      </c>
      <c r="B722" t="s">
        <v>6535</v>
      </c>
      <c r="C722" t="s">
        <v>3968</v>
      </c>
      <c r="D722">
        <v>293</v>
      </c>
      <c r="E722" t="s">
        <v>1450</v>
      </c>
      <c r="F722">
        <v>3</v>
      </c>
      <c r="J722" t="s">
        <v>37</v>
      </c>
      <c r="K722" t="s">
        <v>7367</v>
      </c>
      <c r="L722">
        <v>3</v>
      </c>
      <c r="M722">
        <v>1</v>
      </c>
      <c r="N722" t="s">
        <v>2791</v>
      </c>
      <c r="O722" t="s">
        <v>1441</v>
      </c>
      <c r="P722" t="s">
        <v>6536</v>
      </c>
      <c r="Q722" t="s">
        <v>1443</v>
      </c>
      <c r="R722" t="s">
        <v>1444</v>
      </c>
      <c r="S722" t="s">
        <v>6537</v>
      </c>
    </row>
    <row r="723" spans="1:19">
      <c r="A723" t="s">
        <v>7282</v>
      </c>
      <c r="B723" t="s">
        <v>6538</v>
      </c>
      <c r="C723" t="s">
        <v>3968</v>
      </c>
      <c r="D723">
        <v>293</v>
      </c>
      <c r="E723" t="s">
        <v>1450</v>
      </c>
      <c r="F723">
        <v>3</v>
      </c>
      <c r="J723" t="s">
        <v>37</v>
      </c>
      <c r="K723" t="s">
        <v>7367</v>
      </c>
      <c r="L723">
        <v>3</v>
      </c>
      <c r="M723">
        <v>2</v>
      </c>
      <c r="N723" t="s">
        <v>2869</v>
      </c>
      <c r="O723" t="s">
        <v>1447</v>
      </c>
      <c r="P723" t="s">
        <v>5118</v>
      </c>
      <c r="Q723" t="s">
        <v>1443</v>
      </c>
      <c r="R723" t="s">
        <v>6533</v>
      </c>
      <c r="S723" t="s">
        <v>6539</v>
      </c>
    </row>
    <row r="724" spans="1:19">
      <c r="A724" t="s">
        <v>7283</v>
      </c>
      <c r="B724" t="s">
        <v>6540</v>
      </c>
      <c r="C724" t="s">
        <v>3968</v>
      </c>
      <c r="D724">
        <v>293</v>
      </c>
      <c r="E724" t="s">
        <v>1476</v>
      </c>
      <c r="F724">
        <v>3</v>
      </c>
      <c r="G724">
        <v>1</v>
      </c>
      <c r="J724" t="s">
        <v>37</v>
      </c>
      <c r="K724" t="s">
        <v>7367</v>
      </c>
      <c r="L724">
        <v>4</v>
      </c>
      <c r="M724">
        <v>2</v>
      </c>
      <c r="N724" t="s">
        <v>2801</v>
      </c>
      <c r="O724" t="s">
        <v>1441</v>
      </c>
      <c r="P724" t="s">
        <v>5124</v>
      </c>
      <c r="Q724" t="s">
        <v>1443</v>
      </c>
      <c r="R724" t="s">
        <v>6535</v>
      </c>
      <c r="S724" t="s">
        <v>6541</v>
      </c>
    </row>
    <row r="725" spans="1:19">
      <c r="A725" t="s">
        <v>7284</v>
      </c>
      <c r="B725" t="s">
        <v>6542</v>
      </c>
      <c r="C725" t="s">
        <v>3968</v>
      </c>
      <c r="D725">
        <v>293</v>
      </c>
      <c r="E725" t="s">
        <v>1482</v>
      </c>
      <c r="F725">
        <v>7</v>
      </c>
      <c r="J725" t="s">
        <v>37</v>
      </c>
      <c r="K725" t="s">
        <v>7367</v>
      </c>
      <c r="L725">
        <v>4</v>
      </c>
      <c r="M725">
        <v>2</v>
      </c>
      <c r="N725" t="s">
        <v>2801</v>
      </c>
      <c r="O725" t="s">
        <v>1457</v>
      </c>
      <c r="P725" t="s">
        <v>6543</v>
      </c>
      <c r="Q725" t="s">
        <v>1473</v>
      </c>
      <c r="R725" t="s">
        <v>6544</v>
      </c>
      <c r="S725" t="s">
        <v>6545</v>
      </c>
    </row>
    <row r="726" spans="1:19">
      <c r="A726" t="s">
        <v>7285</v>
      </c>
      <c r="B726" t="s">
        <v>6546</v>
      </c>
      <c r="C726" t="s">
        <v>3968</v>
      </c>
      <c r="D726">
        <v>293</v>
      </c>
      <c r="E726" t="s">
        <v>1541</v>
      </c>
      <c r="F726">
        <v>5</v>
      </c>
      <c r="J726" t="s">
        <v>37</v>
      </c>
      <c r="K726" t="s">
        <v>7367</v>
      </c>
      <c r="L726">
        <v>4</v>
      </c>
      <c r="M726">
        <v>2</v>
      </c>
      <c r="N726" t="s">
        <v>2801</v>
      </c>
      <c r="O726" t="s">
        <v>1441</v>
      </c>
      <c r="P726" t="s">
        <v>5124</v>
      </c>
      <c r="Q726" t="s">
        <v>1443</v>
      </c>
      <c r="R726" t="s">
        <v>6542</v>
      </c>
      <c r="S726" t="s">
        <v>6547</v>
      </c>
    </row>
    <row r="727" spans="1:19">
      <c r="A727" t="s">
        <v>7286</v>
      </c>
      <c r="B727" t="s">
        <v>6548</v>
      </c>
      <c r="C727" t="s">
        <v>3968</v>
      </c>
      <c r="D727">
        <v>294</v>
      </c>
      <c r="E727" t="s">
        <v>1456</v>
      </c>
      <c r="F727">
        <v>4</v>
      </c>
      <c r="G727">
        <v>1</v>
      </c>
      <c r="J727" t="s">
        <v>37</v>
      </c>
      <c r="K727" t="s">
        <v>7367</v>
      </c>
      <c r="L727">
        <v>4</v>
      </c>
      <c r="M727">
        <v>3</v>
      </c>
      <c r="N727" t="s">
        <v>2807</v>
      </c>
      <c r="O727" t="s">
        <v>1457</v>
      </c>
      <c r="P727" t="s">
        <v>6536</v>
      </c>
      <c r="Q727" t="s">
        <v>1443</v>
      </c>
      <c r="R727" t="s">
        <v>6546</v>
      </c>
      <c r="S727" t="s">
        <v>6549</v>
      </c>
    </row>
    <row r="728" spans="1:19">
      <c r="A728" t="s">
        <v>7287</v>
      </c>
      <c r="B728" t="s">
        <v>6550</v>
      </c>
      <c r="C728" t="s">
        <v>3968</v>
      </c>
      <c r="D728">
        <v>294</v>
      </c>
      <c r="E728" t="s">
        <v>6551</v>
      </c>
      <c r="F728">
        <v>6</v>
      </c>
      <c r="H728" t="s">
        <v>1507</v>
      </c>
      <c r="J728" t="s">
        <v>37</v>
      </c>
      <c r="K728" t="s">
        <v>7367</v>
      </c>
      <c r="L728">
        <v>4</v>
      </c>
      <c r="M728">
        <v>3</v>
      </c>
      <c r="N728" t="s">
        <v>2807</v>
      </c>
      <c r="O728" t="s">
        <v>1447</v>
      </c>
      <c r="P728" t="s">
        <v>5118</v>
      </c>
      <c r="Q728" t="s">
        <v>2189</v>
      </c>
      <c r="R728" t="s">
        <v>6542</v>
      </c>
      <c r="S728" t="s">
        <v>6552</v>
      </c>
    </row>
    <row r="729" spans="1:19">
      <c r="A729" t="s">
        <v>7288</v>
      </c>
      <c r="B729" t="s">
        <v>6553</v>
      </c>
      <c r="C729" t="s">
        <v>3968</v>
      </c>
      <c r="D729">
        <v>294</v>
      </c>
      <c r="E729" t="s">
        <v>2928</v>
      </c>
      <c r="F729">
        <v>5</v>
      </c>
      <c r="H729" t="s">
        <v>2269</v>
      </c>
      <c r="J729" t="s">
        <v>37</v>
      </c>
      <c r="K729" t="s">
        <v>7367</v>
      </c>
      <c r="L729">
        <v>5</v>
      </c>
      <c r="M729">
        <v>3</v>
      </c>
      <c r="N729" t="s">
        <v>2813</v>
      </c>
      <c r="O729" t="s">
        <v>1457</v>
      </c>
      <c r="P729" t="s">
        <v>5124</v>
      </c>
      <c r="Q729" t="s">
        <v>1443</v>
      </c>
      <c r="R729" t="s">
        <v>6542</v>
      </c>
      <c r="S729" t="s">
        <v>6554</v>
      </c>
    </row>
    <row r="730" spans="1:19">
      <c r="A730" t="s">
        <v>7289</v>
      </c>
      <c r="B730" t="s">
        <v>6555</v>
      </c>
      <c r="C730" t="s">
        <v>3968</v>
      </c>
      <c r="D730">
        <v>295</v>
      </c>
      <c r="E730" t="s">
        <v>2090</v>
      </c>
      <c r="F730">
        <v>15</v>
      </c>
      <c r="G730">
        <v>1</v>
      </c>
      <c r="J730" t="s">
        <v>37</v>
      </c>
      <c r="K730" t="s">
        <v>7367</v>
      </c>
      <c r="L730">
        <v>5</v>
      </c>
      <c r="M730">
        <v>4</v>
      </c>
      <c r="N730" t="s">
        <v>2901</v>
      </c>
      <c r="O730" t="s">
        <v>1457</v>
      </c>
      <c r="P730" t="s">
        <v>5124</v>
      </c>
      <c r="Q730" t="s">
        <v>1443</v>
      </c>
      <c r="R730" t="s">
        <v>6556</v>
      </c>
      <c r="S730" t="s">
        <v>6557</v>
      </c>
    </row>
    <row r="731" spans="1:19">
      <c r="A731" t="s">
        <v>7290</v>
      </c>
      <c r="B731" t="s">
        <v>6558</v>
      </c>
      <c r="C731" t="s">
        <v>3968</v>
      </c>
      <c r="D731">
        <v>295</v>
      </c>
      <c r="E731" t="s">
        <v>1467</v>
      </c>
      <c r="F731">
        <v>5</v>
      </c>
      <c r="G731">
        <v>1</v>
      </c>
      <c r="J731" t="s">
        <v>37</v>
      </c>
      <c r="K731" t="s">
        <v>7367</v>
      </c>
      <c r="L731">
        <v>5</v>
      </c>
      <c r="M731">
        <v>4</v>
      </c>
      <c r="N731" t="s">
        <v>2901</v>
      </c>
      <c r="O731" t="s">
        <v>1447</v>
      </c>
      <c r="P731" t="s">
        <v>5124</v>
      </c>
      <c r="Q731" t="s">
        <v>1443</v>
      </c>
      <c r="R731" t="s">
        <v>6559</v>
      </c>
      <c r="S731" t="s">
        <v>6560</v>
      </c>
    </row>
    <row r="732" spans="1:19">
      <c r="A732" t="s">
        <v>7291</v>
      </c>
      <c r="B732" t="s">
        <v>6561</v>
      </c>
      <c r="C732" t="s">
        <v>3968</v>
      </c>
      <c r="D732">
        <v>295</v>
      </c>
      <c r="E732" t="s">
        <v>5609</v>
      </c>
      <c r="G732">
        <v>1</v>
      </c>
      <c r="J732" t="s">
        <v>37</v>
      </c>
      <c r="K732" t="s">
        <v>7367</v>
      </c>
      <c r="L732">
        <v>5</v>
      </c>
      <c r="M732">
        <v>5</v>
      </c>
      <c r="N732" t="s">
        <v>6492</v>
      </c>
      <c r="O732" t="s">
        <v>1513</v>
      </c>
      <c r="P732" t="s">
        <v>5778</v>
      </c>
      <c r="Q732" t="s">
        <v>1513</v>
      </c>
      <c r="R732" t="s">
        <v>6562</v>
      </c>
      <c r="S732" t="s">
        <v>6563</v>
      </c>
    </row>
    <row r="733" spans="1:19">
      <c r="A733" t="s">
        <v>7316</v>
      </c>
      <c r="B733" t="s">
        <v>6628</v>
      </c>
      <c r="C733" t="s">
        <v>3968</v>
      </c>
      <c r="D733">
        <v>301</v>
      </c>
      <c r="E733" t="s">
        <v>1497</v>
      </c>
      <c r="F733">
        <v>6</v>
      </c>
      <c r="J733" t="s">
        <v>37</v>
      </c>
      <c r="K733" t="s">
        <v>7368</v>
      </c>
      <c r="L733">
        <v>2</v>
      </c>
      <c r="M733">
        <v>1</v>
      </c>
      <c r="N733" t="s">
        <v>2788</v>
      </c>
      <c r="O733" t="s">
        <v>1441</v>
      </c>
      <c r="P733" t="s">
        <v>2792</v>
      </c>
      <c r="Q733" t="s">
        <v>1443</v>
      </c>
      <c r="R733" t="s">
        <v>1444</v>
      </c>
      <c r="S733" t="s">
        <v>6629</v>
      </c>
    </row>
    <row r="734" spans="1:19">
      <c r="A734" t="s">
        <v>7317</v>
      </c>
      <c r="B734" t="s">
        <v>6630</v>
      </c>
      <c r="C734" t="s">
        <v>3968</v>
      </c>
      <c r="D734">
        <v>301</v>
      </c>
      <c r="E734" t="s">
        <v>1554</v>
      </c>
      <c r="F734">
        <v>4</v>
      </c>
      <c r="J734" t="s">
        <v>37</v>
      </c>
      <c r="K734" t="s">
        <v>7368</v>
      </c>
      <c r="L734">
        <v>3</v>
      </c>
      <c r="M734">
        <v>1</v>
      </c>
      <c r="N734" t="s">
        <v>2791</v>
      </c>
      <c r="O734" t="s">
        <v>1441</v>
      </c>
      <c r="P734" t="s">
        <v>1454</v>
      </c>
      <c r="Q734" t="s">
        <v>1443</v>
      </c>
      <c r="R734" t="s">
        <v>1444</v>
      </c>
      <c r="S734" t="s">
        <v>6631</v>
      </c>
    </row>
    <row r="735" spans="1:19">
      <c r="A735" t="s">
        <v>7318</v>
      </c>
      <c r="B735" t="s">
        <v>6632</v>
      </c>
      <c r="C735" t="s">
        <v>3968</v>
      </c>
      <c r="D735">
        <v>301</v>
      </c>
      <c r="E735" t="s">
        <v>1450</v>
      </c>
      <c r="F735">
        <v>3</v>
      </c>
      <c r="J735" t="s">
        <v>37</v>
      </c>
      <c r="K735" t="s">
        <v>7368</v>
      </c>
      <c r="L735">
        <v>3</v>
      </c>
      <c r="M735">
        <v>1</v>
      </c>
      <c r="N735" t="s">
        <v>2791</v>
      </c>
      <c r="O735" t="s">
        <v>1441</v>
      </c>
      <c r="P735" t="s">
        <v>1452</v>
      </c>
      <c r="Q735" t="s">
        <v>1443</v>
      </c>
      <c r="R735" t="s">
        <v>6633</v>
      </c>
      <c r="S735" t="s">
        <v>6634</v>
      </c>
    </row>
    <row r="736" spans="1:19">
      <c r="A736" t="s">
        <v>7319</v>
      </c>
      <c r="B736" t="s">
        <v>6635</v>
      </c>
      <c r="C736" t="s">
        <v>3968</v>
      </c>
      <c r="D736">
        <v>302</v>
      </c>
      <c r="E736" t="s">
        <v>1692</v>
      </c>
      <c r="F736">
        <v>8</v>
      </c>
      <c r="J736" t="s">
        <v>37</v>
      </c>
      <c r="K736" t="s">
        <v>7368</v>
      </c>
      <c r="L736">
        <v>4</v>
      </c>
      <c r="M736">
        <v>1</v>
      </c>
      <c r="N736" t="s">
        <v>2794</v>
      </c>
      <c r="O736" t="s">
        <v>1457</v>
      </c>
      <c r="P736" t="s">
        <v>2795</v>
      </c>
      <c r="Q736" t="s">
        <v>1473</v>
      </c>
      <c r="R736" t="s">
        <v>6632</v>
      </c>
      <c r="S736" t="s">
        <v>6636</v>
      </c>
    </row>
    <row r="737" spans="1:19">
      <c r="A737" t="s">
        <v>7320</v>
      </c>
      <c r="B737" t="s">
        <v>6637</v>
      </c>
      <c r="C737" t="s">
        <v>3968</v>
      </c>
      <c r="D737">
        <v>302</v>
      </c>
      <c r="E737" t="s">
        <v>1467</v>
      </c>
      <c r="F737">
        <v>5</v>
      </c>
      <c r="G737">
        <v>1</v>
      </c>
      <c r="J737" t="s">
        <v>37</v>
      </c>
      <c r="K737" t="s">
        <v>7368</v>
      </c>
      <c r="L737">
        <v>4</v>
      </c>
      <c r="M737">
        <v>2</v>
      </c>
      <c r="N737" t="s">
        <v>2801</v>
      </c>
      <c r="O737" t="s">
        <v>1447</v>
      </c>
      <c r="P737" t="s">
        <v>1452</v>
      </c>
      <c r="Q737" t="s">
        <v>1443</v>
      </c>
      <c r="R737" t="s">
        <v>6635</v>
      </c>
      <c r="S737" t="s">
        <v>6638</v>
      </c>
    </row>
    <row r="738" spans="1:19">
      <c r="A738" t="s">
        <v>7321</v>
      </c>
      <c r="B738" t="s">
        <v>6639</v>
      </c>
      <c r="C738" t="s">
        <v>3968</v>
      </c>
      <c r="D738">
        <v>302</v>
      </c>
      <c r="E738" t="s">
        <v>1467</v>
      </c>
      <c r="F738">
        <v>5</v>
      </c>
      <c r="G738">
        <v>1</v>
      </c>
      <c r="J738" t="s">
        <v>37</v>
      </c>
      <c r="K738" t="s">
        <v>7368</v>
      </c>
      <c r="L738">
        <v>5</v>
      </c>
      <c r="M738">
        <v>2</v>
      </c>
      <c r="N738" t="s">
        <v>2798</v>
      </c>
      <c r="O738" t="s">
        <v>1457</v>
      </c>
      <c r="P738" t="s">
        <v>2833</v>
      </c>
      <c r="Q738" t="s">
        <v>1443</v>
      </c>
      <c r="R738" t="s">
        <v>6637</v>
      </c>
      <c r="S738" t="s">
        <v>6640</v>
      </c>
    </row>
    <row r="739" spans="1:19">
      <c r="A739" t="s">
        <v>7322</v>
      </c>
      <c r="B739" t="s">
        <v>6641</v>
      </c>
      <c r="C739" t="s">
        <v>3968</v>
      </c>
      <c r="D739">
        <v>302</v>
      </c>
      <c r="E739" t="s">
        <v>6068</v>
      </c>
      <c r="F739">
        <v>5</v>
      </c>
      <c r="H739" t="s">
        <v>1507</v>
      </c>
      <c r="J739" t="s">
        <v>37</v>
      </c>
      <c r="K739" t="s">
        <v>7368</v>
      </c>
      <c r="L739">
        <v>5</v>
      </c>
      <c r="M739">
        <v>2</v>
      </c>
      <c r="N739" t="s">
        <v>2798</v>
      </c>
      <c r="O739" t="s">
        <v>1447</v>
      </c>
      <c r="P739" t="s">
        <v>6642</v>
      </c>
      <c r="Q739" t="s">
        <v>1443</v>
      </c>
      <c r="R739" t="s">
        <v>6635</v>
      </c>
      <c r="S739" t="s">
        <v>6643</v>
      </c>
    </row>
    <row r="740" spans="1:19">
      <c r="A740" t="s">
        <v>7323</v>
      </c>
      <c r="B740" t="s">
        <v>6644</v>
      </c>
      <c r="C740" t="s">
        <v>3968</v>
      </c>
      <c r="D740">
        <v>303</v>
      </c>
      <c r="E740" t="s">
        <v>1599</v>
      </c>
      <c r="F740">
        <v>10</v>
      </c>
      <c r="G740">
        <v>1</v>
      </c>
      <c r="J740" t="s">
        <v>37</v>
      </c>
      <c r="K740" t="s">
        <v>7368</v>
      </c>
      <c r="L740">
        <v>5</v>
      </c>
      <c r="M740">
        <v>3</v>
      </c>
      <c r="N740" t="s">
        <v>2813</v>
      </c>
      <c r="O740" t="s">
        <v>1457</v>
      </c>
      <c r="P740" t="s">
        <v>2833</v>
      </c>
      <c r="Q740" t="s">
        <v>1443</v>
      </c>
      <c r="R740" t="s">
        <v>6645</v>
      </c>
      <c r="S740" t="s">
        <v>6646</v>
      </c>
    </row>
    <row r="741" spans="1:19">
      <c r="A741" t="s">
        <v>7324</v>
      </c>
      <c r="B741" t="s">
        <v>6647</v>
      </c>
      <c r="C741" t="s">
        <v>3968</v>
      </c>
      <c r="D741">
        <v>304</v>
      </c>
      <c r="E741" t="s">
        <v>1554</v>
      </c>
      <c r="F741">
        <v>4</v>
      </c>
      <c r="J741" t="s">
        <v>37</v>
      </c>
      <c r="K741" t="s">
        <v>6648</v>
      </c>
      <c r="L741">
        <v>2</v>
      </c>
      <c r="M741">
        <v>1</v>
      </c>
      <c r="N741" t="s">
        <v>2788</v>
      </c>
      <c r="O741" t="s">
        <v>1447</v>
      </c>
      <c r="P741" t="s">
        <v>2789</v>
      </c>
      <c r="Q741" t="s">
        <v>1443</v>
      </c>
      <c r="R741" t="s">
        <v>1444</v>
      </c>
      <c r="S741" t="s">
        <v>6649</v>
      </c>
    </row>
    <row r="742" spans="1:19">
      <c r="A742" t="s">
        <v>7325</v>
      </c>
      <c r="B742" t="s">
        <v>6650</v>
      </c>
      <c r="C742" t="s">
        <v>3968</v>
      </c>
      <c r="D742">
        <v>304</v>
      </c>
      <c r="E742" t="s">
        <v>1450</v>
      </c>
      <c r="F742">
        <v>3</v>
      </c>
      <c r="J742" t="s">
        <v>37</v>
      </c>
      <c r="K742" t="s">
        <v>6648</v>
      </c>
      <c r="L742">
        <v>3</v>
      </c>
      <c r="M742">
        <v>1</v>
      </c>
      <c r="N742" t="s">
        <v>2791</v>
      </c>
      <c r="O742" t="s">
        <v>1441</v>
      </c>
      <c r="P742" t="s">
        <v>1452</v>
      </c>
      <c r="Q742" t="s">
        <v>1443</v>
      </c>
      <c r="R742" t="s">
        <v>1444</v>
      </c>
      <c r="S742" t="s">
        <v>6651</v>
      </c>
    </row>
    <row r="743" spans="1:19">
      <c r="A743" t="s">
        <v>7326</v>
      </c>
      <c r="B743" t="s">
        <v>6652</v>
      </c>
      <c r="C743" t="s">
        <v>3968</v>
      </c>
      <c r="D743">
        <v>304</v>
      </c>
      <c r="E743" t="s">
        <v>1482</v>
      </c>
      <c r="F743">
        <v>7</v>
      </c>
      <c r="J743" t="s">
        <v>37</v>
      </c>
      <c r="K743" t="s">
        <v>6648</v>
      </c>
      <c r="L743">
        <v>4</v>
      </c>
      <c r="M743">
        <v>1</v>
      </c>
      <c r="N743" t="s">
        <v>2794</v>
      </c>
      <c r="O743" t="s">
        <v>1457</v>
      </c>
      <c r="P743" t="s">
        <v>2795</v>
      </c>
      <c r="Q743" t="s">
        <v>1473</v>
      </c>
      <c r="R743" t="s">
        <v>6653</v>
      </c>
      <c r="S743" t="s">
        <v>6654</v>
      </c>
    </row>
    <row r="744" spans="1:19">
      <c r="A744" t="s">
        <v>7327</v>
      </c>
      <c r="B744" t="s">
        <v>6655</v>
      </c>
      <c r="C744" t="s">
        <v>3968</v>
      </c>
      <c r="D744">
        <v>304</v>
      </c>
      <c r="E744" t="s">
        <v>1479</v>
      </c>
      <c r="F744">
        <v>6</v>
      </c>
      <c r="G744">
        <v>1</v>
      </c>
      <c r="J744" t="s">
        <v>37</v>
      </c>
      <c r="K744" t="s">
        <v>6648</v>
      </c>
      <c r="L744">
        <v>4</v>
      </c>
      <c r="M744">
        <v>2</v>
      </c>
      <c r="N744" t="s">
        <v>2801</v>
      </c>
      <c r="O744" t="s">
        <v>1457</v>
      </c>
      <c r="P744" t="s">
        <v>2841</v>
      </c>
      <c r="Q744" t="s">
        <v>1443</v>
      </c>
      <c r="R744" t="s">
        <v>6652</v>
      </c>
      <c r="S744" t="s">
        <v>6656</v>
      </c>
    </row>
    <row r="745" spans="1:19">
      <c r="A745" t="s">
        <v>7328</v>
      </c>
      <c r="B745" t="s">
        <v>6657</v>
      </c>
      <c r="C745" t="s">
        <v>3968</v>
      </c>
      <c r="D745">
        <v>304</v>
      </c>
      <c r="E745" t="s">
        <v>1541</v>
      </c>
      <c r="F745">
        <v>5</v>
      </c>
      <c r="J745" t="s">
        <v>37</v>
      </c>
      <c r="K745" t="s">
        <v>6648</v>
      </c>
      <c r="L745">
        <v>4</v>
      </c>
      <c r="M745">
        <v>2</v>
      </c>
      <c r="N745" t="s">
        <v>2801</v>
      </c>
      <c r="O745" t="s">
        <v>1457</v>
      </c>
      <c r="P745" t="s">
        <v>2804</v>
      </c>
      <c r="Q745" t="s">
        <v>1443</v>
      </c>
      <c r="R745" t="s">
        <v>6652</v>
      </c>
      <c r="S745" t="s">
        <v>6658</v>
      </c>
    </row>
    <row r="746" spans="1:19">
      <c r="A746" t="s">
        <v>7329</v>
      </c>
      <c r="B746" t="s">
        <v>6659</v>
      </c>
      <c r="C746" t="s">
        <v>3968</v>
      </c>
      <c r="D746">
        <v>305</v>
      </c>
      <c r="E746" t="s">
        <v>1622</v>
      </c>
      <c r="F746">
        <v>3</v>
      </c>
      <c r="G746">
        <v>1</v>
      </c>
      <c r="H746" t="s">
        <v>2420</v>
      </c>
      <c r="J746" t="s">
        <v>37</v>
      </c>
      <c r="K746" t="s">
        <v>6648</v>
      </c>
      <c r="L746">
        <v>5</v>
      </c>
      <c r="M746">
        <v>2</v>
      </c>
      <c r="N746" t="s">
        <v>2798</v>
      </c>
      <c r="O746" t="s">
        <v>1441</v>
      </c>
      <c r="P746" t="s">
        <v>2841</v>
      </c>
      <c r="Q746" t="s">
        <v>1443</v>
      </c>
      <c r="R746" t="s">
        <v>6652</v>
      </c>
      <c r="S746" t="s">
        <v>6660</v>
      </c>
    </row>
    <row r="747" spans="1:19">
      <c r="A747" t="s">
        <v>7330</v>
      </c>
      <c r="B747" t="s">
        <v>6661</v>
      </c>
      <c r="C747" t="s">
        <v>3968</v>
      </c>
      <c r="D747">
        <v>305</v>
      </c>
      <c r="E747" t="s">
        <v>1541</v>
      </c>
      <c r="F747">
        <v>5</v>
      </c>
      <c r="J747" t="s">
        <v>37</v>
      </c>
      <c r="K747" t="s">
        <v>6648</v>
      </c>
      <c r="L747">
        <v>5</v>
      </c>
      <c r="M747">
        <v>3</v>
      </c>
      <c r="N747" t="s">
        <v>2813</v>
      </c>
      <c r="O747" t="s">
        <v>1447</v>
      </c>
      <c r="P747" t="s">
        <v>2856</v>
      </c>
      <c r="Q747" t="s">
        <v>1443</v>
      </c>
      <c r="R747" t="s">
        <v>6659</v>
      </c>
      <c r="S747" t="s">
        <v>6662</v>
      </c>
    </row>
    <row r="748" spans="1:19">
      <c r="A748" t="s">
        <v>7331</v>
      </c>
      <c r="B748" t="s">
        <v>6663</v>
      </c>
      <c r="C748" t="s">
        <v>3968</v>
      </c>
      <c r="D748">
        <v>305</v>
      </c>
      <c r="E748" t="s">
        <v>2090</v>
      </c>
      <c r="F748">
        <v>15</v>
      </c>
      <c r="G748">
        <v>1</v>
      </c>
      <c r="J748" t="s">
        <v>37</v>
      </c>
      <c r="K748" t="s">
        <v>6648</v>
      </c>
      <c r="L748">
        <v>5</v>
      </c>
      <c r="M748">
        <v>3</v>
      </c>
      <c r="N748" t="s">
        <v>2813</v>
      </c>
      <c r="O748" t="s">
        <v>1457</v>
      </c>
      <c r="P748" t="s">
        <v>2833</v>
      </c>
      <c r="Q748" t="s">
        <v>1443</v>
      </c>
      <c r="R748" t="s">
        <v>6664</v>
      </c>
      <c r="S748" t="s">
        <v>6665</v>
      </c>
    </row>
    <row r="749" spans="1:19">
      <c r="A749" t="s">
        <v>7332</v>
      </c>
      <c r="B749" t="s">
        <v>6666</v>
      </c>
      <c r="C749" t="s">
        <v>3968</v>
      </c>
      <c r="D749">
        <v>305</v>
      </c>
      <c r="E749" t="s">
        <v>2039</v>
      </c>
      <c r="F749">
        <v>8</v>
      </c>
      <c r="G749">
        <v>1</v>
      </c>
      <c r="J749" t="s">
        <v>37</v>
      </c>
      <c r="K749" t="s">
        <v>6648</v>
      </c>
      <c r="L749">
        <v>5</v>
      </c>
      <c r="M749">
        <v>3</v>
      </c>
      <c r="N749" t="s">
        <v>2813</v>
      </c>
      <c r="O749" t="s">
        <v>1457</v>
      </c>
      <c r="P749" t="s">
        <v>2802</v>
      </c>
      <c r="Q749" t="s">
        <v>1443</v>
      </c>
      <c r="R749" t="s">
        <v>6657</v>
      </c>
      <c r="S749" t="s">
        <v>6667</v>
      </c>
    </row>
    <row r="750" spans="1:19">
      <c r="A750" t="s">
        <v>4480</v>
      </c>
      <c r="B750" t="s">
        <v>799</v>
      </c>
      <c r="C750" t="s">
        <v>3607</v>
      </c>
      <c r="D750" t="s">
        <v>1410</v>
      </c>
      <c r="E750" t="s">
        <v>1460</v>
      </c>
      <c r="F750">
        <v>2</v>
      </c>
      <c r="J750" t="s">
        <v>37</v>
      </c>
      <c r="K750" t="s">
        <v>7369</v>
      </c>
      <c r="L750">
        <v>2</v>
      </c>
      <c r="M750">
        <v>1</v>
      </c>
      <c r="N750" t="s">
        <v>2788</v>
      </c>
      <c r="O750" t="s">
        <v>1441</v>
      </c>
      <c r="P750" t="s">
        <v>2804</v>
      </c>
      <c r="Q750" t="s">
        <v>1443</v>
      </c>
      <c r="R750" t="s">
        <v>1444</v>
      </c>
      <c r="S750" t="s">
        <v>2923</v>
      </c>
    </row>
    <row r="751" spans="1:19">
      <c r="A751" t="s">
        <v>4481</v>
      </c>
      <c r="B751" t="s">
        <v>842</v>
      </c>
      <c r="C751" t="s">
        <v>3607</v>
      </c>
      <c r="D751" t="s">
        <v>1410</v>
      </c>
      <c r="E751" t="s">
        <v>1450</v>
      </c>
      <c r="F751">
        <v>3</v>
      </c>
      <c r="J751" t="s">
        <v>37</v>
      </c>
      <c r="K751" t="s">
        <v>7369</v>
      </c>
      <c r="L751">
        <v>2</v>
      </c>
      <c r="M751">
        <v>1</v>
      </c>
      <c r="N751" t="s">
        <v>2788</v>
      </c>
      <c r="O751" t="s">
        <v>1441</v>
      </c>
      <c r="P751" t="s">
        <v>2792</v>
      </c>
      <c r="Q751" t="s">
        <v>1443</v>
      </c>
      <c r="R751" t="s">
        <v>1444</v>
      </c>
      <c r="S751" t="s">
        <v>2924</v>
      </c>
    </row>
    <row r="752" spans="1:19">
      <c r="A752" t="s">
        <v>4479</v>
      </c>
      <c r="B752" t="s">
        <v>795</v>
      </c>
      <c r="C752" t="s">
        <v>3607</v>
      </c>
      <c r="D752" t="s">
        <v>1410</v>
      </c>
      <c r="E752" t="s">
        <v>1450</v>
      </c>
      <c r="F752">
        <v>3</v>
      </c>
      <c r="J752" t="s">
        <v>37</v>
      </c>
      <c r="K752" t="s">
        <v>7369</v>
      </c>
      <c r="L752">
        <v>3</v>
      </c>
      <c r="M752">
        <v>1</v>
      </c>
      <c r="N752" t="s">
        <v>2791</v>
      </c>
      <c r="O752" t="s">
        <v>1441</v>
      </c>
      <c r="P752" t="s">
        <v>1463</v>
      </c>
      <c r="Q752" t="s">
        <v>1443</v>
      </c>
      <c r="R752" t="s">
        <v>1444</v>
      </c>
      <c r="S752" t="s">
        <v>2922</v>
      </c>
    </row>
    <row r="753" spans="1:19">
      <c r="A753" t="s">
        <v>4482</v>
      </c>
      <c r="B753" s="18" t="s">
        <v>852</v>
      </c>
      <c r="C753" t="s">
        <v>3607</v>
      </c>
      <c r="D753" t="s">
        <v>1410</v>
      </c>
      <c r="E753" t="s">
        <v>1541</v>
      </c>
      <c r="F753">
        <v>5</v>
      </c>
      <c r="J753" t="s">
        <v>37</v>
      </c>
      <c r="K753" t="s">
        <v>7369</v>
      </c>
      <c r="L753">
        <v>3</v>
      </c>
      <c r="M753">
        <v>2</v>
      </c>
      <c r="N753" t="s">
        <v>2869</v>
      </c>
      <c r="O753" t="s">
        <v>1457</v>
      </c>
      <c r="P753" t="s">
        <v>2795</v>
      </c>
      <c r="Q753" t="s">
        <v>1473</v>
      </c>
      <c r="R753" t="s">
        <v>2925</v>
      </c>
      <c r="S753" s="18" t="s">
        <v>2926</v>
      </c>
    </row>
    <row r="754" spans="1:19">
      <c r="A754" t="s">
        <v>4484</v>
      </c>
      <c r="B754" t="s">
        <v>796</v>
      </c>
      <c r="C754" t="s">
        <v>3607</v>
      </c>
      <c r="D754" t="s">
        <v>1410</v>
      </c>
      <c r="E754" t="s">
        <v>2928</v>
      </c>
      <c r="F754">
        <v>5</v>
      </c>
      <c r="H754" t="s">
        <v>2269</v>
      </c>
      <c r="J754" t="s">
        <v>37</v>
      </c>
      <c r="K754" t="s">
        <v>7369</v>
      </c>
      <c r="L754">
        <v>4</v>
      </c>
      <c r="M754">
        <v>3</v>
      </c>
      <c r="N754" t="s">
        <v>2807</v>
      </c>
      <c r="O754" t="s">
        <v>1457</v>
      </c>
      <c r="P754" t="s">
        <v>2917</v>
      </c>
      <c r="Q754" t="s">
        <v>1443</v>
      </c>
      <c r="R754" t="s">
        <v>852</v>
      </c>
      <c r="S754" t="s">
        <v>2929</v>
      </c>
    </row>
    <row r="755" spans="1:19">
      <c r="A755" t="s">
        <v>4485</v>
      </c>
      <c r="B755" t="s">
        <v>848</v>
      </c>
      <c r="C755" t="s">
        <v>3607</v>
      </c>
      <c r="D755" t="s">
        <v>1410</v>
      </c>
      <c r="E755" t="s">
        <v>1450</v>
      </c>
      <c r="F755">
        <v>3</v>
      </c>
      <c r="J755" t="s">
        <v>37</v>
      </c>
      <c r="K755" t="s">
        <v>7369</v>
      </c>
      <c r="L755">
        <v>4</v>
      </c>
      <c r="M755">
        <v>2</v>
      </c>
      <c r="N755" t="s">
        <v>2801</v>
      </c>
      <c r="O755" t="s">
        <v>1441</v>
      </c>
      <c r="P755" t="s">
        <v>1463</v>
      </c>
      <c r="Q755" t="s">
        <v>1443</v>
      </c>
      <c r="R755" t="s">
        <v>852</v>
      </c>
      <c r="S755" t="s">
        <v>2930</v>
      </c>
    </row>
    <row r="756" spans="1:19">
      <c r="A756" t="s">
        <v>4483</v>
      </c>
      <c r="B756" t="s">
        <v>790</v>
      </c>
      <c r="C756" t="s">
        <v>3607</v>
      </c>
      <c r="D756" t="s">
        <v>1410</v>
      </c>
      <c r="E756" t="s">
        <v>1456</v>
      </c>
      <c r="F756">
        <v>4</v>
      </c>
      <c r="G756">
        <v>1</v>
      </c>
      <c r="J756" t="s">
        <v>37</v>
      </c>
      <c r="K756" t="s">
        <v>7369</v>
      </c>
      <c r="L756">
        <v>5</v>
      </c>
      <c r="M756">
        <v>2</v>
      </c>
      <c r="N756" t="s">
        <v>2798</v>
      </c>
      <c r="O756" t="s">
        <v>1441</v>
      </c>
      <c r="P756" t="s">
        <v>2927</v>
      </c>
      <c r="Q756" t="s">
        <v>1443</v>
      </c>
      <c r="R756" t="s">
        <v>852</v>
      </c>
      <c r="S756" t="s">
        <v>3720</v>
      </c>
    </row>
    <row r="757" spans="1:19">
      <c r="A757" t="s">
        <v>4486</v>
      </c>
      <c r="B757" t="s">
        <v>805</v>
      </c>
      <c r="C757" t="s">
        <v>3607</v>
      </c>
      <c r="D757" t="s">
        <v>1410</v>
      </c>
      <c r="E757" t="s">
        <v>2931</v>
      </c>
      <c r="F757">
        <v>10</v>
      </c>
      <c r="G757">
        <v>1</v>
      </c>
      <c r="H757" t="s">
        <v>1507</v>
      </c>
      <c r="J757" t="s">
        <v>37</v>
      </c>
      <c r="K757" t="s">
        <v>7369</v>
      </c>
      <c r="L757">
        <v>5</v>
      </c>
      <c r="M757">
        <v>3</v>
      </c>
      <c r="N757" t="s">
        <v>2813</v>
      </c>
      <c r="O757" t="s">
        <v>1457</v>
      </c>
      <c r="P757" t="s">
        <v>2814</v>
      </c>
      <c r="Q757" t="s">
        <v>1443</v>
      </c>
      <c r="R757" t="s">
        <v>848</v>
      </c>
      <c r="S757" t="s">
        <v>2932</v>
      </c>
    </row>
    <row r="758" spans="1:19">
      <c r="A758" t="s">
        <v>4487</v>
      </c>
      <c r="B758" t="s">
        <v>797</v>
      </c>
      <c r="C758" t="s">
        <v>3607</v>
      </c>
      <c r="D758" t="s">
        <v>1410</v>
      </c>
      <c r="E758" t="s">
        <v>1479</v>
      </c>
      <c r="F758">
        <v>6</v>
      </c>
      <c r="G758">
        <v>1</v>
      </c>
      <c r="J758" t="s">
        <v>37</v>
      </c>
      <c r="K758" t="s">
        <v>7369</v>
      </c>
      <c r="L758">
        <v>5</v>
      </c>
      <c r="M758">
        <v>3</v>
      </c>
      <c r="N758" t="s">
        <v>2813</v>
      </c>
      <c r="O758" t="s">
        <v>1441</v>
      </c>
      <c r="P758" t="s">
        <v>2933</v>
      </c>
      <c r="Q758" t="s">
        <v>1443</v>
      </c>
      <c r="R758" t="s">
        <v>2934</v>
      </c>
      <c r="S758" t="s">
        <v>2935</v>
      </c>
    </row>
    <row r="759" spans="1:19">
      <c r="A759" t="s">
        <v>4432</v>
      </c>
      <c r="B759" t="s">
        <v>830</v>
      </c>
      <c r="C759" t="s">
        <v>3607</v>
      </c>
      <c r="D759" t="s">
        <v>1412</v>
      </c>
      <c r="E759" t="s">
        <v>1450</v>
      </c>
      <c r="F759">
        <v>3</v>
      </c>
      <c r="J759" t="s">
        <v>37</v>
      </c>
      <c r="K759" t="s">
        <v>7370</v>
      </c>
      <c r="L759">
        <v>2</v>
      </c>
      <c r="M759">
        <v>1</v>
      </c>
      <c r="N759" t="s">
        <v>2788</v>
      </c>
      <c r="O759" t="s">
        <v>1447</v>
      </c>
      <c r="P759" t="s">
        <v>2789</v>
      </c>
      <c r="Q759" t="s">
        <v>1443</v>
      </c>
      <c r="R759" t="s">
        <v>1444</v>
      </c>
      <c r="S759" t="s">
        <v>2840</v>
      </c>
    </row>
    <row r="760" spans="1:19">
      <c r="A760" t="s">
        <v>4433</v>
      </c>
      <c r="B760" t="s">
        <v>860</v>
      </c>
      <c r="C760" t="s">
        <v>3607</v>
      </c>
      <c r="D760" t="s">
        <v>1412</v>
      </c>
      <c r="E760" t="s">
        <v>1497</v>
      </c>
      <c r="F760">
        <v>6</v>
      </c>
      <c r="J760" t="s">
        <v>37</v>
      </c>
      <c r="K760" t="s">
        <v>7370</v>
      </c>
      <c r="L760">
        <v>3</v>
      </c>
      <c r="M760">
        <v>1</v>
      </c>
      <c r="N760" t="s">
        <v>2791</v>
      </c>
      <c r="O760" t="s">
        <v>1441</v>
      </c>
      <c r="P760" t="s">
        <v>2841</v>
      </c>
      <c r="Q760" t="s">
        <v>1443</v>
      </c>
      <c r="R760" t="s">
        <v>1444</v>
      </c>
      <c r="S760" t="s">
        <v>2842</v>
      </c>
    </row>
    <row r="761" spans="1:19">
      <c r="A761" t="s">
        <v>4434</v>
      </c>
      <c r="B761" t="s">
        <v>2843</v>
      </c>
      <c r="C761" t="s">
        <v>3607</v>
      </c>
      <c r="D761" t="s">
        <v>1412</v>
      </c>
      <c r="E761" t="s">
        <v>1945</v>
      </c>
      <c r="F761">
        <v>10</v>
      </c>
      <c r="J761" t="s">
        <v>37</v>
      </c>
      <c r="K761" t="s">
        <v>7370</v>
      </c>
      <c r="L761">
        <v>4</v>
      </c>
      <c r="M761">
        <v>2</v>
      </c>
      <c r="N761" t="s">
        <v>2801</v>
      </c>
      <c r="O761" t="s">
        <v>1457</v>
      </c>
      <c r="P761" t="s">
        <v>2844</v>
      </c>
      <c r="Q761" t="s">
        <v>1473</v>
      </c>
      <c r="R761" t="s">
        <v>2845</v>
      </c>
      <c r="S761" t="s">
        <v>2846</v>
      </c>
    </row>
    <row r="762" spans="1:19">
      <c r="A762" t="s">
        <v>4435</v>
      </c>
      <c r="B762" t="s">
        <v>823</v>
      </c>
      <c r="C762" t="s">
        <v>3607</v>
      </c>
      <c r="D762" t="s">
        <v>1412</v>
      </c>
      <c r="E762" t="s">
        <v>1465</v>
      </c>
      <c r="F762">
        <v>1</v>
      </c>
      <c r="G762">
        <v>1</v>
      </c>
      <c r="J762" t="s">
        <v>37</v>
      </c>
      <c r="K762" t="s">
        <v>7370</v>
      </c>
      <c r="L762">
        <v>4</v>
      </c>
      <c r="M762">
        <v>2</v>
      </c>
      <c r="N762" t="s">
        <v>2801</v>
      </c>
      <c r="O762" t="s">
        <v>1441</v>
      </c>
      <c r="P762" t="s">
        <v>2833</v>
      </c>
      <c r="Q762" t="s">
        <v>1443</v>
      </c>
      <c r="R762" t="s">
        <v>2843</v>
      </c>
      <c r="S762" t="s">
        <v>2847</v>
      </c>
    </row>
    <row r="763" spans="1:19">
      <c r="A763" t="s">
        <v>4436</v>
      </c>
      <c r="B763" t="s">
        <v>844</v>
      </c>
      <c r="C763" t="s">
        <v>3607</v>
      </c>
      <c r="D763" t="s">
        <v>1412</v>
      </c>
      <c r="E763" t="s">
        <v>2848</v>
      </c>
      <c r="F763">
        <v>5</v>
      </c>
      <c r="G763" t="s">
        <v>3715</v>
      </c>
      <c r="J763" t="s">
        <v>37</v>
      </c>
      <c r="K763" t="s">
        <v>7370</v>
      </c>
      <c r="L763">
        <v>5</v>
      </c>
      <c r="M763">
        <v>2</v>
      </c>
      <c r="N763" t="s">
        <v>2798</v>
      </c>
      <c r="O763" t="s">
        <v>1447</v>
      </c>
      <c r="P763" t="s">
        <v>2849</v>
      </c>
      <c r="Q763" t="s">
        <v>2850</v>
      </c>
      <c r="R763" t="s">
        <v>823</v>
      </c>
      <c r="S763" t="s">
        <v>2851</v>
      </c>
    </row>
    <row r="764" spans="1:19">
      <c r="A764" t="s">
        <v>4437</v>
      </c>
      <c r="B764" t="s">
        <v>883</v>
      </c>
      <c r="C764" t="s">
        <v>3607</v>
      </c>
      <c r="D764" t="s">
        <v>1412</v>
      </c>
      <c r="E764" t="s">
        <v>1479</v>
      </c>
      <c r="F764">
        <v>6</v>
      </c>
      <c r="G764">
        <v>1</v>
      </c>
      <c r="J764" t="s">
        <v>37</v>
      </c>
      <c r="K764" t="s">
        <v>7370</v>
      </c>
      <c r="L764">
        <v>5</v>
      </c>
      <c r="M764">
        <v>3</v>
      </c>
      <c r="N764" t="s">
        <v>2813</v>
      </c>
      <c r="O764" t="s">
        <v>1457</v>
      </c>
      <c r="P764" t="s">
        <v>2802</v>
      </c>
      <c r="Q764" t="s">
        <v>1443</v>
      </c>
      <c r="R764" t="s">
        <v>2843</v>
      </c>
      <c r="S764" t="s">
        <v>2852</v>
      </c>
    </row>
    <row r="765" spans="1:19">
      <c r="A765" t="s">
        <v>4438</v>
      </c>
      <c r="B765" t="s">
        <v>835</v>
      </c>
      <c r="C765" t="s">
        <v>3607</v>
      </c>
      <c r="D765" t="s">
        <v>1412</v>
      </c>
      <c r="E765" t="s">
        <v>2039</v>
      </c>
      <c r="F765">
        <v>8</v>
      </c>
      <c r="G765">
        <v>1</v>
      </c>
      <c r="J765" t="s">
        <v>37</v>
      </c>
      <c r="K765" t="s">
        <v>7370</v>
      </c>
      <c r="L765">
        <v>5</v>
      </c>
      <c r="M765">
        <v>2</v>
      </c>
      <c r="N765" t="s">
        <v>2798</v>
      </c>
      <c r="O765" t="s">
        <v>1447</v>
      </c>
      <c r="P765" t="s">
        <v>2853</v>
      </c>
      <c r="Q765" t="s">
        <v>1443</v>
      </c>
      <c r="R765" t="s">
        <v>2843</v>
      </c>
      <c r="S765" t="s">
        <v>2854</v>
      </c>
    </row>
    <row r="766" spans="1:19">
      <c r="A766" t="s">
        <v>4439</v>
      </c>
      <c r="B766" t="s">
        <v>862</v>
      </c>
      <c r="C766" t="s">
        <v>3607</v>
      </c>
      <c r="D766" t="s">
        <v>1412</v>
      </c>
      <c r="E766" t="s">
        <v>2855</v>
      </c>
      <c r="F766">
        <v>1</v>
      </c>
      <c r="G766">
        <v>1</v>
      </c>
      <c r="H766" t="s">
        <v>3716</v>
      </c>
      <c r="J766" t="s">
        <v>37</v>
      </c>
      <c r="K766" t="s">
        <v>7370</v>
      </c>
      <c r="L766">
        <v>5</v>
      </c>
      <c r="M766">
        <v>3</v>
      </c>
      <c r="N766" t="s">
        <v>2813</v>
      </c>
      <c r="O766" t="s">
        <v>1447</v>
      </c>
      <c r="P766" t="s">
        <v>2856</v>
      </c>
      <c r="Q766" t="s">
        <v>1443</v>
      </c>
      <c r="R766" t="s">
        <v>835</v>
      </c>
      <c r="S766" t="s">
        <v>2857</v>
      </c>
    </row>
    <row r="767" spans="1:19">
      <c r="A767" t="s">
        <v>4440</v>
      </c>
      <c r="B767" t="s">
        <v>794</v>
      </c>
      <c r="C767" t="s">
        <v>3607</v>
      </c>
      <c r="D767" t="s">
        <v>1412</v>
      </c>
      <c r="E767" t="s">
        <v>1511</v>
      </c>
      <c r="F767" t="s">
        <v>1511</v>
      </c>
      <c r="J767" t="s">
        <v>37</v>
      </c>
      <c r="K767" t="s">
        <v>7370</v>
      </c>
      <c r="L767">
        <v>5</v>
      </c>
      <c r="M767">
        <v>3</v>
      </c>
      <c r="N767" t="s">
        <v>2813</v>
      </c>
      <c r="O767" t="s">
        <v>1457</v>
      </c>
      <c r="P767" t="s">
        <v>2833</v>
      </c>
      <c r="Q767" t="s">
        <v>1443</v>
      </c>
      <c r="R767" t="s">
        <v>2858</v>
      </c>
      <c r="S767" t="s">
        <v>2859</v>
      </c>
    </row>
    <row r="768" spans="1:19">
      <c r="A768" t="s">
        <v>4411</v>
      </c>
      <c r="B768" t="s">
        <v>854</v>
      </c>
      <c r="C768" t="s">
        <v>3607</v>
      </c>
      <c r="D768" t="s">
        <v>1413</v>
      </c>
      <c r="E768" t="s">
        <v>1460</v>
      </c>
      <c r="F768">
        <v>2</v>
      </c>
      <c r="J768" t="s">
        <v>37</v>
      </c>
      <c r="K768" t="s">
        <v>3219</v>
      </c>
      <c r="L768">
        <v>2</v>
      </c>
      <c r="M768">
        <v>1</v>
      </c>
      <c r="N768" t="s">
        <v>2788</v>
      </c>
      <c r="O768" t="s">
        <v>1447</v>
      </c>
      <c r="P768" t="s">
        <v>2789</v>
      </c>
      <c r="Q768" t="s">
        <v>1443</v>
      </c>
      <c r="R768" t="s">
        <v>1444</v>
      </c>
      <c r="S768" t="s">
        <v>2790</v>
      </c>
    </row>
    <row r="769" spans="1:19">
      <c r="A769" t="s">
        <v>4412</v>
      </c>
      <c r="B769" t="s">
        <v>872</v>
      </c>
      <c r="C769" t="s">
        <v>3607</v>
      </c>
      <c r="D769" t="s">
        <v>1413</v>
      </c>
      <c r="E769" t="s">
        <v>1450</v>
      </c>
      <c r="F769">
        <v>3</v>
      </c>
      <c r="J769" t="s">
        <v>37</v>
      </c>
      <c r="K769" t="s">
        <v>3219</v>
      </c>
      <c r="L769">
        <v>3</v>
      </c>
      <c r="M769">
        <v>1</v>
      </c>
      <c r="N769" t="s">
        <v>2791</v>
      </c>
      <c r="O769" t="s">
        <v>1441</v>
      </c>
      <c r="P769" t="s">
        <v>2792</v>
      </c>
      <c r="Q769" t="s">
        <v>1443</v>
      </c>
      <c r="R769" t="s">
        <v>1444</v>
      </c>
      <c r="S769" t="s">
        <v>2793</v>
      </c>
    </row>
    <row r="770" spans="1:19">
      <c r="A770" t="s">
        <v>4413</v>
      </c>
      <c r="B770" t="s">
        <v>863</v>
      </c>
      <c r="C770" t="s">
        <v>3607</v>
      </c>
      <c r="D770" t="s">
        <v>1413</v>
      </c>
      <c r="E770" t="s">
        <v>1692</v>
      </c>
      <c r="F770">
        <v>8</v>
      </c>
      <c r="J770" t="s">
        <v>37</v>
      </c>
      <c r="K770" t="s">
        <v>3219</v>
      </c>
      <c r="L770">
        <v>4</v>
      </c>
      <c r="M770">
        <v>1</v>
      </c>
      <c r="N770" t="s">
        <v>2794</v>
      </c>
      <c r="O770" t="s">
        <v>1457</v>
      </c>
      <c r="P770" t="s">
        <v>2795</v>
      </c>
      <c r="Q770" t="s">
        <v>1473</v>
      </c>
      <c r="R770" t="s">
        <v>2796</v>
      </c>
      <c r="S770" t="s">
        <v>2797</v>
      </c>
    </row>
    <row r="771" spans="1:19">
      <c r="A771" t="s">
        <v>4415</v>
      </c>
      <c r="B771" t="s">
        <v>803</v>
      </c>
      <c r="C771" t="s">
        <v>3607</v>
      </c>
      <c r="D771" t="s">
        <v>1413</v>
      </c>
      <c r="E771" t="s">
        <v>1450</v>
      </c>
      <c r="F771">
        <v>3</v>
      </c>
      <c r="J771" t="s">
        <v>37</v>
      </c>
      <c r="K771" t="s">
        <v>3219</v>
      </c>
      <c r="L771">
        <v>4</v>
      </c>
      <c r="M771">
        <v>2</v>
      </c>
      <c r="N771" t="s">
        <v>2801</v>
      </c>
      <c r="O771" t="s">
        <v>1457</v>
      </c>
      <c r="P771" t="s">
        <v>2802</v>
      </c>
      <c r="Q771" t="s">
        <v>1443</v>
      </c>
      <c r="R771" t="s">
        <v>863</v>
      </c>
      <c r="S771" t="s">
        <v>3714</v>
      </c>
    </row>
    <row r="772" spans="1:19">
      <c r="A772" t="s">
        <v>4416</v>
      </c>
      <c r="B772" t="s">
        <v>820</v>
      </c>
      <c r="C772" t="s">
        <v>3607</v>
      </c>
      <c r="D772" t="s">
        <v>1413</v>
      </c>
      <c r="E772" t="s">
        <v>2803</v>
      </c>
      <c r="F772" t="s">
        <v>2803</v>
      </c>
      <c r="J772" t="s">
        <v>37</v>
      </c>
      <c r="K772" t="s">
        <v>3219</v>
      </c>
      <c r="L772">
        <v>4</v>
      </c>
      <c r="M772">
        <v>2</v>
      </c>
      <c r="N772" t="s">
        <v>2801</v>
      </c>
      <c r="O772" t="s">
        <v>1513</v>
      </c>
      <c r="P772" t="s">
        <v>2804</v>
      </c>
      <c r="Q772" t="s">
        <v>1513</v>
      </c>
      <c r="R772" t="s">
        <v>863</v>
      </c>
      <c r="S772" t="s">
        <v>2805</v>
      </c>
    </row>
    <row r="773" spans="1:19">
      <c r="A773" t="s">
        <v>4417</v>
      </c>
      <c r="B773" t="s">
        <v>882</v>
      </c>
      <c r="C773" t="s">
        <v>3607</v>
      </c>
      <c r="D773" t="s">
        <v>1413</v>
      </c>
      <c r="E773" t="s">
        <v>2806</v>
      </c>
      <c r="F773">
        <v>7</v>
      </c>
      <c r="H773" t="s">
        <v>1507</v>
      </c>
      <c r="J773" t="s">
        <v>37</v>
      </c>
      <c r="K773" t="s">
        <v>3219</v>
      </c>
      <c r="L773">
        <v>4</v>
      </c>
      <c r="M773">
        <v>3</v>
      </c>
      <c r="N773" t="s">
        <v>2807</v>
      </c>
      <c r="O773" t="s">
        <v>1457</v>
      </c>
      <c r="P773" t="s">
        <v>2808</v>
      </c>
      <c r="Q773" t="s">
        <v>1443</v>
      </c>
      <c r="R773" t="s">
        <v>2809</v>
      </c>
      <c r="S773" t="s">
        <v>2810</v>
      </c>
    </row>
    <row r="774" spans="1:19">
      <c r="A774" t="s">
        <v>4418</v>
      </c>
      <c r="B774" t="s">
        <v>864</v>
      </c>
      <c r="C774" t="s">
        <v>3607</v>
      </c>
      <c r="D774" t="s">
        <v>1413</v>
      </c>
      <c r="E774" t="s">
        <v>1924</v>
      </c>
      <c r="F774">
        <v>2</v>
      </c>
      <c r="G774">
        <v>1</v>
      </c>
      <c r="J774" t="s">
        <v>37</v>
      </c>
      <c r="K774" t="s">
        <v>3219</v>
      </c>
      <c r="L774">
        <v>4</v>
      </c>
      <c r="M774">
        <v>2</v>
      </c>
      <c r="N774" t="s">
        <v>2801</v>
      </c>
      <c r="O774" t="s">
        <v>1447</v>
      </c>
      <c r="P774" t="s">
        <v>2811</v>
      </c>
      <c r="Q774" t="s">
        <v>1443</v>
      </c>
      <c r="R774" t="s">
        <v>863</v>
      </c>
      <c r="S774" t="s">
        <v>2812</v>
      </c>
    </row>
    <row r="775" spans="1:19">
      <c r="A775" t="s">
        <v>4414</v>
      </c>
      <c r="B775" t="s">
        <v>789</v>
      </c>
      <c r="C775" t="s">
        <v>3607</v>
      </c>
      <c r="D775" t="s">
        <v>1413</v>
      </c>
      <c r="E775" t="s">
        <v>1467</v>
      </c>
      <c r="F775">
        <v>5</v>
      </c>
      <c r="G775">
        <v>1</v>
      </c>
      <c r="J775" t="s">
        <v>37</v>
      </c>
      <c r="K775" t="s">
        <v>3219</v>
      </c>
      <c r="L775">
        <v>5</v>
      </c>
      <c r="M775">
        <v>2</v>
      </c>
      <c r="N775" t="s">
        <v>2798</v>
      </c>
      <c r="O775" t="s">
        <v>1441</v>
      </c>
      <c r="P775" t="s">
        <v>2799</v>
      </c>
      <c r="Q775" t="s">
        <v>1443</v>
      </c>
      <c r="R775" t="s">
        <v>863</v>
      </c>
      <c r="S775" t="s">
        <v>2800</v>
      </c>
    </row>
    <row r="776" spans="1:19">
      <c r="A776" t="s">
        <v>4419</v>
      </c>
      <c r="B776" t="s">
        <v>800</v>
      </c>
      <c r="C776" t="s">
        <v>3607</v>
      </c>
      <c r="D776" t="s">
        <v>1413</v>
      </c>
      <c r="E776" t="s">
        <v>1543</v>
      </c>
      <c r="F776">
        <v>7</v>
      </c>
      <c r="G776">
        <v>1</v>
      </c>
      <c r="J776" t="s">
        <v>37</v>
      </c>
      <c r="K776" t="s">
        <v>3219</v>
      </c>
      <c r="L776">
        <v>5</v>
      </c>
      <c r="M776">
        <v>3</v>
      </c>
      <c r="N776" t="s">
        <v>2813</v>
      </c>
      <c r="O776" t="s">
        <v>1447</v>
      </c>
      <c r="P776" t="s">
        <v>2814</v>
      </c>
      <c r="Q776" t="s">
        <v>1443</v>
      </c>
      <c r="R776" t="s">
        <v>864</v>
      </c>
      <c r="S776" t="s">
        <v>2815</v>
      </c>
    </row>
    <row r="777" spans="1:19">
      <c r="A777" t="s">
        <v>4420</v>
      </c>
      <c r="B777" t="s">
        <v>821</v>
      </c>
      <c r="C777" t="s">
        <v>3607</v>
      </c>
      <c r="D777" t="s">
        <v>1413</v>
      </c>
      <c r="E777" t="s">
        <v>2816</v>
      </c>
      <c r="F777">
        <v>6</v>
      </c>
      <c r="G777">
        <v>1</v>
      </c>
      <c r="H777" t="s">
        <v>1507</v>
      </c>
      <c r="J777" t="s">
        <v>37</v>
      </c>
      <c r="K777" t="s">
        <v>3219</v>
      </c>
      <c r="L777">
        <v>5</v>
      </c>
      <c r="M777">
        <v>3</v>
      </c>
      <c r="N777" t="s">
        <v>2813</v>
      </c>
      <c r="O777" t="s">
        <v>1457</v>
      </c>
      <c r="P777" t="s">
        <v>2817</v>
      </c>
      <c r="Q777" t="s">
        <v>1443</v>
      </c>
      <c r="R777" t="s">
        <v>2818</v>
      </c>
      <c r="S777" t="s">
        <v>2819</v>
      </c>
    </row>
    <row r="778" spans="1:19">
      <c r="A778" t="s">
        <v>4506</v>
      </c>
      <c r="B778" t="s">
        <v>810</v>
      </c>
      <c r="C778" t="s">
        <v>3607</v>
      </c>
      <c r="D778" t="s">
        <v>1414</v>
      </c>
      <c r="E778" t="s">
        <v>1541</v>
      </c>
      <c r="F778">
        <v>5</v>
      </c>
      <c r="J778" t="s">
        <v>37</v>
      </c>
      <c r="K778" t="s">
        <v>7371</v>
      </c>
      <c r="L778">
        <v>2</v>
      </c>
      <c r="M778">
        <v>1</v>
      </c>
      <c r="N778" t="s">
        <v>2788</v>
      </c>
      <c r="O778" t="s">
        <v>1441</v>
      </c>
      <c r="P778" t="s">
        <v>1444</v>
      </c>
      <c r="Q778" t="s">
        <v>1443</v>
      </c>
      <c r="R778" t="s">
        <v>1444</v>
      </c>
      <c r="S778" t="s">
        <v>2963</v>
      </c>
    </row>
    <row r="779" spans="1:19">
      <c r="A779" t="s">
        <v>4507</v>
      </c>
      <c r="B779" t="s">
        <v>809</v>
      </c>
      <c r="C779" t="s">
        <v>3607</v>
      </c>
      <c r="D779" t="s">
        <v>1414</v>
      </c>
      <c r="E779" t="s">
        <v>1450</v>
      </c>
      <c r="F779">
        <v>3</v>
      </c>
      <c r="J779" t="s">
        <v>37</v>
      </c>
      <c r="K779" t="s">
        <v>7371</v>
      </c>
      <c r="L779">
        <v>3</v>
      </c>
      <c r="M779">
        <v>1</v>
      </c>
      <c r="N779" t="s">
        <v>2791</v>
      </c>
      <c r="O779" t="s">
        <v>1457</v>
      </c>
      <c r="P779" t="s">
        <v>2927</v>
      </c>
      <c r="Q779" t="s">
        <v>1443</v>
      </c>
      <c r="R779" t="s">
        <v>810</v>
      </c>
      <c r="S779" t="s">
        <v>2964</v>
      </c>
    </row>
    <row r="780" spans="1:19">
      <c r="A780" t="s">
        <v>4509</v>
      </c>
      <c r="B780" t="s">
        <v>870</v>
      </c>
      <c r="C780" t="s">
        <v>3607</v>
      </c>
      <c r="D780" t="s">
        <v>1414</v>
      </c>
      <c r="E780" t="s">
        <v>1467</v>
      </c>
      <c r="F780">
        <v>5</v>
      </c>
      <c r="G780">
        <v>1</v>
      </c>
      <c r="J780" t="s">
        <v>37</v>
      </c>
      <c r="K780" t="s">
        <v>7371</v>
      </c>
      <c r="L780">
        <v>4</v>
      </c>
      <c r="M780">
        <v>1</v>
      </c>
      <c r="N780" t="s">
        <v>2794</v>
      </c>
      <c r="O780" t="s">
        <v>1447</v>
      </c>
      <c r="P780" t="s">
        <v>2841</v>
      </c>
      <c r="Q780" t="s">
        <v>1443</v>
      </c>
      <c r="R780" t="s">
        <v>809</v>
      </c>
      <c r="S780" t="s">
        <v>2967</v>
      </c>
    </row>
    <row r="781" spans="1:19">
      <c r="A781" t="s">
        <v>4508</v>
      </c>
      <c r="B781" t="s">
        <v>879</v>
      </c>
      <c r="C781" t="s">
        <v>3607</v>
      </c>
      <c r="D781" t="s">
        <v>1414</v>
      </c>
      <c r="E781" t="s">
        <v>1511</v>
      </c>
      <c r="F781" t="s">
        <v>1511</v>
      </c>
      <c r="J781" t="s">
        <v>37</v>
      </c>
      <c r="K781" t="s">
        <v>7371</v>
      </c>
      <c r="L781">
        <v>5</v>
      </c>
      <c r="M781">
        <v>3</v>
      </c>
      <c r="N781" t="s">
        <v>2813</v>
      </c>
      <c r="O781" t="s">
        <v>1513</v>
      </c>
      <c r="P781" t="s">
        <v>2965</v>
      </c>
      <c r="Q781" t="s">
        <v>1513</v>
      </c>
      <c r="R781" t="s">
        <v>809</v>
      </c>
      <c r="S781" t="s">
        <v>2966</v>
      </c>
    </row>
    <row r="782" spans="1:19">
      <c r="A782" t="s">
        <v>4510</v>
      </c>
      <c r="B782" t="s">
        <v>869</v>
      </c>
      <c r="C782" t="s">
        <v>3607</v>
      </c>
      <c r="D782" t="s">
        <v>1414</v>
      </c>
      <c r="E782" t="s">
        <v>1482</v>
      </c>
      <c r="F782">
        <v>7</v>
      </c>
      <c r="J782" t="s">
        <v>37</v>
      </c>
      <c r="K782" t="s">
        <v>7371</v>
      </c>
      <c r="L782">
        <v>5</v>
      </c>
      <c r="M782">
        <v>1</v>
      </c>
      <c r="N782" t="s">
        <v>2968</v>
      </c>
      <c r="O782" t="s">
        <v>1457</v>
      </c>
      <c r="P782" t="s">
        <v>2795</v>
      </c>
      <c r="Q782" t="s">
        <v>1473</v>
      </c>
      <c r="R782" t="s">
        <v>870</v>
      </c>
      <c r="S782" t="s">
        <v>2969</v>
      </c>
    </row>
    <row r="783" spans="1:19">
      <c r="A783" t="s">
        <v>4511</v>
      </c>
      <c r="B783" t="s">
        <v>853</v>
      </c>
      <c r="C783" t="s">
        <v>3607</v>
      </c>
      <c r="D783" t="s">
        <v>1414</v>
      </c>
      <c r="E783" t="s">
        <v>2970</v>
      </c>
      <c r="F783" t="s">
        <v>2970</v>
      </c>
      <c r="J783" t="s">
        <v>37</v>
      </c>
      <c r="K783" t="s">
        <v>7371</v>
      </c>
      <c r="L783">
        <v>5</v>
      </c>
      <c r="M783">
        <v>3</v>
      </c>
      <c r="N783" t="s">
        <v>2813</v>
      </c>
      <c r="O783" t="s">
        <v>1441</v>
      </c>
      <c r="P783" t="s">
        <v>1444</v>
      </c>
      <c r="Q783" t="s">
        <v>1443</v>
      </c>
      <c r="R783" t="s">
        <v>869</v>
      </c>
      <c r="S783" t="s">
        <v>2971</v>
      </c>
    </row>
    <row r="784" spans="1:19">
      <c r="A784" t="s">
        <v>4512</v>
      </c>
      <c r="B784" t="s">
        <v>866</v>
      </c>
      <c r="C784" t="s">
        <v>3607</v>
      </c>
      <c r="D784" t="s">
        <v>1414</v>
      </c>
      <c r="E784" t="s">
        <v>1467</v>
      </c>
      <c r="F784">
        <v>5</v>
      </c>
      <c r="G784">
        <v>1</v>
      </c>
      <c r="J784" t="s">
        <v>37</v>
      </c>
      <c r="K784" t="s">
        <v>7371</v>
      </c>
      <c r="L784">
        <v>5</v>
      </c>
      <c r="M784">
        <v>3</v>
      </c>
      <c r="N784" t="s">
        <v>2813</v>
      </c>
      <c r="O784" t="s">
        <v>1447</v>
      </c>
      <c r="P784" t="s">
        <v>2802</v>
      </c>
      <c r="Q784" t="s">
        <v>1443</v>
      </c>
      <c r="R784" t="s">
        <v>853</v>
      </c>
      <c r="S784" t="s">
        <v>2972</v>
      </c>
    </row>
    <row r="785" spans="1:19">
      <c r="A785" t="s">
        <v>4513</v>
      </c>
      <c r="B785" t="s">
        <v>812</v>
      </c>
      <c r="C785" t="s">
        <v>3607</v>
      </c>
      <c r="D785" t="s">
        <v>1414</v>
      </c>
      <c r="E785" t="s">
        <v>1467</v>
      </c>
      <c r="F785">
        <v>5</v>
      </c>
      <c r="G785">
        <v>1</v>
      </c>
      <c r="J785" t="s">
        <v>37</v>
      </c>
      <c r="K785" t="s">
        <v>7371</v>
      </c>
      <c r="L785">
        <v>5</v>
      </c>
      <c r="M785">
        <v>2</v>
      </c>
      <c r="N785" t="s">
        <v>2798</v>
      </c>
      <c r="O785" t="s">
        <v>1457</v>
      </c>
      <c r="P785" t="s">
        <v>2823</v>
      </c>
      <c r="Q785" t="s">
        <v>1473</v>
      </c>
      <c r="R785" t="s">
        <v>869</v>
      </c>
      <c r="S785" t="s">
        <v>2973</v>
      </c>
    </row>
    <row r="786" spans="1:19">
      <c r="A786" t="s">
        <v>4514</v>
      </c>
      <c r="B786" t="s">
        <v>880</v>
      </c>
      <c r="C786" t="s">
        <v>3607</v>
      </c>
      <c r="D786" t="s">
        <v>1414</v>
      </c>
      <c r="E786" t="s">
        <v>2974</v>
      </c>
      <c r="F786" t="s">
        <v>2974</v>
      </c>
      <c r="J786" t="s">
        <v>37</v>
      </c>
      <c r="K786" t="s">
        <v>7371</v>
      </c>
      <c r="L786">
        <v>5</v>
      </c>
      <c r="M786">
        <v>3</v>
      </c>
      <c r="N786" t="s">
        <v>2813</v>
      </c>
      <c r="O786" t="s">
        <v>1447</v>
      </c>
      <c r="P786" t="s">
        <v>1444</v>
      </c>
      <c r="Q786" t="s">
        <v>1443</v>
      </c>
      <c r="R786" t="s">
        <v>812</v>
      </c>
      <c r="S786" t="s">
        <v>2975</v>
      </c>
    </row>
    <row r="787" spans="1:19">
      <c r="A787" t="s">
        <v>4515</v>
      </c>
      <c r="B787" t="s">
        <v>841</v>
      </c>
      <c r="C787" t="s">
        <v>3607</v>
      </c>
      <c r="D787" t="s">
        <v>1414</v>
      </c>
      <c r="E787" t="s">
        <v>1467</v>
      </c>
      <c r="F787">
        <v>5</v>
      </c>
      <c r="G787">
        <v>1</v>
      </c>
      <c r="J787" t="s">
        <v>37</v>
      </c>
      <c r="K787" t="s">
        <v>7371</v>
      </c>
      <c r="L787">
        <v>5</v>
      </c>
      <c r="M787">
        <v>3</v>
      </c>
      <c r="N787" t="s">
        <v>2813</v>
      </c>
      <c r="O787" t="s">
        <v>1447</v>
      </c>
      <c r="P787" t="s">
        <v>2195</v>
      </c>
      <c r="Q787" t="s">
        <v>1443</v>
      </c>
      <c r="R787" t="s">
        <v>880</v>
      </c>
      <c r="S787" t="s">
        <v>2976</v>
      </c>
    </row>
    <row r="788" spans="1:19">
      <c r="A788" t="s">
        <v>4516</v>
      </c>
      <c r="B788" t="s">
        <v>818</v>
      </c>
      <c r="C788" t="s">
        <v>3607</v>
      </c>
      <c r="D788" t="s">
        <v>1414</v>
      </c>
      <c r="E788" t="s">
        <v>1456</v>
      </c>
      <c r="F788">
        <v>4</v>
      </c>
      <c r="G788">
        <v>1</v>
      </c>
      <c r="J788" t="s">
        <v>37</v>
      </c>
      <c r="K788" t="s">
        <v>7371</v>
      </c>
      <c r="L788">
        <v>5</v>
      </c>
      <c r="M788">
        <v>2</v>
      </c>
      <c r="N788" t="s">
        <v>2798</v>
      </c>
      <c r="O788" t="s">
        <v>1447</v>
      </c>
      <c r="P788" t="s">
        <v>1452</v>
      </c>
      <c r="Q788" t="s">
        <v>1443</v>
      </c>
      <c r="R788" t="s">
        <v>869</v>
      </c>
      <c r="S788" t="s">
        <v>2977</v>
      </c>
    </row>
    <row r="789" spans="1:19">
      <c r="A789" t="s">
        <v>4517</v>
      </c>
      <c r="B789" t="s">
        <v>807</v>
      </c>
      <c r="C789" t="s">
        <v>3607</v>
      </c>
      <c r="D789" t="s">
        <v>1414</v>
      </c>
      <c r="E789" t="s">
        <v>1949</v>
      </c>
      <c r="F789">
        <v>12</v>
      </c>
      <c r="G789">
        <v>1</v>
      </c>
      <c r="J789" t="s">
        <v>37</v>
      </c>
      <c r="K789" t="s">
        <v>7371</v>
      </c>
      <c r="L789">
        <v>5</v>
      </c>
      <c r="M789">
        <v>3</v>
      </c>
      <c r="N789" t="s">
        <v>2813</v>
      </c>
      <c r="O789" t="s">
        <v>1447</v>
      </c>
      <c r="P789" t="s">
        <v>2821</v>
      </c>
      <c r="Q789" t="s">
        <v>1443</v>
      </c>
      <c r="R789" t="s">
        <v>818</v>
      </c>
      <c r="S789" t="s">
        <v>2978</v>
      </c>
    </row>
    <row r="790" spans="1:19">
      <c r="A790" t="s">
        <v>4518</v>
      </c>
      <c r="B790" t="s">
        <v>884</v>
      </c>
      <c r="C790" t="s">
        <v>3607</v>
      </c>
      <c r="D790" t="s">
        <v>1414</v>
      </c>
      <c r="E790" t="s">
        <v>1599</v>
      </c>
      <c r="F790">
        <v>10</v>
      </c>
      <c r="G790">
        <v>1</v>
      </c>
      <c r="J790" t="s">
        <v>37</v>
      </c>
      <c r="K790" t="s">
        <v>7371</v>
      </c>
      <c r="L790">
        <v>5</v>
      </c>
      <c r="M790">
        <v>3</v>
      </c>
      <c r="N790" t="s">
        <v>2813</v>
      </c>
      <c r="O790" t="s">
        <v>1457</v>
      </c>
      <c r="P790" t="s">
        <v>2979</v>
      </c>
      <c r="Q790" t="s">
        <v>1473</v>
      </c>
      <c r="R790" t="s">
        <v>2980</v>
      </c>
      <c r="S790" t="s">
        <v>2981</v>
      </c>
    </row>
    <row r="791" spans="1:19">
      <c r="A791" t="s">
        <v>4468</v>
      </c>
      <c r="B791" t="s">
        <v>839</v>
      </c>
      <c r="C791" t="s">
        <v>3607</v>
      </c>
      <c r="D791" t="s">
        <v>1411</v>
      </c>
      <c r="E791" t="s">
        <v>1511</v>
      </c>
      <c r="F791" t="s">
        <v>1511</v>
      </c>
      <c r="J791" t="s">
        <v>37</v>
      </c>
      <c r="K791" t="s">
        <v>7372</v>
      </c>
      <c r="L791">
        <v>2</v>
      </c>
      <c r="M791">
        <v>1</v>
      </c>
      <c r="N791" t="s">
        <v>2788</v>
      </c>
      <c r="O791" t="s">
        <v>1513</v>
      </c>
      <c r="P791" t="s">
        <v>2804</v>
      </c>
      <c r="Q791" t="s">
        <v>1513</v>
      </c>
      <c r="R791" t="s">
        <v>1444</v>
      </c>
      <c r="S791" t="s">
        <v>2904</v>
      </c>
    </row>
    <row r="792" spans="1:19">
      <c r="A792" t="s">
        <v>4469</v>
      </c>
      <c r="B792" t="s">
        <v>838</v>
      </c>
      <c r="C792" t="s">
        <v>3607</v>
      </c>
      <c r="D792" t="s">
        <v>1411</v>
      </c>
      <c r="E792" t="s">
        <v>1541</v>
      </c>
      <c r="F792">
        <v>5</v>
      </c>
      <c r="J792" t="s">
        <v>37</v>
      </c>
      <c r="K792" t="s">
        <v>7372</v>
      </c>
      <c r="L792">
        <v>3</v>
      </c>
      <c r="M792">
        <v>1</v>
      </c>
      <c r="N792" t="s">
        <v>2791</v>
      </c>
      <c r="O792" t="s">
        <v>1441</v>
      </c>
      <c r="P792" t="s">
        <v>2804</v>
      </c>
      <c r="Q792" t="s">
        <v>1443</v>
      </c>
      <c r="R792" t="s">
        <v>839</v>
      </c>
      <c r="S792" t="s">
        <v>2905</v>
      </c>
    </row>
    <row r="793" spans="1:19">
      <c r="A793" t="s">
        <v>4470</v>
      </c>
      <c r="B793" t="s">
        <v>875</v>
      </c>
      <c r="C793" t="s">
        <v>3607</v>
      </c>
      <c r="D793" t="s">
        <v>1411</v>
      </c>
      <c r="E793" t="s">
        <v>1554</v>
      </c>
      <c r="F793">
        <v>4</v>
      </c>
      <c r="J793" t="s">
        <v>37</v>
      </c>
      <c r="K793" t="s">
        <v>7372</v>
      </c>
      <c r="L793">
        <v>3</v>
      </c>
      <c r="M793">
        <v>1</v>
      </c>
      <c r="N793" t="s">
        <v>2791</v>
      </c>
      <c r="O793" t="s">
        <v>1457</v>
      </c>
      <c r="P793" t="s">
        <v>2804</v>
      </c>
      <c r="Q793" t="s">
        <v>1443</v>
      </c>
      <c r="R793" t="s">
        <v>839</v>
      </c>
      <c r="S793" t="s">
        <v>2906</v>
      </c>
    </row>
    <row r="794" spans="1:19">
      <c r="A794" t="s">
        <v>4471</v>
      </c>
      <c r="B794" t="s">
        <v>861</v>
      </c>
      <c r="C794" t="s">
        <v>3607</v>
      </c>
      <c r="D794" t="s">
        <v>1411</v>
      </c>
      <c r="E794" t="s">
        <v>1692</v>
      </c>
      <c r="F794">
        <v>8</v>
      </c>
      <c r="J794" t="s">
        <v>37</v>
      </c>
      <c r="K794" t="s">
        <v>7372</v>
      </c>
      <c r="L794">
        <v>4</v>
      </c>
      <c r="M794">
        <v>1</v>
      </c>
      <c r="N794" t="s">
        <v>2794</v>
      </c>
      <c r="O794" t="s">
        <v>1457</v>
      </c>
      <c r="P794" t="s">
        <v>2795</v>
      </c>
      <c r="Q794" t="s">
        <v>1473</v>
      </c>
      <c r="R794" t="s">
        <v>2907</v>
      </c>
      <c r="S794" t="s">
        <v>2908</v>
      </c>
    </row>
    <row r="795" spans="1:19">
      <c r="A795" t="s">
        <v>4472</v>
      </c>
      <c r="B795" t="s">
        <v>2909</v>
      </c>
      <c r="C795" t="s">
        <v>3607</v>
      </c>
      <c r="D795" t="s">
        <v>1411</v>
      </c>
      <c r="E795" t="s">
        <v>2217</v>
      </c>
      <c r="F795">
        <v>5</v>
      </c>
      <c r="H795" t="s">
        <v>2434</v>
      </c>
      <c r="J795" t="s">
        <v>37</v>
      </c>
      <c r="K795" t="s">
        <v>7372</v>
      </c>
      <c r="L795">
        <v>4</v>
      </c>
      <c r="M795">
        <v>2</v>
      </c>
      <c r="N795" t="s">
        <v>2801</v>
      </c>
      <c r="O795" t="s">
        <v>1447</v>
      </c>
      <c r="P795" t="s">
        <v>2910</v>
      </c>
      <c r="Q795" t="s">
        <v>1443</v>
      </c>
      <c r="R795" t="s">
        <v>861</v>
      </c>
      <c r="S795" t="s">
        <v>2911</v>
      </c>
    </row>
    <row r="796" spans="1:19">
      <c r="A796" t="s">
        <v>4474</v>
      </c>
      <c r="B796" t="s">
        <v>833</v>
      </c>
      <c r="C796" t="s">
        <v>3607</v>
      </c>
      <c r="D796" t="s">
        <v>1411</v>
      </c>
      <c r="E796" t="s">
        <v>1465</v>
      </c>
      <c r="F796">
        <v>1</v>
      </c>
      <c r="G796">
        <v>1</v>
      </c>
      <c r="J796" t="s">
        <v>37</v>
      </c>
      <c r="K796" t="s">
        <v>7372</v>
      </c>
      <c r="L796">
        <v>4</v>
      </c>
      <c r="M796">
        <v>2</v>
      </c>
      <c r="N796" t="s">
        <v>2801</v>
      </c>
      <c r="O796" t="s">
        <v>1457</v>
      </c>
      <c r="P796" t="s">
        <v>2826</v>
      </c>
      <c r="Q796" t="s">
        <v>1443</v>
      </c>
      <c r="R796" t="s">
        <v>861</v>
      </c>
      <c r="S796" t="s">
        <v>2913</v>
      </c>
    </row>
    <row r="797" spans="1:19">
      <c r="A797" t="s">
        <v>4476</v>
      </c>
      <c r="B797" t="s">
        <v>825</v>
      </c>
      <c r="C797" t="s">
        <v>3607</v>
      </c>
      <c r="D797" t="s">
        <v>1411</v>
      </c>
      <c r="E797" t="s">
        <v>1554</v>
      </c>
      <c r="F797">
        <v>4</v>
      </c>
      <c r="J797" t="s">
        <v>37</v>
      </c>
      <c r="K797" t="s">
        <v>7372</v>
      </c>
      <c r="L797">
        <v>4</v>
      </c>
      <c r="M797">
        <v>2</v>
      </c>
      <c r="N797" t="s">
        <v>2801</v>
      </c>
      <c r="O797" t="s">
        <v>1447</v>
      </c>
      <c r="P797" t="s">
        <v>2792</v>
      </c>
      <c r="Q797" t="s">
        <v>1443</v>
      </c>
      <c r="R797" t="s">
        <v>861</v>
      </c>
      <c r="S797" t="s">
        <v>2916</v>
      </c>
    </row>
    <row r="798" spans="1:19">
      <c r="A798" t="s">
        <v>4473</v>
      </c>
      <c r="B798" t="s">
        <v>832</v>
      </c>
      <c r="C798" t="s">
        <v>3607</v>
      </c>
      <c r="D798" t="s">
        <v>1411</v>
      </c>
      <c r="E798" t="s">
        <v>1456</v>
      </c>
      <c r="F798">
        <v>4</v>
      </c>
      <c r="G798">
        <v>1</v>
      </c>
      <c r="J798" t="s">
        <v>37</v>
      </c>
      <c r="K798" t="s">
        <v>7372</v>
      </c>
      <c r="L798">
        <v>5</v>
      </c>
      <c r="M798">
        <v>2</v>
      </c>
      <c r="N798" t="s">
        <v>2798</v>
      </c>
      <c r="O798" t="s">
        <v>1447</v>
      </c>
      <c r="P798" t="s">
        <v>2826</v>
      </c>
      <c r="Q798" t="s">
        <v>1473</v>
      </c>
      <c r="R798" t="s">
        <v>2909</v>
      </c>
      <c r="S798" t="s">
        <v>2912</v>
      </c>
    </row>
    <row r="799" spans="1:19">
      <c r="A799" t="s">
        <v>4475</v>
      </c>
      <c r="B799" t="s">
        <v>2914</v>
      </c>
      <c r="C799" t="s">
        <v>3607</v>
      </c>
      <c r="D799" t="s">
        <v>1411</v>
      </c>
      <c r="E799" t="s">
        <v>1486</v>
      </c>
      <c r="F799">
        <v>3</v>
      </c>
      <c r="H799" t="s">
        <v>2434</v>
      </c>
      <c r="J799" t="s">
        <v>37</v>
      </c>
      <c r="K799" t="s">
        <v>7372</v>
      </c>
      <c r="L799">
        <v>5</v>
      </c>
      <c r="M799">
        <v>3</v>
      </c>
      <c r="N799" t="s">
        <v>2813</v>
      </c>
      <c r="O799" t="s">
        <v>1457</v>
      </c>
      <c r="P799" t="s">
        <v>2826</v>
      </c>
      <c r="Q799" t="s">
        <v>1443</v>
      </c>
      <c r="R799" t="s">
        <v>833</v>
      </c>
      <c r="S799" t="s">
        <v>2915</v>
      </c>
    </row>
    <row r="800" spans="1:19">
      <c r="A800" t="s">
        <v>4477</v>
      </c>
      <c r="B800" t="s">
        <v>788</v>
      </c>
      <c r="C800" t="s">
        <v>3607</v>
      </c>
      <c r="D800" t="s">
        <v>1411</v>
      </c>
      <c r="E800" t="s">
        <v>2039</v>
      </c>
      <c r="F800">
        <v>8</v>
      </c>
      <c r="G800">
        <v>1</v>
      </c>
      <c r="J800" t="s">
        <v>37</v>
      </c>
      <c r="K800" t="s">
        <v>7372</v>
      </c>
      <c r="L800">
        <v>5</v>
      </c>
      <c r="M800">
        <v>3</v>
      </c>
      <c r="N800" t="s">
        <v>2813</v>
      </c>
      <c r="O800" t="s">
        <v>1457</v>
      </c>
      <c r="P800" t="s">
        <v>2917</v>
      </c>
      <c r="Q800" t="s">
        <v>1473</v>
      </c>
      <c r="R800" t="s">
        <v>825</v>
      </c>
      <c r="S800" t="s">
        <v>2918</v>
      </c>
    </row>
    <row r="801" spans="1:19">
      <c r="A801" t="s">
        <v>4478</v>
      </c>
      <c r="B801" t="s">
        <v>859</v>
      </c>
      <c r="C801" t="s">
        <v>3607</v>
      </c>
      <c r="D801" t="s">
        <v>1411</v>
      </c>
      <c r="E801" t="s">
        <v>1599</v>
      </c>
      <c r="F801">
        <v>10</v>
      </c>
      <c r="G801">
        <v>1</v>
      </c>
      <c r="J801" t="s">
        <v>37</v>
      </c>
      <c r="K801" t="s">
        <v>7372</v>
      </c>
      <c r="L801">
        <v>5</v>
      </c>
      <c r="M801">
        <v>3</v>
      </c>
      <c r="N801" t="s">
        <v>2813</v>
      </c>
      <c r="O801" t="s">
        <v>1457</v>
      </c>
      <c r="P801" t="s">
        <v>2833</v>
      </c>
      <c r="Q801" t="s">
        <v>2919</v>
      </c>
      <c r="R801" t="s">
        <v>2920</v>
      </c>
      <c r="S801" t="s">
        <v>2921</v>
      </c>
    </row>
    <row r="802" spans="1:19">
      <c r="A802" t="s">
        <v>4421</v>
      </c>
      <c r="B802" t="s">
        <v>802</v>
      </c>
      <c r="C802" t="s">
        <v>3607</v>
      </c>
      <c r="D802" t="s">
        <v>1415</v>
      </c>
      <c r="E802" t="s">
        <v>1554</v>
      </c>
      <c r="F802">
        <v>4</v>
      </c>
      <c r="J802" t="s">
        <v>37</v>
      </c>
      <c r="K802" t="s">
        <v>3220</v>
      </c>
      <c r="L802">
        <v>3</v>
      </c>
      <c r="M802">
        <v>1</v>
      </c>
      <c r="N802" t="s">
        <v>2791</v>
      </c>
      <c r="O802" t="s">
        <v>1441</v>
      </c>
      <c r="P802" t="s">
        <v>1442</v>
      </c>
      <c r="Q802" t="s">
        <v>1443</v>
      </c>
      <c r="R802" t="s">
        <v>1444</v>
      </c>
      <c r="S802" t="s">
        <v>2820</v>
      </c>
    </row>
    <row r="803" spans="1:19">
      <c r="A803" t="s">
        <v>4422</v>
      </c>
      <c r="B803" t="s">
        <v>873</v>
      </c>
      <c r="C803" t="s">
        <v>3607</v>
      </c>
      <c r="D803" t="s">
        <v>1415</v>
      </c>
      <c r="E803" t="s">
        <v>1497</v>
      </c>
      <c r="F803">
        <v>6</v>
      </c>
      <c r="J803" t="s">
        <v>37</v>
      </c>
      <c r="K803" t="s">
        <v>3220</v>
      </c>
      <c r="L803">
        <v>3</v>
      </c>
      <c r="M803">
        <v>1</v>
      </c>
      <c r="N803" t="s">
        <v>2791</v>
      </c>
      <c r="O803" t="s">
        <v>1441</v>
      </c>
      <c r="P803" t="s">
        <v>2821</v>
      </c>
      <c r="Q803" t="s">
        <v>1443</v>
      </c>
      <c r="R803" t="s">
        <v>1444</v>
      </c>
      <c r="S803" t="s">
        <v>2822</v>
      </c>
    </row>
    <row r="804" spans="1:19">
      <c r="A804" t="s">
        <v>4423</v>
      </c>
      <c r="B804" t="s">
        <v>877</v>
      </c>
      <c r="C804" t="s">
        <v>3607</v>
      </c>
      <c r="D804" t="s">
        <v>1415</v>
      </c>
      <c r="E804" t="s">
        <v>1945</v>
      </c>
      <c r="F804">
        <v>10</v>
      </c>
      <c r="J804" t="s">
        <v>37</v>
      </c>
      <c r="K804" t="s">
        <v>3220</v>
      </c>
      <c r="L804">
        <v>4</v>
      </c>
      <c r="M804">
        <v>1</v>
      </c>
      <c r="N804" t="s">
        <v>2794</v>
      </c>
      <c r="O804" t="s">
        <v>1457</v>
      </c>
      <c r="P804" t="s">
        <v>2823</v>
      </c>
      <c r="Q804" t="s">
        <v>1473</v>
      </c>
      <c r="R804" t="s">
        <v>2824</v>
      </c>
      <c r="S804" t="s">
        <v>2825</v>
      </c>
    </row>
    <row r="805" spans="1:19">
      <c r="A805" t="s">
        <v>4425</v>
      </c>
      <c r="B805" t="s">
        <v>840</v>
      </c>
      <c r="C805" t="s">
        <v>3607</v>
      </c>
      <c r="D805" t="s">
        <v>1415</v>
      </c>
      <c r="E805" t="s">
        <v>1541</v>
      </c>
      <c r="F805">
        <v>5</v>
      </c>
      <c r="J805" t="s">
        <v>37</v>
      </c>
      <c r="K805" t="s">
        <v>3220</v>
      </c>
      <c r="L805">
        <v>4</v>
      </c>
      <c r="M805">
        <v>2</v>
      </c>
      <c r="N805" t="s">
        <v>2801</v>
      </c>
      <c r="O805" t="s">
        <v>1447</v>
      </c>
      <c r="P805" t="s">
        <v>2804</v>
      </c>
      <c r="Q805" t="s">
        <v>1443</v>
      </c>
      <c r="R805" t="s">
        <v>877</v>
      </c>
      <c r="S805" t="s">
        <v>2828</v>
      </c>
    </row>
    <row r="806" spans="1:19">
      <c r="A806" t="s">
        <v>4427</v>
      </c>
      <c r="B806" t="s">
        <v>850</v>
      </c>
      <c r="C806" t="s">
        <v>3607</v>
      </c>
      <c r="D806" t="s">
        <v>1415</v>
      </c>
      <c r="E806" t="s">
        <v>1554</v>
      </c>
      <c r="F806">
        <v>4</v>
      </c>
      <c r="J806" t="s">
        <v>37</v>
      </c>
      <c r="K806" t="s">
        <v>3220</v>
      </c>
      <c r="L806">
        <v>4</v>
      </c>
      <c r="M806">
        <v>2</v>
      </c>
      <c r="N806" t="s">
        <v>2801</v>
      </c>
      <c r="O806" t="s">
        <v>1441</v>
      </c>
      <c r="P806" t="s">
        <v>2789</v>
      </c>
      <c r="Q806" t="s">
        <v>1443</v>
      </c>
      <c r="R806" t="s">
        <v>877</v>
      </c>
      <c r="S806" t="s">
        <v>2830</v>
      </c>
    </row>
    <row r="807" spans="1:19">
      <c r="A807" t="s">
        <v>4429</v>
      </c>
      <c r="B807" t="s">
        <v>868</v>
      </c>
      <c r="C807" t="s">
        <v>3607</v>
      </c>
      <c r="D807" t="s">
        <v>1415</v>
      </c>
      <c r="E807" t="s">
        <v>1541</v>
      </c>
      <c r="F807">
        <v>5</v>
      </c>
      <c r="J807" t="s">
        <v>37</v>
      </c>
      <c r="K807" t="s">
        <v>3220</v>
      </c>
      <c r="L807">
        <v>4</v>
      </c>
      <c r="M807">
        <v>2</v>
      </c>
      <c r="N807" t="s">
        <v>2801</v>
      </c>
      <c r="O807" t="s">
        <v>1447</v>
      </c>
      <c r="P807" t="s">
        <v>2804</v>
      </c>
      <c r="Q807" t="s">
        <v>1473</v>
      </c>
      <c r="R807" t="s">
        <v>877</v>
      </c>
      <c r="S807" t="s">
        <v>2832</v>
      </c>
    </row>
    <row r="808" spans="1:19">
      <c r="A808" t="s">
        <v>4424</v>
      </c>
      <c r="B808" t="s">
        <v>798</v>
      </c>
      <c r="C808" t="s">
        <v>3607</v>
      </c>
      <c r="D808" t="s">
        <v>1415</v>
      </c>
      <c r="E808" t="s">
        <v>1541</v>
      </c>
      <c r="F808">
        <v>5</v>
      </c>
      <c r="J808" t="s">
        <v>37</v>
      </c>
      <c r="K808" t="s">
        <v>3220</v>
      </c>
      <c r="L808">
        <v>5</v>
      </c>
      <c r="M808">
        <v>2</v>
      </c>
      <c r="N808" t="s">
        <v>2798</v>
      </c>
      <c r="O808" t="s">
        <v>1447</v>
      </c>
      <c r="P808" t="s">
        <v>2826</v>
      </c>
      <c r="Q808" t="s">
        <v>1473</v>
      </c>
      <c r="R808" t="s">
        <v>877</v>
      </c>
      <c r="S808" t="s">
        <v>2827</v>
      </c>
    </row>
    <row r="809" spans="1:19">
      <c r="A809" t="s">
        <v>4426</v>
      </c>
      <c r="B809" t="s">
        <v>849</v>
      </c>
      <c r="C809" t="s">
        <v>3607</v>
      </c>
      <c r="D809" t="s">
        <v>1415</v>
      </c>
      <c r="E809" t="s">
        <v>2039</v>
      </c>
      <c r="F809">
        <v>8</v>
      </c>
      <c r="G809">
        <v>1</v>
      </c>
      <c r="J809" t="s">
        <v>37</v>
      </c>
      <c r="K809" t="s">
        <v>3220</v>
      </c>
      <c r="L809">
        <v>5</v>
      </c>
      <c r="M809">
        <v>3</v>
      </c>
      <c r="N809" t="s">
        <v>2813</v>
      </c>
      <c r="O809" t="s">
        <v>1457</v>
      </c>
      <c r="P809" t="s">
        <v>2802</v>
      </c>
      <c r="Q809" t="s">
        <v>1443</v>
      </c>
      <c r="R809" t="s">
        <v>840</v>
      </c>
      <c r="S809" t="s">
        <v>2829</v>
      </c>
    </row>
    <row r="810" spans="1:19">
      <c r="A810" t="s">
        <v>4428</v>
      </c>
      <c r="B810" t="s">
        <v>867</v>
      </c>
      <c r="C810" t="s">
        <v>3607</v>
      </c>
      <c r="D810" t="s">
        <v>1415</v>
      </c>
      <c r="E810" t="s">
        <v>1467</v>
      </c>
      <c r="F810">
        <v>5</v>
      </c>
      <c r="G810">
        <v>1</v>
      </c>
      <c r="J810" t="s">
        <v>37</v>
      </c>
      <c r="K810" t="s">
        <v>3220</v>
      </c>
      <c r="L810">
        <v>5</v>
      </c>
      <c r="M810">
        <v>3</v>
      </c>
      <c r="N810" t="s">
        <v>2813</v>
      </c>
      <c r="O810" t="s">
        <v>1447</v>
      </c>
      <c r="P810" t="s">
        <v>2802</v>
      </c>
      <c r="Q810" t="s">
        <v>1443</v>
      </c>
      <c r="R810" t="s">
        <v>850</v>
      </c>
      <c r="S810" t="s">
        <v>2831</v>
      </c>
    </row>
    <row r="811" spans="1:19">
      <c r="A811" t="s">
        <v>4430</v>
      </c>
      <c r="B811" t="s">
        <v>843</v>
      </c>
      <c r="C811" t="s">
        <v>3607</v>
      </c>
      <c r="D811" t="s">
        <v>1415</v>
      </c>
      <c r="E811" t="s">
        <v>1467</v>
      </c>
      <c r="F811">
        <v>5</v>
      </c>
      <c r="G811">
        <v>1</v>
      </c>
      <c r="J811" t="s">
        <v>37</v>
      </c>
      <c r="K811" t="s">
        <v>3220</v>
      </c>
      <c r="L811">
        <v>5</v>
      </c>
      <c r="M811">
        <v>3</v>
      </c>
      <c r="N811" t="s">
        <v>2813</v>
      </c>
      <c r="O811" t="s">
        <v>1441</v>
      </c>
      <c r="P811" t="s">
        <v>2833</v>
      </c>
      <c r="Q811" t="s">
        <v>1443</v>
      </c>
      <c r="R811" t="s">
        <v>2834</v>
      </c>
      <c r="S811" t="s">
        <v>2835</v>
      </c>
    </row>
    <row r="812" spans="1:19">
      <c r="A812" t="s">
        <v>4431</v>
      </c>
      <c r="B812" t="s">
        <v>787</v>
      </c>
      <c r="C812" t="s">
        <v>3607</v>
      </c>
      <c r="D812" t="s">
        <v>1415</v>
      </c>
      <c r="E812" t="s">
        <v>2836</v>
      </c>
      <c r="F812" t="s">
        <v>2836</v>
      </c>
      <c r="J812" t="s">
        <v>37</v>
      </c>
      <c r="K812" t="s">
        <v>3220</v>
      </c>
      <c r="L812">
        <v>5</v>
      </c>
      <c r="M812">
        <v>3</v>
      </c>
      <c r="N812" t="s">
        <v>2813</v>
      </c>
      <c r="O812" t="s">
        <v>1513</v>
      </c>
      <c r="P812" t="s">
        <v>2837</v>
      </c>
      <c r="Q812" t="s">
        <v>1513</v>
      </c>
      <c r="R812" t="s">
        <v>2838</v>
      </c>
      <c r="S812" t="s">
        <v>2839</v>
      </c>
    </row>
    <row r="813" spans="1:19">
      <c r="A813" t="s">
        <v>7292</v>
      </c>
      <c r="B813" t="s">
        <v>6564</v>
      </c>
      <c r="C813" t="s">
        <v>3968</v>
      </c>
      <c r="D813">
        <v>295</v>
      </c>
      <c r="E813" t="s">
        <v>1554</v>
      </c>
      <c r="F813">
        <v>4</v>
      </c>
      <c r="J813" t="s">
        <v>37</v>
      </c>
      <c r="K813" t="s">
        <v>7373</v>
      </c>
      <c r="L813">
        <v>3</v>
      </c>
      <c r="M813">
        <v>1</v>
      </c>
      <c r="N813" t="s">
        <v>2791</v>
      </c>
      <c r="O813" t="s">
        <v>1447</v>
      </c>
      <c r="P813" t="s">
        <v>5244</v>
      </c>
      <c r="Q813" t="s">
        <v>1443</v>
      </c>
      <c r="R813" t="s">
        <v>1444</v>
      </c>
      <c r="S813" t="s">
        <v>6565</v>
      </c>
    </row>
    <row r="814" spans="1:19">
      <c r="A814" t="s">
        <v>7293</v>
      </c>
      <c r="B814" t="s">
        <v>6566</v>
      </c>
      <c r="C814" t="s">
        <v>3968</v>
      </c>
      <c r="D814">
        <v>296</v>
      </c>
      <c r="E814" t="s">
        <v>1541</v>
      </c>
      <c r="F814">
        <v>5</v>
      </c>
      <c r="J814" t="s">
        <v>37</v>
      </c>
      <c r="K814" t="s">
        <v>7373</v>
      </c>
      <c r="L814">
        <v>3</v>
      </c>
      <c r="M814">
        <v>1</v>
      </c>
      <c r="N814" t="s">
        <v>2791</v>
      </c>
      <c r="O814" t="s">
        <v>1441</v>
      </c>
      <c r="P814" t="s">
        <v>6037</v>
      </c>
      <c r="Q814" t="s">
        <v>1443</v>
      </c>
      <c r="R814" t="s">
        <v>1444</v>
      </c>
      <c r="S814" t="s">
        <v>6567</v>
      </c>
    </row>
    <row r="815" spans="1:19">
      <c r="A815" t="s">
        <v>7294</v>
      </c>
      <c r="B815" t="s">
        <v>6568</v>
      </c>
      <c r="C815" t="s">
        <v>3968</v>
      </c>
      <c r="D815">
        <v>296</v>
      </c>
      <c r="E815" t="s">
        <v>1450</v>
      </c>
      <c r="F815">
        <v>3</v>
      </c>
      <c r="J815" t="s">
        <v>37</v>
      </c>
      <c r="K815" t="s">
        <v>7373</v>
      </c>
      <c r="L815">
        <v>3</v>
      </c>
      <c r="M815">
        <v>2</v>
      </c>
      <c r="N815" t="s">
        <v>2869</v>
      </c>
      <c r="O815" t="s">
        <v>1441</v>
      </c>
      <c r="P815" t="s">
        <v>5202</v>
      </c>
      <c r="Q815" t="s">
        <v>1443</v>
      </c>
      <c r="R815" t="s">
        <v>1444</v>
      </c>
      <c r="S815" t="s">
        <v>6569</v>
      </c>
    </row>
    <row r="816" spans="1:19">
      <c r="A816" t="s">
        <v>7295</v>
      </c>
      <c r="B816" t="s">
        <v>6570</v>
      </c>
      <c r="C816" t="s">
        <v>3968</v>
      </c>
      <c r="D816">
        <v>296</v>
      </c>
      <c r="E816" t="s">
        <v>1554</v>
      </c>
      <c r="F816">
        <v>4</v>
      </c>
      <c r="J816" t="s">
        <v>37</v>
      </c>
      <c r="K816" t="s">
        <v>7373</v>
      </c>
      <c r="L816">
        <v>4</v>
      </c>
      <c r="M816">
        <v>2</v>
      </c>
      <c r="N816" t="s">
        <v>2801</v>
      </c>
      <c r="O816" t="s">
        <v>1441</v>
      </c>
      <c r="P816" t="s">
        <v>5263</v>
      </c>
      <c r="Q816" t="s">
        <v>1443</v>
      </c>
      <c r="R816" t="s">
        <v>6564</v>
      </c>
      <c r="S816" t="s">
        <v>6571</v>
      </c>
    </row>
    <row r="817" spans="1:19">
      <c r="A817" t="s">
        <v>7296</v>
      </c>
      <c r="B817" t="s">
        <v>6572</v>
      </c>
      <c r="C817" t="s">
        <v>3968</v>
      </c>
      <c r="D817">
        <v>296</v>
      </c>
      <c r="E817" t="s">
        <v>1945</v>
      </c>
      <c r="F817">
        <v>10</v>
      </c>
      <c r="J817" t="s">
        <v>37</v>
      </c>
      <c r="K817" t="s">
        <v>7373</v>
      </c>
      <c r="L817">
        <v>4</v>
      </c>
      <c r="M817">
        <v>2</v>
      </c>
      <c r="N817" t="s">
        <v>2801</v>
      </c>
      <c r="O817" t="s">
        <v>1457</v>
      </c>
      <c r="P817" t="s">
        <v>6573</v>
      </c>
      <c r="Q817" t="s">
        <v>1473</v>
      </c>
      <c r="R817" t="s">
        <v>6574</v>
      </c>
      <c r="S817" t="s">
        <v>6575</v>
      </c>
    </row>
    <row r="818" spans="1:19">
      <c r="A818" t="s">
        <v>7297</v>
      </c>
      <c r="B818" t="s">
        <v>6576</v>
      </c>
      <c r="C818" t="s">
        <v>3968</v>
      </c>
      <c r="D818">
        <v>296</v>
      </c>
      <c r="E818" t="s">
        <v>2269</v>
      </c>
      <c r="F818">
        <v>4</v>
      </c>
      <c r="H818" t="s">
        <v>2269</v>
      </c>
      <c r="J818" t="s">
        <v>37</v>
      </c>
      <c r="K818" t="s">
        <v>7373</v>
      </c>
      <c r="L818">
        <v>4</v>
      </c>
      <c r="M818">
        <v>2</v>
      </c>
      <c r="N818" t="s">
        <v>2801</v>
      </c>
      <c r="O818" t="s">
        <v>1447</v>
      </c>
      <c r="P818" t="s">
        <v>5244</v>
      </c>
      <c r="Q818" t="s">
        <v>1443</v>
      </c>
      <c r="R818" t="s">
        <v>6572</v>
      </c>
      <c r="S818" t="s">
        <v>6577</v>
      </c>
    </row>
    <row r="819" spans="1:19">
      <c r="A819" t="s">
        <v>7298</v>
      </c>
      <c r="B819" t="s">
        <v>6578</v>
      </c>
      <c r="C819" t="s">
        <v>3968</v>
      </c>
      <c r="D819">
        <v>296</v>
      </c>
      <c r="E819" t="s">
        <v>6579</v>
      </c>
      <c r="F819">
        <v>5</v>
      </c>
      <c r="G819">
        <v>1</v>
      </c>
      <c r="H819" t="s">
        <v>6580</v>
      </c>
      <c r="J819" t="s">
        <v>37</v>
      </c>
      <c r="K819" t="s">
        <v>7373</v>
      </c>
      <c r="L819">
        <v>5</v>
      </c>
      <c r="M819">
        <v>3</v>
      </c>
      <c r="N819" t="s">
        <v>2813</v>
      </c>
      <c r="O819" t="s">
        <v>1447</v>
      </c>
      <c r="P819" t="s">
        <v>6581</v>
      </c>
      <c r="Q819" t="s">
        <v>1443</v>
      </c>
      <c r="R819" t="s">
        <v>6572</v>
      </c>
      <c r="S819" t="s">
        <v>6582</v>
      </c>
    </row>
    <row r="820" spans="1:19">
      <c r="A820" t="s">
        <v>7299</v>
      </c>
      <c r="B820" t="s">
        <v>6583</v>
      </c>
      <c r="C820" t="s">
        <v>3968</v>
      </c>
      <c r="D820">
        <v>297</v>
      </c>
      <c r="E820" t="s">
        <v>1467</v>
      </c>
      <c r="F820">
        <v>5</v>
      </c>
      <c r="G820">
        <v>1</v>
      </c>
      <c r="J820" t="s">
        <v>37</v>
      </c>
      <c r="K820" t="s">
        <v>7373</v>
      </c>
      <c r="L820">
        <v>5</v>
      </c>
      <c r="M820">
        <v>3</v>
      </c>
      <c r="N820" t="s">
        <v>2813</v>
      </c>
      <c r="O820" t="s">
        <v>1441</v>
      </c>
      <c r="P820" t="s">
        <v>5202</v>
      </c>
      <c r="Q820" t="s">
        <v>1443</v>
      </c>
      <c r="R820" t="s">
        <v>6576</v>
      </c>
      <c r="S820" t="s">
        <v>6584</v>
      </c>
    </row>
    <row r="821" spans="1:19">
      <c r="A821" t="s">
        <v>7300</v>
      </c>
      <c r="B821" t="s">
        <v>6585</v>
      </c>
      <c r="C821" t="s">
        <v>3968</v>
      </c>
      <c r="D821">
        <v>297</v>
      </c>
      <c r="E821" t="s">
        <v>1543</v>
      </c>
      <c r="F821">
        <v>7</v>
      </c>
      <c r="G821">
        <v>1</v>
      </c>
      <c r="J821" t="s">
        <v>37</v>
      </c>
      <c r="K821" t="s">
        <v>7373</v>
      </c>
      <c r="L821">
        <v>5</v>
      </c>
      <c r="M821">
        <v>3</v>
      </c>
      <c r="N821" t="s">
        <v>2813</v>
      </c>
      <c r="O821" t="s">
        <v>1457</v>
      </c>
      <c r="P821" t="s">
        <v>5202</v>
      </c>
      <c r="Q821" t="s">
        <v>1443</v>
      </c>
      <c r="R821" t="s">
        <v>6576</v>
      </c>
      <c r="S821" t="s">
        <v>6586</v>
      </c>
    </row>
    <row r="822" spans="1:19">
      <c r="A822" t="s">
        <v>7301</v>
      </c>
      <c r="B822" t="s">
        <v>6587</v>
      </c>
      <c r="C822" t="s">
        <v>3968</v>
      </c>
      <c r="D822">
        <v>297</v>
      </c>
      <c r="E822" t="s">
        <v>5216</v>
      </c>
      <c r="F822">
        <v>5</v>
      </c>
      <c r="G822">
        <v>1</v>
      </c>
      <c r="H822" t="s">
        <v>5121</v>
      </c>
      <c r="J822" t="s">
        <v>37</v>
      </c>
      <c r="K822" t="s">
        <v>7373</v>
      </c>
      <c r="L822">
        <v>5</v>
      </c>
      <c r="M822">
        <v>4</v>
      </c>
      <c r="N822" t="s">
        <v>2901</v>
      </c>
      <c r="O822" t="s">
        <v>1457</v>
      </c>
      <c r="P822" t="s">
        <v>6434</v>
      </c>
      <c r="Q822" t="s">
        <v>1443</v>
      </c>
      <c r="R822" t="s">
        <v>6585</v>
      </c>
      <c r="S822" t="s">
        <v>6588</v>
      </c>
    </row>
    <row r="823" spans="1:19">
      <c r="A823" t="s">
        <v>7302</v>
      </c>
      <c r="B823" t="s">
        <v>6589</v>
      </c>
      <c r="C823" t="s">
        <v>3968</v>
      </c>
      <c r="D823">
        <v>297</v>
      </c>
      <c r="E823" t="s">
        <v>1495</v>
      </c>
      <c r="F823">
        <v>6</v>
      </c>
      <c r="G823">
        <v>1</v>
      </c>
      <c r="H823" t="s">
        <v>2434</v>
      </c>
      <c r="J823" t="s">
        <v>37</v>
      </c>
      <c r="K823" t="s">
        <v>7373</v>
      </c>
      <c r="L823">
        <v>5</v>
      </c>
      <c r="M823">
        <v>4</v>
      </c>
      <c r="N823" t="s">
        <v>2901</v>
      </c>
      <c r="O823" t="s">
        <v>1457</v>
      </c>
      <c r="P823" t="s">
        <v>5244</v>
      </c>
      <c r="Q823" t="s">
        <v>1473</v>
      </c>
      <c r="R823" t="s">
        <v>6583</v>
      </c>
      <c r="S823" t="s">
        <v>6590</v>
      </c>
    </row>
    <row r="824" spans="1:19">
      <c r="A824" t="s">
        <v>7303</v>
      </c>
      <c r="B824" t="s">
        <v>6591</v>
      </c>
      <c r="C824" t="s">
        <v>3968</v>
      </c>
      <c r="D824">
        <v>297</v>
      </c>
      <c r="E824" t="s">
        <v>6592</v>
      </c>
      <c r="F824">
        <v>10</v>
      </c>
      <c r="G824">
        <v>1</v>
      </c>
      <c r="J824" t="s">
        <v>37</v>
      </c>
      <c r="K824" t="s">
        <v>7373</v>
      </c>
      <c r="L824">
        <v>5</v>
      </c>
      <c r="M824">
        <v>5</v>
      </c>
      <c r="N824" t="s">
        <v>6492</v>
      </c>
      <c r="O824" t="s">
        <v>1457</v>
      </c>
      <c r="P824" t="s">
        <v>5202</v>
      </c>
      <c r="Q824" t="s">
        <v>1443</v>
      </c>
      <c r="R824" t="s">
        <v>6593</v>
      </c>
      <c r="S824" t="s">
        <v>6594</v>
      </c>
    </row>
    <row r="825" spans="1:19">
      <c r="A825" t="s">
        <v>7334</v>
      </c>
      <c r="B825" t="s">
        <v>6669</v>
      </c>
      <c r="C825" t="s">
        <v>3968</v>
      </c>
      <c r="D825">
        <v>306</v>
      </c>
      <c r="E825" t="s">
        <v>1554</v>
      </c>
      <c r="F825">
        <v>4</v>
      </c>
      <c r="J825" t="s">
        <v>37</v>
      </c>
      <c r="K825" t="s">
        <v>7374</v>
      </c>
      <c r="L825">
        <v>2</v>
      </c>
      <c r="M825">
        <v>1</v>
      </c>
      <c r="N825" t="s">
        <v>2788</v>
      </c>
      <c r="O825" t="s">
        <v>1447</v>
      </c>
      <c r="P825" t="s">
        <v>2736</v>
      </c>
      <c r="Q825" t="s">
        <v>1443</v>
      </c>
      <c r="R825" t="s">
        <v>1444</v>
      </c>
      <c r="S825" t="s">
        <v>6671</v>
      </c>
    </row>
    <row r="826" spans="1:19">
      <c r="A826" t="s">
        <v>7333</v>
      </c>
      <c r="B826" t="s">
        <v>6668</v>
      </c>
      <c r="C826" t="s">
        <v>3968</v>
      </c>
      <c r="D826">
        <v>306</v>
      </c>
      <c r="E826" t="s">
        <v>1924</v>
      </c>
      <c r="F826">
        <v>2</v>
      </c>
      <c r="G826">
        <v>1</v>
      </c>
      <c r="J826" t="s">
        <v>37</v>
      </c>
      <c r="K826" t="s">
        <v>7374</v>
      </c>
      <c r="L826">
        <v>3</v>
      </c>
      <c r="M826">
        <v>1</v>
      </c>
      <c r="N826" t="s">
        <v>2791</v>
      </c>
      <c r="O826" t="s">
        <v>1447</v>
      </c>
      <c r="P826" t="s">
        <v>2789</v>
      </c>
      <c r="Q826" t="s">
        <v>1443</v>
      </c>
      <c r="R826" t="s">
        <v>6669</v>
      </c>
      <c r="S826" t="s">
        <v>6670</v>
      </c>
    </row>
    <row r="827" spans="1:19">
      <c r="A827" t="s">
        <v>7335</v>
      </c>
      <c r="B827" t="s">
        <v>6672</v>
      </c>
      <c r="C827" t="s">
        <v>3968</v>
      </c>
      <c r="D827">
        <v>306</v>
      </c>
      <c r="E827" t="s">
        <v>1486</v>
      </c>
      <c r="F827">
        <v>3</v>
      </c>
      <c r="H827" t="s">
        <v>2434</v>
      </c>
      <c r="J827" t="s">
        <v>37</v>
      </c>
      <c r="K827" t="s">
        <v>7374</v>
      </c>
      <c r="L827">
        <v>3</v>
      </c>
      <c r="M827">
        <v>1</v>
      </c>
      <c r="N827" t="s">
        <v>2791</v>
      </c>
      <c r="O827" t="s">
        <v>1441</v>
      </c>
      <c r="P827" t="s">
        <v>6673</v>
      </c>
      <c r="Q827" t="s">
        <v>1443</v>
      </c>
      <c r="R827" t="s">
        <v>1444</v>
      </c>
      <c r="S827" t="s">
        <v>6674</v>
      </c>
    </row>
    <row r="828" spans="1:19">
      <c r="A828" t="s">
        <v>7336</v>
      </c>
      <c r="B828" t="s">
        <v>6675</v>
      </c>
      <c r="C828" t="s">
        <v>3968</v>
      </c>
      <c r="D828">
        <v>308</v>
      </c>
      <c r="E828" t="s">
        <v>1482</v>
      </c>
      <c r="F828">
        <v>7</v>
      </c>
      <c r="J828" t="s">
        <v>37</v>
      </c>
      <c r="K828" t="s">
        <v>7374</v>
      </c>
      <c r="L828">
        <v>4</v>
      </c>
      <c r="M828">
        <v>1</v>
      </c>
      <c r="N828" t="s">
        <v>2794</v>
      </c>
      <c r="O828" t="s">
        <v>1457</v>
      </c>
      <c r="P828" t="s">
        <v>2877</v>
      </c>
      <c r="Q828" t="s">
        <v>1473</v>
      </c>
      <c r="R828" t="s">
        <v>6676</v>
      </c>
      <c r="S828" t="s">
        <v>6677</v>
      </c>
    </row>
    <row r="829" spans="1:19">
      <c r="A829" t="s">
        <v>7337</v>
      </c>
      <c r="B829" t="s">
        <v>6678</v>
      </c>
      <c r="C829" t="s">
        <v>3968</v>
      </c>
      <c r="D829">
        <v>307</v>
      </c>
      <c r="E829" t="s">
        <v>1554</v>
      </c>
      <c r="F829">
        <v>4</v>
      </c>
      <c r="J829" t="s">
        <v>37</v>
      </c>
      <c r="K829" t="s">
        <v>7374</v>
      </c>
      <c r="L829">
        <v>4</v>
      </c>
      <c r="M829">
        <v>2</v>
      </c>
      <c r="N829" t="s">
        <v>2801</v>
      </c>
      <c r="O829" t="s">
        <v>1441</v>
      </c>
      <c r="P829" t="s">
        <v>6679</v>
      </c>
      <c r="Q829" t="s">
        <v>1443</v>
      </c>
      <c r="R829" t="s">
        <v>6675</v>
      </c>
      <c r="S829" t="s">
        <v>6680</v>
      </c>
    </row>
    <row r="830" spans="1:19">
      <c r="A830" t="s">
        <v>7339</v>
      </c>
      <c r="B830" t="s">
        <v>6684</v>
      </c>
      <c r="C830" t="s">
        <v>3968</v>
      </c>
      <c r="D830">
        <v>307</v>
      </c>
      <c r="E830" t="s">
        <v>1486</v>
      </c>
      <c r="F830">
        <v>3</v>
      </c>
      <c r="H830" t="s">
        <v>2434</v>
      </c>
      <c r="J830" t="s">
        <v>37</v>
      </c>
      <c r="K830" t="s">
        <v>7374</v>
      </c>
      <c r="L830">
        <v>4</v>
      </c>
      <c r="M830">
        <v>2</v>
      </c>
      <c r="N830" t="s">
        <v>2801</v>
      </c>
      <c r="O830" t="s">
        <v>1441</v>
      </c>
      <c r="P830" t="s">
        <v>2841</v>
      </c>
      <c r="Q830" t="s">
        <v>1443</v>
      </c>
      <c r="R830" t="s">
        <v>6675</v>
      </c>
      <c r="S830" t="s">
        <v>6685</v>
      </c>
    </row>
    <row r="831" spans="1:19">
      <c r="A831" t="s">
        <v>7338</v>
      </c>
      <c r="B831" t="s">
        <v>6681</v>
      </c>
      <c r="C831" t="s">
        <v>3968</v>
      </c>
      <c r="D831">
        <v>307</v>
      </c>
      <c r="E831" t="s">
        <v>1467</v>
      </c>
      <c r="F831">
        <v>5</v>
      </c>
      <c r="G831">
        <v>1</v>
      </c>
      <c r="J831" t="s">
        <v>37</v>
      </c>
      <c r="K831" t="s">
        <v>7374</v>
      </c>
      <c r="L831">
        <v>5</v>
      </c>
      <c r="M831">
        <v>2</v>
      </c>
      <c r="N831" t="s">
        <v>2798</v>
      </c>
      <c r="O831" t="s">
        <v>1457</v>
      </c>
      <c r="P831" t="s">
        <v>6682</v>
      </c>
      <c r="Q831" t="s">
        <v>1443</v>
      </c>
      <c r="R831" t="s">
        <v>6678</v>
      </c>
      <c r="S831" t="s">
        <v>6683</v>
      </c>
    </row>
    <row r="832" spans="1:19">
      <c r="A832" t="s">
        <v>7340</v>
      </c>
      <c r="B832" t="s">
        <v>6686</v>
      </c>
      <c r="C832" t="s">
        <v>3968</v>
      </c>
      <c r="D832">
        <v>308</v>
      </c>
      <c r="E832" t="s">
        <v>6687</v>
      </c>
      <c r="F832">
        <v>5</v>
      </c>
      <c r="G832">
        <v>1</v>
      </c>
      <c r="H832" t="s">
        <v>2269</v>
      </c>
      <c r="J832" t="s">
        <v>37</v>
      </c>
      <c r="K832" t="s">
        <v>7374</v>
      </c>
      <c r="L832">
        <v>5</v>
      </c>
      <c r="M832">
        <v>2</v>
      </c>
      <c r="N832" t="s">
        <v>2798</v>
      </c>
      <c r="O832" t="s">
        <v>1457</v>
      </c>
      <c r="P832" t="s">
        <v>2736</v>
      </c>
      <c r="Q832" t="s">
        <v>1443</v>
      </c>
      <c r="R832" t="s">
        <v>6688</v>
      </c>
      <c r="S832" t="s">
        <v>6689</v>
      </c>
    </row>
    <row r="833" spans="1:19">
      <c r="A833" t="s">
        <v>7341</v>
      </c>
      <c r="B833" t="s">
        <v>6690</v>
      </c>
      <c r="C833" t="s">
        <v>3968</v>
      </c>
      <c r="D833">
        <v>308</v>
      </c>
      <c r="E833" t="s">
        <v>6691</v>
      </c>
      <c r="F833">
        <v>6</v>
      </c>
      <c r="G833">
        <v>1</v>
      </c>
      <c r="H833" t="s">
        <v>6526</v>
      </c>
      <c r="J833" t="s">
        <v>37</v>
      </c>
      <c r="K833" t="s">
        <v>7374</v>
      </c>
      <c r="L833">
        <v>5</v>
      </c>
      <c r="M833">
        <v>3</v>
      </c>
      <c r="N833" t="s">
        <v>2813</v>
      </c>
      <c r="O833" t="s">
        <v>1457</v>
      </c>
      <c r="P833" t="s">
        <v>6692</v>
      </c>
      <c r="Q833" t="s">
        <v>1443</v>
      </c>
      <c r="R833" t="s">
        <v>6686</v>
      </c>
      <c r="S833" t="s">
        <v>6693</v>
      </c>
    </row>
    <row r="834" spans="1:19">
      <c r="A834" t="s">
        <v>7342</v>
      </c>
      <c r="B834" t="s">
        <v>6694</v>
      </c>
      <c r="C834" t="s">
        <v>3968</v>
      </c>
      <c r="D834">
        <v>308</v>
      </c>
      <c r="E834" t="s">
        <v>6695</v>
      </c>
      <c r="F834">
        <v>10</v>
      </c>
      <c r="G834">
        <v>1</v>
      </c>
      <c r="H834" t="s">
        <v>6696</v>
      </c>
      <c r="J834" t="s">
        <v>37</v>
      </c>
      <c r="K834" t="s">
        <v>7374</v>
      </c>
      <c r="L834">
        <v>5</v>
      </c>
      <c r="M834">
        <v>3</v>
      </c>
      <c r="N834" t="s">
        <v>2813</v>
      </c>
      <c r="O834" t="s">
        <v>1457</v>
      </c>
      <c r="P834" t="s">
        <v>6697</v>
      </c>
      <c r="Q834" t="s">
        <v>1443</v>
      </c>
      <c r="R834" t="s">
        <v>6690</v>
      </c>
      <c r="S834" t="s">
        <v>6698</v>
      </c>
    </row>
    <row r="835" spans="1:19">
      <c r="A835" t="s">
        <v>4441</v>
      </c>
      <c r="B835" t="s">
        <v>822</v>
      </c>
      <c r="C835" t="s">
        <v>3607</v>
      </c>
      <c r="D835" t="s">
        <v>1416</v>
      </c>
      <c r="E835" t="s">
        <v>1541</v>
      </c>
      <c r="F835">
        <v>5</v>
      </c>
      <c r="J835" t="s">
        <v>37</v>
      </c>
      <c r="K835" t="s">
        <v>7375</v>
      </c>
      <c r="L835">
        <v>3</v>
      </c>
      <c r="M835">
        <v>1</v>
      </c>
      <c r="N835" t="s">
        <v>2791</v>
      </c>
      <c r="O835" t="s">
        <v>1441</v>
      </c>
      <c r="P835" t="s">
        <v>1463</v>
      </c>
      <c r="Q835" t="s">
        <v>1443</v>
      </c>
      <c r="R835" t="s">
        <v>1444</v>
      </c>
      <c r="S835" t="s">
        <v>2860</v>
      </c>
    </row>
    <row r="836" spans="1:19">
      <c r="A836" t="s">
        <v>4442</v>
      </c>
      <c r="B836" t="s">
        <v>851</v>
      </c>
      <c r="C836" t="s">
        <v>3607</v>
      </c>
      <c r="D836" t="s">
        <v>1416</v>
      </c>
      <c r="E836" t="s">
        <v>2861</v>
      </c>
      <c r="F836">
        <v>4</v>
      </c>
      <c r="H836" t="s">
        <v>2420</v>
      </c>
      <c r="J836" t="s">
        <v>37</v>
      </c>
      <c r="K836" t="s">
        <v>7375</v>
      </c>
      <c r="L836">
        <v>3</v>
      </c>
      <c r="M836">
        <v>1</v>
      </c>
      <c r="N836" t="s">
        <v>2791</v>
      </c>
      <c r="O836" t="s">
        <v>1447</v>
      </c>
      <c r="P836" t="s">
        <v>2789</v>
      </c>
      <c r="Q836" t="s">
        <v>1443</v>
      </c>
      <c r="R836" t="s">
        <v>1444</v>
      </c>
      <c r="S836" t="s">
        <v>2862</v>
      </c>
    </row>
    <row r="837" spans="1:19">
      <c r="A837" t="s">
        <v>4447</v>
      </c>
      <c r="B837" t="s">
        <v>826</v>
      </c>
      <c r="C837" t="s">
        <v>3607</v>
      </c>
      <c r="D837" t="s">
        <v>1416</v>
      </c>
      <c r="E837" t="s">
        <v>1460</v>
      </c>
      <c r="F837">
        <v>2</v>
      </c>
      <c r="J837" t="s">
        <v>37</v>
      </c>
      <c r="K837" t="s">
        <v>7375</v>
      </c>
      <c r="L837">
        <v>3</v>
      </c>
      <c r="M837">
        <v>2</v>
      </c>
      <c r="N837" t="s">
        <v>2869</v>
      </c>
      <c r="O837" t="s">
        <v>1447</v>
      </c>
      <c r="P837" t="s">
        <v>2789</v>
      </c>
      <c r="Q837" t="s">
        <v>1443</v>
      </c>
      <c r="R837" t="s">
        <v>885</v>
      </c>
      <c r="S837" t="s">
        <v>2870</v>
      </c>
    </row>
    <row r="838" spans="1:19">
      <c r="A838" t="s">
        <v>4443</v>
      </c>
      <c r="B838" t="s">
        <v>885</v>
      </c>
      <c r="C838" t="s">
        <v>3607</v>
      </c>
      <c r="D838" t="s">
        <v>1416</v>
      </c>
      <c r="E838" t="s">
        <v>1692</v>
      </c>
      <c r="F838">
        <v>8</v>
      </c>
      <c r="J838" t="s">
        <v>37</v>
      </c>
      <c r="K838" t="s">
        <v>7375</v>
      </c>
      <c r="L838">
        <v>4</v>
      </c>
      <c r="M838">
        <v>1</v>
      </c>
      <c r="N838" t="s">
        <v>2794</v>
      </c>
      <c r="O838" t="s">
        <v>1457</v>
      </c>
      <c r="P838" t="s">
        <v>2795</v>
      </c>
      <c r="Q838" t="s">
        <v>1473</v>
      </c>
      <c r="R838" t="s">
        <v>2863</v>
      </c>
      <c r="S838" t="s">
        <v>2864</v>
      </c>
    </row>
    <row r="839" spans="1:19">
      <c r="A839" t="s">
        <v>4444</v>
      </c>
      <c r="B839" t="s">
        <v>793</v>
      </c>
      <c r="C839" t="s">
        <v>3607</v>
      </c>
      <c r="D839" t="s">
        <v>1416</v>
      </c>
      <c r="E839" t="s">
        <v>1541</v>
      </c>
      <c r="F839">
        <v>5</v>
      </c>
      <c r="J839" t="s">
        <v>37</v>
      </c>
      <c r="K839" t="s">
        <v>7375</v>
      </c>
      <c r="L839">
        <v>4</v>
      </c>
      <c r="M839">
        <v>2</v>
      </c>
      <c r="N839" t="s">
        <v>2801</v>
      </c>
      <c r="O839" t="s">
        <v>1441</v>
      </c>
      <c r="P839" t="s">
        <v>2865</v>
      </c>
      <c r="Q839" t="s">
        <v>1443</v>
      </c>
      <c r="R839" t="s">
        <v>885</v>
      </c>
      <c r="S839" t="s">
        <v>2866</v>
      </c>
    </row>
    <row r="840" spans="1:19">
      <c r="A840" t="s">
        <v>4448</v>
      </c>
      <c r="B840" t="s">
        <v>837</v>
      </c>
      <c r="C840" t="s">
        <v>3607</v>
      </c>
      <c r="D840" t="s">
        <v>1416</v>
      </c>
      <c r="E840" t="s">
        <v>1456</v>
      </c>
      <c r="F840">
        <v>4</v>
      </c>
      <c r="G840">
        <v>1</v>
      </c>
      <c r="J840" t="s">
        <v>37</v>
      </c>
      <c r="K840" t="s">
        <v>7375</v>
      </c>
      <c r="L840">
        <v>4</v>
      </c>
      <c r="M840">
        <v>2</v>
      </c>
      <c r="N840" t="s">
        <v>2801</v>
      </c>
      <c r="O840" t="s">
        <v>1447</v>
      </c>
      <c r="P840" t="s">
        <v>1444</v>
      </c>
      <c r="Q840" t="s">
        <v>1473</v>
      </c>
      <c r="R840" t="s">
        <v>826</v>
      </c>
      <c r="S840" t="s">
        <v>2871</v>
      </c>
    </row>
    <row r="841" spans="1:19">
      <c r="A841" t="s">
        <v>4445</v>
      </c>
      <c r="B841" t="s">
        <v>831</v>
      </c>
      <c r="C841" t="s">
        <v>3607</v>
      </c>
      <c r="D841" t="s">
        <v>1416</v>
      </c>
      <c r="E841" t="s">
        <v>1476</v>
      </c>
      <c r="F841">
        <v>3</v>
      </c>
      <c r="G841">
        <v>1</v>
      </c>
      <c r="J841" t="s">
        <v>37</v>
      </c>
      <c r="K841" t="s">
        <v>7375</v>
      </c>
      <c r="L841">
        <v>5</v>
      </c>
      <c r="M841">
        <v>2</v>
      </c>
      <c r="N841" t="s">
        <v>2798</v>
      </c>
      <c r="O841" t="s">
        <v>1441</v>
      </c>
      <c r="P841" t="s">
        <v>1463</v>
      </c>
      <c r="Q841" t="s">
        <v>1443</v>
      </c>
      <c r="R841" t="s">
        <v>793</v>
      </c>
      <c r="S841" t="s">
        <v>2867</v>
      </c>
    </row>
    <row r="842" spans="1:19">
      <c r="A842" t="s">
        <v>4446</v>
      </c>
      <c r="B842" t="s">
        <v>819</v>
      </c>
      <c r="C842" t="s">
        <v>3607</v>
      </c>
      <c r="D842" t="s">
        <v>1416</v>
      </c>
      <c r="E842" t="s">
        <v>1599</v>
      </c>
      <c r="F842">
        <v>10</v>
      </c>
      <c r="G842">
        <v>1</v>
      </c>
      <c r="J842" t="s">
        <v>37</v>
      </c>
      <c r="K842" t="s">
        <v>7375</v>
      </c>
      <c r="L842">
        <v>5</v>
      </c>
      <c r="M842">
        <v>3</v>
      </c>
      <c r="N842" t="s">
        <v>2813</v>
      </c>
      <c r="O842" t="s">
        <v>1457</v>
      </c>
      <c r="P842" t="s">
        <v>2799</v>
      </c>
      <c r="Q842" t="s">
        <v>1443</v>
      </c>
      <c r="R842" t="s">
        <v>885</v>
      </c>
      <c r="S842" t="s">
        <v>2868</v>
      </c>
    </row>
    <row r="843" spans="1:19">
      <c r="A843" t="s">
        <v>4449</v>
      </c>
      <c r="B843" t="s">
        <v>865</v>
      </c>
      <c r="C843" t="s">
        <v>3607</v>
      </c>
      <c r="D843" t="s">
        <v>1416</v>
      </c>
      <c r="E843" t="s">
        <v>2872</v>
      </c>
      <c r="F843" t="s">
        <v>2872</v>
      </c>
      <c r="J843" t="s">
        <v>37</v>
      </c>
      <c r="K843" t="s">
        <v>7375</v>
      </c>
      <c r="L843">
        <v>5</v>
      </c>
      <c r="M843">
        <v>3</v>
      </c>
      <c r="N843" t="s">
        <v>2813</v>
      </c>
      <c r="O843" t="s">
        <v>1513</v>
      </c>
      <c r="P843" t="s">
        <v>2804</v>
      </c>
      <c r="Q843" t="s">
        <v>1513</v>
      </c>
      <c r="R843" t="s">
        <v>2873</v>
      </c>
      <c r="S843" t="s">
        <v>3717</v>
      </c>
    </row>
    <row r="844" spans="1:19">
      <c r="A844" t="s">
        <v>7304</v>
      </c>
      <c r="B844" t="s">
        <v>6595</v>
      </c>
      <c r="C844" t="s">
        <v>3968</v>
      </c>
      <c r="D844">
        <v>298</v>
      </c>
      <c r="E844" t="s">
        <v>1541</v>
      </c>
      <c r="F844">
        <v>5</v>
      </c>
      <c r="J844" t="s">
        <v>37</v>
      </c>
      <c r="K844" t="s">
        <v>7376</v>
      </c>
      <c r="L844">
        <v>2</v>
      </c>
      <c r="M844">
        <v>1</v>
      </c>
      <c r="N844" t="s">
        <v>2788</v>
      </c>
      <c r="O844" t="s">
        <v>1447</v>
      </c>
      <c r="P844" t="s">
        <v>5189</v>
      </c>
      <c r="Q844" t="s">
        <v>1443</v>
      </c>
      <c r="R844" t="s">
        <v>1444</v>
      </c>
      <c r="S844" t="s">
        <v>6596</v>
      </c>
    </row>
    <row r="845" spans="1:19">
      <c r="A845" t="s">
        <v>7305</v>
      </c>
      <c r="B845" t="s">
        <v>6597</v>
      </c>
      <c r="C845" t="s">
        <v>3968</v>
      </c>
      <c r="D845">
        <v>298</v>
      </c>
      <c r="E845" t="s">
        <v>1554</v>
      </c>
      <c r="F845">
        <v>4</v>
      </c>
      <c r="J845" t="s">
        <v>37</v>
      </c>
      <c r="K845" t="s">
        <v>7376</v>
      </c>
      <c r="L845">
        <v>3</v>
      </c>
      <c r="M845">
        <v>1</v>
      </c>
      <c r="N845" t="s">
        <v>2791</v>
      </c>
      <c r="O845" t="s">
        <v>1441</v>
      </c>
      <c r="P845" t="s">
        <v>6598</v>
      </c>
      <c r="Q845" t="s">
        <v>1443</v>
      </c>
      <c r="R845" t="s">
        <v>1444</v>
      </c>
      <c r="S845" t="s">
        <v>6599</v>
      </c>
    </row>
    <row r="846" spans="1:19">
      <c r="A846" t="s">
        <v>7306</v>
      </c>
      <c r="B846" t="s">
        <v>6600</v>
      </c>
      <c r="C846" t="s">
        <v>3968</v>
      </c>
      <c r="D846">
        <v>298</v>
      </c>
      <c r="E846" t="s">
        <v>1467</v>
      </c>
      <c r="F846">
        <v>5</v>
      </c>
      <c r="G846">
        <v>1</v>
      </c>
      <c r="J846" t="s">
        <v>37</v>
      </c>
      <c r="K846" t="s">
        <v>7376</v>
      </c>
      <c r="L846">
        <v>3</v>
      </c>
      <c r="M846">
        <v>2</v>
      </c>
      <c r="N846" t="s">
        <v>2869</v>
      </c>
      <c r="O846" t="s">
        <v>1457</v>
      </c>
      <c r="P846" t="s">
        <v>6601</v>
      </c>
      <c r="Q846" t="s">
        <v>1443</v>
      </c>
      <c r="R846" t="s">
        <v>6595</v>
      </c>
      <c r="S846" t="s">
        <v>6602</v>
      </c>
    </row>
    <row r="847" spans="1:19">
      <c r="A847" t="s">
        <v>7307</v>
      </c>
      <c r="B847" t="s">
        <v>6603</v>
      </c>
      <c r="C847" t="s">
        <v>3968</v>
      </c>
      <c r="D847">
        <v>299</v>
      </c>
      <c r="E847" t="s">
        <v>1486</v>
      </c>
      <c r="F847">
        <v>3</v>
      </c>
      <c r="H847" t="s">
        <v>2434</v>
      </c>
      <c r="J847" t="s">
        <v>37</v>
      </c>
      <c r="K847" t="s">
        <v>7376</v>
      </c>
      <c r="L847">
        <v>4</v>
      </c>
      <c r="M847">
        <v>2</v>
      </c>
      <c r="N847" t="s">
        <v>2801</v>
      </c>
      <c r="O847" t="s">
        <v>1441</v>
      </c>
      <c r="P847" t="s">
        <v>5013</v>
      </c>
      <c r="Q847" t="s">
        <v>1443</v>
      </c>
      <c r="R847" t="s">
        <v>6597</v>
      </c>
      <c r="S847" t="s">
        <v>6604</v>
      </c>
    </row>
    <row r="848" spans="1:19">
      <c r="A848" t="s">
        <v>7308</v>
      </c>
      <c r="B848" t="s">
        <v>6605</v>
      </c>
      <c r="C848" t="s">
        <v>3968</v>
      </c>
      <c r="D848">
        <v>299</v>
      </c>
      <c r="E848" t="s">
        <v>1945</v>
      </c>
      <c r="F848">
        <v>10</v>
      </c>
      <c r="J848" t="s">
        <v>37</v>
      </c>
      <c r="K848" t="s">
        <v>7376</v>
      </c>
      <c r="L848">
        <v>4</v>
      </c>
      <c r="M848">
        <v>2</v>
      </c>
      <c r="N848" t="s">
        <v>2801</v>
      </c>
      <c r="O848" t="s">
        <v>1457</v>
      </c>
      <c r="P848" t="s">
        <v>6606</v>
      </c>
      <c r="Q848" t="s">
        <v>1473</v>
      </c>
      <c r="R848" t="s">
        <v>6607</v>
      </c>
      <c r="S848" t="s">
        <v>6608</v>
      </c>
    </row>
    <row r="849" spans="1:19">
      <c r="A849" t="s">
        <v>7309</v>
      </c>
      <c r="B849" t="s">
        <v>6609</v>
      </c>
      <c r="C849" t="s">
        <v>3968</v>
      </c>
      <c r="D849">
        <v>299</v>
      </c>
      <c r="E849" t="s">
        <v>1482</v>
      </c>
      <c r="F849">
        <v>7</v>
      </c>
      <c r="J849" t="s">
        <v>37</v>
      </c>
      <c r="K849" t="s">
        <v>7376</v>
      </c>
      <c r="L849">
        <v>4</v>
      </c>
      <c r="M849">
        <v>2</v>
      </c>
      <c r="N849" t="s">
        <v>2801</v>
      </c>
      <c r="O849" t="s">
        <v>1441</v>
      </c>
      <c r="P849" t="s">
        <v>6598</v>
      </c>
      <c r="Q849" t="s">
        <v>1443</v>
      </c>
      <c r="R849" t="s">
        <v>6605</v>
      </c>
      <c r="S849" t="s">
        <v>6610</v>
      </c>
    </row>
    <row r="850" spans="1:19">
      <c r="A850" t="s">
        <v>7310</v>
      </c>
      <c r="B850" t="s">
        <v>6611</v>
      </c>
      <c r="C850" t="s">
        <v>3968</v>
      </c>
      <c r="D850">
        <v>299</v>
      </c>
      <c r="E850" t="s">
        <v>6612</v>
      </c>
      <c r="F850">
        <v>5</v>
      </c>
      <c r="G850">
        <v>1</v>
      </c>
      <c r="H850" t="s">
        <v>2434</v>
      </c>
      <c r="J850" t="s">
        <v>37</v>
      </c>
      <c r="K850" t="s">
        <v>7376</v>
      </c>
      <c r="L850">
        <v>4</v>
      </c>
      <c r="M850">
        <v>3</v>
      </c>
      <c r="N850" t="s">
        <v>2807</v>
      </c>
      <c r="O850" t="s">
        <v>1447</v>
      </c>
      <c r="P850" t="s">
        <v>6601</v>
      </c>
      <c r="Q850" t="s">
        <v>2189</v>
      </c>
      <c r="R850" t="s">
        <v>6605</v>
      </c>
      <c r="S850" t="s">
        <v>6613</v>
      </c>
    </row>
    <row r="851" spans="1:19">
      <c r="A851" t="s">
        <v>7311</v>
      </c>
      <c r="B851" t="s">
        <v>6614</v>
      </c>
      <c r="C851" t="s">
        <v>3968</v>
      </c>
      <c r="D851">
        <v>299</v>
      </c>
      <c r="E851" t="s">
        <v>2039</v>
      </c>
      <c r="F851">
        <v>8</v>
      </c>
      <c r="G851">
        <v>1</v>
      </c>
      <c r="J851" t="s">
        <v>37</v>
      </c>
      <c r="K851" t="s">
        <v>7376</v>
      </c>
      <c r="L851">
        <v>4</v>
      </c>
      <c r="M851">
        <v>3</v>
      </c>
      <c r="N851" t="s">
        <v>2807</v>
      </c>
      <c r="O851" t="s">
        <v>1441</v>
      </c>
      <c r="P851" t="s">
        <v>5013</v>
      </c>
      <c r="Q851" t="s">
        <v>1443</v>
      </c>
      <c r="R851" t="s">
        <v>6609</v>
      </c>
      <c r="S851" t="s">
        <v>6615</v>
      </c>
    </row>
    <row r="852" spans="1:19">
      <c r="A852" t="s">
        <v>7312</v>
      </c>
      <c r="B852" t="s">
        <v>6616</v>
      </c>
      <c r="C852" t="s">
        <v>3968</v>
      </c>
      <c r="D852">
        <v>299</v>
      </c>
      <c r="E852" t="s">
        <v>1467</v>
      </c>
      <c r="F852">
        <v>5</v>
      </c>
      <c r="G852">
        <v>1</v>
      </c>
      <c r="J852" t="s">
        <v>37</v>
      </c>
      <c r="K852" t="s">
        <v>7376</v>
      </c>
      <c r="L852">
        <v>5</v>
      </c>
      <c r="M852">
        <v>3</v>
      </c>
      <c r="N852" t="s">
        <v>2813</v>
      </c>
      <c r="O852" t="s">
        <v>1457</v>
      </c>
      <c r="P852" t="s">
        <v>5002</v>
      </c>
      <c r="Q852" t="s">
        <v>1443</v>
      </c>
      <c r="R852" t="s">
        <v>6605</v>
      </c>
      <c r="S852" t="s">
        <v>6617</v>
      </c>
    </row>
    <row r="853" spans="1:19">
      <c r="A853" t="s">
        <v>7313</v>
      </c>
      <c r="B853" t="s">
        <v>6618</v>
      </c>
      <c r="C853" t="s">
        <v>3968</v>
      </c>
      <c r="D853">
        <v>300</v>
      </c>
      <c r="E853" t="s">
        <v>6619</v>
      </c>
      <c r="F853">
        <v>10</v>
      </c>
      <c r="H853" t="s">
        <v>5121</v>
      </c>
      <c r="J853" t="s">
        <v>37</v>
      </c>
      <c r="K853" t="s">
        <v>7376</v>
      </c>
      <c r="L853">
        <v>5</v>
      </c>
      <c r="M853">
        <v>4</v>
      </c>
      <c r="N853" t="s">
        <v>2901</v>
      </c>
      <c r="O853" t="s">
        <v>1447</v>
      </c>
      <c r="P853" t="s">
        <v>5781</v>
      </c>
      <c r="Q853" t="s">
        <v>1443</v>
      </c>
      <c r="R853" t="s">
        <v>6616</v>
      </c>
      <c r="S853" t="s">
        <v>6620</v>
      </c>
    </row>
    <row r="854" spans="1:19">
      <c r="A854" t="s">
        <v>7314</v>
      </c>
      <c r="B854" t="s">
        <v>6621</v>
      </c>
      <c r="C854" t="s">
        <v>3968</v>
      </c>
      <c r="D854">
        <v>300</v>
      </c>
      <c r="E854" t="s">
        <v>2090</v>
      </c>
      <c r="F854">
        <v>15</v>
      </c>
      <c r="G854">
        <v>1</v>
      </c>
      <c r="J854" t="s">
        <v>37</v>
      </c>
      <c r="K854" t="s">
        <v>7376</v>
      </c>
      <c r="L854">
        <v>5</v>
      </c>
      <c r="M854">
        <v>4</v>
      </c>
      <c r="N854" t="s">
        <v>2901</v>
      </c>
      <c r="O854" t="s">
        <v>1457</v>
      </c>
      <c r="P854" t="s">
        <v>5002</v>
      </c>
      <c r="Q854" t="s">
        <v>1443</v>
      </c>
      <c r="R854" t="s">
        <v>6622</v>
      </c>
      <c r="S854" t="s">
        <v>6623</v>
      </c>
    </row>
    <row r="855" spans="1:19">
      <c r="A855" t="s">
        <v>7315</v>
      </c>
      <c r="B855" t="s">
        <v>6624</v>
      </c>
      <c r="C855" t="s">
        <v>3968</v>
      </c>
      <c r="D855">
        <v>301</v>
      </c>
      <c r="E855" t="s">
        <v>6625</v>
      </c>
      <c r="F855">
        <v>5</v>
      </c>
      <c r="G855">
        <v>1</v>
      </c>
      <c r="H855" t="s">
        <v>5757</v>
      </c>
      <c r="J855" t="s">
        <v>37</v>
      </c>
      <c r="K855" t="s">
        <v>7376</v>
      </c>
      <c r="L855">
        <v>5</v>
      </c>
      <c r="M855">
        <v>5</v>
      </c>
      <c r="N855" t="s">
        <v>6492</v>
      </c>
      <c r="O855" t="s">
        <v>1457</v>
      </c>
      <c r="P855" t="s">
        <v>5013</v>
      </c>
      <c r="Q855" t="s">
        <v>1443</v>
      </c>
      <c r="R855" t="s">
        <v>6626</v>
      </c>
      <c r="S855" t="s">
        <v>6627</v>
      </c>
    </row>
    <row r="856" spans="1:19">
      <c r="A856" t="s">
        <v>4519</v>
      </c>
      <c r="B856" t="s">
        <v>887</v>
      </c>
      <c r="C856" t="s">
        <v>3607</v>
      </c>
      <c r="D856">
        <v>341</v>
      </c>
      <c r="E856" t="s">
        <v>1450</v>
      </c>
      <c r="F856">
        <v>3</v>
      </c>
      <c r="I856" t="s">
        <v>3238</v>
      </c>
      <c r="J856" t="s">
        <v>38</v>
      </c>
      <c r="K856" t="s">
        <v>38</v>
      </c>
      <c r="L856">
        <v>1</v>
      </c>
      <c r="M856">
        <v>1</v>
      </c>
      <c r="N856" t="s">
        <v>2141</v>
      </c>
      <c r="O856" t="s">
        <v>1457</v>
      </c>
      <c r="P856" t="s">
        <v>1444</v>
      </c>
      <c r="Q856" t="s">
        <v>1443</v>
      </c>
      <c r="R856" t="s">
        <v>1444</v>
      </c>
      <c r="S856" t="s">
        <v>2142</v>
      </c>
    </row>
    <row r="857" spans="1:19">
      <c r="A857" t="s">
        <v>4523</v>
      </c>
      <c r="B857" t="s">
        <v>896</v>
      </c>
      <c r="C857" t="s">
        <v>3607</v>
      </c>
      <c r="D857" t="s">
        <v>897</v>
      </c>
      <c r="E857" t="s">
        <v>1439</v>
      </c>
      <c r="F857">
        <v>1</v>
      </c>
      <c r="I857" t="s">
        <v>3238</v>
      </c>
      <c r="J857" t="s">
        <v>38</v>
      </c>
      <c r="K857" t="s">
        <v>38</v>
      </c>
      <c r="L857">
        <v>1</v>
      </c>
      <c r="M857">
        <v>1</v>
      </c>
      <c r="N857" t="s">
        <v>2141</v>
      </c>
      <c r="O857" t="s">
        <v>1441</v>
      </c>
      <c r="P857" t="s">
        <v>1444</v>
      </c>
      <c r="Q857" t="s">
        <v>1443</v>
      </c>
      <c r="R857" t="s">
        <v>1444</v>
      </c>
      <c r="S857" t="s">
        <v>2147</v>
      </c>
    </row>
    <row r="858" spans="1:19">
      <c r="A858" t="s">
        <v>4520</v>
      </c>
      <c r="B858" t="s">
        <v>908</v>
      </c>
      <c r="C858" t="s">
        <v>3607</v>
      </c>
      <c r="D858">
        <v>341</v>
      </c>
      <c r="E858" t="s">
        <v>1924</v>
      </c>
      <c r="F858">
        <v>2</v>
      </c>
      <c r="G858">
        <v>1</v>
      </c>
      <c r="I858" t="s">
        <v>3238</v>
      </c>
      <c r="J858" t="s">
        <v>38</v>
      </c>
      <c r="K858" t="s">
        <v>38</v>
      </c>
      <c r="L858">
        <v>3</v>
      </c>
      <c r="M858">
        <v>1</v>
      </c>
      <c r="N858" t="s">
        <v>2143</v>
      </c>
      <c r="O858" t="s">
        <v>1447</v>
      </c>
      <c r="P858" t="s">
        <v>1444</v>
      </c>
      <c r="Q858" t="s">
        <v>1443</v>
      </c>
      <c r="R858" t="s">
        <v>887</v>
      </c>
      <c r="S858" t="s">
        <v>2144</v>
      </c>
    </row>
    <row r="859" spans="1:19">
      <c r="A859" t="s">
        <v>4521</v>
      </c>
      <c r="B859" t="s">
        <v>914</v>
      </c>
      <c r="C859" t="s">
        <v>3607</v>
      </c>
      <c r="D859" t="s">
        <v>915</v>
      </c>
      <c r="E859" t="s">
        <v>1467</v>
      </c>
      <c r="F859">
        <v>5</v>
      </c>
      <c r="G859">
        <v>1</v>
      </c>
      <c r="I859" t="s">
        <v>3238</v>
      </c>
      <c r="J859" t="s">
        <v>38</v>
      </c>
      <c r="K859" t="s">
        <v>38</v>
      </c>
      <c r="L859">
        <v>3</v>
      </c>
      <c r="M859">
        <v>1</v>
      </c>
      <c r="N859" t="s">
        <v>2143</v>
      </c>
      <c r="O859" t="s">
        <v>1457</v>
      </c>
      <c r="P859" t="s">
        <v>1444</v>
      </c>
      <c r="Q859" t="s">
        <v>1443</v>
      </c>
      <c r="R859" t="s">
        <v>1444</v>
      </c>
      <c r="S859" t="s">
        <v>2145</v>
      </c>
    </row>
    <row r="860" spans="1:19">
      <c r="A860" t="s">
        <v>4522</v>
      </c>
      <c r="B860" t="s">
        <v>913</v>
      </c>
      <c r="C860" t="s">
        <v>3607</v>
      </c>
      <c r="D860">
        <v>342</v>
      </c>
      <c r="E860" t="s">
        <v>1945</v>
      </c>
      <c r="F860">
        <v>10</v>
      </c>
      <c r="I860" t="s">
        <v>3238</v>
      </c>
      <c r="J860" t="s">
        <v>38</v>
      </c>
      <c r="K860" t="s">
        <v>38</v>
      </c>
      <c r="L860">
        <v>3</v>
      </c>
      <c r="M860">
        <v>1</v>
      </c>
      <c r="N860" t="s">
        <v>2143</v>
      </c>
      <c r="O860" t="s">
        <v>1457</v>
      </c>
      <c r="P860" t="s">
        <v>1444</v>
      </c>
      <c r="Q860" t="s">
        <v>1443</v>
      </c>
      <c r="R860" s="18" t="s">
        <v>914</v>
      </c>
      <c r="S860" t="s">
        <v>2146</v>
      </c>
    </row>
    <row r="861" spans="1:19">
      <c r="A861" t="s">
        <v>4527</v>
      </c>
      <c r="B861" t="s">
        <v>909</v>
      </c>
      <c r="C861" t="s">
        <v>3607</v>
      </c>
      <c r="D861" t="s">
        <v>910</v>
      </c>
      <c r="E861" t="s">
        <v>1541</v>
      </c>
      <c r="F861">
        <v>5</v>
      </c>
      <c r="I861" t="s">
        <v>3238</v>
      </c>
      <c r="J861" t="s">
        <v>38</v>
      </c>
      <c r="K861" t="s">
        <v>38</v>
      </c>
      <c r="L861">
        <v>3</v>
      </c>
      <c r="M861">
        <v>2</v>
      </c>
      <c r="N861" t="s">
        <v>2154</v>
      </c>
      <c r="O861" t="s">
        <v>1447</v>
      </c>
      <c r="P861" t="s">
        <v>1444</v>
      </c>
      <c r="Q861" t="s">
        <v>1443</v>
      </c>
      <c r="R861" t="s">
        <v>896</v>
      </c>
      <c r="S861" t="s">
        <v>2155</v>
      </c>
    </row>
    <row r="862" spans="1:19">
      <c r="A862" t="s">
        <v>4524</v>
      </c>
      <c r="B862" t="s">
        <v>893</v>
      </c>
      <c r="C862" t="s">
        <v>3607</v>
      </c>
      <c r="D862" t="s">
        <v>897</v>
      </c>
      <c r="E862" t="s">
        <v>1511</v>
      </c>
      <c r="F862" t="s">
        <v>1511</v>
      </c>
      <c r="I862" t="s">
        <v>3238</v>
      </c>
      <c r="J862" t="s">
        <v>38</v>
      </c>
      <c r="K862" t="s">
        <v>38</v>
      </c>
      <c r="L862">
        <v>4</v>
      </c>
      <c r="M862">
        <v>2</v>
      </c>
      <c r="N862" t="s">
        <v>2148</v>
      </c>
      <c r="O862" t="s">
        <v>1513</v>
      </c>
      <c r="P862" t="s">
        <v>1444</v>
      </c>
      <c r="Q862" t="s">
        <v>1513</v>
      </c>
      <c r="R862" t="s">
        <v>908</v>
      </c>
      <c r="S862" t="s">
        <v>2149</v>
      </c>
    </row>
    <row r="863" spans="1:19">
      <c r="A863" t="s">
        <v>4525</v>
      </c>
      <c r="B863" t="s">
        <v>902</v>
      </c>
      <c r="C863" t="s">
        <v>3607</v>
      </c>
      <c r="D863" t="s">
        <v>903</v>
      </c>
      <c r="E863" t="s">
        <v>2150</v>
      </c>
      <c r="F863">
        <v>5</v>
      </c>
      <c r="G863">
        <v>1</v>
      </c>
      <c r="H863" t="s">
        <v>3724</v>
      </c>
      <c r="I863" t="s">
        <v>3238</v>
      </c>
      <c r="J863" t="s">
        <v>38</v>
      </c>
      <c r="K863" t="s">
        <v>38</v>
      </c>
      <c r="L863">
        <v>4</v>
      </c>
      <c r="M863">
        <v>2</v>
      </c>
      <c r="N863" t="s">
        <v>2148</v>
      </c>
      <c r="O863" t="s">
        <v>1447</v>
      </c>
      <c r="P863" t="s">
        <v>1444</v>
      </c>
      <c r="Q863" t="s">
        <v>1443</v>
      </c>
      <c r="R863" t="s">
        <v>913</v>
      </c>
      <c r="S863" t="s">
        <v>2151</v>
      </c>
    </row>
    <row r="864" spans="1:19">
      <c r="A864" t="s">
        <v>4528</v>
      </c>
      <c r="B864" t="s">
        <v>894</v>
      </c>
      <c r="C864" t="s">
        <v>3607</v>
      </c>
      <c r="D864" t="s">
        <v>895</v>
      </c>
      <c r="E864" t="s">
        <v>1945</v>
      </c>
      <c r="F864">
        <v>10</v>
      </c>
      <c r="I864" t="s">
        <v>3238</v>
      </c>
      <c r="J864" t="s">
        <v>38</v>
      </c>
      <c r="K864" t="s">
        <v>38</v>
      </c>
      <c r="L864">
        <v>4</v>
      </c>
      <c r="M864">
        <v>2</v>
      </c>
      <c r="N864" t="s">
        <v>2148</v>
      </c>
      <c r="O864" t="s">
        <v>1457</v>
      </c>
      <c r="P864" t="s">
        <v>1444</v>
      </c>
      <c r="Q864" t="s">
        <v>1547</v>
      </c>
      <c r="R864" t="s">
        <v>909</v>
      </c>
      <c r="S864" t="s">
        <v>2156</v>
      </c>
    </row>
    <row r="865" spans="1:19">
      <c r="A865" t="s">
        <v>4526</v>
      </c>
      <c r="B865" t="s">
        <v>912</v>
      </c>
      <c r="C865" t="s">
        <v>3607</v>
      </c>
      <c r="D865" t="s">
        <v>897</v>
      </c>
      <c r="E865" t="s">
        <v>1541</v>
      </c>
      <c r="F865">
        <v>5</v>
      </c>
      <c r="I865" t="s">
        <v>3238</v>
      </c>
      <c r="J865" t="s">
        <v>38</v>
      </c>
      <c r="K865" t="s">
        <v>38</v>
      </c>
      <c r="L865">
        <v>5</v>
      </c>
      <c r="M865">
        <v>2</v>
      </c>
      <c r="N865" t="s">
        <v>2152</v>
      </c>
      <c r="O865" t="s">
        <v>1457</v>
      </c>
      <c r="P865" t="s">
        <v>1452</v>
      </c>
      <c r="Q865" t="s">
        <v>1443</v>
      </c>
      <c r="R865" t="s">
        <v>902</v>
      </c>
      <c r="S865" t="s">
        <v>2153</v>
      </c>
    </row>
    <row r="866" spans="1:19">
      <c r="A866" t="s">
        <v>4529</v>
      </c>
      <c r="B866" t="s">
        <v>891</v>
      </c>
      <c r="C866" t="s">
        <v>3607</v>
      </c>
      <c r="D866">
        <v>344</v>
      </c>
      <c r="E866" t="s">
        <v>1456</v>
      </c>
      <c r="F866">
        <v>4</v>
      </c>
      <c r="G866">
        <v>1</v>
      </c>
      <c r="I866" t="s">
        <v>3238</v>
      </c>
      <c r="J866" t="s">
        <v>38</v>
      </c>
      <c r="K866" t="s">
        <v>38</v>
      </c>
      <c r="L866">
        <v>5</v>
      </c>
      <c r="M866">
        <v>2</v>
      </c>
      <c r="N866" t="s">
        <v>2152</v>
      </c>
      <c r="O866" t="s">
        <v>1447</v>
      </c>
      <c r="P866" t="s">
        <v>1444</v>
      </c>
      <c r="Q866" t="s">
        <v>1443</v>
      </c>
      <c r="R866" t="s">
        <v>909</v>
      </c>
      <c r="S866" t="s">
        <v>2157</v>
      </c>
    </row>
    <row r="867" spans="1:19">
      <c r="A867" t="s">
        <v>4530</v>
      </c>
      <c r="B867" t="s">
        <v>889</v>
      </c>
      <c r="C867" t="s">
        <v>3607</v>
      </c>
      <c r="D867">
        <v>344</v>
      </c>
      <c r="E867" t="s">
        <v>1945</v>
      </c>
      <c r="F867">
        <v>10</v>
      </c>
      <c r="I867" t="s">
        <v>3238</v>
      </c>
      <c r="J867" t="s">
        <v>38</v>
      </c>
      <c r="K867" t="s">
        <v>38</v>
      </c>
      <c r="L867">
        <v>5</v>
      </c>
      <c r="M867">
        <v>3</v>
      </c>
      <c r="N867" t="s">
        <v>2158</v>
      </c>
      <c r="O867" t="s">
        <v>1457</v>
      </c>
      <c r="P867" t="s">
        <v>1444</v>
      </c>
      <c r="Q867" t="s">
        <v>1443</v>
      </c>
      <c r="R867" t="s">
        <v>902</v>
      </c>
      <c r="S867" t="s">
        <v>2159</v>
      </c>
    </row>
    <row r="868" spans="1:19">
      <c r="A868" t="s">
        <v>4531</v>
      </c>
      <c r="B868" t="s">
        <v>892</v>
      </c>
      <c r="C868" t="s">
        <v>3607</v>
      </c>
      <c r="D868">
        <v>344</v>
      </c>
      <c r="E868" t="s">
        <v>1599</v>
      </c>
      <c r="F868">
        <v>10</v>
      </c>
      <c r="G868">
        <v>1</v>
      </c>
      <c r="I868" t="s">
        <v>3238</v>
      </c>
      <c r="J868" t="s">
        <v>38</v>
      </c>
      <c r="K868" t="s">
        <v>38</v>
      </c>
      <c r="L868">
        <v>5</v>
      </c>
      <c r="M868">
        <v>3</v>
      </c>
      <c r="N868" t="s">
        <v>2158</v>
      </c>
      <c r="O868" t="s">
        <v>1447</v>
      </c>
      <c r="P868" t="s">
        <v>1444</v>
      </c>
      <c r="Q868" t="s">
        <v>1443</v>
      </c>
      <c r="R868" t="s">
        <v>2160</v>
      </c>
      <c r="S868" t="s">
        <v>2161</v>
      </c>
    </row>
    <row r="869" spans="1:19">
      <c r="A869" t="s">
        <v>4532</v>
      </c>
      <c r="B869" t="s">
        <v>911</v>
      </c>
      <c r="C869" t="s">
        <v>3607</v>
      </c>
      <c r="D869">
        <v>344</v>
      </c>
      <c r="E869" t="s">
        <v>1599</v>
      </c>
      <c r="F869">
        <v>10</v>
      </c>
      <c r="G869">
        <v>1</v>
      </c>
      <c r="I869" t="s">
        <v>3238</v>
      </c>
      <c r="J869" t="s">
        <v>38</v>
      </c>
      <c r="K869" t="s">
        <v>38</v>
      </c>
      <c r="L869">
        <v>5</v>
      </c>
      <c r="M869">
        <v>3</v>
      </c>
      <c r="N869" t="s">
        <v>2158</v>
      </c>
      <c r="O869" t="s">
        <v>1457</v>
      </c>
      <c r="P869" t="s">
        <v>1444</v>
      </c>
      <c r="Q869" t="s">
        <v>1443</v>
      </c>
      <c r="R869" t="s">
        <v>889</v>
      </c>
      <c r="S869" t="s">
        <v>2162</v>
      </c>
    </row>
    <row r="870" spans="1:19">
      <c r="A870" t="s">
        <v>4533</v>
      </c>
      <c r="B870" t="s">
        <v>899</v>
      </c>
      <c r="C870" t="s">
        <v>3607</v>
      </c>
      <c r="D870" t="s">
        <v>900</v>
      </c>
      <c r="E870" t="s">
        <v>1511</v>
      </c>
      <c r="F870" t="s">
        <v>1511</v>
      </c>
      <c r="I870" t="s">
        <v>3238</v>
      </c>
      <c r="J870" t="s">
        <v>38</v>
      </c>
      <c r="K870" t="s">
        <v>38</v>
      </c>
      <c r="L870">
        <v>5</v>
      </c>
      <c r="M870">
        <v>3</v>
      </c>
      <c r="N870" t="s">
        <v>2158</v>
      </c>
      <c r="O870" t="s">
        <v>1457</v>
      </c>
      <c r="P870" t="s">
        <v>1444</v>
      </c>
      <c r="Q870" t="s">
        <v>1443</v>
      </c>
      <c r="R870" t="s">
        <v>2163</v>
      </c>
      <c r="S870" t="s">
        <v>2164</v>
      </c>
    </row>
    <row r="871" spans="1:19">
      <c r="A871" t="s">
        <v>4534</v>
      </c>
      <c r="B871" t="s">
        <v>904</v>
      </c>
      <c r="C871" t="s">
        <v>3607</v>
      </c>
      <c r="D871">
        <v>345</v>
      </c>
      <c r="E871" t="s">
        <v>2165</v>
      </c>
      <c r="H871" t="s">
        <v>2165</v>
      </c>
      <c r="I871" t="s">
        <v>3238</v>
      </c>
      <c r="J871" t="s">
        <v>38</v>
      </c>
      <c r="K871" t="s">
        <v>38</v>
      </c>
      <c r="L871">
        <v>5</v>
      </c>
      <c r="M871">
        <v>3</v>
      </c>
      <c r="N871" t="s">
        <v>2158</v>
      </c>
      <c r="O871" t="s">
        <v>1447</v>
      </c>
      <c r="P871" t="s">
        <v>1444</v>
      </c>
      <c r="Q871" t="s">
        <v>1443</v>
      </c>
      <c r="R871" t="s">
        <v>894</v>
      </c>
      <c r="S871" t="s">
        <v>2166</v>
      </c>
    </row>
    <row r="872" spans="1:19">
      <c r="A872" t="s">
        <v>4535</v>
      </c>
      <c r="B872" t="s">
        <v>888</v>
      </c>
      <c r="C872" t="s">
        <v>3607</v>
      </c>
      <c r="D872">
        <v>345</v>
      </c>
      <c r="E872" t="s">
        <v>1543</v>
      </c>
      <c r="F872">
        <v>7</v>
      </c>
      <c r="G872">
        <v>1</v>
      </c>
      <c r="I872" t="s">
        <v>3238</v>
      </c>
      <c r="J872" t="s">
        <v>38</v>
      </c>
      <c r="K872" t="s">
        <v>38</v>
      </c>
      <c r="L872">
        <v>5</v>
      </c>
      <c r="M872">
        <v>3</v>
      </c>
      <c r="N872" t="s">
        <v>2158</v>
      </c>
      <c r="O872" t="s">
        <v>1447</v>
      </c>
      <c r="P872" t="s">
        <v>1444</v>
      </c>
      <c r="Q872" t="s">
        <v>1473</v>
      </c>
      <c r="R872" t="s">
        <v>909</v>
      </c>
      <c r="S872" t="s">
        <v>2167</v>
      </c>
    </row>
    <row r="873" spans="1:19">
      <c r="A873" t="s">
        <v>4536</v>
      </c>
      <c r="B873" t="s">
        <v>906</v>
      </c>
      <c r="C873" t="s">
        <v>3607</v>
      </c>
      <c r="D873">
        <v>345</v>
      </c>
      <c r="E873" t="s">
        <v>1511</v>
      </c>
      <c r="F873" t="s">
        <v>1511</v>
      </c>
      <c r="I873" t="s">
        <v>3238</v>
      </c>
      <c r="J873" t="s">
        <v>38</v>
      </c>
      <c r="K873" t="s">
        <v>38</v>
      </c>
      <c r="L873">
        <v>5</v>
      </c>
      <c r="M873">
        <v>4</v>
      </c>
      <c r="N873" t="s">
        <v>2168</v>
      </c>
      <c r="O873" t="s">
        <v>1513</v>
      </c>
      <c r="P873" t="s">
        <v>1444</v>
      </c>
      <c r="Q873" t="s">
        <v>1513</v>
      </c>
      <c r="R873" t="s">
        <v>2169</v>
      </c>
      <c r="S873" t="s">
        <v>2170</v>
      </c>
    </row>
    <row r="874" spans="1:19">
      <c r="A874" t="s">
        <v>4537</v>
      </c>
      <c r="B874" t="s">
        <v>890</v>
      </c>
      <c r="C874" t="s">
        <v>3607</v>
      </c>
      <c r="D874">
        <v>345</v>
      </c>
      <c r="E874" t="s">
        <v>1511</v>
      </c>
      <c r="F874" t="s">
        <v>1511</v>
      </c>
      <c r="I874" t="s">
        <v>3238</v>
      </c>
      <c r="J874" t="s">
        <v>38</v>
      </c>
      <c r="K874" t="s">
        <v>38</v>
      </c>
      <c r="L874">
        <v>5</v>
      </c>
      <c r="M874">
        <v>4</v>
      </c>
      <c r="N874" t="s">
        <v>2168</v>
      </c>
      <c r="O874" t="s">
        <v>1513</v>
      </c>
      <c r="P874" t="s">
        <v>1444</v>
      </c>
      <c r="Q874" t="s">
        <v>1513</v>
      </c>
      <c r="R874" t="s">
        <v>2171</v>
      </c>
      <c r="S874" s="18" t="s">
        <v>2172</v>
      </c>
    </row>
    <row r="875" spans="1:19">
      <c r="A875" t="s">
        <v>4538</v>
      </c>
      <c r="B875" t="s">
        <v>905</v>
      </c>
      <c r="C875" t="s">
        <v>3607</v>
      </c>
      <c r="D875">
        <v>345</v>
      </c>
      <c r="E875" t="s">
        <v>1511</v>
      </c>
      <c r="F875" t="s">
        <v>1511</v>
      </c>
      <c r="I875" t="s">
        <v>3238</v>
      </c>
      <c r="J875" t="s">
        <v>38</v>
      </c>
      <c r="K875" t="s">
        <v>38</v>
      </c>
      <c r="L875">
        <v>5</v>
      </c>
      <c r="M875">
        <v>4</v>
      </c>
      <c r="N875" t="s">
        <v>2168</v>
      </c>
      <c r="O875" t="s">
        <v>1513</v>
      </c>
      <c r="P875" t="s">
        <v>1444</v>
      </c>
      <c r="Q875" t="s">
        <v>1513</v>
      </c>
      <c r="R875" t="s">
        <v>890</v>
      </c>
      <c r="S875" t="s">
        <v>2173</v>
      </c>
    </row>
    <row r="876" spans="1:19">
      <c r="A876" t="s">
        <v>4539</v>
      </c>
      <c r="B876" t="s">
        <v>2174</v>
      </c>
      <c r="C876" t="s">
        <v>3607</v>
      </c>
      <c r="D876" t="s">
        <v>898</v>
      </c>
      <c r="E876" t="s">
        <v>1467</v>
      </c>
      <c r="F876">
        <v>5</v>
      </c>
      <c r="G876">
        <v>1</v>
      </c>
      <c r="I876" t="s">
        <v>3238</v>
      </c>
      <c r="J876" t="s">
        <v>38</v>
      </c>
      <c r="K876" t="s">
        <v>38</v>
      </c>
      <c r="L876">
        <v>5</v>
      </c>
      <c r="M876">
        <v>4</v>
      </c>
      <c r="N876" t="s">
        <v>2168</v>
      </c>
      <c r="O876" t="s">
        <v>1447</v>
      </c>
      <c r="P876" t="s">
        <v>1523</v>
      </c>
      <c r="Q876" t="s">
        <v>1443</v>
      </c>
      <c r="R876" t="s">
        <v>905</v>
      </c>
      <c r="S876" t="s">
        <v>2175</v>
      </c>
    </row>
    <row r="877" spans="1:19">
      <c r="A877" t="s">
        <v>4540</v>
      </c>
      <c r="B877" t="s">
        <v>901</v>
      </c>
      <c r="C877" t="s">
        <v>3607</v>
      </c>
      <c r="D877" t="s">
        <v>898</v>
      </c>
      <c r="E877" t="s">
        <v>1511</v>
      </c>
      <c r="F877" t="s">
        <v>1511</v>
      </c>
      <c r="I877" t="s">
        <v>3238</v>
      </c>
      <c r="J877" t="s">
        <v>38</v>
      </c>
      <c r="K877" t="s">
        <v>38</v>
      </c>
      <c r="L877">
        <v>5</v>
      </c>
      <c r="M877">
        <v>5</v>
      </c>
      <c r="N877" t="s">
        <v>2176</v>
      </c>
      <c r="O877" t="s">
        <v>1513</v>
      </c>
      <c r="P877" t="s">
        <v>1444</v>
      </c>
      <c r="Q877" t="s">
        <v>1513</v>
      </c>
      <c r="R877" t="s">
        <v>2174</v>
      </c>
      <c r="S877" t="s">
        <v>2177</v>
      </c>
    </row>
    <row r="878" spans="1:19">
      <c r="A878" t="s">
        <v>4541</v>
      </c>
      <c r="B878" t="s">
        <v>907</v>
      </c>
      <c r="C878" t="s">
        <v>3607</v>
      </c>
      <c r="D878">
        <v>346</v>
      </c>
      <c r="E878" t="s">
        <v>1511</v>
      </c>
      <c r="F878" t="s">
        <v>1511</v>
      </c>
      <c r="I878" t="s">
        <v>3238</v>
      </c>
      <c r="J878" t="s">
        <v>38</v>
      </c>
      <c r="K878" t="s">
        <v>38</v>
      </c>
      <c r="L878">
        <v>5</v>
      </c>
      <c r="M878">
        <v>5</v>
      </c>
      <c r="N878" t="s">
        <v>2176</v>
      </c>
      <c r="O878" t="s">
        <v>1513</v>
      </c>
      <c r="P878" t="s">
        <v>1444</v>
      </c>
      <c r="Q878" t="s">
        <v>1513</v>
      </c>
      <c r="R878" t="s">
        <v>2174</v>
      </c>
      <c r="S878" t="s">
        <v>2178</v>
      </c>
    </row>
    <row r="879" spans="1:19">
      <c r="A879" t="s">
        <v>4542</v>
      </c>
      <c r="B879" t="s">
        <v>3725</v>
      </c>
      <c r="C879" t="s">
        <v>3602</v>
      </c>
      <c r="D879">
        <v>18</v>
      </c>
      <c r="E879" t="s">
        <v>2090</v>
      </c>
      <c r="F879">
        <v>15</v>
      </c>
      <c r="G879">
        <v>1</v>
      </c>
      <c r="I879" t="s">
        <v>3238</v>
      </c>
      <c r="J879" t="s">
        <v>38</v>
      </c>
      <c r="K879" t="s">
        <v>38</v>
      </c>
      <c r="L879">
        <v>5</v>
      </c>
      <c r="M879">
        <v>5</v>
      </c>
      <c r="N879" t="s">
        <v>2176</v>
      </c>
      <c r="O879" t="s">
        <v>1447</v>
      </c>
      <c r="P879" t="s">
        <v>1444</v>
      </c>
      <c r="Q879" t="s">
        <v>1547</v>
      </c>
      <c r="R879" t="s">
        <v>3726</v>
      </c>
      <c r="S879" t="s">
        <v>3727</v>
      </c>
    </row>
    <row r="880" spans="1:19">
      <c r="A880" t="s">
        <v>6971</v>
      </c>
      <c r="B880" t="s">
        <v>5712</v>
      </c>
      <c r="C880" t="s">
        <v>3968</v>
      </c>
      <c r="D880">
        <v>220</v>
      </c>
      <c r="E880" t="s">
        <v>4991</v>
      </c>
      <c r="F880">
        <v>1</v>
      </c>
      <c r="I880" t="s">
        <v>3560</v>
      </c>
      <c r="J880" t="s">
        <v>38</v>
      </c>
      <c r="K880" t="s">
        <v>38</v>
      </c>
      <c r="L880">
        <v>1</v>
      </c>
      <c r="M880">
        <v>1</v>
      </c>
      <c r="N880" t="s">
        <v>2141</v>
      </c>
      <c r="O880" t="s">
        <v>1441</v>
      </c>
      <c r="P880" t="s">
        <v>5713</v>
      </c>
      <c r="Q880" t="s">
        <v>1443</v>
      </c>
      <c r="R880" t="s">
        <v>1444</v>
      </c>
      <c r="S880" t="s">
        <v>5714</v>
      </c>
    </row>
    <row r="881" spans="1:19">
      <c r="A881" t="s">
        <v>6972</v>
      </c>
      <c r="B881" t="s">
        <v>5715</v>
      </c>
      <c r="C881" t="s">
        <v>3968</v>
      </c>
      <c r="D881">
        <v>220</v>
      </c>
      <c r="E881" t="s">
        <v>1476</v>
      </c>
      <c r="F881">
        <v>3</v>
      </c>
      <c r="G881">
        <v>1</v>
      </c>
      <c r="I881" t="s">
        <v>3560</v>
      </c>
      <c r="J881" t="s">
        <v>38</v>
      </c>
      <c r="K881" t="s">
        <v>38</v>
      </c>
      <c r="L881">
        <v>2</v>
      </c>
      <c r="M881">
        <v>1</v>
      </c>
      <c r="N881" t="s">
        <v>5716</v>
      </c>
      <c r="O881" t="s">
        <v>1441</v>
      </c>
      <c r="P881" t="s">
        <v>5717</v>
      </c>
      <c r="Q881" t="s">
        <v>1443</v>
      </c>
      <c r="R881" t="s">
        <v>1444</v>
      </c>
      <c r="S881" t="s">
        <v>5718</v>
      </c>
    </row>
    <row r="882" spans="1:19">
      <c r="A882" t="s">
        <v>6973</v>
      </c>
      <c r="B882" t="s">
        <v>5719</v>
      </c>
      <c r="C882" t="s">
        <v>3968</v>
      </c>
      <c r="D882">
        <v>221</v>
      </c>
      <c r="E882" t="s">
        <v>1460</v>
      </c>
      <c r="F882">
        <v>2</v>
      </c>
      <c r="I882" t="s">
        <v>3560</v>
      </c>
      <c r="J882" t="s">
        <v>38</v>
      </c>
      <c r="K882" t="s">
        <v>38</v>
      </c>
      <c r="L882">
        <v>2</v>
      </c>
      <c r="M882">
        <v>1</v>
      </c>
      <c r="N882" t="s">
        <v>5716</v>
      </c>
      <c r="O882" t="s">
        <v>1457</v>
      </c>
      <c r="P882" t="s">
        <v>5717</v>
      </c>
      <c r="Q882" t="s">
        <v>1443</v>
      </c>
      <c r="R882" t="s">
        <v>1444</v>
      </c>
      <c r="S882" t="s">
        <v>5720</v>
      </c>
    </row>
    <row r="883" spans="1:19">
      <c r="A883" t="s">
        <v>6975</v>
      </c>
      <c r="B883" t="s">
        <v>5724</v>
      </c>
      <c r="C883" t="s">
        <v>3968</v>
      </c>
      <c r="D883">
        <v>221</v>
      </c>
      <c r="E883" t="s">
        <v>1541</v>
      </c>
      <c r="F883">
        <v>5</v>
      </c>
      <c r="I883" t="s">
        <v>3560</v>
      </c>
      <c r="J883" t="s">
        <v>38</v>
      </c>
      <c r="K883" t="s">
        <v>38</v>
      </c>
      <c r="L883">
        <v>2</v>
      </c>
      <c r="M883">
        <v>1</v>
      </c>
      <c r="N883" t="s">
        <v>5716</v>
      </c>
      <c r="O883" t="s">
        <v>1457</v>
      </c>
      <c r="P883" t="s">
        <v>5002</v>
      </c>
      <c r="Q883" t="s">
        <v>1443</v>
      </c>
      <c r="R883" t="s">
        <v>1444</v>
      </c>
      <c r="S883" t="s">
        <v>5725</v>
      </c>
    </row>
    <row r="884" spans="1:19">
      <c r="A884" t="s">
        <v>6974</v>
      </c>
      <c r="B884" t="s">
        <v>5721</v>
      </c>
      <c r="C884" t="s">
        <v>3968</v>
      </c>
      <c r="D884">
        <v>221</v>
      </c>
      <c r="E884" t="s">
        <v>1439</v>
      </c>
      <c r="F884">
        <v>1</v>
      </c>
      <c r="I884" t="s">
        <v>3560</v>
      </c>
      <c r="J884" t="s">
        <v>38</v>
      </c>
      <c r="K884" t="s">
        <v>38</v>
      </c>
      <c r="L884">
        <v>3</v>
      </c>
      <c r="M884">
        <v>1</v>
      </c>
      <c r="N884" t="s">
        <v>5722</v>
      </c>
      <c r="O884" t="s">
        <v>1441</v>
      </c>
      <c r="P884" t="s">
        <v>5002</v>
      </c>
      <c r="Q884" t="s">
        <v>1443</v>
      </c>
      <c r="R884" t="s">
        <v>1444</v>
      </c>
      <c r="S884" t="s">
        <v>5723</v>
      </c>
    </row>
    <row r="885" spans="1:19">
      <c r="A885" t="s">
        <v>6976</v>
      </c>
      <c r="B885" t="s">
        <v>5726</v>
      </c>
      <c r="C885" t="s">
        <v>3968</v>
      </c>
      <c r="D885">
        <v>221</v>
      </c>
      <c r="E885" t="s">
        <v>3687</v>
      </c>
      <c r="I885" t="s">
        <v>3560</v>
      </c>
      <c r="J885" t="s">
        <v>38</v>
      </c>
      <c r="K885" t="s">
        <v>38</v>
      </c>
      <c r="L885">
        <v>3</v>
      </c>
      <c r="M885">
        <v>2</v>
      </c>
      <c r="N885" t="s">
        <v>2154</v>
      </c>
      <c r="O885" t="s">
        <v>1513</v>
      </c>
      <c r="P885" t="s">
        <v>5002</v>
      </c>
      <c r="Q885" t="s">
        <v>1513</v>
      </c>
      <c r="R885" t="s">
        <v>5715</v>
      </c>
      <c r="S885" t="s">
        <v>5727</v>
      </c>
    </row>
    <row r="886" spans="1:19">
      <c r="A886" t="s">
        <v>6977</v>
      </c>
      <c r="B886" t="s">
        <v>5728</v>
      </c>
      <c r="C886" t="s">
        <v>3968</v>
      </c>
      <c r="D886">
        <v>221</v>
      </c>
      <c r="E886" t="s">
        <v>1554</v>
      </c>
      <c r="F886">
        <v>4</v>
      </c>
      <c r="I886" t="s">
        <v>3560</v>
      </c>
      <c r="J886" t="s">
        <v>38</v>
      </c>
      <c r="K886" t="s">
        <v>38</v>
      </c>
      <c r="L886">
        <v>3</v>
      </c>
      <c r="M886">
        <v>1</v>
      </c>
      <c r="N886" t="s">
        <v>2143</v>
      </c>
      <c r="O886" t="s">
        <v>1457</v>
      </c>
      <c r="P886" t="s">
        <v>5717</v>
      </c>
      <c r="Q886" t="s">
        <v>1443</v>
      </c>
      <c r="R886" t="s">
        <v>1444</v>
      </c>
      <c r="S886" t="s">
        <v>5729</v>
      </c>
    </row>
    <row r="887" spans="1:19">
      <c r="A887" t="s">
        <v>6978</v>
      </c>
      <c r="B887" t="s">
        <v>5730</v>
      </c>
      <c r="C887" t="s">
        <v>3968</v>
      </c>
      <c r="D887">
        <v>221</v>
      </c>
      <c r="E887" t="s">
        <v>1618</v>
      </c>
      <c r="F887">
        <v>3</v>
      </c>
      <c r="H887" t="s">
        <v>2420</v>
      </c>
      <c r="I887" t="s">
        <v>3560</v>
      </c>
      <c r="J887" t="s">
        <v>38</v>
      </c>
      <c r="K887" t="s">
        <v>38</v>
      </c>
      <c r="L887">
        <v>3</v>
      </c>
      <c r="M887">
        <v>2</v>
      </c>
      <c r="N887" t="s">
        <v>2154</v>
      </c>
      <c r="O887" t="s">
        <v>1441</v>
      </c>
      <c r="P887" t="s">
        <v>5002</v>
      </c>
      <c r="Q887" t="s">
        <v>1443</v>
      </c>
      <c r="R887" t="s">
        <v>5719</v>
      </c>
      <c r="S887" t="s">
        <v>5731</v>
      </c>
    </row>
    <row r="888" spans="1:19">
      <c r="A888" t="s">
        <v>6979</v>
      </c>
      <c r="B888" t="s">
        <v>5732</v>
      </c>
      <c r="C888" t="s">
        <v>3968</v>
      </c>
      <c r="D888">
        <v>222</v>
      </c>
      <c r="E888" t="s">
        <v>1554</v>
      </c>
      <c r="F888">
        <v>4</v>
      </c>
      <c r="I888" t="s">
        <v>3560</v>
      </c>
      <c r="J888" t="s">
        <v>38</v>
      </c>
      <c r="K888" t="s">
        <v>38</v>
      </c>
      <c r="L888">
        <v>4</v>
      </c>
      <c r="M888">
        <v>2</v>
      </c>
      <c r="N888" t="s">
        <v>2148</v>
      </c>
      <c r="O888" t="s">
        <v>1447</v>
      </c>
      <c r="P888" t="s">
        <v>5717</v>
      </c>
      <c r="Q888" t="s">
        <v>1443</v>
      </c>
      <c r="R888" t="s">
        <v>5728</v>
      </c>
      <c r="S888" t="s">
        <v>5733</v>
      </c>
    </row>
    <row r="889" spans="1:19">
      <c r="A889" t="s">
        <v>6986</v>
      </c>
      <c r="B889" t="s">
        <v>5751</v>
      </c>
      <c r="C889" t="s">
        <v>3968</v>
      </c>
      <c r="D889">
        <v>224</v>
      </c>
      <c r="E889" t="s">
        <v>1541</v>
      </c>
      <c r="F889">
        <v>5</v>
      </c>
      <c r="I889" t="s">
        <v>3560</v>
      </c>
      <c r="J889" t="s">
        <v>38</v>
      </c>
      <c r="K889" t="s">
        <v>38</v>
      </c>
      <c r="L889">
        <v>4</v>
      </c>
      <c r="M889">
        <v>3</v>
      </c>
      <c r="N889" t="s">
        <v>5752</v>
      </c>
      <c r="O889" t="s">
        <v>1457</v>
      </c>
      <c r="P889" t="s">
        <v>5013</v>
      </c>
      <c r="Q889" t="s">
        <v>1443</v>
      </c>
      <c r="R889" t="s">
        <v>5726</v>
      </c>
      <c r="S889" t="s">
        <v>5753</v>
      </c>
    </row>
    <row r="890" spans="1:19">
      <c r="A890" t="s">
        <v>6987</v>
      </c>
      <c r="B890" t="s">
        <v>5754</v>
      </c>
      <c r="C890" t="s">
        <v>3968</v>
      </c>
      <c r="D890">
        <v>224</v>
      </c>
      <c r="E890" t="s">
        <v>1541</v>
      </c>
      <c r="F890">
        <v>5</v>
      </c>
      <c r="I890" t="s">
        <v>3560</v>
      </c>
      <c r="J890" t="s">
        <v>38</v>
      </c>
      <c r="K890" t="s">
        <v>38</v>
      </c>
      <c r="L890">
        <v>4</v>
      </c>
      <c r="M890">
        <v>3</v>
      </c>
      <c r="N890" t="s">
        <v>5752</v>
      </c>
      <c r="O890" t="s">
        <v>1457</v>
      </c>
      <c r="P890" t="s">
        <v>5083</v>
      </c>
      <c r="Q890" t="s">
        <v>1443</v>
      </c>
      <c r="R890" t="s">
        <v>5734</v>
      </c>
      <c r="S890" t="s">
        <v>5755</v>
      </c>
    </row>
    <row r="891" spans="1:19">
      <c r="A891" t="s">
        <v>6980</v>
      </c>
      <c r="B891" t="s">
        <v>5734</v>
      </c>
      <c r="C891" t="s">
        <v>3968</v>
      </c>
      <c r="D891">
        <v>222</v>
      </c>
      <c r="E891" t="s">
        <v>5699</v>
      </c>
      <c r="G891">
        <v>1</v>
      </c>
      <c r="I891" t="s">
        <v>3560</v>
      </c>
      <c r="J891" t="s">
        <v>38</v>
      </c>
      <c r="K891" t="s">
        <v>38</v>
      </c>
      <c r="L891">
        <v>5</v>
      </c>
      <c r="M891">
        <v>2</v>
      </c>
      <c r="N891" t="s">
        <v>2152</v>
      </c>
      <c r="O891" t="s">
        <v>1513</v>
      </c>
      <c r="P891" t="s">
        <v>5002</v>
      </c>
      <c r="Q891" t="s">
        <v>1513</v>
      </c>
      <c r="R891" t="s">
        <v>5724</v>
      </c>
      <c r="S891" t="s">
        <v>5735</v>
      </c>
    </row>
    <row r="892" spans="1:19">
      <c r="A892" t="s">
        <v>6981</v>
      </c>
      <c r="B892" t="s">
        <v>5736</v>
      </c>
      <c r="C892" t="s">
        <v>3968</v>
      </c>
      <c r="D892">
        <v>222</v>
      </c>
      <c r="E892" t="s">
        <v>5737</v>
      </c>
      <c r="F892">
        <v>10</v>
      </c>
      <c r="G892">
        <v>1</v>
      </c>
      <c r="I892" t="s">
        <v>3560</v>
      </c>
      <c r="J892" t="s">
        <v>38</v>
      </c>
      <c r="K892" t="s">
        <v>38</v>
      </c>
      <c r="L892">
        <v>5</v>
      </c>
      <c r="M892">
        <v>3</v>
      </c>
      <c r="N892" t="s">
        <v>5738</v>
      </c>
      <c r="O892" t="s">
        <v>1457</v>
      </c>
      <c r="P892" t="s">
        <v>5147</v>
      </c>
      <c r="Q892" t="s">
        <v>5739</v>
      </c>
      <c r="R892" t="s">
        <v>1444</v>
      </c>
      <c r="S892" t="s">
        <v>5740</v>
      </c>
    </row>
    <row r="893" spans="1:19">
      <c r="A893" t="s">
        <v>6982</v>
      </c>
      <c r="B893" t="s">
        <v>5741</v>
      </c>
      <c r="C893" t="s">
        <v>3968</v>
      </c>
      <c r="D893">
        <v>222</v>
      </c>
      <c r="E893" t="s">
        <v>1456</v>
      </c>
      <c r="F893">
        <v>4</v>
      </c>
      <c r="G893">
        <v>1</v>
      </c>
      <c r="I893" t="s">
        <v>3560</v>
      </c>
      <c r="J893" t="s">
        <v>38</v>
      </c>
      <c r="K893" t="s">
        <v>38</v>
      </c>
      <c r="L893">
        <v>5</v>
      </c>
      <c r="M893">
        <v>3</v>
      </c>
      <c r="N893" t="s">
        <v>2158</v>
      </c>
      <c r="O893" t="s">
        <v>1457</v>
      </c>
      <c r="P893" t="s">
        <v>5287</v>
      </c>
      <c r="Q893" t="s">
        <v>1804</v>
      </c>
      <c r="R893" t="s">
        <v>1444</v>
      </c>
      <c r="S893" t="s">
        <v>5742</v>
      </c>
    </row>
    <row r="894" spans="1:19">
      <c r="A894" t="s">
        <v>6983</v>
      </c>
      <c r="B894" t="s">
        <v>5743</v>
      </c>
      <c r="C894" t="s">
        <v>3968</v>
      </c>
      <c r="D894">
        <v>222</v>
      </c>
      <c r="E894" t="s">
        <v>2775</v>
      </c>
      <c r="F894">
        <v>4</v>
      </c>
      <c r="G894">
        <v>1</v>
      </c>
      <c r="H894" t="s">
        <v>2269</v>
      </c>
      <c r="I894" t="s">
        <v>3560</v>
      </c>
      <c r="J894" t="s">
        <v>38</v>
      </c>
      <c r="K894" t="s">
        <v>38</v>
      </c>
      <c r="L894">
        <v>5</v>
      </c>
      <c r="M894">
        <v>3</v>
      </c>
      <c r="N894" t="s">
        <v>2158</v>
      </c>
      <c r="O894" t="s">
        <v>1457</v>
      </c>
      <c r="P894" t="s">
        <v>5155</v>
      </c>
      <c r="Q894" t="s">
        <v>1473</v>
      </c>
      <c r="R894" t="s">
        <v>1444</v>
      </c>
      <c r="S894" t="s">
        <v>5744</v>
      </c>
    </row>
    <row r="895" spans="1:19">
      <c r="A895" t="s">
        <v>6984</v>
      </c>
      <c r="B895" t="s">
        <v>5745</v>
      </c>
      <c r="C895" t="s">
        <v>3968</v>
      </c>
      <c r="D895">
        <v>223</v>
      </c>
      <c r="E895" t="s">
        <v>1599</v>
      </c>
      <c r="F895">
        <v>10</v>
      </c>
      <c r="G895">
        <v>1</v>
      </c>
      <c r="I895" t="s">
        <v>3560</v>
      </c>
      <c r="J895" t="s">
        <v>38</v>
      </c>
      <c r="K895" t="s">
        <v>38</v>
      </c>
      <c r="L895">
        <v>5</v>
      </c>
      <c r="M895">
        <v>3</v>
      </c>
      <c r="N895" t="s">
        <v>2158</v>
      </c>
      <c r="O895" t="s">
        <v>1457</v>
      </c>
      <c r="P895" t="s">
        <v>5112</v>
      </c>
      <c r="Q895" t="s">
        <v>1443</v>
      </c>
      <c r="R895" t="s">
        <v>1444</v>
      </c>
      <c r="S895" t="s">
        <v>5746</v>
      </c>
    </row>
    <row r="896" spans="1:19">
      <c r="A896" t="s">
        <v>6985</v>
      </c>
      <c r="B896" t="s">
        <v>5747</v>
      </c>
      <c r="C896" t="s">
        <v>3968</v>
      </c>
      <c r="D896">
        <v>223</v>
      </c>
      <c r="E896" t="s">
        <v>5748</v>
      </c>
      <c r="F896">
        <v>10</v>
      </c>
      <c r="G896">
        <v>1</v>
      </c>
      <c r="H896" t="s">
        <v>5121</v>
      </c>
      <c r="I896" t="s">
        <v>3560</v>
      </c>
      <c r="J896" t="s">
        <v>38</v>
      </c>
      <c r="K896" t="s">
        <v>38</v>
      </c>
      <c r="L896">
        <v>5</v>
      </c>
      <c r="M896">
        <v>3</v>
      </c>
      <c r="N896" t="s">
        <v>2158</v>
      </c>
      <c r="O896" t="s">
        <v>1457</v>
      </c>
      <c r="P896" t="s">
        <v>5749</v>
      </c>
      <c r="Q896" t="s">
        <v>1443</v>
      </c>
      <c r="R896" t="s">
        <v>5734</v>
      </c>
      <c r="S896" t="s">
        <v>5750</v>
      </c>
    </row>
    <row r="897" spans="1:19">
      <c r="A897" t="s">
        <v>6988</v>
      </c>
      <c r="B897" t="s">
        <v>5756</v>
      </c>
      <c r="C897" t="s">
        <v>3968</v>
      </c>
      <c r="D897">
        <v>224</v>
      </c>
      <c r="E897" t="s">
        <v>5757</v>
      </c>
      <c r="F897">
        <v>1</v>
      </c>
      <c r="H897" t="s">
        <v>5757</v>
      </c>
      <c r="I897" t="s">
        <v>3560</v>
      </c>
      <c r="J897" t="s">
        <v>38</v>
      </c>
      <c r="K897" t="s">
        <v>38</v>
      </c>
      <c r="L897">
        <v>5</v>
      </c>
      <c r="M897">
        <v>4</v>
      </c>
      <c r="N897" t="s">
        <v>2168</v>
      </c>
      <c r="O897" t="s">
        <v>1457</v>
      </c>
      <c r="P897" t="s">
        <v>5002</v>
      </c>
      <c r="Q897" t="s">
        <v>1443</v>
      </c>
      <c r="R897" t="s">
        <v>5758</v>
      </c>
      <c r="S897" t="s">
        <v>5759</v>
      </c>
    </row>
    <row r="898" spans="1:19">
      <c r="A898" t="s">
        <v>6989</v>
      </c>
      <c r="B898" t="s">
        <v>5760</v>
      </c>
      <c r="C898" t="s">
        <v>3968</v>
      </c>
      <c r="D898">
        <v>224</v>
      </c>
      <c r="E898" t="s">
        <v>5761</v>
      </c>
      <c r="F898">
        <v>5</v>
      </c>
      <c r="H898" t="s">
        <v>5757</v>
      </c>
      <c r="I898" t="s">
        <v>3560</v>
      </c>
      <c r="J898" t="s">
        <v>38</v>
      </c>
      <c r="K898" t="s">
        <v>38</v>
      </c>
      <c r="L898">
        <v>5</v>
      </c>
      <c r="M898">
        <v>5</v>
      </c>
      <c r="N898" t="s">
        <v>2176</v>
      </c>
      <c r="O898" t="s">
        <v>1441</v>
      </c>
      <c r="P898" t="s">
        <v>5002</v>
      </c>
      <c r="Q898" t="s">
        <v>1443</v>
      </c>
      <c r="R898" t="s">
        <v>5756</v>
      </c>
      <c r="S898" t="s">
        <v>5762</v>
      </c>
    </row>
    <row r="899" spans="1:19">
      <c r="A899" t="s">
        <v>4547</v>
      </c>
      <c r="B899" t="s">
        <v>921</v>
      </c>
      <c r="C899" t="s">
        <v>3607</v>
      </c>
      <c r="D899" t="s">
        <v>928</v>
      </c>
      <c r="E899" t="s">
        <v>1460</v>
      </c>
      <c r="F899">
        <v>2</v>
      </c>
      <c r="I899" t="s">
        <v>3238</v>
      </c>
      <c r="J899" t="s">
        <v>39</v>
      </c>
      <c r="K899" t="s">
        <v>39</v>
      </c>
      <c r="L899">
        <v>1</v>
      </c>
      <c r="M899">
        <v>1</v>
      </c>
      <c r="N899" t="s">
        <v>2187</v>
      </c>
      <c r="O899" t="s">
        <v>1447</v>
      </c>
      <c r="P899" t="s">
        <v>1444</v>
      </c>
      <c r="Q899" t="s">
        <v>1443</v>
      </c>
      <c r="R899" t="s">
        <v>1444</v>
      </c>
      <c r="S899" t="s">
        <v>2188</v>
      </c>
    </row>
    <row r="900" spans="1:19">
      <c r="A900" t="s">
        <v>4552</v>
      </c>
      <c r="B900" t="s">
        <v>922</v>
      </c>
      <c r="C900" t="s">
        <v>3607</v>
      </c>
      <c r="D900" t="s">
        <v>923</v>
      </c>
      <c r="E900" t="s">
        <v>1439</v>
      </c>
      <c r="F900">
        <v>1</v>
      </c>
      <c r="I900" t="s">
        <v>3238</v>
      </c>
      <c r="J900" t="s">
        <v>39</v>
      </c>
      <c r="K900" t="s">
        <v>39</v>
      </c>
      <c r="L900">
        <v>1</v>
      </c>
      <c r="M900">
        <v>1</v>
      </c>
      <c r="N900" t="s">
        <v>2187</v>
      </c>
      <c r="O900" t="s">
        <v>1447</v>
      </c>
      <c r="P900" t="s">
        <v>1444</v>
      </c>
      <c r="Q900" t="s">
        <v>1443</v>
      </c>
      <c r="R900" t="s">
        <v>1444</v>
      </c>
      <c r="S900" t="s">
        <v>2197</v>
      </c>
    </row>
    <row r="901" spans="1:19">
      <c r="A901" t="s">
        <v>4581</v>
      </c>
      <c r="B901" t="s">
        <v>3729</v>
      </c>
      <c r="C901" t="s">
        <v>3602</v>
      </c>
      <c r="D901">
        <v>18</v>
      </c>
      <c r="E901" t="s">
        <v>1439</v>
      </c>
      <c r="F901">
        <v>1</v>
      </c>
      <c r="I901" t="s">
        <v>3238</v>
      </c>
      <c r="J901" t="s">
        <v>39</v>
      </c>
      <c r="K901" t="s">
        <v>39</v>
      </c>
      <c r="L901">
        <v>1</v>
      </c>
      <c r="M901">
        <v>1</v>
      </c>
      <c r="N901" t="s">
        <v>2187</v>
      </c>
      <c r="O901" t="s">
        <v>1447</v>
      </c>
      <c r="P901" t="s">
        <v>1463</v>
      </c>
      <c r="Q901" t="s">
        <v>1443</v>
      </c>
      <c r="R901" t="s">
        <v>1444</v>
      </c>
      <c r="S901" t="s">
        <v>3730</v>
      </c>
    </row>
    <row r="902" spans="1:19">
      <c r="A902" t="s">
        <v>4543</v>
      </c>
      <c r="B902" t="s">
        <v>931</v>
      </c>
      <c r="C902" t="s">
        <v>3607</v>
      </c>
      <c r="D902" t="s">
        <v>932</v>
      </c>
      <c r="E902" t="s">
        <v>1450</v>
      </c>
      <c r="F902">
        <v>3</v>
      </c>
      <c r="I902" t="s">
        <v>3238</v>
      </c>
      <c r="J902" t="s">
        <v>39</v>
      </c>
      <c r="K902" t="s">
        <v>39</v>
      </c>
      <c r="L902">
        <v>2</v>
      </c>
      <c r="M902">
        <v>1</v>
      </c>
      <c r="N902" t="s">
        <v>2179</v>
      </c>
      <c r="O902" t="s">
        <v>1441</v>
      </c>
      <c r="P902" t="s">
        <v>1442</v>
      </c>
      <c r="Q902" t="s">
        <v>1443</v>
      </c>
      <c r="R902" t="s">
        <v>1444</v>
      </c>
      <c r="S902" t="s">
        <v>2180</v>
      </c>
    </row>
    <row r="903" spans="1:19">
      <c r="A903" t="s">
        <v>4545</v>
      </c>
      <c r="B903" t="s">
        <v>959</v>
      </c>
      <c r="C903" t="s">
        <v>3607</v>
      </c>
      <c r="D903">
        <v>346</v>
      </c>
      <c r="E903" t="s">
        <v>1450</v>
      </c>
      <c r="F903">
        <v>3</v>
      </c>
      <c r="I903" t="s">
        <v>3238</v>
      </c>
      <c r="J903" t="s">
        <v>39</v>
      </c>
      <c r="K903" t="s">
        <v>39</v>
      </c>
      <c r="L903">
        <v>2</v>
      </c>
      <c r="M903">
        <v>1</v>
      </c>
      <c r="N903" t="s">
        <v>2179</v>
      </c>
      <c r="O903" t="s">
        <v>1447</v>
      </c>
      <c r="P903" t="s">
        <v>1444</v>
      </c>
      <c r="Q903" t="s">
        <v>1443</v>
      </c>
      <c r="R903" t="s">
        <v>931</v>
      </c>
      <c r="S903" t="s">
        <v>2184</v>
      </c>
    </row>
    <row r="904" spans="1:19">
      <c r="A904" t="s">
        <v>4544</v>
      </c>
      <c r="B904" t="s">
        <v>934</v>
      </c>
      <c r="C904" t="s">
        <v>3607</v>
      </c>
      <c r="D904" t="s">
        <v>935</v>
      </c>
      <c r="E904" t="s">
        <v>2181</v>
      </c>
      <c r="F904" t="s">
        <v>2181</v>
      </c>
      <c r="I904" t="s">
        <v>3238</v>
      </c>
      <c r="J904" t="s">
        <v>39</v>
      </c>
      <c r="K904" t="s">
        <v>39</v>
      </c>
      <c r="L904">
        <v>3</v>
      </c>
      <c r="M904">
        <v>1</v>
      </c>
      <c r="N904" t="s">
        <v>2182</v>
      </c>
      <c r="O904" t="s">
        <v>1441</v>
      </c>
      <c r="P904" t="s">
        <v>1463</v>
      </c>
      <c r="Q904" t="s">
        <v>1443</v>
      </c>
      <c r="R904" t="s">
        <v>931</v>
      </c>
      <c r="S904" t="s">
        <v>2183</v>
      </c>
    </row>
    <row r="905" spans="1:19">
      <c r="A905" t="s">
        <v>4546</v>
      </c>
      <c r="B905" t="s">
        <v>957</v>
      </c>
      <c r="C905" t="s">
        <v>3607</v>
      </c>
      <c r="D905" t="s">
        <v>958</v>
      </c>
      <c r="E905" t="s">
        <v>2185</v>
      </c>
      <c r="F905">
        <v>1</v>
      </c>
      <c r="G905">
        <v>1</v>
      </c>
      <c r="H905" t="s">
        <v>3603</v>
      </c>
      <c r="I905" t="s">
        <v>3238</v>
      </c>
      <c r="J905" t="s">
        <v>39</v>
      </c>
      <c r="K905" t="s">
        <v>39</v>
      </c>
      <c r="L905">
        <v>3</v>
      </c>
      <c r="M905">
        <v>1</v>
      </c>
      <c r="N905" t="s">
        <v>2182</v>
      </c>
      <c r="O905" t="s">
        <v>1447</v>
      </c>
      <c r="P905" t="s">
        <v>1444</v>
      </c>
      <c r="Q905" t="s">
        <v>1443</v>
      </c>
      <c r="R905" t="s">
        <v>959</v>
      </c>
      <c r="S905" t="s">
        <v>2186</v>
      </c>
    </row>
    <row r="906" spans="1:19">
      <c r="A906" t="s">
        <v>4548</v>
      </c>
      <c r="B906" t="s">
        <v>919</v>
      </c>
      <c r="C906" t="s">
        <v>3607</v>
      </c>
      <c r="D906" t="s">
        <v>920</v>
      </c>
      <c r="E906" t="s">
        <v>1541</v>
      </c>
      <c r="F906">
        <v>5</v>
      </c>
      <c r="I906" t="s">
        <v>3238</v>
      </c>
      <c r="J906" t="s">
        <v>39</v>
      </c>
      <c r="K906" t="s">
        <v>39</v>
      </c>
      <c r="L906">
        <v>3</v>
      </c>
      <c r="M906">
        <v>1</v>
      </c>
      <c r="N906" t="s">
        <v>2182</v>
      </c>
      <c r="O906" t="s">
        <v>1447</v>
      </c>
      <c r="P906" t="s">
        <v>1444</v>
      </c>
      <c r="Q906" t="s">
        <v>2189</v>
      </c>
      <c r="R906" t="s">
        <v>921</v>
      </c>
      <c r="S906" t="s">
        <v>2190</v>
      </c>
    </row>
    <row r="907" spans="1:19">
      <c r="A907" t="s">
        <v>4553</v>
      </c>
      <c r="B907" t="s">
        <v>971</v>
      </c>
      <c r="C907" t="s">
        <v>3607</v>
      </c>
      <c r="D907" t="s">
        <v>923</v>
      </c>
      <c r="E907" t="s">
        <v>1439</v>
      </c>
      <c r="F907">
        <v>1</v>
      </c>
      <c r="I907" t="s">
        <v>3238</v>
      </c>
      <c r="J907" t="s">
        <v>39</v>
      </c>
      <c r="K907" t="s">
        <v>39</v>
      </c>
      <c r="L907">
        <v>3</v>
      </c>
      <c r="M907">
        <v>1</v>
      </c>
      <c r="N907" t="s">
        <v>2182</v>
      </c>
      <c r="O907" t="s">
        <v>1457</v>
      </c>
      <c r="P907" t="s">
        <v>1444</v>
      </c>
      <c r="Q907" t="s">
        <v>1547</v>
      </c>
      <c r="R907" t="s">
        <v>922</v>
      </c>
      <c r="S907" t="s">
        <v>2198</v>
      </c>
    </row>
    <row r="908" spans="1:19">
      <c r="A908" t="s">
        <v>4559</v>
      </c>
      <c r="B908" t="s">
        <v>945</v>
      </c>
      <c r="C908" t="s">
        <v>3607</v>
      </c>
      <c r="D908">
        <v>349</v>
      </c>
      <c r="E908" t="s">
        <v>2208</v>
      </c>
      <c r="F908" t="s">
        <v>2208</v>
      </c>
      <c r="I908" t="s">
        <v>3238</v>
      </c>
      <c r="J908" t="s">
        <v>39</v>
      </c>
      <c r="K908" t="s">
        <v>39</v>
      </c>
      <c r="L908">
        <v>3</v>
      </c>
      <c r="M908">
        <v>2</v>
      </c>
      <c r="N908" t="s">
        <v>2209</v>
      </c>
      <c r="O908" t="s">
        <v>1447</v>
      </c>
      <c r="P908" t="s">
        <v>1444</v>
      </c>
      <c r="Q908" t="s">
        <v>1443</v>
      </c>
      <c r="R908" t="s">
        <v>921</v>
      </c>
      <c r="S908" t="s">
        <v>2210</v>
      </c>
    </row>
    <row r="909" spans="1:19">
      <c r="A909" t="s">
        <v>4563</v>
      </c>
      <c r="B909" t="s">
        <v>941</v>
      </c>
      <c r="C909" t="s">
        <v>3607</v>
      </c>
      <c r="D909" t="s">
        <v>942</v>
      </c>
      <c r="E909" t="s">
        <v>1467</v>
      </c>
      <c r="F909">
        <v>5</v>
      </c>
      <c r="G909">
        <v>1</v>
      </c>
      <c r="I909" t="s">
        <v>3238</v>
      </c>
      <c r="J909" t="s">
        <v>39</v>
      </c>
      <c r="K909" t="s">
        <v>39</v>
      </c>
      <c r="L909">
        <v>3</v>
      </c>
      <c r="M909">
        <v>2</v>
      </c>
      <c r="N909" t="s">
        <v>2209</v>
      </c>
      <c r="O909" t="s">
        <v>1457</v>
      </c>
      <c r="P909" t="s">
        <v>1444</v>
      </c>
      <c r="Q909" t="s">
        <v>1473</v>
      </c>
      <c r="R909" t="s">
        <v>971</v>
      </c>
      <c r="S909" t="s">
        <v>2213</v>
      </c>
    </row>
    <row r="910" spans="1:19">
      <c r="A910" t="s">
        <v>4582</v>
      </c>
      <c r="B910" t="s">
        <v>3731</v>
      </c>
      <c r="C910" t="s">
        <v>3602</v>
      </c>
      <c r="D910">
        <v>18</v>
      </c>
      <c r="E910" t="s">
        <v>1450</v>
      </c>
      <c r="F910">
        <v>3</v>
      </c>
      <c r="I910" t="s">
        <v>3238</v>
      </c>
      <c r="J910" t="s">
        <v>39</v>
      </c>
      <c r="K910" t="s">
        <v>39</v>
      </c>
      <c r="L910">
        <v>3</v>
      </c>
      <c r="M910">
        <v>1</v>
      </c>
      <c r="N910" t="s">
        <v>2182</v>
      </c>
      <c r="O910" t="s">
        <v>1447</v>
      </c>
      <c r="P910" t="s">
        <v>1442</v>
      </c>
      <c r="Q910" t="s">
        <v>1443</v>
      </c>
      <c r="R910" t="s">
        <v>921</v>
      </c>
      <c r="S910" t="s">
        <v>3732</v>
      </c>
    </row>
    <row r="911" spans="1:19">
      <c r="A911" t="s">
        <v>4549</v>
      </c>
      <c r="B911" t="s">
        <v>944</v>
      </c>
      <c r="C911" t="s">
        <v>3607</v>
      </c>
      <c r="D911" t="s">
        <v>973</v>
      </c>
      <c r="E911" t="s">
        <v>1460</v>
      </c>
      <c r="F911">
        <v>2</v>
      </c>
      <c r="I911" t="s">
        <v>3238</v>
      </c>
      <c r="J911" t="s">
        <v>39</v>
      </c>
      <c r="K911" t="s">
        <v>39</v>
      </c>
      <c r="L911">
        <v>4</v>
      </c>
      <c r="M911">
        <v>1</v>
      </c>
      <c r="N911" t="s">
        <v>2191</v>
      </c>
      <c r="O911" t="s">
        <v>1447</v>
      </c>
      <c r="P911" t="s">
        <v>1444</v>
      </c>
      <c r="Q911" t="s">
        <v>1473</v>
      </c>
      <c r="R911" t="s">
        <v>921</v>
      </c>
      <c r="S911" t="s">
        <v>2192</v>
      </c>
    </row>
    <row r="912" spans="1:19">
      <c r="A912" t="s">
        <v>4551</v>
      </c>
      <c r="B912" t="s">
        <v>969</v>
      </c>
      <c r="C912" t="s">
        <v>3607</v>
      </c>
      <c r="D912" t="s">
        <v>970</v>
      </c>
      <c r="E912" t="s">
        <v>1450</v>
      </c>
      <c r="F912">
        <v>3</v>
      </c>
      <c r="I912" t="s">
        <v>3238</v>
      </c>
      <c r="J912" t="s">
        <v>39</v>
      </c>
      <c r="K912" t="s">
        <v>39</v>
      </c>
      <c r="L912">
        <v>4</v>
      </c>
      <c r="M912">
        <v>1</v>
      </c>
      <c r="N912" t="s">
        <v>2191</v>
      </c>
      <c r="O912" t="s">
        <v>1447</v>
      </c>
      <c r="P912" t="s">
        <v>2195</v>
      </c>
      <c r="Q912" t="s">
        <v>1443</v>
      </c>
      <c r="R912" t="s">
        <v>921</v>
      </c>
      <c r="S912" t="s">
        <v>2196</v>
      </c>
    </row>
    <row r="913" spans="1:19">
      <c r="A913" t="s">
        <v>4554</v>
      </c>
      <c r="B913" t="s">
        <v>964</v>
      </c>
      <c r="C913" t="s">
        <v>3607</v>
      </c>
      <c r="D913" t="s">
        <v>965</v>
      </c>
      <c r="E913" t="s">
        <v>1439</v>
      </c>
      <c r="F913">
        <v>1</v>
      </c>
      <c r="I913" t="s">
        <v>3238</v>
      </c>
      <c r="J913" t="s">
        <v>39</v>
      </c>
      <c r="K913" t="s">
        <v>39</v>
      </c>
      <c r="L913">
        <v>4</v>
      </c>
      <c r="M913">
        <v>2</v>
      </c>
      <c r="N913" t="s">
        <v>2199</v>
      </c>
      <c r="O913" t="s">
        <v>1447</v>
      </c>
      <c r="P913" t="s">
        <v>1442</v>
      </c>
      <c r="Q913" t="s">
        <v>1443</v>
      </c>
      <c r="R913" t="s">
        <v>934</v>
      </c>
      <c r="S913" t="s">
        <v>2200</v>
      </c>
    </row>
    <row r="914" spans="1:19">
      <c r="A914" t="s">
        <v>4560</v>
      </c>
      <c r="B914" t="s">
        <v>924</v>
      </c>
      <c r="C914" t="s">
        <v>3607</v>
      </c>
      <c r="D914">
        <v>349</v>
      </c>
      <c r="E914" t="s">
        <v>1511</v>
      </c>
      <c r="F914" t="s">
        <v>1511</v>
      </c>
      <c r="I914" t="s">
        <v>3238</v>
      </c>
      <c r="J914" t="s">
        <v>39</v>
      </c>
      <c r="K914" t="s">
        <v>39</v>
      </c>
      <c r="L914">
        <v>4</v>
      </c>
      <c r="M914">
        <v>2</v>
      </c>
      <c r="N914" t="s">
        <v>2199</v>
      </c>
      <c r="O914" t="s">
        <v>1513</v>
      </c>
      <c r="P914" t="s">
        <v>1444</v>
      </c>
      <c r="Q914" t="s">
        <v>1513</v>
      </c>
      <c r="R914" t="s">
        <v>944</v>
      </c>
      <c r="S914" t="s">
        <v>2211</v>
      </c>
    </row>
    <row r="915" spans="1:19">
      <c r="A915" t="s">
        <v>4564</v>
      </c>
      <c r="B915" t="s">
        <v>954</v>
      </c>
      <c r="C915" t="s">
        <v>3607</v>
      </c>
      <c r="D915">
        <v>350</v>
      </c>
      <c r="E915" t="s">
        <v>1482</v>
      </c>
      <c r="F915">
        <v>7</v>
      </c>
      <c r="I915" t="s">
        <v>3238</v>
      </c>
      <c r="J915" t="s">
        <v>39</v>
      </c>
      <c r="K915" t="s">
        <v>39</v>
      </c>
      <c r="L915">
        <v>4</v>
      </c>
      <c r="M915">
        <v>2</v>
      </c>
      <c r="N915" t="s">
        <v>2199</v>
      </c>
      <c r="O915" t="s">
        <v>1457</v>
      </c>
      <c r="P915" t="s">
        <v>2214</v>
      </c>
      <c r="Q915" t="s">
        <v>1443</v>
      </c>
      <c r="R915" t="s">
        <v>2215</v>
      </c>
      <c r="S915" t="s">
        <v>2216</v>
      </c>
    </row>
    <row r="916" spans="1:19">
      <c r="A916" t="s">
        <v>4565</v>
      </c>
      <c r="B916" t="s">
        <v>966</v>
      </c>
      <c r="C916" t="s">
        <v>3607</v>
      </c>
      <c r="D916" t="s">
        <v>967</v>
      </c>
      <c r="E916" t="s">
        <v>2217</v>
      </c>
      <c r="F916">
        <v>5</v>
      </c>
      <c r="H916" t="s">
        <v>2434</v>
      </c>
      <c r="I916" t="s">
        <v>3238</v>
      </c>
      <c r="J916" t="s">
        <v>39</v>
      </c>
      <c r="K916" t="s">
        <v>39</v>
      </c>
      <c r="L916">
        <v>4</v>
      </c>
      <c r="M916">
        <v>2</v>
      </c>
      <c r="N916" t="s">
        <v>2199</v>
      </c>
      <c r="O916" t="s">
        <v>1457</v>
      </c>
      <c r="P916" t="s">
        <v>1452</v>
      </c>
      <c r="Q916" t="s">
        <v>1443</v>
      </c>
      <c r="R916" t="s">
        <v>2215</v>
      </c>
      <c r="S916" t="s">
        <v>2218</v>
      </c>
    </row>
    <row r="917" spans="1:19">
      <c r="A917" t="s">
        <v>4566</v>
      </c>
      <c r="B917" t="s">
        <v>929</v>
      </c>
      <c r="C917" t="s">
        <v>3607</v>
      </c>
      <c r="D917" t="s">
        <v>930</v>
      </c>
      <c r="E917" t="s">
        <v>1460</v>
      </c>
      <c r="F917">
        <v>2</v>
      </c>
      <c r="I917" t="s">
        <v>3238</v>
      </c>
      <c r="J917" t="s">
        <v>39</v>
      </c>
      <c r="K917" t="s">
        <v>39</v>
      </c>
      <c r="L917">
        <v>4</v>
      </c>
      <c r="M917">
        <v>2</v>
      </c>
      <c r="N917" t="s">
        <v>2199</v>
      </c>
      <c r="O917" t="s">
        <v>1447</v>
      </c>
      <c r="P917" t="s">
        <v>1442</v>
      </c>
      <c r="Q917" t="s">
        <v>1443</v>
      </c>
      <c r="R917" t="s">
        <v>966</v>
      </c>
      <c r="S917" t="s">
        <v>2219</v>
      </c>
    </row>
    <row r="918" spans="1:19">
      <c r="A918" t="s">
        <v>4583</v>
      </c>
      <c r="B918" t="s">
        <v>3733</v>
      </c>
      <c r="C918" t="s">
        <v>3602</v>
      </c>
      <c r="D918">
        <v>19</v>
      </c>
      <c r="E918" t="s">
        <v>3734</v>
      </c>
      <c r="F918">
        <v>1</v>
      </c>
      <c r="H918" t="s">
        <v>2420</v>
      </c>
      <c r="I918" t="s">
        <v>3238</v>
      </c>
      <c r="J918" t="s">
        <v>39</v>
      </c>
      <c r="K918" t="s">
        <v>39</v>
      </c>
      <c r="L918">
        <v>4</v>
      </c>
      <c r="M918">
        <v>1</v>
      </c>
      <c r="N918" t="s">
        <v>2191</v>
      </c>
      <c r="O918" t="s">
        <v>1447</v>
      </c>
      <c r="P918" t="s">
        <v>1442</v>
      </c>
      <c r="Q918" t="s">
        <v>1443</v>
      </c>
      <c r="R918" t="s">
        <v>934</v>
      </c>
      <c r="S918" t="s">
        <v>3735</v>
      </c>
    </row>
    <row r="919" spans="1:19">
      <c r="A919" t="s">
        <v>4584</v>
      </c>
      <c r="B919" t="s">
        <v>3736</v>
      </c>
      <c r="C919" t="s">
        <v>3602</v>
      </c>
      <c r="D919">
        <v>19</v>
      </c>
      <c r="E919" t="s">
        <v>3737</v>
      </c>
      <c r="F919">
        <v>2</v>
      </c>
      <c r="H919" t="s">
        <v>2420</v>
      </c>
      <c r="I919" t="s">
        <v>3238</v>
      </c>
      <c r="J919" t="s">
        <v>39</v>
      </c>
      <c r="K919" t="s">
        <v>39</v>
      </c>
      <c r="L919">
        <v>4</v>
      </c>
      <c r="M919">
        <v>2</v>
      </c>
      <c r="N919" t="s">
        <v>2199</v>
      </c>
      <c r="O919" t="s">
        <v>1447</v>
      </c>
      <c r="P919" t="s">
        <v>1442</v>
      </c>
      <c r="Q919" t="s">
        <v>1443</v>
      </c>
      <c r="R919" t="s">
        <v>934</v>
      </c>
      <c r="S919" t="s">
        <v>3738</v>
      </c>
    </row>
    <row r="920" spans="1:19">
      <c r="A920" t="s">
        <v>4550</v>
      </c>
      <c r="B920" t="s">
        <v>943</v>
      </c>
      <c r="C920" t="s">
        <v>3607</v>
      </c>
      <c r="D920">
        <v>347</v>
      </c>
      <c r="E920" t="s">
        <v>1450</v>
      </c>
      <c r="F920">
        <v>3</v>
      </c>
      <c r="I920" t="s">
        <v>3238</v>
      </c>
      <c r="J920" t="s">
        <v>39</v>
      </c>
      <c r="K920" t="s">
        <v>39</v>
      </c>
      <c r="L920">
        <v>5</v>
      </c>
      <c r="M920">
        <v>1</v>
      </c>
      <c r="N920" t="s">
        <v>2193</v>
      </c>
      <c r="O920" t="s">
        <v>1447</v>
      </c>
      <c r="P920" t="s">
        <v>1444</v>
      </c>
      <c r="Q920" t="s">
        <v>1443</v>
      </c>
      <c r="R920" t="s">
        <v>944</v>
      </c>
      <c r="S920" t="s">
        <v>2194</v>
      </c>
    </row>
    <row r="921" spans="1:19">
      <c r="A921" t="s">
        <v>4555</v>
      </c>
      <c r="B921" t="s">
        <v>916</v>
      </c>
      <c r="C921" t="s">
        <v>3607</v>
      </c>
      <c r="D921">
        <v>347</v>
      </c>
      <c r="E921" t="s">
        <v>1612</v>
      </c>
      <c r="F921" t="s">
        <v>1612</v>
      </c>
      <c r="I921" t="s">
        <v>3238</v>
      </c>
      <c r="J921" t="s">
        <v>39</v>
      </c>
      <c r="K921" t="s">
        <v>39</v>
      </c>
      <c r="L921">
        <v>5</v>
      </c>
      <c r="M921">
        <v>2</v>
      </c>
      <c r="N921" t="s">
        <v>2201</v>
      </c>
      <c r="O921" t="s">
        <v>1513</v>
      </c>
      <c r="P921" t="s">
        <v>1444</v>
      </c>
      <c r="Q921" t="s">
        <v>1513</v>
      </c>
      <c r="R921" t="s">
        <v>959</v>
      </c>
      <c r="S921" t="s">
        <v>2202</v>
      </c>
    </row>
    <row r="922" spans="1:19">
      <c r="A922" t="s">
        <v>4556</v>
      </c>
      <c r="B922" t="s">
        <v>955</v>
      </c>
      <c r="C922" t="s">
        <v>3607</v>
      </c>
      <c r="D922" t="s">
        <v>956</v>
      </c>
      <c r="E922" t="s">
        <v>1467</v>
      </c>
      <c r="F922">
        <v>5</v>
      </c>
      <c r="G922">
        <v>1</v>
      </c>
      <c r="I922" t="s">
        <v>3238</v>
      </c>
      <c r="J922" t="s">
        <v>39</v>
      </c>
      <c r="K922" t="s">
        <v>39</v>
      </c>
      <c r="L922">
        <v>5</v>
      </c>
      <c r="M922">
        <v>2</v>
      </c>
      <c r="N922" t="s">
        <v>2201</v>
      </c>
      <c r="O922" t="s">
        <v>1457</v>
      </c>
      <c r="P922" t="s">
        <v>1452</v>
      </c>
      <c r="Q922" t="s">
        <v>1443</v>
      </c>
      <c r="R922" t="s">
        <v>957</v>
      </c>
      <c r="S922" t="s">
        <v>2203</v>
      </c>
    </row>
    <row r="923" spans="1:19">
      <c r="A923" t="s">
        <v>4557</v>
      </c>
      <c r="B923" t="s">
        <v>936</v>
      </c>
      <c r="C923" t="s">
        <v>3607</v>
      </c>
      <c r="D923" t="s">
        <v>937</v>
      </c>
      <c r="E923" t="s">
        <v>1467</v>
      </c>
      <c r="F923">
        <v>5</v>
      </c>
      <c r="G923">
        <v>1</v>
      </c>
      <c r="I923" t="s">
        <v>3238</v>
      </c>
      <c r="J923" t="s">
        <v>39</v>
      </c>
      <c r="K923" t="s">
        <v>39</v>
      </c>
      <c r="L923">
        <v>5</v>
      </c>
      <c r="M923">
        <v>2</v>
      </c>
      <c r="N923" t="s">
        <v>2201</v>
      </c>
      <c r="O923" t="s">
        <v>1457</v>
      </c>
      <c r="P923" t="s">
        <v>1444</v>
      </c>
      <c r="Q923" t="s">
        <v>1473</v>
      </c>
      <c r="R923" t="s">
        <v>919</v>
      </c>
      <c r="S923" t="s">
        <v>2204</v>
      </c>
    </row>
    <row r="924" spans="1:19">
      <c r="A924" t="s">
        <v>4558</v>
      </c>
      <c r="B924" t="s">
        <v>947</v>
      </c>
      <c r="C924" t="s">
        <v>3607</v>
      </c>
      <c r="D924" t="s">
        <v>948</v>
      </c>
      <c r="E924" t="s">
        <v>2205</v>
      </c>
      <c r="H924" t="s">
        <v>2205</v>
      </c>
      <c r="I924" t="s">
        <v>3238</v>
      </c>
      <c r="J924" t="s">
        <v>39</v>
      </c>
      <c r="K924" t="s">
        <v>39</v>
      </c>
      <c r="L924">
        <v>5</v>
      </c>
      <c r="M924">
        <v>2</v>
      </c>
      <c r="N924" t="s">
        <v>2201</v>
      </c>
      <c r="O924" t="s">
        <v>1447</v>
      </c>
      <c r="P924" t="s">
        <v>2206</v>
      </c>
      <c r="Q924" t="s">
        <v>1443</v>
      </c>
      <c r="R924" t="s">
        <v>919</v>
      </c>
      <c r="S924" t="s">
        <v>2207</v>
      </c>
    </row>
    <row r="925" spans="1:19">
      <c r="A925" t="s">
        <v>4561</v>
      </c>
      <c r="B925" t="s">
        <v>972</v>
      </c>
      <c r="C925" t="s">
        <v>3607</v>
      </c>
      <c r="D925">
        <v>349</v>
      </c>
      <c r="E925" t="s">
        <v>1465</v>
      </c>
      <c r="F925">
        <v>1</v>
      </c>
      <c r="G925">
        <v>1</v>
      </c>
      <c r="I925" t="s">
        <v>3238</v>
      </c>
      <c r="J925" t="s">
        <v>39</v>
      </c>
      <c r="K925" t="s">
        <v>39</v>
      </c>
      <c r="L925">
        <v>5</v>
      </c>
      <c r="M925">
        <v>2</v>
      </c>
      <c r="N925" t="s">
        <v>2201</v>
      </c>
      <c r="O925" t="s">
        <v>1447</v>
      </c>
      <c r="P925" t="s">
        <v>1444</v>
      </c>
      <c r="Q925" t="s">
        <v>1600</v>
      </c>
      <c r="R925" t="s">
        <v>944</v>
      </c>
      <c r="S925" t="s">
        <v>2212</v>
      </c>
    </row>
    <row r="926" spans="1:19">
      <c r="A926" t="s">
        <v>4562</v>
      </c>
      <c r="B926" t="s">
        <v>962</v>
      </c>
      <c r="C926" t="s">
        <v>3607</v>
      </c>
      <c r="D926" t="s">
        <v>963</v>
      </c>
      <c r="E926" t="s">
        <v>1541</v>
      </c>
      <c r="F926">
        <v>5</v>
      </c>
      <c r="I926" t="s">
        <v>3238</v>
      </c>
      <c r="J926" t="s">
        <v>39</v>
      </c>
      <c r="K926" t="s">
        <v>39</v>
      </c>
      <c r="L926">
        <v>5</v>
      </c>
      <c r="M926">
        <v>2</v>
      </c>
      <c r="N926" t="s">
        <v>2201</v>
      </c>
      <c r="O926" t="s">
        <v>1457</v>
      </c>
      <c r="P926" t="s">
        <v>2195</v>
      </c>
      <c r="Q926" t="s">
        <v>2189</v>
      </c>
      <c r="R926" t="s">
        <v>969</v>
      </c>
      <c r="S926" t="s">
        <v>3728</v>
      </c>
    </row>
    <row r="927" spans="1:19">
      <c r="A927" t="s">
        <v>4567</v>
      </c>
      <c r="B927" t="s">
        <v>940</v>
      </c>
      <c r="C927" t="s">
        <v>3607</v>
      </c>
      <c r="D927">
        <v>350</v>
      </c>
      <c r="E927" t="s">
        <v>1511</v>
      </c>
      <c r="F927" t="s">
        <v>1511</v>
      </c>
      <c r="I927" t="s">
        <v>3238</v>
      </c>
      <c r="J927" t="s">
        <v>39</v>
      </c>
      <c r="K927" t="s">
        <v>39</v>
      </c>
      <c r="L927">
        <v>5</v>
      </c>
      <c r="M927">
        <v>3</v>
      </c>
      <c r="N927" t="s">
        <v>2220</v>
      </c>
      <c r="O927" t="s">
        <v>1513</v>
      </c>
      <c r="P927" t="s">
        <v>1444</v>
      </c>
      <c r="Q927" t="s">
        <v>1513</v>
      </c>
      <c r="R927" t="s">
        <v>964</v>
      </c>
      <c r="S927" t="s">
        <v>2221</v>
      </c>
    </row>
    <row r="928" spans="1:19">
      <c r="A928" t="s">
        <v>4568</v>
      </c>
      <c r="B928" t="s">
        <v>949</v>
      </c>
      <c r="C928" t="s">
        <v>3607</v>
      </c>
      <c r="D928" t="s">
        <v>950</v>
      </c>
      <c r="E928" t="s">
        <v>1486</v>
      </c>
      <c r="F928">
        <v>3</v>
      </c>
      <c r="H928" t="s">
        <v>2434</v>
      </c>
      <c r="I928" t="s">
        <v>3238</v>
      </c>
      <c r="J928" t="s">
        <v>39</v>
      </c>
      <c r="K928" t="s">
        <v>39</v>
      </c>
      <c r="L928">
        <v>5</v>
      </c>
      <c r="M928">
        <v>3</v>
      </c>
      <c r="N928" t="s">
        <v>2220</v>
      </c>
      <c r="O928" t="s">
        <v>1441</v>
      </c>
      <c r="P928" t="s">
        <v>2222</v>
      </c>
      <c r="Q928" t="s">
        <v>1443</v>
      </c>
      <c r="R928" t="s">
        <v>964</v>
      </c>
      <c r="S928" t="s">
        <v>2223</v>
      </c>
    </row>
    <row r="929" spans="1:19">
      <c r="A929" t="s">
        <v>4569</v>
      </c>
      <c r="B929" t="s">
        <v>952</v>
      </c>
      <c r="C929" t="s">
        <v>3607</v>
      </c>
      <c r="D929" t="s">
        <v>953</v>
      </c>
      <c r="E929" t="s">
        <v>1511</v>
      </c>
      <c r="F929" t="s">
        <v>1511</v>
      </c>
      <c r="I929" t="s">
        <v>3238</v>
      </c>
      <c r="J929" t="s">
        <v>39</v>
      </c>
      <c r="K929" t="s">
        <v>39</v>
      </c>
      <c r="L929">
        <v>5</v>
      </c>
      <c r="M929">
        <v>3</v>
      </c>
      <c r="N929" t="s">
        <v>2220</v>
      </c>
      <c r="O929" t="s">
        <v>1513</v>
      </c>
      <c r="P929" t="s">
        <v>1444</v>
      </c>
      <c r="Q929" t="s">
        <v>1513</v>
      </c>
      <c r="R929" t="s">
        <v>955</v>
      </c>
      <c r="S929" t="s">
        <v>2224</v>
      </c>
    </row>
    <row r="930" spans="1:19">
      <c r="A930" t="s">
        <v>4570</v>
      </c>
      <c r="B930" t="s">
        <v>960</v>
      </c>
      <c r="C930" t="s">
        <v>3607</v>
      </c>
      <c r="D930">
        <v>351</v>
      </c>
      <c r="E930" t="s">
        <v>1592</v>
      </c>
      <c r="F930" t="s">
        <v>3699</v>
      </c>
      <c r="G930">
        <v>1</v>
      </c>
      <c r="I930" t="s">
        <v>3238</v>
      </c>
      <c r="J930" t="s">
        <v>39</v>
      </c>
      <c r="K930" t="s">
        <v>39</v>
      </c>
      <c r="L930">
        <v>5</v>
      </c>
      <c r="M930">
        <v>3</v>
      </c>
      <c r="N930" t="s">
        <v>2220</v>
      </c>
      <c r="O930" t="s">
        <v>1447</v>
      </c>
      <c r="P930" t="s">
        <v>1444</v>
      </c>
      <c r="Q930" t="s">
        <v>1443</v>
      </c>
      <c r="R930" t="s">
        <v>2225</v>
      </c>
      <c r="S930" t="s">
        <v>2226</v>
      </c>
    </row>
    <row r="931" spans="1:19">
      <c r="A931" t="s">
        <v>4571</v>
      </c>
      <c r="B931" t="s">
        <v>938</v>
      </c>
      <c r="C931" t="s">
        <v>3607</v>
      </c>
      <c r="D931" t="s">
        <v>939</v>
      </c>
      <c r="E931" t="s">
        <v>1456</v>
      </c>
      <c r="F931">
        <v>4</v>
      </c>
      <c r="G931">
        <v>1</v>
      </c>
      <c r="I931" t="s">
        <v>3238</v>
      </c>
      <c r="J931" t="s">
        <v>39</v>
      </c>
      <c r="K931" t="s">
        <v>39</v>
      </c>
      <c r="L931">
        <v>5</v>
      </c>
      <c r="M931">
        <v>3</v>
      </c>
      <c r="N931" t="s">
        <v>2220</v>
      </c>
      <c r="O931" t="s">
        <v>1447</v>
      </c>
      <c r="P931" t="s">
        <v>2227</v>
      </c>
      <c r="Q931" t="s">
        <v>1443</v>
      </c>
      <c r="R931" t="s">
        <v>2228</v>
      </c>
      <c r="S931" t="s">
        <v>2229</v>
      </c>
    </row>
    <row r="932" spans="1:19">
      <c r="A932" t="s">
        <v>4572</v>
      </c>
      <c r="B932" t="s">
        <v>933</v>
      </c>
      <c r="C932" t="s">
        <v>3607</v>
      </c>
      <c r="D932">
        <v>352</v>
      </c>
      <c r="E932" t="s">
        <v>1465</v>
      </c>
      <c r="F932">
        <v>1</v>
      </c>
      <c r="G932">
        <v>1</v>
      </c>
      <c r="I932" t="s">
        <v>3238</v>
      </c>
      <c r="J932" t="s">
        <v>39</v>
      </c>
      <c r="K932" t="s">
        <v>39</v>
      </c>
      <c r="L932">
        <v>5</v>
      </c>
      <c r="M932">
        <v>3</v>
      </c>
      <c r="N932" t="s">
        <v>2220</v>
      </c>
      <c r="O932" t="s">
        <v>1447</v>
      </c>
      <c r="P932" t="s">
        <v>1630</v>
      </c>
      <c r="Q932" t="s">
        <v>1443</v>
      </c>
      <c r="R932" t="s">
        <v>938</v>
      </c>
      <c r="S932" t="s">
        <v>2230</v>
      </c>
    </row>
    <row r="933" spans="1:19">
      <c r="A933" t="s">
        <v>4573</v>
      </c>
      <c r="B933" t="s">
        <v>2231</v>
      </c>
      <c r="C933" t="s">
        <v>3607</v>
      </c>
      <c r="D933">
        <v>352</v>
      </c>
      <c r="E933" t="s">
        <v>2232</v>
      </c>
      <c r="F933" t="s">
        <v>2232</v>
      </c>
      <c r="I933" t="s">
        <v>3238</v>
      </c>
      <c r="J933" t="s">
        <v>39</v>
      </c>
      <c r="K933" t="s">
        <v>39</v>
      </c>
      <c r="L933">
        <v>5</v>
      </c>
      <c r="M933">
        <v>3</v>
      </c>
      <c r="N933" t="s">
        <v>2220</v>
      </c>
      <c r="O933" t="s">
        <v>1513</v>
      </c>
      <c r="P933" t="s">
        <v>1444</v>
      </c>
      <c r="Q933" t="s">
        <v>1513</v>
      </c>
      <c r="R933" t="s">
        <v>933</v>
      </c>
      <c r="S933" t="s">
        <v>2233</v>
      </c>
    </row>
    <row r="934" spans="1:19">
      <c r="A934" t="s">
        <v>4574</v>
      </c>
      <c r="B934" t="s">
        <v>951</v>
      </c>
      <c r="C934" t="s">
        <v>3607</v>
      </c>
      <c r="D934">
        <v>352</v>
      </c>
      <c r="E934" t="s">
        <v>1599</v>
      </c>
      <c r="F934">
        <v>10</v>
      </c>
      <c r="G934">
        <v>1</v>
      </c>
      <c r="I934" t="s">
        <v>3238</v>
      </c>
      <c r="J934" t="s">
        <v>39</v>
      </c>
      <c r="K934" t="s">
        <v>39</v>
      </c>
      <c r="L934">
        <v>5</v>
      </c>
      <c r="M934">
        <v>3</v>
      </c>
      <c r="N934" t="s">
        <v>2220</v>
      </c>
      <c r="O934" t="s">
        <v>1457</v>
      </c>
      <c r="P934" t="s">
        <v>1444</v>
      </c>
      <c r="Q934" t="s">
        <v>1473</v>
      </c>
      <c r="R934" t="s">
        <v>941</v>
      </c>
      <c r="S934" t="s">
        <v>2234</v>
      </c>
    </row>
    <row r="935" spans="1:19">
      <c r="A935" t="s">
        <v>4575</v>
      </c>
      <c r="B935" t="s">
        <v>926</v>
      </c>
      <c r="C935" t="s">
        <v>3607</v>
      </c>
      <c r="D935" t="s">
        <v>927</v>
      </c>
      <c r="E935" t="s">
        <v>1467</v>
      </c>
      <c r="F935">
        <v>5</v>
      </c>
      <c r="G935">
        <v>1</v>
      </c>
      <c r="I935" t="s">
        <v>3238</v>
      </c>
      <c r="J935" t="s">
        <v>39</v>
      </c>
      <c r="K935" t="s">
        <v>39</v>
      </c>
      <c r="L935">
        <v>5</v>
      </c>
      <c r="M935">
        <v>3</v>
      </c>
      <c r="N935" t="s">
        <v>2220</v>
      </c>
      <c r="O935" t="s">
        <v>1457</v>
      </c>
      <c r="P935" t="s">
        <v>1444</v>
      </c>
      <c r="Q935" t="s">
        <v>1473</v>
      </c>
      <c r="R935" t="s">
        <v>929</v>
      </c>
      <c r="S935" t="s">
        <v>2235</v>
      </c>
    </row>
    <row r="936" spans="1:19">
      <c r="A936" t="s">
        <v>4576</v>
      </c>
      <c r="B936" t="s">
        <v>968</v>
      </c>
      <c r="C936" t="s">
        <v>3607</v>
      </c>
      <c r="D936" t="s">
        <v>927</v>
      </c>
      <c r="E936" t="s">
        <v>1511</v>
      </c>
      <c r="F936" t="s">
        <v>1511</v>
      </c>
      <c r="I936" t="s">
        <v>3238</v>
      </c>
      <c r="J936" t="s">
        <v>39</v>
      </c>
      <c r="K936" t="s">
        <v>39</v>
      </c>
      <c r="L936">
        <v>5</v>
      </c>
      <c r="M936">
        <v>3</v>
      </c>
      <c r="N936" t="s">
        <v>2220</v>
      </c>
      <c r="O936" t="s">
        <v>1513</v>
      </c>
      <c r="P936" t="s">
        <v>1444</v>
      </c>
      <c r="Q936" t="s">
        <v>1513</v>
      </c>
      <c r="R936" t="s">
        <v>926</v>
      </c>
      <c r="S936" t="s">
        <v>2236</v>
      </c>
    </row>
    <row r="937" spans="1:19">
      <c r="A937" t="s">
        <v>4577</v>
      </c>
      <c r="B937" t="s">
        <v>917</v>
      </c>
      <c r="C937" t="s">
        <v>3607</v>
      </c>
      <c r="D937" t="s">
        <v>918</v>
      </c>
      <c r="E937" t="s">
        <v>2237</v>
      </c>
      <c r="F937">
        <v>5</v>
      </c>
      <c r="G937">
        <v>1</v>
      </c>
      <c r="H937" t="s">
        <v>2434</v>
      </c>
      <c r="I937" t="s">
        <v>3238</v>
      </c>
      <c r="J937" t="s">
        <v>39</v>
      </c>
      <c r="K937" t="s">
        <v>39</v>
      </c>
      <c r="L937">
        <v>5</v>
      </c>
      <c r="M937">
        <v>3</v>
      </c>
      <c r="N937" t="s">
        <v>2220</v>
      </c>
      <c r="O937" t="s">
        <v>1457</v>
      </c>
      <c r="P937" t="s">
        <v>1452</v>
      </c>
      <c r="Q937" t="s">
        <v>1443</v>
      </c>
      <c r="R937" t="s">
        <v>926</v>
      </c>
      <c r="S937" t="s">
        <v>2238</v>
      </c>
    </row>
    <row r="938" spans="1:19">
      <c r="A938" t="s">
        <v>4578</v>
      </c>
      <c r="B938" t="s">
        <v>946</v>
      </c>
      <c r="C938" t="s">
        <v>3607</v>
      </c>
      <c r="D938">
        <v>353</v>
      </c>
      <c r="E938" t="s">
        <v>1543</v>
      </c>
      <c r="F938">
        <v>7</v>
      </c>
      <c r="G938">
        <v>1</v>
      </c>
      <c r="I938" t="s">
        <v>3238</v>
      </c>
      <c r="J938" t="s">
        <v>39</v>
      </c>
      <c r="K938" t="s">
        <v>39</v>
      </c>
      <c r="L938">
        <v>5</v>
      </c>
      <c r="M938">
        <v>4</v>
      </c>
      <c r="N938" t="s">
        <v>2239</v>
      </c>
      <c r="O938" t="s">
        <v>1457</v>
      </c>
      <c r="P938" t="s">
        <v>2240</v>
      </c>
      <c r="Q938" t="s">
        <v>1443</v>
      </c>
      <c r="R938" t="s">
        <v>952</v>
      </c>
      <c r="S938" t="s">
        <v>2241</v>
      </c>
    </row>
    <row r="939" spans="1:19">
      <c r="A939" t="s">
        <v>4579</v>
      </c>
      <c r="B939" t="s">
        <v>925</v>
      </c>
      <c r="C939" t="s">
        <v>3607</v>
      </c>
      <c r="D939">
        <v>353</v>
      </c>
      <c r="E939" t="s">
        <v>2242</v>
      </c>
      <c r="F939">
        <v>6</v>
      </c>
      <c r="H939" t="s">
        <v>2434</v>
      </c>
      <c r="I939" t="s">
        <v>3238</v>
      </c>
      <c r="J939" t="s">
        <v>39</v>
      </c>
      <c r="K939" t="s">
        <v>39</v>
      </c>
      <c r="L939">
        <v>5</v>
      </c>
      <c r="M939">
        <v>5</v>
      </c>
      <c r="N939" t="s">
        <v>2243</v>
      </c>
      <c r="O939" t="s">
        <v>1447</v>
      </c>
      <c r="P939" t="s">
        <v>2244</v>
      </c>
      <c r="Q939" t="s">
        <v>1443</v>
      </c>
      <c r="R939" t="s">
        <v>946</v>
      </c>
      <c r="S939" t="s">
        <v>2245</v>
      </c>
    </row>
    <row r="940" spans="1:19">
      <c r="A940" t="s">
        <v>4580</v>
      </c>
      <c r="B940" t="s">
        <v>961</v>
      </c>
      <c r="C940" t="s">
        <v>3607</v>
      </c>
      <c r="D940">
        <v>353</v>
      </c>
      <c r="E940" t="s">
        <v>1932</v>
      </c>
      <c r="F940" t="s">
        <v>1932</v>
      </c>
      <c r="I940" t="s">
        <v>3238</v>
      </c>
      <c r="J940" t="s">
        <v>39</v>
      </c>
      <c r="K940" t="s">
        <v>39</v>
      </c>
      <c r="L940">
        <v>5</v>
      </c>
      <c r="M940">
        <v>5</v>
      </c>
      <c r="N940" t="s">
        <v>2243</v>
      </c>
      <c r="O940" t="s">
        <v>1513</v>
      </c>
      <c r="P940" t="s">
        <v>1452</v>
      </c>
      <c r="Q940" t="s">
        <v>1513</v>
      </c>
      <c r="R940" t="s">
        <v>947</v>
      </c>
      <c r="S940" t="s">
        <v>2246</v>
      </c>
    </row>
    <row r="941" spans="1:19">
      <c r="A941" t="s">
        <v>4585</v>
      </c>
      <c r="B941" t="s">
        <v>3739</v>
      </c>
      <c r="C941" t="s">
        <v>3602</v>
      </c>
      <c r="D941">
        <v>19</v>
      </c>
      <c r="E941" t="s">
        <v>3740</v>
      </c>
      <c r="F941">
        <v>6</v>
      </c>
      <c r="H941" t="s">
        <v>3741</v>
      </c>
      <c r="I941" t="s">
        <v>3238</v>
      </c>
      <c r="J941" t="s">
        <v>39</v>
      </c>
      <c r="K941" t="s">
        <v>39</v>
      </c>
      <c r="L941">
        <v>5</v>
      </c>
      <c r="M941">
        <v>3</v>
      </c>
      <c r="N941" t="s">
        <v>2220</v>
      </c>
      <c r="O941" t="s">
        <v>1447</v>
      </c>
      <c r="P941" t="s">
        <v>1620</v>
      </c>
      <c r="Q941" t="s">
        <v>1473</v>
      </c>
      <c r="R941" t="s">
        <v>3742</v>
      </c>
      <c r="S941" t="s">
        <v>3743</v>
      </c>
    </row>
    <row r="942" spans="1:19">
      <c r="A942" t="s">
        <v>4586</v>
      </c>
      <c r="B942" t="s">
        <v>3744</v>
      </c>
      <c r="C942" t="s">
        <v>3602</v>
      </c>
      <c r="D942">
        <v>19</v>
      </c>
      <c r="E942" t="s">
        <v>1479</v>
      </c>
      <c r="F942">
        <v>6</v>
      </c>
      <c r="G942">
        <v>1</v>
      </c>
      <c r="I942" t="s">
        <v>3238</v>
      </c>
      <c r="J942" t="s">
        <v>39</v>
      </c>
      <c r="K942" t="s">
        <v>39</v>
      </c>
      <c r="L942">
        <v>5</v>
      </c>
      <c r="M942">
        <v>3</v>
      </c>
      <c r="N942" t="s">
        <v>2220</v>
      </c>
      <c r="O942" t="s">
        <v>1447</v>
      </c>
      <c r="P942" t="s">
        <v>1624</v>
      </c>
      <c r="Q942" t="s">
        <v>1443</v>
      </c>
      <c r="R942" t="s">
        <v>3745</v>
      </c>
      <c r="S942" t="s">
        <v>3746</v>
      </c>
    </row>
    <row r="943" spans="1:19">
      <c r="A943" t="s">
        <v>4587</v>
      </c>
      <c r="B943" t="s">
        <v>3747</v>
      </c>
      <c r="C943" t="s">
        <v>3602</v>
      </c>
      <c r="D943">
        <v>20</v>
      </c>
      <c r="E943" t="s">
        <v>1541</v>
      </c>
      <c r="F943">
        <v>5</v>
      </c>
      <c r="I943" t="s">
        <v>3238</v>
      </c>
      <c r="J943" t="s">
        <v>39</v>
      </c>
      <c r="K943" t="s">
        <v>39</v>
      </c>
      <c r="L943">
        <v>5</v>
      </c>
      <c r="M943">
        <v>3</v>
      </c>
      <c r="N943" t="s">
        <v>2220</v>
      </c>
      <c r="O943" t="s">
        <v>1447</v>
      </c>
      <c r="P943" t="s">
        <v>1452</v>
      </c>
      <c r="Q943" t="s">
        <v>1443</v>
      </c>
      <c r="R943" t="s">
        <v>933</v>
      </c>
      <c r="S943" t="s">
        <v>3748</v>
      </c>
    </row>
    <row r="944" spans="1:19">
      <c r="A944" t="s">
        <v>4588</v>
      </c>
      <c r="B944" t="s">
        <v>3749</v>
      </c>
      <c r="C944" t="s">
        <v>3602</v>
      </c>
      <c r="D944">
        <v>21</v>
      </c>
      <c r="E944" t="s">
        <v>1479</v>
      </c>
      <c r="F944">
        <v>6</v>
      </c>
      <c r="G944">
        <v>1</v>
      </c>
      <c r="I944" t="s">
        <v>3238</v>
      </c>
      <c r="J944" t="s">
        <v>39</v>
      </c>
      <c r="K944" t="s">
        <v>39</v>
      </c>
      <c r="L944">
        <v>5</v>
      </c>
      <c r="M944">
        <v>3</v>
      </c>
      <c r="N944" t="s">
        <v>2220</v>
      </c>
      <c r="O944" t="s">
        <v>1447</v>
      </c>
      <c r="P944" t="s">
        <v>1630</v>
      </c>
      <c r="Q944" t="s">
        <v>1443</v>
      </c>
      <c r="R944" t="s">
        <v>933</v>
      </c>
      <c r="S944" t="s">
        <v>3750</v>
      </c>
    </row>
    <row r="945" spans="1:19">
      <c r="A945" t="s">
        <v>4589</v>
      </c>
      <c r="B945" t="s">
        <v>3751</v>
      </c>
      <c r="C945" t="s">
        <v>3602</v>
      </c>
      <c r="D945">
        <v>21</v>
      </c>
      <c r="E945" t="s">
        <v>1476</v>
      </c>
      <c r="F945">
        <v>3</v>
      </c>
      <c r="G945">
        <v>1</v>
      </c>
      <c r="I945" t="s">
        <v>3238</v>
      </c>
      <c r="J945" t="s">
        <v>39</v>
      </c>
      <c r="K945" t="s">
        <v>39</v>
      </c>
      <c r="L945">
        <v>5</v>
      </c>
      <c r="M945">
        <v>3</v>
      </c>
      <c r="N945" t="s">
        <v>2220</v>
      </c>
      <c r="O945" t="s">
        <v>1441</v>
      </c>
      <c r="P945" t="s">
        <v>3752</v>
      </c>
      <c r="Q945" t="s">
        <v>1443</v>
      </c>
      <c r="R945" t="s">
        <v>3753</v>
      </c>
      <c r="S945" t="s">
        <v>3754</v>
      </c>
    </row>
    <row r="946" spans="1:19">
      <c r="A946" t="s">
        <v>4590</v>
      </c>
      <c r="B946" t="s">
        <v>3755</v>
      </c>
      <c r="C946" t="s">
        <v>3602</v>
      </c>
      <c r="D946">
        <v>21</v>
      </c>
      <c r="E946" t="s">
        <v>3756</v>
      </c>
      <c r="F946" t="s">
        <v>3756</v>
      </c>
      <c r="I946" t="s">
        <v>3238</v>
      </c>
      <c r="J946" t="s">
        <v>39</v>
      </c>
      <c r="K946" t="s">
        <v>39</v>
      </c>
      <c r="L946">
        <v>5</v>
      </c>
      <c r="M946">
        <v>3</v>
      </c>
      <c r="N946" t="s">
        <v>2220</v>
      </c>
      <c r="O946" t="s">
        <v>1457</v>
      </c>
      <c r="P946" t="s">
        <v>1442</v>
      </c>
      <c r="Q946" t="s">
        <v>1547</v>
      </c>
      <c r="R946" t="s">
        <v>964</v>
      </c>
      <c r="S946" t="s">
        <v>3757</v>
      </c>
    </row>
    <row r="947" spans="1:19">
      <c r="A947" t="s">
        <v>6990</v>
      </c>
      <c r="B947" t="s">
        <v>5763</v>
      </c>
      <c r="C947" t="s">
        <v>3968</v>
      </c>
      <c r="D947">
        <v>225</v>
      </c>
      <c r="E947" t="s">
        <v>5175</v>
      </c>
      <c r="F947">
        <v>1</v>
      </c>
      <c r="I947" t="s">
        <v>3560</v>
      </c>
      <c r="J947" t="s">
        <v>39</v>
      </c>
      <c r="K947" t="s">
        <v>39</v>
      </c>
      <c r="L947">
        <v>1</v>
      </c>
      <c r="M947">
        <v>1</v>
      </c>
      <c r="N947" t="s">
        <v>5764</v>
      </c>
      <c r="O947" t="s">
        <v>5176</v>
      </c>
      <c r="P947" t="s">
        <v>5368</v>
      </c>
      <c r="Q947" t="s">
        <v>1443</v>
      </c>
      <c r="R947" t="s">
        <v>1444</v>
      </c>
      <c r="S947" t="s">
        <v>5765</v>
      </c>
    </row>
    <row r="948" spans="1:19">
      <c r="A948" t="s">
        <v>6991</v>
      </c>
      <c r="B948" t="s">
        <v>5766</v>
      </c>
      <c r="C948" t="s">
        <v>3968</v>
      </c>
      <c r="D948">
        <v>225</v>
      </c>
      <c r="E948" t="s">
        <v>1450</v>
      </c>
      <c r="F948">
        <v>3</v>
      </c>
      <c r="I948" t="s">
        <v>3560</v>
      </c>
      <c r="J948" t="s">
        <v>39</v>
      </c>
      <c r="K948" t="s">
        <v>39</v>
      </c>
      <c r="L948">
        <v>2</v>
      </c>
      <c r="M948">
        <v>1</v>
      </c>
      <c r="N948" t="s">
        <v>2179</v>
      </c>
      <c r="O948" t="s">
        <v>1441</v>
      </c>
      <c r="P948" t="s">
        <v>5767</v>
      </c>
      <c r="Q948" t="s">
        <v>1443</v>
      </c>
      <c r="R948" t="s">
        <v>1444</v>
      </c>
      <c r="S948" t="s">
        <v>5768</v>
      </c>
    </row>
    <row r="949" spans="1:19">
      <c r="A949" t="s">
        <v>6992</v>
      </c>
      <c r="B949" t="s">
        <v>5769</v>
      </c>
      <c r="C949" t="s">
        <v>3968</v>
      </c>
      <c r="D949">
        <v>225</v>
      </c>
      <c r="E949" t="s">
        <v>1554</v>
      </c>
      <c r="F949">
        <v>4</v>
      </c>
      <c r="I949" t="s">
        <v>3560</v>
      </c>
      <c r="J949" t="s">
        <v>39</v>
      </c>
      <c r="K949" t="s">
        <v>39</v>
      </c>
      <c r="L949">
        <v>2</v>
      </c>
      <c r="M949">
        <v>1</v>
      </c>
      <c r="N949" t="s">
        <v>2179</v>
      </c>
      <c r="O949" t="s">
        <v>1447</v>
      </c>
      <c r="P949" t="s">
        <v>5770</v>
      </c>
      <c r="Q949" t="s">
        <v>2189</v>
      </c>
      <c r="R949" t="s">
        <v>1444</v>
      </c>
      <c r="S949" t="s">
        <v>5771</v>
      </c>
    </row>
    <row r="950" spans="1:19">
      <c r="A950" t="s">
        <v>6993</v>
      </c>
      <c r="B950" t="s">
        <v>5772</v>
      </c>
      <c r="C950" t="s">
        <v>3968</v>
      </c>
      <c r="D950">
        <v>225</v>
      </c>
      <c r="E950" t="s">
        <v>3734</v>
      </c>
      <c r="F950">
        <v>1</v>
      </c>
      <c r="H950" t="s">
        <v>2420</v>
      </c>
      <c r="I950" t="s">
        <v>3560</v>
      </c>
      <c r="J950" t="s">
        <v>39</v>
      </c>
      <c r="K950" t="s">
        <v>39</v>
      </c>
      <c r="L950">
        <v>3</v>
      </c>
      <c r="M950">
        <v>1</v>
      </c>
      <c r="N950" t="s">
        <v>2182</v>
      </c>
      <c r="O950" t="s">
        <v>1447</v>
      </c>
      <c r="P950" t="s">
        <v>5773</v>
      </c>
      <c r="Q950" t="s">
        <v>1443</v>
      </c>
      <c r="R950" t="s">
        <v>5769</v>
      </c>
      <c r="S950" t="s">
        <v>5774</v>
      </c>
    </row>
    <row r="951" spans="1:19">
      <c r="A951" t="s">
        <v>6994</v>
      </c>
      <c r="B951" t="s">
        <v>5775</v>
      </c>
      <c r="C951" t="s">
        <v>3968</v>
      </c>
      <c r="D951">
        <v>225</v>
      </c>
      <c r="E951" t="s">
        <v>3737</v>
      </c>
      <c r="F951">
        <v>2</v>
      </c>
      <c r="H951" t="s">
        <v>2420</v>
      </c>
      <c r="I951" t="s">
        <v>3560</v>
      </c>
      <c r="J951" t="s">
        <v>39</v>
      </c>
      <c r="K951" t="s">
        <v>39</v>
      </c>
      <c r="L951">
        <v>3</v>
      </c>
      <c r="M951">
        <v>1</v>
      </c>
      <c r="N951" t="s">
        <v>2182</v>
      </c>
      <c r="O951" t="s">
        <v>1447</v>
      </c>
      <c r="P951" t="s">
        <v>5194</v>
      </c>
      <c r="Q951" t="s">
        <v>1443</v>
      </c>
      <c r="R951" t="s">
        <v>5769</v>
      </c>
      <c r="S951" t="s">
        <v>5776</v>
      </c>
    </row>
    <row r="952" spans="1:19">
      <c r="A952" t="s">
        <v>6995</v>
      </c>
      <c r="B952" t="s">
        <v>5777</v>
      </c>
      <c r="C952" t="s">
        <v>3968</v>
      </c>
      <c r="D952">
        <v>225</v>
      </c>
      <c r="E952" t="s">
        <v>1476</v>
      </c>
      <c r="F952">
        <v>3</v>
      </c>
      <c r="G952">
        <v>1</v>
      </c>
      <c r="I952" t="s">
        <v>3560</v>
      </c>
      <c r="J952" t="s">
        <v>39</v>
      </c>
      <c r="K952" t="s">
        <v>39</v>
      </c>
      <c r="L952">
        <v>3</v>
      </c>
      <c r="M952">
        <v>2</v>
      </c>
      <c r="N952" t="s">
        <v>2209</v>
      </c>
      <c r="O952" t="s">
        <v>1441</v>
      </c>
      <c r="P952" t="s">
        <v>5778</v>
      </c>
      <c r="Q952" t="s">
        <v>1443</v>
      </c>
      <c r="R952" t="s">
        <v>5766</v>
      </c>
      <c r="S952" t="s">
        <v>5779</v>
      </c>
    </row>
    <row r="953" spans="1:19">
      <c r="A953" t="s">
        <v>6997</v>
      </c>
      <c r="B953" t="s">
        <v>5783</v>
      </c>
      <c r="C953" t="s">
        <v>3968</v>
      </c>
      <c r="D953">
        <v>225</v>
      </c>
      <c r="E953" t="s">
        <v>5784</v>
      </c>
      <c r="F953">
        <v>3</v>
      </c>
      <c r="H953" t="s">
        <v>5201</v>
      </c>
      <c r="I953" t="s">
        <v>3560</v>
      </c>
      <c r="J953" t="s">
        <v>39</v>
      </c>
      <c r="K953" t="s">
        <v>39</v>
      </c>
      <c r="L953">
        <v>3</v>
      </c>
      <c r="M953">
        <v>2</v>
      </c>
      <c r="N953" t="s">
        <v>2209</v>
      </c>
      <c r="O953" t="s">
        <v>1447</v>
      </c>
      <c r="P953" t="s">
        <v>1444</v>
      </c>
      <c r="Q953" t="s">
        <v>1443</v>
      </c>
      <c r="R953" t="s">
        <v>1444</v>
      </c>
      <c r="S953" t="s">
        <v>5785</v>
      </c>
    </row>
    <row r="954" spans="1:19">
      <c r="A954" t="s">
        <v>6999</v>
      </c>
      <c r="B954" t="s">
        <v>5788</v>
      </c>
      <c r="C954" t="s">
        <v>3968</v>
      </c>
      <c r="D954">
        <v>226</v>
      </c>
      <c r="E954" t="s">
        <v>3687</v>
      </c>
      <c r="I954" t="s">
        <v>3560</v>
      </c>
      <c r="J954" t="s">
        <v>39</v>
      </c>
      <c r="K954" t="s">
        <v>39</v>
      </c>
      <c r="L954">
        <v>3</v>
      </c>
      <c r="M954">
        <v>2</v>
      </c>
      <c r="N954" t="s">
        <v>2209</v>
      </c>
      <c r="O954" t="s">
        <v>1447</v>
      </c>
      <c r="P954" t="s">
        <v>1444</v>
      </c>
      <c r="Q954" t="s">
        <v>1473</v>
      </c>
      <c r="R954" t="s">
        <v>5783</v>
      </c>
      <c r="S954" t="s">
        <v>5789</v>
      </c>
    </row>
    <row r="955" spans="1:19">
      <c r="A955" t="s">
        <v>6996</v>
      </c>
      <c r="B955" t="s">
        <v>5780</v>
      </c>
      <c r="C955" t="s">
        <v>3968</v>
      </c>
      <c r="D955">
        <v>225</v>
      </c>
      <c r="E955" t="s">
        <v>2861</v>
      </c>
      <c r="F955">
        <v>4</v>
      </c>
      <c r="H955" t="s">
        <v>2420</v>
      </c>
      <c r="I955" t="s">
        <v>3560</v>
      </c>
      <c r="J955" t="s">
        <v>39</v>
      </c>
      <c r="K955" t="s">
        <v>39</v>
      </c>
      <c r="L955">
        <v>4</v>
      </c>
      <c r="M955">
        <v>2</v>
      </c>
      <c r="N955" t="s">
        <v>2199</v>
      </c>
      <c r="O955" t="s">
        <v>1441</v>
      </c>
      <c r="P955" t="s">
        <v>5781</v>
      </c>
      <c r="Q955" t="s">
        <v>1443</v>
      </c>
      <c r="R955" t="s">
        <v>5777</v>
      </c>
      <c r="S955" t="s">
        <v>5782</v>
      </c>
    </row>
    <row r="956" spans="1:19">
      <c r="A956" t="s">
        <v>6998</v>
      </c>
      <c r="B956" t="s">
        <v>5786</v>
      </c>
      <c r="C956" t="s">
        <v>3968</v>
      </c>
      <c r="D956">
        <v>226</v>
      </c>
      <c r="E956" t="s">
        <v>1541</v>
      </c>
      <c r="F956">
        <v>5</v>
      </c>
      <c r="I956" t="s">
        <v>3560</v>
      </c>
      <c r="J956" t="s">
        <v>39</v>
      </c>
      <c r="K956" t="s">
        <v>39</v>
      </c>
      <c r="L956">
        <v>4</v>
      </c>
      <c r="M956">
        <v>2</v>
      </c>
      <c r="N956" t="s">
        <v>2199</v>
      </c>
      <c r="O956" t="s">
        <v>1441</v>
      </c>
      <c r="P956" t="s">
        <v>5770</v>
      </c>
      <c r="Q956" t="s">
        <v>1443</v>
      </c>
      <c r="R956" t="s">
        <v>5772</v>
      </c>
      <c r="S956" t="s">
        <v>5787</v>
      </c>
    </row>
    <row r="957" spans="1:19">
      <c r="A957" t="s">
        <v>7000</v>
      </c>
      <c r="B957" t="s">
        <v>5790</v>
      </c>
      <c r="C957" t="s">
        <v>3968</v>
      </c>
      <c r="D957">
        <v>226</v>
      </c>
      <c r="E957" t="s">
        <v>1486</v>
      </c>
      <c r="F957">
        <v>3</v>
      </c>
      <c r="H957" t="s">
        <v>2434</v>
      </c>
      <c r="I957" t="s">
        <v>3560</v>
      </c>
      <c r="J957" t="s">
        <v>39</v>
      </c>
      <c r="K957" t="s">
        <v>39</v>
      </c>
      <c r="L957">
        <v>4</v>
      </c>
      <c r="M957">
        <v>2</v>
      </c>
      <c r="N957" t="s">
        <v>2199</v>
      </c>
      <c r="O957" t="s">
        <v>1457</v>
      </c>
      <c r="P957" t="s">
        <v>5118</v>
      </c>
      <c r="Q957" t="s">
        <v>1473</v>
      </c>
      <c r="R957" t="s">
        <v>5769</v>
      </c>
      <c r="S957" t="s">
        <v>5791</v>
      </c>
    </row>
    <row r="958" spans="1:19">
      <c r="A958" t="s">
        <v>7007</v>
      </c>
      <c r="B958" t="s">
        <v>5811</v>
      </c>
      <c r="C958" t="s">
        <v>3968</v>
      </c>
      <c r="D958">
        <v>228</v>
      </c>
      <c r="E958" t="s">
        <v>1692</v>
      </c>
      <c r="F958">
        <v>8</v>
      </c>
      <c r="I958" t="s">
        <v>3560</v>
      </c>
      <c r="J958" t="s">
        <v>39</v>
      </c>
      <c r="K958" t="s">
        <v>39</v>
      </c>
      <c r="L958">
        <v>4</v>
      </c>
      <c r="M958">
        <v>3</v>
      </c>
      <c r="N958" t="s">
        <v>5812</v>
      </c>
      <c r="O958" t="s">
        <v>1457</v>
      </c>
      <c r="P958" t="s">
        <v>5124</v>
      </c>
      <c r="Q958" t="s">
        <v>1443</v>
      </c>
      <c r="R958" t="s">
        <v>5777</v>
      </c>
      <c r="S958" t="s">
        <v>5813</v>
      </c>
    </row>
    <row r="959" spans="1:19">
      <c r="A959" t="s">
        <v>7010</v>
      </c>
      <c r="B959" t="s">
        <v>5820</v>
      </c>
      <c r="C959" t="s">
        <v>3968</v>
      </c>
      <c r="D959">
        <v>228</v>
      </c>
      <c r="E959" t="s">
        <v>1467</v>
      </c>
      <c r="F959">
        <v>5</v>
      </c>
      <c r="G959">
        <v>1</v>
      </c>
      <c r="I959" t="s">
        <v>3560</v>
      </c>
      <c r="J959" t="s">
        <v>39</v>
      </c>
      <c r="K959" t="s">
        <v>39</v>
      </c>
      <c r="L959">
        <v>4</v>
      </c>
      <c r="M959">
        <v>3</v>
      </c>
      <c r="N959" t="s">
        <v>5812</v>
      </c>
      <c r="O959" t="s">
        <v>1447</v>
      </c>
      <c r="P959" t="s">
        <v>5717</v>
      </c>
      <c r="Q959" t="s">
        <v>1473</v>
      </c>
      <c r="R959" t="s">
        <v>5783</v>
      </c>
      <c r="S959" t="s">
        <v>5821</v>
      </c>
    </row>
    <row r="960" spans="1:19">
      <c r="A960" t="s">
        <v>7001</v>
      </c>
      <c r="B960" t="s">
        <v>5792</v>
      </c>
      <c r="C960" t="s">
        <v>3968</v>
      </c>
      <c r="D960">
        <v>226</v>
      </c>
      <c r="E960" t="s">
        <v>1554</v>
      </c>
      <c r="F960">
        <v>4</v>
      </c>
      <c r="I960" t="s">
        <v>3560</v>
      </c>
      <c r="J960" t="s">
        <v>39</v>
      </c>
      <c r="K960" t="s">
        <v>39</v>
      </c>
      <c r="L960">
        <v>5</v>
      </c>
      <c r="M960">
        <v>2</v>
      </c>
      <c r="N960" t="s">
        <v>2201</v>
      </c>
      <c r="O960" t="s">
        <v>1447</v>
      </c>
      <c r="P960" t="s">
        <v>5793</v>
      </c>
      <c r="Q960" t="s">
        <v>1443</v>
      </c>
      <c r="R960" t="s">
        <v>5790</v>
      </c>
      <c r="S960" t="s">
        <v>5794</v>
      </c>
    </row>
    <row r="961" spans="1:19">
      <c r="A961" t="s">
        <v>7002</v>
      </c>
      <c r="B961" t="s">
        <v>5795</v>
      </c>
      <c r="C961" t="s">
        <v>3968</v>
      </c>
      <c r="D961">
        <v>227</v>
      </c>
      <c r="E961" t="s">
        <v>5025</v>
      </c>
      <c r="F961">
        <v>4</v>
      </c>
      <c r="G961">
        <v>1</v>
      </c>
      <c r="H961" t="s">
        <v>5026</v>
      </c>
      <c r="I961" t="s">
        <v>3560</v>
      </c>
      <c r="J961" t="s">
        <v>39</v>
      </c>
      <c r="K961" t="s">
        <v>39</v>
      </c>
      <c r="L961">
        <v>5</v>
      </c>
      <c r="M961">
        <v>3</v>
      </c>
      <c r="N961" t="s">
        <v>5796</v>
      </c>
      <c r="O961" t="s">
        <v>1447</v>
      </c>
      <c r="P961" t="s">
        <v>5028</v>
      </c>
      <c r="Q961" t="s">
        <v>1443</v>
      </c>
      <c r="R961" t="s">
        <v>1444</v>
      </c>
      <c r="S961" t="s">
        <v>5797</v>
      </c>
    </row>
    <row r="962" spans="1:19">
      <c r="A962" t="s">
        <v>7003</v>
      </c>
      <c r="B962" t="s">
        <v>5798</v>
      </c>
      <c r="C962" t="s">
        <v>3968</v>
      </c>
      <c r="D962">
        <v>227</v>
      </c>
      <c r="E962" t="s">
        <v>5799</v>
      </c>
      <c r="F962">
        <v>10</v>
      </c>
      <c r="G962">
        <v>1</v>
      </c>
      <c r="H962" t="s">
        <v>5108</v>
      </c>
      <c r="I962" t="s">
        <v>3560</v>
      </c>
      <c r="J962" t="s">
        <v>39</v>
      </c>
      <c r="K962" t="s">
        <v>39</v>
      </c>
      <c r="L962">
        <v>5</v>
      </c>
      <c r="M962">
        <v>3</v>
      </c>
      <c r="N962" t="s">
        <v>5796</v>
      </c>
      <c r="O962" t="s">
        <v>1457</v>
      </c>
      <c r="P962" t="s">
        <v>5036</v>
      </c>
      <c r="Q962" t="s">
        <v>1443</v>
      </c>
      <c r="R962" t="s">
        <v>1444</v>
      </c>
      <c r="S962" t="s">
        <v>5800</v>
      </c>
    </row>
    <row r="963" spans="1:19">
      <c r="A963" t="s">
        <v>7004</v>
      </c>
      <c r="B963" t="s">
        <v>5801</v>
      </c>
      <c r="C963" t="s">
        <v>3968</v>
      </c>
      <c r="D963">
        <v>227</v>
      </c>
      <c r="E963" t="s">
        <v>1924</v>
      </c>
      <c r="F963">
        <v>2</v>
      </c>
      <c r="G963">
        <v>1</v>
      </c>
      <c r="I963" t="s">
        <v>3560</v>
      </c>
      <c r="J963" t="s">
        <v>39</v>
      </c>
      <c r="K963" t="s">
        <v>39</v>
      </c>
      <c r="L963">
        <v>5</v>
      </c>
      <c r="M963">
        <v>3</v>
      </c>
      <c r="N963" t="s">
        <v>2220</v>
      </c>
      <c r="O963" t="s">
        <v>1457</v>
      </c>
      <c r="P963" t="s">
        <v>5555</v>
      </c>
      <c r="Q963" t="s">
        <v>1443</v>
      </c>
      <c r="R963" t="s">
        <v>1444</v>
      </c>
      <c r="S963" t="s">
        <v>5802</v>
      </c>
    </row>
    <row r="964" spans="1:19">
      <c r="A964" t="s">
        <v>7005</v>
      </c>
      <c r="B964" t="s">
        <v>5803</v>
      </c>
      <c r="C964" t="s">
        <v>3968</v>
      </c>
      <c r="D964">
        <v>227</v>
      </c>
      <c r="E964" t="s">
        <v>5804</v>
      </c>
      <c r="F964">
        <v>5</v>
      </c>
      <c r="G964">
        <v>1</v>
      </c>
      <c r="H964" t="s">
        <v>5805</v>
      </c>
      <c r="I964" t="s">
        <v>3560</v>
      </c>
      <c r="J964" t="s">
        <v>39</v>
      </c>
      <c r="K964" t="s">
        <v>39</v>
      </c>
      <c r="L964">
        <v>5</v>
      </c>
      <c r="M964">
        <v>3</v>
      </c>
      <c r="N964" t="s">
        <v>5796</v>
      </c>
      <c r="O964" t="s">
        <v>1457</v>
      </c>
      <c r="P964" t="s">
        <v>5806</v>
      </c>
      <c r="Q964" t="s">
        <v>1443</v>
      </c>
      <c r="R964" t="s">
        <v>1444</v>
      </c>
      <c r="S964" t="s">
        <v>5807</v>
      </c>
    </row>
    <row r="965" spans="1:19">
      <c r="A965" t="s">
        <v>7006</v>
      </c>
      <c r="B965" t="s">
        <v>5808</v>
      </c>
      <c r="C965" t="s">
        <v>3968</v>
      </c>
      <c r="D965">
        <v>227</v>
      </c>
      <c r="E965" t="s">
        <v>5809</v>
      </c>
      <c r="F965">
        <v>5</v>
      </c>
      <c r="G965">
        <v>1</v>
      </c>
      <c r="H965" t="s">
        <v>1507</v>
      </c>
      <c r="I965" t="s">
        <v>3560</v>
      </c>
      <c r="J965" t="s">
        <v>39</v>
      </c>
      <c r="K965" t="s">
        <v>39</v>
      </c>
      <c r="L965">
        <v>5</v>
      </c>
      <c r="M965">
        <v>3</v>
      </c>
      <c r="N965" t="s">
        <v>2220</v>
      </c>
      <c r="O965" t="s">
        <v>1457</v>
      </c>
      <c r="P965" t="s">
        <v>5749</v>
      </c>
      <c r="Q965" t="s">
        <v>1473</v>
      </c>
      <c r="R965" t="s">
        <v>1444</v>
      </c>
      <c r="S965" t="s">
        <v>5810</v>
      </c>
    </row>
    <row r="966" spans="1:19">
      <c r="A966" t="s">
        <v>7008</v>
      </c>
      <c r="B966" t="s">
        <v>5814</v>
      </c>
      <c r="C966" t="s">
        <v>3968</v>
      </c>
      <c r="D966">
        <v>228</v>
      </c>
      <c r="E966" t="s">
        <v>5815</v>
      </c>
      <c r="F966">
        <v>5</v>
      </c>
      <c r="H966" t="s">
        <v>5201</v>
      </c>
      <c r="I966" t="s">
        <v>3560</v>
      </c>
      <c r="J966" t="s">
        <v>39</v>
      </c>
      <c r="K966" t="s">
        <v>39</v>
      </c>
      <c r="L966">
        <v>5</v>
      </c>
      <c r="M966">
        <v>3</v>
      </c>
      <c r="N966" t="s">
        <v>2220</v>
      </c>
      <c r="O966" t="s">
        <v>1457</v>
      </c>
      <c r="P966" t="s">
        <v>5816</v>
      </c>
      <c r="Q966" t="s">
        <v>1443</v>
      </c>
      <c r="R966" t="s">
        <v>5811</v>
      </c>
      <c r="S966" t="s">
        <v>5817</v>
      </c>
    </row>
    <row r="967" spans="1:19">
      <c r="A967" t="s">
        <v>7009</v>
      </c>
      <c r="B967" t="s">
        <v>5818</v>
      </c>
      <c r="C967" t="s">
        <v>3968</v>
      </c>
      <c r="D967">
        <v>228</v>
      </c>
      <c r="E967" t="s">
        <v>1450</v>
      </c>
      <c r="F967">
        <v>3</v>
      </c>
      <c r="I967" t="s">
        <v>3560</v>
      </c>
      <c r="J967" t="s">
        <v>39</v>
      </c>
      <c r="K967" t="s">
        <v>39</v>
      </c>
      <c r="L967">
        <v>5</v>
      </c>
      <c r="M967">
        <v>3</v>
      </c>
      <c r="N967" t="s">
        <v>2220</v>
      </c>
      <c r="O967" t="s">
        <v>1447</v>
      </c>
      <c r="P967" t="s">
        <v>5382</v>
      </c>
      <c r="Q967" t="s">
        <v>1443</v>
      </c>
      <c r="R967" t="s">
        <v>5814</v>
      </c>
      <c r="S967" t="s">
        <v>5819</v>
      </c>
    </row>
    <row r="968" spans="1:19">
      <c r="A968" t="s">
        <v>7011</v>
      </c>
      <c r="B968" t="s">
        <v>5822</v>
      </c>
      <c r="C968" t="s">
        <v>3968</v>
      </c>
      <c r="D968">
        <v>228</v>
      </c>
      <c r="E968" t="s">
        <v>1476</v>
      </c>
      <c r="F968">
        <v>3</v>
      </c>
      <c r="G968">
        <v>1</v>
      </c>
      <c r="I968" t="s">
        <v>3560</v>
      </c>
      <c r="J968" t="s">
        <v>39</v>
      </c>
      <c r="K968" t="s">
        <v>39</v>
      </c>
      <c r="L968">
        <v>5</v>
      </c>
      <c r="M968">
        <v>3</v>
      </c>
      <c r="N968" t="s">
        <v>2220</v>
      </c>
      <c r="O968" t="s">
        <v>1447</v>
      </c>
      <c r="P968" t="s">
        <v>5823</v>
      </c>
      <c r="Q968" t="s">
        <v>1443</v>
      </c>
      <c r="R968" t="s">
        <v>5786</v>
      </c>
      <c r="S968" t="s">
        <v>5824</v>
      </c>
    </row>
    <row r="969" spans="1:19">
      <c r="A969" t="s">
        <v>7012</v>
      </c>
      <c r="B969" t="s">
        <v>5825</v>
      </c>
      <c r="C969" t="s">
        <v>3968</v>
      </c>
      <c r="D969">
        <v>228</v>
      </c>
      <c r="E969" t="s">
        <v>5826</v>
      </c>
      <c r="F969">
        <v>4</v>
      </c>
      <c r="H969" t="s">
        <v>1507</v>
      </c>
      <c r="I969" t="s">
        <v>3560</v>
      </c>
      <c r="J969" t="s">
        <v>39</v>
      </c>
      <c r="K969" t="s">
        <v>39</v>
      </c>
      <c r="L969">
        <v>5</v>
      </c>
      <c r="M969">
        <v>3</v>
      </c>
      <c r="N969" t="s">
        <v>2220</v>
      </c>
      <c r="O969" t="s">
        <v>1447</v>
      </c>
      <c r="P969" t="s">
        <v>5827</v>
      </c>
      <c r="Q969" t="s">
        <v>1443</v>
      </c>
      <c r="R969" t="s">
        <v>5822</v>
      </c>
      <c r="S969" t="s">
        <v>5828</v>
      </c>
    </row>
    <row r="970" spans="1:19">
      <c r="A970" t="s">
        <v>7013</v>
      </c>
      <c r="B970" t="s">
        <v>5829</v>
      </c>
      <c r="C970" t="s">
        <v>3968</v>
      </c>
      <c r="D970">
        <v>229</v>
      </c>
      <c r="E970" t="s">
        <v>1599</v>
      </c>
      <c r="F970">
        <v>10</v>
      </c>
      <c r="G970">
        <v>1</v>
      </c>
      <c r="I970" t="s">
        <v>3560</v>
      </c>
      <c r="J970" t="s">
        <v>39</v>
      </c>
      <c r="K970" t="s">
        <v>39</v>
      </c>
      <c r="L970">
        <v>5</v>
      </c>
      <c r="M970">
        <v>4</v>
      </c>
      <c r="N970" t="s">
        <v>2239</v>
      </c>
      <c r="O970" t="s">
        <v>1457</v>
      </c>
      <c r="P970" t="s">
        <v>5830</v>
      </c>
      <c r="Q970" t="s">
        <v>1443</v>
      </c>
      <c r="R970" t="s">
        <v>5831</v>
      </c>
      <c r="S970" t="s">
        <v>5832</v>
      </c>
    </row>
    <row r="971" spans="1:19">
      <c r="A971" t="s">
        <v>7014</v>
      </c>
      <c r="B971" t="s">
        <v>5833</v>
      </c>
      <c r="C971" t="s">
        <v>3968</v>
      </c>
      <c r="D971">
        <v>229</v>
      </c>
      <c r="E971" t="s">
        <v>1543</v>
      </c>
      <c r="F971">
        <v>7</v>
      </c>
      <c r="G971">
        <v>1</v>
      </c>
      <c r="I971" t="s">
        <v>3560</v>
      </c>
      <c r="J971" t="s">
        <v>39</v>
      </c>
      <c r="K971" t="s">
        <v>39</v>
      </c>
      <c r="L971">
        <v>5</v>
      </c>
      <c r="M971">
        <v>5</v>
      </c>
      <c r="N971" t="s">
        <v>2243</v>
      </c>
      <c r="O971" t="s">
        <v>1457</v>
      </c>
      <c r="P971" t="s">
        <v>5834</v>
      </c>
      <c r="Q971" t="s">
        <v>5062</v>
      </c>
      <c r="R971" t="s">
        <v>5825</v>
      </c>
      <c r="S971" t="s">
        <v>5835</v>
      </c>
    </row>
    <row r="972" spans="1:19">
      <c r="A972" t="s">
        <v>4591</v>
      </c>
      <c r="B972" t="s">
        <v>1004</v>
      </c>
      <c r="C972" t="s">
        <v>3607</v>
      </c>
      <c r="D972" t="s">
        <v>1005</v>
      </c>
      <c r="E972" t="s">
        <v>1450</v>
      </c>
      <c r="F972">
        <v>3</v>
      </c>
      <c r="I972" t="s">
        <v>3238</v>
      </c>
      <c r="J972" t="s">
        <v>42</v>
      </c>
      <c r="K972" t="s">
        <v>42</v>
      </c>
      <c r="L972">
        <v>1</v>
      </c>
      <c r="M972">
        <v>1</v>
      </c>
      <c r="N972" t="s">
        <v>2247</v>
      </c>
      <c r="O972" t="s">
        <v>1447</v>
      </c>
      <c r="P972" t="s">
        <v>1444</v>
      </c>
      <c r="Q972" t="s">
        <v>1473</v>
      </c>
      <c r="R972" t="s">
        <v>1444</v>
      </c>
      <c r="S972" t="s">
        <v>2248</v>
      </c>
    </row>
    <row r="973" spans="1:19">
      <c r="A973" t="s">
        <v>4592</v>
      </c>
      <c r="B973" t="s">
        <v>995</v>
      </c>
      <c r="C973" t="s">
        <v>3607</v>
      </c>
      <c r="D973">
        <v>354</v>
      </c>
      <c r="E973" t="s">
        <v>1511</v>
      </c>
      <c r="F973" t="s">
        <v>1511</v>
      </c>
      <c r="I973" t="s">
        <v>3238</v>
      </c>
      <c r="J973" t="s">
        <v>42</v>
      </c>
      <c r="K973" t="s">
        <v>42</v>
      </c>
      <c r="L973">
        <v>2</v>
      </c>
      <c r="M973">
        <v>1</v>
      </c>
      <c r="N973" t="s">
        <v>2249</v>
      </c>
      <c r="O973" t="s">
        <v>1447</v>
      </c>
      <c r="P973" t="s">
        <v>1444</v>
      </c>
      <c r="Q973" t="s">
        <v>1443</v>
      </c>
      <c r="R973" t="s">
        <v>1004</v>
      </c>
      <c r="S973" t="s">
        <v>2250</v>
      </c>
    </row>
    <row r="974" spans="1:19">
      <c r="A974" t="s">
        <v>4594</v>
      </c>
      <c r="B974" t="s">
        <v>990</v>
      </c>
      <c r="C974" t="s">
        <v>3607</v>
      </c>
      <c r="D974" t="s">
        <v>1003</v>
      </c>
      <c r="E974" t="s">
        <v>1439</v>
      </c>
      <c r="F974">
        <v>1</v>
      </c>
      <c r="I974" t="s">
        <v>3238</v>
      </c>
      <c r="J974" t="s">
        <v>42</v>
      </c>
      <c r="K974" t="s">
        <v>42</v>
      </c>
      <c r="L974">
        <v>2</v>
      </c>
      <c r="M974">
        <v>1</v>
      </c>
      <c r="N974" t="s">
        <v>2249</v>
      </c>
      <c r="O974" t="s">
        <v>1441</v>
      </c>
      <c r="P974" t="s">
        <v>1442</v>
      </c>
      <c r="Q974" t="s">
        <v>1443</v>
      </c>
      <c r="R974" t="s">
        <v>1004</v>
      </c>
      <c r="S974" t="s">
        <v>2253</v>
      </c>
    </row>
    <row r="975" spans="1:19">
      <c r="A975" t="s">
        <v>4600</v>
      </c>
      <c r="B975" t="s">
        <v>1010</v>
      </c>
      <c r="C975" t="s">
        <v>3607</v>
      </c>
      <c r="D975" t="s">
        <v>1011</v>
      </c>
      <c r="E975" t="s">
        <v>1439</v>
      </c>
      <c r="F975">
        <v>1</v>
      </c>
      <c r="I975" t="s">
        <v>3238</v>
      </c>
      <c r="J975" t="s">
        <v>42</v>
      </c>
      <c r="K975" t="s">
        <v>42</v>
      </c>
      <c r="L975">
        <v>2</v>
      </c>
      <c r="M975">
        <v>1</v>
      </c>
      <c r="N975" t="s">
        <v>2249</v>
      </c>
      <c r="O975" t="s">
        <v>1457</v>
      </c>
      <c r="P975" t="s">
        <v>1444</v>
      </c>
      <c r="Q975" t="s">
        <v>1443</v>
      </c>
      <c r="R975" t="s">
        <v>1444</v>
      </c>
      <c r="S975" t="s">
        <v>2261</v>
      </c>
    </row>
    <row r="976" spans="1:19">
      <c r="A976" t="s">
        <v>4593</v>
      </c>
      <c r="B976" t="s">
        <v>994</v>
      </c>
      <c r="C976" t="s">
        <v>3607</v>
      </c>
      <c r="D976">
        <v>354</v>
      </c>
      <c r="E976" t="s">
        <v>1511</v>
      </c>
      <c r="F976" t="s">
        <v>1511</v>
      </c>
      <c r="I976" t="s">
        <v>3238</v>
      </c>
      <c r="J976" t="s">
        <v>42</v>
      </c>
      <c r="K976" t="s">
        <v>42</v>
      </c>
      <c r="L976">
        <v>3</v>
      </c>
      <c r="M976">
        <v>1</v>
      </c>
      <c r="N976" t="s">
        <v>2251</v>
      </c>
      <c r="O976" t="s">
        <v>1513</v>
      </c>
      <c r="P976" t="s">
        <v>1444</v>
      </c>
      <c r="Q976" t="s">
        <v>1513</v>
      </c>
      <c r="R976" t="s">
        <v>995</v>
      </c>
      <c r="S976" t="s">
        <v>2252</v>
      </c>
    </row>
    <row r="977" spans="1:19">
      <c r="A977" t="s">
        <v>4595</v>
      </c>
      <c r="B977" t="s">
        <v>1007</v>
      </c>
      <c r="C977" t="s">
        <v>3607</v>
      </c>
      <c r="D977" t="s">
        <v>1008</v>
      </c>
      <c r="E977" t="s">
        <v>1541</v>
      </c>
      <c r="F977">
        <v>5</v>
      </c>
      <c r="I977" t="s">
        <v>3238</v>
      </c>
      <c r="J977" t="s">
        <v>42</v>
      </c>
      <c r="K977" t="s">
        <v>42</v>
      </c>
      <c r="L977">
        <v>3</v>
      </c>
      <c r="M977">
        <v>1</v>
      </c>
      <c r="N977" t="s">
        <v>2251</v>
      </c>
      <c r="O977" t="s">
        <v>1457</v>
      </c>
      <c r="P977" t="s">
        <v>1444</v>
      </c>
      <c r="Q977" t="s">
        <v>1473</v>
      </c>
      <c r="R977" t="s">
        <v>990</v>
      </c>
      <c r="S977" t="s">
        <v>2254</v>
      </c>
    </row>
    <row r="978" spans="1:19">
      <c r="A978" t="s">
        <v>4596</v>
      </c>
      <c r="B978" t="s">
        <v>988</v>
      </c>
      <c r="C978" t="s">
        <v>3607</v>
      </c>
      <c r="D978" t="s">
        <v>989</v>
      </c>
      <c r="E978" t="s">
        <v>1450</v>
      </c>
      <c r="F978">
        <v>3</v>
      </c>
      <c r="I978" t="s">
        <v>3238</v>
      </c>
      <c r="J978" t="s">
        <v>42</v>
      </c>
      <c r="K978" t="s">
        <v>42</v>
      </c>
      <c r="L978">
        <v>3</v>
      </c>
      <c r="M978">
        <v>1</v>
      </c>
      <c r="N978" t="s">
        <v>2251</v>
      </c>
      <c r="O978" t="s">
        <v>1441</v>
      </c>
      <c r="P978" t="s">
        <v>1452</v>
      </c>
      <c r="Q978" t="s">
        <v>1443</v>
      </c>
      <c r="R978" t="s">
        <v>990</v>
      </c>
      <c r="S978" t="s">
        <v>2255</v>
      </c>
    </row>
    <row r="979" spans="1:19">
      <c r="A979" t="s">
        <v>4599</v>
      </c>
      <c r="B979" t="s">
        <v>1016</v>
      </c>
      <c r="C979" t="s">
        <v>3607</v>
      </c>
      <c r="D979" t="s">
        <v>1017</v>
      </c>
      <c r="E979" t="s">
        <v>1497</v>
      </c>
      <c r="F979">
        <v>6</v>
      </c>
      <c r="I979" t="s">
        <v>3238</v>
      </c>
      <c r="J979" t="s">
        <v>42</v>
      </c>
      <c r="K979" t="s">
        <v>42</v>
      </c>
      <c r="L979">
        <v>3</v>
      </c>
      <c r="M979">
        <v>1</v>
      </c>
      <c r="N979" t="s">
        <v>2251</v>
      </c>
      <c r="O979" t="s">
        <v>1447</v>
      </c>
      <c r="P979" t="s">
        <v>1444</v>
      </c>
      <c r="Q979" t="s">
        <v>1443</v>
      </c>
      <c r="R979" t="s">
        <v>990</v>
      </c>
      <c r="S979" t="s">
        <v>2260</v>
      </c>
    </row>
    <row r="980" spans="1:19">
      <c r="A980" t="s">
        <v>4601</v>
      </c>
      <c r="B980" t="s">
        <v>977</v>
      </c>
      <c r="C980" t="s">
        <v>3607</v>
      </c>
      <c r="D980" t="s">
        <v>978</v>
      </c>
      <c r="E980" t="s">
        <v>1497</v>
      </c>
      <c r="F980">
        <v>6</v>
      </c>
      <c r="I980" t="s">
        <v>3238</v>
      </c>
      <c r="J980" t="s">
        <v>42</v>
      </c>
      <c r="K980" t="s">
        <v>42</v>
      </c>
      <c r="L980">
        <v>3</v>
      </c>
      <c r="M980">
        <v>1</v>
      </c>
      <c r="N980" t="s">
        <v>2251</v>
      </c>
      <c r="O980" t="s">
        <v>1447</v>
      </c>
      <c r="P980" t="s">
        <v>1444</v>
      </c>
      <c r="Q980" t="s">
        <v>1473</v>
      </c>
      <c r="R980" t="s">
        <v>1444</v>
      </c>
      <c r="S980" t="s">
        <v>2262</v>
      </c>
    </row>
    <row r="981" spans="1:19">
      <c r="A981" t="s">
        <v>4607</v>
      </c>
      <c r="B981" t="s">
        <v>1012</v>
      </c>
      <c r="C981" t="s">
        <v>3607</v>
      </c>
      <c r="D981">
        <v>357</v>
      </c>
      <c r="E981" t="s">
        <v>1497</v>
      </c>
      <c r="F981">
        <v>6</v>
      </c>
      <c r="I981" t="s">
        <v>3238</v>
      </c>
      <c r="J981" t="s">
        <v>42</v>
      </c>
      <c r="K981" t="s">
        <v>42</v>
      </c>
      <c r="L981">
        <v>3</v>
      </c>
      <c r="M981">
        <v>2</v>
      </c>
      <c r="N981" t="s">
        <v>2272</v>
      </c>
      <c r="O981" t="s">
        <v>1457</v>
      </c>
      <c r="P981" t="s">
        <v>1444</v>
      </c>
      <c r="Q981" t="s">
        <v>1473</v>
      </c>
      <c r="R981" t="s">
        <v>990</v>
      </c>
      <c r="S981" t="s">
        <v>2273</v>
      </c>
    </row>
    <row r="982" spans="1:19">
      <c r="A982" t="s">
        <v>4624</v>
      </c>
      <c r="B982" t="s">
        <v>2302</v>
      </c>
      <c r="C982" t="s">
        <v>3607</v>
      </c>
      <c r="D982">
        <v>360</v>
      </c>
      <c r="E982" t="s">
        <v>1511</v>
      </c>
      <c r="F982" t="s">
        <v>1511</v>
      </c>
      <c r="I982" t="s">
        <v>3238</v>
      </c>
      <c r="J982" t="s">
        <v>42</v>
      </c>
      <c r="K982" t="s">
        <v>42</v>
      </c>
      <c r="L982">
        <v>3</v>
      </c>
      <c r="M982">
        <v>1</v>
      </c>
      <c r="N982" t="s">
        <v>2251</v>
      </c>
      <c r="O982" t="s">
        <v>1513</v>
      </c>
      <c r="P982" t="s">
        <v>1444</v>
      </c>
      <c r="Q982" t="s">
        <v>1513</v>
      </c>
      <c r="R982" t="s">
        <v>1444</v>
      </c>
      <c r="S982" t="s">
        <v>2303</v>
      </c>
    </row>
    <row r="983" spans="1:19">
      <c r="A983" t="s">
        <v>4597</v>
      </c>
      <c r="B983" t="s">
        <v>999</v>
      </c>
      <c r="C983" t="s">
        <v>3607</v>
      </c>
      <c r="D983">
        <v>355</v>
      </c>
      <c r="E983" t="s">
        <v>1465</v>
      </c>
      <c r="F983">
        <v>1</v>
      </c>
      <c r="G983">
        <v>1</v>
      </c>
      <c r="I983" t="s">
        <v>3238</v>
      </c>
      <c r="J983" t="s">
        <v>42</v>
      </c>
      <c r="K983" t="s">
        <v>42</v>
      </c>
      <c r="L983">
        <v>4</v>
      </c>
      <c r="M983">
        <v>1</v>
      </c>
      <c r="N983" t="s">
        <v>2256</v>
      </c>
      <c r="O983" t="s">
        <v>1447</v>
      </c>
      <c r="P983" t="s">
        <v>1442</v>
      </c>
      <c r="Q983" t="s">
        <v>1443</v>
      </c>
      <c r="R983" t="s">
        <v>988</v>
      </c>
      <c r="S983" t="s">
        <v>2257</v>
      </c>
    </row>
    <row r="984" spans="1:19">
      <c r="A984" t="s">
        <v>4606</v>
      </c>
      <c r="B984" t="s">
        <v>979</v>
      </c>
      <c r="C984" t="s">
        <v>3607</v>
      </c>
      <c r="D984" t="s">
        <v>978</v>
      </c>
      <c r="E984" t="s">
        <v>2269</v>
      </c>
      <c r="H984" t="s">
        <v>2269</v>
      </c>
      <c r="I984" t="s">
        <v>3238</v>
      </c>
      <c r="J984" t="s">
        <v>42</v>
      </c>
      <c r="K984" t="s">
        <v>42</v>
      </c>
      <c r="L984">
        <v>4</v>
      </c>
      <c r="M984">
        <v>2</v>
      </c>
      <c r="N984" t="s">
        <v>2270</v>
      </c>
      <c r="O984" t="s">
        <v>1441</v>
      </c>
      <c r="P984" t="s">
        <v>1452</v>
      </c>
      <c r="Q984" t="s">
        <v>1443</v>
      </c>
      <c r="R984" t="s">
        <v>1007</v>
      </c>
      <c r="S984" t="s">
        <v>2271</v>
      </c>
    </row>
    <row r="985" spans="1:19">
      <c r="A985" t="s">
        <v>4608</v>
      </c>
      <c r="B985" t="s">
        <v>998</v>
      </c>
      <c r="C985" t="s">
        <v>3607</v>
      </c>
      <c r="D985">
        <v>357</v>
      </c>
      <c r="E985" t="s">
        <v>1456</v>
      </c>
      <c r="F985">
        <v>4</v>
      </c>
      <c r="G985">
        <v>1</v>
      </c>
      <c r="I985" t="s">
        <v>3238</v>
      </c>
      <c r="J985" t="s">
        <v>42</v>
      </c>
      <c r="K985" t="s">
        <v>42</v>
      </c>
      <c r="L985">
        <v>4</v>
      </c>
      <c r="M985">
        <v>2</v>
      </c>
      <c r="N985" t="s">
        <v>2270</v>
      </c>
      <c r="O985" t="s">
        <v>1447</v>
      </c>
      <c r="P985" t="s">
        <v>1444</v>
      </c>
      <c r="Q985" t="s">
        <v>1473</v>
      </c>
      <c r="R985" t="s">
        <v>2274</v>
      </c>
      <c r="S985" t="s">
        <v>2275</v>
      </c>
    </row>
    <row r="986" spans="1:19">
      <c r="A986" t="s">
        <v>4609</v>
      </c>
      <c r="B986" t="s">
        <v>1001</v>
      </c>
      <c r="C986" t="s">
        <v>3607</v>
      </c>
      <c r="D986" t="s">
        <v>1002</v>
      </c>
      <c r="E986" t="s">
        <v>1599</v>
      </c>
      <c r="F986">
        <v>10</v>
      </c>
      <c r="G986">
        <v>1</v>
      </c>
      <c r="I986" t="s">
        <v>3238</v>
      </c>
      <c r="J986" t="s">
        <v>42</v>
      </c>
      <c r="K986" t="s">
        <v>42</v>
      </c>
      <c r="L986">
        <v>4</v>
      </c>
      <c r="M986">
        <v>2</v>
      </c>
      <c r="N986" t="s">
        <v>2270</v>
      </c>
      <c r="O986" t="s">
        <v>1457</v>
      </c>
      <c r="P986" t="s">
        <v>1444</v>
      </c>
      <c r="Q986" t="s">
        <v>1938</v>
      </c>
      <c r="R986" t="s">
        <v>1012</v>
      </c>
      <c r="S986" t="s">
        <v>2276</v>
      </c>
    </row>
    <row r="987" spans="1:19">
      <c r="A987" t="s">
        <v>4610</v>
      </c>
      <c r="B987" t="s">
        <v>996</v>
      </c>
      <c r="C987" t="s">
        <v>3607</v>
      </c>
      <c r="D987" t="s">
        <v>997</v>
      </c>
      <c r="E987" t="s">
        <v>1476</v>
      </c>
      <c r="F987">
        <v>3</v>
      </c>
      <c r="G987">
        <v>1</v>
      </c>
      <c r="I987" t="s">
        <v>3238</v>
      </c>
      <c r="J987" t="s">
        <v>42</v>
      </c>
      <c r="K987" t="s">
        <v>42</v>
      </c>
      <c r="L987">
        <v>4</v>
      </c>
      <c r="M987">
        <v>2</v>
      </c>
      <c r="N987" t="s">
        <v>2270</v>
      </c>
      <c r="O987" t="s">
        <v>1457</v>
      </c>
      <c r="P987" t="s">
        <v>1444</v>
      </c>
      <c r="Q987" t="s">
        <v>1443</v>
      </c>
      <c r="R987" t="s">
        <v>1010</v>
      </c>
      <c r="S987" t="s">
        <v>2277</v>
      </c>
    </row>
    <row r="988" spans="1:19">
      <c r="A988" t="s">
        <v>4611</v>
      </c>
      <c r="B988" t="s">
        <v>2278</v>
      </c>
      <c r="C988" t="s">
        <v>3607</v>
      </c>
      <c r="D988" t="s">
        <v>985</v>
      </c>
      <c r="E988" t="s">
        <v>1511</v>
      </c>
      <c r="F988" t="s">
        <v>1511</v>
      </c>
      <c r="I988" t="s">
        <v>3238</v>
      </c>
      <c r="J988" t="s">
        <v>42</v>
      </c>
      <c r="K988" t="s">
        <v>42</v>
      </c>
      <c r="L988">
        <v>4</v>
      </c>
      <c r="M988">
        <v>2</v>
      </c>
      <c r="N988" t="s">
        <v>2270</v>
      </c>
      <c r="O988" t="s">
        <v>1513</v>
      </c>
      <c r="P988" t="s">
        <v>1444</v>
      </c>
      <c r="Q988" t="s">
        <v>1443</v>
      </c>
      <c r="R988" t="s">
        <v>977</v>
      </c>
      <c r="S988" t="s">
        <v>2279</v>
      </c>
    </row>
    <row r="989" spans="1:19">
      <c r="A989" t="s">
        <v>4625</v>
      </c>
      <c r="B989" t="s">
        <v>2304</v>
      </c>
      <c r="C989" t="s">
        <v>3607</v>
      </c>
      <c r="D989">
        <v>360</v>
      </c>
      <c r="E989" t="s">
        <v>1511</v>
      </c>
      <c r="F989" t="s">
        <v>1511</v>
      </c>
      <c r="I989" t="s">
        <v>3238</v>
      </c>
      <c r="J989" t="s">
        <v>42</v>
      </c>
      <c r="K989" t="s">
        <v>42</v>
      </c>
      <c r="L989">
        <v>4</v>
      </c>
      <c r="M989">
        <v>3</v>
      </c>
      <c r="N989" t="s">
        <v>2305</v>
      </c>
      <c r="O989" t="s">
        <v>1513</v>
      </c>
      <c r="P989" t="s">
        <v>1444</v>
      </c>
      <c r="Q989" t="s">
        <v>1513</v>
      </c>
      <c r="R989" t="s">
        <v>2302</v>
      </c>
      <c r="S989" t="s">
        <v>2306</v>
      </c>
    </row>
    <row r="990" spans="1:19">
      <c r="A990" t="s">
        <v>4598</v>
      </c>
      <c r="B990" t="s">
        <v>1014</v>
      </c>
      <c r="C990" t="s">
        <v>3607</v>
      </c>
      <c r="D990">
        <v>355</v>
      </c>
      <c r="E990" t="s">
        <v>1450</v>
      </c>
      <c r="F990">
        <v>3</v>
      </c>
      <c r="I990" t="s">
        <v>3238</v>
      </c>
      <c r="J990" t="s">
        <v>42</v>
      </c>
      <c r="K990" t="s">
        <v>42</v>
      </c>
      <c r="L990">
        <v>5</v>
      </c>
      <c r="M990">
        <v>1</v>
      </c>
      <c r="N990" t="s">
        <v>2258</v>
      </c>
      <c r="O990" t="s">
        <v>1457</v>
      </c>
      <c r="P990" t="s">
        <v>1444</v>
      </c>
      <c r="Q990" t="s">
        <v>1473</v>
      </c>
      <c r="R990" t="s">
        <v>999</v>
      </c>
      <c r="S990" t="s">
        <v>2259</v>
      </c>
    </row>
    <row r="991" spans="1:19">
      <c r="A991" t="s">
        <v>4602</v>
      </c>
      <c r="B991" t="s">
        <v>1015</v>
      </c>
      <c r="C991" t="s">
        <v>3607</v>
      </c>
      <c r="D991">
        <v>356</v>
      </c>
      <c r="E991" t="s">
        <v>1511</v>
      </c>
      <c r="F991" t="s">
        <v>1511</v>
      </c>
      <c r="I991" t="s">
        <v>3238</v>
      </c>
      <c r="J991" t="s">
        <v>42</v>
      </c>
      <c r="K991" t="s">
        <v>42</v>
      </c>
      <c r="L991">
        <v>5</v>
      </c>
      <c r="M991">
        <v>1</v>
      </c>
      <c r="N991" t="s">
        <v>2258</v>
      </c>
      <c r="O991" t="s">
        <v>1447</v>
      </c>
      <c r="P991" t="s">
        <v>1444</v>
      </c>
      <c r="Q991" t="s">
        <v>1443</v>
      </c>
      <c r="R991" t="s">
        <v>977</v>
      </c>
      <c r="S991" t="s">
        <v>2263</v>
      </c>
    </row>
    <row r="992" spans="1:19">
      <c r="A992" t="s">
        <v>4603</v>
      </c>
      <c r="B992" t="s">
        <v>2264</v>
      </c>
      <c r="C992" t="s">
        <v>3607</v>
      </c>
      <c r="D992" t="s">
        <v>976</v>
      </c>
      <c r="E992" t="s">
        <v>1554</v>
      </c>
      <c r="F992">
        <v>4</v>
      </c>
      <c r="I992" t="s">
        <v>3238</v>
      </c>
      <c r="J992" t="s">
        <v>42</v>
      </c>
      <c r="K992" t="s">
        <v>42</v>
      </c>
      <c r="L992">
        <v>5</v>
      </c>
      <c r="M992">
        <v>2</v>
      </c>
      <c r="N992" t="s">
        <v>2265</v>
      </c>
      <c r="O992" t="s">
        <v>1447</v>
      </c>
      <c r="P992" t="s">
        <v>1444</v>
      </c>
      <c r="Q992" t="s">
        <v>1443</v>
      </c>
      <c r="R992" t="s">
        <v>1004</v>
      </c>
      <c r="S992" t="s">
        <v>2266</v>
      </c>
    </row>
    <row r="993" spans="1:19">
      <c r="A993" t="s">
        <v>4604</v>
      </c>
      <c r="B993" t="s">
        <v>983</v>
      </c>
      <c r="C993" t="s">
        <v>3607</v>
      </c>
      <c r="D993" t="s">
        <v>984</v>
      </c>
      <c r="E993" t="s">
        <v>1467</v>
      </c>
      <c r="F993">
        <v>5</v>
      </c>
      <c r="G993">
        <v>1</v>
      </c>
      <c r="I993" t="s">
        <v>3238</v>
      </c>
      <c r="J993" t="s">
        <v>42</v>
      </c>
      <c r="K993" t="s">
        <v>42</v>
      </c>
      <c r="L993">
        <v>5</v>
      </c>
      <c r="M993">
        <v>2</v>
      </c>
      <c r="N993" t="s">
        <v>2265</v>
      </c>
      <c r="O993" t="s">
        <v>1447</v>
      </c>
      <c r="P993" t="s">
        <v>1444</v>
      </c>
      <c r="Q993" t="s">
        <v>1443</v>
      </c>
      <c r="R993" t="s">
        <v>988</v>
      </c>
      <c r="S993" t="s">
        <v>2267</v>
      </c>
    </row>
    <row r="994" spans="1:19">
      <c r="A994" t="s">
        <v>4605</v>
      </c>
      <c r="B994" t="s">
        <v>980</v>
      </c>
      <c r="C994" t="s">
        <v>3607</v>
      </c>
      <c r="D994" t="s">
        <v>981</v>
      </c>
      <c r="E994" t="s">
        <v>1476</v>
      </c>
      <c r="F994">
        <v>3</v>
      </c>
      <c r="G994">
        <v>1</v>
      </c>
      <c r="I994" t="s">
        <v>3238</v>
      </c>
      <c r="J994" t="s">
        <v>42</v>
      </c>
      <c r="K994" t="s">
        <v>42</v>
      </c>
      <c r="L994">
        <v>5</v>
      </c>
      <c r="M994">
        <v>2</v>
      </c>
      <c r="N994" t="s">
        <v>2265</v>
      </c>
      <c r="O994" t="s">
        <v>1457</v>
      </c>
      <c r="P994" t="s">
        <v>1444</v>
      </c>
      <c r="Q994" t="s">
        <v>1443</v>
      </c>
      <c r="R994" t="s">
        <v>983</v>
      </c>
      <c r="S994" t="s">
        <v>2268</v>
      </c>
    </row>
    <row r="995" spans="1:19">
      <c r="A995" t="s">
        <v>4612</v>
      </c>
      <c r="B995" t="s">
        <v>982</v>
      </c>
      <c r="C995" t="s">
        <v>3607</v>
      </c>
      <c r="D995" t="s">
        <v>975</v>
      </c>
      <c r="E995" t="s">
        <v>1511</v>
      </c>
      <c r="F995" t="s">
        <v>1511</v>
      </c>
      <c r="I995" t="s">
        <v>3238</v>
      </c>
      <c r="J995" t="s">
        <v>42</v>
      </c>
      <c r="K995" t="s">
        <v>42</v>
      </c>
      <c r="L995">
        <v>5</v>
      </c>
      <c r="M995">
        <v>3</v>
      </c>
      <c r="N995" t="s">
        <v>2280</v>
      </c>
      <c r="O995" t="s">
        <v>1513</v>
      </c>
      <c r="P995" t="s">
        <v>1444</v>
      </c>
      <c r="Q995" t="s">
        <v>1513</v>
      </c>
      <c r="R995" t="s">
        <v>2264</v>
      </c>
      <c r="S995" t="s">
        <v>2281</v>
      </c>
    </row>
    <row r="996" spans="1:19">
      <c r="A996" t="s">
        <v>4613</v>
      </c>
      <c r="B996" t="s">
        <v>1000</v>
      </c>
      <c r="C996" t="s">
        <v>3607</v>
      </c>
      <c r="D996" t="s">
        <v>975</v>
      </c>
      <c r="E996" t="s">
        <v>1497</v>
      </c>
      <c r="F996">
        <v>6</v>
      </c>
      <c r="I996" t="s">
        <v>3238</v>
      </c>
      <c r="J996" t="s">
        <v>42</v>
      </c>
      <c r="K996" t="s">
        <v>42</v>
      </c>
      <c r="L996">
        <v>5</v>
      </c>
      <c r="M996">
        <v>3</v>
      </c>
      <c r="N996" t="s">
        <v>2280</v>
      </c>
      <c r="O996" t="s">
        <v>1457</v>
      </c>
      <c r="P996" t="s">
        <v>1444</v>
      </c>
      <c r="Q996" t="s">
        <v>1443</v>
      </c>
      <c r="R996" t="s">
        <v>980</v>
      </c>
      <c r="S996" t="s">
        <v>2282</v>
      </c>
    </row>
    <row r="997" spans="1:19">
      <c r="A997" t="s">
        <v>4614</v>
      </c>
      <c r="B997" t="s">
        <v>1018</v>
      </c>
      <c r="C997" t="s">
        <v>3607</v>
      </c>
      <c r="D997" t="s">
        <v>1019</v>
      </c>
      <c r="E997" t="s">
        <v>1511</v>
      </c>
      <c r="F997" t="s">
        <v>1511</v>
      </c>
      <c r="I997" t="s">
        <v>3238</v>
      </c>
      <c r="J997" t="s">
        <v>42</v>
      </c>
      <c r="K997" t="s">
        <v>42</v>
      </c>
      <c r="L997">
        <v>5</v>
      </c>
      <c r="M997">
        <v>3</v>
      </c>
      <c r="N997" t="s">
        <v>2280</v>
      </c>
      <c r="O997" t="s">
        <v>1513</v>
      </c>
      <c r="P997" t="s">
        <v>1444</v>
      </c>
      <c r="Q997" t="s">
        <v>1513</v>
      </c>
      <c r="R997" t="s">
        <v>1001</v>
      </c>
      <c r="S997" t="s">
        <v>2283</v>
      </c>
    </row>
    <row r="998" spans="1:19">
      <c r="A998" t="s">
        <v>4615</v>
      </c>
      <c r="B998" t="s">
        <v>1006</v>
      </c>
      <c r="C998" t="s">
        <v>3607</v>
      </c>
      <c r="D998" t="s">
        <v>975</v>
      </c>
      <c r="E998" t="s">
        <v>1511</v>
      </c>
      <c r="F998" t="s">
        <v>1511</v>
      </c>
      <c r="I998" t="s">
        <v>3238</v>
      </c>
      <c r="J998" t="s">
        <v>42</v>
      </c>
      <c r="K998" t="s">
        <v>42</v>
      </c>
      <c r="L998">
        <v>5</v>
      </c>
      <c r="M998">
        <v>3</v>
      </c>
      <c r="N998" t="s">
        <v>2280</v>
      </c>
      <c r="O998" t="s">
        <v>1513</v>
      </c>
      <c r="P998" t="s">
        <v>1444</v>
      </c>
      <c r="Q998" t="s">
        <v>1513</v>
      </c>
      <c r="R998" t="s">
        <v>1001</v>
      </c>
      <c r="S998" t="s">
        <v>2284</v>
      </c>
    </row>
    <row r="999" spans="1:19">
      <c r="A999" t="s">
        <v>4616</v>
      </c>
      <c r="B999" t="s">
        <v>986</v>
      </c>
      <c r="C999" t="s">
        <v>3607</v>
      </c>
      <c r="D999">
        <v>358</v>
      </c>
      <c r="E999" t="s">
        <v>1511</v>
      </c>
      <c r="F999" t="s">
        <v>1511</v>
      </c>
      <c r="I999" t="s">
        <v>3238</v>
      </c>
      <c r="J999" t="s">
        <v>42</v>
      </c>
      <c r="K999" t="s">
        <v>42</v>
      </c>
      <c r="L999">
        <v>5</v>
      </c>
      <c r="M999">
        <v>3</v>
      </c>
      <c r="N999" t="s">
        <v>2280</v>
      </c>
      <c r="O999" t="s">
        <v>1513</v>
      </c>
      <c r="P999" t="s">
        <v>1444</v>
      </c>
      <c r="Q999" t="s">
        <v>1513</v>
      </c>
      <c r="R999" t="s">
        <v>1006</v>
      </c>
      <c r="S999" t="s">
        <v>2285</v>
      </c>
    </row>
    <row r="1000" spans="1:19">
      <c r="A1000" t="s">
        <v>4617</v>
      </c>
      <c r="B1000" t="s">
        <v>974</v>
      </c>
      <c r="C1000" t="s">
        <v>3607</v>
      </c>
      <c r="D1000" t="s">
        <v>975</v>
      </c>
      <c r="E1000" t="s">
        <v>2286</v>
      </c>
      <c r="F1000">
        <v>16</v>
      </c>
      <c r="G1000">
        <v>1</v>
      </c>
      <c r="I1000" t="s">
        <v>3238</v>
      </c>
      <c r="J1000" t="s">
        <v>42</v>
      </c>
      <c r="K1000" t="s">
        <v>42</v>
      </c>
      <c r="L1000">
        <v>5</v>
      </c>
      <c r="M1000">
        <v>3</v>
      </c>
      <c r="N1000" t="s">
        <v>2280</v>
      </c>
      <c r="O1000" t="s">
        <v>1457</v>
      </c>
      <c r="P1000" t="s">
        <v>1444</v>
      </c>
      <c r="Q1000" t="s">
        <v>1443</v>
      </c>
      <c r="R1000" t="s">
        <v>996</v>
      </c>
      <c r="S1000" t="s">
        <v>2287</v>
      </c>
    </row>
    <row r="1001" spans="1:19">
      <c r="A1001" t="s">
        <v>4618</v>
      </c>
      <c r="B1001" t="s">
        <v>991</v>
      </c>
      <c r="C1001" t="s">
        <v>3607</v>
      </c>
      <c r="D1001" t="s">
        <v>992</v>
      </c>
      <c r="E1001" t="s">
        <v>2288</v>
      </c>
      <c r="F1001" t="s">
        <v>2288</v>
      </c>
      <c r="I1001" t="s">
        <v>3238</v>
      </c>
      <c r="J1001" t="s">
        <v>42</v>
      </c>
      <c r="K1001" t="s">
        <v>42</v>
      </c>
      <c r="L1001">
        <v>5</v>
      </c>
      <c r="M1001">
        <v>3</v>
      </c>
      <c r="N1001" t="s">
        <v>2280</v>
      </c>
      <c r="O1001" t="s">
        <v>1447</v>
      </c>
      <c r="P1001" t="s">
        <v>1705</v>
      </c>
      <c r="Q1001" t="s">
        <v>1547</v>
      </c>
      <c r="R1001" t="s">
        <v>2278</v>
      </c>
      <c r="S1001" t="s">
        <v>2289</v>
      </c>
    </row>
    <row r="1002" spans="1:19">
      <c r="A1002" t="s">
        <v>4619</v>
      </c>
      <c r="B1002" t="s">
        <v>2290</v>
      </c>
      <c r="C1002" t="s">
        <v>3607</v>
      </c>
      <c r="D1002">
        <v>359</v>
      </c>
      <c r="E1002" t="s">
        <v>1511</v>
      </c>
      <c r="F1002" t="s">
        <v>1511</v>
      </c>
      <c r="I1002" t="s">
        <v>3238</v>
      </c>
      <c r="J1002" t="s">
        <v>42</v>
      </c>
      <c r="K1002" t="s">
        <v>42</v>
      </c>
      <c r="L1002">
        <v>5</v>
      </c>
      <c r="M1002">
        <v>4</v>
      </c>
      <c r="N1002" t="s">
        <v>2291</v>
      </c>
      <c r="O1002" t="s">
        <v>1513</v>
      </c>
      <c r="P1002" t="s">
        <v>1444</v>
      </c>
      <c r="Q1002" t="s">
        <v>1513</v>
      </c>
      <c r="R1002" t="s">
        <v>982</v>
      </c>
      <c r="S1002" t="s">
        <v>2292</v>
      </c>
    </row>
    <row r="1003" spans="1:19">
      <c r="A1003" t="s">
        <v>4620</v>
      </c>
      <c r="B1003" t="s">
        <v>993</v>
      </c>
      <c r="C1003" t="s">
        <v>3607</v>
      </c>
      <c r="D1003">
        <v>359</v>
      </c>
      <c r="E1003" t="s">
        <v>2293</v>
      </c>
      <c r="F1003" t="s">
        <v>2293</v>
      </c>
      <c r="I1003" t="s">
        <v>3238</v>
      </c>
      <c r="J1003" t="s">
        <v>42</v>
      </c>
      <c r="K1003" t="s">
        <v>42</v>
      </c>
      <c r="L1003">
        <v>5</v>
      </c>
      <c r="M1003">
        <v>4</v>
      </c>
      <c r="N1003" t="s">
        <v>2291</v>
      </c>
      <c r="O1003" t="s">
        <v>1513</v>
      </c>
      <c r="P1003" t="s">
        <v>1444</v>
      </c>
      <c r="Q1003" t="s">
        <v>1513</v>
      </c>
      <c r="R1003" t="s">
        <v>1000</v>
      </c>
      <c r="S1003" t="s">
        <v>2294</v>
      </c>
    </row>
    <row r="1004" spans="1:19">
      <c r="A1004" t="s">
        <v>4621</v>
      </c>
      <c r="B1004" t="s">
        <v>1013</v>
      </c>
      <c r="C1004" t="s">
        <v>3607</v>
      </c>
      <c r="D1004">
        <v>359</v>
      </c>
      <c r="E1004" t="s">
        <v>1543</v>
      </c>
      <c r="F1004">
        <v>7</v>
      </c>
      <c r="G1004">
        <v>1</v>
      </c>
      <c r="I1004" t="s">
        <v>3238</v>
      </c>
      <c r="J1004" t="s">
        <v>42</v>
      </c>
      <c r="K1004" t="s">
        <v>42</v>
      </c>
      <c r="L1004">
        <v>5</v>
      </c>
      <c r="M1004">
        <v>4</v>
      </c>
      <c r="N1004" t="s">
        <v>2291</v>
      </c>
      <c r="O1004" t="s">
        <v>1447</v>
      </c>
      <c r="P1004" t="s">
        <v>1444</v>
      </c>
      <c r="Q1004" t="s">
        <v>1443</v>
      </c>
      <c r="R1004" t="s">
        <v>1006</v>
      </c>
      <c r="S1004" t="s">
        <v>2295</v>
      </c>
    </row>
    <row r="1005" spans="1:19">
      <c r="A1005" t="s">
        <v>4622</v>
      </c>
      <c r="B1005" t="s">
        <v>1009</v>
      </c>
      <c r="C1005" t="s">
        <v>3607</v>
      </c>
      <c r="D1005" t="s">
        <v>992</v>
      </c>
      <c r="E1005" t="s">
        <v>2296</v>
      </c>
      <c r="G1005">
        <v>1</v>
      </c>
      <c r="H1005" t="s">
        <v>3603</v>
      </c>
      <c r="I1005" t="s">
        <v>3238</v>
      </c>
      <c r="J1005" t="s">
        <v>42</v>
      </c>
      <c r="K1005" t="s">
        <v>42</v>
      </c>
      <c r="L1005">
        <v>5</v>
      </c>
      <c r="M1005">
        <v>5</v>
      </c>
      <c r="N1005" t="s">
        <v>2297</v>
      </c>
      <c r="O1005" t="s">
        <v>1447</v>
      </c>
      <c r="P1005" t="s">
        <v>1444</v>
      </c>
      <c r="Q1005" t="s">
        <v>1443</v>
      </c>
      <c r="R1005" t="s">
        <v>2290</v>
      </c>
      <c r="S1005" t="s">
        <v>2298</v>
      </c>
    </row>
    <row r="1006" spans="1:19">
      <c r="A1006" t="s">
        <v>4623</v>
      </c>
      <c r="B1006" t="s">
        <v>987</v>
      </c>
      <c r="C1006" t="s">
        <v>3607</v>
      </c>
      <c r="D1006">
        <v>360</v>
      </c>
      <c r="E1006" t="s">
        <v>2299</v>
      </c>
      <c r="F1006">
        <v>20</v>
      </c>
      <c r="G1006">
        <v>1</v>
      </c>
      <c r="I1006" t="s">
        <v>3238</v>
      </c>
      <c r="J1006" t="s">
        <v>42</v>
      </c>
      <c r="K1006" t="s">
        <v>42</v>
      </c>
      <c r="L1006">
        <v>5</v>
      </c>
      <c r="M1006">
        <v>5</v>
      </c>
      <c r="N1006" t="s">
        <v>2297</v>
      </c>
      <c r="O1006" t="s">
        <v>1457</v>
      </c>
      <c r="P1006" t="s">
        <v>1523</v>
      </c>
      <c r="Q1006" t="s">
        <v>1443</v>
      </c>
      <c r="R1006" t="s">
        <v>2300</v>
      </c>
      <c r="S1006" t="s">
        <v>2301</v>
      </c>
    </row>
    <row r="1007" spans="1:19">
      <c r="A1007" t="s">
        <v>4626</v>
      </c>
      <c r="B1007" t="s">
        <v>2307</v>
      </c>
      <c r="C1007" t="s">
        <v>3607</v>
      </c>
      <c r="D1007">
        <v>360</v>
      </c>
      <c r="E1007" t="s">
        <v>1511</v>
      </c>
      <c r="F1007" t="s">
        <v>1511</v>
      </c>
      <c r="I1007" t="s">
        <v>3238</v>
      </c>
      <c r="J1007" t="s">
        <v>42</v>
      </c>
      <c r="K1007" t="s">
        <v>42</v>
      </c>
      <c r="L1007">
        <v>5</v>
      </c>
      <c r="M1007">
        <v>5</v>
      </c>
      <c r="N1007" t="s">
        <v>2297</v>
      </c>
      <c r="O1007" t="s">
        <v>1513</v>
      </c>
      <c r="P1007" t="s">
        <v>1444</v>
      </c>
      <c r="Q1007" t="s">
        <v>1513</v>
      </c>
      <c r="R1007" t="s">
        <v>2304</v>
      </c>
      <c r="S1007" t="s">
        <v>2308</v>
      </c>
    </row>
    <row r="1008" spans="1:19">
      <c r="A1008" t="s">
        <v>4627</v>
      </c>
      <c r="B1008" t="s">
        <v>3758</v>
      </c>
      <c r="C1008" t="s">
        <v>3602</v>
      </c>
      <c r="D1008">
        <v>22</v>
      </c>
      <c r="E1008" t="s">
        <v>3759</v>
      </c>
      <c r="F1008" t="s">
        <v>3759</v>
      </c>
      <c r="I1008" t="s">
        <v>3238</v>
      </c>
      <c r="J1008" t="s">
        <v>42</v>
      </c>
      <c r="K1008" t="s">
        <v>42</v>
      </c>
      <c r="L1008">
        <v>5</v>
      </c>
      <c r="M1008">
        <v>2</v>
      </c>
      <c r="N1008" t="s">
        <v>2265</v>
      </c>
      <c r="O1008" t="s">
        <v>1513</v>
      </c>
      <c r="P1008" t="s">
        <v>1444</v>
      </c>
      <c r="Q1008" t="s">
        <v>1513</v>
      </c>
      <c r="R1008" t="s">
        <v>977</v>
      </c>
      <c r="S1008" t="s">
        <v>3760</v>
      </c>
    </row>
    <row r="1009" spans="1:19">
      <c r="A1009" t="s">
        <v>4628</v>
      </c>
      <c r="B1009" t="s">
        <v>3761</v>
      </c>
      <c r="C1009" t="s">
        <v>3602</v>
      </c>
      <c r="D1009">
        <v>22</v>
      </c>
      <c r="E1009" t="s">
        <v>3762</v>
      </c>
      <c r="F1009">
        <v>1</v>
      </c>
      <c r="H1009" t="s">
        <v>3630</v>
      </c>
      <c r="I1009" t="s">
        <v>3238</v>
      </c>
      <c r="J1009" t="s">
        <v>42</v>
      </c>
      <c r="K1009" t="s">
        <v>42</v>
      </c>
      <c r="L1009">
        <v>5</v>
      </c>
      <c r="M1009">
        <v>3</v>
      </c>
      <c r="N1009" t="s">
        <v>2280</v>
      </c>
      <c r="O1009" t="s">
        <v>1447</v>
      </c>
      <c r="P1009" t="s">
        <v>1444</v>
      </c>
      <c r="Q1009" t="s">
        <v>1443</v>
      </c>
      <c r="R1009" t="s">
        <v>996</v>
      </c>
      <c r="S1009" t="s">
        <v>3763</v>
      </c>
    </row>
    <row r="1010" spans="1:19">
      <c r="A1010" t="s">
        <v>4629</v>
      </c>
      <c r="B1010" t="s">
        <v>3764</v>
      </c>
      <c r="C1010" t="s">
        <v>3602</v>
      </c>
      <c r="D1010">
        <v>22</v>
      </c>
      <c r="E1010" t="s">
        <v>1479</v>
      </c>
      <c r="F1010">
        <v>6</v>
      </c>
      <c r="G1010">
        <v>1</v>
      </c>
      <c r="I1010" t="s">
        <v>3238</v>
      </c>
      <c r="J1010" t="s">
        <v>42</v>
      </c>
      <c r="K1010" t="s">
        <v>42</v>
      </c>
      <c r="L1010">
        <v>5</v>
      </c>
      <c r="M1010">
        <v>3</v>
      </c>
      <c r="N1010" t="s">
        <v>2280</v>
      </c>
      <c r="O1010" t="s">
        <v>1447</v>
      </c>
      <c r="P1010" t="s">
        <v>1444</v>
      </c>
      <c r="Q1010" t="s">
        <v>1473</v>
      </c>
      <c r="R1010" t="s">
        <v>980</v>
      </c>
      <c r="S1010" t="s">
        <v>3765</v>
      </c>
    </row>
    <row r="1011" spans="1:19">
      <c r="A1011" t="s">
        <v>7015</v>
      </c>
      <c r="B1011" t="s">
        <v>5836</v>
      </c>
      <c r="C1011" t="s">
        <v>3968</v>
      </c>
      <c r="D1011">
        <v>230</v>
      </c>
      <c r="E1011" t="s">
        <v>4991</v>
      </c>
      <c r="F1011">
        <v>1</v>
      </c>
      <c r="I1011" t="s">
        <v>3560</v>
      </c>
      <c r="J1011" t="s">
        <v>42</v>
      </c>
      <c r="K1011" t="s">
        <v>42</v>
      </c>
      <c r="L1011">
        <v>1</v>
      </c>
      <c r="M1011">
        <v>1</v>
      </c>
      <c r="N1011" t="s">
        <v>2247</v>
      </c>
      <c r="O1011" t="s">
        <v>1441</v>
      </c>
      <c r="P1011" t="s">
        <v>5585</v>
      </c>
      <c r="Q1011" t="s">
        <v>1443</v>
      </c>
      <c r="R1011" t="s">
        <v>1444</v>
      </c>
      <c r="S1011" t="s">
        <v>5837</v>
      </c>
    </row>
    <row r="1012" spans="1:19">
      <c r="A1012" t="s">
        <v>7018</v>
      </c>
      <c r="B1012" t="s">
        <v>5843</v>
      </c>
      <c r="C1012" t="s">
        <v>3968</v>
      </c>
      <c r="D1012">
        <v>230</v>
      </c>
      <c r="E1012" t="s">
        <v>1554</v>
      </c>
      <c r="F1012">
        <v>4</v>
      </c>
      <c r="I1012" t="s">
        <v>3560</v>
      </c>
      <c r="J1012" t="s">
        <v>42</v>
      </c>
      <c r="K1012" t="s">
        <v>42</v>
      </c>
      <c r="L1012">
        <v>1</v>
      </c>
      <c r="M1012">
        <v>1</v>
      </c>
      <c r="N1012" t="s">
        <v>2247</v>
      </c>
      <c r="O1012" t="s">
        <v>1447</v>
      </c>
      <c r="P1012" t="s">
        <v>5080</v>
      </c>
      <c r="Q1012" t="s">
        <v>1473</v>
      </c>
      <c r="R1012" t="s">
        <v>1444</v>
      </c>
      <c r="S1012" t="s">
        <v>5844</v>
      </c>
    </row>
    <row r="1013" spans="1:19">
      <c r="A1013" t="s">
        <v>7016</v>
      </c>
      <c r="B1013" t="s">
        <v>5838</v>
      </c>
      <c r="C1013" t="s">
        <v>3968</v>
      </c>
      <c r="D1013">
        <v>230</v>
      </c>
      <c r="E1013" t="s">
        <v>1541</v>
      </c>
      <c r="F1013">
        <v>5</v>
      </c>
      <c r="I1013" t="s">
        <v>3560</v>
      </c>
      <c r="J1013" t="s">
        <v>42</v>
      </c>
      <c r="K1013" t="s">
        <v>42</v>
      </c>
      <c r="L1013">
        <v>2</v>
      </c>
      <c r="M1013">
        <v>1</v>
      </c>
      <c r="N1013" t="s">
        <v>2249</v>
      </c>
      <c r="O1013" t="s">
        <v>1457</v>
      </c>
      <c r="P1013" t="s">
        <v>5075</v>
      </c>
      <c r="Q1013" t="s">
        <v>1443</v>
      </c>
      <c r="R1013" t="s">
        <v>1444</v>
      </c>
      <c r="S1013" t="s">
        <v>5839</v>
      </c>
    </row>
    <row r="1014" spans="1:19">
      <c r="A1014" t="s">
        <v>7019</v>
      </c>
      <c r="B1014" t="s">
        <v>5845</v>
      </c>
      <c r="C1014" t="s">
        <v>3968</v>
      </c>
      <c r="D1014">
        <v>231</v>
      </c>
      <c r="E1014" t="s">
        <v>1450</v>
      </c>
      <c r="F1014">
        <v>3</v>
      </c>
      <c r="I1014" t="s">
        <v>3560</v>
      </c>
      <c r="J1014" t="s">
        <v>42</v>
      </c>
      <c r="K1014" t="s">
        <v>42</v>
      </c>
      <c r="L1014">
        <v>2</v>
      </c>
      <c r="M1014">
        <v>1</v>
      </c>
      <c r="N1014" t="s">
        <v>2249</v>
      </c>
      <c r="O1014" t="s">
        <v>1441</v>
      </c>
      <c r="P1014" t="s">
        <v>5846</v>
      </c>
      <c r="Q1014" t="s">
        <v>1443</v>
      </c>
      <c r="R1014" t="s">
        <v>5843</v>
      </c>
      <c r="S1014" t="s">
        <v>5847</v>
      </c>
    </row>
    <row r="1015" spans="1:19">
      <c r="A1015" t="s">
        <v>7017</v>
      </c>
      <c r="B1015" t="s">
        <v>5840</v>
      </c>
      <c r="C1015" t="s">
        <v>3968</v>
      </c>
      <c r="D1015">
        <v>230</v>
      </c>
      <c r="E1015" t="s">
        <v>1465</v>
      </c>
      <c r="F1015">
        <v>1</v>
      </c>
      <c r="G1015">
        <v>1</v>
      </c>
      <c r="I1015" t="s">
        <v>3560</v>
      </c>
      <c r="J1015" t="s">
        <v>42</v>
      </c>
      <c r="K1015" t="s">
        <v>42</v>
      </c>
      <c r="L1015">
        <v>3</v>
      </c>
      <c r="M1015">
        <v>1</v>
      </c>
      <c r="N1015" t="s">
        <v>2251</v>
      </c>
      <c r="O1015" t="s">
        <v>1457</v>
      </c>
      <c r="P1015" t="s">
        <v>5841</v>
      </c>
      <c r="Q1015" t="s">
        <v>1804</v>
      </c>
      <c r="R1015" t="s">
        <v>1444</v>
      </c>
      <c r="S1015" t="s">
        <v>5842</v>
      </c>
    </row>
    <row r="1016" spans="1:19">
      <c r="A1016" t="s">
        <v>7020</v>
      </c>
      <c r="B1016" t="s">
        <v>5848</v>
      </c>
      <c r="C1016" t="s">
        <v>3968</v>
      </c>
      <c r="D1016">
        <v>197</v>
      </c>
      <c r="E1016" t="s">
        <v>1541</v>
      </c>
      <c r="F1016">
        <v>5</v>
      </c>
      <c r="I1016" t="s">
        <v>3560</v>
      </c>
      <c r="J1016" t="s">
        <v>42</v>
      </c>
      <c r="K1016" t="s">
        <v>42</v>
      </c>
      <c r="L1016">
        <v>3</v>
      </c>
      <c r="M1016">
        <v>2</v>
      </c>
      <c r="N1016" t="s">
        <v>2272</v>
      </c>
      <c r="O1016" t="s">
        <v>1457</v>
      </c>
      <c r="P1016" t="s">
        <v>5849</v>
      </c>
      <c r="Q1016" t="s">
        <v>1473</v>
      </c>
      <c r="R1016" t="s">
        <v>1444</v>
      </c>
      <c r="S1016" t="s">
        <v>5850</v>
      </c>
    </row>
    <row r="1017" spans="1:19">
      <c r="A1017" t="s">
        <v>7021</v>
      </c>
      <c r="B1017" t="s">
        <v>5851</v>
      </c>
      <c r="C1017" t="s">
        <v>3968</v>
      </c>
      <c r="D1017">
        <v>231</v>
      </c>
      <c r="E1017" t="s">
        <v>1450</v>
      </c>
      <c r="F1017">
        <v>3</v>
      </c>
      <c r="I1017" t="s">
        <v>3560</v>
      </c>
      <c r="J1017" t="s">
        <v>42</v>
      </c>
      <c r="K1017" t="s">
        <v>42</v>
      </c>
      <c r="L1017">
        <v>3</v>
      </c>
      <c r="M1017">
        <v>1</v>
      </c>
      <c r="N1017" t="s">
        <v>2251</v>
      </c>
      <c r="O1017" t="s">
        <v>1447</v>
      </c>
      <c r="P1017" t="s">
        <v>5080</v>
      </c>
      <c r="Q1017" t="s">
        <v>1443</v>
      </c>
      <c r="R1017" t="s">
        <v>5843</v>
      </c>
      <c r="S1017" t="s">
        <v>5852</v>
      </c>
    </row>
    <row r="1018" spans="1:19">
      <c r="A1018" t="s">
        <v>7022</v>
      </c>
      <c r="B1018" t="s">
        <v>5853</v>
      </c>
      <c r="C1018" t="s">
        <v>3968</v>
      </c>
      <c r="D1018">
        <v>231</v>
      </c>
      <c r="E1018" t="s">
        <v>1554</v>
      </c>
      <c r="F1018">
        <v>4</v>
      </c>
      <c r="I1018" t="s">
        <v>3560</v>
      </c>
      <c r="J1018" t="s">
        <v>42</v>
      </c>
      <c r="K1018" t="s">
        <v>42</v>
      </c>
      <c r="L1018">
        <v>3</v>
      </c>
      <c r="M1018">
        <v>2</v>
      </c>
      <c r="N1018" t="s">
        <v>2272</v>
      </c>
      <c r="O1018" t="s">
        <v>1441</v>
      </c>
      <c r="P1018" t="s">
        <v>5854</v>
      </c>
      <c r="Q1018" t="s">
        <v>1443</v>
      </c>
      <c r="R1018" t="s">
        <v>5840</v>
      </c>
      <c r="S1018" t="s">
        <v>5855</v>
      </c>
    </row>
    <row r="1019" spans="1:19">
      <c r="A1019" t="s">
        <v>7023</v>
      </c>
      <c r="B1019" t="s">
        <v>5856</v>
      </c>
      <c r="C1019" t="s">
        <v>3968</v>
      </c>
      <c r="D1019">
        <v>231</v>
      </c>
      <c r="E1019" t="s">
        <v>1554</v>
      </c>
      <c r="F1019">
        <v>4</v>
      </c>
      <c r="I1019" t="s">
        <v>3560</v>
      </c>
      <c r="J1019" t="s">
        <v>42</v>
      </c>
      <c r="K1019" t="s">
        <v>42</v>
      </c>
      <c r="L1019">
        <v>3</v>
      </c>
      <c r="M1019">
        <v>2</v>
      </c>
      <c r="N1019" t="s">
        <v>2272</v>
      </c>
      <c r="O1019" t="s">
        <v>1457</v>
      </c>
      <c r="P1019" t="s">
        <v>5080</v>
      </c>
      <c r="Q1019" t="s">
        <v>1443</v>
      </c>
      <c r="R1019" t="s">
        <v>5845</v>
      </c>
      <c r="S1019" t="s">
        <v>5857</v>
      </c>
    </row>
    <row r="1020" spans="1:19">
      <c r="A1020" t="s">
        <v>7035</v>
      </c>
      <c r="B1020" t="s">
        <v>2302</v>
      </c>
      <c r="C1020" t="s">
        <v>3968</v>
      </c>
      <c r="D1020">
        <v>235</v>
      </c>
      <c r="E1020" t="s">
        <v>3687</v>
      </c>
      <c r="I1020" t="s">
        <v>3560</v>
      </c>
      <c r="J1020" t="s">
        <v>42</v>
      </c>
      <c r="K1020" t="s">
        <v>42</v>
      </c>
      <c r="L1020">
        <v>3</v>
      </c>
      <c r="M1020">
        <v>1</v>
      </c>
      <c r="N1020" t="s">
        <v>2251</v>
      </c>
      <c r="O1020" t="s">
        <v>1513</v>
      </c>
      <c r="P1020" t="s">
        <v>1444</v>
      </c>
      <c r="Q1020" t="s">
        <v>1513</v>
      </c>
      <c r="R1020" t="s">
        <v>5889</v>
      </c>
      <c r="S1020" t="s">
        <v>5890</v>
      </c>
    </row>
    <row r="1021" spans="1:19">
      <c r="A1021" t="s">
        <v>7029</v>
      </c>
      <c r="B1021" t="s">
        <v>5871</v>
      </c>
      <c r="C1021" t="s">
        <v>3968</v>
      </c>
      <c r="D1021">
        <v>233</v>
      </c>
      <c r="E1021" t="s">
        <v>1456</v>
      </c>
      <c r="F1021">
        <v>4</v>
      </c>
      <c r="G1021">
        <v>1</v>
      </c>
      <c r="I1021" t="s">
        <v>3560</v>
      </c>
      <c r="J1021" t="s">
        <v>42</v>
      </c>
      <c r="K1021" t="s">
        <v>42</v>
      </c>
      <c r="L1021">
        <v>4</v>
      </c>
      <c r="M1021">
        <v>3</v>
      </c>
      <c r="N1021" t="s">
        <v>2305</v>
      </c>
      <c r="O1021" t="s">
        <v>1457</v>
      </c>
      <c r="P1021" t="s">
        <v>5075</v>
      </c>
      <c r="Q1021" t="s">
        <v>1443</v>
      </c>
      <c r="R1021" t="s">
        <v>5872</v>
      </c>
      <c r="S1021" t="s">
        <v>5873</v>
      </c>
    </row>
    <row r="1022" spans="1:19">
      <c r="A1022" t="s">
        <v>7030</v>
      </c>
      <c r="B1022" t="s">
        <v>5874</v>
      </c>
      <c r="C1022" t="s">
        <v>3968</v>
      </c>
      <c r="D1022">
        <v>234</v>
      </c>
      <c r="E1022" t="s">
        <v>1476</v>
      </c>
      <c r="F1022">
        <v>3</v>
      </c>
      <c r="G1022">
        <v>1</v>
      </c>
      <c r="I1022" t="s">
        <v>3560</v>
      </c>
      <c r="J1022" t="s">
        <v>42</v>
      </c>
      <c r="K1022" t="s">
        <v>42</v>
      </c>
      <c r="L1022">
        <v>4</v>
      </c>
      <c r="M1022">
        <v>3</v>
      </c>
      <c r="N1022" t="s">
        <v>2305</v>
      </c>
      <c r="O1022" t="s">
        <v>1441</v>
      </c>
      <c r="P1022" t="s">
        <v>5875</v>
      </c>
      <c r="Q1022" t="s">
        <v>1443</v>
      </c>
      <c r="R1022" t="s">
        <v>5856</v>
      </c>
      <c r="S1022" t="s">
        <v>5876</v>
      </c>
    </row>
    <row r="1023" spans="1:19">
      <c r="A1023" t="s">
        <v>7024</v>
      </c>
      <c r="B1023" t="s">
        <v>5858</v>
      </c>
      <c r="C1023" t="s">
        <v>3968</v>
      </c>
      <c r="D1023">
        <v>232</v>
      </c>
      <c r="E1023" t="s">
        <v>1467</v>
      </c>
      <c r="F1023">
        <v>5</v>
      </c>
      <c r="G1023">
        <v>1</v>
      </c>
      <c r="I1023" t="s">
        <v>3560</v>
      </c>
      <c r="J1023" t="s">
        <v>42</v>
      </c>
      <c r="K1023" t="s">
        <v>42</v>
      </c>
      <c r="L1023">
        <v>5</v>
      </c>
      <c r="M1023">
        <v>3</v>
      </c>
      <c r="N1023" t="s">
        <v>2280</v>
      </c>
      <c r="O1023" t="s">
        <v>1457</v>
      </c>
      <c r="P1023" t="s">
        <v>5147</v>
      </c>
      <c r="Q1023" t="s">
        <v>1473</v>
      </c>
      <c r="R1023" t="s">
        <v>1444</v>
      </c>
      <c r="S1023" t="s">
        <v>5859</v>
      </c>
    </row>
    <row r="1024" spans="1:19">
      <c r="A1024" t="s">
        <v>7025</v>
      </c>
      <c r="B1024" t="s">
        <v>5860</v>
      </c>
      <c r="C1024" t="s">
        <v>3968</v>
      </c>
      <c r="D1024">
        <v>232</v>
      </c>
      <c r="E1024" t="s">
        <v>1599</v>
      </c>
      <c r="F1024">
        <v>10</v>
      </c>
      <c r="G1024">
        <v>1</v>
      </c>
      <c r="I1024" t="s">
        <v>3560</v>
      </c>
      <c r="J1024" t="s">
        <v>42</v>
      </c>
      <c r="K1024" t="s">
        <v>42</v>
      </c>
      <c r="L1024">
        <v>5</v>
      </c>
      <c r="M1024">
        <v>3</v>
      </c>
      <c r="N1024" t="s">
        <v>2280</v>
      </c>
      <c r="O1024" t="s">
        <v>1457</v>
      </c>
      <c r="P1024" t="s">
        <v>5287</v>
      </c>
      <c r="Q1024" t="s">
        <v>5861</v>
      </c>
      <c r="R1024" t="s">
        <v>1444</v>
      </c>
      <c r="S1024" t="s">
        <v>5862</v>
      </c>
    </row>
    <row r="1025" spans="1:19">
      <c r="A1025" t="s">
        <v>7026</v>
      </c>
      <c r="B1025" t="s">
        <v>5863</v>
      </c>
      <c r="C1025" t="s">
        <v>3968</v>
      </c>
      <c r="D1025">
        <v>232</v>
      </c>
      <c r="E1025" t="s">
        <v>1599</v>
      </c>
      <c r="F1025">
        <v>10</v>
      </c>
      <c r="G1025">
        <v>1</v>
      </c>
      <c r="I1025" t="s">
        <v>3560</v>
      </c>
      <c r="J1025" t="s">
        <v>42</v>
      </c>
      <c r="K1025" t="s">
        <v>42</v>
      </c>
      <c r="L1025">
        <v>5</v>
      </c>
      <c r="M1025">
        <v>3</v>
      </c>
      <c r="N1025" t="s">
        <v>2280</v>
      </c>
      <c r="O1025" t="s">
        <v>1457</v>
      </c>
      <c r="P1025" t="s">
        <v>5290</v>
      </c>
      <c r="Q1025" t="s">
        <v>1443</v>
      </c>
      <c r="R1025" t="s">
        <v>1444</v>
      </c>
      <c r="S1025" t="s">
        <v>5864</v>
      </c>
    </row>
    <row r="1026" spans="1:19">
      <c r="A1026" t="s">
        <v>7027</v>
      </c>
      <c r="B1026" t="s">
        <v>5865</v>
      </c>
      <c r="C1026" t="s">
        <v>3968</v>
      </c>
      <c r="D1026">
        <v>233</v>
      </c>
      <c r="E1026" t="s">
        <v>1599</v>
      </c>
      <c r="F1026">
        <v>10</v>
      </c>
      <c r="G1026">
        <v>1</v>
      </c>
      <c r="I1026" t="s">
        <v>3560</v>
      </c>
      <c r="J1026" t="s">
        <v>42</v>
      </c>
      <c r="K1026" t="s">
        <v>42</v>
      </c>
      <c r="L1026">
        <v>5</v>
      </c>
      <c r="M1026">
        <v>3</v>
      </c>
      <c r="N1026" t="s">
        <v>2280</v>
      </c>
      <c r="O1026" t="s">
        <v>1457</v>
      </c>
      <c r="P1026" t="s">
        <v>5112</v>
      </c>
      <c r="Q1026" t="s">
        <v>3027</v>
      </c>
      <c r="R1026" t="s">
        <v>1444</v>
      </c>
      <c r="S1026" t="s">
        <v>5866</v>
      </c>
    </row>
    <row r="1027" spans="1:19">
      <c r="A1027" t="s">
        <v>7028</v>
      </c>
      <c r="B1027" t="s">
        <v>5867</v>
      </c>
      <c r="C1027" t="s">
        <v>3968</v>
      </c>
      <c r="D1027">
        <v>233</v>
      </c>
      <c r="E1027" t="s">
        <v>5868</v>
      </c>
      <c r="F1027">
        <v>10</v>
      </c>
      <c r="G1027">
        <v>1</v>
      </c>
      <c r="H1027" t="s">
        <v>3603</v>
      </c>
      <c r="I1027" t="s">
        <v>3560</v>
      </c>
      <c r="J1027" t="s">
        <v>42</v>
      </c>
      <c r="K1027" t="s">
        <v>42</v>
      </c>
      <c r="L1027">
        <v>5</v>
      </c>
      <c r="M1027">
        <v>3</v>
      </c>
      <c r="N1027" t="s">
        <v>5869</v>
      </c>
      <c r="O1027" t="s">
        <v>1457</v>
      </c>
      <c r="P1027" t="s">
        <v>5749</v>
      </c>
      <c r="Q1027" t="s">
        <v>2189</v>
      </c>
      <c r="R1027" t="s">
        <v>1444</v>
      </c>
      <c r="S1027" t="s">
        <v>5870</v>
      </c>
    </row>
    <row r="1028" spans="1:19">
      <c r="A1028" t="s">
        <v>7031</v>
      </c>
      <c r="B1028" t="s">
        <v>5877</v>
      </c>
      <c r="C1028" t="s">
        <v>3968</v>
      </c>
      <c r="D1028">
        <v>234</v>
      </c>
      <c r="E1028" t="s">
        <v>5878</v>
      </c>
      <c r="F1028">
        <v>5</v>
      </c>
      <c r="G1028">
        <v>1</v>
      </c>
      <c r="H1028" t="s">
        <v>5201</v>
      </c>
      <c r="I1028" t="s">
        <v>3560</v>
      </c>
      <c r="J1028" t="s">
        <v>42</v>
      </c>
      <c r="K1028" t="s">
        <v>42</v>
      </c>
      <c r="L1028">
        <v>5</v>
      </c>
      <c r="M1028">
        <v>3</v>
      </c>
      <c r="N1028" t="s">
        <v>2280</v>
      </c>
      <c r="O1028" t="s">
        <v>1457</v>
      </c>
      <c r="P1028" t="s">
        <v>5507</v>
      </c>
      <c r="Q1028" t="s">
        <v>1443</v>
      </c>
      <c r="R1028" t="s">
        <v>5874</v>
      </c>
      <c r="S1028" t="s">
        <v>5879</v>
      </c>
    </row>
    <row r="1029" spans="1:19">
      <c r="A1029" t="s">
        <v>7032</v>
      </c>
      <c r="B1029" t="s">
        <v>5880</v>
      </c>
      <c r="C1029" t="s">
        <v>3968</v>
      </c>
      <c r="D1029">
        <v>234</v>
      </c>
      <c r="E1029" t="s">
        <v>1599</v>
      </c>
      <c r="F1029">
        <v>10</v>
      </c>
      <c r="G1029">
        <v>1</v>
      </c>
      <c r="I1029" t="s">
        <v>3560</v>
      </c>
      <c r="J1029" t="s">
        <v>42</v>
      </c>
      <c r="K1029" t="s">
        <v>42</v>
      </c>
      <c r="L1029">
        <v>5</v>
      </c>
      <c r="M1029">
        <v>3</v>
      </c>
      <c r="N1029" t="s">
        <v>2280</v>
      </c>
      <c r="O1029" t="s">
        <v>1457</v>
      </c>
      <c r="P1029" t="s">
        <v>5083</v>
      </c>
      <c r="Q1029" t="s">
        <v>1443</v>
      </c>
      <c r="R1029" t="s">
        <v>5881</v>
      </c>
      <c r="S1029" t="s">
        <v>5882</v>
      </c>
    </row>
    <row r="1030" spans="1:19">
      <c r="A1030" t="s">
        <v>7033</v>
      </c>
      <c r="B1030" t="s">
        <v>5883</v>
      </c>
      <c r="C1030" t="s">
        <v>3968</v>
      </c>
      <c r="D1030">
        <v>234</v>
      </c>
      <c r="E1030" t="s">
        <v>1599</v>
      </c>
      <c r="F1030">
        <v>10</v>
      </c>
      <c r="G1030">
        <v>1</v>
      </c>
      <c r="I1030" t="s">
        <v>3560</v>
      </c>
      <c r="J1030" t="s">
        <v>42</v>
      </c>
      <c r="K1030" t="s">
        <v>42</v>
      </c>
      <c r="L1030">
        <v>5</v>
      </c>
      <c r="M1030">
        <v>4</v>
      </c>
      <c r="N1030" t="s">
        <v>2291</v>
      </c>
      <c r="O1030" t="s">
        <v>1457</v>
      </c>
      <c r="P1030" t="s">
        <v>5884</v>
      </c>
      <c r="Q1030" t="s">
        <v>1443</v>
      </c>
      <c r="R1030" t="s">
        <v>5885</v>
      </c>
      <c r="S1030" t="s">
        <v>5886</v>
      </c>
    </row>
    <row r="1031" spans="1:19">
      <c r="A1031" t="s">
        <v>7034</v>
      </c>
      <c r="B1031" t="s">
        <v>5887</v>
      </c>
      <c r="C1031" t="s">
        <v>3968</v>
      </c>
      <c r="D1031">
        <v>234</v>
      </c>
      <c r="E1031" t="s">
        <v>1476</v>
      </c>
      <c r="F1031">
        <v>3</v>
      </c>
      <c r="G1031">
        <v>1</v>
      </c>
      <c r="I1031" t="s">
        <v>3560</v>
      </c>
      <c r="J1031" t="s">
        <v>42</v>
      </c>
      <c r="K1031" t="s">
        <v>42</v>
      </c>
      <c r="L1031">
        <v>5</v>
      </c>
      <c r="M1031">
        <v>5</v>
      </c>
      <c r="N1031" t="s">
        <v>2297</v>
      </c>
      <c r="O1031" t="s">
        <v>1447</v>
      </c>
      <c r="P1031" t="s">
        <v>5197</v>
      </c>
      <c r="Q1031" t="s">
        <v>1443</v>
      </c>
      <c r="R1031" t="s">
        <v>5877</v>
      </c>
      <c r="S1031" t="s">
        <v>5888</v>
      </c>
    </row>
    <row r="1032" spans="1:19">
      <c r="A1032" t="s">
        <v>7036</v>
      </c>
      <c r="B1032" t="s">
        <v>5891</v>
      </c>
      <c r="C1032" t="s">
        <v>3968</v>
      </c>
      <c r="D1032">
        <v>235</v>
      </c>
      <c r="E1032" t="s">
        <v>5892</v>
      </c>
      <c r="F1032">
        <v>3</v>
      </c>
      <c r="H1032" t="s">
        <v>5201</v>
      </c>
      <c r="I1032" t="s">
        <v>3560</v>
      </c>
      <c r="J1032" t="s">
        <v>42</v>
      </c>
      <c r="K1032" t="s">
        <v>42</v>
      </c>
      <c r="L1032">
        <v>5</v>
      </c>
      <c r="M1032">
        <v>2</v>
      </c>
      <c r="N1032" t="s">
        <v>2265</v>
      </c>
      <c r="O1032" t="s">
        <v>1441</v>
      </c>
      <c r="P1032" t="s">
        <v>5507</v>
      </c>
      <c r="Q1032" t="s">
        <v>5893</v>
      </c>
      <c r="R1032" t="s">
        <v>2302</v>
      </c>
      <c r="S1032" t="s">
        <v>5894</v>
      </c>
    </row>
    <row r="1033" spans="1:19">
      <c r="A1033" t="s">
        <v>7037</v>
      </c>
      <c r="B1033" t="s">
        <v>5895</v>
      </c>
      <c r="C1033" t="s">
        <v>3968</v>
      </c>
      <c r="D1033">
        <v>235</v>
      </c>
      <c r="E1033" t="s">
        <v>3687</v>
      </c>
      <c r="I1033" t="s">
        <v>3560</v>
      </c>
      <c r="J1033" t="s">
        <v>42</v>
      </c>
      <c r="K1033" t="s">
        <v>42</v>
      </c>
      <c r="L1033">
        <v>5</v>
      </c>
      <c r="M1033">
        <v>3</v>
      </c>
      <c r="N1033" t="s">
        <v>2280</v>
      </c>
      <c r="O1033" t="s">
        <v>1513</v>
      </c>
      <c r="P1033" t="s">
        <v>5657</v>
      </c>
      <c r="Q1033" t="s">
        <v>1513</v>
      </c>
      <c r="R1033" t="s">
        <v>2302</v>
      </c>
      <c r="S1033" t="s">
        <v>5896</v>
      </c>
    </row>
    <row r="1034" spans="1:19">
      <c r="A1034" t="s">
        <v>4639</v>
      </c>
      <c r="B1034" t="s">
        <v>1049</v>
      </c>
      <c r="C1034" t="s">
        <v>3607</v>
      </c>
      <c r="D1034" t="s">
        <v>1050</v>
      </c>
      <c r="E1034" t="s">
        <v>1541</v>
      </c>
      <c r="F1034">
        <v>5</v>
      </c>
      <c r="I1034" t="s">
        <v>3238</v>
      </c>
      <c r="J1034" t="s">
        <v>43</v>
      </c>
      <c r="K1034" t="s">
        <v>43</v>
      </c>
      <c r="L1034">
        <v>2</v>
      </c>
      <c r="M1034">
        <v>1</v>
      </c>
      <c r="N1034" t="s">
        <v>2327</v>
      </c>
      <c r="O1034" t="s">
        <v>1441</v>
      </c>
      <c r="P1034" t="s">
        <v>1444</v>
      </c>
      <c r="Q1034" t="s">
        <v>2323</v>
      </c>
      <c r="R1034" t="s">
        <v>1444</v>
      </c>
      <c r="S1034" t="s">
        <v>2328</v>
      </c>
    </row>
    <row r="1035" spans="1:19">
      <c r="A1035" t="s">
        <v>4630</v>
      </c>
      <c r="B1035" t="s">
        <v>1028</v>
      </c>
      <c r="C1035" t="s">
        <v>3607</v>
      </c>
      <c r="D1035" t="s">
        <v>1040</v>
      </c>
      <c r="E1035" t="s">
        <v>1460</v>
      </c>
      <c r="F1035">
        <v>2</v>
      </c>
      <c r="I1035" t="s">
        <v>3238</v>
      </c>
      <c r="J1035" t="s">
        <v>43</v>
      </c>
      <c r="K1035" t="s">
        <v>43</v>
      </c>
      <c r="L1035">
        <v>3</v>
      </c>
      <c r="M1035">
        <v>1</v>
      </c>
      <c r="N1035" t="s">
        <v>2309</v>
      </c>
      <c r="O1035" t="s">
        <v>1441</v>
      </c>
      <c r="P1035" t="s">
        <v>1523</v>
      </c>
      <c r="Q1035" t="s">
        <v>1443</v>
      </c>
      <c r="R1035" t="s">
        <v>1444</v>
      </c>
      <c r="S1035" t="s">
        <v>2310</v>
      </c>
    </row>
    <row r="1036" spans="1:19">
      <c r="A1036" t="s">
        <v>4643</v>
      </c>
      <c r="B1036" t="s">
        <v>1037</v>
      </c>
      <c r="C1036" t="s">
        <v>3607</v>
      </c>
      <c r="D1036">
        <v>364</v>
      </c>
      <c r="E1036" t="s">
        <v>1439</v>
      </c>
      <c r="F1036">
        <v>1</v>
      </c>
      <c r="I1036" t="s">
        <v>3238</v>
      </c>
      <c r="J1036" t="s">
        <v>43</v>
      </c>
      <c r="K1036" t="s">
        <v>43</v>
      </c>
      <c r="L1036">
        <v>3</v>
      </c>
      <c r="M1036">
        <v>1</v>
      </c>
      <c r="N1036" t="s">
        <v>2309</v>
      </c>
      <c r="O1036" t="s">
        <v>1441</v>
      </c>
      <c r="P1036" t="s">
        <v>1444</v>
      </c>
      <c r="Q1036" t="s">
        <v>1443</v>
      </c>
      <c r="R1036" t="s">
        <v>1028</v>
      </c>
      <c r="S1036" t="s">
        <v>2335</v>
      </c>
    </row>
    <row r="1037" spans="1:19">
      <c r="A1037" t="s">
        <v>4647</v>
      </c>
      <c r="B1037" t="s">
        <v>1044</v>
      </c>
      <c r="C1037" t="s">
        <v>3607</v>
      </c>
      <c r="D1037" t="s">
        <v>1021</v>
      </c>
      <c r="E1037" t="s">
        <v>1439</v>
      </c>
      <c r="F1037">
        <v>1</v>
      </c>
      <c r="I1037" t="s">
        <v>3238</v>
      </c>
      <c r="J1037" t="s">
        <v>43</v>
      </c>
      <c r="K1037" t="s">
        <v>43</v>
      </c>
      <c r="L1037">
        <v>3</v>
      </c>
      <c r="M1037">
        <v>1</v>
      </c>
      <c r="N1037" t="s">
        <v>2309</v>
      </c>
      <c r="O1037" t="s">
        <v>1441</v>
      </c>
      <c r="P1037" t="s">
        <v>1444</v>
      </c>
      <c r="Q1037" t="s">
        <v>1443</v>
      </c>
      <c r="R1037" t="s">
        <v>1028</v>
      </c>
      <c r="S1037" t="s">
        <v>2341</v>
      </c>
    </row>
    <row r="1038" spans="1:19">
      <c r="A1038" t="s">
        <v>4654</v>
      </c>
      <c r="B1038" t="s">
        <v>1023</v>
      </c>
      <c r="C1038" t="s">
        <v>3607</v>
      </c>
      <c r="D1038" t="s">
        <v>1034</v>
      </c>
      <c r="E1038" t="s">
        <v>1439</v>
      </c>
      <c r="F1038">
        <v>1</v>
      </c>
      <c r="I1038" t="s">
        <v>3238</v>
      </c>
      <c r="J1038" t="s">
        <v>43</v>
      </c>
      <c r="K1038" t="s">
        <v>43</v>
      </c>
      <c r="L1038">
        <v>3</v>
      </c>
      <c r="M1038">
        <v>1</v>
      </c>
      <c r="N1038" t="s">
        <v>2309</v>
      </c>
      <c r="O1038" t="s">
        <v>1441</v>
      </c>
      <c r="P1038" t="s">
        <v>1444</v>
      </c>
      <c r="Q1038" t="s">
        <v>1443</v>
      </c>
      <c r="R1038" t="s">
        <v>1028</v>
      </c>
      <c r="S1038" t="s">
        <v>2351</v>
      </c>
    </row>
    <row r="1039" spans="1:19">
      <c r="A1039" t="s">
        <v>4661</v>
      </c>
      <c r="B1039" t="s">
        <v>1027</v>
      </c>
      <c r="C1039" t="s">
        <v>3607</v>
      </c>
      <c r="D1039">
        <v>368</v>
      </c>
      <c r="E1039" t="s">
        <v>1439</v>
      </c>
      <c r="F1039">
        <v>1</v>
      </c>
      <c r="I1039" t="s">
        <v>3238</v>
      </c>
      <c r="J1039" t="s">
        <v>43</v>
      </c>
      <c r="K1039" t="s">
        <v>43</v>
      </c>
      <c r="L1039">
        <v>3</v>
      </c>
      <c r="M1039">
        <v>1</v>
      </c>
      <c r="N1039" t="s">
        <v>2309</v>
      </c>
      <c r="O1039" t="s">
        <v>1441</v>
      </c>
      <c r="P1039" t="s">
        <v>1523</v>
      </c>
      <c r="Q1039" t="s">
        <v>1443</v>
      </c>
      <c r="R1039" t="s">
        <v>1028</v>
      </c>
      <c r="S1039" t="s">
        <v>2359</v>
      </c>
    </row>
    <row r="1040" spans="1:19">
      <c r="A1040" t="s">
        <v>4664</v>
      </c>
      <c r="B1040" t="s">
        <v>1026</v>
      </c>
      <c r="C1040" t="s">
        <v>3607</v>
      </c>
      <c r="D1040" t="s">
        <v>1061</v>
      </c>
      <c r="E1040" t="s">
        <v>1541</v>
      </c>
      <c r="F1040">
        <v>5</v>
      </c>
      <c r="I1040" t="s">
        <v>3238</v>
      </c>
      <c r="J1040" t="s">
        <v>43</v>
      </c>
      <c r="K1040" t="s">
        <v>43</v>
      </c>
      <c r="L1040">
        <v>3</v>
      </c>
      <c r="M1040">
        <v>1</v>
      </c>
      <c r="N1040" t="s">
        <v>2309</v>
      </c>
      <c r="O1040" t="s">
        <v>1447</v>
      </c>
      <c r="P1040" t="s">
        <v>1444</v>
      </c>
      <c r="Q1040" t="s">
        <v>1547</v>
      </c>
      <c r="R1040" t="s">
        <v>1028</v>
      </c>
      <c r="S1040" t="s">
        <v>2362</v>
      </c>
    </row>
    <row r="1041" spans="1:19">
      <c r="A1041" t="s">
        <v>4632</v>
      </c>
      <c r="B1041" t="s">
        <v>1059</v>
      </c>
      <c r="C1041" t="s">
        <v>3607</v>
      </c>
      <c r="D1041" t="s">
        <v>1060</v>
      </c>
      <c r="E1041" t="s">
        <v>1511</v>
      </c>
      <c r="F1041" t="s">
        <v>1511</v>
      </c>
      <c r="I1041" t="s">
        <v>3238</v>
      </c>
      <c r="J1041" t="s">
        <v>43</v>
      </c>
      <c r="K1041" t="s">
        <v>43</v>
      </c>
      <c r="L1041">
        <v>4</v>
      </c>
      <c r="M1041">
        <v>2</v>
      </c>
      <c r="N1041" t="s">
        <v>2313</v>
      </c>
      <c r="O1041" t="s">
        <v>1513</v>
      </c>
      <c r="P1041" t="s">
        <v>1444</v>
      </c>
      <c r="Q1041" t="s">
        <v>1513</v>
      </c>
      <c r="R1041" t="s">
        <v>2314</v>
      </c>
      <c r="S1041" t="s">
        <v>3525</v>
      </c>
    </row>
    <row r="1042" spans="1:19">
      <c r="A1042" t="s">
        <v>4640</v>
      </c>
      <c r="B1042" t="s">
        <v>1047</v>
      </c>
      <c r="C1042" t="s">
        <v>3607</v>
      </c>
      <c r="D1042">
        <v>363</v>
      </c>
      <c r="E1042" t="s">
        <v>1820</v>
      </c>
      <c r="F1042" t="s">
        <v>1820</v>
      </c>
      <c r="I1042" t="s">
        <v>3238</v>
      </c>
      <c r="J1042" t="s">
        <v>43</v>
      </c>
      <c r="K1042" t="s">
        <v>43</v>
      </c>
      <c r="L1042">
        <v>4</v>
      </c>
      <c r="M1042">
        <v>2</v>
      </c>
      <c r="N1042" t="s">
        <v>2313</v>
      </c>
      <c r="O1042" t="s">
        <v>1513</v>
      </c>
      <c r="P1042" t="s">
        <v>1444</v>
      </c>
      <c r="Q1042" t="s">
        <v>1513</v>
      </c>
      <c r="R1042" t="s">
        <v>2329</v>
      </c>
      <c r="S1042" t="s">
        <v>2330</v>
      </c>
    </row>
    <row r="1043" spans="1:19">
      <c r="A1043" t="s">
        <v>4644</v>
      </c>
      <c r="B1043" t="s">
        <v>1032</v>
      </c>
      <c r="C1043" t="s">
        <v>3607</v>
      </c>
      <c r="D1043" t="s">
        <v>1033</v>
      </c>
      <c r="E1043" t="s">
        <v>1467</v>
      </c>
      <c r="F1043">
        <v>5</v>
      </c>
      <c r="G1043">
        <v>1</v>
      </c>
      <c r="I1043" t="s">
        <v>3238</v>
      </c>
      <c r="J1043" t="s">
        <v>43</v>
      </c>
      <c r="K1043" t="s">
        <v>43</v>
      </c>
      <c r="L1043">
        <v>4</v>
      </c>
      <c r="M1043">
        <v>2</v>
      </c>
      <c r="N1043" t="s">
        <v>2313</v>
      </c>
      <c r="O1043" t="s">
        <v>1457</v>
      </c>
      <c r="P1043" t="s">
        <v>1444</v>
      </c>
      <c r="Q1043" t="s">
        <v>1443</v>
      </c>
      <c r="R1043" t="s">
        <v>1037</v>
      </c>
      <c r="S1043" t="s">
        <v>2336</v>
      </c>
    </row>
    <row r="1044" spans="1:19">
      <c r="A1044" t="s">
        <v>4648</v>
      </c>
      <c r="B1044" t="s">
        <v>1043</v>
      </c>
      <c r="C1044" t="s">
        <v>3607</v>
      </c>
      <c r="D1044" t="s">
        <v>1021</v>
      </c>
      <c r="E1044" t="s">
        <v>1439</v>
      </c>
      <c r="F1044">
        <v>1</v>
      </c>
      <c r="I1044" t="s">
        <v>3238</v>
      </c>
      <c r="J1044" t="s">
        <v>43</v>
      </c>
      <c r="K1044" t="s">
        <v>43</v>
      </c>
      <c r="L1044">
        <v>4</v>
      </c>
      <c r="M1044">
        <v>1</v>
      </c>
      <c r="N1044" t="s">
        <v>2342</v>
      </c>
      <c r="O1044" t="s">
        <v>1457</v>
      </c>
      <c r="P1044" t="s">
        <v>1444</v>
      </c>
      <c r="Q1044" t="s">
        <v>2343</v>
      </c>
      <c r="R1044" t="s">
        <v>1044</v>
      </c>
      <c r="S1044" t="s">
        <v>2344</v>
      </c>
    </row>
    <row r="1045" spans="1:19">
      <c r="A1045" t="s">
        <v>4651</v>
      </c>
      <c r="B1045" t="s">
        <v>1035</v>
      </c>
      <c r="C1045" t="s">
        <v>3607</v>
      </c>
      <c r="D1045">
        <v>366</v>
      </c>
      <c r="E1045" t="s">
        <v>1467</v>
      </c>
      <c r="F1045">
        <v>5</v>
      </c>
      <c r="G1045">
        <v>1</v>
      </c>
      <c r="I1045" t="s">
        <v>3238</v>
      </c>
      <c r="J1045" t="s">
        <v>43</v>
      </c>
      <c r="K1045" t="s">
        <v>43</v>
      </c>
      <c r="L1045">
        <v>4</v>
      </c>
      <c r="M1045">
        <v>2</v>
      </c>
      <c r="N1045" t="s">
        <v>2313</v>
      </c>
      <c r="O1045" t="s">
        <v>1457</v>
      </c>
      <c r="P1045" t="s">
        <v>1523</v>
      </c>
      <c r="Q1045" t="s">
        <v>1443</v>
      </c>
      <c r="R1045" t="s">
        <v>1044</v>
      </c>
      <c r="S1045" t="s">
        <v>2348</v>
      </c>
    </row>
    <row r="1046" spans="1:19">
      <c r="A1046" t="s">
        <v>4655</v>
      </c>
      <c r="B1046" t="s">
        <v>1022</v>
      </c>
      <c r="C1046" t="s">
        <v>3607</v>
      </c>
      <c r="D1046">
        <v>367</v>
      </c>
      <c r="E1046" t="s">
        <v>1439</v>
      </c>
      <c r="F1046">
        <v>1</v>
      </c>
      <c r="I1046" t="s">
        <v>3238</v>
      </c>
      <c r="J1046" t="s">
        <v>43</v>
      </c>
      <c r="K1046" t="s">
        <v>43</v>
      </c>
      <c r="L1046">
        <v>4</v>
      </c>
      <c r="M1046">
        <v>1</v>
      </c>
      <c r="N1046" t="s">
        <v>2342</v>
      </c>
      <c r="O1046" t="s">
        <v>1447</v>
      </c>
      <c r="P1046" t="s">
        <v>1444</v>
      </c>
      <c r="Q1046" t="s">
        <v>1443</v>
      </c>
      <c r="R1046" t="s">
        <v>1023</v>
      </c>
      <c r="S1046" t="s">
        <v>2352</v>
      </c>
    </row>
    <row r="1047" spans="1:19">
      <c r="A1047" t="s">
        <v>4656</v>
      </c>
      <c r="B1047" t="s">
        <v>1051</v>
      </c>
      <c r="C1047" t="s">
        <v>3607</v>
      </c>
      <c r="D1047" t="s">
        <v>1052</v>
      </c>
      <c r="E1047" t="s">
        <v>1924</v>
      </c>
      <c r="F1047">
        <v>2</v>
      </c>
      <c r="G1047">
        <v>1</v>
      </c>
      <c r="I1047" t="s">
        <v>3238</v>
      </c>
      <c r="J1047" t="s">
        <v>43</v>
      </c>
      <c r="K1047" t="s">
        <v>43</v>
      </c>
      <c r="L1047">
        <v>4</v>
      </c>
      <c r="M1047">
        <v>1</v>
      </c>
      <c r="N1047" t="s">
        <v>2342</v>
      </c>
      <c r="O1047" t="s">
        <v>1457</v>
      </c>
      <c r="P1047" t="s">
        <v>1444</v>
      </c>
      <c r="Q1047" t="s">
        <v>1443</v>
      </c>
      <c r="R1047" t="s">
        <v>1023</v>
      </c>
      <c r="S1047" t="s">
        <v>2353</v>
      </c>
    </row>
    <row r="1048" spans="1:19">
      <c r="A1048" t="s">
        <v>4659</v>
      </c>
      <c r="B1048" t="s">
        <v>1039</v>
      </c>
      <c r="C1048" t="s">
        <v>3607</v>
      </c>
      <c r="D1048">
        <v>367</v>
      </c>
      <c r="E1048" t="s">
        <v>1439</v>
      </c>
      <c r="F1048">
        <v>1</v>
      </c>
      <c r="I1048" t="s">
        <v>3238</v>
      </c>
      <c r="J1048" t="s">
        <v>43</v>
      </c>
      <c r="K1048" t="s">
        <v>43</v>
      </c>
      <c r="L1048">
        <v>4</v>
      </c>
      <c r="M1048">
        <v>2</v>
      </c>
      <c r="N1048" t="s">
        <v>2313</v>
      </c>
      <c r="O1048" t="s">
        <v>1457</v>
      </c>
      <c r="P1048" t="s">
        <v>1444</v>
      </c>
      <c r="Q1048" t="s">
        <v>1473</v>
      </c>
      <c r="R1048" t="s">
        <v>1028</v>
      </c>
      <c r="S1048" t="s">
        <v>2357</v>
      </c>
    </row>
    <row r="1049" spans="1:19">
      <c r="A1049" t="s">
        <v>4660</v>
      </c>
      <c r="B1049" t="s">
        <v>1064</v>
      </c>
      <c r="C1049" t="s">
        <v>3607</v>
      </c>
      <c r="D1049">
        <v>362</v>
      </c>
      <c r="E1049" t="s">
        <v>1460</v>
      </c>
      <c r="F1049">
        <v>2</v>
      </c>
      <c r="I1049" t="s">
        <v>3238</v>
      </c>
      <c r="J1049" t="s">
        <v>43</v>
      </c>
      <c r="K1049" t="s">
        <v>43</v>
      </c>
      <c r="L1049">
        <v>4</v>
      </c>
      <c r="M1049">
        <v>1</v>
      </c>
      <c r="N1049" t="s">
        <v>2342</v>
      </c>
      <c r="O1049" t="s">
        <v>1441</v>
      </c>
      <c r="P1049" t="s">
        <v>1523</v>
      </c>
      <c r="Q1049" t="s">
        <v>1443</v>
      </c>
      <c r="R1049" t="s">
        <v>1028</v>
      </c>
      <c r="S1049" t="s">
        <v>2358</v>
      </c>
    </row>
    <row r="1050" spans="1:19">
      <c r="A1050" t="s">
        <v>4663</v>
      </c>
      <c r="B1050" t="s">
        <v>1058</v>
      </c>
      <c r="C1050" t="s">
        <v>3607</v>
      </c>
      <c r="D1050">
        <v>368</v>
      </c>
      <c r="E1050" t="s">
        <v>1439</v>
      </c>
      <c r="F1050">
        <v>1</v>
      </c>
      <c r="I1050" t="s">
        <v>3238</v>
      </c>
      <c r="J1050" t="s">
        <v>43</v>
      </c>
      <c r="K1050" t="s">
        <v>43</v>
      </c>
      <c r="L1050">
        <v>4</v>
      </c>
      <c r="M1050">
        <v>1</v>
      </c>
      <c r="N1050" t="s">
        <v>2342</v>
      </c>
      <c r="O1050" t="s">
        <v>1441</v>
      </c>
      <c r="P1050" t="s">
        <v>1444</v>
      </c>
      <c r="Q1050" t="s">
        <v>1443</v>
      </c>
      <c r="R1050" t="s">
        <v>1028</v>
      </c>
      <c r="S1050" t="s">
        <v>2361</v>
      </c>
    </row>
    <row r="1051" spans="1:19">
      <c r="A1051" t="s">
        <v>4665</v>
      </c>
      <c r="B1051" t="s">
        <v>1024</v>
      </c>
      <c r="C1051" t="s">
        <v>3607</v>
      </c>
      <c r="D1051" t="s">
        <v>1025</v>
      </c>
      <c r="E1051" t="s">
        <v>1476</v>
      </c>
      <c r="F1051">
        <v>3</v>
      </c>
      <c r="G1051">
        <v>1</v>
      </c>
      <c r="I1051" t="s">
        <v>3238</v>
      </c>
      <c r="J1051" t="s">
        <v>43</v>
      </c>
      <c r="K1051" t="s">
        <v>43</v>
      </c>
      <c r="L1051">
        <v>4</v>
      </c>
      <c r="M1051">
        <v>1</v>
      </c>
      <c r="N1051" t="s">
        <v>2342</v>
      </c>
      <c r="O1051" t="s">
        <v>1457</v>
      </c>
      <c r="P1051" t="s">
        <v>1523</v>
      </c>
      <c r="Q1051" t="s">
        <v>1443</v>
      </c>
      <c r="R1051" t="s">
        <v>1026</v>
      </c>
      <c r="S1051" t="s">
        <v>2363</v>
      </c>
    </row>
    <row r="1052" spans="1:19">
      <c r="A1052" t="s">
        <v>4666</v>
      </c>
      <c r="B1052" t="s">
        <v>3767</v>
      </c>
      <c r="C1052" t="s">
        <v>3602</v>
      </c>
      <c r="D1052">
        <v>23</v>
      </c>
      <c r="E1052" t="s">
        <v>2580</v>
      </c>
      <c r="F1052" t="s">
        <v>2580</v>
      </c>
      <c r="I1052" t="s">
        <v>3238</v>
      </c>
      <c r="J1052" t="s">
        <v>43</v>
      </c>
      <c r="K1052" t="s">
        <v>43</v>
      </c>
      <c r="L1052">
        <v>4</v>
      </c>
      <c r="M1052">
        <v>2</v>
      </c>
      <c r="N1052" t="s">
        <v>2313</v>
      </c>
      <c r="O1052" t="s">
        <v>1447</v>
      </c>
      <c r="P1052" t="s">
        <v>1444</v>
      </c>
      <c r="Q1052" t="s">
        <v>1443</v>
      </c>
      <c r="R1052" t="s">
        <v>1043</v>
      </c>
      <c r="S1052" t="s">
        <v>3768</v>
      </c>
    </row>
    <row r="1053" spans="1:19">
      <c r="A1053" t="s">
        <v>4668</v>
      </c>
      <c r="B1053" t="s">
        <v>3772</v>
      </c>
      <c r="C1053" t="s">
        <v>3602</v>
      </c>
      <c r="D1053">
        <v>24</v>
      </c>
      <c r="E1053" t="s">
        <v>1439</v>
      </c>
      <c r="F1053">
        <v>1</v>
      </c>
      <c r="I1053" t="s">
        <v>3238</v>
      </c>
      <c r="J1053" t="s">
        <v>43</v>
      </c>
      <c r="K1053" t="s">
        <v>43</v>
      </c>
      <c r="L1053">
        <v>4</v>
      </c>
      <c r="M1053">
        <v>2</v>
      </c>
      <c r="N1053" t="s">
        <v>2313</v>
      </c>
      <c r="O1053" t="s">
        <v>1441</v>
      </c>
      <c r="P1053" t="s">
        <v>1523</v>
      </c>
      <c r="Q1053" t="s">
        <v>1443</v>
      </c>
      <c r="R1053" t="s">
        <v>1039</v>
      </c>
      <c r="S1053" t="s">
        <v>3773</v>
      </c>
    </row>
    <row r="1054" spans="1:19">
      <c r="A1054" t="s">
        <v>4631</v>
      </c>
      <c r="B1054" t="s">
        <v>1056</v>
      </c>
      <c r="C1054" t="s">
        <v>3607</v>
      </c>
      <c r="D1054">
        <v>361</v>
      </c>
      <c r="E1054" t="s">
        <v>1465</v>
      </c>
      <c r="F1054">
        <v>1</v>
      </c>
      <c r="G1054">
        <v>1</v>
      </c>
      <c r="I1054" t="s">
        <v>3238</v>
      </c>
      <c r="J1054" t="s">
        <v>43</v>
      </c>
      <c r="K1054" t="s">
        <v>43</v>
      </c>
      <c r="L1054">
        <v>5</v>
      </c>
      <c r="M1054">
        <v>1</v>
      </c>
      <c r="N1054" t="s">
        <v>2311</v>
      </c>
      <c r="O1054" t="s">
        <v>1457</v>
      </c>
      <c r="P1054" t="s">
        <v>1444</v>
      </c>
      <c r="Q1054" t="s">
        <v>1443</v>
      </c>
      <c r="R1054" t="s">
        <v>1028</v>
      </c>
      <c r="S1054" t="s">
        <v>2312</v>
      </c>
    </row>
    <row r="1055" spans="1:19">
      <c r="A1055" t="s">
        <v>4633</v>
      </c>
      <c r="B1055" t="s">
        <v>1062</v>
      </c>
      <c r="C1055" t="s">
        <v>3607</v>
      </c>
      <c r="D1055">
        <v>0</v>
      </c>
      <c r="E1055" t="s">
        <v>1467</v>
      </c>
      <c r="F1055">
        <v>5</v>
      </c>
      <c r="G1055">
        <v>1</v>
      </c>
      <c r="I1055" t="s">
        <v>3238</v>
      </c>
      <c r="J1055" t="s">
        <v>43</v>
      </c>
      <c r="K1055" t="s">
        <v>43</v>
      </c>
      <c r="L1055">
        <v>5</v>
      </c>
      <c r="M1055">
        <v>3</v>
      </c>
      <c r="N1055" t="s">
        <v>2315</v>
      </c>
      <c r="O1055" t="s">
        <v>1447</v>
      </c>
      <c r="P1055" t="s">
        <v>1444</v>
      </c>
      <c r="Q1055" t="s">
        <v>1473</v>
      </c>
      <c r="R1055" t="s">
        <v>1059</v>
      </c>
      <c r="S1055" t="s">
        <v>2316</v>
      </c>
    </row>
    <row r="1056" spans="1:19">
      <c r="A1056" t="s">
        <v>4634</v>
      </c>
      <c r="B1056" t="s">
        <v>1046</v>
      </c>
      <c r="C1056" t="s">
        <v>3607</v>
      </c>
      <c r="D1056">
        <v>362</v>
      </c>
      <c r="E1056" t="s">
        <v>1924</v>
      </c>
      <c r="F1056">
        <v>2</v>
      </c>
      <c r="G1056">
        <v>1</v>
      </c>
      <c r="I1056" t="s">
        <v>3238</v>
      </c>
      <c r="J1056" t="s">
        <v>43</v>
      </c>
      <c r="K1056" t="s">
        <v>43</v>
      </c>
      <c r="L1056">
        <v>5</v>
      </c>
      <c r="M1056">
        <v>3</v>
      </c>
      <c r="N1056" t="s">
        <v>2315</v>
      </c>
      <c r="O1056" t="s">
        <v>1447</v>
      </c>
      <c r="P1056" t="s">
        <v>1444</v>
      </c>
      <c r="Q1056" t="s">
        <v>2317</v>
      </c>
      <c r="R1056" t="s">
        <v>1062</v>
      </c>
      <c r="S1056" t="s">
        <v>2318</v>
      </c>
    </row>
    <row r="1057" spans="1:19">
      <c r="A1057" t="s">
        <v>4635</v>
      </c>
      <c r="B1057" t="s">
        <v>1055</v>
      </c>
      <c r="C1057" t="s">
        <v>3607</v>
      </c>
      <c r="D1057">
        <v>362</v>
      </c>
      <c r="E1057" t="s">
        <v>1938</v>
      </c>
      <c r="H1057" t="s">
        <v>1938</v>
      </c>
      <c r="I1057" t="s">
        <v>3238</v>
      </c>
      <c r="J1057" t="s">
        <v>43</v>
      </c>
      <c r="K1057" t="s">
        <v>43</v>
      </c>
      <c r="L1057">
        <v>5</v>
      </c>
      <c r="M1057">
        <v>3</v>
      </c>
      <c r="N1057" t="s">
        <v>2315</v>
      </c>
      <c r="O1057" t="s">
        <v>1447</v>
      </c>
      <c r="P1057" t="s">
        <v>1444</v>
      </c>
      <c r="Q1057" t="s">
        <v>1443</v>
      </c>
      <c r="R1057" t="s">
        <v>1046</v>
      </c>
      <c r="S1057" t="s">
        <v>2319</v>
      </c>
    </row>
    <row r="1058" spans="1:19">
      <c r="A1058" t="s">
        <v>4636</v>
      </c>
      <c r="B1058" t="s">
        <v>1063</v>
      </c>
      <c r="C1058" t="s">
        <v>3607</v>
      </c>
      <c r="D1058">
        <v>362</v>
      </c>
      <c r="E1058" t="s">
        <v>1511</v>
      </c>
      <c r="F1058" t="s">
        <v>1511</v>
      </c>
      <c r="I1058" t="s">
        <v>3238</v>
      </c>
      <c r="J1058" t="s">
        <v>43</v>
      </c>
      <c r="K1058" t="s">
        <v>43</v>
      </c>
      <c r="L1058">
        <v>5</v>
      </c>
      <c r="M1058">
        <v>4</v>
      </c>
      <c r="N1058" t="s">
        <v>2320</v>
      </c>
      <c r="O1058" t="s">
        <v>1513</v>
      </c>
      <c r="P1058" t="s">
        <v>1523</v>
      </c>
      <c r="Q1058" t="s">
        <v>1513</v>
      </c>
      <c r="R1058" t="s">
        <v>1062</v>
      </c>
      <c r="S1058" t="s">
        <v>2321</v>
      </c>
    </row>
    <row r="1059" spans="1:19">
      <c r="A1059" t="s">
        <v>4637</v>
      </c>
      <c r="B1059" t="s">
        <v>1053</v>
      </c>
      <c r="C1059" t="s">
        <v>3607</v>
      </c>
      <c r="D1059" t="s">
        <v>1054</v>
      </c>
      <c r="E1059" t="s">
        <v>1592</v>
      </c>
      <c r="G1059">
        <v>1</v>
      </c>
      <c r="I1059" t="s">
        <v>3238</v>
      </c>
      <c r="J1059" t="s">
        <v>43</v>
      </c>
      <c r="K1059" t="s">
        <v>43</v>
      </c>
      <c r="L1059">
        <v>5</v>
      </c>
      <c r="M1059">
        <v>5</v>
      </c>
      <c r="N1059" t="s">
        <v>2322</v>
      </c>
      <c r="O1059" t="s">
        <v>1447</v>
      </c>
      <c r="P1059" t="s">
        <v>1444</v>
      </c>
      <c r="Q1059" t="s">
        <v>2323</v>
      </c>
      <c r="R1059" t="s">
        <v>1063</v>
      </c>
      <c r="S1059" t="s">
        <v>2324</v>
      </c>
    </row>
    <row r="1060" spans="1:19">
      <c r="A1060" t="s">
        <v>4638</v>
      </c>
      <c r="B1060" t="s">
        <v>1048</v>
      </c>
      <c r="C1060" t="s">
        <v>3607</v>
      </c>
      <c r="D1060">
        <v>362</v>
      </c>
      <c r="E1060" t="s">
        <v>2325</v>
      </c>
      <c r="G1060">
        <v>1</v>
      </c>
      <c r="H1060" t="s">
        <v>3766</v>
      </c>
      <c r="I1060" t="s">
        <v>3238</v>
      </c>
      <c r="J1060" t="s">
        <v>43</v>
      </c>
      <c r="K1060" t="s">
        <v>43</v>
      </c>
      <c r="L1060">
        <v>5</v>
      </c>
      <c r="M1060">
        <v>5</v>
      </c>
      <c r="N1060" t="s">
        <v>2322</v>
      </c>
      <c r="O1060" t="s">
        <v>1447</v>
      </c>
      <c r="P1060" t="s">
        <v>1444</v>
      </c>
      <c r="Q1060" t="s">
        <v>1443</v>
      </c>
      <c r="R1060" t="s">
        <v>1053</v>
      </c>
      <c r="S1060" t="s">
        <v>2326</v>
      </c>
    </row>
    <row r="1061" spans="1:19">
      <c r="A1061" t="s">
        <v>4641</v>
      </c>
      <c r="B1061" t="s">
        <v>1041</v>
      </c>
      <c r="C1061" t="s">
        <v>3607</v>
      </c>
      <c r="D1061" t="s">
        <v>1030</v>
      </c>
      <c r="E1061" t="s">
        <v>1599</v>
      </c>
      <c r="F1061">
        <v>10</v>
      </c>
      <c r="G1061">
        <v>1</v>
      </c>
      <c r="I1061" t="s">
        <v>3238</v>
      </c>
      <c r="J1061" t="s">
        <v>43</v>
      </c>
      <c r="K1061" t="s">
        <v>43</v>
      </c>
      <c r="L1061">
        <v>5</v>
      </c>
      <c r="M1061">
        <v>3</v>
      </c>
      <c r="N1061" t="s">
        <v>2315</v>
      </c>
      <c r="O1061" t="s">
        <v>1457</v>
      </c>
      <c r="P1061" t="s">
        <v>2044</v>
      </c>
      <c r="Q1061" t="s">
        <v>1443</v>
      </c>
      <c r="R1061" t="s">
        <v>2331</v>
      </c>
      <c r="S1061" t="s">
        <v>2332</v>
      </c>
    </row>
    <row r="1062" spans="1:19">
      <c r="A1062" t="s">
        <v>4642</v>
      </c>
      <c r="B1062" t="s">
        <v>1029</v>
      </c>
      <c r="C1062" t="s">
        <v>3607</v>
      </c>
      <c r="D1062" t="s">
        <v>1030</v>
      </c>
      <c r="E1062" t="s">
        <v>1599</v>
      </c>
      <c r="F1062">
        <v>10</v>
      </c>
      <c r="G1062">
        <v>1</v>
      </c>
      <c r="I1062" t="s">
        <v>3238</v>
      </c>
      <c r="J1062" t="s">
        <v>43</v>
      </c>
      <c r="K1062" t="s">
        <v>43</v>
      </c>
      <c r="L1062">
        <v>5</v>
      </c>
      <c r="M1062">
        <v>3</v>
      </c>
      <c r="N1062" t="s">
        <v>2315</v>
      </c>
      <c r="O1062" t="s">
        <v>1457</v>
      </c>
      <c r="P1062" t="s">
        <v>1444</v>
      </c>
      <c r="Q1062" t="s">
        <v>1443</v>
      </c>
      <c r="R1062" t="s">
        <v>2333</v>
      </c>
      <c r="S1062" t="s">
        <v>2334</v>
      </c>
    </row>
    <row r="1063" spans="1:19">
      <c r="A1063" t="s">
        <v>4645</v>
      </c>
      <c r="B1063" t="s">
        <v>1031</v>
      </c>
      <c r="C1063" t="s">
        <v>3607</v>
      </c>
      <c r="D1063">
        <v>364</v>
      </c>
      <c r="E1063" t="s">
        <v>1465</v>
      </c>
      <c r="F1063">
        <v>1</v>
      </c>
      <c r="G1063">
        <v>1</v>
      </c>
      <c r="I1063" t="s">
        <v>3238</v>
      </c>
      <c r="J1063" t="s">
        <v>43</v>
      </c>
      <c r="K1063" t="s">
        <v>43</v>
      </c>
      <c r="L1063">
        <v>5</v>
      </c>
      <c r="M1063">
        <v>2</v>
      </c>
      <c r="N1063" t="s">
        <v>2337</v>
      </c>
      <c r="O1063" t="s">
        <v>1441</v>
      </c>
      <c r="P1063" t="s">
        <v>1444</v>
      </c>
      <c r="Q1063" t="s">
        <v>1443</v>
      </c>
      <c r="R1063" t="s">
        <v>1032</v>
      </c>
      <c r="S1063" t="s">
        <v>2338</v>
      </c>
    </row>
    <row r="1064" spans="1:19">
      <c r="A1064" t="s">
        <v>4646</v>
      </c>
      <c r="B1064" t="s">
        <v>1038</v>
      </c>
      <c r="C1064" t="s">
        <v>3607</v>
      </c>
      <c r="D1064">
        <v>364</v>
      </c>
      <c r="E1064" t="s">
        <v>1465</v>
      </c>
      <c r="F1064">
        <v>1</v>
      </c>
      <c r="G1064">
        <v>1</v>
      </c>
      <c r="I1064" t="s">
        <v>3238</v>
      </c>
      <c r="J1064" t="s">
        <v>43</v>
      </c>
      <c r="K1064" t="s">
        <v>43</v>
      </c>
      <c r="L1064">
        <v>5</v>
      </c>
      <c r="M1064">
        <v>3</v>
      </c>
      <c r="N1064" t="s">
        <v>2315</v>
      </c>
      <c r="O1064" t="s">
        <v>1447</v>
      </c>
      <c r="P1064" t="s">
        <v>1444</v>
      </c>
      <c r="Q1064" t="s">
        <v>1443</v>
      </c>
      <c r="R1064" t="s">
        <v>2339</v>
      </c>
      <c r="S1064" t="s">
        <v>2340</v>
      </c>
    </row>
    <row r="1065" spans="1:19">
      <c r="A1065" t="s">
        <v>4649</v>
      </c>
      <c r="B1065" t="s">
        <v>1020</v>
      </c>
      <c r="C1065" t="s">
        <v>3607</v>
      </c>
      <c r="D1065">
        <v>366</v>
      </c>
      <c r="E1065" t="s">
        <v>1439</v>
      </c>
      <c r="F1065">
        <v>1</v>
      </c>
      <c r="I1065" t="s">
        <v>3238</v>
      </c>
      <c r="J1065" t="s">
        <v>43</v>
      </c>
      <c r="K1065" t="s">
        <v>43</v>
      </c>
      <c r="L1065">
        <v>5</v>
      </c>
      <c r="M1065">
        <v>2</v>
      </c>
      <c r="N1065" t="s">
        <v>2337</v>
      </c>
      <c r="O1065" t="s">
        <v>1457</v>
      </c>
      <c r="P1065" t="s">
        <v>1444</v>
      </c>
      <c r="Q1065" t="s">
        <v>2343</v>
      </c>
      <c r="R1065" t="s">
        <v>1043</v>
      </c>
      <c r="S1065" t="s">
        <v>2345</v>
      </c>
    </row>
    <row r="1066" spans="1:19">
      <c r="A1066" t="s">
        <v>4650</v>
      </c>
      <c r="B1066" t="s">
        <v>2346</v>
      </c>
      <c r="C1066" t="s">
        <v>3607</v>
      </c>
      <c r="D1066">
        <v>366</v>
      </c>
      <c r="E1066" t="s">
        <v>1476</v>
      </c>
      <c r="F1066">
        <v>3</v>
      </c>
      <c r="G1066">
        <v>1</v>
      </c>
      <c r="I1066" t="s">
        <v>3238</v>
      </c>
      <c r="J1066" t="s">
        <v>43</v>
      </c>
      <c r="K1066" t="s">
        <v>43</v>
      </c>
      <c r="L1066">
        <v>5</v>
      </c>
      <c r="M1066">
        <v>2</v>
      </c>
      <c r="N1066" t="s">
        <v>2337</v>
      </c>
      <c r="O1066" t="s">
        <v>1447</v>
      </c>
      <c r="P1066" t="s">
        <v>1444</v>
      </c>
      <c r="Q1066" t="s">
        <v>1443</v>
      </c>
      <c r="R1066" t="s">
        <v>1043</v>
      </c>
      <c r="S1066" t="s">
        <v>2347</v>
      </c>
    </row>
    <row r="1067" spans="1:19">
      <c r="A1067" t="s">
        <v>4652</v>
      </c>
      <c r="B1067" t="s">
        <v>1057</v>
      </c>
      <c r="C1067" t="s">
        <v>3607</v>
      </c>
      <c r="D1067">
        <v>366</v>
      </c>
      <c r="E1067" t="s">
        <v>1439</v>
      </c>
      <c r="F1067">
        <v>1</v>
      </c>
      <c r="I1067" t="s">
        <v>3238</v>
      </c>
      <c r="J1067" t="s">
        <v>43</v>
      </c>
      <c r="K1067" t="s">
        <v>43</v>
      </c>
      <c r="L1067">
        <v>5</v>
      </c>
      <c r="M1067">
        <v>2</v>
      </c>
      <c r="N1067" t="s">
        <v>2337</v>
      </c>
      <c r="O1067" t="s">
        <v>1457</v>
      </c>
      <c r="P1067" t="s">
        <v>1444</v>
      </c>
      <c r="Q1067" t="s">
        <v>2343</v>
      </c>
      <c r="R1067" t="s">
        <v>1035</v>
      </c>
      <c r="S1067" t="s">
        <v>2349</v>
      </c>
    </row>
    <row r="1068" spans="1:19">
      <c r="A1068" t="s">
        <v>4653</v>
      </c>
      <c r="B1068" t="s">
        <v>1036</v>
      </c>
      <c r="C1068" t="s">
        <v>3607</v>
      </c>
      <c r="D1068">
        <v>366</v>
      </c>
      <c r="E1068" t="s">
        <v>1479</v>
      </c>
      <c r="F1068">
        <v>6</v>
      </c>
      <c r="G1068">
        <v>1</v>
      </c>
      <c r="I1068" t="s">
        <v>3238</v>
      </c>
      <c r="J1068" t="s">
        <v>43</v>
      </c>
      <c r="K1068" t="s">
        <v>43</v>
      </c>
      <c r="L1068">
        <v>5</v>
      </c>
      <c r="M1068">
        <v>3</v>
      </c>
      <c r="N1068" t="s">
        <v>2315</v>
      </c>
      <c r="O1068" t="s">
        <v>1457</v>
      </c>
      <c r="P1068" t="s">
        <v>1444</v>
      </c>
      <c r="Q1068" t="s">
        <v>2343</v>
      </c>
      <c r="R1068" t="s">
        <v>1020</v>
      </c>
      <c r="S1068" t="s">
        <v>2350</v>
      </c>
    </row>
    <row r="1069" spans="1:19">
      <c r="A1069" t="s">
        <v>4657</v>
      </c>
      <c r="B1069" t="s">
        <v>1065</v>
      </c>
      <c r="C1069" t="s">
        <v>3607</v>
      </c>
      <c r="D1069">
        <v>367</v>
      </c>
      <c r="E1069" t="s">
        <v>1554</v>
      </c>
      <c r="F1069">
        <v>4</v>
      </c>
      <c r="I1069" t="s">
        <v>3238</v>
      </c>
      <c r="J1069" t="s">
        <v>43</v>
      </c>
      <c r="K1069" t="s">
        <v>43</v>
      </c>
      <c r="L1069">
        <v>5</v>
      </c>
      <c r="M1069">
        <v>2</v>
      </c>
      <c r="N1069" t="s">
        <v>2337</v>
      </c>
      <c r="O1069" t="s">
        <v>1457</v>
      </c>
      <c r="P1069" t="s">
        <v>1523</v>
      </c>
      <c r="Q1069" t="s">
        <v>1443</v>
      </c>
      <c r="R1069" t="s">
        <v>1051</v>
      </c>
      <c r="S1069" t="s">
        <v>2354</v>
      </c>
    </row>
    <row r="1070" spans="1:19">
      <c r="A1070" t="s">
        <v>4658</v>
      </c>
      <c r="B1070" t="s">
        <v>1042</v>
      </c>
      <c r="C1070" t="s">
        <v>3607</v>
      </c>
      <c r="D1070">
        <v>367</v>
      </c>
      <c r="E1070" t="s">
        <v>1476</v>
      </c>
      <c r="F1070">
        <v>3</v>
      </c>
      <c r="G1070">
        <v>1</v>
      </c>
      <c r="I1070" t="s">
        <v>3238</v>
      </c>
      <c r="J1070" t="s">
        <v>43</v>
      </c>
      <c r="K1070" t="s">
        <v>43</v>
      </c>
      <c r="L1070">
        <v>5</v>
      </c>
      <c r="M1070">
        <v>3</v>
      </c>
      <c r="N1070" t="s">
        <v>2315</v>
      </c>
      <c r="O1070" t="s">
        <v>1457</v>
      </c>
      <c r="P1070" t="s">
        <v>1523</v>
      </c>
      <c r="Q1070" t="s">
        <v>1443</v>
      </c>
      <c r="R1070" t="s">
        <v>2355</v>
      </c>
      <c r="S1070" t="s">
        <v>2356</v>
      </c>
    </row>
    <row r="1071" spans="1:19">
      <c r="A1071" t="s">
        <v>4662</v>
      </c>
      <c r="B1071" t="s">
        <v>1045</v>
      </c>
      <c r="C1071" t="s">
        <v>3607</v>
      </c>
      <c r="D1071">
        <v>368</v>
      </c>
      <c r="E1071" t="s">
        <v>1450</v>
      </c>
      <c r="F1071">
        <v>3</v>
      </c>
      <c r="I1071" t="s">
        <v>3238</v>
      </c>
      <c r="J1071" t="s">
        <v>43</v>
      </c>
      <c r="K1071" t="s">
        <v>43</v>
      </c>
      <c r="L1071">
        <v>5</v>
      </c>
      <c r="M1071">
        <v>1</v>
      </c>
      <c r="N1071" t="s">
        <v>2311</v>
      </c>
      <c r="O1071" t="s">
        <v>1447</v>
      </c>
      <c r="P1071" t="s">
        <v>1444</v>
      </c>
      <c r="Q1071" t="s">
        <v>1473</v>
      </c>
      <c r="R1071" t="s">
        <v>1027</v>
      </c>
      <c r="S1071" t="s">
        <v>2360</v>
      </c>
    </row>
    <row r="1072" spans="1:19">
      <c r="A1072" t="s">
        <v>4667</v>
      </c>
      <c r="B1072" t="s">
        <v>3769</v>
      </c>
      <c r="C1072" t="s">
        <v>3602</v>
      </c>
      <c r="D1072">
        <v>23</v>
      </c>
      <c r="E1072" t="s">
        <v>1467</v>
      </c>
      <c r="F1072">
        <v>5</v>
      </c>
      <c r="G1072">
        <v>1</v>
      </c>
      <c r="I1072" t="s">
        <v>3238</v>
      </c>
      <c r="J1072" t="s">
        <v>43</v>
      </c>
      <c r="K1072" t="s">
        <v>43</v>
      </c>
      <c r="L1072">
        <v>5</v>
      </c>
      <c r="M1072">
        <v>3</v>
      </c>
      <c r="N1072" t="s">
        <v>2315</v>
      </c>
      <c r="O1072" t="s">
        <v>1447</v>
      </c>
      <c r="P1072" t="s">
        <v>1523</v>
      </c>
      <c r="Q1072" t="s">
        <v>1443</v>
      </c>
      <c r="R1072" t="s">
        <v>3770</v>
      </c>
      <c r="S1072" t="s">
        <v>3771</v>
      </c>
    </row>
    <row r="1073" spans="1:19">
      <c r="A1073" t="s">
        <v>4669</v>
      </c>
      <c r="B1073" t="s">
        <v>3774</v>
      </c>
      <c r="C1073" t="s">
        <v>3602</v>
      </c>
      <c r="D1073">
        <v>24</v>
      </c>
      <c r="E1073" t="s">
        <v>1541</v>
      </c>
      <c r="F1073">
        <v>5</v>
      </c>
      <c r="I1073" t="s">
        <v>3238</v>
      </c>
      <c r="J1073" t="s">
        <v>43</v>
      </c>
      <c r="K1073" t="s">
        <v>43</v>
      </c>
      <c r="L1073">
        <v>5</v>
      </c>
      <c r="M1073">
        <v>3</v>
      </c>
      <c r="N1073" t="s">
        <v>2315</v>
      </c>
      <c r="O1073" t="s">
        <v>1447</v>
      </c>
      <c r="P1073" t="s">
        <v>1444</v>
      </c>
      <c r="Q1073" t="s">
        <v>1547</v>
      </c>
      <c r="R1073" t="s">
        <v>3772</v>
      </c>
      <c r="S1073" t="s">
        <v>3775</v>
      </c>
    </row>
    <row r="1074" spans="1:19">
      <c r="A1074" t="s">
        <v>4670</v>
      </c>
      <c r="B1074" t="s">
        <v>3776</v>
      </c>
      <c r="C1074" t="s">
        <v>3602</v>
      </c>
      <c r="D1074">
        <v>24</v>
      </c>
      <c r="E1074" t="s">
        <v>3777</v>
      </c>
      <c r="F1074">
        <v>5</v>
      </c>
      <c r="G1074">
        <v>1</v>
      </c>
      <c r="H1074" t="s">
        <v>3778</v>
      </c>
      <c r="I1074" t="s">
        <v>3238</v>
      </c>
      <c r="J1074" t="s">
        <v>43</v>
      </c>
      <c r="K1074" t="s">
        <v>43</v>
      </c>
      <c r="L1074">
        <v>5</v>
      </c>
      <c r="M1074">
        <v>3</v>
      </c>
      <c r="N1074" t="s">
        <v>2315</v>
      </c>
      <c r="O1074" t="s">
        <v>1457</v>
      </c>
      <c r="P1074" t="s">
        <v>1444</v>
      </c>
      <c r="Q1074" t="s">
        <v>1473</v>
      </c>
      <c r="R1074" t="s">
        <v>1037</v>
      </c>
      <c r="S1074" t="s">
        <v>3779</v>
      </c>
    </row>
    <row r="1075" spans="1:19">
      <c r="A1075" t="s">
        <v>7038</v>
      </c>
      <c r="B1075" t="s">
        <v>5897</v>
      </c>
      <c r="C1075" t="s">
        <v>3968</v>
      </c>
      <c r="D1075">
        <v>235</v>
      </c>
      <c r="E1075" t="s">
        <v>5071</v>
      </c>
      <c r="F1075">
        <v>2</v>
      </c>
      <c r="I1075" t="s">
        <v>3560</v>
      </c>
      <c r="J1075" t="s">
        <v>43</v>
      </c>
      <c r="K1075" t="s">
        <v>43</v>
      </c>
      <c r="L1075">
        <v>2</v>
      </c>
      <c r="M1075">
        <v>1</v>
      </c>
      <c r="N1075" t="s">
        <v>2327</v>
      </c>
      <c r="O1075" t="s">
        <v>1441</v>
      </c>
      <c r="P1075" t="s">
        <v>5713</v>
      </c>
      <c r="Q1075" t="s">
        <v>1443</v>
      </c>
      <c r="R1075" t="s">
        <v>1444</v>
      </c>
      <c r="S1075" t="s">
        <v>5898</v>
      </c>
    </row>
    <row r="1076" spans="1:19">
      <c r="A1076" t="s">
        <v>7053</v>
      </c>
      <c r="B1076" t="s">
        <v>5929</v>
      </c>
      <c r="C1076" t="s">
        <v>3968</v>
      </c>
      <c r="D1076">
        <v>239</v>
      </c>
      <c r="E1076" t="s">
        <v>1460</v>
      </c>
      <c r="F1076">
        <v>2</v>
      </c>
      <c r="I1076" t="s">
        <v>3560</v>
      </c>
      <c r="J1076" t="s">
        <v>43</v>
      </c>
      <c r="K1076" t="s">
        <v>43</v>
      </c>
      <c r="L1076">
        <v>2</v>
      </c>
      <c r="M1076">
        <v>1</v>
      </c>
      <c r="N1076" t="s">
        <v>2327</v>
      </c>
      <c r="O1076" t="s">
        <v>1441</v>
      </c>
      <c r="P1076" t="s">
        <v>5080</v>
      </c>
      <c r="Q1076" t="s">
        <v>1443</v>
      </c>
      <c r="R1076" t="s">
        <v>1444</v>
      </c>
      <c r="S1076" t="s">
        <v>5930</v>
      </c>
    </row>
    <row r="1077" spans="1:19">
      <c r="A1077" t="s">
        <v>7063</v>
      </c>
      <c r="B1077" t="s">
        <v>5954</v>
      </c>
      <c r="C1077" t="s">
        <v>3968</v>
      </c>
      <c r="D1077">
        <v>241</v>
      </c>
      <c r="E1077" t="s">
        <v>1554</v>
      </c>
      <c r="F1077">
        <v>4</v>
      </c>
      <c r="I1077" t="s">
        <v>3560</v>
      </c>
      <c r="J1077" t="s">
        <v>43</v>
      </c>
      <c r="K1077" t="s">
        <v>43</v>
      </c>
      <c r="L1077">
        <v>2</v>
      </c>
      <c r="M1077">
        <v>1</v>
      </c>
      <c r="N1077" t="s">
        <v>2327</v>
      </c>
      <c r="O1077" t="s">
        <v>1441</v>
      </c>
      <c r="P1077" t="s">
        <v>5002</v>
      </c>
      <c r="Q1077" t="s">
        <v>1443</v>
      </c>
      <c r="R1077" t="s">
        <v>1444</v>
      </c>
      <c r="S1077" t="s">
        <v>5955</v>
      </c>
    </row>
    <row r="1078" spans="1:19">
      <c r="A1078" t="s">
        <v>7065</v>
      </c>
      <c r="B1078" t="s">
        <v>5960</v>
      </c>
      <c r="C1078" t="s">
        <v>3968</v>
      </c>
      <c r="D1078">
        <v>241</v>
      </c>
      <c r="E1078" t="s">
        <v>1486</v>
      </c>
      <c r="F1078">
        <v>3</v>
      </c>
      <c r="H1078" t="s">
        <v>2434</v>
      </c>
      <c r="I1078" t="s">
        <v>3560</v>
      </c>
      <c r="J1078" t="s">
        <v>43</v>
      </c>
      <c r="K1078" t="s">
        <v>43</v>
      </c>
      <c r="L1078">
        <v>2</v>
      </c>
      <c r="M1078">
        <v>1</v>
      </c>
      <c r="N1078" t="s">
        <v>2327</v>
      </c>
      <c r="O1078" t="s">
        <v>1441</v>
      </c>
      <c r="P1078" t="s">
        <v>5961</v>
      </c>
      <c r="Q1078" t="s">
        <v>1443</v>
      </c>
      <c r="R1078" t="s">
        <v>5954</v>
      </c>
      <c r="S1078" t="s">
        <v>5962</v>
      </c>
    </row>
    <row r="1079" spans="1:19">
      <c r="A1079" t="s">
        <v>7039</v>
      </c>
      <c r="B1079" t="s">
        <v>5899</v>
      </c>
      <c r="C1079" t="s">
        <v>3968</v>
      </c>
      <c r="D1079">
        <v>235</v>
      </c>
      <c r="E1079" t="s">
        <v>1541</v>
      </c>
      <c r="F1079">
        <v>5</v>
      </c>
      <c r="I1079" t="s">
        <v>3560</v>
      </c>
      <c r="J1079" t="s">
        <v>43</v>
      </c>
      <c r="K1079" t="s">
        <v>43</v>
      </c>
      <c r="L1079">
        <v>3</v>
      </c>
      <c r="M1079">
        <v>1</v>
      </c>
      <c r="N1079" t="s">
        <v>2309</v>
      </c>
      <c r="O1079" t="s">
        <v>1441</v>
      </c>
      <c r="P1079" t="s">
        <v>5002</v>
      </c>
      <c r="Q1079" t="s">
        <v>1443</v>
      </c>
      <c r="R1079" t="s">
        <v>1444</v>
      </c>
      <c r="S1079" t="s">
        <v>5900</v>
      </c>
    </row>
    <row r="1080" spans="1:19">
      <c r="A1080" t="s">
        <v>7040</v>
      </c>
      <c r="B1080" t="s">
        <v>5901</v>
      </c>
      <c r="C1080" t="s">
        <v>3968</v>
      </c>
      <c r="D1080">
        <v>236</v>
      </c>
      <c r="E1080" t="s">
        <v>1460</v>
      </c>
      <c r="F1080">
        <v>2</v>
      </c>
      <c r="I1080" t="s">
        <v>3560</v>
      </c>
      <c r="J1080" t="s">
        <v>43</v>
      </c>
      <c r="K1080" t="s">
        <v>43</v>
      </c>
      <c r="L1080">
        <v>3</v>
      </c>
      <c r="M1080">
        <v>1</v>
      </c>
      <c r="N1080" t="s">
        <v>2309</v>
      </c>
      <c r="O1080" t="s">
        <v>1457</v>
      </c>
      <c r="P1080" t="s">
        <v>5080</v>
      </c>
      <c r="Q1080" t="s">
        <v>5902</v>
      </c>
      <c r="R1080" t="s">
        <v>5899</v>
      </c>
      <c r="S1080" t="s">
        <v>5903</v>
      </c>
    </row>
    <row r="1081" spans="1:19">
      <c r="A1081" t="s">
        <v>7055</v>
      </c>
      <c r="B1081" t="s">
        <v>5933</v>
      </c>
      <c r="C1081" t="s">
        <v>3968</v>
      </c>
      <c r="D1081">
        <v>239</v>
      </c>
      <c r="E1081" t="s">
        <v>1450</v>
      </c>
      <c r="F1081">
        <v>3</v>
      </c>
      <c r="I1081" t="s">
        <v>3560</v>
      </c>
      <c r="J1081" t="s">
        <v>43</v>
      </c>
      <c r="K1081" t="s">
        <v>43</v>
      </c>
      <c r="L1081">
        <v>3</v>
      </c>
      <c r="M1081">
        <v>1</v>
      </c>
      <c r="N1081" t="s">
        <v>2309</v>
      </c>
      <c r="O1081" t="s">
        <v>1457</v>
      </c>
      <c r="P1081" t="s">
        <v>5083</v>
      </c>
      <c r="Q1081" t="s">
        <v>1443</v>
      </c>
      <c r="R1081" t="s">
        <v>5929</v>
      </c>
      <c r="S1081" t="s">
        <v>5935</v>
      </c>
    </row>
    <row r="1082" spans="1:19">
      <c r="A1082" t="s">
        <v>7057</v>
      </c>
      <c r="B1082" t="s">
        <v>5939</v>
      </c>
      <c r="C1082" t="s">
        <v>3968</v>
      </c>
      <c r="D1082">
        <v>239</v>
      </c>
      <c r="E1082" t="s">
        <v>1460</v>
      </c>
      <c r="F1082">
        <v>2</v>
      </c>
      <c r="I1082" t="s">
        <v>3560</v>
      </c>
      <c r="J1082" t="s">
        <v>43</v>
      </c>
      <c r="K1082" t="s">
        <v>43</v>
      </c>
      <c r="L1082">
        <v>3</v>
      </c>
      <c r="M1082">
        <v>2</v>
      </c>
      <c r="N1082" t="s">
        <v>5940</v>
      </c>
      <c r="O1082" t="s">
        <v>1441</v>
      </c>
      <c r="P1082" t="s">
        <v>5705</v>
      </c>
      <c r="Q1082" t="s">
        <v>1443</v>
      </c>
      <c r="R1082" t="s">
        <v>5929</v>
      </c>
      <c r="S1082" t="s">
        <v>5941</v>
      </c>
    </row>
    <row r="1083" spans="1:19">
      <c r="A1083" t="s">
        <v>7058</v>
      </c>
      <c r="B1083" t="s">
        <v>5942</v>
      </c>
      <c r="C1083" t="s">
        <v>3968</v>
      </c>
      <c r="D1083">
        <v>240</v>
      </c>
      <c r="E1083" t="s">
        <v>1450</v>
      </c>
      <c r="F1083">
        <v>3</v>
      </c>
      <c r="I1083" t="s">
        <v>3560</v>
      </c>
      <c r="J1083" t="s">
        <v>43</v>
      </c>
      <c r="K1083" t="s">
        <v>43</v>
      </c>
      <c r="L1083">
        <v>3</v>
      </c>
      <c r="M1083">
        <v>1</v>
      </c>
      <c r="N1083" t="s">
        <v>2309</v>
      </c>
      <c r="O1083" t="s">
        <v>1441</v>
      </c>
      <c r="P1083" t="s">
        <v>5002</v>
      </c>
      <c r="Q1083" t="s">
        <v>1443</v>
      </c>
      <c r="R1083" t="s">
        <v>1444</v>
      </c>
      <c r="S1083" t="s">
        <v>5943</v>
      </c>
    </row>
    <row r="1084" spans="1:19">
      <c r="A1084" t="s">
        <v>7059</v>
      </c>
      <c r="B1084" t="s">
        <v>5944</v>
      </c>
      <c r="C1084" t="s">
        <v>3968</v>
      </c>
      <c r="D1084">
        <v>240</v>
      </c>
      <c r="E1084" t="s">
        <v>1450</v>
      </c>
      <c r="F1084">
        <v>3</v>
      </c>
      <c r="I1084" t="s">
        <v>3560</v>
      </c>
      <c r="J1084" t="s">
        <v>43</v>
      </c>
      <c r="K1084" t="s">
        <v>43</v>
      </c>
      <c r="L1084">
        <v>3</v>
      </c>
      <c r="M1084">
        <v>1</v>
      </c>
      <c r="N1084" t="s">
        <v>2309</v>
      </c>
      <c r="O1084" t="s">
        <v>1441</v>
      </c>
      <c r="P1084" t="s">
        <v>5080</v>
      </c>
      <c r="Q1084" t="s">
        <v>1443</v>
      </c>
      <c r="R1084" t="s">
        <v>1444</v>
      </c>
      <c r="S1084" t="s">
        <v>5945</v>
      </c>
    </row>
    <row r="1085" spans="1:19">
      <c r="A1085" t="s">
        <v>7042</v>
      </c>
      <c r="B1085" t="s">
        <v>5907</v>
      </c>
      <c r="C1085" t="s">
        <v>3968</v>
      </c>
      <c r="D1085">
        <v>236</v>
      </c>
      <c r="E1085" t="s">
        <v>1476</v>
      </c>
      <c r="F1085">
        <v>3</v>
      </c>
      <c r="G1085">
        <v>1</v>
      </c>
      <c r="I1085" t="s">
        <v>3560</v>
      </c>
      <c r="J1085" t="s">
        <v>43</v>
      </c>
      <c r="K1085" t="s">
        <v>43</v>
      </c>
      <c r="L1085">
        <v>4</v>
      </c>
      <c r="M1085">
        <v>2</v>
      </c>
      <c r="N1085" t="s">
        <v>2313</v>
      </c>
      <c r="O1085" t="s">
        <v>1457</v>
      </c>
      <c r="P1085" t="s">
        <v>5002</v>
      </c>
      <c r="Q1085" t="s">
        <v>1443</v>
      </c>
      <c r="R1085" t="s">
        <v>5901</v>
      </c>
      <c r="S1085" t="s">
        <v>5908</v>
      </c>
    </row>
    <row r="1086" spans="1:19">
      <c r="A1086" t="s">
        <v>7044</v>
      </c>
      <c r="B1086" t="s">
        <v>5905</v>
      </c>
      <c r="C1086" t="s">
        <v>3968</v>
      </c>
      <c r="D1086">
        <v>236</v>
      </c>
      <c r="E1086" t="s">
        <v>1541</v>
      </c>
      <c r="F1086">
        <v>5</v>
      </c>
      <c r="I1086" t="s">
        <v>3560</v>
      </c>
      <c r="J1086" t="s">
        <v>43</v>
      </c>
      <c r="K1086" t="s">
        <v>43</v>
      </c>
      <c r="L1086">
        <v>4</v>
      </c>
      <c r="M1086">
        <v>2</v>
      </c>
      <c r="N1086" t="s">
        <v>2313</v>
      </c>
      <c r="O1086" t="s">
        <v>1447</v>
      </c>
      <c r="P1086" t="s">
        <v>5717</v>
      </c>
      <c r="Q1086" t="s">
        <v>1443</v>
      </c>
      <c r="R1086" t="s">
        <v>1444</v>
      </c>
      <c r="S1086" t="s">
        <v>5911</v>
      </c>
    </row>
    <row r="1087" spans="1:19">
      <c r="A1087" t="s">
        <v>7054</v>
      </c>
      <c r="B1087" t="s">
        <v>5931</v>
      </c>
      <c r="C1087" t="s">
        <v>3968</v>
      </c>
      <c r="D1087">
        <v>239</v>
      </c>
      <c r="E1087" t="s">
        <v>1450</v>
      </c>
      <c r="F1087">
        <v>3</v>
      </c>
      <c r="I1087" t="s">
        <v>3560</v>
      </c>
      <c r="J1087" t="s">
        <v>43</v>
      </c>
      <c r="K1087" t="s">
        <v>43</v>
      </c>
      <c r="L1087">
        <v>4</v>
      </c>
      <c r="M1087">
        <v>3</v>
      </c>
      <c r="N1087" t="s">
        <v>5932</v>
      </c>
      <c r="O1087" t="s">
        <v>1447</v>
      </c>
      <c r="P1087" t="s">
        <v>5083</v>
      </c>
      <c r="Q1087" t="s">
        <v>1443</v>
      </c>
      <c r="R1087" t="s">
        <v>5933</v>
      </c>
      <c r="S1087" t="s">
        <v>5934</v>
      </c>
    </row>
    <row r="1088" spans="1:19">
      <c r="A1088" t="s">
        <v>7060</v>
      </c>
      <c r="B1088" t="s">
        <v>5946</v>
      </c>
      <c r="C1088" t="s">
        <v>3968</v>
      </c>
      <c r="D1088">
        <v>240</v>
      </c>
      <c r="E1088" t="s">
        <v>1460</v>
      </c>
      <c r="F1088">
        <v>2</v>
      </c>
      <c r="I1088" t="s">
        <v>3560</v>
      </c>
      <c r="J1088" t="s">
        <v>43</v>
      </c>
      <c r="K1088" t="s">
        <v>43</v>
      </c>
      <c r="L1088">
        <v>4</v>
      </c>
      <c r="M1088">
        <v>2</v>
      </c>
      <c r="N1088" t="s">
        <v>2313</v>
      </c>
      <c r="O1088" t="s">
        <v>1457</v>
      </c>
      <c r="P1088" t="s">
        <v>5002</v>
      </c>
      <c r="Q1088" t="s">
        <v>1547</v>
      </c>
      <c r="R1088" t="s">
        <v>5942</v>
      </c>
      <c r="S1088" t="s">
        <v>5947</v>
      </c>
    </row>
    <row r="1089" spans="1:19">
      <c r="A1089" t="s">
        <v>7041</v>
      </c>
      <c r="B1089" t="s">
        <v>5904</v>
      </c>
      <c r="C1089" t="s">
        <v>3968</v>
      </c>
      <c r="D1089">
        <v>236</v>
      </c>
      <c r="E1089" t="s">
        <v>1476</v>
      </c>
      <c r="F1089">
        <v>3</v>
      </c>
      <c r="G1089">
        <v>1</v>
      </c>
      <c r="I1089" t="s">
        <v>3560</v>
      </c>
      <c r="J1089" t="s">
        <v>43</v>
      </c>
      <c r="K1089" t="s">
        <v>43</v>
      </c>
      <c r="L1089">
        <v>5</v>
      </c>
      <c r="M1089">
        <v>2</v>
      </c>
      <c r="N1089" t="s">
        <v>2337</v>
      </c>
      <c r="O1089" t="s">
        <v>1457</v>
      </c>
      <c r="P1089" t="s">
        <v>5002</v>
      </c>
      <c r="Q1089" t="s">
        <v>1443</v>
      </c>
      <c r="R1089" t="s">
        <v>5905</v>
      </c>
      <c r="S1089" t="s">
        <v>5906</v>
      </c>
    </row>
    <row r="1090" spans="1:19">
      <c r="A1090" t="s">
        <v>7043</v>
      </c>
      <c r="B1090" t="s">
        <v>5909</v>
      </c>
      <c r="C1090" t="s">
        <v>3968</v>
      </c>
      <c r="D1090">
        <v>236</v>
      </c>
      <c r="E1090" t="s">
        <v>1465</v>
      </c>
      <c r="F1090">
        <v>1</v>
      </c>
      <c r="G1090">
        <v>1</v>
      </c>
      <c r="I1090" t="s">
        <v>3560</v>
      </c>
      <c r="J1090" t="s">
        <v>43</v>
      </c>
      <c r="K1090" t="s">
        <v>43</v>
      </c>
      <c r="L1090">
        <v>5</v>
      </c>
      <c r="M1090">
        <v>2</v>
      </c>
      <c r="N1090" t="s">
        <v>2337</v>
      </c>
      <c r="O1090" t="s">
        <v>1457</v>
      </c>
      <c r="P1090" t="s">
        <v>5002</v>
      </c>
      <c r="Q1090" t="s">
        <v>5902</v>
      </c>
      <c r="R1090" t="s">
        <v>5904</v>
      </c>
      <c r="S1090" t="s">
        <v>5910</v>
      </c>
    </row>
    <row r="1091" spans="1:19">
      <c r="A1091" t="s">
        <v>7045</v>
      </c>
      <c r="B1091" t="s">
        <v>5912</v>
      </c>
      <c r="C1091" t="s">
        <v>3968</v>
      </c>
      <c r="D1091">
        <v>236</v>
      </c>
      <c r="E1091" t="s">
        <v>1456</v>
      </c>
      <c r="F1091">
        <v>4</v>
      </c>
      <c r="G1091">
        <v>1</v>
      </c>
      <c r="I1091" t="s">
        <v>3560</v>
      </c>
      <c r="J1091" t="s">
        <v>43</v>
      </c>
      <c r="K1091" t="s">
        <v>43</v>
      </c>
      <c r="L1091">
        <v>5</v>
      </c>
      <c r="M1091">
        <v>2</v>
      </c>
      <c r="N1091" t="s">
        <v>2337</v>
      </c>
      <c r="O1091" t="s">
        <v>1457</v>
      </c>
      <c r="P1091" t="s">
        <v>5002</v>
      </c>
      <c r="Q1091" t="s">
        <v>5902</v>
      </c>
      <c r="R1091" t="s">
        <v>5909</v>
      </c>
      <c r="S1091" t="s">
        <v>5913</v>
      </c>
    </row>
    <row r="1092" spans="1:19">
      <c r="A1092" t="s">
        <v>7046</v>
      </c>
      <c r="B1092" t="s">
        <v>5914</v>
      </c>
      <c r="C1092" t="s">
        <v>3968</v>
      </c>
      <c r="D1092">
        <v>237</v>
      </c>
      <c r="E1092" t="s">
        <v>1541</v>
      </c>
      <c r="F1092">
        <v>5</v>
      </c>
      <c r="I1092" t="s">
        <v>3560</v>
      </c>
      <c r="J1092" t="s">
        <v>43</v>
      </c>
      <c r="K1092" t="s">
        <v>43</v>
      </c>
      <c r="L1092">
        <v>5</v>
      </c>
      <c r="M1092">
        <v>2</v>
      </c>
      <c r="N1092" t="s">
        <v>2337</v>
      </c>
      <c r="O1092" t="s">
        <v>1457</v>
      </c>
      <c r="P1092" t="s">
        <v>5263</v>
      </c>
      <c r="Q1092" t="s">
        <v>5902</v>
      </c>
      <c r="R1092" t="s">
        <v>5904</v>
      </c>
      <c r="S1092" t="s">
        <v>5915</v>
      </c>
    </row>
    <row r="1093" spans="1:19">
      <c r="A1093" t="s">
        <v>7047</v>
      </c>
      <c r="B1093" t="s">
        <v>5916</v>
      </c>
      <c r="C1093" t="s">
        <v>3968</v>
      </c>
      <c r="D1093">
        <v>237</v>
      </c>
      <c r="E1093" t="s">
        <v>1599</v>
      </c>
      <c r="F1093">
        <v>10</v>
      </c>
      <c r="G1093">
        <v>1</v>
      </c>
      <c r="I1093" t="s">
        <v>3560</v>
      </c>
      <c r="J1093" t="s">
        <v>43</v>
      </c>
      <c r="K1093" t="s">
        <v>43</v>
      </c>
      <c r="L1093">
        <v>5</v>
      </c>
      <c r="M1093">
        <v>3</v>
      </c>
      <c r="N1093" t="s">
        <v>2315</v>
      </c>
      <c r="O1093" t="s">
        <v>1457</v>
      </c>
      <c r="P1093" t="s">
        <v>5147</v>
      </c>
      <c r="Q1093" t="s">
        <v>1473</v>
      </c>
      <c r="R1093" t="s">
        <v>1444</v>
      </c>
      <c r="S1093" t="s">
        <v>5917</v>
      </c>
    </row>
    <row r="1094" spans="1:19">
      <c r="A1094" t="s">
        <v>7048</v>
      </c>
      <c r="B1094" t="s">
        <v>5918</v>
      </c>
      <c r="C1094" t="s">
        <v>3968</v>
      </c>
      <c r="D1094">
        <v>237</v>
      </c>
      <c r="E1094" t="s">
        <v>1467</v>
      </c>
      <c r="F1094">
        <v>5</v>
      </c>
      <c r="G1094">
        <v>1</v>
      </c>
      <c r="I1094" t="s">
        <v>3560</v>
      </c>
      <c r="J1094" t="s">
        <v>43</v>
      </c>
      <c r="K1094" t="s">
        <v>43</v>
      </c>
      <c r="L1094">
        <v>5</v>
      </c>
      <c r="M1094">
        <v>3</v>
      </c>
      <c r="N1094" t="s">
        <v>2315</v>
      </c>
      <c r="O1094" t="s">
        <v>1457</v>
      </c>
      <c r="P1094" t="s">
        <v>5287</v>
      </c>
      <c r="Q1094" t="s">
        <v>1443</v>
      </c>
      <c r="R1094" t="s">
        <v>1444</v>
      </c>
      <c r="S1094" t="s">
        <v>5919</v>
      </c>
    </row>
    <row r="1095" spans="1:19">
      <c r="A1095" t="s">
        <v>7049</v>
      </c>
      <c r="B1095" t="s">
        <v>5920</v>
      </c>
      <c r="C1095" t="s">
        <v>3968</v>
      </c>
      <c r="D1095">
        <v>237</v>
      </c>
      <c r="E1095" t="s">
        <v>1543</v>
      </c>
      <c r="F1095">
        <v>7</v>
      </c>
      <c r="G1095">
        <v>1</v>
      </c>
      <c r="I1095" t="s">
        <v>3560</v>
      </c>
      <c r="J1095" t="s">
        <v>43</v>
      </c>
      <c r="K1095" t="s">
        <v>43</v>
      </c>
      <c r="L1095">
        <v>5</v>
      </c>
      <c r="M1095">
        <v>3</v>
      </c>
      <c r="N1095" t="s">
        <v>2315</v>
      </c>
      <c r="O1095" t="s">
        <v>1457</v>
      </c>
      <c r="P1095" t="s">
        <v>5290</v>
      </c>
      <c r="Q1095" t="s">
        <v>1443</v>
      </c>
      <c r="R1095" t="s">
        <v>1444</v>
      </c>
      <c r="S1095" t="s">
        <v>5921</v>
      </c>
    </row>
    <row r="1096" spans="1:19">
      <c r="A1096" t="s">
        <v>7050</v>
      </c>
      <c r="B1096" t="s">
        <v>5922</v>
      </c>
      <c r="C1096" t="s">
        <v>3968</v>
      </c>
      <c r="D1096">
        <v>237</v>
      </c>
      <c r="E1096" t="s">
        <v>2039</v>
      </c>
      <c r="F1096">
        <v>8</v>
      </c>
      <c r="G1096">
        <v>1</v>
      </c>
      <c r="I1096" t="s">
        <v>3560</v>
      </c>
      <c r="J1096" t="s">
        <v>43</v>
      </c>
      <c r="K1096" t="s">
        <v>43</v>
      </c>
      <c r="L1096">
        <v>5</v>
      </c>
      <c r="M1096">
        <v>3</v>
      </c>
      <c r="N1096" t="s">
        <v>2315</v>
      </c>
      <c r="O1096" t="s">
        <v>1457</v>
      </c>
      <c r="P1096" t="s">
        <v>5294</v>
      </c>
      <c r="Q1096" t="s">
        <v>5902</v>
      </c>
      <c r="R1096" t="s">
        <v>1444</v>
      </c>
      <c r="S1096" t="s">
        <v>5923</v>
      </c>
    </row>
    <row r="1097" spans="1:19">
      <c r="A1097" t="s">
        <v>7051</v>
      </c>
      <c r="B1097" t="s">
        <v>5924</v>
      </c>
      <c r="C1097" t="s">
        <v>3968</v>
      </c>
      <c r="D1097">
        <v>238</v>
      </c>
      <c r="E1097" t="s">
        <v>1467</v>
      </c>
      <c r="F1097">
        <v>5</v>
      </c>
      <c r="G1097">
        <v>1</v>
      </c>
      <c r="I1097" t="s">
        <v>3560</v>
      </c>
      <c r="J1097" t="s">
        <v>43</v>
      </c>
      <c r="K1097" t="s">
        <v>43</v>
      </c>
      <c r="L1097">
        <v>5</v>
      </c>
      <c r="M1097">
        <v>3</v>
      </c>
      <c r="N1097" t="s">
        <v>2315</v>
      </c>
      <c r="O1097" t="s">
        <v>1457</v>
      </c>
      <c r="P1097" t="s">
        <v>5115</v>
      </c>
      <c r="Q1097" t="s">
        <v>5902</v>
      </c>
      <c r="R1097" t="s">
        <v>1444</v>
      </c>
      <c r="S1097" t="s">
        <v>5925</v>
      </c>
    </row>
    <row r="1098" spans="1:19">
      <c r="A1098" t="s">
        <v>7052</v>
      </c>
      <c r="B1098" t="s">
        <v>5926</v>
      </c>
      <c r="C1098" t="s">
        <v>3968</v>
      </c>
      <c r="D1098">
        <v>238</v>
      </c>
      <c r="E1098" t="s">
        <v>5053</v>
      </c>
      <c r="F1098">
        <v>6</v>
      </c>
      <c r="G1098">
        <v>1</v>
      </c>
      <c r="H1098" t="s">
        <v>5054</v>
      </c>
      <c r="I1098" t="s">
        <v>3560</v>
      </c>
      <c r="J1098" t="s">
        <v>43</v>
      </c>
      <c r="K1098" t="s">
        <v>43</v>
      </c>
      <c r="L1098">
        <v>5</v>
      </c>
      <c r="M1098">
        <v>3</v>
      </c>
      <c r="N1098" t="s">
        <v>2315</v>
      </c>
      <c r="O1098" t="s">
        <v>1457</v>
      </c>
      <c r="P1098" t="s">
        <v>5927</v>
      </c>
      <c r="Q1098" t="s">
        <v>1443</v>
      </c>
      <c r="R1098" t="s">
        <v>5907</v>
      </c>
      <c r="S1098" t="s">
        <v>5928</v>
      </c>
    </row>
    <row r="1099" spans="1:19">
      <c r="A1099" t="s">
        <v>7056</v>
      </c>
      <c r="B1099" t="s">
        <v>5936</v>
      </c>
      <c r="C1099" t="s">
        <v>3968</v>
      </c>
      <c r="D1099">
        <v>239</v>
      </c>
      <c r="E1099" t="s">
        <v>2039</v>
      </c>
      <c r="F1099">
        <v>8</v>
      </c>
      <c r="G1099">
        <v>1</v>
      </c>
      <c r="I1099" t="s">
        <v>3560</v>
      </c>
      <c r="J1099" t="s">
        <v>43</v>
      </c>
      <c r="K1099" t="s">
        <v>43</v>
      </c>
      <c r="L1099">
        <v>5</v>
      </c>
      <c r="M1099">
        <v>4</v>
      </c>
      <c r="N1099" t="s">
        <v>2320</v>
      </c>
      <c r="O1099" t="s">
        <v>1457</v>
      </c>
      <c r="P1099" t="s">
        <v>5507</v>
      </c>
      <c r="Q1099" t="s">
        <v>1443</v>
      </c>
      <c r="R1099" t="s">
        <v>5937</v>
      </c>
      <c r="S1099" t="s">
        <v>5938</v>
      </c>
    </row>
    <row r="1100" spans="1:19">
      <c r="A1100" t="s">
        <v>7061</v>
      </c>
      <c r="B1100" t="s">
        <v>5948</v>
      </c>
      <c r="C1100" t="s">
        <v>3968</v>
      </c>
      <c r="D1100">
        <v>240</v>
      </c>
      <c r="E1100" t="s">
        <v>1456</v>
      </c>
      <c r="F1100">
        <v>4</v>
      </c>
      <c r="G1100">
        <v>1</v>
      </c>
      <c r="I1100" t="s">
        <v>3560</v>
      </c>
      <c r="J1100" t="s">
        <v>43</v>
      </c>
      <c r="K1100" t="s">
        <v>43</v>
      </c>
      <c r="L1100">
        <v>5</v>
      </c>
      <c r="M1100">
        <v>2</v>
      </c>
      <c r="N1100" t="s">
        <v>2337</v>
      </c>
      <c r="O1100" t="s">
        <v>1447</v>
      </c>
      <c r="P1100" t="s">
        <v>5949</v>
      </c>
      <c r="Q1100" t="s">
        <v>1443</v>
      </c>
      <c r="R1100" t="s">
        <v>5942</v>
      </c>
      <c r="S1100" t="s">
        <v>5950</v>
      </c>
    </row>
    <row r="1101" spans="1:19">
      <c r="A1101" t="s">
        <v>7062</v>
      </c>
      <c r="B1101" t="s">
        <v>5951</v>
      </c>
      <c r="C1101" t="s">
        <v>3968</v>
      </c>
      <c r="D1101">
        <v>241</v>
      </c>
      <c r="E1101" t="s">
        <v>5952</v>
      </c>
      <c r="F1101">
        <v>7</v>
      </c>
      <c r="H1101" t="s">
        <v>5201</v>
      </c>
      <c r="I1101" t="s">
        <v>3560</v>
      </c>
      <c r="J1101" t="s">
        <v>43</v>
      </c>
      <c r="K1101" t="s">
        <v>43</v>
      </c>
      <c r="L1101">
        <v>5</v>
      </c>
      <c r="M1101">
        <v>3</v>
      </c>
      <c r="N1101" t="s">
        <v>2315</v>
      </c>
      <c r="O1101" t="s">
        <v>1457</v>
      </c>
      <c r="P1101" t="s">
        <v>5013</v>
      </c>
      <c r="Q1101" t="s">
        <v>1443</v>
      </c>
      <c r="R1101" t="s">
        <v>5948</v>
      </c>
      <c r="S1101" t="s">
        <v>5953</v>
      </c>
    </row>
    <row r="1102" spans="1:19">
      <c r="A1102" t="s">
        <v>7064</v>
      </c>
      <c r="B1102" t="s">
        <v>5956</v>
      </c>
      <c r="C1102" t="s">
        <v>3968</v>
      </c>
      <c r="D1102">
        <v>241</v>
      </c>
      <c r="E1102" t="s">
        <v>5957</v>
      </c>
      <c r="F1102">
        <v>4</v>
      </c>
      <c r="H1102" t="s">
        <v>2269</v>
      </c>
      <c r="I1102" t="s">
        <v>3560</v>
      </c>
      <c r="J1102" t="s">
        <v>43</v>
      </c>
      <c r="K1102" t="s">
        <v>43</v>
      </c>
      <c r="L1102">
        <v>5</v>
      </c>
      <c r="M1102">
        <v>3</v>
      </c>
      <c r="N1102" t="s">
        <v>2315</v>
      </c>
      <c r="O1102" t="s">
        <v>1457</v>
      </c>
      <c r="P1102" t="s">
        <v>5958</v>
      </c>
      <c r="Q1102" t="s">
        <v>5902</v>
      </c>
      <c r="R1102" t="s">
        <v>5951</v>
      </c>
      <c r="S1102" t="s">
        <v>5959</v>
      </c>
    </row>
    <row r="1103" spans="1:19">
      <c r="A1103" t="s">
        <v>7066</v>
      </c>
      <c r="B1103" t="s">
        <v>5963</v>
      </c>
      <c r="C1103" t="s">
        <v>3968</v>
      </c>
      <c r="D1103">
        <v>241</v>
      </c>
      <c r="E1103" t="s">
        <v>1497</v>
      </c>
      <c r="F1103">
        <v>6</v>
      </c>
      <c r="I1103" t="s">
        <v>3560</v>
      </c>
      <c r="J1103" t="s">
        <v>43</v>
      </c>
      <c r="K1103" t="s">
        <v>43</v>
      </c>
      <c r="L1103">
        <v>5</v>
      </c>
      <c r="M1103">
        <v>2</v>
      </c>
      <c r="N1103" t="s">
        <v>2337</v>
      </c>
      <c r="O1103" t="s">
        <v>1441</v>
      </c>
      <c r="P1103" t="s">
        <v>5717</v>
      </c>
      <c r="Q1103" t="s">
        <v>1443</v>
      </c>
      <c r="R1103" t="s">
        <v>5954</v>
      </c>
      <c r="S1103" t="s">
        <v>5964</v>
      </c>
    </row>
    <row r="1104" spans="1:19">
      <c r="A1104" t="s">
        <v>7067</v>
      </c>
      <c r="B1104" t="s">
        <v>5965</v>
      </c>
      <c r="C1104" t="s">
        <v>3968</v>
      </c>
      <c r="D1104">
        <v>242</v>
      </c>
      <c r="E1104" t="s">
        <v>1924</v>
      </c>
      <c r="F1104">
        <v>2</v>
      </c>
      <c r="G1104">
        <v>1</v>
      </c>
      <c r="I1104" t="s">
        <v>3560</v>
      </c>
      <c r="J1104" t="s">
        <v>43</v>
      </c>
      <c r="K1104" t="s">
        <v>43</v>
      </c>
      <c r="L1104">
        <v>5</v>
      </c>
      <c r="M1104">
        <v>4</v>
      </c>
      <c r="N1104" t="s">
        <v>2320</v>
      </c>
      <c r="O1104" t="s">
        <v>1441</v>
      </c>
      <c r="P1104" t="s">
        <v>5966</v>
      </c>
      <c r="Q1104" t="s">
        <v>1443</v>
      </c>
      <c r="R1104" t="s">
        <v>5963</v>
      </c>
      <c r="S1104" t="s">
        <v>5967</v>
      </c>
    </row>
    <row r="1105" spans="1:19">
      <c r="A1105" t="s">
        <v>4672</v>
      </c>
      <c r="B1105" t="s">
        <v>1080</v>
      </c>
      <c r="C1105" t="s">
        <v>3607</v>
      </c>
      <c r="D1105" t="s">
        <v>1081</v>
      </c>
      <c r="E1105" t="s">
        <v>2366</v>
      </c>
      <c r="F1105">
        <v>5</v>
      </c>
      <c r="H1105" t="s">
        <v>3780</v>
      </c>
      <c r="I1105" t="s">
        <v>3238</v>
      </c>
      <c r="J1105" t="s">
        <v>44</v>
      </c>
      <c r="K1105" t="s">
        <v>44</v>
      </c>
      <c r="L1105">
        <v>2</v>
      </c>
      <c r="M1105">
        <v>1</v>
      </c>
      <c r="N1105" t="s">
        <v>2367</v>
      </c>
      <c r="O1105" t="s">
        <v>1447</v>
      </c>
      <c r="P1105" t="s">
        <v>1444</v>
      </c>
      <c r="Q1105" t="s">
        <v>1473</v>
      </c>
      <c r="R1105" t="s">
        <v>1444</v>
      </c>
      <c r="S1105" t="s">
        <v>2368</v>
      </c>
    </row>
    <row r="1106" spans="1:19">
      <c r="A1106" t="s">
        <v>4671</v>
      </c>
      <c r="B1106" t="s">
        <v>1086</v>
      </c>
      <c r="C1106" t="s">
        <v>3607</v>
      </c>
      <c r="D1106" t="s">
        <v>1081</v>
      </c>
      <c r="E1106" t="s">
        <v>1450</v>
      </c>
      <c r="F1106">
        <v>3</v>
      </c>
      <c r="I1106" t="s">
        <v>3238</v>
      </c>
      <c r="J1106" t="s">
        <v>44</v>
      </c>
      <c r="K1106" t="s">
        <v>44</v>
      </c>
      <c r="L1106">
        <v>3</v>
      </c>
      <c r="M1106">
        <v>1</v>
      </c>
      <c r="N1106" t="s">
        <v>2364</v>
      </c>
      <c r="O1106" t="s">
        <v>1441</v>
      </c>
      <c r="P1106" t="s">
        <v>1444</v>
      </c>
      <c r="Q1106" t="s">
        <v>1443</v>
      </c>
      <c r="R1106" t="s">
        <v>1444</v>
      </c>
      <c r="S1106" t="s">
        <v>2365</v>
      </c>
    </row>
    <row r="1107" spans="1:19">
      <c r="A1107" t="s">
        <v>4674</v>
      </c>
      <c r="B1107" t="s">
        <v>2372</v>
      </c>
      <c r="C1107" t="s">
        <v>3607</v>
      </c>
      <c r="D1107">
        <v>370</v>
      </c>
      <c r="E1107" t="s">
        <v>1511</v>
      </c>
      <c r="F1107" t="s">
        <v>1511</v>
      </c>
      <c r="I1107" t="s">
        <v>3238</v>
      </c>
      <c r="J1107" t="s">
        <v>44</v>
      </c>
      <c r="K1107" t="s">
        <v>44</v>
      </c>
      <c r="L1107">
        <v>3</v>
      </c>
      <c r="M1107">
        <v>1</v>
      </c>
      <c r="N1107" t="s">
        <v>2364</v>
      </c>
      <c r="O1107" t="s">
        <v>1513</v>
      </c>
      <c r="P1107" t="s">
        <v>1444</v>
      </c>
      <c r="Q1107" t="s">
        <v>1513</v>
      </c>
      <c r="R1107" t="s">
        <v>1444</v>
      </c>
      <c r="S1107" t="s">
        <v>2373</v>
      </c>
    </row>
    <row r="1108" spans="1:19">
      <c r="A1108" t="s">
        <v>4675</v>
      </c>
      <c r="B1108" t="s">
        <v>1084</v>
      </c>
      <c r="C1108" t="s">
        <v>3607</v>
      </c>
      <c r="D1108" t="s">
        <v>1085</v>
      </c>
      <c r="E1108" t="s">
        <v>1450</v>
      </c>
      <c r="F1108">
        <v>3</v>
      </c>
      <c r="I1108" t="s">
        <v>3238</v>
      </c>
      <c r="J1108" t="s">
        <v>44</v>
      </c>
      <c r="K1108" t="s">
        <v>44</v>
      </c>
      <c r="L1108">
        <v>4</v>
      </c>
      <c r="M1108">
        <v>2</v>
      </c>
      <c r="N1108" t="s">
        <v>2374</v>
      </c>
      <c r="O1108" t="s">
        <v>1441</v>
      </c>
      <c r="P1108" t="s">
        <v>1444</v>
      </c>
      <c r="Q1108" t="s">
        <v>1443</v>
      </c>
      <c r="R1108" t="s">
        <v>1086</v>
      </c>
      <c r="S1108" t="s">
        <v>2375</v>
      </c>
    </row>
    <row r="1109" spans="1:19">
      <c r="A1109" t="s">
        <v>4677</v>
      </c>
      <c r="B1109" t="s">
        <v>1087</v>
      </c>
      <c r="C1109" t="s">
        <v>3607</v>
      </c>
      <c r="D1109" t="s">
        <v>1088</v>
      </c>
      <c r="E1109" t="s">
        <v>1497</v>
      </c>
      <c r="F1109">
        <v>6</v>
      </c>
      <c r="I1109" t="s">
        <v>3238</v>
      </c>
      <c r="J1109" t="s">
        <v>44</v>
      </c>
      <c r="K1109" t="s">
        <v>44</v>
      </c>
      <c r="L1109">
        <v>4</v>
      </c>
      <c r="M1109">
        <v>2</v>
      </c>
      <c r="N1109" t="s">
        <v>2374</v>
      </c>
      <c r="O1109" t="s">
        <v>1457</v>
      </c>
      <c r="P1109" t="s">
        <v>1444</v>
      </c>
      <c r="Q1109" t="s">
        <v>1473</v>
      </c>
      <c r="R1109" t="s">
        <v>1080</v>
      </c>
      <c r="S1109" t="s">
        <v>2375</v>
      </c>
    </row>
    <row r="1110" spans="1:19">
      <c r="A1110" t="s">
        <v>4679</v>
      </c>
      <c r="B1110" t="s">
        <v>1095</v>
      </c>
      <c r="C1110" t="s">
        <v>3607</v>
      </c>
      <c r="D1110">
        <v>371</v>
      </c>
      <c r="E1110" t="s">
        <v>1554</v>
      </c>
      <c r="F1110">
        <v>4</v>
      </c>
      <c r="I1110" t="s">
        <v>3238</v>
      </c>
      <c r="J1110" t="s">
        <v>44</v>
      </c>
      <c r="K1110" t="s">
        <v>44</v>
      </c>
      <c r="L1110">
        <v>4</v>
      </c>
      <c r="M1110">
        <v>2</v>
      </c>
      <c r="N1110" t="s">
        <v>2374</v>
      </c>
      <c r="O1110" t="s">
        <v>1441</v>
      </c>
      <c r="P1110" t="s">
        <v>1444</v>
      </c>
      <c r="Q1110" t="s">
        <v>1443</v>
      </c>
      <c r="R1110" t="s">
        <v>2370</v>
      </c>
      <c r="S1110" t="s">
        <v>2379</v>
      </c>
    </row>
    <row r="1111" spans="1:19">
      <c r="A1111" t="s">
        <v>4695</v>
      </c>
      <c r="B1111" t="s">
        <v>3782</v>
      </c>
      <c r="C1111" t="s">
        <v>3602</v>
      </c>
      <c r="D1111">
        <v>25</v>
      </c>
      <c r="E1111" t="s">
        <v>1450</v>
      </c>
      <c r="F1111">
        <v>3</v>
      </c>
      <c r="I1111" t="s">
        <v>3238</v>
      </c>
      <c r="J1111" t="s">
        <v>44</v>
      </c>
      <c r="K1111" t="s">
        <v>44</v>
      </c>
      <c r="L1111">
        <v>4</v>
      </c>
      <c r="M1111">
        <v>1</v>
      </c>
      <c r="N1111" t="s">
        <v>3783</v>
      </c>
      <c r="O1111" t="s">
        <v>1447</v>
      </c>
      <c r="P1111" t="s">
        <v>1444</v>
      </c>
      <c r="Q1111" t="s">
        <v>1443</v>
      </c>
      <c r="R1111" t="s">
        <v>1080</v>
      </c>
      <c r="S1111" t="s">
        <v>3784</v>
      </c>
    </row>
    <row r="1112" spans="1:19">
      <c r="A1112" t="s">
        <v>4673</v>
      </c>
      <c r="B1112" t="s">
        <v>1076</v>
      </c>
      <c r="C1112" t="s">
        <v>3607</v>
      </c>
      <c r="D1112">
        <v>370</v>
      </c>
      <c r="E1112" t="s">
        <v>1511</v>
      </c>
      <c r="F1112" t="s">
        <v>1511</v>
      </c>
      <c r="I1112" t="s">
        <v>3238</v>
      </c>
      <c r="J1112" t="s">
        <v>44</v>
      </c>
      <c r="K1112" t="s">
        <v>44</v>
      </c>
      <c r="L1112">
        <v>5</v>
      </c>
      <c r="M1112">
        <v>1</v>
      </c>
      <c r="N1112" t="s">
        <v>2369</v>
      </c>
      <c r="O1112" t="s">
        <v>1513</v>
      </c>
      <c r="P1112" t="s">
        <v>1444</v>
      </c>
      <c r="Q1112" t="s">
        <v>1513</v>
      </c>
      <c r="R1112" t="s">
        <v>2370</v>
      </c>
      <c r="S1112" t="s">
        <v>2371</v>
      </c>
    </row>
    <row r="1113" spans="1:19">
      <c r="A1113" t="s">
        <v>4676</v>
      </c>
      <c r="B1113" t="s">
        <v>1073</v>
      </c>
      <c r="C1113" t="s">
        <v>3607</v>
      </c>
      <c r="D1113" t="s">
        <v>1074</v>
      </c>
      <c r="E1113" t="s">
        <v>1450</v>
      </c>
      <c r="F1113">
        <v>3</v>
      </c>
      <c r="I1113" t="s">
        <v>3238</v>
      </c>
      <c r="J1113" t="s">
        <v>44</v>
      </c>
      <c r="K1113" t="s">
        <v>44</v>
      </c>
      <c r="L1113">
        <v>5</v>
      </c>
      <c r="M1113">
        <v>2</v>
      </c>
      <c r="N1113" t="s">
        <v>2376</v>
      </c>
      <c r="O1113" t="s">
        <v>1457</v>
      </c>
      <c r="P1113" t="s">
        <v>1444</v>
      </c>
      <c r="Q1113" t="s">
        <v>1443</v>
      </c>
      <c r="R1113" t="s">
        <v>1084</v>
      </c>
      <c r="S1113" t="s">
        <v>2377</v>
      </c>
    </row>
    <row r="1114" spans="1:19">
      <c r="A1114" t="s">
        <v>4678</v>
      </c>
      <c r="B1114" t="s">
        <v>1096</v>
      </c>
      <c r="C1114" t="s">
        <v>3607</v>
      </c>
      <c r="D1114" t="s">
        <v>1097</v>
      </c>
      <c r="E1114" t="s">
        <v>1543</v>
      </c>
      <c r="F1114">
        <v>7</v>
      </c>
      <c r="G1114">
        <v>1</v>
      </c>
      <c r="I1114" t="s">
        <v>3238</v>
      </c>
      <c r="J1114" t="s">
        <v>44</v>
      </c>
      <c r="K1114" t="s">
        <v>44</v>
      </c>
      <c r="L1114">
        <v>5</v>
      </c>
      <c r="M1114">
        <v>2</v>
      </c>
      <c r="N1114" t="s">
        <v>2376</v>
      </c>
      <c r="O1114" t="s">
        <v>1457</v>
      </c>
      <c r="P1114" t="s">
        <v>1444</v>
      </c>
      <c r="Q1114" t="s">
        <v>1547</v>
      </c>
      <c r="R1114" t="s">
        <v>1087</v>
      </c>
      <c r="S1114" t="s">
        <v>2378</v>
      </c>
    </row>
    <row r="1115" spans="1:19">
      <c r="A1115" t="s">
        <v>4680</v>
      </c>
      <c r="B1115" t="s">
        <v>1068</v>
      </c>
      <c r="C1115" t="s">
        <v>3607</v>
      </c>
      <c r="D1115" t="s">
        <v>1067</v>
      </c>
      <c r="E1115" t="s">
        <v>1467</v>
      </c>
      <c r="F1115">
        <v>5</v>
      </c>
      <c r="G1115">
        <v>1</v>
      </c>
      <c r="I1115" t="s">
        <v>3238</v>
      </c>
      <c r="J1115" t="s">
        <v>44</v>
      </c>
      <c r="K1115" t="s">
        <v>44</v>
      </c>
      <c r="L1115">
        <v>5</v>
      </c>
      <c r="M1115">
        <v>2</v>
      </c>
      <c r="N1115" t="s">
        <v>2376</v>
      </c>
      <c r="O1115" t="s">
        <v>1457</v>
      </c>
      <c r="P1115" t="s">
        <v>1444</v>
      </c>
      <c r="Q1115" t="s">
        <v>1547</v>
      </c>
      <c r="R1115" t="s">
        <v>1095</v>
      </c>
      <c r="S1115" t="s">
        <v>2380</v>
      </c>
    </row>
    <row r="1116" spans="1:19">
      <c r="A1116" t="s">
        <v>4681</v>
      </c>
      <c r="B1116" t="s">
        <v>1075</v>
      </c>
      <c r="C1116" t="s">
        <v>3607</v>
      </c>
      <c r="D1116">
        <v>371</v>
      </c>
      <c r="E1116" t="s">
        <v>1476</v>
      </c>
      <c r="F1116">
        <v>3</v>
      </c>
      <c r="G1116">
        <v>1</v>
      </c>
      <c r="I1116" t="s">
        <v>3238</v>
      </c>
      <c r="J1116" t="s">
        <v>44</v>
      </c>
      <c r="K1116" t="s">
        <v>44</v>
      </c>
      <c r="L1116">
        <v>5</v>
      </c>
      <c r="M1116">
        <v>3</v>
      </c>
      <c r="N1116" t="s">
        <v>2381</v>
      </c>
      <c r="O1116" t="s">
        <v>1441</v>
      </c>
      <c r="P1116" t="s">
        <v>1444</v>
      </c>
      <c r="Q1116" t="s">
        <v>1443</v>
      </c>
      <c r="R1116" t="s">
        <v>2382</v>
      </c>
      <c r="S1116" t="s">
        <v>2383</v>
      </c>
    </row>
    <row r="1117" spans="1:19">
      <c r="A1117" t="s">
        <v>4682</v>
      </c>
      <c r="B1117" t="s">
        <v>1078</v>
      </c>
      <c r="C1117" t="s">
        <v>3607</v>
      </c>
      <c r="D1117" t="s">
        <v>1079</v>
      </c>
      <c r="E1117" t="s">
        <v>1592</v>
      </c>
      <c r="F1117" t="s">
        <v>3699</v>
      </c>
      <c r="G1117">
        <v>1</v>
      </c>
      <c r="I1117" t="s">
        <v>3238</v>
      </c>
      <c r="J1117" t="s">
        <v>44</v>
      </c>
      <c r="K1117" t="s">
        <v>44</v>
      </c>
      <c r="L1117">
        <v>5</v>
      </c>
      <c r="M1117">
        <v>3</v>
      </c>
      <c r="N1117" t="s">
        <v>2381</v>
      </c>
      <c r="O1117" t="s">
        <v>1447</v>
      </c>
      <c r="P1117" t="s">
        <v>1444</v>
      </c>
      <c r="Q1117" t="s">
        <v>1443</v>
      </c>
      <c r="R1117" t="s">
        <v>1084</v>
      </c>
      <c r="S1117" t="s">
        <v>2384</v>
      </c>
    </row>
    <row r="1118" spans="1:19">
      <c r="A1118" t="s">
        <v>4683</v>
      </c>
      <c r="B1118" t="s">
        <v>1066</v>
      </c>
      <c r="C1118" t="s">
        <v>3607</v>
      </c>
      <c r="D1118" t="s">
        <v>1067</v>
      </c>
      <c r="E1118" t="s">
        <v>1467</v>
      </c>
      <c r="F1118">
        <v>5</v>
      </c>
      <c r="G1118">
        <v>1</v>
      </c>
      <c r="I1118" t="s">
        <v>3238</v>
      </c>
      <c r="J1118" t="s">
        <v>44</v>
      </c>
      <c r="K1118" t="s">
        <v>44</v>
      </c>
      <c r="L1118">
        <v>5</v>
      </c>
      <c r="M1118">
        <v>3</v>
      </c>
      <c r="N1118" t="s">
        <v>2381</v>
      </c>
      <c r="O1118" t="s">
        <v>1447</v>
      </c>
      <c r="P1118" t="s">
        <v>1444</v>
      </c>
      <c r="Q1118" t="s">
        <v>1473</v>
      </c>
      <c r="R1118" t="s">
        <v>1087</v>
      </c>
      <c r="S1118" t="s">
        <v>2385</v>
      </c>
    </row>
    <row r="1119" spans="1:19">
      <c r="A1119" t="s">
        <v>4684</v>
      </c>
      <c r="B1119" t="s">
        <v>1093</v>
      </c>
      <c r="C1119" t="s">
        <v>3607</v>
      </c>
      <c r="D1119" t="s">
        <v>1094</v>
      </c>
      <c r="E1119" t="s">
        <v>1543</v>
      </c>
      <c r="F1119">
        <v>7</v>
      </c>
      <c r="G1119">
        <v>1</v>
      </c>
      <c r="I1119" t="s">
        <v>3238</v>
      </c>
      <c r="J1119" t="s">
        <v>44</v>
      </c>
      <c r="K1119" t="s">
        <v>44</v>
      </c>
      <c r="L1119">
        <v>5</v>
      </c>
      <c r="M1119">
        <v>3</v>
      </c>
      <c r="N1119" t="s">
        <v>2381</v>
      </c>
      <c r="O1119" t="s">
        <v>1447</v>
      </c>
      <c r="P1119" t="s">
        <v>1444</v>
      </c>
      <c r="Q1119" t="s">
        <v>1473</v>
      </c>
      <c r="R1119" t="s">
        <v>1087</v>
      </c>
      <c r="S1119" t="s">
        <v>2386</v>
      </c>
    </row>
    <row r="1120" spans="1:19">
      <c r="A1120" t="s">
        <v>4685</v>
      </c>
      <c r="B1120" t="s">
        <v>1069</v>
      </c>
      <c r="C1120" t="s">
        <v>3607</v>
      </c>
      <c r="D1120">
        <v>372</v>
      </c>
      <c r="E1120" t="s">
        <v>1450</v>
      </c>
      <c r="F1120">
        <v>3</v>
      </c>
      <c r="I1120" t="s">
        <v>3238</v>
      </c>
      <c r="J1120" t="s">
        <v>44</v>
      </c>
      <c r="K1120" t="s">
        <v>44</v>
      </c>
      <c r="L1120">
        <v>5</v>
      </c>
      <c r="M1120">
        <v>3</v>
      </c>
      <c r="N1120" t="s">
        <v>2381</v>
      </c>
      <c r="O1120" t="s">
        <v>1447</v>
      </c>
      <c r="P1120" t="s">
        <v>1444</v>
      </c>
      <c r="Q1120" t="s">
        <v>1443</v>
      </c>
      <c r="R1120" t="s">
        <v>1087</v>
      </c>
      <c r="S1120" t="s">
        <v>2387</v>
      </c>
    </row>
    <row r="1121" spans="1:19">
      <c r="A1121" t="s">
        <v>4686</v>
      </c>
      <c r="B1121" t="s">
        <v>1089</v>
      </c>
      <c r="C1121" t="s">
        <v>3607</v>
      </c>
      <c r="D1121" t="s">
        <v>1083</v>
      </c>
      <c r="E1121" t="s">
        <v>1465</v>
      </c>
      <c r="F1121">
        <v>1</v>
      </c>
      <c r="G1121">
        <v>1</v>
      </c>
      <c r="I1121" t="s">
        <v>3238</v>
      </c>
      <c r="J1121" t="s">
        <v>44</v>
      </c>
      <c r="K1121" t="s">
        <v>44</v>
      </c>
      <c r="L1121">
        <v>5</v>
      </c>
      <c r="M1121">
        <v>3</v>
      </c>
      <c r="N1121" t="s">
        <v>2381</v>
      </c>
      <c r="O1121" t="s">
        <v>1447</v>
      </c>
      <c r="P1121" t="s">
        <v>1444</v>
      </c>
      <c r="Q1121" t="s">
        <v>1443</v>
      </c>
      <c r="R1121" t="s">
        <v>1069</v>
      </c>
      <c r="S1121" t="s">
        <v>2388</v>
      </c>
    </row>
    <row r="1122" spans="1:19">
      <c r="A1122" t="s">
        <v>4687</v>
      </c>
      <c r="B1122" t="s">
        <v>1082</v>
      </c>
      <c r="C1122" t="s">
        <v>3607</v>
      </c>
      <c r="D1122" t="s">
        <v>1083</v>
      </c>
      <c r="E1122" t="s">
        <v>1599</v>
      </c>
      <c r="F1122">
        <v>10</v>
      </c>
      <c r="G1122">
        <v>1</v>
      </c>
      <c r="I1122" t="s">
        <v>3238</v>
      </c>
      <c r="J1122" t="s">
        <v>44</v>
      </c>
      <c r="K1122" t="s">
        <v>44</v>
      </c>
      <c r="L1122">
        <v>5</v>
      </c>
      <c r="M1122">
        <v>3</v>
      </c>
      <c r="N1122" t="s">
        <v>2381</v>
      </c>
      <c r="O1122" t="s">
        <v>1457</v>
      </c>
      <c r="P1122" t="s">
        <v>2389</v>
      </c>
      <c r="Q1122" t="s">
        <v>1547</v>
      </c>
      <c r="R1122" t="s">
        <v>2390</v>
      </c>
      <c r="S1122" t="s">
        <v>2391</v>
      </c>
    </row>
    <row r="1123" spans="1:19">
      <c r="A1123" t="s">
        <v>4688</v>
      </c>
      <c r="B1123" t="s">
        <v>1098</v>
      </c>
      <c r="C1123" t="s">
        <v>3607</v>
      </c>
      <c r="D1123" t="s">
        <v>1099</v>
      </c>
      <c r="E1123" t="s">
        <v>1511</v>
      </c>
      <c r="F1123" t="s">
        <v>1511</v>
      </c>
      <c r="I1123" t="s">
        <v>3238</v>
      </c>
      <c r="J1123" t="s">
        <v>44</v>
      </c>
      <c r="K1123" t="s">
        <v>44</v>
      </c>
      <c r="L1123">
        <v>5</v>
      </c>
      <c r="M1123">
        <v>3</v>
      </c>
      <c r="N1123" t="s">
        <v>2381</v>
      </c>
      <c r="O1123" t="s">
        <v>1513</v>
      </c>
      <c r="P1123" t="s">
        <v>1444</v>
      </c>
      <c r="Q1123" t="s">
        <v>1513</v>
      </c>
      <c r="R1123" t="s">
        <v>1096</v>
      </c>
      <c r="S1123" t="s">
        <v>2392</v>
      </c>
    </row>
    <row r="1124" spans="1:19">
      <c r="A1124" t="s">
        <v>4689</v>
      </c>
      <c r="B1124" t="s">
        <v>1090</v>
      </c>
      <c r="C1124" t="s">
        <v>3607</v>
      </c>
      <c r="D1124">
        <v>373</v>
      </c>
      <c r="E1124" t="s">
        <v>2393</v>
      </c>
      <c r="F1124">
        <v>4</v>
      </c>
      <c r="G1124">
        <v>1</v>
      </c>
      <c r="H1124" t="s">
        <v>3700</v>
      </c>
      <c r="I1124" t="s">
        <v>3238</v>
      </c>
      <c r="J1124" t="s">
        <v>44</v>
      </c>
      <c r="K1124" t="s">
        <v>44</v>
      </c>
      <c r="L1124">
        <v>5</v>
      </c>
      <c r="M1124">
        <v>3</v>
      </c>
      <c r="N1124" t="s">
        <v>2381</v>
      </c>
      <c r="O1124" t="s">
        <v>1457</v>
      </c>
      <c r="P1124" t="s">
        <v>1444</v>
      </c>
      <c r="Q1124" t="s">
        <v>1443</v>
      </c>
      <c r="R1124" t="s">
        <v>1096</v>
      </c>
      <c r="S1124" t="s">
        <v>2394</v>
      </c>
    </row>
    <row r="1125" spans="1:19">
      <c r="A1125" t="s">
        <v>4690</v>
      </c>
      <c r="B1125" t="s">
        <v>1092</v>
      </c>
      <c r="C1125" t="s">
        <v>3607</v>
      </c>
      <c r="D1125">
        <v>373</v>
      </c>
      <c r="E1125" t="s">
        <v>1541</v>
      </c>
      <c r="F1125">
        <v>5</v>
      </c>
      <c r="I1125" t="s">
        <v>3238</v>
      </c>
      <c r="J1125" t="s">
        <v>44</v>
      </c>
      <c r="K1125" t="s">
        <v>44</v>
      </c>
      <c r="L1125">
        <v>5</v>
      </c>
      <c r="M1125">
        <v>3</v>
      </c>
      <c r="N1125" t="s">
        <v>2381</v>
      </c>
      <c r="O1125" t="s">
        <v>1457</v>
      </c>
      <c r="P1125" t="s">
        <v>1705</v>
      </c>
      <c r="Q1125" t="s">
        <v>1547</v>
      </c>
      <c r="R1125" t="s">
        <v>1090</v>
      </c>
      <c r="S1125" t="s">
        <v>3781</v>
      </c>
    </row>
    <row r="1126" spans="1:19">
      <c r="A1126" t="s">
        <v>4691</v>
      </c>
      <c r="B1126" t="s">
        <v>1091</v>
      </c>
      <c r="C1126" t="s">
        <v>3607</v>
      </c>
      <c r="D1126">
        <v>373</v>
      </c>
      <c r="E1126" t="s">
        <v>1924</v>
      </c>
      <c r="F1126">
        <v>2</v>
      </c>
      <c r="G1126">
        <v>1</v>
      </c>
      <c r="I1126" t="s">
        <v>3238</v>
      </c>
      <c r="J1126" t="s">
        <v>44</v>
      </c>
      <c r="K1126" t="s">
        <v>44</v>
      </c>
      <c r="L1126">
        <v>5</v>
      </c>
      <c r="M1126">
        <v>3</v>
      </c>
      <c r="N1126" t="s">
        <v>2381</v>
      </c>
      <c r="O1126" t="s">
        <v>1441</v>
      </c>
      <c r="P1126" t="s">
        <v>1444</v>
      </c>
      <c r="Q1126" t="s">
        <v>1443</v>
      </c>
      <c r="R1126" t="s">
        <v>1068</v>
      </c>
      <c r="S1126" t="s">
        <v>2395</v>
      </c>
    </row>
    <row r="1127" spans="1:19">
      <c r="A1127" t="s">
        <v>4692</v>
      </c>
      <c r="B1127" t="s">
        <v>1071</v>
      </c>
      <c r="C1127" t="s">
        <v>3607</v>
      </c>
      <c r="D1127" t="s">
        <v>1072</v>
      </c>
      <c r="E1127" t="s">
        <v>1511</v>
      </c>
      <c r="F1127" t="s">
        <v>1511</v>
      </c>
      <c r="I1127" t="s">
        <v>3238</v>
      </c>
      <c r="J1127" t="s">
        <v>44</v>
      </c>
      <c r="K1127" t="s">
        <v>44</v>
      </c>
      <c r="L1127">
        <v>5</v>
      </c>
      <c r="M1127">
        <v>4</v>
      </c>
      <c r="N1127" t="s">
        <v>2396</v>
      </c>
      <c r="O1127" t="s">
        <v>1447</v>
      </c>
      <c r="P1127" t="s">
        <v>1444</v>
      </c>
      <c r="Q1127" t="s">
        <v>1443</v>
      </c>
      <c r="R1127" t="s">
        <v>2397</v>
      </c>
      <c r="S1127" t="s">
        <v>3526</v>
      </c>
    </row>
    <row r="1128" spans="1:19">
      <c r="A1128" t="s">
        <v>4693</v>
      </c>
      <c r="B1128" t="s">
        <v>1077</v>
      </c>
      <c r="C1128" t="s">
        <v>3607</v>
      </c>
      <c r="D1128">
        <v>374</v>
      </c>
      <c r="E1128" t="s">
        <v>1467</v>
      </c>
      <c r="F1128">
        <v>5</v>
      </c>
      <c r="G1128">
        <v>1</v>
      </c>
      <c r="I1128" t="s">
        <v>3238</v>
      </c>
      <c r="J1128" t="s">
        <v>44</v>
      </c>
      <c r="K1128" t="s">
        <v>44</v>
      </c>
      <c r="L1128">
        <v>5</v>
      </c>
      <c r="M1128">
        <v>4</v>
      </c>
      <c r="N1128" t="s">
        <v>2396</v>
      </c>
      <c r="O1128" t="s">
        <v>1457</v>
      </c>
      <c r="P1128" t="s">
        <v>1444</v>
      </c>
      <c r="Q1128" t="s">
        <v>1547</v>
      </c>
      <c r="R1128" t="s">
        <v>2398</v>
      </c>
      <c r="S1128" t="s">
        <v>2399</v>
      </c>
    </row>
    <row r="1129" spans="1:19">
      <c r="A1129" t="s">
        <v>4694</v>
      </c>
      <c r="B1129" t="s">
        <v>1070</v>
      </c>
      <c r="C1129" t="s">
        <v>3607</v>
      </c>
      <c r="D1129">
        <v>374</v>
      </c>
      <c r="E1129" t="s">
        <v>2400</v>
      </c>
      <c r="F1129">
        <v>6</v>
      </c>
      <c r="H1129" t="s">
        <v>3603</v>
      </c>
      <c r="I1129" t="s">
        <v>3238</v>
      </c>
      <c r="J1129" t="s">
        <v>44</v>
      </c>
      <c r="K1129" t="s">
        <v>44</v>
      </c>
      <c r="L1129">
        <v>5</v>
      </c>
      <c r="M1129">
        <v>4</v>
      </c>
      <c r="N1129" t="s">
        <v>2396</v>
      </c>
      <c r="O1129" t="s">
        <v>1447</v>
      </c>
      <c r="P1129" t="s">
        <v>1444</v>
      </c>
      <c r="Q1129" t="s">
        <v>1473</v>
      </c>
      <c r="R1129" t="s">
        <v>1093</v>
      </c>
      <c r="S1129" t="s">
        <v>2401</v>
      </c>
    </row>
    <row r="1130" spans="1:19">
      <c r="A1130" t="s">
        <v>4696</v>
      </c>
      <c r="B1130" t="s">
        <v>3785</v>
      </c>
      <c r="C1130" t="s">
        <v>3602</v>
      </c>
      <c r="D1130">
        <v>25</v>
      </c>
      <c r="E1130" t="s">
        <v>1479</v>
      </c>
      <c r="F1130">
        <v>6</v>
      </c>
      <c r="G1130">
        <v>1</v>
      </c>
      <c r="I1130" t="s">
        <v>3238</v>
      </c>
      <c r="J1130" t="s">
        <v>44</v>
      </c>
      <c r="K1130" t="s">
        <v>44</v>
      </c>
      <c r="L1130">
        <v>5</v>
      </c>
      <c r="M1130">
        <v>3</v>
      </c>
      <c r="N1130" t="s">
        <v>2381</v>
      </c>
      <c r="O1130" t="s">
        <v>1457</v>
      </c>
      <c r="P1130" t="s">
        <v>1452</v>
      </c>
      <c r="Q1130" t="s">
        <v>1443</v>
      </c>
      <c r="R1130" t="s">
        <v>1075</v>
      </c>
      <c r="S1130" t="s">
        <v>3786</v>
      </c>
    </row>
    <row r="1131" spans="1:19">
      <c r="A1131" t="s">
        <v>4697</v>
      </c>
      <c r="B1131" t="s">
        <v>3787</v>
      </c>
      <c r="C1131" t="s">
        <v>3602</v>
      </c>
      <c r="D1131">
        <v>25</v>
      </c>
      <c r="E1131" t="s">
        <v>1554</v>
      </c>
      <c r="F1131">
        <v>4</v>
      </c>
      <c r="I1131" t="s">
        <v>3238</v>
      </c>
      <c r="J1131" t="s">
        <v>44</v>
      </c>
      <c r="K1131" t="s">
        <v>44</v>
      </c>
      <c r="L1131">
        <v>5</v>
      </c>
      <c r="M1131">
        <v>3</v>
      </c>
      <c r="N1131" t="s">
        <v>2381</v>
      </c>
      <c r="O1131" t="s">
        <v>1447</v>
      </c>
      <c r="P1131" t="s">
        <v>1444</v>
      </c>
      <c r="Q1131" t="s">
        <v>1443</v>
      </c>
      <c r="R1131" t="s">
        <v>1087</v>
      </c>
      <c r="S1131" t="s">
        <v>3788</v>
      </c>
    </row>
    <row r="1132" spans="1:19">
      <c r="A1132" t="s">
        <v>4698</v>
      </c>
      <c r="B1132" t="s">
        <v>3789</v>
      </c>
      <c r="C1132" t="s">
        <v>3602</v>
      </c>
      <c r="D1132">
        <v>26</v>
      </c>
      <c r="E1132" t="s">
        <v>1497</v>
      </c>
      <c r="F1132">
        <v>6</v>
      </c>
      <c r="I1132" t="s">
        <v>3238</v>
      </c>
      <c r="J1132" t="s">
        <v>44</v>
      </c>
      <c r="K1132" t="s">
        <v>44</v>
      </c>
      <c r="L1132">
        <v>5</v>
      </c>
      <c r="M1132">
        <v>3</v>
      </c>
      <c r="N1132" t="s">
        <v>2381</v>
      </c>
      <c r="O1132" t="s">
        <v>1447</v>
      </c>
      <c r="P1132" t="s">
        <v>1523</v>
      </c>
      <c r="Q1132" t="s">
        <v>1443</v>
      </c>
      <c r="R1132" t="s">
        <v>1095</v>
      </c>
      <c r="S1132" t="s">
        <v>3790</v>
      </c>
    </row>
    <row r="1133" spans="1:19">
      <c r="A1133" t="s">
        <v>4699</v>
      </c>
      <c r="B1133" t="s">
        <v>3791</v>
      </c>
      <c r="C1133" t="s">
        <v>3602</v>
      </c>
      <c r="D1133">
        <v>26</v>
      </c>
      <c r="E1133" t="s">
        <v>3792</v>
      </c>
      <c r="F1133">
        <v>6</v>
      </c>
      <c r="H1133" t="s">
        <v>3793</v>
      </c>
      <c r="I1133" t="s">
        <v>3238</v>
      </c>
      <c r="J1133" t="s">
        <v>44</v>
      </c>
      <c r="K1133" t="s">
        <v>44</v>
      </c>
      <c r="L1133">
        <v>5</v>
      </c>
      <c r="M1133">
        <v>4</v>
      </c>
      <c r="N1133" t="s">
        <v>2396</v>
      </c>
      <c r="O1133" t="s">
        <v>1457</v>
      </c>
      <c r="P1133" t="s">
        <v>1444</v>
      </c>
      <c r="Q1133" t="s">
        <v>1547</v>
      </c>
      <c r="R1133" t="s">
        <v>1090</v>
      </c>
      <c r="S1133" t="s">
        <v>3794</v>
      </c>
    </row>
    <row r="1134" spans="1:19">
      <c r="A1134" t="s">
        <v>4700</v>
      </c>
      <c r="B1134" t="s">
        <v>3795</v>
      </c>
      <c r="C1134" t="s">
        <v>3602</v>
      </c>
      <c r="D1134">
        <v>27</v>
      </c>
      <c r="E1134" t="s">
        <v>1945</v>
      </c>
      <c r="F1134">
        <v>10</v>
      </c>
      <c r="I1134" t="s">
        <v>3238</v>
      </c>
      <c r="J1134" t="s">
        <v>44</v>
      </c>
      <c r="K1134" t="s">
        <v>44</v>
      </c>
      <c r="L1134">
        <v>5</v>
      </c>
      <c r="M1134">
        <v>5</v>
      </c>
      <c r="N1134" t="s">
        <v>3796</v>
      </c>
      <c r="O1134" t="s">
        <v>1457</v>
      </c>
      <c r="P1134" t="s">
        <v>1444</v>
      </c>
      <c r="Q1134" t="s">
        <v>1547</v>
      </c>
      <c r="R1134" t="s">
        <v>1077</v>
      </c>
      <c r="S1134" t="s">
        <v>3797</v>
      </c>
    </row>
    <row r="1135" spans="1:19">
      <c r="A1135" t="s">
        <v>7068</v>
      </c>
      <c r="B1135" t="s">
        <v>5968</v>
      </c>
      <c r="C1135" t="s">
        <v>3968</v>
      </c>
      <c r="D1135">
        <v>242</v>
      </c>
      <c r="E1135" t="s">
        <v>5071</v>
      </c>
      <c r="F1135">
        <v>2</v>
      </c>
      <c r="I1135" t="s">
        <v>3560</v>
      </c>
      <c r="J1135" t="s">
        <v>44</v>
      </c>
      <c r="K1135" t="s">
        <v>44</v>
      </c>
      <c r="L1135">
        <v>1</v>
      </c>
      <c r="M1135">
        <v>1</v>
      </c>
      <c r="N1135" t="s">
        <v>5969</v>
      </c>
      <c r="O1135" t="s">
        <v>1441</v>
      </c>
      <c r="P1135" t="s">
        <v>5072</v>
      </c>
      <c r="Q1135" t="s">
        <v>1443</v>
      </c>
      <c r="R1135" t="s">
        <v>1444</v>
      </c>
      <c r="S1135" t="s">
        <v>5970</v>
      </c>
    </row>
    <row r="1136" spans="1:19">
      <c r="A1136" t="s">
        <v>7069</v>
      </c>
      <c r="B1136" t="s">
        <v>5971</v>
      </c>
      <c r="C1136" t="s">
        <v>3968</v>
      </c>
      <c r="D1136">
        <v>242</v>
      </c>
      <c r="E1136" t="s">
        <v>1450</v>
      </c>
      <c r="F1136">
        <v>3</v>
      </c>
      <c r="I1136" t="s">
        <v>3560</v>
      </c>
      <c r="J1136" t="s">
        <v>44</v>
      </c>
      <c r="K1136" t="s">
        <v>44</v>
      </c>
      <c r="L1136">
        <v>2</v>
      </c>
      <c r="M1136">
        <v>1</v>
      </c>
      <c r="N1136" t="s">
        <v>2367</v>
      </c>
      <c r="O1136" t="s">
        <v>1447</v>
      </c>
      <c r="P1136" t="s">
        <v>5363</v>
      </c>
      <c r="Q1136" t="s">
        <v>1600</v>
      </c>
      <c r="R1136" t="s">
        <v>1444</v>
      </c>
      <c r="S1136" t="s">
        <v>5972</v>
      </c>
    </row>
    <row r="1137" spans="1:19">
      <c r="A1137" t="s">
        <v>7070</v>
      </c>
      <c r="B1137" t="s">
        <v>5973</v>
      </c>
      <c r="C1137" t="s">
        <v>3968</v>
      </c>
      <c r="D1137">
        <v>242</v>
      </c>
      <c r="E1137" t="s">
        <v>1460</v>
      </c>
      <c r="F1137">
        <v>2</v>
      </c>
      <c r="I1137" t="s">
        <v>3560</v>
      </c>
      <c r="J1137" t="s">
        <v>44</v>
      </c>
      <c r="K1137" t="s">
        <v>44</v>
      </c>
      <c r="L1137">
        <v>2</v>
      </c>
      <c r="M1137">
        <v>1</v>
      </c>
      <c r="N1137" t="s">
        <v>2367</v>
      </c>
      <c r="O1137" t="s">
        <v>1457</v>
      </c>
      <c r="P1137" t="s">
        <v>5075</v>
      </c>
      <c r="Q1137" t="s">
        <v>1443</v>
      </c>
      <c r="R1137" t="s">
        <v>1444</v>
      </c>
      <c r="S1137" t="s">
        <v>5974</v>
      </c>
    </row>
    <row r="1138" spans="1:19">
      <c r="A1138" t="s">
        <v>7071</v>
      </c>
      <c r="B1138" t="s">
        <v>5975</v>
      </c>
      <c r="C1138" t="s">
        <v>3968</v>
      </c>
      <c r="D1138">
        <v>242</v>
      </c>
      <c r="E1138" t="s">
        <v>1554</v>
      </c>
      <c r="F1138">
        <v>4</v>
      </c>
      <c r="I1138" t="s">
        <v>3560</v>
      </c>
      <c r="J1138" t="s">
        <v>44</v>
      </c>
      <c r="K1138" t="s">
        <v>44</v>
      </c>
      <c r="L1138">
        <v>3</v>
      </c>
      <c r="M1138">
        <v>1</v>
      </c>
      <c r="N1138" t="s">
        <v>2364</v>
      </c>
      <c r="O1138" t="s">
        <v>1457</v>
      </c>
      <c r="P1138" t="s">
        <v>5075</v>
      </c>
      <c r="Q1138" t="s">
        <v>1443</v>
      </c>
      <c r="R1138" t="s">
        <v>1444</v>
      </c>
      <c r="S1138" t="s">
        <v>5976</v>
      </c>
    </row>
    <row r="1139" spans="1:19">
      <c r="A1139" t="s">
        <v>7072</v>
      </c>
      <c r="B1139" t="s">
        <v>5977</v>
      </c>
      <c r="C1139" t="s">
        <v>3968</v>
      </c>
      <c r="D1139">
        <v>242</v>
      </c>
      <c r="E1139" t="s">
        <v>1450</v>
      </c>
      <c r="F1139">
        <v>3</v>
      </c>
      <c r="I1139" t="s">
        <v>3560</v>
      </c>
      <c r="J1139" t="s">
        <v>44</v>
      </c>
      <c r="K1139" t="s">
        <v>44</v>
      </c>
      <c r="L1139">
        <v>3</v>
      </c>
      <c r="M1139">
        <v>1</v>
      </c>
      <c r="N1139" t="s">
        <v>2364</v>
      </c>
      <c r="O1139" t="s">
        <v>1457</v>
      </c>
      <c r="P1139" t="s">
        <v>5075</v>
      </c>
      <c r="Q1139" t="s">
        <v>1443</v>
      </c>
      <c r="R1139" t="s">
        <v>1444</v>
      </c>
      <c r="S1139" t="s">
        <v>5978</v>
      </c>
    </row>
    <row r="1140" spans="1:19">
      <c r="A1140" t="s">
        <v>7073</v>
      </c>
      <c r="B1140" t="s">
        <v>5979</v>
      </c>
      <c r="C1140" t="s">
        <v>3968</v>
      </c>
      <c r="D1140">
        <v>243</v>
      </c>
      <c r="E1140" t="s">
        <v>1497</v>
      </c>
      <c r="F1140">
        <v>6</v>
      </c>
      <c r="I1140" t="s">
        <v>3560</v>
      </c>
      <c r="J1140" t="s">
        <v>44</v>
      </c>
      <c r="K1140" t="s">
        <v>44</v>
      </c>
      <c r="L1140">
        <v>3</v>
      </c>
      <c r="M1140">
        <v>2</v>
      </c>
      <c r="N1140" t="s">
        <v>5980</v>
      </c>
      <c r="O1140" t="s">
        <v>1457</v>
      </c>
      <c r="P1140" t="s">
        <v>5075</v>
      </c>
      <c r="Q1140" t="s">
        <v>1443</v>
      </c>
      <c r="R1140" t="s">
        <v>5973</v>
      </c>
      <c r="S1140" t="s">
        <v>5981</v>
      </c>
    </row>
    <row r="1141" spans="1:19">
      <c r="A1141" t="s">
        <v>7075</v>
      </c>
      <c r="B1141" t="s">
        <v>5984</v>
      </c>
      <c r="C1141" t="s">
        <v>3968</v>
      </c>
      <c r="D1141">
        <v>243</v>
      </c>
      <c r="E1141" t="s">
        <v>1554</v>
      </c>
      <c r="F1141">
        <v>4</v>
      </c>
      <c r="I1141" t="s">
        <v>3560</v>
      </c>
      <c r="J1141" t="s">
        <v>44</v>
      </c>
      <c r="K1141" t="s">
        <v>44</v>
      </c>
      <c r="L1141">
        <v>3</v>
      </c>
      <c r="M1141">
        <v>2</v>
      </c>
      <c r="N1141" t="s">
        <v>5980</v>
      </c>
      <c r="O1141" t="s">
        <v>1441</v>
      </c>
      <c r="P1141" t="s">
        <v>5075</v>
      </c>
      <c r="Q1141" t="s">
        <v>1443</v>
      </c>
      <c r="R1141" t="s">
        <v>5977</v>
      </c>
      <c r="S1141" t="s">
        <v>5985</v>
      </c>
    </row>
    <row r="1142" spans="1:19">
      <c r="A1142" t="s">
        <v>7077</v>
      </c>
      <c r="B1142" t="s">
        <v>5988</v>
      </c>
      <c r="C1142" t="s">
        <v>3968</v>
      </c>
      <c r="D1142">
        <v>243</v>
      </c>
      <c r="E1142" t="s">
        <v>1541</v>
      </c>
      <c r="F1142">
        <v>5</v>
      </c>
      <c r="I1142" t="s">
        <v>3560</v>
      </c>
      <c r="J1142" t="s">
        <v>44</v>
      </c>
      <c r="K1142" t="s">
        <v>44</v>
      </c>
      <c r="L1142">
        <v>3</v>
      </c>
      <c r="M1142">
        <v>2</v>
      </c>
      <c r="N1142" t="s">
        <v>5980</v>
      </c>
      <c r="O1142" t="s">
        <v>1457</v>
      </c>
      <c r="P1142" t="s">
        <v>5263</v>
      </c>
      <c r="Q1142" t="s">
        <v>1443</v>
      </c>
      <c r="R1142" t="s">
        <v>5989</v>
      </c>
      <c r="S1142" t="s">
        <v>5990</v>
      </c>
    </row>
    <row r="1143" spans="1:19">
      <c r="A1143" t="s">
        <v>7074</v>
      </c>
      <c r="B1143" t="s">
        <v>5982</v>
      </c>
      <c r="C1143" t="s">
        <v>3968</v>
      </c>
      <c r="D1143">
        <v>243</v>
      </c>
      <c r="E1143" t="s">
        <v>1541</v>
      </c>
      <c r="F1143">
        <v>5</v>
      </c>
      <c r="I1143" t="s">
        <v>3560</v>
      </c>
      <c r="J1143" t="s">
        <v>44</v>
      </c>
      <c r="K1143" t="s">
        <v>44</v>
      </c>
      <c r="L1143">
        <v>4</v>
      </c>
      <c r="M1143">
        <v>2</v>
      </c>
      <c r="N1143" t="s">
        <v>2374</v>
      </c>
      <c r="O1143" t="s">
        <v>1447</v>
      </c>
      <c r="P1143" t="s">
        <v>5118</v>
      </c>
      <c r="Q1143" t="s">
        <v>1448</v>
      </c>
      <c r="R1143" t="s">
        <v>5975</v>
      </c>
      <c r="S1143" t="s">
        <v>5983</v>
      </c>
    </row>
    <row r="1144" spans="1:19">
      <c r="A1144" t="s">
        <v>7076</v>
      </c>
      <c r="B1144" t="s">
        <v>5986</v>
      </c>
      <c r="C1144" t="s">
        <v>3968</v>
      </c>
      <c r="D1144">
        <v>243</v>
      </c>
      <c r="E1144" t="s">
        <v>1924</v>
      </c>
      <c r="F1144">
        <v>2</v>
      </c>
      <c r="G1144">
        <v>1</v>
      </c>
      <c r="I1144" t="s">
        <v>3560</v>
      </c>
      <c r="J1144" t="s">
        <v>44</v>
      </c>
      <c r="K1144" t="s">
        <v>44</v>
      </c>
      <c r="L1144">
        <v>4</v>
      </c>
      <c r="M1144">
        <v>2</v>
      </c>
      <c r="N1144" t="s">
        <v>2374</v>
      </c>
      <c r="O1144" t="s">
        <v>1457</v>
      </c>
      <c r="P1144" t="s">
        <v>5075</v>
      </c>
      <c r="Q1144" t="s">
        <v>1473</v>
      </c>
      <c r="R1144" t="s">
        <v>5973</v>
      </c>
      <c r="S1144" t="s">
        <v>5987</v>
      </c>
    </row>
    <row r="1145" spans="1:19">
      <c r="A1145" t="s">
        <v>7084</v>
      </c>
      <c r="B1145" t="s">
        <v>6004</v>
      </c>
      <c r="C1145" t="s">
        <v>3968</v>
      </c>
      <c r="D1145">
        <v>245</v>
      </c>
      <c r="E1145" t="s">
        <v>1497</v>
      </c>
      <c r="F1145">
        <v>6</v>
      </c>
      <c r="I1145" t="s">
        <v>3560</v>
      </c>
      <c r="J1145" t="s">
        <v>44</v>
      </c>
      <c r="K1145" t="s">
        <v>44</v>
      </c>
      <c r="L1145">
        <v>4</v>
      </c>
      <c r="M1145">
        <v>3</v>
      </c>
      <c r="N1145" t="s">
        <v>6005</v>
      </c>
      <c r="O1145" t="s">
        <v>1441</v>
      </c>
      <c r="P1145" t="s">
        <v>5075</v>
      </c>
      <c r="Q1145" t="s">
        <v>1443</v>
      </c>
      <c r="R1145" t="s">
        <v>5979</v>
      </c>
      <c r="S1145" t="s">
        <v>6006</v>
      </c>
    </row>
    <row r="1146" spans="1:19">
      <c r="A1146" t="s">
        <v>7085</v>
      </c>
      <c r="B1146" t="s">
        <v>6007</v>
      </c>
      <c r="C1146" t="s">
        <v>3968</v>
      </c>
      <c r="D1146">
        <v>245</v>
      </c>
      <c r="E1146" t="s">
        <v>1476</v>
      </c>
      <c r="F1146">
        <v>3</v>
      </c>
      <c r="G1146">
        <v>1</v>
      </c>
      <c r="I1146" t="s">
        <v>3560</v>
      </c>
      <c r="J1146" t="s">
        <v>44</v>
      </c>
      <c r="K1146" t="s">
        <v>44</v>
      </c>
      <c r="L1146">
        <v>4</v>
      </c>
      <c r="M1146">
        <v>3</v>
      </c>
      <c r="N1146" t="s">
        <v>6005</v>
      </c>
      <c r="O1146" t="s">
        <v>1441</v>
      </c>
      <c r="P1146" t="s">
        <v>5075</v>
      </c>
      <c r="Q1146" t="s">
        <v>1443</v>
      </c>
      <c r="R1146" t="s">
        <v>5984</v>
      </c>
      <c r="S1146" t="s">
        <v>6008</v>
      </c>
    </row>
    <row r="1147" spans="1:19">
      <c r="A1147" t="s">
        <v>7078</v>
      </c>
      <c r="B1147" t="s">
        <v>5991</v>
      </c>
      <c r="C1147" t="s">
        <v>3968</v>
      </c>
      <c r="D1147">
        <v>243</v>
      </c>
      <c r="E1147" t="s">
        <v>1476</v>
      </c>
      <c r="F1147">
        <v>3</v>
      </c>
      <c r="G1147">
        <v>1</v>
      </c>
      <c r="I1147" t="s">
        <v>3560</v>
      </c>
      <c r="J1147" t="s">
        <v>44</v>
      </c>
      <c r="K1147" t="s">
        <v>44</v>
      </c>
      <c r="L1147">
        <v>5</v>
      </c>
      <c r="M1147">
        <v>2</v>
      </c>
      <c r="N1147" t="s">
        <v>2376</v>
      </c>
      <c r="O1147" t="s">
        <v>1447</v>
      </c>
      <c r="P1147" t="s">
        <v>5083</v>
      </c>
      <c r="Q1147" t="s">
        <v>1443</v>
      </c>
      <c r="R1147" t="s">
        <v>5971</v>
      </c>
      <c r="S1147" t="s">
        <v>5992</v>
      </c>
    </row>
    <row r="1148" spans="1:19">
      <c r="A1148" t="s">
        <v>7079</v>
      </c>
      <c r="B1148" t="s">
        <v>5993</v>
      </c>
      <c r="C1148" t="s">
        <v>3968</v>
      </c>
      <c r="D1148">
        <v>244</v>
      </c>
      <c r="E1148" t="s">
        <v>1456</v>
      </c>
      <c r="F1148">
        <v>4</v>
      </c>
      <c r="G1148">
        <v>1</v>
      </c>
      <c r="I1148" t="s">
        <v>3560</v>
      </c>
      <c r="J1148" t="s">
        <v>44</v>
      </c>
      <c r="K1148" t="s">
        <v>44</v>
      </c>
      <c r="L1148">
        <v>5</v>
      </c>
      <c r="M1148">
        <v>3</v>
      </c>
      <c r="N1148" t="s">
        <v>2381</v>
      </c>
      <c r="O1148" t="s">
        <v>1457</v>
      </c>
      <c r="P1148" t="s">
        <v>5147</v>
      </c>
      <c r="Q1148" t="s">
        <v>1443</v>
      </c>
      <c r="R1148" t="s">
        <v>1444</v>
      </c>
      <c r="S1148" t="s">
        <v>5994</v>
      </c>
    </row>
    <row r="1149" spans="1:19">
      <c r="A1149" t="s">
        <v>7080</v>
      </c>
      <c r="B1149" t="s">
        <v>5995</v>
      </c>
      <c r="C1149" t="s">
        <v>3968</v>
      </c>
      <c r="D1149">
        <v>244</v>
      </c>
      <c r="E1149" t="s">
        <v>2039</v>
      </c>
      <c r="F1149">
        <v>8</v>
      </c>
      <c r="G1149">
        <v>1</v>
      </c>
      <c r="I1149" t="s">
        <v>3560</v>
      </c>
      <c r="J1149" t="s">
        <v>44</v>
      </c>
      <c r="K1149" t="s">
        <v>44</v>
      </c>
      <c r="L1149">
        <v>5</v>
      </c>
      <c r="M1149">
        <v>3</v>
      </c>
      <c r="N1149" t="s">
        <v>2381</v>
      </c>
      <c r="O1149" t="s">
        <v>1447</v>
      </c>
      <c r="P1149" t="s">
        <v>5287</v>
      </c>
      <c r="Q1149" t="s">
        <v>1443</v>
      </c>
      <c r="R1149" t="s">
        <v>1444</v>
      </c>
      <c r="S1149" t="s">
        <v>5996</v>
      </c>
    </row>
    <row r="1150" spans="1:19">
      <c r="A1150" t="s">
        <v>7081</v>
      </c>
      <c r="B1150" t="s">
        <v>5997</v>
      </c>
      <c r="C1150" t="s">
        <v>3968</v>
      </c>
      <c r="D1150">
        <v>244</v>
      </c>
      <c r="E1150" t="s">
        <v>5799</v>
      </c>
      <c r="F1150">
        <v>10</v>
      </c>
      <c r="G1150">
        <v>1</v>
      </c>
      <c r="H1150" t="s">
        <v>5108</v>
      </c>
      <c r="I1150" t="s">
        <v>3560</v>
      </c>
      <c r="J1150" t="s">
        <v>44</v>
      </c>
      <c r="K1150" t="s">
        <v>44</v>
      </c>
      <c r="L1150">
        <v>5</v>
      </c>
      <c r="M1150">
        <v>3</v>
      </c>
      <c r="N1150" t="s">
        <v>5998</v>
      </c>
      <c r="O1150" t="s">
        <v>1457</v>
      </c>
      <c r="P1150" t="s">
        <v>5036</v>
      </c>
      <c r="Q1150" t="s">
        <v>1443</v>
      </c>
      <c r="R1150" t="s">
        <v>1444</v>
      </c>
      <c r="S1150" t="s">
        <v>5999</v>
      </c>
    </row>
    <row r="1151" spans="1:19">
      <c r="A1151" t="s">
        <v>7082</v>
      </c>
      <c r="B1151" t="s">
        <v>6000</v>
      </c>
      <c r="C1151" t="s">
        <v>3968</v>
      </c>
      <c r="D1151">
        <v>244</v>
      </c>
      <c r="E1151" t="s">
        <v>1479</v>
      </c>
      <c r="F1151">
        <v>6</v>
      </c>
      <c r="G1151">
        <v>1</v>
      </c>
      <c r="I1151" t="s">
        <v>3560</v>
      </c>
      <c r="J1151" t="s">
        <v>44</v>
      </c>
      <c r="K1151" t="s">
        <v>44</v>
      </c>
      <c r="L1151">
        <v>5</v>
      </c>
      <c r="M1151">
        <v>3</v>
      </c>
      <c r="N1151" t="s">
        <v>2381</v>
      </c>
      <c r="O1151" t="s">
        <v>1457</v>
      </c>
      <c r="P1151" t="s">
        <v>5294</v>
      </c>
      <c r="Q1151" t="s">
        <v>1443</v>
      </c>
      <c r="R1151" t="s">
        <v>1444</v>
      </c>
      <c r="S1151" t="s">
        <v>6001</v>
      </c>
    </row>
    <row r="1152" spans="1:19">
      <c r="A1152" t="s">
        <v>7083</v>
      </c>
      <c r="B1152" t="s">
        <v>6002</v>
      </c>
      <c r="C1152" t="s">
        <v>3968</v>
      </c>
      <c r="D1152">
        <v>245</v>
      </c>
      <c r="E1152" t="s">
        <v>1465</v>
      </c>
      <c r="F1152">
        <v>1</v>
      </c>
      <c r="G1152">
        <v>1</v>
      </c>
      <c r="I1152" t="s">
        <v>3560</v>
      </c>
      <c r="J1152" t="s">
        <v>44</v>
      </c>
      <c r="K1152" t="s">
        <v>44</v>
      </c>
      <c r="L1152">
        <v>5</v>
      </c>
      <c r="M1152">
        <v>3</v>
      </c>
      <c r="N1152" t="s">
        <v>2381</v>
      </c>
      <c r="O1152" t="s">
        <v>1457</v>
      </c>
      <c r="P1152" t="s">
        <v>5115</v>
      </c>
      <c r="Q1152" t="s">
        <v>5480</v>
      </c>
      <c r="R1152" t="s">
        <v>1444</v>
      </c>
      <c r="S1152" t="s">
        <v>6003</v>
      </c>
    </row>
    <row r="1153" spans="1:19">
      <c r="A1153" t="s">
        <v>7086</v>
      </c>
      <c r="B1153" t="s">
        <v>6009</v>
      </c>
      <c r="C1153" t="s">
        <v>3968</v>
      </c>
      <c r="D1153">
        <v>245</v>
      </c>
      <c r="E1153" t="s">
        <v>1467</v>
      </c>
      <c r="F1153">
        <v>5</v>
      </c>
      <c r="G1153">
        <v>1</v>
      </c>
      <c r="I1153" t="s">
        <v>3560</v>
      </c>
      <c r="J1153" t="s">
        <v>44</v>
      </c>
      <c r="K1153" t="s">
        <v>44</v>
      </c>
      <c r="L1153">
        <v>5</v>
      </c>
      <c r="M1153">
        <v>3</v>
      </c>
      <c r="N1153" t="s">
        <v>2381</v>
      </c>
      <c r="O1153" t="s">
        <v>1457</v>
      </c>
      <c r="P1153" t="s">
        <v>6010</v>
      </c>
      <c r="Q1153" t="s">
        <v>1473</v>
      </c>
      <c r="R1153" t="s">
        <v>5982</v>
      </c>
      <c r="S1153" t="s">
        <v>6011</v>
      </c>
    </row>
    <row r="1154" spans="1:19">
      <c r="A1154" t="s">
        <v>7087</v>
      </c>
      <c r="B1154" t="s">
        <v>6012</v>
      </c>
      <c r="C1154" t="s">
        <v>3968</v>
      </c>
      <c r="D1154">
        <v>245</v>
      </c>
      <c r="E1154" t="s">
        <v>1497</v>
      </c>
      <c r="F1154">
        <v>6</v>
      </c>
      <c r="I1154" t="s">
        <v>3560</v>
      </c>
      <c r="J1154" t="s">
        <v>44</v>
      </c>
      <c r="K1154" t="s">
        <v>44</v>
      </c>
      <c r="L1154">
        <v>5</v>
      </c>
      <c r="M1154">
        <v>3</v>
      </c>
      <c r="N1154" t="s">
        <v>2381</v>
      </c>
      <c r="O1154" t="s">
        <v>1447</v>
      </c>
      <c r="P1154" t="s">
        <v>5966</v>
      </c>
      <c r="Q1154" t="s">
        <v>1473</v>
      </c>
      <c r="R1154" t="s">
        <v>5984</v>
      </c>
      <c r="S1154" t="s">
        <v>6013</v>
      </c>
    </row>
    <row r="1155" spans="1:19">
      <c r="A1155" t="s">
        <v>7088</v>
      </c>
      <c r="B1155" t="s">
        <v>6014</v>
      </c>
      <c r="C1155" t="s">
        <v>3968</v>
      </c>
      <c r="D1155">
        <v>246</v>
      </c>
      <c r="E1155" t="s">
        <v>1465</v>
      </c>
      <c r="F1155">
        <v>1</v>
      </c>
      <c r="G1155">
        <v>1</v>
      </c>
      <c r="I1155" t="s">
        <v>3560</v>
      </c>
      <c r="J1155" t="s">
        <v>44</v>
      </c>
      <c r="K1155" t="s">
        <v>44</v>
      </c>
      <c r="L1155">
        <v>5</v>
      </c>
      <c r="M1155">
        <v>3</v>
      </c>
      <c r="N1155" t="s">
        <v>2381</v>
      </c>
      <c r="O1155" t="s">
        <v>1457</v>
      </c>
      <c r="P1155" t="s">
        <v>6015</v>
      </c>
      <c r="Q1155" t="s">
        <v>1443</v>
      </c>
      <c r="R1155" t="s">
        <v>5991</v>
      </c>
      <c r="S1155" t="s">
        <v>6016</v>
      </c>
    </row>
    <row r="1156" spans="1:19">
      <c r="A1156" t="s">
        <v>7089</v>
      </c>
      <c r="B1156" t="s">
        <v>6017</v>
      </c>
      <c r="C1156" t="s">
        <v>3968</v>
      </c>
      <c r="D1156">
        <v>246</v>
      </c>
      <c r="E1156" t="s">
        <v>1467</v>
      </c>
      <c r="F1156">
        <v>5</v>
      </c>
      <c r="G1156">
        <v>1</v>
      </c>
      <c r="I1156" t="s">
        <v>3560</v>
      </c>
      <c r="J1156" t="s">
        <v>44</v>
      </c>
      <c r="K1156" t="s">
        <v>44</v>
      </c>
      <c r="L1156">
        <v>5</v>
      </c>
      <c r="M1156">
        <v>3</v>
      </c>
      <c r="N1156" t="s">
        <v>2381</v>
      </c>
      <c r="O1156" t="s">
        <v>1457</v>
      </c>
      <c r="P1156" t="s">
        <v>6018</v>
      </c>
      <c r="Q1156" t="s">
        <v>1443</v>
      </c>
      <c r="R1156" t="s">
        <v>6014</v>
      </c>
      <c r="S1156" t="s">
        <v>6019</v>
      </c>
    </row>
    <row r="1157" spans="1:19">
      <c r="A1157" t="s">
        <v>7090</v>
      </c>
      <c r="B1157" t="s">
        <v>6020</v>
      </c>
      <c r="C1157" t="s">
        <v>3968</v>
      </c>
      <c r="D1157">
        <v>246</v>
      </c>
      <c r="E1157" t="s">
        <v>1599</v>
      </c>
      <c r="F1157">
        <v>10</v>
      </c>
      <c r="G1157">
        <v>1</v>
      </c>
      <c r="I1157" t="s">
        <v>3560</v>
      </c>
      <c r="J1157" t="s">
        <v>44</v>
      </c>
      <c r="K1157" t="s">
        <v>44</v>
      </c>
      <c r="L1157">
        <v>5</v>
      </c>
      <c r="M1157">
        <v>4</v>
      </c>
      <c r="N1157" t="s">
        <v>2396</v>
      </c>
      <c r="O1157" t="s">
        <v>1457</v>
      </c>
      <c r="P1157" t="s">
        <v>5075</v>
      </c>
      <c r="Q1157" t="s">
        <v>1443</v>
      </c>
      <c r="R1157" t="s">
        <v>6021</v>
      </c>
      <c r="S1157" t="s">
        <v>6022</v>
      </c>
    </row>
    <row r="1158" spans="1:19">
      <c r="A1158" t="s">
        <v>4704</v>
      </c>
      <c r="B1158" t="s">
        <v>1109</v>
      </c>
      <c r="C1158" t="s">
        <v>3607</v>
      </c>
      <c r="D1158" t="s">
        <v>1129</v>
      </c>
      <c r="E1158" t="s">
        <v>1511</v>
      </c>
      <c r="F1158" t="s">
        <v>1511</v>
      </c>
      <c r="I1158" t="s">
        <v>3238</v>
      </c>
      <c r="J1158" t="s">
        <v>45</v>
      </c>
      <c r="K1158" t="s">
        <v>45</v>
      </c>
      <c r="L1158">
        <v>1</v>
      </c>
      <c r="M1158">
        <v>1</v>
      </c>
      <c r="N1158" t="s">
        <v>2410</v>
      </c>
      <c r="O1158" t="s">
        <v>1513</v>
      </c>
      <c r="P1158" t="s">
        <v>1705</v>
      </c>
      <c r="Q1158" t="s">
        <v>1513</v>
      </c>
      <c r="R1158" t="s">
        <v>1444</v>
      </c>
      <c r="S1158" t="s">
        <v>2411</v>
      </c>
    </row>
    <row r="1159" spans="1:19">
      <c r="A1159" t="s">
        <v>4707</v>
      </c>
      <c r="B1159" t="s">
        <v>1104</v>
      </c>
      <c r="C1159" t="s">
        <v>3607</v>
      </c>
      <c r="D1159" t="s">
        <v>1132</v>
      </c>
      <c r="E1159" t="s">
        <v>1460</v>
      </c>
      <c r="F1159">
        <v>2</v>
      </c>
      <c r="I1159" t="s">
        <v>3238</v>
      </c>
      <c r="J1159" t="s">
        <v>45</v>
      </c>
      <c r="K1159" t="s">
        <v>45</v>
      </c>
      <c r="L1159">
        <v>1</v>
      </c>
      <c r="M1159">
        <v>1</v>
      </c>
      <c r="N1159" t="s">
        <v>2410</v>
      </c>
      <c r="O1159" t="s">
        <v>1457</v>
      </c>
      <c r="P1159" t="s">
        <v>1444</v>
      </c>
      <c r="Q1159" t="s">
        <v>1443</v>
      </c>
      <c r="R1159" t="s">
        <v>1444</v>
      </c>
      <c r="S1159" t="s">
        <v>2415</v>
      </c>
    </row>
    <row r="1160" spans="1:19">
      <c r="A1160" t="s">
        <v>4701</v>
      </c>
      <c r="B1160" t="s">
        <v>1112</v>
      </c>
      <c r="C1160" t="s">
        <v>3607</v>
      </c>
      <c r="D1160" t="s">
        <v>1113</v>
      </c>
      <c r="E1160" t="s">
        <v>1450</v>
      </c>
      <c r="F1160">
        <v>3</v>
      </c>
      <c r="I1160" t="s">
        <v>3238</v>
      </c>
      <c r="J1160" t="s">
        <v>45</v>
      </c>
      <c r="K1160" t="s">
        <v>45</v>
      </c>
      <c r="L1160">
        <v>2</v>
      </c>
      <c r="M1160">
        <v>1</v>
      </c>
      <c r="N1160" t="s">
        <v>2402</v>
      </c>
      <c r="O1160" t="s">
        <v>1447</v>
      </c>
      <c r="P1160" t="s">
        <v>1463</v>
      </c>
      <c r="Q1160" t="s">
        <v>1448</v>
      </c>
      <c r="R1160" t="s">
        <v>1444</v>
      </c>
      <c r="S1160" t="s">
        <v>2403</v>
      </c>
    </row>
    <row r="1161" spans="1:19">
      <c r="A1161" t="s">
        <v>4702</v>
      </c>
      <c r="B1161" t="s">
        <v>1128</v>
      </c>
      <c r="C1161" t="s">
        <v>3607</v>
      </c>
      <c r="D1161">
        <v>374</v>
      </c>
      <c r="E1161" t="s">
        <v>2404</v>
      </c>
      <c r="F1161" t="s">
        <v>2404</v>
      </c>
      <c r="I1161" t="s">
        <v>3238</v>
      </c>
      <c r="J1161" t="s">
        <v>45</v>
      </c>
      <c r="K1161" t="s">
        <v>45</v>
      </c>
      <c r="L1161">
        <v>2</v>
      </c>
      <c r="M1161">
        <v>1</v>
      </c>
      <c r="N1161" t="s">
        <v>2402</v>
      </c>
      <c r="O1161" t="s">
        <v>1447</v>
      </c>
      <c r="P1161" t="s">
        <v>1454</v>
      </c>
      <c r="Q1161" t="s">
        <v>1443</v>
      </c>
      <c r="R1161" t="s">
        <v>1112</v>
      </c>
      <c r="S1161" t="s">
        <v>2405</v>
      </c>
    </row>
    <row r="1162" spans="1:19">
      <c r="A1162" t="s">
        <v>4705</v>
      </c>
      <c r="B1162" t="s">
        <v>1108</v>
      </c>
      <c r="C1162" t="s">
        <v>3607</v>
      </c>
      <c r="D1162">
        <v>379</v>
      </c>
      <c r="E1162" t="s">
        <v>1945</v>
      </c>
      <c r="F1162">
        <v>10</v>
      </c>
      <c r="I1162" t="s">
        <v>3238</v>
      </c>
      <c r="J1162" t="s">
        <v>45</v>
      </c>
      <c r="K1162" t="s">
        <v>45</v>
      </c>
      <c r="L1162">
        <v>2</v>
      </c>
      <c r="M1162">
        <v>1</v>
      </c>
      <c r="N1162" t="s">
        <v>2402</v>
      </c>
      <c r="O1162" t="s">
        <v>1457</v>
      </c>
      <c r="P1162" t="s">
        <v>1523</v>
      </c>
      <c r="Q1162" t="s">
        <v>1443</v>
      </c>
      <c r="R1162" t="s">
        <v>1109</v>
      </c>
      <c r="S1162" t="s">
        <v>2412</v>
      </c>
    </row>
    <row r="1163" spans="1:19">
      <c r="A1163" t="s">
        <v>4727</v>
      </c>
      <c r="B1163" t="s">
        <v>3799</v>
      </c>
      <c r="C1163" t="s">
        <v>3602</v>
      </c>
      <c r="D1163">
        <v>27</v>
      </c>
      <c r="E1163" t="s">
        <v>1450</v>
      </c>
      <c r="F1163">
        <v>3</v>
      </c>
      <c r="I1163" t="s">
        <v>3238</v>
      </c>
      <c r="J1163" t="s">
        <v>45</v>
      </c>
      <c r="K1163" t="s">
        <v>45</v>
      </c>
      <c r="L1163">
        <v>2</v>
      </c>
      <c r="M1163">
        <v>1</v>
      </c>
      <c r="N1163" t="s">
        <v>2402</v>
      </c>
      <c r="O1163" t="s">
        <v>1447</v>
      </c>
      <c r="P1163" t="s">
        <v>1444</v>
      </c>
      <c r="Q1163" t="s">
        <v>1443</v>
      </c>
      <c r="R1163" t="s">
        <v>1104</v>
      </c>
      <c r="S1163" t="s">
        <v>3800</v>
      </c>
    </row>
    <row r="1164" spans="1:19">
      <c r="A1164" t="s">
        <v>4703</v>
      </c>
      <c r="B1164" t="s">
        <v>1126</v>
      </c>
      <c r="C1164" t="s">
        <v>3607</v>
      </c>
      <c r="D1164" t="s">
        <v>1127</v>
      </c>
      <c r="E1164" t="s">
        <v>2406</v>
      </c>
      <c r="F1164">
        <v>2</v>
      </c>
      <c r="H1164" t="s">
        <v>3798</v>
      </c>
      <c r="I1164" t="s">
        <v>3238</v>
      </c>
      <c r="J1164" t="s">
        <v>45</v>
      </c>
      <c r="K1164" t="s">
        <v>45</v>
      </c>
      <c r="L1164">
        <v>3</v>
      </c>
      <c r="M1164">
        <v>1</v>
      </c>
      <c r="N1164" t="s">
        <v>2407</v>
      </c>
      <c r="O1164" t="s">
        <v>1447</v>
      </c>
      <c r="P1164" t="s">
        <v>1463</v>
      </c>
      <c r="Q1164" t="s">
        <v>2408</v>
      </c>
      <c r="R1164" t="s">
        <v>1128</v>
      </c>
      <c r="S1164" t="s">
        <v>2409</v>
      </c>
    </row>
    <row r="1165" spans="1:19">
      <c r="A1165" t="s">
        <v>4706</v>
      </c>
      <c r="B1165" t="s">
        <v>2413</v>
      </c>
      <c r="C1165" t="s">
        <v>3607</v>
      </c>
      <c r="D1165" t="s">
        <v>1115</v>
      </c>
      <c r="E1165" t="s">
        <v>1554</v>
      </c>
      <c r="F1165">
        <v>4</v>
      </c>
      <c r="I1165" t="s">
        <v>3238</v>
      </c>
      <c r="J1165" t="s">
        <v>45</v>
      </c>
      <c r="K1165" t="s">
        <v>45</v>
      </c>
      <c r="L1165">
        <v>3</v>
      </c>
      <c r="M1165">
        <v>1</v>
      </c>
      <c r="N1165" t="s">
        <v>2407</v>
      </c>
      <c r="O1165" t="s">
        <v>1457</v>
      </c>
      <c r="P1165" t="s">
        <v>1620</v>
      </c>
      <c r="Q1165" t="s">
        <v>1443</v>
      </c>
      <c r="R1165" t="s">
        <v>1109</v>
      </c>
      <c r="S1165" t="s">
        <v>2414</v>
      </c>
    </row>
    <row r="1166" spans="1:19">
      <c r="A1166" t="s">
        <v>4708</v>
      </c>
      <c r="B1166" t="s">
        <v>2416</v>
      </c>
      <c r="C1166" t="s">
        <v>3607</v>
      </c>
      <c r="D1166" t="s">
        <v>1103</v>
      </c>
      <c r="E1166" t="s">
        <v>2417</v>
      </c>
      <c r="F1166">
        <v>4</v>
      </c>
      <c r="H1166" t="s">
        <v>3798</v>
      </c>
      <c r="I1166" t="s">
        <v>3238</v>
      </c>
      <c r="J1166" t="s">
        <v>45</v>
      </c>
      <c r="K1166" t="s">
        <v>45</v>
      </c>
      <c r="L1166">
        <v>3</v>
      </c>
      <c r="M1166">
        <v>1</v>
      </c>
      <c r="N1166" t="s">
        <v>2407</v>
      </c>
      <c r="O1166" t="s">
        <v>1447</v>
      </c>
      <c r="P1166" t="s">
        <v>1444</v>
      </c>
      <c r="Q1166" t="s">
        <v>1547</v>
      </c>
      <c r="R1166" t="s">
        <v>1104</v>
      </c>
      <c r="S1166" t="s">
        <v>2418</v>
      </c>
    </row>
    <row r="1167" spans="1:19">
      <c r="A1167" t="s">
        <v>4709</v>
      </c>
      <c r="B1167" t="s">
        <v>1130</v>
      </c>
      <c r="C1167" t="s">
        <v>3607</v>
      </c>
      <c r="D1167" t="s">
        <v>1115</v>
      </c>
      <c r="E1167" t="s">
        <v>1450</v>
      </c>
      <c r="F1167">
        <v>3</v>
      </c>
      <c r="I1167" t="s">
        <v>3238</v>
      </c>
      <c r="J1167" t="s">
        <v>45</v>
      </c>
      <c r="K1167" t="s">
        <v>45</v>
      </c>
      <c r="L1167">
        <v>3</v>
      </c>
      <c r="M1167">
        <v>1</v>
      </c>
      <c r="N1167" t="s">
        <v>2407</v>
      </c>
      <c r="O1167" t="s">
        <v>1447</v>
      </c>
      <c r="P1167" t="s">
        <v>1444</v>
      </c>
      <c r="Q1167" t="s">
        <v>1473</v>
      </c>
      <c r="R1167" t="s">
        <v>1444</v>
      </c>
      <c r="S1167" t="s">
        <v>2419</v>
      </c>
    </row>
    <row r="1168" spans="1:19">
      <c r="A1168" t="s">
        <v>4710</v>
      </c>
      <c r="B1168" t="s">
        <v>1114</v>
      </c>
      <c r="C1168" t="s">
        <v>3607</v>
      </c>
      <c r="D1168" t="s">
        <v>1103</v>
      </c>
      <c r="E1168" t="s">
        <v>2420</v>
      </c>
      <c r="F1168" t="s">
        <v>2420</v>
      </c>
      <c r="I1168" t="s">
        <v>3238</v>
      </c>
      <c r="J1168" t="s">
        <v>45</v>
      </c>
      <c r="K1168" t="s">
        <v>45</v>
      </c>
      <c r="L1168">
        <v>3</v>
      </c>
      <c r="M1168">
        <v>1</v>
      </c>
      <c r="N1168" t="s">
        <v>2407</v>
      </c>
      <c r="O1168" t="s">
        <v>1447</v>
      </c>
      <c r="P1168" t="s">
        <v>1480</v>
      </c>
      <c r="Q1168" t="s">
        <v>1443</v>
      </c>
      <c r="R1168" t="s">
        <v>1444</v>
      </c>
      <c r="S1168" t="s">
        <v>2421</v>
      </c>
    </row>
    <row r="1169" spans="1:19">
      <c r="A1169" t="s">
        <v>4715</v>
      </c>
      <c r="B1169" t="s">
        <v>1119</v>
      </c>
      <c r="C1169" t="s">
        <v>3607</v>
      </c>
      <c r="D1169" t="s">
        <v>1120</v>
      </c>
      <c r="E1169" t="s">
        <v>1450</v>
      </c>
      <c r="F1169">
        <v>3</v>
      </c>
      <c r="I1169" t="s">
        <v>3238</v>
      </c>
      <c r="J1169" t="s">
        <v>45</v>
      </c>
      <c r="K1169" t="s">
        <v>45</v>
      </c>
      <c r="L1169">
        <v>3</v>
      </c>
      <c r="M1169">
        <v>2</v>
      </c>
      <c r="N1169" t="s">
        <v>2431</v>
      </c>
      <c r="O1169" t="s">
        <v>1447</v>
      </c>
      <c r="P1169" t="s">
        <v>1444</v>
      </c>
      <c r="Q1169" t="s">
        <v>1443</v>
      </c>
      <c r="R1169" t="s">
        <v>1104</v>
      </c>
      <c r="S1169" t="s">
        <v>2432</v>
      </c>
    </row>
    <row r="1170" spans="1:19">
      <c r="A1170" t="s">
        <v>4711</v>
      </c>
      <c r="B1170" t="s">
        <v>1110</v>
      </c>
      <c r="C1170" t="s">
        <v>3607</v>
      </c>
      <c r="D1170" t="s">
        <v>1111</v>
      </c>
      <c r="E1170" t="s">
        <v>1541</v>
      </c>
      <c r="F1170">
        <v>5</v>
      </c>
      <c r="I1170" t="s">
        <v>3238</v>
      </c>
      <c r="J1170" t="s">
        <v>45</v>
      </c>
      <c r="K1170" t="s">
        <v>45</v>
      </c>
      <c r="L1170">
        <v>4</v>
      </c>
      <c r="M1170">
        <v>2</v>
      </c>
      <c r="N1170" t="s">
        <v>2422</v>
      </c>
      <c r="O1170" t="s">
        <v>1457</v>
      </c>
      <c r="P1170" t="s">
        <v>1463</v>
      </c>
      <c r="Q1170" t="s">
        <v>1473</v>
      </c>
      <c r="R1170" t="s">
        <v>1126</v>
      </c>
      <c r="S1170" t="s">
        <v>2423</v>
      </c>
    </row>
    <row r="1171" spans="1:19">
      <c r="A1171" t="s">
        <v>4712</v>
      </c>
      <c r="B1171" t="s">
        <v>1125</v>
      </c>
      <c r="C1171" t="s">
        <v>3607</v>
      </c>
      <c r="D1171">
        <v>377</v>
      </c>
      <c r="E1171" t="s">
        <v>1497</v>
      </c>
      <c r="F1171">
        <v>6</v>
      </c>
      <c r="I1171" t="s">
        <v>3238</v>
      </c>
      <c r="J1171" t="s">
        <v>45</v>
      </c>
      <c r="K1171" t="s">
        <v>45</v>
      </c>
      <c r="L1171">
        <v>4</v>
      </c>
      <c r="M1171">
        <v>2</v>
      </c>
      <c r="N1171" t="s">
        <v>2422</v>
      </c>
      <c r="O1171" t="s">
        <v>1447</v>
      </c>
      <c r="P1171" t="s">
        <v>1454</v>
      </c>
      <c r="Q1171" t="s">
        <v>1600</v>
      </c>
      <c r="R1171" t="s">
        <v>1126</v>
      </c>
      <c r="S1171" t="s">
        <v>2424</v>
      </c>
    </row>
    <row r="1172" spans="1:19">
      <c r="A1172" t="s">
        <v>4716</v>
      </c>
      <c r="B1172" t="s">
        <v>1121</v>
      </c>
      <c r="C1172" t="s">
        <v>3607</v>
      </c>
      <c r="D1172" t="s">
        <v>1122</v>
      </c>
      <c r="E1172" t="s">
        <v>1554</v>
      </c>
      <c r="F1172">
        <v>4</v>
      </c>
      <c r="I1172" t="s">
        <v>3238</v>
      </c>
      <c r="J1172" t="s">
        <v>45</v>
      </c>
      <c r="K1172" t="s">
        <v>45</v>
      </c>
      <c r="L1172">
        <v>4</v>
      </c>
      <c r="M1172">
        <v>2</v>
      </c>
      <c r="N1172" t="s">
        <v>2422</v>
      </c>
      <c r="O1172" t="s">
        <v>1447</v>
      </c>
      <c r="P1172" t="s">
        <v>1444</v>
      </c>
      <c r="Q1172" t="s">
        <v>1804</v>
      </c>
      <c r="R1172" t="s">
        <v>1130</v>
      </c>
      <c r="S1172" t="s">
        <v>2433</v>
      </c>
    </row>
    <row r="1173" spans="1:19">
      <c r="A1173" t="s">
        <v>4717</v>
      </c>
      <c r="B1173" t="s">
        <v>1133</v>
      </c>
      <c r="C1173" t="s">
        <v>3607</v>
      </c>
      <c r="D1173" t="s">
        <v>1134</v>
      </c>
      <c r="E1173" t="s">
        <v>2434</v>
      </c>
      <c r="F1173" t="s">
        <v>2434</v>
      </c>
      <c r="I1173" t="s">
        <v>3238</v>
      </c>
      <c r="J1173" t="s">
        <v>45</v>
      </c>
      <c r="K1173" t="s">
        <v>45</v>
      </c>
      <c r="L1173">
        <v>4</v>
      </c>
      <c r="M1173">
        <v>2</v>
      </c>
      <c r="N1173" t="s">
        <v>2422</v>
      </c>
      <c r="O1173" t="s">
        <v>1447</v>
      </c>
      <c r="P1173" t="s">
        <v>2206</v>
      </c>
      <c r="Q1173" t="s">
        <v>1443</v>
      </c>
      <c r="R1173" t="s">
        <v>1114</v>
      </c>
      <c r="S1173" t="s">
        <v>2435</v>
      </c>
    </row>
    <row r="1174" spans="1:19">
      <c r="A1174" t="s">
        <v>4722</v>
      </c>
      <c r="B1174" t="s">
        <v>1117</v>
      </c>
      <c r="C1174" t="s">
        <v>3607</v>
      </c>
      <c r="D1174" t="s">
        <v>1118</v>
      </c>
      <c r="E1174" t="s">
        <v>1599</v>
      </c>
      <c r="F1174">
        <v>10</v>
      </c>
      <c r="G1174">
        <v>1</v>
      </c>
      <c r="I1174" t="s">
        <v>3238</v>
      </c>
      <c r="J1174" t="s">
        <v>45</v>
      </c>
      <c r="K1174" t="s">
        <v>45</v>
      </c>
      <c r="L1174">
        <v>4</v>
      </c>
      <c r="M1174">
        <v>3</v>
      </c>
      <c r="N1174" t="s">
        <v>2444</v>
      </c>
      <c r="O1174" t="s">
        <v>1457</v>
      </c>
      <c r="P1174" t="s">
        <v>1444</v>
      </c>
      <c r="Q1174" t="s">
        <v>1547</v>
      </c>
      <c r="R1174" t="s">
        <v>2445</v>
      </c>
      <c r="S1174" t="s">
        <v>2446</v>
      </c>
    </row>
    <row r="1175" spans="1:19">
      <c r="A1175" t="s">
        <v>4728</v>
      </c>
      <c r="B1175" t="s">
        <v>3801</v>
      </c>
      <c r="C1175" t="s">
        <v>3602</v>
      </c>
      <c r="D1175">
        <v>28</v>
      </c>
      <c r="E1175" t="s">
        <v>1541</v>
      </c>
      <c r="F1175">
        <v>5</v>
      </c>
      <c r="I1175" t="s">
        <v>3238</v>
      </c>
      <c r="J1175" t="s">
        <v>45</v>
      </c>
      <c r="K1175" t="s">
        <v>45</v>
      </c>
      <c r="L1175">
        <v>4</v>
      </c>
      <c r="M1175">
        <v>2</v>
      </c>
      <c r="N1175" t="s">
        <v>2422</v>
      </c>
      <c r="O1175" t="s">
        <v>1457</v>
      </c>
      <c r="P1175" t="s">
        <v>3802</v>
      </c>
      <c r="Q1175" t="s">
        <v>1473</v>
      </c>
      <c r="R1175" t="s">
        <v>1126</v>
      </c>
      <c r="S1175" t="s">
        <v>3803</v>
      </c>
    </row>
    <row r="1176" spans="1:19">
      <c r="A1176" t="s">
        <v>4713</v>
      </c>
      <c r="B1176" t="s">
        <v>1100</v>
      </c>
      <c r="C1176" t="s">
        <v>3607</v>
      </c>
      <c r="D1176" t="s">
        <v>1101</v>
      </c>
      <c r="E1176" t="s">
        <v>1692</v>
      </c>
      <c r="F1176">
        <v>8</v>
      </c>
      <c r="I1176" t="s">
        <v>3238</v>
      </c>
      <c r="J1176" t="s">
        <v>45</v>
      </c>
      <c r="K1176" t="s">
        <v>45</v>
      </c>
      <c r="L1176">
        <v>5</v>
      </c>
      <c r="M1176">
        <v>2</v>
      </c>
      <c r="N1176" t="s">
        <v>2425</v>
      </c>
      <c r="O1176" t="s">
        <v>1447</v>
      </c>
      <c r="P1176" t="s">
        <v>1452</v>
      </c>
      <c r="Q1176" t="s">
        <v>1443</v>
      </c>
      <c r="R1176" t="s">
        <v>2426</v>
      </c>
      <c r="S1176" t="s">
        <v>2427</v>
      </c>
    </row>
    <row r="1177" spans="1:19">
      <c r="A1177" t="s">
        <v>4714</v>
      </c>
      <c r="B1177" t="s">
        <v>2428</v>
      </c>
      <c r="C1177" t="s">
        <v>3607</v>
      </c>
      <c r="D1177" t="s">
        <v>1120</v>
      </c>
      <c r="E1177" t="s">
        <v>1511</v>
      </c>
      <c r="F1177" t="s">
        <v>1511</v>
      </c>
      <c r="I1177" t="s">
        <v>3238</v>
      </c>
      <c r="J1177" t="s">
        <v>45</v>
      </c>
      <c r="K1177" t="s">
        <v>45</v>
      </c>
      <c r="L1177">
        <v>5</v>
      </c>
      <c r="M1177">
        <v>2</v>
      </c>
      <c r="N1177" t="s">
        <v>2425</v>
      </c>
      <c r="O1177" t="s">
        <v>1513</v>
      </c>
      <c r="P1177" t="s">
        <v>1444</v>
      </c>
      <c r="Q1177" t="s">
        <v>1513</v>
      </c>
      <c r="R1177" t="s">
        <v>2429</v>
      </c>
      <c r="S1177" t="s">
        <v>2430</v>
      </c>
    </row>
    <row r="1178" spans="1:19">
      <c r="A1178" t="s">
        <v>4718</v>
      </c>
      <c r="B1178" t="s">
        <v>1105</v>
      </c>
      <c r="C1178" t="s">
        <v>3607</v>
      </c>
      <c r="D1178" t="s">
        <v>1106</v>
      </c>
      <c r="E1178" t="s">
        <v>1541</v>
      </c>
      <c r="F1178">
        <v>5</v>
      </c>
      <c r="I1178" t="s">
        <v>3238</v>
      </c>
      <c r="J1178" t="s">
        <v>45</v>
      </c>
      <c r="K1178" t="s">
        <v>45</v>
      </c>
      <c r="L1178">
        <v>5</v>
      </c>
      <c r="M1178">
        <v>2</v>
      </c>
      <c r="N1178" t="s">
        <v>2425</v>
      </c>
      <c r="O1178" t="s">
        <v>1457</v>
      </c>
      <c r="P1178" t="s">
        <v>1444</v>
      </c>
      <c r="Q1178" t="s">
        <v>1473</v>
      </c>
      <c r="R1178" t="s">
        <v>1133</v>
      </c>
      <c r="S1178" s="18" t="s">
        <v>2436</v>
      </c>
    </row>
    <row r="1179" spans="1:19">
      <c r="A1179" t="s">
        <v>4719</v>
      </c>
      <c r="B1179" t="s">
        <v>1135</v>
      </c>
      <c r="C1179" t="s">
        <v>3607</v>
      </c>
      <c r="D1179">
        <v>378</v>
      </c>
      <c r="E1179" t="s">
        <v>2437</v>
      </c>
      <c r="F1179" t="s">
        <v>2437</v>
      </c>
      <c r="I1179" t="s">
        <v>3238</v>
      </c>
      <c r="J1179" t="s">
        <v>45</v>
      </c>
      <c r="K1179" t="s">
        <v>45</v>
      </c>
      <c r="L1179">
        <v>5</v>
      </c>
      <c r="M1179">
        <v>3</v>
      </c>
      <c r="N1179" t="s">
        <v>2438</v>
      </c>
      <c r="O1179" t="s">
        <v>1457</v>
      </c>
      <c r="P1179" t="s">
        <v>1444</v>
      </c>
      <c r="Q1179" t="s">
        <v>2439</v>
      </c>
      <c r="R1179" t="s">
        <v>2428</v>
      </c>
      <c r="S1179" t="s">
        <v>2440</v>
      </c>
    </row>
    <row r="1180" spans="1:19">
      <c r="A1180" t="s">
        <v>4720</v>
      </c>
      <c r="B1180" t="s">
        <v>2441</v>
      </c>
      <c r="C1180" t="s">
        <v>3607</v>
      </c>
      <c r="D1180">
        <v>378</v>
      </c>
      <c r="E1180" t="s">
        <v>1450</v>
      </c>
      <c r="F1180">
        <v>3</v>
      </c>
      <c r="I1180" t="s">
        <v>3238</v>
      </c>
      <c r="J1180" t="s">
        <v>45</v>
      </c>
      <c r="K1180" t="s">
        <v>45</v>
      </c>
      <c r="L1180">
        <v>5</v>
      </c>
      <c r="M1180">
        <v>3</v>
      </c>
      <c r="N1180" t="s">
        <v>2438</v>
      </c>
      <c r="O1180" t="s">
        <v>1447</v>
      </c>
      <c r="P1180" t="s">
        <v>1444</v>
      </c>
      <c r="Q1180" t="s">
        <v>1443</v>
      </c>
      <c r="R1180" t="s">
        <v>1135</v>
      </c>
      <c r="S1180" t="s">
        <v>2442</v>
      </c>
    </row>
    <row r="1181" spans="1:19">
      <c r="A1181" t="s">
        <v>4721</v>
      </c>
      <c r="B1181" s="18" t="s">
        <v>1131</v>
      </c>
      <c r="C1181" t="s">
        <v>3607</v>
      </c>
      <c r="D1181">
        <v>378</v>
      </c>
      <c r="E1181" t="s">
        <v>1554</v>
      </c>
      <c r="F1181">
        <v>4</v>
      </c>
      <c r="I1181" t="s">
        <v>3238</v>
      </c>
      <c r="J1181" t="s">
        <v>45</v>
      </c>
      <c r="K1181" t="s">
        <v>45</v>
      </c>
      <c r="L1181">
        <v>5</v>
      </c>
      <c r="M1181">
        <v>3</v>
      </c>
      <c r="N1181" t="s">
        <v>2438</v>
      </c>
      <c r="O1181" t="s">
        <v>1447</v>
      </c>
      <c r="P1181" t="s">
        <v>1452</v>
      </c>
      <c r="Q1181" t="s">
        <v>1443</v>
      </c>
      <c r="R1181" t="s">
        <v>1100</v>
      </c>
      <c r="S1181" s="18" t="s">
        <v>2443</v>
      </c>
    </row>
    <row r="1182" spans="1:19">
      <c r="A1182" t="s">
        <v>4723</v>
      </c>
      <c r="B1182" t="s">
        <v>1123</v>
      </c>
      <c r="C1182" t="s">
        <v>3607</v>
      </c>
      <c r="D1182" t="s">
        <v>1124</v>
      </c>
      <c r="E1182" t="s">
        <v>1479</v>
      </c>
      <c r="F1182">
        <v>6</v>
      </c>
      <c r="G1182">
        <v>1</v>
      </c>
      <c r="I1182" t="s">
        <v>3238</v>
      </c>
      <c r="J1182" t="s">
        <v>45</v>
      </c>
      <c r="K1182" t="s">
        <v>45</v>
      </c>
      <c r="L1182">
        <v>5</v>
      </c>
      <c r="M1182">
        <v>3</v>
      </c>
      <c r="N1182" t="s">
        <v>2438</v>
      </c>
      <c r="O1182" t="s">
        <v>1447</v>
      </c>
      <c r="P1182" t="s">
        <v>1444</v>
      </c>
      <c r="Q1182" t="s">
        <v>1804</v>
      </c>
      <c r="R1182" t="s">
        <v>1121</v>
      </c>
      <c r="S1182" t="s">
        <v>2447</v>
      </c>
    </row>
    <row r="1183" spans="1:19">
      <c r="A1183" t="s">
        <v>4724</v>
      </c>
      <c r="B1183" t="s">
        <v>1116</v>
      </c>
      <c r="C1183" t="s">
        <v>3607</v>
      </c>
      <c r="D1183">
        <v>379</v>
      </c>
      <c r="E1183" t="s">
        <v>1476</v>
      </c>
      <c r="F1183">
        <v>3</v>
      </c>
      <c r="G1183">
        <v>1</v>
      </c>
      <c r="I1183" t="s">
        <v>3238</v>
      </c>
      <c r="J1183" t="s">
        <v>45</v>
      </c>
      <c r="K1183" t="s">
        <v>45</v>
      </c>
      <c r="L1183">
        <v>5</v>
      </c>
      <c r="M1183">
        <v>3</v>
      </c>
      <c r="N1183" t="s">
        <v>2438</v>
      </c>
      <c r="O1183" t="s">
        <v>1447</v>
      </c>
      <c r="P1183" t="s">
        <v>1452</v>
      </c>
      <c r="Q1183" t="s">
        <v>1443</v>
      </c>
      <c r="R1183" t="s">
        <v>1133</v>
      </c>
      <c r="S1183" t="s">
        <v>2448</v>
      </c>
    </row>
    <row r="1184" spans="1:19">
      <c r="A1184" t="s">
        <v>4725</v>
      </c>
      <c r="B1184" t="s">
        <v>1107</v>
      </c>
      <c r="C1184" t="s">
        <v>3607</v>
      </c>
      <c r="D1184">
        <v>379</v>
      </c>
      <c r="E1184" t="s">
        <v>1599</v>
      </c>
      <c r="F1184">
        <v>10</v>
      </c>
      <c r="G1184">
        <v>1</v>
      </c>
      <c r="I1184" t="s">
        <v>3238</v>
      </c>
      <c r="J1184" t="s">
        <v>45</v>
      </c>
      <c r="K1184" t="s">
        <v>45</v>
      </c>
      <c r="L1184">
        <v>5</v>
      </c>
      <c r="M1184">
        <v>3</v>
      </c>
      <c r="N1184" t="s">
        <v>2438</v>
      </c>
      <c r="O1184" t="s">
        <v>1457</v>
      </c>
      <c r="P1184" t="s">
        <v>1444</v>
      </c>
      <c r="Q1184" t="s">
        <v>1473</v>
      </c>
      <c r="R1184" t="s">
        <v>1105</v>
      </c>
      <c r="S1184" t="s">
        <v>2449</v>
      </c>
    </row>
    <row r="1185" spans="1:19">
      <c r="A1185" t="s">
        <v>4726</v>
      </c>
      <c r="B1185" t="s">
        <v>1102</v>
      </c>
      <c r="C1185" t="s">
        <v>3607</v>
      </c>
      <c r="D1185">
        <v>380</v>
      </c>
      <c r="E1185" t="s">
        <v>1511</v>
      </c>
      <c r="F1185" t="s">
        <v>1511</v>
      </c>
      <c r="I1185" t="s">
        <v>3238</v>
      </c>
      <c r="J1185" t="s">
        <v>45</v>
      </c>
      <c r="K1185" t="s">
        <v>45</v>
      </c>
      <c r="L1185">
        <v>5</v>
      </c>
      <c r="M1185">
        <v>5</v>
      </c>
      <c r="N1185" t="s">
        <v>2450</v>
      </c>
      <c r="O1185" t="s">
        <v>1513</v>
      </c>
      <c r="P1185" t="s">
        <v>2222</v>
      </c>
      <c r="Q1185" t="s">
        <v>1513</v>
      </c>
      <c r="R1185" t="s">
        <v>1100</v>
      </c>
      <c r="S1185" t="s">
        <v>2451</v>
      </c>
    </row>
    <row r="1186" spans="1:19">
      <c r="A1186" t="s">
        <v>4729</v>
      </c>
      <c r="B1186" t="s">
        <v>3804</v>
      </c>
      <c r="C1186" t="s">
        <v>3602</v>
      </c>
      <c r="D1186">
        <v>28</v>
      </c>
      <c r="E1186" t="s">
        <v>1476</v>
      </c>
      <c r="F1186">
        <v>3</v>
      </c>
      <c r="G1186">
        <v>1</v>
      </c>
      <c r="I1186" t="s">
        <v>3238</v>
      </c>
      <c r="J1186" t="s">
        <v>45</v>
      </c>
      <c r="K1186" t="s">
        <v>45</v>
      </c>
      <c r="L1186">
        <v>5</v>
      </c>
      <c r="M1186">
        <v>4</v>
      </c>
      <c r="N1186" t="s">
        <v>3805</v>
      </c>
      <c r="O1186" t="s">
        <v>1447</v>
      </c>
      <c r="P1186" t="s">
        <v>1463</v>
      </c>
      <c r="Q1186" t="s">
        <v>1473</v>
      </c>
      <c r="R1186" t="s">
        <v>1131</v>
      </c>
      <c r="S1186" t="s">
        <v>3806</v>
      </c>
    </row>
    <row r="1187" spans="1:19">
      <c r="A1187" t="s">
        <v>7091</v>
      </c>
      <c r="B1187" t="s">
        <v>1109</v>
      </c>
      <c r="C1187" t="s">
        <v>3968</v>
      </c>
      <c r="D1187">
        <v>246</v>
      </c>
      <c r="E1187" t="s">
        <v>3687</v>
      </c>
      <c r="I1187" t="s">
        <v>3560</v>
      </c>
      <c r="J1187" t="s">
        <v>45</v>
      </c>
      <c r="K1187" t="s">
        <v>45</v>
      </c>
      <c r="L1187">
        <v>1</v>
      </c>
      <c r="M1187">
        <v>1</v>
      </c>
      <c r="N1187" t="s">
        <v>2410</v>
      </c>
      <c r="O1187" t="s">
        <v>1513</v>
      </c>
      <c r="P1187" t="s">
        <v>1444</v>
      </c>
      <c r="Q1187" t="s">
        <v>1513</v>
      </c>
      <c r="R1187" t="s">
        <v>1444</v>
      </c>
      <c r="S1187" t="s">
        <v>6023</v>
      </c>
    </row>
    <row r="1188" spans="1:19">
      <c r="A1188" t="s">
        <v>7092</v>
      </c>
      <c r="B1188" t="s">
        <v>6024</v>
      </c>
      <c r="C1188" t="s">
        <v>3968</v>
      </c>
      <c r="D1188">
        <v>246</v>
      </c>
      <c r="E1188" t="s">
        <v>5071</v>
      </c>
      <c r="F1188">
        <v>2</v>
      </c>
      <c r="I1188" t="s">
        <v>3560</v>
      </c>
      <c r="J1188" t="s">
        <v>45</v>
      </c>
      <c r="K1188" t="s">
        <v>45</v>
      </c>
      <c r="L1188">
        <v>1</v>
      </c>
      <c r="M1188">
        <v>1</v>
      </c>
      <c r="N1188" t="s">
        <v>2410</v>
      </c>
      <c r="O1188" t="s">
        <v>1447</v>
      </c>
      <c r="P1188" t="s">
        <v>5129</v>
      </c>
      <c r="Q1188" t="s">
        <v>1443</v>
      </c>
      <c r="R1188" t="s">
        <v>1444</v>
      </c>
      <c r="S1188" t="s">
        <v>6025</v>
      </c>
    </row>
    <row r="1189" spans="1:19">
      <c r="A1189" t="s">
        <v>7094</v>
      </c>
      <c r="B1189" t="s">
        <v>6029</v>
      </c>
      <c r="C1189" t="s">
        <v>3968</v>
      </c>
      <c r="D1189">
        <v>247</v>
      </c>
      <c r="E1189" t="s">
        <v>1460</v>
      </c>
      <c r="F1189">
        <v>2</v>
      </c>
      <c r="I1189" t="s">
        <v>3560</v>
      </c>
      <c r="J1189" t="s">
        <v>45</v>
      </c>
      <c r="K1189" t="s">
        <v>45</v>
      </c>
      <c r="L1189">
        <v>1</v>
      </c>
      <c r="M1189">
        <v>1</v>
      </c>
      <c r="N1189" t="s">
        <v>2410</v>
      </c>
      <c r="O1189" t="s">
        <v>1457</v>
      </c>
      <c r="P1189" t="s">
        <v>5083</v>
      </c>
      <c r="Q1189" t="s">
        <v>1723</v>
      </c>
      <c r="R1189" t="s">
        <v>1444</v>
      </c>
      <c r="S1189" t="s">
        <v>6030</v>
      </c>
    </row>
    <row r="1190" spans="1:19">
      <c r="A1190" t="s">
        <v>7095</v>
      </c>
      <c r="B1190" t="s">
        <v>6031</v>
      </c>
      <c r="C1190" t="s">
        <v>3968</v>
      </c>
      <c r="D1190">
        <v>197</v>
      </c>
      <c r="E1190" t="s">
        <v>1460</v>
      </c>
      <c r="F1190">
        <v>2</v>
      </c>
      <c r="I1190" t="s">
        <v>3560</v>
      </c>
      <c r="J1190" t="s">
        <v>45</v>
      </c>
      <c r="K1190" t="s">
        <v>45</v>
      </c>
      <c r="L1190">
        <v>2</v>
      </c>
      <c r="M1190">
        <v>1</v>
      </c>
      <c r="N1190" t="s">
        <v>2402</v>
      </c>
      <c r="O1190" t="s">
        <v>1457</v>
      </c>
      <c r="P1190" t="s">
        <v>5083</v>
      </c>
      <c r="Q1190" t="s">
        <v>1804</v>
      </c>
      <c r="R1190" t="s">
        <v>6029</v>
      </c>
      <c r="S1190" t="s">
        <v>6032</v>
      </c>
    </row>
    <row r="1191" spans="1:19">
      <c r="A1191" t="s">
        <v>7096</v>
      </c>
      <c r="B1191" t="s">
        <v>6033</v>
      </c>
      <c r="C1191" t="s">
        <v>3968</v>
      </c>
      <c r="D1191">
        <v>247</v>
      </c>
      <c r="E1191" t="s">
        <v>1554</v>
      </c>
      <c r="F1191">
        <v>4</v>
      </c>
      <c r="I1191" t="s">
        <v>3560</v>
      </c>
      <c r="J1191" t="s">
        <v>45</v>
      </c>
      <c r="K1191" t="s">
        <v>45</v>
      </c>
      <c r="L1191">
        <v>2</v>
      </c>
      <c r="M1191">
        <v>1</v>
      </c>
      <c r="N1191" t="s">
        <v>2402</v>
      </c>
      <c r="O1191" t="s">
        <v>1447</v>
      </c>
      <c r="P1191" t="s">
        <v>6034</v>
      </c>
      <c r="Q1191" t="s">
        <v>1443</v>
      </c>
      <c r="R1191" t="s">
        <v>1444</v>
      </c>
      <c r="S1191" t="s">
        <v>6035</v>
      </c>
    </row>
    <row r="1192" spans="1:19">
      <c r="A1192" t="s">
        <v>7097</v>
      </c>
      <c r="B1192" t="s">
        <v>6036</v>
      </c>
      <c r="C1192" t="s">
        <v>3968</v>
      </c>
      <c r="D1192">
        <v>247</v>
      </c>
      <c r="E1192" t="s">
        <v>1460</v>
      </c>
      <c r="F1192">
        <v>2</v>
      </c>
      <c r="I1192" t="s">
        <v>3560</v>
      </c>
      <c r="J1192" t="s">
        <v>45</v>
      </c>
      <c r="K1192" t="s">
        <v>45</v>
      </c>
      <c r="L1192">
        <v>2</v>
      </c>
      <c r="M1192">
        <v>1</v>
      </c>
      <c r="N1192" t="s">
        <v>2402</v>
      </c>
      <c r="O1192" t="s">
        <v>1447</v>
      </c>
      <c r="P1192" t="s">
        <v>6037</v>
      </c>
      <c r="Q1192" t="s">
        <v>1443</v>
      </c>
      <c r="R1192" t="s">
        <v>6033</v>
      </c>
      <c r="S1192" t="s">
        <v>6038</v>
      </c>
    </row>
    <row r="1193" spans="1:19">
      <c r="A1193" t="s">
        <v>7093</v>
      </c>
      <c r="B1193" t="s">
        <v>6026</v>
      </c>
      <c r="C1193" t="s">
        <v>3968</v>
      </c>
      <c r="D1193">
        <v>247</v>
      </c>
      <c r="E1193" t="s">
        <v>1450</v>
      </c>
      <c r="F1193">
        <v>3</v>
      </c>
      <c r="I1193" t="s">
        <v>3560</v>
      </c>
      <c r="J1193" t="s">
        <v>45</v>
      </c>
      <c r="K1193" t="s">
        <v>45</v>
      </c>
      <c r="L1193">
        <v>3</v>
      </c>
      <c r="M1193">
        <v>1</v>
      </c>
      <c r="N1193" t="s">
        <v>2407</v>
      </c>
      <c r="O1193" t="s">
        <v>1447</v>
      </c>
      <c r="P1193" t="s">
        <v>6027</v>
      </c>
      <c r="Q1193" t="s">
        <v>1443</v>
      </c>
      <c r="R1193" t="s">
        <v>1444</v>
      </c>
      <c r="S1193" t="s">
        <v>6028</v>
      </c>
    </row>
    <row r="1194" spans="1:19">
      <c r="A1194" t="s">
        <v>7098</v>
      </c>
      <c r="B1194" t="s">
        <v>6039</v>
      </c>
      <c r="C1194" t="s">
        <v>3968</v>
      </c>
      <c r="D1194">
        <v>247</v>
      </c>
      <c r="E1194" t="s">
        <v>1554</v>
      </c>
      <c r="F1194">
        <v>4</v>
      </c>
      <c r="I1194" t="s">
        <v>3560</v>
      </c>
      <c r="J1194" t="s">
        <v>45</v>
      </c>
      <c r="K1194" t="s">
        <v>45</v>
      </c>
      <c r="L1194">
        <v>3</v>
      </c>
      <c r="M1194">
        <v>1</v>
      </c>
      <c r="N1194" t="s">
        <v>2407</v>
      </c>
      <c r="O1194" t="s">
        <v>1447</v>
      </c>
      <c r="P1194" t="s">
        <v>5002</v>
      </c>
      <c r="Q1194" t="s">
        <v>1448</v>
      </c>
      <c r="R1194" t="s">
        <v>6033</v>
      </c>
      <c r="S1194" t="s">
        <v>6040</v>
      </c>
    </row>
    <row r="1195" spans="1:19">
      <c r="A1195" t="s">
        <v>7099</v>
      </c>
      <c r="B1195" t="s">
        <v>6041</v>
      </c>
      <c r="C1195" t="s">
        <v>3968</v>
      </c>
      <c r="D1195">
        <v>248</v>
      </c>
      <c r="E1195" t="s">
        <v>1541</v>
      </c>
      <c r="F1195">
        <v>5</v>
      </c>
      <c r="I1195" t="s">
        <v>3560</v>
      </c>
      <c r="J1195" t="s">
        <v>45</v>
      </c>
      <c r="K1195" t="s">
        <v>45</v>
      </c>
      <c r="L1195">
        <v>3</v>
      </c>
      <c r="M1195">
        <v>2</v>
      </c>
      <c r="N1195" t="s">
        <v>2431</v>
      </c>
      <c r="O1195" t="s">
        <v>1447</v>
      </c>
      <c r="P1195" t="s">
        <v>1463</v>
      </c>
      <c r="Q1195" t="s">
        <v>1473</v>
      </c>
      <c r="R1195" t="s">
        <v>6033</v>
      </c>
      <c r="S1195" t="s">
        <v>6042</v>
      </c>
    </row>
    <row r="1196" spans="1:19">
      <c r="A1196" t="s">
        <v>7100</v>
      </c>
      <c r="B1196" t="s">
        <v>6043</v>
      </c>
      <c r="C1196" t="s">
        <v>3968</v>
      </c>
      <c r="D1196">
        <v>248</v>
      </c>
      <c r="E1196" t="s">
        <v>5200</v>
      </c>
      <c r="F1196">
        <v>4</v>
      </c>
      <c r="H1196" t="s">
        <v>5201</v>
      </c>
      <c r="I1196" t="s">
        <v>3560</v>
      </c>
      <c r="J1196" t="s">
        <v>45</v>
      </c>
      <c r="K1196" t="s">
        <v>45</v>
      </c>
      <c r="L1196">
        <v>3</v>
      </c>
      <c r="M1196">
        <v>2</v>
      </c>
      <c r="N1196" t="s">
        <v>2431</v>
      </c>
      <c r="O1196" t="s">
        <v>1457</v>
      </c>
      <c r="P1196" t="s">
        <v>1444</v>
      </c>
      <c r="Q1196" t="s">
        <v>1443</v>
      </c>
      <c r="R1196" t="s">
        <v>6039</v>
      </c>
      <c r="S1196" t="s">
        <v>6044</v>
      </c>
    </row>
    <row r="1197" spans="1:19">
      <c r="A1197" t="s">
        <v>7101</v>
      </c>
      <c r="B1197" t="s">
        <v>6045</v>
      </c>
      <c r="C1197" t="s">
        <v>3968</v>
      </c>
      <c r="D1197">
        <v>248</v>
      </c>
      <c r="E1197" t="s">
        <v>1541</v>
      </c>
      <c r="F1197">
        <v>5</v>
      </c>
      <c r="I1197" t="s">
        <v>3560</v>
      </c>
      <c r="J1197" t="s">
        <v>45</v>
      </c>
      <c r="K1197" t="s">
        <v>45</v>
      </c>
      <c r="L1197">
        <v>3</v>
      </c>
      <c r="M1197">
        <v>2</v>
      </c>
      <c r="N1197" t="s">
        <v>2431</v>
      </c>
      <c r="O1197" t="s">
        <v>1457</v>
      </c>
      <c r="P1197" t="s">
        <v>5083</v>
      </c>
      <c r="Q1197" t="s">
        <v>1473</v>
      </c>
      <c r="R1197" t="s">
        <v>6029</v>
      </c>
      <c r="S1197" t="s">
        <v>6046</v>
      </c>
    </row>
    <row r="1198" spans="1:19">
      <c r="A1198" t="s">
        <v>7102</v>
      </c>
      <c r="B1198" t="s">
        <v>6047</v>
      </c>
      <c r="C1198" t="s">
        <v>3968</v>
      </c>
      <c r="D1198">
        <v>174</v>
      </c>
      <c r="E1198" t="s">
        <v>1541</v>
      </c>
      <c r="F1198">
        <v>5</v>
      </c>
      <c r="I1198" t="s">
        <v>3560</v>
      </c>
      <c r="J1198" t="s">
        <v>45</v>
      </c>
      <c r="K1198" t="s">
        <v>45</v>
      </c>
      <c r="L1198">
        <v>4</v>
      </c>
      <c r="M1198">
        <v>2</v>
      </c>
      <c r="N1198" t="s">
        <v>2422</v>
      </c>
      <c r="O1198" t="s">
        <v>1447</v>
      </c>
      <c r="P1198" t="s">
        <v>5094</v>
      </c>
      <c r="Q1198" t="s">
        <v>1473</v>
      </c>
      <c r="R1198" t="s">
        <v>6045</v>
      </c>
      <c r="S1198" t="s">
        <v>6048</v>
      </c>
    </row>
    <row r="1199" spans="1:19">
      <c r="A1199" t="s">
        <v>7109</v>
      </c>
      <c r="B1199" t="s">
        <v>6067</v>
      </c>
      <c r="C1199" t="s">
        <v>3968</v>
      </c>
      <c r="D1199">
        <v>250</v>
      </c>
      <c r="E1199" t="s">
        <v>6068</v>
      </c>
      <c r="F1199">
        <v>5</v>
      </c>
      <c r="H1199" t="s">
        <v>1507</v>
      </c>
      <c r="I1199" t="s">
        <v>3560</v>
      </c>
      <c r="J1199" t="s">
        <v>45</v>
      </c>
      <c r="K1199" t="s">
        <v>45</v>
      </c>
      <c r="L1199">
        <v>4</v>
      </c>
      <c r="M1199">
        <v>3</v>
      </c>
      <c r="N1199" t="s">
        <v>2444</v>
      </c>
      <c r="O1199" t="s">
        <v>1447</v>
      </c>
      <c r="P1199" t="s">
        <v>6069</v>
      </c>
      <c r="Q1199" t="s">
        <v>1443</v>
      </c>
      <c r="R1199" t="s">
        <v>6041</v>
      </c>
      <c r="S1199" t="s">
        <v>6070</v>
      </c>
    </row>
    <row r="1200" spans="1:19">
      <c r="A1200" t="s">
        <v>7110</v>
      </c>
      <c r="B1200" t="s">
        <v>6071</v>
      </c>
      <c r="C1200" t="s">
        <v>3968</v>
      </c>
      <c r="D1200">
        <v>250</v>
      </c>
      <c r="E1200" t="s">
        <v>1541</v>
      </c>
      <c r="F1200">
        <v>5</v>
      </c>
      <c r="I1200" t="s">
        <v>3560</v>
      </c>
      <c r="J1200" t="s">
        <v>45</v>
      </c>
      <c r="K1200" t="s">
        <v>45</v>
      </c>
      <c r="L1200">
        <v>4</v>
      </c>
      <c r="M1200">
        <v>3</v>
      </c>
      <c r="N1200" t="s">
        <v>2444</v>
      </c>
      <c r="O1200" t="s">
        <v>1447</v>
      </c>
      <c r="P1200" t="s">
        <v>6072</v>
      </c>
      <c r="Q1200" t="s">
        <v>1473</v>
      </c>
      <c r="R1200" t="s">
        <v>6067</v>
      </c>
      <c r="S1200" t="s">
        <v>6073</v>
      </c>
    </row>
    <row r="1201" spans="1:19">
      <c r="A1201" t="s">
        <v>7103</v>
      </c>
      <c r="B1201" t="s">
        <v>6049</v>
      </c>
      <c r="C1201" t="s">
        <v>3968</v>
      </c>
      <c r="D1201">
        <v>248</v>
      </c>
      <c r="E1201" t="s">
        <v>1450</v>
      </c>
      <c r="F1201">
        <v>3</v>
      </c>
      <c r="I1201" t="s">
        <v>3560</v>
      </c>
      <c r="J1201" t="s">
        <v>45</v>
      </c>
      <c r="K1201" t="s">
        <v>45</v>
      </c>
      <c r="L1201">
        <v>5</v>
      </c>
      <c r="M1201">
        <v>2</v>
      </c>
      <c r="N1201" t="s">
        <v>2425</v>
      </c>
      <c r="O1201" t="s">
        <v>1447</v>
      </c>
      <c r="P1201" t="s">
        <v>5083</v>
      </c>
      <c r="Q1201" t="s">
        <v>1443</v>
      </c>
      <c r="R1201" t="s">
        <v>6047</v>
      </c>
      <c r="S1201" t="s">
        <v>6050</v>
      </c>
    </row>
    <row r="1202" spans="1:19">
      <c r="A1202" t="s">
        <v>7104</v>
      </c>
      <c r="B1202" t="s">
        <v>6051</v>
      </c>
      <c r="C1202" t="s">
        <v>3968</v>
      </c>
      <c r="D1202">
        <v>248</v>
      </c>
      <c r="E1202" t="s">
        <v>1692</v>
      </c>
      <c r="F1202">
        <v>8</v>
      </c>
      <c r="I1202" t="s">
        <v>3560</v>
      </c>
      <c r="J1202" t="s">
        <v>45</v>
      </c>
      <c r="K1202" t="s">
        <v>45</v>
      </c>
      <c r="L1202">
        <v>5</v>
      </c>
      <c r="M1202">
        <v>3</v>
      </c>
      <c r="N1202" t="s">
        <v>2438</v>
      </c>
      <c r="O1202" t="s">
        <v>1457</v>
      </c>
      <c r="P1202" t="s">
        <v>6052</v>
      </c>
      <c r="Q1202" t="s">
        <v>5062</v>
      </c>
      <c r="R1202" t="s">
        <v>1444</v>
      </c>
      <c r="S1202" t="s">
        <v>6053</v>
      </c>
    </row>
    <row r="1203" spans="1:19">
      <c r="A1203" t="s">
        <v>7105</v>
      </c>
      <c r="B1203" t="s">
        <v>6054</v>
      </c>
      <c r="C1203" t="s">
        <v>3968</v>
      </c>
      <c r="D1203">
        <v>249</v>
      </c>
      <c r="E1203" t="s">
        <v>6055</v>
      </c>
      <c r="F1203">
        <v>7</v>
      </c>
      <c r="G1203">
        <v>1</v>
      </c>
      <c r="H1203" t="s">
        <v>5103</v>
      </c>
      <c r="I1203" t="s">
        <v>3560</v>
      </c>
      <c r="J1203" t="s">
        <v>45</v>
      </c>
      <c r="K1203" t="s">
        <v>45</v>
      </c>
      <c r="L1203">
        <v>5</v>
      </c>
      <c r="M1203">
        <v>3</v>
      </c>
      <c r="N1203" t="s">
        <v>6056</v>
      </c>
      <c r="O1203" t="s">
        <v>1447</v>
      </c>
      <c r="P1203" t="s">
        <v>5219</v>
      </c>
      <c r="Q1203" t="s">
        <v>2189</v>
      </c>
      <c r="R1203" t="s">
        <v>1444</v>
      </c>
      <c r="S1203" t="s">
        <v>6057</v>
      </c>
    </row>
    <row r="1204" spans="1:19">
      <c r="A1204" t="s">
        <v>7106</v>
      </c>
      <c r="B1204" t="s">
        <v>6058</v>
      </c>
      <c r="C1204" t="s">
        <v>3968</v>
      </c>
      <c r="D1204">
        <v>249</v>
      </c>
      <c r="E1204" t="s">
        <v>6059</v>
      </c>
      <c r="F1204">
        <v>6</v>
      </c>
      <c r="G1204">
        <v>1</v>
      </c>
      <c r="H1204" t="s">
        <v>5757</v>
      </c>
      <c r="I1204" t="s">
        <v>3560</v>
      </c>
      <c r="J1204" t="s">
        <v>45</v>
      </c>
      <c r="K1204" t="s">
        <v>45</v>
      </c>
      <c r="L1204">
        <v>5</v>
      </c>
      <c r="M1204">
        <v>3</v>
      </c>
      <c r="N1204" t="s">
        <v>2438</v>
      </c>
      <c r="O1204" t="s">
        <v>1457</v>
      </c>
      <c r="P1204" t="s">
        <v>5109</v>
      </c>
      <c r="Q1204" t="s">
        <v>5062</v>
      </c>
      <c r="R1204" t="s">
        <v>1444</v>
      </c>
      <c r="S1204" t="s">
        <v>6060</v>
      </c>
    </row>
    <row r="1205" spans="1:19">
      <c r="A1205" t="s">
        <v>7107</v>
      </c>
      <c r="B1205" t="s">
        <v>6061</v>
      </c>
      <c r="C1205" t="s">
        <v>3968</v>
      </c>
      <c r="D1205">
        <v>249</v>
      </c>
      <c r="E1205" t="s">
        <v>1456</v>
      </c>
      <c r="F1205">
        <v>4</v>
      </c>
      <c r="G1205">
        <v>1</v>
      </c>
      <c r="I1205" t="s">
        <v>3560</v>
      </c>
      <c r="J1205" t="s">
        <v>45</v>
      </c>
      <c r="K1205" t="s">
        <v>45</v>
      </c>
      <c r="L1205">
        <v>5</v>
      </c>
      <c r="M1205">
        <v>3</v>
      </c>
      <c r="N1205" t="s">
        <v>2438</v>
      </c>
      <c r="O1205" t="s">
        <v>1457</v>
      </c>
      <c r="P1205" t="s">
        <v>5112</v>
      </c>
      <c r="Q1205" t="s">
        <v>1804</v>
      </c>
      <c r="R1205" t="s">
        <v>1444</v>
      </c>
      <c r="S1205" t="s">
        <v>6062</v>
      </c>
    </row>
    <row r="1206" spans="1:19">
      <c r="A1206" t="s">
        <v>7108</v>
      </c>
      <c r="B1206" t="s">
        <v>6063</v>
      </c>
      <c r="C1206" t="s">
        <v>3968</v>
      </c>
      <c r="D1206">
        <v>250</v>
      </c>
      <c r="E1206" t="s">
        <v>6064</v>
      </c>
      <c r="F1206">
        <v>5</v>
      </c>
      <c r="G1206">
        <v>1</v>
      </c>
      <c r="H1206" t="s">
        <v>5054</v>
      </c>
      <c r="I1206" t="s">
        <v>3560</v>
      </c>
      <c r="J1206" t="s">
        <v>45</v>
      </c>
      <c r="K1206" t="s">
        <v>45</v>
      </c>
      <c r="L1206">
        <v>5</v>
      </c>
      <c r="M1206">
        <v>3</v>
      </c>
      <c r="N1206" t="s">
        <v>6056</v>
      </c>
      <c r="O1206" t="s">
        <v>1457</v>
      </c>
      <c r="P1206" t="s">
        <v>6065</v>
      </c>
      <c r="Q1206" t="s">
        <v>2189</v>
      </c>
      <c r="R1206" t="s">
        <v>1444</v>
      </c>
      <c r="S1206" t="s">
        <v>6066</v>
      </c>
    </row>
    <row r="1207" spans="1:19">
      <c r="A1207" t="s">
        <v>7111</v>
      </c>
      <c r="B1207" t="s">
        <v>6074</v>
      </c>
      <c r="C1207" t="s">
        <v>3968</v>
      </c>
      <c r="D1207">
        <v>250</v>
      </c>
      <c r="E1207" t="s">
        <v>1554</v>
      </c>
      <c r="F1207">
        <v>4</v>
      </c>
      <c r="I1207" t="s">
        <v>3560</v>
      </c>
      <c r="J1207" t="s">
        <v>45</v>
      </c>
      <c r="K1207" t="s">
        <v>45</v>
      </c>
      <c r="L1207">
        <v>5</v>
      </c>
      <c r="M1207">
        <v>3</v>
      </c>
      <c r="N1207" t="s">
        <v>2438</v>
      </c>
      <c r="O1207" t="s">
        <v>1447</v>
      </c>
      <c r="P1207" t="s">
        <v>6075</v>
      </c>
      <c r="Q1207" t="s">
        <v>1443</v>
      </c>
      <c r="R1207" t="s">
        <v>6067</v>
      </c>
      <c r="S1207" t="s">
        <v>6076</v>
      </c>
    </row>
    <row r="1208" spans="1:19">
      <c r="A1208" t="s">
        <v>7112</v>
      </c>
      <c r="B1208" t="s">
        <v>6077</v>
      </c>
      <c r="C1208" t="s">
        <v>3968</v>
      </c>
      <c r="D1208">
        <v>251</v>
      </c>
      <c r="E1208" t="s">
        <v>3687</v>
      </c>
      <c r="I1208" t="s">
        <v>3560</v>
      </c>
      <c r="J1208" t="s">
        <v>45</v>
      </c>
      <c r="K1208" t="s">
        <v>45</v>
      </c>
      <c r="L1208">
        <v>5</v>
      </c>
      <c r="M1208">
        <v>3</v>
      </c>
      <c r="N1208" t="s">
        <v>2438</v>
      </c>
      <c r="O1208" t="s">
        <v>1513</v>
      </c>
      <c r="P1208" t="s">
        <v>1444</v>
      </c>
      <c r="Q1208" t="s">
        <v>1513</v>
      </c>
      <c r="R1208" t="s">
        <v>6078</v>
      </c>
      <c r="S1208" t="s">
        <v>6079</v>
      </c>
    </row>
    <row r="1209" spans="1:19">
      <c r="A1209" t="s">
        <v>7113</v>
      </c>
      <c r="B1209" t="s">
        <v>6080</v>
      </c>
      <c r="C1209" t="s">
        <v>3968</v>
      </c>
      <c r="D1209">
        <v>251</v>
      </c>
      <c r="E1209" t="s">
        <v>1456</v>
      </c>
      <c r="F1209">
        <v>4</v>
      </c>
      <c r="G1209">
        <v>1</v>
      </c>
      <c r="I1209" t="s">
        <v>3560</v>
      </c>
      <c r="J1209" t="s">
        <v>45</v>
      </c>
      <c r="K1209" t="s">
        <v>45</v>
      </c>
      <c r="L1209">
        <v>5</v>
      </c>
      <c r="M1209">
        <v>4</v>
      </c>
      <c r="N1209" t="s">
        <v>3805</v>
      </c>
      <c r="O1209" t="s">
        <v>1457</v>
      </c>
      <c r="P1209" t="s">
        <v>5068</v>
      </c>
      <c r="Q1209" t="s">
        <v>5062</v>
      </c>
      <c r="R1209" t="s">
        <v>6074</v>
      </c>
      <c r="S1209" t="s">
        <v>6081</v>
      </c>
    </row>
    <row r="1210" spans="1:19">
      <c r="A1210" t="s">
        <v>7114</v>
      </c>
      <c r="B1210" t="s">
        <v>6082</v>
      </c>
      <c r="C1210" t="s">
        <v>3968</v>
      </c>
      <c r="D1210">
        <v>251</v>
      </c>
      <c r="E1210" t="s">
        <v>1467</v>
      </c>
      <c r="F1210">
        <v>5</v>
      </c>
      <c r="G1210">
        <v>1</v>
      </c>
      <c r="I1210" t="s">
        <v>3560</v>
      </c>
      <c r="J1210" t="s">
        <v>45</v>
      </c>
      <c r="K1210" t="s">
        <v>45</v>
      </c>
      <c r="L1210">
        <v>5</v>
      </c>
      <c r="M1210">
        <v>5</v>
      </c>
      <c r="N1210" t="s">
        <v>2450</v>
      </c>
      <c r="O1210" t="s">
        <v>1447</v>
      </c>
      <c r="P1210" t="s">
        <v>6083</v>
      </c>
      <c r="Q1210" t="s">
        <v>5062</v>
      </c>
      <c r="R1210" t="s">
        <v>6080</v>
      </c>
      <c r="S1210" t="s">
        <v>6084</v>
      </c>
    </row>
    <row r="1211" spans="1:19">
      <c r="A1211" t="s">
        <v>4730</v>
      </c>
      <c r="B1211" t="s">
        <v>2452</v>
      </c>
      <c r="C1211" t="s">
        <v>3607</v>
      </c>
      <c r="D1211" t="s">
        <v>1148</v>
      </c>
      <c r="E1211" t="s">
        <v>1511</v>
      </c>
      <c r="F1211" t="s">
        <v>1511</v>
      </c>
      <c r="I1211" t="s">
        <v>3238</v>
      </c>
      <c r="J1211" t="s">
        <v>46</v>
      </c>
      <c r="K1211" t="s">
        <v>46</v>
      </c>
      <c r="L1211">
        <v>1</v>
      </c>
      <c r="M1211">
        <v>1</v>
      </c>
      <c r="N1211" t="s">
        <v>2453</v>
      </c>
      <c r="O1211" t="s">
        <v>1513</v>
      </c>
      <c r="P1211" t="s">
        <v>1444</v>
      </c>
      <c r="Q1211" t="s">
        <v>1513</v>
      </c>
      <c r="R1211" t="s">
        <v>1444</v>
      </c>
      <c r="S1211" t="s">
        <v>2454</v>
      </c>
    </row>
    <row r="1212" spans="1:19">
      <c r="A1212" t="s">
        <v>4731</v>
      </c>
      <c r="B1212" t="s">
        <v>1141</v>
      </c>
      <c r="C1212" t="s">
        <v>3607</v>
      </c>
      <c r="D1212" t="s">
        <v>1140</v>
      </c>
      <c r="E1212" t="s">
        <v>1554</v>
      </c>
      <c r="F1212">
        <v>4</v>
      </c>
      <c r="I1212" t="s">
        <v>3238</v>
      </c>
      <c r="J1212" t="s">
        <v>46</v>
      </c>
      <c r="K1212" t="s">
        <v>46</v>
      </c>
      <c r="L1212">
        <v>2</v>
      </c>
      <c r="M1212">
        <v>1</v>
      </c>
      <c r="N1212" t="s">
        <v>2455</v>
      </c>
      <c r="O1212" t="s">
        <v>1447</v>
      </c>
      <c r="P1212" t="s">
        <v>1444</v>
      </c>
      <c r="Q1212" t="s">
        <v>1534</v>
      </c>
      <c r="R1212" t="s">
        <v>2452</v>
      </c>
      <c r="S1212" t="s">
        <v>2456</v>
      </c>
    </row>
    <row r="1213" spans="1:19">
      <c r="A1213" t="s">
        <v>4735</v>
      </c>
      <c r="B1213" t="s">
        <v>2462</v>
      </c>
      <c r="C1213" t="s">
        <v>3607</v>
      </c>
      <c r="D1213" t="s">
        <v>1160</v>
      </c>
      <c r="E1213" t="s">
        <v>1465</v>
      </c>
      <c r="F1213">
        <v>1</v>
      </c>
      <c r="G1213">
        <v>1</v>
      </c>
      <c r="I1213" t="s">
        <v>3238</v>
      </c>
      <c r="J1213" t="s">
        <v>46</v>
      </c>
      <c r="K1213" t="s">
        <v>46</v>
      </c>
      <c r="L1213">
        <v>2</v>
      </c>
      <c r="M1213">
        <v>1</v>
      </c>
      <c r="N1213" t="s">
        <v>2455</v>
      </c>
      <c r="O1213" t="s">
        <v>1441</v>
      </c>
      <c r="P1213" t="s">
        <v>1444</v>
      </c>
      <c r="Q1213" t="s">
        <v>1443</v>
      </c>
      <c r="R1213" t="s">
        <v>1444</v>
      </c>
      <c r="S1213" t="s">
        <v>2463</v>
      </c>
    </row>
    <row r="1214" spans="1:19">
      <c r="A1214" t="s">
        <v>4732</v>
      </c>
      <c r="B1214" t="s">
        <v>1139</v>
      </c>
      <c r="C1214" t="s">
        <v>3607</v>
      </c>
      <c r="D1214" t="s">
        <v>1140</v>
      </c>
      <c r="E1214" t="s">
        <v>1554</v>
      </c>
      <c r="F1214">
        <v>4</v>
      </c>
      <c r="I1214" t="s">
        <v>3238</v>
      </c>
      <c r="J1214" t="s">
        <v>46</v>
      </c>
      <c r="K1214" t="s">
        <v>46</v>
      </c>
      <c r="L1214">
        <v>3</v>
      </c>
      <c r="M1214">
        <v>1</v>
      </c>
      <c r="N1214" t="s">
        <v>2457</v>
      </c>
      <c r="O1214" t="s">
        <v>1447</v>
      </c>
      <c r="P1214" t="s">
        <v>1444</v>
      </c>
      <c r="Q1214" t="s">
        <v>1443</v>
      </c>
      <c r="R1214" t="s">
        <v>1141</v>
      </c>
      <c r="S1214" t="s">
        <v>2458</v>
      </c>
    </row>
    <row r="1215" spans="1:19">
      <c r="A1215" t="s">
        <v>4733</v>
      </c>
      <c r="B1215" t="s">
        <v>1173</v>
      </c>
      <c r="C1215" t="s">
        <v>3607</v>
      </c>
      <c r="D1215" t="s">
        <v>1174</v>
      </c>
      <c r="E1215" t="s">
        <v>2459</v>
      </c>
      <c r="F1215">
        <v>2</v>
      </c>
      <c r="G1215">
        <v>1</v>
      </c>
      <c r="H1215" t="s">
        <v>3807</v>
      </c>
      <c r="I1215" t="s">
        <v>3238</v>
      </c>
      <c r="J1215" t="s">
        <v>46</v>
      </c>
      <c r="K1215" t="s">
        <v>46</v>
      </c>
      <c r="L1215">
        <v>3</v>
      </c>
      <c r="M1215">
        <v>1</v>
      </c>
      <c r="N1215" t="s">
        <v>2457</v>
      </c>
      <c r="O1215" t="s">
        <v>1447</v>
      </c>
      <c r="P1215" t="s">
        <v>1444</v>
      </c>
      <c r="Q1215" t="s">
        <v>1443</v>
      </c>
      <c r="R1215" t="s">
        <v>1141</v>
      </c>
      <c r="S1215" t="s">
        <v>2460</v>
      </c>
    </row>
    <row r="1216" spans="1:19">
      <c r="A1216" t="s">
        <v>4734</v>
      </c>
      <c r="B1216" t="s">
        <v>1162</v>
      </c>
      <c r="C1216" t="s">
        <v>3607</v>
      </c>
      <c r="D1216" t="s">
        <v>1163</v>
      </c>
      <c r="E1216" t="s">
        <v>1439</v>
      </c>
      <c r="F1216">
        <v>1</v>
      </c>
      <c r="I1216" t="s">
        <v>3238</v>
      </c>
      <c r="J1216" t="s">
        <v>46</v>
      </c>
      <c r="K1216" t="s">
        <v>46</v>
      </c>
      <c r="L1216">
        <v>3</v>
      </c>
      <c r="M1216">
        <v>1</v>
      </c>
      <c r="N1216" t="s">
        <v>2457</v>
      </c>
      <c r="O1216" t="s">
        <v>1447</v>
      </c>
      <c r="P1216" t="s">
        <v>1444</v>
      </c>
      <c r="Q1216" t="s">
        <v>1443</v>
      </c>
      <c r="R1216" t="s">
        <v>2452</v>
      </c>
      <c r="S1216" t="s">
        <v>2461</v>
      </c>
    </row>
    <row r="1217" spans="1:19">
      <c r="A1217" t="s">
        <v>4736</v>
      </c>
      <c r="B1217" t="s">
        <v>1151</v>
      </c>
      <c r="C1217" t="s">
        <v>3607</v>
      </c>
      <c r="D1217" t="s">
        <v>1160</v>
      </c>
      <c r="E1217" t="s">
        <v>2464</v>
      </c>
      <c r="H1217" t="s">
        <v>2464</v>
      </c>
      <c r="I1217" t="s">
        <v>3238</v>
      </c>
      <c r="J1217" t="s">
        <v>46</v>
      </c>
      <c r="K1217" t="s">
        <v>46</v>
      </c>
      <c r="L1217">
        <v>3</v>
      </c>
      <c r="M1217">
        <v>1</v>
      </c>
      <c r="N1217" t="s">
        <v>2457</v>
      </c>
      <c r="O1217" t="s">
        <v>1447</v>
      </c>
      <c r="P1217" t="s">
        <v>1444</v>
      </c>
      <c r="Q1217" t="s">
        <v>1513</v>
      </c>
      <c r="R1217" t="s">
        <v>2462</v>
      </c>
      <c r="S1217" t="s">
        <v>2465</v>
      </c>
    </row>
    <row r="1218" spans="1:19">
      <c r="A1218" t="s">
        <v>4737</v>
      </c>
      <c r="B1218" t="s">
        <v>1149</v>
      </c>
      <c r="C1218" t="s">
        <v>3607</v>
      </c>
      <c r="D1218" t="s">
        <v>1150</v>
      </c>
      <c r="E1218" t="s">
        <v>2466</v>
      </c>
      <c r="F1218" t="s">
        <v>3808</v>
      </c>
      <c r="I1218" t="s">
        <v>3238</v>
      </c>
      <c r="J1218" t="s">
        <v>46</v>
      </c>
      <c r="K1218" t="s">
        <v>46</v>
      </c>
      <c r="L1218">
        <v>3</v>
      </c>
      <c r="M1218">
        <v>1</v>
      </c>
      <c r="N1218" t="s">
        <v>2457</v>
      </c>
      <c r="O1218" t="s">
        <v>1447</v>
      </c>
      <c r="P1218" t="s">
        <v>1444</v>
      </c>
      <c r="Q1218" t="s">
        <v>1443</v>
      </c>
      <c r="R1218" t="s">
        <v>1151</v>
      </c>
      <c r="S1218" t="s">
        <v>2467</v>
      </c>
    </row>
    <row r="1219" spans="1:19">
      <c r="A1219" t="s">
        <v>4738</v>
      </c>
      <c r="B1219" t="s">
        <v>1143</v>
      </c>
      <c r="C1219" t="s">
        <v>3607</v>
      </c>
      <c r="D1219" t="s">
        <v>1144</v>
      </c>
      <c r="E1219" t="s">
        <v>2468</v>
      </c>
      <c r="F1219" t="s">
        <v>3809</v>
      </c>
      <c r="I1219" t="s">
        <v>3238</v>
      </c>
      <c r="J1219" t="s">
        <v>46</v>
      </c>
      <c r="K1219" t="s">
        <v>46</v>
      </c>
      <c r="L1219">
        <v>3</v>
      </c>
      <c r="M1219">
        <v>2</v>
      </c>
      <c r="N1219" t="s">
        <v>2469</v>
      </c>
      <c r="O1219" t="s">
        <v>1457</v>
      </c>
      <c r="P1219" t="s">
        <v>1444</v>
      </c>
      <c r="Q1219" t="s">
        <v>1443</v>
      </c>
      <c r="R1219" t="s">
        <v>2452</v>
      </c>
      <c r="S1219" t="s">
        <v>2470</v>
      </c>
    </row>
    <row r="1220" spans="1:19">
      <c r="A1220" t="s">
        <v>4747</v>
      </c>
      <c r="B1220" t="s">
        <v>2488</v>
      </c>
      <c r="C1220" t="s">
        <v>3607</v>
      </c>
      <c r="D1220">
        <v>383</v>
      </c>
      <c r="E1220" t="s">
        <v>1511</v>
      </c>
      <c r="F1220" t="s">
        <v>1511</v>
      </c>
      <c r="I1220" t="s">
        <v>3238</v>
      </c>
      <c r="J1220" t="s">
        <v>46</v>
      </c>
      <c r="K1220" t="s">
        <v>46</v>
      </c>
      <c r="L1220">
        <v>3</v>
      </c>
      <c r="M1220">
        <v>2</v>
      </c>
      <c r="N1220" t="s">
        <v>2469</v>
      </c>
      <c r="O1220" t="s">
        <v>1447</v>
      </c>
      <c r="P1220" t="s">
        <v>1444</v>
      </c>
      <c r="Q1220" t="s">
        <v>1443</v>
      </c>
      <c r="R1220" t="s">
        <v>2462</v>
      </c>
      <c r="S1220" t="s">
        <v>2489</v>
      </c>
    </row>
    <row r="1221" spans="1:19">
      <c r="A1221" t="s">
        <v>4766</v>
      </c>
      <c r="B1221" t="s">
        <v>3814</v>
      </c>
      <c r="C1221" t="s">
        <v>3602</v>
      </c>
      <c r="D1221">
        <v>28</v>
      </c>
      <c r="E1221" t="s">
        <v>1460</v>
      </c>
      <c r="F1221">
        <v>2</v>
      </c>
      <c r="I1221" t="s">
        <v>3238</v>
      </c>
      <c r="J1221" t="s">
        <v>46</v>
      </c>
      <c r="K1221" t="s">
        <v>46</v>
      </c>
      <c r="L1221">
        <v>3</v>
      </c>
      <c r="M1221">
        <v>1</v>
      </c>
      <c r="N1221" t="s">
        <v>3815</v>
      </c>
      <c r="O1221" t="s">
        <v>1447</v>
      </c>
      <c r="P1221" t="s">
        <v>1444</v>
      </c>
      <c r="Q1221" t="s">
        <v>1804</v>
      </c>
      <c r="R1221" t="s">
        <v>3816</v>
      </c>
      <c r="S1221" t="s">
        <v>3817</v>
      </c>
    </row>
    <row r="1222" spans="1:19">
      <c r="A1222" t="s">
        <v>4739</v>
      </c>
      <c r="B1222" t="s">
        <v>2471</v>
      </c>
      <c r="C1222" t="s">
        <v>3607</v>
      </c>
      <c r="D1222" t="s">
        <v>1169</v>
      </c>
      <c r="E1222" t="s">
        <v>2472</v>
      </c>
      <c r="F1222">
        <v>3</v>
      </c>
      <c r="G1222">
        <v>1</v>
      </c>
      <c r="H1222" t="s">
        <v>2434</v>
      </c>
      <c r="I1222" t="s">
        <v>3238</v>
      </c>
      <c r="J1222" t="s">
        <v>46</v>
      </c>
      <c r="K1222" t="s">
        <v>46</v>
      </c>
      <c r="L1222">
        <v>4</v>
      </c>
      <c r="M1222">
        <v>2</v>
      </c>
      <c r="N1222" t="s">
        <v>2473</v>
      </c>
      <c r="O1222" t="s">
        <v>1447</v>
      </c>
      <c r="P1222" t="s">
        <v>1620</v>
      </c>
      <c r="Q1222" t="s">
        <v>1443</v>
      </c>
      <c r="R1222" t="s">
        <v>1139</v>
      </c>
      <c r="S1222" t="s">
        <v>2474</v>
      </c>
    </row>
    <row r="1223" spans="1:19">
      <c r="A1223" t="s">
        <v>4740</v>
      </c>
      <c r="B1223" t="s">
        <v>2475</v>
      </c>
      <c r="C1223" t="s">
        <v>3607</v>
      </c>
      <c r="D1223">
        <v>382</v>
      </c>
      <c r="E1223" t="s">
        <v>1439</v>
      </c>
      <c r="F1223">
        <v>1</v>
      </c>
      <c r="I1223" t="s">
        <v>3238</v>
      </c>
      <c r="J1223" t="s">
        <v>46</v>
      </c>
      <c r="K1223" t="s">
        <v>46</v>
      </c>
      <c r="L1223">
        <v>4</v>
      </c>
      <c r="M1223">
        <v>2</v>
      </c>
      <c r="N1223" t="s">
        <v>2473</v>
      </c>
      <c r="O1223" t="s">
        <v>1441</v>
      </c>
      <c r="P1223" t="s">
        <v>1444</v>
      </c>
      <c r="Q1223" t="s">
        <v>1443</v>
      </c>
      <c r="R1223" t="s">
        <v>1173</v>
      </c>
      <c r="S1223" t="s">
        <v>2476</v>
      </c>
    </row>
    <row r="1224" spans="1:19">
      <c r="A1224" t="s">
        <v>4745</v>
      </c>
      <c r="B1224" t="s">
        <v>1158</v>
      </c>
      <c r="C1224" t="s">
        <v>3607</v>
      </c>
      <c r="D1224" t="s">
        <v>1159</v>
      </c>
      <c r="E1224" t="s">
        <v>2484</v>
      </c>
      <c r="F1224">
        <v>4</v>
      </c>
      <c r="G1224">
        <v>1</v>
      </c>
      <c r="H1224" t="s">
        <v>1507</v>
      </c>
      <c r="I1224" t="s">
        <v>3238</v>
      </c>
      <c r="J1224" t="s">
        <v>46</v>
      </c>
      <c r="K1224" t="s">
        <v>46</v>
      </c>
      <c r="L1224">
        <v>4</v>
      </c>
      <c r="M1224">
        <v>2</v>
      </c>
      <c r="N1224" t="s">
        <v>2473</v>
      </c>
      <c r="O1224" t="s">
        <v>1447</v>
      </c>
      <c r="P1224" t="s">
        <v>1444</v>
      </c>
      <c r="Q1224" t="s">
        <v>1443</v>
      </c>
      <c r="R1224" t="s">
        <v>1162</v>
      </c>
      <c r="S1224" t="s">
        <v>2485</v>
      </c>
    </row>
    <row r="1225" spans="1:19">
      <c r="A1225" t="s">
        <v>4749</v>
      </c>
      <c r="B1225" t="s">
        <v>1157</v>
      </c>
      <c r="C1225" t="s">
        <v>3607</v>
      </c>
      <c r="D1225" t="s">
        <v>1156</v>
      </c>
      <c r="E1225" t="s">
        <v>1541</v>
      </c>
      <c r="F1225">
        <v>5</v>
      </c>
      <c r="I1225" t="s">
        <v>3238</v>
      </c>
      <c r="J1225" t="s">
        <v>46</v>
      </c>
      <c r="K1225" t="s">
        <v>46</v>
      </c>
      <c r="L1225">
        <v>4</v>
      </c>
      <c r="M1225">
        <v>2</v>
      </c>
      <c r="N1225" t="s">
        <v>2473</v>
      </c>
      <c r="O1225" t="s">
        <v>1447</v>
      </c>
      <c r="P1225" t="s">
        <v>2195</v>
      </c>
      <c r="Q1225" t="s">
        <v>1443</v>
      </c>
      <c r="R1225" t="s">
        <v>1151</v>
      </c>
      <c r="S1225" t="s">
        <v>2492</v>
      </c>
    </row>
    <row r="1226" spans="1:19">
      <c r="A1226" t="s">
        <v>4750</v>
      </c>
      <c r="B1226" t="s">
        <v>1175</v>
      </c>
      <c r="C1226" t="s">
        <v>3607</v>
      </c>
      <c r="D1226">
        <v>383</v>
      </c>
      <c r="E1226" t="s">
        <v>1554</v>
      </c>
      <c r="F1226">
        <v>4</v>
      </c>
      <c r="I1226" t="s">
        <v>3238</v>
      </c>
      <c r="J1226" t="s">
        <v>46</v>
      </c>
      <c r="K1226" t="s">
        <v>46</v>
      </c>
      <c r="L1226">
        <v>4</v>
      </c>
      <c r="M1226">
        <v>2</v>
      </c>
      <c r="N1226" t="s">
        <v>2473</v>
      </c>
      <c r="O1226" t="s">
        <v>1447</v>
      </c>
      <c r="P1226" t="s">
        <v>1444</v>
      </c>
      <c r="Q1226" t="s">
        <v>1443</v>
      </c>
      <c r="R1226" t="s">
        <v>1151</v>
      </c>
      <c r="S1226" t="s">
        <v>2493</v>
      </c>
    </row>
    <row r="1227" spans="1:19">
      <c r="A1227" t="s">
        <v>4763</v>
      </c>
      <c r="B1227" t="s">
        <v>1176</v>
      </c>
      <c r="C1227" t="s">
        <v>3607</v>
      </c>
      <c r="D1227">
        <v>386</v>
      </c>
      <c r="E1227" t="s">
        <v>1511</v>
      </c>
      <c r="F1227" t="s">
        <v>1511</v>
      </c>
      <c r="I1227" t="s">
        <v>3238</v>
      </c>
      <c r="J1227" t="s">
        <v>46</v>
      </c>
      <c r="K1227" t="s">
        <v>46</v>
      </c>
      <c r="L1227">
        <v>4</v>
      </c>
      <c r="M1227">
        <v>3</v>
      </c>
      <c r="N1227" t="s">
        <v>2512</v>
      </c>
      <c r="O1227" t="s">
        <v>1513</v>
      </c>
      <c r="P1227" t="s">
        <v>1444</v>
      </c>
      <c r="Q1227" t="s">
        <v>1513</v>
      </c>
      <c r="R1227" t="s">
        <v>2488</v>
      </c>
      <c r="S1227" t="s">
        <v>2513</v>
      </c>
    </row>
    <row r="1228" spans="1:19">
      <c r="A1228" t="s">
        <v>4741</v>
      </c>
      <c r="B1228" t="s">
        <v>1168</v>
      </c>
      <c r="C1228" t="s">
        <v>3607</v>
      </c>
      <c r="D1228">
        <v>382</v>
      </c>
      <c r="E1228" t="s">
        <v>1541</v>
      </c>
      <c r="F1228">
        <v>5</v>
      </c>
      <c r="I1228" t="s">
        <v>3238</v>
      </c>
      <c r="J1228" t="s">
        <v>46</v>
      </c>
      <c r="K1228" t="s">
        <v>46</v>
      </c>
      <c r="L1228">
        <v>5</v>
      </c>
      <c r="M1228">
        <v>2</v>
      </c>
      <c r="N1228" t="s">
        <v>2477</v>
      </c>
      <c r="O1228" t="s">
        <v>1447</v>
      </c>
      <c r="P1228" t="s">
        <v>1620</v>
      </c>
      <c r="Q1228" t="s">
        <v>1473</v>
      </c>
      <c r="R1228" t="s">
        <v>2475</v>
      </c>
      <c r="S1228" t="s">
        <v>2478</v>
      </c>
    </row>
    <row r="1229" spans="1:19">
      <c r="A1229" t="s">
        <v>4742</v>
      </c>
      <c r="B1229" t="s">
        <v>1166</v>
      </c>
      <c r="C1229" t="s">
        <v>3607</v>
      </c>
      <c r="D1229" t="s">
        <v>1167</v>
      </c>
      <c r="E1229" t="s">
        <v>1612</v>
      </c>
      <c r="F1229" t="s">
        <v>1612</v>
      </c>
      <c r="I1229" t="s">
        <v>3238</v>
      </c>
      <c r="J1229" t="s">
        <v>46</v>
      </c>
      <c r="K1229" t="s">
        <v>46</v>
      </c>
      <c r="L1229">
        <v>5</v>
      </c>
      <c r="M1229">
        <v>2</v>
      </c>
      <c r="N1229" t="s">
        <v>2477</v>
      </c>
      <c r="O1229" t="s">
        <v>1513</v>
      </c>
      <c r="P1229" t="s">
        <v>1444</v>
      </c>
      <c r="Q1229" t="s">
        <v>1513</v>
      </c>
      <c r="R1229" t="s">
        <v>2475</v>
      </c>
      <c r="S1229" t="s">
        <v>2479</v>
      </c>
    </row>
    <row r="1230" spans="1:19">
      <c r="A1230" t="s">
        <v>4743</v>
      </c>
      <c r="B1230" t="s">
        <v>2480</v>
      </c>
      <c r="C1230" t="s">
        <v>3607</v>
      </c>
      <c r="D1230">
        <v>382</v>
      </c>
      <c r="E1230" t="s">
        <v>1460</v>
      </c>
      <c r="F1230">
        <v>2</v>
      </c>
      <c r="I1230" t="s">
        <v>3238</v>
      </c>
      <c r="J1230" t="s">
        <v>46</v>
      </c>
      <c r="K1230" t="s">
        <v>46</v>
      </c>
      <c r="L1230">
        <v>5</v>
      </c>
      <c r="M1230">
        <v>2</v>
      </c>
      <c r="N1230" t="s">
        <v>2477</v>
      </c>
      <c r="O1230" t="s">
        <v>1447</v>
      </c>
      <c r="P1230" t="s">
        <v>1444</v>
      </c>
      <c r="Q1230" t="s">
        <v>1600</v>
      </c>
      <c r="R1230" t="s">
        <v>2475</v>
      </c>
      <c r="S1230" t="s">
        <v>2481</v>
      </c>
    </row>
    <row r="1231" spans="1:19">
      <c r="A1231" t="s">
        <v>4744</v>
      </c>
      <c r="B1231" t="s">
        <v>1137</v>
      </c>
      <c r="C1231" t="s">
        <v>3607</v>
      </c>
      <c r="D1231" t="s">
        <v>1138</v>
      </c>
      <c r="E1231" t="s">
        <v>2482</v>
      </c>
      <c r="F1231">
        <v>3</v>
      </c>
      <c r="H1231" t="s">
        <v>3810</v>
      </c>
      <c r="I1231" t="s">
        <v>3238</v>
      </c>
      <c r="J1231" t="s">
        <v>46</v>
      </c>
      <c r="K1231" t="s">
        <v>46</v>
      </c>
      <c r="L1231">
        <v>5</v>
      </c>
      <c r="M1231">
        <v>2</v>
      </c>
      <c r="N1231" t="s">
        <v>2477</v>
      </c>
      <c r="O1231" t="s">
        <v>1441</v>
      </c>
      <c r="P1231" t="s">
        <v>1444</v>
      </c>
      <c r="Q1231" t="s">
        <v>1443</v>
      </c>
      <c r="R1231" t="s">
        <v>1173</v>
      </c>
      <c r="S1231" t="s">
        <v>2483</v>
      </c>
    </row>
    <row r="1232" spans="1:19">
      <c r="A1232" t="s">
        <v>4746</v>
      </c>
      <c r="B1232" t="s">
        <v>2486</v>
      </c>
      <c r="C1232" t="s">
        <v>3607</v>
      </c>
      <c r="D1232">
        <v>383</v>
      </c>
      <c r="E1232" t="s">
        <v>1476</v>
      </c>
      <c r="F1232">
        <v>3</v>
      </c>
      <c r="G1232">
        <v>1</v>
      </c>
      <c r="I1232" t="s">
        <v>3238</v>
      </c>
      <c r="J1232" t="s">
        <v>46</v>
      </c>
      <c r="K1232" t="s">
        <v>46</v>
      </c>
      <c r="L1232">
        <v>5</v>
      </c>
      <c r="M1232">
        <v>2</v>
      </c>
      <c r="N1232" t="s">
        <v>2477</v>
      </c>
      <c r="O1232" t="s">
        <v>1441</v>
      </c>
      <c r="P1232" t="s">
        <v>1444</v>
      </c>
      <c r="Q1232" t="s">
        <v>1443</v>
      </c>
      <c r="R1232" t="s">
        <v>1158</v>
      </c>
      <c r="S1232" t="s">
        <v>2487</v>
      </c>
    </row>
    <row r="1233" spans="1:19">
      <c r="A1233" t="s">
        <v>4748</v>
      </c>
      <c r="B1233" t="s">
        <v>1146</v>
      </c>
      <c r="C1233" t="s">
        <v>3607</v>
      </c>
      <c r="D1233">
        <v>383</v>
      </c>
      <c r="E1233" t="s">
        <v>2490</v>
      </c>
      <c r="F1233">
        <v>4</v>
      </c>
      <c r="H1233" t="s">
        <v>3811</v>
      </c>
      <c r="I1233" t="s">
        <v>3238</v>
      </c>
      <c r="J1233" t="s">
        <v>46</v>
      </c>
      <c r="K1233" t="s">
        <v>46</v>
      </c>
      <c r="L1233">
        <v>5</v>
      </c>
      <c r="M1233">
        <v>2</v>
      </c>
      <c r="N1233" t="s">
        <v>2477</v>
      </c>
      <c r="O1233" t="s">
        <v>1457</v>
      </c>
      <c r="P1233" t="s">
        <v>1444</v>
      </c>
      <c r="Q1233" t="s">
        <v>1443</v>
      </c>
      <c r="R1233" t="s">
        <v>1149</v>
      </c>
      <c r="S1233" t="s">
        <v>2491</v>
      </c>
    </row>
    <row r="1234" spans="1:19">
      <c r="A1234" t="s">
        <v>4751</v>
      </c>
      <c r="B1234" t="s">
        <v>1155</v>
      </c>
      <c r="C1234" t="s">
        <v>3607</v>
      </c>
      <c r="D1234" t="s">
        <v>1156</v>
      </c>
      <c r="E1234" t="s">
        <v>1460</v>
      </c>
      <c r="F1234">
        <v>2</v>
      </c>
      <c r="I1234" t="s">
        <v>3238</v>
      </c>
      <c r="J1234" t="s">
        <v>46</v>
      </c>
      <c r="K1234" t="s">
        <v>46</v>
      </c>
      <c r="L1234">
        <v>5</v>
      </c>
      <c r="M1234">
        <v>2</v>
      </c>
      <c r="N1234" t="s">
        <v>2477</v>
      </c>
      <c r="O1234" t="s">
        <v>1447</v>
      </c>
      <c r="P1234" t="s">
        <v>1444</v>
      </c>
      <c r="Q1234" t="s">
        <v>1443</v>
      </c>
      <c r="R1234" t="s">
        <v>1175</v>
      </c>
      <c r="S1234" t="s">
        <v>2494</v>
      </c>
    </row>
    <row r="1235" spans="1:19">
      <c r="A1235" t="s">
        <v>4752</v>
      </c>
      <c r="B1235" t="s">
        <v>1152</v>
      </c>
      <c r="C1235" t="s">
        <v>3607</v>
      </c>
      <c r="D1235" t="s">
        <v>1153</v>
      </c>
      <c r="E1235" t="s">
        <v>1599</v>
      </c>
      <c r="F1235">
        <v>10</v>
      </c>
      <c r="G1235">
        <v>1</v>
      </c>
      <c r="I1235" t="s">
        <v>3238</v>
      </c>
      <c r="J1235" t="s">
        <v>46</v>
      </c>
      <c r="K1235" t="s">
        <v>46</v>
      </c>
      <c r="L1235">
        <v>5</v>
      </c>
      <c r="M1235">
        <v>3</v>
      </c>
      <c r="N1235" t="s">
        <v>2495</v>
      </c>
      <c r="O1235" t="s">
        <v>1447</v>
      </c>
      <c r="P1235" t="s">
        <v>1444</v>
      </c>
      <c r="Q1235" t="s">
        <v>1804</v>
      </c>
      <c r="R1235" t="s">
        <v>2452</v>
      </c>
      <c r="S1235" t="s">
        <v>2496</v>
      </c>
    </row>
    <row r="1236" spans="1:19">
      <c r="A1236" t="s">
        <v>4753</v>
      </c>
      <c r="B1236" t="s">
        <v>1145</v>
      </c>
      <c r="C1236" t="s">
        <v>3607</v>
      </c>
      <c r="D1236">
        <v>384</v>
      </c>
      <c r="E1236" t="s">
        <v>1511</v>
      </c>
      <c r="F1236" t="s">
        <v>1511</v>
      </c>
      <c r="I1236" t="s">
        <v>3238</v>
      </c>
      <c r="J1236" t="s">
        <v>46</v>
      </c>
      <c r="K1236" t="s">
        <v>46</v>
      </c>
      <c r="L1236">
        <v>5</v>
      </c>
      <c r="M1236">
        <v>3</v>
      </c>
      <c r="N1236" t="s">
        <v>2495</v>
      </c>
      <c r="O1236" t="s">
        <v>1513</v>
      </c>
      <c r="P1236" t="s">
        <v>1444</v>
      </c>
      <c r="Q1236" t="s">
        <v>1513</v>
      </c>
      <c r="R1236" t="s">
        <v>2452</v>
      </c>
      <c r="S1236" t="s">
        <v>2497</v>
      </c>
    </row>
    <row r="1237" spans="1:19">
      <c r="A1237" t="s">
        <v>4754</v>
      </c>
      <c r="B1237" t="s">
        <v>2498</v>
      </c>
      <c r="C1237" t="s">
        <v>3607</v>
      </c>
      <c r="D1237">
        <v>384</v>
      </c>
      <c r="E1237" t="s">
        <v>1482</v>
      </c>
      <c r="F1237">
        <v>7</v>
      </c>
      <c r="I1237" t="s">
        <v>3238</v>
      </c>
      <c r="J1237" t="s">
        <v>46</v>
      </c>
      <c r="K1237" t="s">
        <v>46</v>
      </c>
      <c r="L1237">
        <v>5</v>
      </c>
      <c r="M1237">
        <v>3</v>
      </c>
      <c r="N1237" t="s">
        <v>2495</v>
      </c>
      <c r="O1237" t="s">
        <v>1441</v>
      </c>
      <c r="P1237" t="s">
        <v>1444</v>
      </c>
      <c r="Q1237" t="s">
        <v>1443</v>
      </c>
      <c r="R1237" t="s">
        <v>2471</v>
      </c>
      <c r="S1237" t="s">
        <v>2499</v>
      </c>
    </row>
    <row r="1238" spans="1:19">
      <c r="A1238" t="s">
        <v>4755</v>
      </c>
      <c r="B1238" t="s">
        <v>2500</v>
      </c>
      <c r="C1238" t="s">
        <v>3607</v>
      </c>
      <c r="D1238">
        <v>384</v>
      </c>
      <c r="E1238" t="s">
        <v>1511</v>
      </c>
      <c r="F1238" t="s">
        <v>1511</v>
      </c>
      <c r="I1238" t="s">
        <v>3238</v>
      </c>
      <c r="J1238" t="s">
        <v>46</v>
      </c>
      <c r="K1238" t="s">
        <v>46</v>
      </c>
      <c r="L1238">
        <v>5</v>
      </c>
      <c r="M1238">
        <v>3</v>
      </c>
      <c r="N1238" t="s">
        <v>2495</v>
      </c>
      <c r="O1238" t="s">
        <v>1513</v>
      </c>
      <c r="P1238" t="s">
        <v>1444</v>
      </c>
      <c r="Q1238" t="s">
        <v>1513</v>
      </c>
      <c r="R1238" t="s">
        <v>1166</v>
      </c>
      <c r="S1238" t="s">
        <v>2501</v>
      </c>
    </row>
    <row r="1239" spans="1:19">
      <c r="A1239" t="s">
        <v>4756</v>
      </c>
      <c r="B1239" t="s">
        <v>2502</v>
      </c>
      <c r="C1239" t="s">
        <v>3607</v>
      </c>
      <c r="D1239" t="s">
        <v>1142</v>
      </c>
      <c r="E1239" t="s">
        <v>1439</v>
      </c>
      <c r="F1239">
        <v>1</v>
      </c>
      <c r="I1239" t="s">
        <v>3238</v>
      </c>
      <c r="J1239" t="s">
        <v>46</v>
      </c>
      <c r="K1239" t="s">
        <v>46</v>
      </c>
      <c r="L1239">
        <v>5</v>
      </c>
      <c r="M1239">
        <v>3</v>
      </c>
      <c r="N1239" t="s">
        <v>2495</v>
      </c>
      <c r="O1239" t="s">
        <v>1447</v>
      </c>
      <c r="P1239" t="s">
        <v>1444</v>
      </c>
      <c r="Q1239" t="s">
        <v>1443</v>
      </c>
      <c r="R1239" t="s">
        <v>1166</v>
      </c>
      <c r="S1239" t="s">
        <v>2503</v>
      </c>
    </row>
    <row r="1240" spans="1:19">
      <c r="A1240" t="s">
        <v>4757</v>
      </c>
      <c r="B1240" t="s">
        <v>1154</v>
      </c>
      <c r="C1240" t="s">
        <v>3607</v>
      </c>
      <c r="D1240">
        <v>385</v>
      </c>
      <c r="E1240" t="s">
        <v>2504</v>
      </c>
      <c r="F1240">
        <v>7</v>
      </c>
      <c r="I1240" t="s">
        <v>3238</v>
      </c>
      <c r="J1240" t="s">
        <v>46</v>
      </c>
      <c r="K1240" t="s">
        <v>46</v>
      </c>
      <c r="L1240">
        <v>5</v>
      </c>
      <c r="M1240">
        <v>3</v>
      </c>
      <c r="N1240" t="s">
        <v>2495</v>
      </c>
      <c r="O1240" t="s">
        <v>1457</v>
      </c>
      <c r="P1240" t="s">
        <v>1620</v>
      </c>
      <c r="Q1240" t="s">
        <v>1473</v>
      </c>
      <c r="R1240" t="s">
        <v>1137</v>
      </c>
      <c r="S1240" t="s">
        <v>2505</v>
      </c>
    </row>
    <row r="1241" spans="1:19">
      <c r="A1241" t="s">
        <v>4758</v>
      </c>
      <c r="B1241" t="s">
        <v>1165</v>
      </c>
      <c r="C1241" t="s">
        <v>3607</v>
      </c>
      <c r="D1241">
        <v>385</v>
      </c>
      <c r="E1241" t="s">
        <v>1439</v>
      </c>
      <c r="F1241">
        <v>1</v>
      </c>
      <c r="I1241" t="s">
        <v>3238</v>
      </c>
      <c r="J1241" t="s">
        <v>46</v>
      </c>
      <c r="K1241" t="s">
        <v>46</v>
      </c>
      <c r="L1241">
        <v>5</v>
      </c>
      <c r="M1241">
        <v>3</v>
      </c>
      <c r="N1241" t="s">
        <v>2495</v>
      </c>
      <c r="O1241" t="s">
        <v>1447</v>
      </c>
      <c r="P1241" t="s">
        <v>1444</v>
      </c>
      <c r="Q1241" t="s">
        <v>1600</v>
      </c>
      <c r="R1241" t="s">
        <v>1137</v>
      </c>
      <c r="S1241" t="s">
        <v>2506</v>
      </c>
    </row>
    <row r="1242" spans="1:19">
      <c r="A1242" t="s">
        <v>4759</v>
      </c>
      <c r="B1242" t="s">
        <v>1164</v>
      </c>
      <c r="C1242" t="s">
        <v>3607</v>
      </c>
      <c r="D1242">
        <v>385</v>
      </c>
      <c r="E1242" t="s">
        <v>1924</v>
      </c>
      <c r="F1242">
        <v>2</v>
      </c>
      <c r="G1242">
        <v>1</v>
      </c>
      <c r="I1242" t="s">
        <v>3238</v>
      </c>
      <c r="J1242" t="s">
        <v>46</v>
      </c>
      <c r="K1242" t="s">
        <v>46</v>
      </c>
      <c r="L1242">
        <v>5</v>
      </c>
      <c r="M1242">
        <v>3</v>
      </c>
      <c r="N1242" t="s">
        <v>2495</v>
      </c>
      <c r="O1242" t="s">
        <v>1447</v>
      </c>
      <c r="P1242" t="s">
        <v>1444</v>
      </c>
      <c r="Q1242" t="s">
        <v>1443</v>
      </c>
      <c r="R1242" t="s">
        <v>1165</v>
      </c>
      <c r="S1242" t="s">
        <v>2507</v>
      </c>
    </row>
    <row r="1243" spans="1:19">
      <c r="A1243" t="s">
        <v>4760</v>
      </c>
      <c r="B1243" t="s">
        <v>1172</v>
      </c>
      <c r="C1243" t="s">
        <v>3607</v>
      </c>
      <c r="D1243">
        <v>385</v>
      </c>
      <c r="E1243" t="s">
        <v>2508</v>
      </c>
      <c r="F1243" t="s">
        <v>3812</v>
      </c>
      <c r="H1243" t="s">
        <v>3813</v>
      </c>
      <c r="I1243" t="s">
        <v>3238</v>
      </c>
      <c r="J1243" t="s">
        <v>46</v>
      </c>
      <c r="K1243" t="s">
        <v>46</v>
      </c>
      <c r="L1243">
        <v>5</v>
      </c>
      <c r="M1243">
        <v>3</v>
      </c>
      <c r="N1243" t="s">
        <v>2495</v>
      </c>
      <c r="O1243" t="s">
        <v>1447</v>
      </c>
      <c r="P1243" t="s">
        <v>1444</v>
      </c>
      <c r="Q1243" t="s">
        <v>1443</v>
      </c>
      <c r="R1243" t="s">
        <v>1143</v>
      </c>
      <c r="S1243" t="s">
        <v>2509</v>
      </c>
    </row>
    <row r="1244" spans="1:19">
      <c r="A1244" t="s">
        <v>4761</v>
      </c>
      <c r="B1244" t="s">
        <v>1136</v>
      </c>
      <c r="C1244" t="s">
        <v>3607</v>
      </c>
      <c r="D1244">
        <v>385</v>
      </c>
      <c r="E1244" t="s">
        <v>1554</v>
      </c>
      <c r="F1244">
        <v>4</v>
      </c>
      <c r="I1244" t="s">
        <v>3238</v>
      </c>
      <c r="J1244" t="s">
        <v>46</v>
      </c>
      <c r="K1244" t="s">
        <v>46</v>
      </c>
      <c r="L1244">
        <v>5</v>
      </c>
      <c r="M1244">
        <v>3</v>
      </c>
      <c r="N1244" t="s">
        <v>2495</v>
      </c>
      <c r="O1244" t="s">
        <v>1447</v>
      </c>
      <c r="P1244" t="s">
        <v>1444</v>
      </c>
      <c r="Q1244" t="s">
        <v>1804</v>
      </c>
      <c r="R1244" t="s">
        <v>1172</v>
      </c>
      <c r="S1244" t="s">
        <v>2510</v>
      </c>
    </row>
    <row r="1245" spans="1:19">
      <c r="A1245" t="s">
        <v>4762</v>
      </c>
      <c r="B1245" t="s">
        <v>1170</v>
      </c>
      <c r="C1245" t="s">
        <v>3607</v>
      </c>
      <c r="D1245" t="s">
        <v>1171</v>
      </c>
      <c r="E1245" t="s">
        <v>1511</v>
      </c>
      <c r="F1245" t="s">
        <v>1511</v>
      </c>
      <c r="I1245" t="s">
        <v>3238</v>
      </c>
      <c r="J1245" t="s">
        <v>46</v>
      </c>
      <c r="K1245" t="s">
        <v>46</v>
      </c>
      <c r="L1245">
        <v>5</v>
      </c>
      <c r="M1245">
        <v>3</v>
      </c>
      <c r="N1245" t="s">
        <v>2495</v>
      </c>
      <c r="O1245" t="s">
        <v>1513</v>
      </c>
      <c r="P1245" t="s">
        <v>1444</v>
      </c>
      <c r="Q1245" t="s">
        <v>1513</v>
      </c>
      <c r="R1245" t="s">
        <v>2488</v>
      </c>
      <c r="S1245" t="s">
        <v>2511</v>
      </c>
    </row>
    <row r="1246" spans="1:19">
      <c r="A1246" t="s">
        <v>4764</v>
      </c>
      <c r="B1246" t="s">
        <v>1161</v>
      </c>
      <c r="C1246" t="s">
        <v>3607</v>
      </c>
      <c r="D1246">
        <v>386</v>
      </c>
      <c r="E1246" t="s">
        <v>1467</v>
      </c>
      <c r="F1246">
        <v>5</v>
      </c>
      <c r="G1246">
        <v>1</v>
      </c>
      <c r="I1246" t="s">
        <v>3238</v>
      </c>
      <c r="J1246" t="s">
        <v>46</v>
      </c>
      <c r="K1246" t="s">
        <v>46</v>
      </c>
      <c r="L1246">
        <v>5</v>
      </c>
      <c r="M1246">
        <v>3</v>
      </c>
      <c r="N1246" t="s">
        <v>2495</v>
      </c>
      <c r="O1246" t="s">
        <v>1447</v>
      </c>
      <c r="P1246" t="s">
        <v>1630</v>
      </c>
      <c r="Q1246" t="s">
        <v>1443</v>
      </c>
      <c r="R1246" t="s">
        <v>1157</v>
      </c>
      <c r="S1246" t="s">
        <v>2514</v>
      </c>
    </row>
    <row r="1247" spans="1:19">
      <c r="A1247" t="s">
        <v>4765</v>
      </c>
      <c r="B1247" t="s">
        <v>1147</v>
      </c>
      <c r="C1247" t="s">
        <v>3607</v>
      </c>
      <c r="D1247">
        <v>386</v>
      </c>
      <c r="E1247" t="s">
        <v>1541</v>
      </c>
      <c r="F1247">
        <v>5</v>
      </c>
      <c r="I1247" t="s">
        <v>3238</v>
      </c>
      <c r="J1247" t="s">
        <v>46</v>
      </c>
      <c r="K1247" t="s">
        <v>46</v>
      </c>
      <c r="L1247">
        <v>5</v>
      </c>
      <c r="M1247">
        <v>3</v>
      </c>
      <c r="N1247" t="s">
        <v>2495</v>
      </c>
      <c r="O1247" t="s">
        <v>1457</v>
      </c>
      <c r="P1247" t="s">
        <v>1444</v>
      </c>
      <c r="Q1247" t="s">
        <v>1473</v>
      </c>
      <c r="R1247" t="s">
        <v>1155</v>
      </c>
      <c r="S1247" t="s">
        <v>2515</v>
      </c>
    </row>
    <row r="1248" spans="1:19">
      <c r="A1248" t="s">
        <v>7115</v>
      </c>
      <c r="B1248" t="s">
        <v>6085</v>
      </c>
      <c r="C1248" t="s">
        <v>3968</v>
      </c>
      <c r="D1248">
        <v>251</v>
      </c>
      <c r="E1248" t="s">
        <v>5071</v>
      </c>
      <c r="F1248">
        <v>2</v>
      </c>
      <c r="I1248" t="s">
        <v>3560</v>
      </c>
      <c r="J1248" t="s">
        <v>46</v>
      </c>
      <c r="K1248" t="s">
        <v>46</v>
      </c>
      <c r="L1248">
        <v>1</v>
      </c>
      <c r="M1248">
        <v>1</v>
      </c>
      <c r="N1248" t="s">
        <v>2453</v>
      </c>
      <c r="O1248" t="s">
        <v>1441</v>
      </c>
      <c r="P1248" t="s">
        <v>5713</v>
      </c>
      <c r="Q1248" t="s">
        <v>1443</v>
      </c>
      <c r="R1248" t="s">
        <v>1444</v>
      </c>
      <c r="S1248" t="s">
        <v>6086</v>
      </c>
    </row>
    <row r="1249" spans="1:19">
      <c r="A1249" t="s">
        <v>7116</v>
      </c>
      <c r="B1249" t="s">
        <v>6087</v>
      </c>
      <c r="C1249" t="s">
        <v>3968</v>
      </c>
      <c r="D1249">
        <v>251</v>
      </c>
      <c r="E1249" t="s">
        <v>1554</v>
      </c>
      <c r="F1249">
        <v>4</v>
      </c>
      <c r="I1249" t="s">
        <v>3560</v>
      </c>
      <c r="J1249" t="s">
        <v>46</v>
      </c>
      <c r="K1249" t="s">
        <v>46</v>
      </c>
      <c r="L1249">
        <v>2</v>
      </c>
      <c r="M1249">
        <v>1</v>
      </c>
      <c r="N1249" t="s">
        <v>2455</v>
      </c>
      <c r="O1249" t="s">
        <v>1441</v>
      </c>
      <c r="P1249" t="s">
        <v>5080</v>
      </c>
      <c r="Q1249" t="s">
        <v>1443</v>
      </c>
      <c r="R1249" t="s">
        <v>1444</v>
      </c>
      <c r="S1249" t="s">
        <v>6088</v>
      </c>
    </row>
    <row r="1250" spans="1:19">
      <c r="A1250" t="s">
        <v>7118</v>
      </c>
      <c r="B1250" t="s">
        <v>6091</v>
      </c>
      <c r="C1250" t="s">
        <v>3968</v>
      </c>
      <c r="D1250">
        <v>252</v>
      </c>
      <c r="E1250" t="s">
        <v>1450</v>
      </c>
      <c r="F1250">
        <v>3</v>
      </c>
      <c r="I1250" t="s">
        <v>3560</v>
      </c>
      <c r="J1250" t="s">
        <v>46</v>
      </c>
      <c r="K1250" t="s">
        <v>46</v>
      </c>
      <c r="L1250">
        <v>2</v>
      </c>
      <c r="M1250">
        <v>1</v>
      </c>
      <c r="N1250" t="s">
        <v>2455</v>
      </c>
      <c r="O1250" t="s">
        <v>1447</v>
      </c>
      <c r="P1250" t="s">
        <v>5002</v>
      </c>
      <c r="Q1250" t="s">
        <v>1443</v>
      </c>
      <c r="R1250" t="s">
        <v>1444</v>
      </c>
      <c r="S1250" t="s">
        <v>6092</v>
      </c>
    </row>
    <row r="1251" spans="1:19">
      <c r="A1251" t="s">
        <v>7117</v>
      </c>
      <c r="B1251" t="s">
        <v>6089</v>
      </c>
      <c r="C1251" t="s">
        <v>3968</v>
      </c>
      <c r="D1251">
        <v>251</v>
      </c>
      <c r="E1251" t="s">
        <v>1554</v>
      </c>
      <c r="F1251">
        <v>4</v>
      </c>
      <c r="I1251" t="s">
        <v>3560</v>
      </c>
      <c r="J1251" t="s">
        <v>46</v>
      </c>
      <c r="K1251" t="s">
        <v>46</v>
      </c>
      <c r="L1251">
        <v>3</v>
      </c>
      <c r="M1251">
        <v>1</v>
      </c>
      <c r="N1251" t="s">
        <v>2457</v>
      </c>
      <c r="O1251" t="s">
        <v>1447</v>
      </c>
      <c r="P1251" t="s">
        <v>5717</v>
      </c>
      <c r="Q1251" t="s">
        <v>1473</v>
      </c>
      <c r="R1251" t="s">
        <v>1444</v>
      </c>
      <c r="S1251" t="s">
        <v>6090</v>
      </c>
    </row>
    <row r="1252" spans="1:19">
      <c r="A1252" t="s">
        <v>7119</v>
      </c>
      <c r="B1252" t="s">
        <v>6093</v>
      </c>
      <c r="C1252" t="s">
        <v>3968</v>
      </c>
      <c r="D1252">
        <v>252</v>
      </c>
      <c r="E1252" t="s">
        <v>1450</v>
      </c>
      <c r="F1252">
        <v>3</v>
      </c>
      <c r="I1252" t="s">
        <v>3560</v>
      </c>
      <c r="J1252" t="s">
        <v>46</v>
      </c>
      <c r="K1252" t="s">
        <v>46</v>
      </c>
      <c r="L1252">
        <v>3</v>
      </c>
      <c r="M1252">
        <v>2</v>
      </c>
      <c r="N1252" t="s">
        <v>2469</v>
      </c>
      <c r="O1252" t="s">
        <v>1447</v>
      </c>
      <c r="P1252" t="s">
        <v>5717</v>
      </c>
      <c r="Q1252" t="s">
        <v>1443</v>
      </c>
      <c r="R1252" t="s">
        <v>6091</v>
      </c>
      <c r="S1252" t="s">
        <v>6094</v>
      </c>
    </row>
    <row r="1253" spans="1:19">
      <c r="A1253" t="s">
        <v>7120</v>
      </c>
      <c r="B1253" t="s">
        <v>6095</v>
      </c>
      <c r="C1253" t="s">
        <v>3968</v>
      </c>
      <c r="D1253">
        <v>252</v>
      </c>
      <c r="E1253" t="s">
        <v>1541</v>
      </c>
      <c r="F1253">
        <v>5</v>
      </c>
      <c r="I1253" t="s">
        <v>3560</v>
      </c>
      <c r="J1253" t="s">
        <v>46</v>
      </c>
      <c r="K1253" t="s">
        <v>46</v>
      </c>
      <c r="L1253">
        <v>3</v>
      </c>
      <c r="M1253">
        <v>2</v>
      </c>
      <c r="N1253" t="s">
        <v>2469</v>
      </c>
      <c r="O1253" t="s">
        <v>1447</v>
      </c>
      <c r="P1253" t="s">
        <v>5507</v>
      </c>
      <c r="Q1253" t="s">
        <v>2189</v>
      </c>
      <c r="R1253" t="s">
        <v>6096</v>
      </c>
      <c r="S1253" t="s">
        <v>6097</v>
      </c>
    </row>
    <row r="1254" spans="1:19">
      <c r="A1254" t="s">
        <v>7122</v>
      </c>
      <c r="B1254" t="s">
        <v>6100</v>
      </c>
      <c r="C1254" t="s">
        <v>3968</v>
      </c>
      <c r="D1254">
        <v>252</v>
      </c>
      <c r="E1254" t="s">
        <v>1554</v>
      </c>
      <c r="F1254">
        <v>4</v>
      </c>
      <c r="I1254" t="s">
        <v>3560</v>
      </c>
      <c r="J1254" t="s">
        <v>46</v>
      </c>
      <c r="K1254" t="s">
        <v>46</v>
      </c>
      <c r="L1254">
        <v>3</v>
      </c>
      <c r="M1254">
        <v>2</v>
      </c>
      <c r="N1254" t="s">
        <v>2469</v>
      </c>
      <c r="O1254" t="s">
        <v>1457</v>
      </c>
      <c r="P1254" t="s">
        <v>5002</v>
      </c>
      <c r="Q1254" t="s">
        <v>1443</v>
      </c>
      <c r="R1254" t="s">
        <v>6091</v>
      </c>
      <c r="S1254" t="s">
        <v>6101</v>
      </c>
    </row>
    <row r="1255" spans="1:19">
      <c r="A1255" t="s">
        <v>7121</v>
      </c>
      <c r="B1255" t="s">
        <v>6098</v>
      </c>
      <c r="C1255" t="s">
        <v>3968</v>
      </c>
      <c r="D1255">
        <v>252</v>
      </c>
      <c r="E1255" t="s">
        <v>1541</v>
      </c>
      <c r="F1255">
        <v>5</v>
      </c>
      <c r="I1255" t="s">
        <v>3560</v>
      </c>
      <c r="J1255" t="s">
        <v>46</v>
      </c>
      <c r="K1255" t="s">
        <v>46</v>
      </c>
      <c r="L1255">
        <v>4</v>
      </c>
      <c r="M1255">
        <v>2</v>
      </c>
      <c r="N1255" t="s">
        <v>2473</v>
      </c>
      <c r="O1255" t="s">
        <v>1441</v>
      </c>
      <c r="P1255" t="s">
        <v>5083</v>
      </c>
      <c r="Q1255" t="s">
        <v>1443</v>
      </c>
      <c r="R1255" t="s">
        <v>6089</v>
      </c>
      <c r="S1255" t="s">
        <v>6099</v>
      </c>
    </row>
    <row r="1256" spans="1:19">
      <c r="A1256" t="s">
        <v>7130</v>
      </c>
      <c r="B1256" t="s">
        <v>6120</v>
      </c>
      <c r="C1256" t="s">
        <v>3968</v>
      </c>
      <c r="D1256">
        <v>254</v>
      </c>
      <c r="E1256" t="s">
        <v>6121</v>
      </c>
      <c r="F1256">
        <v>3</v>
      </c>
      <c r="H1256" t="s">
        <v>2420</v>
      </c>
      <c r="I1256" t="s">
        <v>3560</v>
      </c>
      <c r="J1256" t="s">
        <v>46</v>
      </c>
      <c r="K1256" t="s">
        <v>46</v>
      </c>
      <c r="L1256">
        <v>4</v>
      </c>
      <c r="M1256">
        <v>3</v>
      </c>
      <c r="N1256" t="s">
        <v>2512</v>
      </c>
      <c r="O1256" t="s">
        <v>1447</v>
      </c>
      <c r="P1256" t="s">
        <v>5961</v>
      </c>
      <c r="Q1256" t="s">
        <v>1443</v>
      </c>
      <c r="R1256" t="s">
        <v>6093</v>
      </c>
      <c r="S1256" t="s">
        <v>6122</v>
      </c>
    </row>
    <row r="1257" spans="1:19">
      <c r="A1257" t="s">
        <v>7131</v>
      </c>
      <c r="B1257" t="s">
        <v>6123</v>
      </c>
      <c r="C1257" t="s">
        <v>3968</v>
      </c>
      <c r="D1257">
        <v>254</v>
      </c>
      <c r="E1257" t="s">
        <v>1465</v>
      </c>
      <c r="F1257">
        <v>1</v>
      </c>
      <c r="G1257">
        <v>1</v>
      </c>
      <c r="I1257" t="s">
        <v>3560</v>
      </c>
      <c r="J1257" t="s">
        <v>46</v>
      </c>
      <c r="K1257" t="s">
        <v>46</v>
      </c>
      <c r="L1257">
        <v>4</v>
      </c>
      <c r="M1257">
        <v>3</v>
      </c>
      <c r="N1257" t="s">
        <v>2512</v>
      </c>
      <c r="O1257" t="s">
        <v>1457</v>
      </c>
      <c r="P1257" t="s">
        <v>5075</v>
      </c>
      <c r="Q1257" t="s">
        <v>1443</v>
      </c>
      <c r="R1257" t="s">
        <v>6100</v>
      </c>
      <c r="S1257" t="s">
        <v>6124</v>
      </c>
    </row>
    <row r="1258" spans="1:19">
      <c r="A1258" t="s">
        <v>7132</v>
      </c>
      <c r="B1258" t="s">
        <v>6125</v>
      </c>
      <c r="C1258" t="s">
        <v>3968</v>
      </c>
      <c r="D1258">
        <v>255</v>
      </c>
      <c r="E1258" t="s">
        <v>1541</v>
      </c>
      <c r="F1258">
        <v>5</v>
      </c>
      <c r="I1258" t="s">
        <v>3560</v>
      </c>
      <c r="J1258" t="s">
        <v>46</v>
      </c>
      <c r="K1258" t="s">
        <v>46</v>
      </c>
      <c r="L1258">
        <v>4</v>
      </c>
      <c r="M1258">
        <v>3</v>
      </c>
      <c r="N1258" t="s">
        <v>2512</v>
      </c>
      <c r="O1258" t="s">
        <v>1447</v>
      </c>
      <c r="P1258" t="s">
        <v>5002</v>
      </c>
      <c r="Q1258" t="s">
        <v>1473</v>
      </c>
      <c r="R1258" t="s">
        <v>6098</v>
      </c>
      <c r="S1258" t="s">
        <v>6126</v>
      </c>
    </row>
    <row r="1259" spans="1:19">
      <c r="A1259" t="s">
        <v>7133</v>
      </c>
      <c r="B1259" t="s">
        <v>6127</v>
      </c>
      <c r="C1259" t="s">
        <v>3968</v>
      </c>
      <c r="D1259">
        <v>255</v>
      </c>
      <c r="E1259" t="s">
        <v>1554</v>
      </c>
      <c r="F1259">
        <v>4</v>
      </c>
      <c r="I1259" t="s">
        <v>3560</v>
      </c>
      <c r="J1259" t="s">
        <v>46</v>
      </c>
      <c r="K1259" t="s">
        <v>46</v>
      </c>
      <c r="L1259">
        <v>4</v>
      </c>
      <c r="M1259">
        <v>3</v>
      </c>
      <c r="N1259" t="s">
        <v>2512</v>
      </c>
      <c r="O1259" t="s">
        <v>1441</v>
      </c>
      <c r="P1259" t="s">
        <v>5080</v>
      </c>
      <c r="Q1259" t="s">
        <v>1443</v>
      </c>
      <c r="R1259" t="s">
        <v>6095</v>
      </c>
      <c r="S1259" t="s">
        <v>6128</v>
      </c>
    </row>
    <row r="1260" spans="1:19">
      <c r="A1260" t="s">
        <v>7123</v>
      </c>
      <c r="B1260" t="s">
        <v>6102</v>
      </c>
      <c r="C1260" t="s">
        <v>3968</v>
      </c>
      <c r="D1260">
        <v>252</v>
      </c>
      <c r="E1260" t="s">
        <v>6103</v>
      </c>
      <c r="F1260">
        <v>2</v>
      </c>
      <c r="H1260" t="s">
        <v>1507</v>
      </c>
      <c r="I1260" t="s">
        <v>3560</v>
      </c>
      <c r="J1260" t="s">
        <v>46</v>
      </c>
      <c r="K1260" t="s">
        <v>46</v>
      </c>
      <c r="L1260">
        <v>5</v>
      </c>
      <c r="M1260">
        <v>2</v>
      </c>
      <c r="N1260" t="s">
        <v>2477</v>
      </c>
      <c r="O1260" t="s">
        <v>1447</v>
      </c>
      <c r="P1260" t="s">
        <v>5013</v>
      </c>
      <c r="Q1260" t="s">
        <v>1443</v>
      </c>
      <c r="R1260" t="s">
        <v>6098</v>
      </c>
      <c r="S1260" t="s">
        <v>6104</v>
      </c>
    </row>
    <row r="1261" spans="1:19">
      <c r="A1261" t="s">
        <v>7124</v>
      </c>
      <c r="B1261" t="s">
        <v>6105</v>
      </c>
      <c r="C1261" t="s">
        <v>3968</v>
      </c>
      <c r="D1261">
        <v>253</v>
      </c>
      <c r="E1261" t="s">
        <v>1476</v>
      </c>
      <c r="F1261">
        <v>3</v>
      </c>
      <c r="G1261">
        <v>1</v>
      </c>
      <c r="I1261" t="s">
        <v>3560</v>
      </c>
      <c r="J1261" t="s">
        <v>46</v>
      </c>
      <c r="K1261" t="s">
        <v>46</v>
      </c>
      <c r="L1261">
        <v>5</v>
      </c>
      <c r="M1261">
        <v>2</v>
      </c>
      <c r="N1261" t="s">
        <v>2477</v>
      </c>
      <c r="O1261" t="s">
        <v>1441</v>
      </c>
      <c r="P1261" t="s">
        <v>5083</v>
      </c>
      <c r="Q1261" t="s">
        <v>1443</v>
      </c>
      <c r="R1261" t="s">
        <v>6091</v>
      </c>
      <c r="S1261" t="s">
        <v>6106</v>
      </c>
    </row>
    <row r="1262" spans="1:19">
      <c r="A1262" t="s">
        <v>7125</v>
      </c>
      <c r="B1262" t="s">
        <v>6107</v>
      </c>
      <c r="C1262" t="s">
        <v>3968</v>
      </c>
      <c r="D1262">
        <v>253</v>
      </c>
      <c r="E1262" t="s">
        <v>1476</v>
      </c>
      <c r="F1262">
        <v>3</v>
      </c>
      <c r="G1262">
        <v>1</v>
      </c>
      <c r="I1262" t="s">
        <v>3560</v>
      </c>
      <c r="J1262" t="s">
        <v>46</v>
      </c>
      <c r="K1262" t="s">
        <v>46</v>
      </c>
      <c r="L1262">
        <v>5</v>
      </c>
      <c r="M1262">
        <v>3</v>
      </c>
      <c r="N1262" t="s">
        <v>2495</v>
      </c>
      <c r="O1262" t="s">
        <v>1457</v>
      </c>
      <c r="P1262" t="s">
        <v>5287</v>
      </c>
      <c r="Q1262" t="s">
        <v>1443</v>
      </c>
      <c r="R1262" t="s">
        <v>6105</v>
      </c>
      <c r="S1262" t="s">
        <v>6108</v>
      </c>
    </row>
    <row r="1263" spans="1:19">
      <c r="A1263" t="s">
        <v>7126</v>
      </c>
      <c r="B1263" t="s">
        <v>6109</v>
      </c>
      <c r="C1263" t="s">
        <v>3968</v>
      </c>
      <c r="D1263">
        <v>253</v>
      </c>
      <c r="E1263" t="s">
        <v>1541</v>
      </c>
      <c r="F1263">
        <v>5</v>
      </c>
      <c r="I1263" t="s">
        <v>3560</v>
      </c>
      <c r="J1263" t="s">
        <v>46</v>
      </c>
      <c r="K1263" t="s">
        <v>46</v>
      </c>
      <c r="L1263">
        <v>5</v>
      </c>
      <c r="M1263">
        <v>3</v>
      </c>
      <c r="N1263" t="s">
        <v>2495</v>
      </c>
      <c r="O1263" t="s">
        <v>1457</v>
      </c>
      <c r="P1263" t="s">
        <v>5676</v>
      </c>
      <c r="Q1263" t="s">
        <v>1473</v>
      </c>
      <c r="R1263" t="s">
        <v>6110</v>
      </c>
      <c r="S1263" t="s">
        <v>6111</v>
      </c>
    </row>
    <row r="1264" spans="1:19">
      <c r="A1264" t="s">
        <v>7127</v>
      </c>
      <c r="B1264" t="s">
        <v>6112</v>
      </c>
      <c r="C1264" t="s">
        <v>3968</v>
      </c>
      <c r="D1264">
        <v>254</v>
      </c>
      <c r="E1264" t="s">
        <v>2039</v>
      </c>
      <c r="F1264">
        <v>8</v>
      </c>
      <c r="G1264">
        <v>1</v>
      </c>
      <c r="I1264" t="s">
        <v>3560</v>
      </c>
      <c r="J1264" t="s">
        <v>46</v>
      </c>
      <c r="K1264" t="s">
        <v>46</v>
      </c>
      <c r="L1264">
        <v>5</v>
      </c>
      <c r="M1264">
        <v>3</v>
      </c>
      <c r="N1264" t="s">
        <v>2495</v>
      </c>
      <c r="O1264" t="s">
        <v>1457</v>
      </c>
      <c r="P1264" t="s">
        <v>5290</v>
      </c>
      <c r="Q1264" t="s">
        <v>1443</v>
      </c>
      <c r="R1264" t="s">
        <v>6102</v>
      </c>
      <c r="S1264" t="s">
        <v>6113</v>
      </c>
    </row>
    <row r="1265" spans="1:19">
      <c r="A1265" t="s">
        <v>7128</v>
      </c>
      <c r="B1265" t="s">
        <v>6114</v>
      </c>
      <c r="C1265" t="s">
        <v>3968</v>
      </c>
      <c r="D1265">
        <v>254</v>
      </c>
      <c r="E1265" t="s">
        <v>1476</v>
      </c>
      <c r="F1265">
        <v>3</v>
      </c>
      <c r="G1265">
        <v>1</v>
      </c>
      <c r="I1265" t="s">
        <v>3560</v>
      </c>
      <c r="J1265" t="s">
        <v>46</v>
      </c>
      <c r="K1265" t="s">
        <v>46</v>
      </c>
      <c r="L1265">
        <v>5</v>
      </c>
      <c r="M1265">
        <v>3</v>
      </c>
      <c r="N1265" t="s">
        <v>2495</v>
      </c>
      <c r="O1265" t="s">
        <v>1457</v>
      </c>
      <c r="P1265" t="s">
        <v>5112</v>
      </c>
      <c r="Q1265" t="s">
        <v>1804</v>
      </c>
      <c r="R1265" t="s">
        <v>1444</v>
      </c>
      <c r="S1265" t="s">
        <v>6115</v>
      </c>
    </row>
    <row r="1266" spans="1:19">
      <c r="A1266" t="s">
        <v>7129</v>
      </c>
      <c r="B1266" t="s">
        <v>6116</v>
      </c>
      <c r="C1266" t="s">
        <v>3968</v>
      </c>
      <c r="D1266">
        <v>254</v>
      </c>
      <c r="E1266" t="s">
        <v>6117</v>
      </c>
      <c r="F1266">
        <v>5</v>
      </c>
      <c r="G1266">
        <v>1</v>
      </c>
      <c r="H1266" t="s">
        <v>6118</v>
      </c>
      <c r="I1266" t="s">
        <v>3560</v>
      </c>
      <c r="J1266" t="s">
        <v>46</v>
      </c>
      <c r="K1266" t="s">
        <v>46</v>
      </c>
      <c r="L1266">
        <v>5</v>
      </c>
      <c r="M1266">
        <v>3</v>
      </c>
      <c r="N1266" t="s">
        <v>2495</v>
      </c>
      <c r="O1266" t="s">
        <v>1457</v>
      </c>
      <c r="P1266" t="s">
        <v>5115</v>
      </c>
      <c r="Q1266" t="s">
        <v>1443</v>
      </c>
      <c r="R1266" t="s">
        <v>6091</v>
      </c>
      <c r="S1266" t="s">
        <v>6119</v>
      </c>
    </row>
    <row r="1267" spans="1:19">
      <c r="A1267" t="s">
        <v>7134</v>
      </c>
      <c r="B1267" t="s">
        <v>6129</v>
      </c>
      <c r="C1267" t="s">
        <v>3968</v>
      </c>
      <c r="D1267">
        <v>255</v>
      </c>
      <c r="E1267" t="s">
        <v>1465</v>
      </c>
      <c r="F1267">
        <v>1</v>
      </c>
      <c r="G1267">
        <v>1</v>
      </c>
      <c r="I1267" t="s">
        <v>3560</v>
      </c>
      <c r="J1267" t="s">
        <v>46</v>
      </c>
      <c r="K1267" t="s">
        <v>46</v>
      </c>
      <c r="L1267">
        <v>5</v>
      </c>
      <c r="M1267">
        <v>3</v>
      </c>
      <c r="N1267" t="s">
        <v>2495</v>
      </c>
      <c r="O1267" t="s">
        <v>1457</v>
      </c>
      <c r="P1267" t="s">
        <v>5002</v>
      </c>
      <c r="Q1267" t="s">
        <v>1534</v>
      </c>
      <c r="R1267" t="s">
        <v>6125</v>
      </c>
      <c r="S1267" t="s">
        <v>6130</v>
      </c>
    </row>
    <row r="1268" spans="1:19">
      <c r="A1268" t="s">
        <v>7135</v>
      </c>
      <c r="B1268" t="s">
        <v>6131</v>
      </c>
      <c r="C1268" t="s">
        <v>3968</v>
      </c>
      <c r="D1268">
        <v>255</v>
      </c>
      <c r="E1268" t="s">
        <v>1543</v>
      </c>
      <c r="F1268">
        <v>7</v>
      </c>
      <c r="G1268">
        <v>1</v>
      </c>
      <c r="I1268" t="s">
        <v>3560</v>
      </c>
      <c r="J1268" t="s">
        <v>46</v>
      </c>
      <c r="K1268" t="s">
        <v>46</v>
      </c>
      <c r="L1268">
        <v>5</v>
      </c>
      <c r="M1268">
        <v>4</v>
      </c>
      <c r="N1268" t="s">
        <v>6132</v>
      </c>
      <c r="O1268" t="s">
        <v>1441</v>
      </c>
      <c r="P1268" t="s">
        <v>5382</v>
      </c>
      <c r="Q1268" t="s">
        <v>1443</v>
      </c>
      <c r="R1268" t="s">
        <v>6133</v>
      </c>
      <c r="S1268" t="s">
        <v>6134</v>
      </c>
    </row>
    <row r="1269" spans="1:19">
      <c r="A1269" t="s">
        <v>7136</v>
      </c>
      <c r="B1269" t="s">
        <v>6133</v>
      </c>
      <c r="C1269" t="s">
        <v>3968</v>
      </c>
      <c r="D1269">
        <v>255</v>
      </c>
      <c r="E1269" t="s">
        <v>5815</v>
      </c>
      <c r="F1269">
        <v>5</v>
      </c>
      <c r="H1269" t="s">
        <v>5201</v>
      </c>
      <c r="I1269" t="s">
        <v>3560</v>
      </c>
      <c r="J1269" t="s">
        <v>46</v>
      </c>
      <c r="K1269" t="s">
        <v>46</v>
      </c>
      <c r="L1269">
        <v>5</v>
      </c>
      <c r="M1269">
        <v>3</v>
      </c>
      <c r="N1269" t="s">
        <v>2495</v>
      </c>
      <c r="O1269" t="s">
        <v>1441</v>
      </c>
      <c r="P1269" t="s">
        <v>5075</v>
      </c>
      <c r="Q1269" t="s">
        <v>1443</v>
      </c>
      <c r="R1269" t="s">
        <v>6129</v>
      </c>
      <c r="S1269" t="s">
        <v>6135</v>
      </c>
    </row>
    <row r="1270" spans="1:19">
      <c r="A1270" t="s">
        <v>7137</v>
      </c>
      <c r="B1270" t="s">
        <v>6136</v>
      </c>
      <c r="C1270" t="s">
        <v>3968</v>
      </c>
      <c r="D1270">
        <v>255</v>
      </c>
      <c r="E1270" t="s">
        <v>1465</v>
      </c>
      <c r="F1270">
        <v>1</v>
      </c>
      <c r="G1270">
        <v>1</v>
      </c>
      <c r="I1270" t="s">
        <v>3560</v>
      </c>
      <c r="J1270" t="s">
        <v>46</v>
      </c>
      <c r="K1270" t="s">
        <v>46</v>
      </c>
      <c r="L1270">
        <v>5</v>
      </c>
      <c r="M1270">
        <v>4</v>
      </c>
      <c r="N1270" t="s">
        <v>6132</v>
      </c>
      <c r="O1270" t="s">
        <v>1447</v>
      </c>
      <c r="P1270" t="s">
        <v>5379</v>
      </c>
      <c r="Q1270" t="s">
        <v>1443</v>
      </c>
      <c r="R1270" t="s">
        <v>6127</v>
      </c>
      <c r="S1270" t="s">
        <v>6137</v>
      </c>
    </row>
    <row r="1271" spans="1:19">
      <c r="A1271" t="s">
        <v>7138</v>
      </c>
      <c r="B1271" t="s">
        <v>6138</v>
      </c>
      <c r="C1271" t="s">
        <v>3968</v>
      </c>
      <c r="D1271">
        <v>266</v>
      </c>
      <c r="E1271" t="s">
        <v>6139</v>
      </c>
      <c r="F1271">
        <v>5</v>
      </c>
      <c r="G1271">
        <v>2</v>
      </c>
      <c r="I1271" t="s">
        <v>3560</v>
      </c>
      <c r="J1271" t="s">
        <v>46</v>
      </c>
      <c r="K1271" t="s">
        <v>46</v>
      </c>
      <c r="L1271">
        <v>5</v>
      </c>
      <c r="M1271">
        <v>5</v>
      </c>
      <c r="N1271" t="s">
        <v>6140</v>
      </c>
      <c r="O1271" t="s">
        <v>1457</v>
      </c>
      <c r="P1271" t="s">
        <v>5002</v>
      </c>
      <c r="Q1271" t="s">
        <v>6141</v>
      </c>
      <c r="R1271" t="s">
        <v>6142</v>
      </c>
      <c r="S1271" t="s">
        <v>6143</v>
      </c>
    </row>
    <row r="1272" spans="1:19">
      <c r="A1272" t="s">
        <v>4767</v>
      </c>
      <c r="B1272" t="s">
        <v>1188</v>
      </c>
      <c r="C1272" t="s">
        <v>3607</v>
      </c>
      <c r="D1272" t="s">
        <v>1203</v>
      </c>
      <c r="E1272" t="s">
        <v>1511</v>
      </c>
      <c r="F1272" t="s">
        <v>1511</v>
      </c>
      <c r="I1272" t="s">
        <v>3238</v>
      </c>
      <c r="J1272" t="s">
        <v>47</v>
      </c>
      <c r="K1272" t="s">
        <v>47</v>
      </c>
      <c r="L1272">
        <v>3</v>
      </c>
      <c r="M1272">
        <v>1</v>
      </c>
      <c r="N1272" t="s">
        <v>2516</v>
      </c>
      <c r="O1272" t="s">
        <v>1513</v>
      </c>
      <c r="P1272" t="s">
        <v>1444</v>
      </c>
      <c r="Q1272" t="s">
        <v>1513</v>
      </c>
      <c r="R1272" t="s">
        <v>1444</v>
      </c>
      <c r="S1272" t="s">
        <v>3818</v>
      </c>
    </row>
    <row r="1273" spans="1:19">
      <c r="A1273" t="s">
        <v>4768</v>
      </c>
      <c r="B1273" t="s">
        <v>1216</v>
      </c>
      <c r="C1273" t="s">
        <v>3607</v>
      </c>
      <c r="D1273">
        <v>386</v>
      </c>
      <c r="E1273" t="s">
        <v>1511</v>
      </c>
      <c r="F1273" t="s">
        <v>1511</v>
      </c>
      <c r="I1273" t="s">
        <v>3238</v>
      </c>
      <c r="J1273" t="s">
        <v>47</v>
      </c>
      <c r="K1273" t="s">
        <v>47</v>
      </c>
      <c r="L1273">
        <v>3</v>
      </c>
      <c r="M1273">
        <v>1</v>
      </c>
      <c r="N1273" t="s">
        <v>2516</v>
      </c>
      <c r="O1273" t="s">
        <v>1513</v>
      </c>
      <c r="P1273" t="s">
        <v>1444</v>
      </c>
      <c r="Q1273" t="s">
        <v>1513</v>
      </c>
      <c r="R1273" t="s">
        <v>1188</v>
      </c>
      <c r="S1273" t="s">
        <v>2517</v>
      </c>
    </row>
    <row r="1274" spans="1:19">
      <c r="A1274" t="s">
        <v>4770</v>
      </c>
      <c r="B1274" t="s">
        <v>1201</v>
      </c>
      <c r="C1274" t="s">
        <v>3607</v>
      </c>
      <c r="D1274" t="s">
        <v>1202</v>
      </c>
      <c r="E1274" t="s">
        <v>1554</v>
      </c>
      <c r="F1274">
        <v>4</v>
      </c>
      <c r="I1274" t="s">
        <v>3238</v>
      </c>
      <c r="J1274" t="s">
        <v>47</v>
      </c>
      <c r="K1274" t="s">
        <v>47</v>
      </c>
      <c r="L1274">
        <v>3</v>
      </c>
      <c r="M1274">
        <v>1</v>
      </c>
      <c r="N1274" t="s">
        <v>2516</v>
      </c>
      <c r="O1274" t="s">
        <v>1457</v>
      </c>
      <c r="P1274" t="s">
        <v>1444</v>
      </c>
      <c r="Q1274" t="s">
        <v>2520</v>
      </c>
      <c r="R1274" t="s">
        <v>1188</v>
      </c>
      <c r="S1274" t="s">
        <v>2521</v>
      </c>
    </row>
    <row r="1275" spans="1:19">
      <c r="A1275" t="s">
        <v>4771</v>
      </c>
      <c r="B1275" t="s">
        <v>1209</v>
      </c>
      <c r="C1275" t="s">
        <v>3607</v>
      </c>
      <c r="D1275" t="s">
        <v>1210</v>
      </c>
      <c r="E1275" t="s">
        <v>1467</v>
      </c>
      <c r="F1275">
        <v>5</v>
      </c>
      <c r="G1275">
        <v>1</v>
      </c>
      <c r="I1275" t="s">
        <v>3238</v>
      </c>
      <c r="J1275" t="s">
        <v>47</v>
      </c>
      <c r="K1275" t="s">
        <v>47</v>
      </c>
      <c r="L1275">
        <v>3</v>
      </c>
      <c r="M1275">
        <v>1</v>
      </c>
      <c r="N1275" t="s">
        <v>2516</v>
      </c>
      <c r="O1275" t="s">
        <v>1457</v>
      </c>
      <c r="P1275" t="s">
        <v>1444</v>
      </c>
      <c r="Q1275" t="s">
        <v>1443</v>
      </c>
      <c r="R1275" t="s">
        <v>1444</v>
      </c>
      <c r="S1275" t="s">
        <v>2522</v>
      </c>
    </row>
    <row r="1276" spans="1:19">
      <c r="A1276" t="s">
        <v>4772</v>
      </c>
      <c r="B1276" t="s">
        <v>1199</v>
      </c>
      <c r="C1276" t="s">
        <v>3607</v>
      </c>
      <c r="D1276" t="s">
        <v>1210</v>
      </c>
      <c r="E1276" t="s">
        <v>1554</v>
      </c>
      <c r="F1276">
        <v>4</v>
      </c>
      <c r="I1276" t="s">
        <v>3238</v>
      </c>
      <c r="J1276" t="s">
        <v>47</v>
      </c>
      <c r="K1276" t="s">
        <v>47</v>
      </c>
      <c r="L1276">
        <v>3</v>
      </c>
      <c r="M1276">
        <v>1</v>
      </c>
      <c r="N1276" t="s">
        <v>2516</v>
      </c>
      <c r="O1276" t="s">
        <v>1457</v>
      </c>
      <c r="P1276" t="s">
        <v>1444</v>
      </c>
      <c r="Q1276" t="s">
        <v>1547</v>
      </c>
      <c r="R1276" t="s">
        <v>1209</v>
      </c>
      <c r="S1276" t="s">
        <v>2523</v>
      </c>
    </row>
    <row r="1277" spans="1:19">
      <c r="A1277" t="s">
        <v>4780</v>
      </c>
      <c r="B1277" t="s">
        <v>1211</v>
      </c>
      <c r="C1277" t="s">
        <v>3607</v>
      </c>
      <c r="D1277" s="3">
        <v>389</v>
      </c>
      <c r="E1277" t="s">
        <v>1511</v>
      </c>
      <c r="F1277" t="s">
        <v>1511</v>
      </c>
      <c r="I1277" t="s">
        <v>3238</v>
      </c>
      <c r="J1277" t="s">
        <v>47</v>
      </c>
      <c r="K1277" t="s">
        <v>47</v>
      </c>
      <c r="L1277">
        <v>4</v>
      </c>
      <c r="M1277">
        <v>2</v>
      </c>
      <c r="N1277" t="s">
        <v>2535</v>
      </c>
      <c r="O1277" t="s">
        <v>1513</v>
      </c>
      <c r="P1277" t="s">
        <v>1444</v>
      </c>
      <c r="Q1277" t="s">
        <v>1513</v>
      </c>
      <c r="R1277" t="s">
        <v>1188</v>
      </c>
      <c r="S1277" t="s">
        <v>2536</v>
      </c>
    </row>
    <row r="1278" spans="1:19">
      <c r="A1278" t="s">
        <v>4781</v>
      </c>
      <c r="B1278" t="s">
        <v>1223</v>
      </c>
      <c r="C1278" t="s">
        <v>3607</v>
      </c>
      <c r="D1278" s="3" t="s">
        <v>1219</v>
      </c>
      <c r="E1278" t="s">
        <v>1541</v>
      </c>
      <c r="F1278">
        <v>5</v>
      </c>
      <c r="I1278" t="s">
        <v>3238</v>
      </c>
      <c r="J1278" t="s">
        <v>47</v>
      </c>
      <c r="K1278" t="s">
        <v>47</v>
      </c>
      <c r="L1278">
        <v>4</v>
      </c>
      <c r="M1278">
        <v>2</v>
      </c>
      <c r="N1278" t="s">
        <v>2535</v>
      </c>
      <c r="O1278" t="s">
        <v>1457</v>
      </c>
      <c r="P1278" t="s">
        <v>1444</v>
      </c>
      <c r="Q1278" t="s">
        <v>1443</v>
      </c>
      <c r="R1278" t="s">
        <v>2537</v>
      </c>
      <c r="S1278" t="s">
        <v>2538</v>
      </c>
    </row>
    <row r="1279" spans="1:19">
      <c r="A1279" t="s">
        <v>4782</v>
      </c>
      <c r="B1279" t="s">
        <v>1221</v>
      </c>
      <c r="C1279" t="s">
        <v>3607</v>
      </c>
      <c r="D1279" s="3">
        <v>389</v>
      </c>
      <c r="E1279" t="s">
        <v>1467</v>
      </c>
      <c r="F1279">
        <v>5</v>
      </c>
      <c r="G1279">
        <v>1</v>
      </c>
      <c r="I1279" t="s">
        <v>3238</v>
      </c>
      <c r="J1279" t="s">
        <v>47</v>
      </c>
      <c r="K1279" t="s">
        <v>47</v>
      </c>
      <c r="L1279">
        <v>4</v>
      </c>
      <c r="M1279">
        <v>2</v>
      </c>
      <c r="N1279" t="s">
        <v>2535</v>
      </c>
      <c r="O1279" t="s">
        <v>1447</v>
      </c>
      <c r="P1279" t="s">
        <v>1444</v>
      </c>
      <c r="Q1279" t="s">
        <v>1804</v>
      </c>
      <c r="R1279" t="s">
        <v>1199</v>
      </c>
      <c r="S1279" t="s">
        <v>2539</v>
      </c>
    </row>
    <row r="1280" spans="1:19">
      <c r="A1280" t="s">
        <v>4783</v>
      </c>
      <c r="B1280" t="s">
        <v>1222</v>
      </c>
      <c r="C1280" t="s">
        <v>3607</v>
      </c>
      <c r="D1280" s="3">
        <v>389</v>
      </c>
      <c r="E1280" t="s">
        <v>1467</v>
      </c>
      <c r="F1280">
        <v>5</v>
      </c>
      <c r="G1280">
        <v>1</v>
      </c>
      <c r="I1280" t="s">
        <v>3238</v>
      </c>
      <c r="J1280" t="s">
        <v>47</v>
      </c>
      <c r="K1280" t="s">
        <v>47</v>
      </c>
      <c r="L1280">
        <v>4</v>
      </c>
      <c r="M1280">
        <v>2</v>
      </c>
      <c r="N1280" t="s">
        <v>2535</v>
      </c>
      <c r="O1280" t="s">
        <v>1447</v>
      </c>
      <c r="P1280" t="s">
        <v>1444</v>
      </c>
      <c r="Q1280" t="s">
        <v>1804</v>
      </c>
      <c r="R1280" t="s">
        <v>1199</v>
      </c>
      <c r="S1280" t="s">
        <v>2540</v>
      </c>
    </row>
    <row r="1281" spans="1:19">
      <c r="A1281" t="s">
        <v>4806</v>
      </c>
      <c r="B1281" t="s">
        <v>3822</v>
      </c>
      <c r="C1281" t="s">
        <v>3602</v>
      </c>
      <c r="D1281" s="3">
        <v>28</v>
      </c>
      <c r="E1281" t="s">
        <v>1541</v>
      </c>
      <c r="F1281">
        <v>5</v>
      </c>
      <c r="I1281" t="s">
        <v>3238</v>
      </c>
      <c r="J1281" t="s">
        <v>47</v>
      </c>
      <c r="K1281" t="s">
        <v>47</v>
      </c>
      <c r="L1281">
        <v>4</v>
      </c>
      <c r="M1281">
        <v>1</v>
      </c>
      <c r="N1281" t="s">
        <v>3823</v>
      </c>
      <c r="O1281" t="s">
        <v>1457</v>
      </c>
      <c r="P1281" t="s">
        <v>1444</v>
      </c>
      <c r="Q1281" t="s">
        <v>1547</v>
      </c>
      <c r="R1281" t="s">
        <v>1209</v>
      </c>
      <c r="S1281" t="s">
        <v>3824</v>
      </c>
    </row>
    <row r="1282" spans="1:19">
      <c r="A1282" t="s">
        <v>4769</v>
      </c>
      <c r="B1282" t="s">
        <v>1187</v>
      </c>
      <c r="C1282" t="s">
        <v>3607</v>
      </c>
      <c r="D1282">
        <v>386</v>
      </c>
      <c r="E1282" t="s">
        <v>1511</v>
      </c>
      <c r="F1282" t="s">
        <v>1511</v>
      </c>
      <c r="I1282" t="s">
        <v>3238</v>
      </c>
      <c r="J1282" t="s">
        <v>47</v>
      </c>
      <c r="K1282" t="s">
        <v>47</v>
      </c>
      <c r="L1282">
        <v>5</v>
      </c>
      <c r="M1282">
        <v>1</v>
      </c>
      <c r="N1282" t="s">
        <v>2518</v>
      </c>
      <c r="O1282" t="s">
        <v>1513</v>
      </c>
      <c r="P1282" t="s">
        <v>1444</v>
      </c>
      <c r="Q1282" t="s">
        <v>1513</v>
      </c>
      <c r="R1282" t="s">
        <v>1188</v>
      </c>
      <c r="S1282" t="s">
        <v>2519</v>
      </c>
    </row>
    <row r="1283" spans="1:19">
      <c r="A1283" t="s">
        <v>4773</v>
      </c>
      <c r="B1283" t="s">
        <v>1198</v>
      </c>
      <c r="C1283" t="s">
        <v>3607</v>
      </c>
      <c r="D1283">
        <v>387</v>
      </c>
      <c r="E1283" t="s">
        <v>1511</v>
      </c>
      <c r="F1283" t="s">
        <v>1511</v>
      </c>
      <c r="I1283" t="s">
        <v>3238</v>
      </c>
      <c r="J1283" t="s">
        <v>47</v>
      </c>
      <c r="K1283" t="s">
        <v>47</v>
      </c>
      <c r="L1283">
        <v>5</v>
      </c>
      <c r="M1283">
        <v>1</v>
      </c>
      <c r="N1283" t="s">
        <v>2518</v>
      </c>
      <c r="O1283" t="s">
        <v>1513</v>
      </c>
      <c r="P1283" t="s">
        <v>1444</v>
      </c>
      <c r="Q1283" t="s">
        <v>1513</v>
      </c>
      <c r="R1283" t="s">
        <v>1209</v>
      </c>
      <c r="S1283" t="s">
        <v>2524</v>
      </c>
    </row>
    <row r="1284" spans="1:19">
      <c r="A1284" t="s">
        <v>4774</v>
      </c>
      <c r="B1284" t="s">
        <v>2525</v>
      </c>
      <c r="C1284" t="s">
        <v>3607</v>
      </c>
      <c r="D1284" t="s">
        <v>1193</v>
      </c>
      <c r="E1284" t="s">
        <v>2526</v>
      </c>
      <c r="F1284">
        <v>1</v>
      </c>
      <c r="I1284" t="s">
        <v>3238</v>
      </c>
      <c r="J1284" t="s">
        <v>47</v>
      </c>
      <c r="K1284" t="s">
        <v>47</v>
      </c>
      <c r="L1284">
        <v>5</v>
      </c>
      <c r="M1284">
        <v>1</v>
      </c>
      <c r="N1284" t="s">
        <v>2518</v>
      </c>
      <c r="O1284" t="s">
        <v>1447</v>
      </c>
      <c r="P1284" t="s">
        <v>1444</v>
      </c>
      <c r="Q1284" t="s">
        <v>1443</v>
      </c>
      <c r="R1284" t="s">
        <v>1444</v>
      </c>
      <c r="S1284" t="s">
        <v>2527</v>
      </c>
    </row>
    <row r="1285" spans="1:19">
      <c r="A1285" t="s">
        <v>4775</v>
      </c>
      <c r="B1285" t="s">
        <v>2528</v>
      </c>
      <c r="C1285" t="s">
        <v>3607</v>
      </c>
      <c r="D1285" s="3" t="s">
        <v>1196</v>
      </c>
      <c r="E1285" t="s">
        <v>1450</v>
      </c>
      <c r="F1285">
        <v>3</v>
      </c>
      <c r="I1285" t="s">
        <v>3238</v>
      </c>
      <c r="J1285" t="s">
        <v>47</v>
      </c>
      <c r="K1285" t="s">
        <v>47</v>
      </c>
      <c r="L1285">
        <v>5</v>
      </c>
      <c r="M1285">
        <v>1</v>
      </c>
      <c r="N1285" t="s">
        <v>2518</v>
      </c>
      <c r="O1285" t="s">
        <v>1441</v>
      </c>
      <c r="P1285" t="s">
        <v>2529</v>
      </c>
      <c r="Q1285" t="s">
        <v>1443</v>
      </c>
      <c r="R1285" t="s">
        <v>2525</v>
      </c>
      <c r="S1285" t="s">
        <v>2530</v>
      </c>
    </row>
    <row r="1286" spans="1:19">
      <c r="A1286" t="s">
        <v>4776</v>
      </c>
      <c r="B1286" t="s">
        <v>1204</v>
      </c>
      <c r="C1286" t="s">
        <v>3607</v>
      </c>
      <c r="D1286" s="3">
        <v>388</v>
      </c>
      <c r="E1286" t="s">
        <v>1460</v>
      </c>
      <c r="F1286">
        <v>2</v>
      </c>
      <c r="I1286" t="s">
        <v>3238</v>
      </c>
      <c r="J1286" t="s">
        <v>47</v>
      </c>
      <c r="K1286" t="s">
        <v>47</v>
      </c>
      <c r="L1286">
        <v>5</v>
      </c>
      <c r="M1286">
        <v>1</v>
      </c>
      <c r="N1286" t="s">
        <v>2518</v>
      </c>
      <c r="O1286" t="s">
        <v>1441</v>
      </c>
      <c r="P1286" t="s">
        <v>2529</v>
      </c>
      <c r="Q1286" t="s">
        <v>1443</v>
      </c>
      <c r="R1286" t="s">
        <v>2528</v>
      </c>
      <c r="S1286" t="s">
        <v>2531</v>
      </c>
    </row>
    <row r="1287" spans="1:19">
      <c r="A1287" t="s">
        <v>4777</v>
      </c>
      <c r="B1287" t="s">
        <v>1185</v>
      </c>
      <c r="C1287" t="s">
        <v>3607</v>
      </c>
      <c r="D1287" s="3" t="s">
        <v>1186</v>
      </c>
      <c r="E1287" t="s">
        <v>1938</v>
      </c>
      <c r="F1287" t="s">
        <v>3819</v>
      </c>
      <c r="I1287" t="s">
        <v>3238</v>
      </c>
      <c r="J1287" t="s">
        <v>47</v>
      </c>
      <c r="K1287" t="s">
        <v>47</v>
      </c>
      <c r="L1287">
        <v>5</v>
      </c>
      <c r="M1287">
        <v>1</v>
      </c>
      <c r="N1287" t="s">
        <v>2518</v>
      </c>
      <c r="O1287" t="s">
        <v>1441</v>
      </c>
      <c r="P1287" t="s">
        <v>2529</v>
      </c>
      <c r="Q1287" t="s">
        <v>1443</v>
      </c>
      <c r="R1287" t="s">
        <v>2528</v>
      </c>
      <c r="S1287" t="s">
        <v>2532</v>
      </c>
    </row>
    <row r="1288" spans="1:19">
      <c r="A1288" t="s">
        <v>4778</v>
      </c>
      <c r="B1288" t="s">
        <v>1208</v>
      </c>
      <c r="C1288" t="s">
        <v>3607</v>
      </c>
      <c r="D1288" s="3">
        <v>389</v>
      </c>
      <c r="E1288" t="s">
        <v>1450</v>
      </c>
      <c r="F1288">
        <v>3</v>
      </c>
      <c r="I1288" t="s">
        <v>3238</v>
      </c>
      <c r="J1288" t="s">
        <v>47</v>
      </c>
      <c r="K1288" t="s">
        <v>47</v>
      </c>
      <c r="L1288">
        <v>5</v>
      </c>
      <c r="M1288">
        <v>1</v>
      </c>
      <c r="N1288" t="s">
        <v>2518</v>
      </c>
      <c r="O1288" t="s">
        <v>1441</v>
      </c>
      <c r="P1288" t="s">
        <v>2529</v>
      </c>
      <c r="Q1288" t="s">
        <v>1443</v>
      </c>
      <c r="R1288" t="s">
        <v>2528</v>
      </c>
      <c r="S1288" t="s">
        <v>2533</v>
      </c>
    </row>
    <row r="1289" spans="1:19">
      <c r="A1289" t="s">
        <v>4779</v>
      </c>
      <c r="B1289" t="s">
        <v>1218</v>
      </c>
      <c r="C1289" t="s">
        <v>3607</v>
      </c>
      <c r="D1289" s="3" t="s">
        <v>1219</v>
      </c>
      <c r="E1289" t="s">
        <v>1460</v>
      </c>
      <c r="F1289">
        <v>2</v>
      </c>
      <c r="I1289" t="s">
        <v>3238</v>
      </c>
      <c r="J1289" t="s">
        <v>47</v>
      </c>
      <c r="K1289" t="s">
        <v>47</v>
      </c>
      <c r="L1289">
        <v>5</v>
      </c>
      <c r="M1289">
        <v>1</v>
      </c>
      <c r="N1289" t="s">
        <v>2518</v>
      </c>
      <c r="O1289" t="s">
        <v>1441</v>
      </c>
      <c r="P1289" t="s">
        <v>2529</v>
      </c>
      <c r="Q1289" t="s">
        <v>1443</v>
      </c>
      <c r="R1289" t="s">
        <v>2528</v>
      </c>
      <c r="S1289" t="s">
        <v>2534</v>
      </c>
    </row>
    <row r="1290" spans="1:19">
      <c r="A1290" t="s">
        <v>4784</v>
      </c>
      <c r="B1290" t="s">
        <v>1189</v>
      </c>
      <c r="C1290" t="s">
        <v>3607</v>
      </c>
      <c r="D1290" s="3" t="s">
        <v>1190</v>
      </c>
      <c r="E1290" t="s">
        <v>1467</v>
      </c>
      <c r="F1290">
        <v>5</v>
      </c>
      <c r="G1290">
        <v>1</v>
      </c>
      <c r="I1290" t="s">
        <v>3238</v>
      </c>
      <c r="J1290" t="s">
        <v>47</v>
      </c>
      <c r="K1290" t="s">
        <v>47</v>
      </c>
      <c r="L1290">
        <v>5</v>
      </c>
      <c r="M1290">
        <v>2</v>
      </c>
      <c r="N1290" t="s">
        <v>2541</v>
      </c>
      <c r="O1290" t="s">
        <v>1447</v>
      </c>
      <c r="P1290" t="s">
        <v>1444</v>
      </c>
      <c r="Q1290" t="s">
        <v>1600</v>
      </c>
      <c r="R1290" t="s">
        <v>1209</v>
      </c>
      <c r="S1290" t="s">
        <v>2542</v>
      </c>
    </row>
    <row r="1291" spans="1:19">
      <c r="A1291" t="s">
        <v>4785</v>
      </c>
      <c r="B1291" t="s">
        <v>1191</v>
      </c>
      <c r="C1291" t="s">
        <v>3607</v>
      </c>
      <c r="D1291" s="3" t="s">
        <v>1192</v>
      </c>
      <c r="E1291" t="s">
        <v>2543</v>
      </c>
      <c r="F1291">
        <v>2</v>
      </c>
      <c r="H1291" t="s">
        <v>3820</v>
      </c>
      <c r="I1291" t="s">
        <v>3238</v>
      </c>
      <c r="J1291" t="s">
        <v>47</v>
      </c>
      <c r="K1291" t="s">
        <v>47</v>
      </c>
      <c r="L1291">
        <v>5</v>
      </c>
      <c r="M1291">
        <v>2</v>
      </c>
      <c r="N1291" t="s">
        <v>2541</v>
      </c>
      <c r="O1291" t="s">
        <v>1447</v>
      </c>
      <c r="P1291" t="s">
        <v>1444</v>
      </c>
      <c r="Q1291" t="s">
        <v>1443</v>
      </c>
      <c r="R1291" t="s">
        <v>1189</v>
      </c>
      <c r="S1291" t="s">
        <v>2544</v>
      </c>
    </row>
    <row r="1292" spans="1:19">
      <c r="A1292" t="s">
        <v>4786</v>
      </c>
      <c r="B1292" t="s">
        <v>1212</v>
      </c>
      <c r="C1292" t="s">
        <v>3607</v>
      </c>
      <c r="D1292" s="3" t="s">
        <v>1183</v>
      </c>
      <c r="E1292" t="s">
        <v>1541</v>
      </c>
      <c r="F1292">
        <v>5</v>
      </c>
      <c r="I1292" t="s">
        <v>3238</v>
      </c>
      <c r="J1292" t="s">
        <v>47</v>
      </c>
      <c r="K1292" t="s">
        <v>47</v>
      </c>
      <c r="L1292">
        <v>5</v>
      </c>
      <c r="M1292">
        <v>2</v>
      </c>
      <c r="N1292" t="s">
        <v>2541</v>
      </c>
      <c r="O1292" t="s">
        <v>1457</v>
      </c>
      <c r="P1292" t="s">
        <v>1444</v>
      </c>
      <c r="Q1292" t="s">
        <v>1473</v>
      </c>
      <c r="R1292" t="s">
        <v>1189</v>
      </c>
      <c r="S1292" t="s">
        <v>2545</v>
      </c>
    </row>
    <row r="1293" spans="1:19">
      <c r="A1293" t="s">
        <v>4787</v>
      </c>
      <c r="B1293" t="s">
        <v>2546</v>
      </c>
      <c r="C1293" t="s">
        <v>3607</v>
      </c>
      <c r="D1293" s="3">
        <v>390</v>
      </c>
      <c r="E1293" t="s">
        <v>1592</v>
      </c>
      <c r="F1293" t="s">
        <v>3699</v>
      </c>
      <c r="G1293">
        <v>1</v>
      </c>
      <c r="I1293" t="s">
        <v>3238</v>
      </c>
      <c r="J1293" t="s">
        <v>47</v>
      </c>
      <c r="K1293" t="s">
        <v>47</v>
      </c>
      <c r="L1293">
        <v>5</v>
      </c>
      <c r="M1293">
        <v>2</v>
      </c>
      <c r="N1293" t="s">
        <v>2541</v>
      </c>
      <c r="O1293" t="s">
        <v>1447</v>
      </c>
      <c r="P1293" t="s">
        <v>1444</v>
      </c>
      <c r="Q1293" t="s">
        <v>1443</v>
      </c>
      <c r="R1293" t="s">
        <v>2547</v>
      </c>
      <c r="S1293" t="s">
        <v>2548</v>
      </c>
    </row>
    <row r="1294" spans="1:19">
      <c r="A1294" t="s">
        <v>4788</v>
      </c>
      <c r="B1294" t="s">
        <v>1197</v>
      </c>
      <c r="C1294" t="s">
        <v>3607</v>
      </c>
      <c r="D1294" s="3">
        <v>390</v>
      </c>
      <c r="E1294" t="s">
        <v>1439</v>
      </c>
      <c r="F1294">
        <v>1</v>
      </c>
      <c r="I1294" t="s">
        <v>3238</v>
      </c>
      <c r="J1294" t="s">
        <v>47</v>
      </c>
      <c r="K1294" t="s">
        <v>47</v>
      </c>
      <c r="L1294">
        <v>5</v>
      </c>
      <c r="M1294">
        <v>2</v>
      </c>
      <c r="N1294" t="s">
        <v>2541</v>
      </c>
      <c r="O1294" t="s">
        <v>1447</v>
      </c>
      <c r="P1294" t="s">
        <v>1444</v>
      </c>
      <c r="Q1294" t="s">
        <v>1600</v>
      </c>
      <c r="R1294" t="s">
        <v>2546</v>
      </c>
      <c r="S1294" t="s">
        <v>2549</v>
      </c>
    </row>
    <row r="1295" spans="1:19">
      <c r="A1295" t="s">
        <v>4789</v>
      </c>
      <c r="B1295" t="s">
        <v>1224</v>
      </c>
      <c r="C1295" t="s">
        <v>3607</v>
      </c>
      <c r="D1295" s="3">
        <v>390</v>
      </c>
      <c r="E1295" t="s">
        <v>1450</v>
      </c>
      <c r="F1295">
        <v>3</v>
      </c>
      <c r="I1295" t="s">
        <v>3238</v>
      </c>
      <c r="J1295" t="s">
        <v>47</v>
      </c>
      <c r="K1295" t="s">
        <v>47</v>
      </c>
      <c r="L1295">
        <v>5</v>
      </c>
      <c r="M1295">
        <v>2</v>
      </c>
      <c r="N1295" t="s">
        <v>2541</v>
      </c>
      <c r="O1295" t="s">
        <v>1447</v>
      </c>
      <c r="P1295" t="s">
        <v>1444</v>
      </c>
      <c r="Q1295" t="s">
        <v>1534</v>
      </c>
      <c r="R1295" t="s">
        <v>2547</v>
      </c>
      <c r="S1295" t="s">
        <v>2550</v>
      </c>
    </row>
    <row r="1296" spans="1:19">
      <c r="A1296" t="s">
        <v>4790</v>
      </c>
      <c r="B1296" t="s">
        <v>1182</v>
      </c>
      <c r="C1296" t="s">
        <v>3607</v>
      </c>
      <c r="D1296" s="3" t="s">
        <v>1183</v>
      </c>
      <c r="E1296" t="s">
        <v>1554</v>
      </c>
      <c r="F1296">
        <v>4</v>
      </c>
      <c r="I1296" t="s">
        <v>3238</v>
      </c>
      <c r="J1296" t="s">
        <v>47</v>
      </c>
      <c r="K1296" t="s">
        <v>47</v>
      </c>
      <c r="L1296">
        <v>5</v>
      </c>
      <c r="M1296">
        <v>2</v>
      </c>
      <c r="N1296" t="s">
        <v>2541</v>
      </c>
      <c r="O1296" t="s">
        <v>1447</v>
      </c>
      <c r="P1296" t="s">
        <v>1444</v>
      </c>
      <c r="Q1296" t="s">
        <v>1534</v>
      </c>
      <c r="R1296" t="s">
        <v>1224</v>
      </c>
      <c r="S1296" t="s">
        <v>2551</v>
      </c>
    </row>
    <row r="1297" spans="1:19">
      <c r="A1297" t="s">
        <v>4791</v>
      </c>
      <c r="B1297" t="s">
        <v>1194</v>
      </c>
      <c r="C1297" t="s">
        <v>3607</v>
      </c>
      <c r="D1297" s="3" t="s">
        <v>1193</v>
      </c>
      <c r="E1297" t="s">
        <v>1554</v>
      </c>
      <c r="F1297">
        <v>4</v>
      </c>
      <c r="I1297" t="s">
        <v>3238</v>
      </c>
      <c r="J1297" t="s">
        <v>47</v>
      </c>
      <c r="K1297" t="s">
        <v>47</v>
      </c>
      <c r="L1297">
        <v>5</v>
      </c>
      <c r="M1297">
        <v>2</v>
      </c>
      <c r="N1297" t="s">
        <v>2541</v>
      </c>
      <c r="O1297" t="s">
        <v>1447</v>
      </c>
      <c r="P1297" t="s">
        <v>2529</v>
      </c>
      <c r="Q1297" t="s">
        <v>1473</v>
      </c>
      <c r="R1297" t="s">
        <v>2528</v>
      </c>
      <c r="S1297" t="s">
        <v>2552</v>
      </c>
    </row>
    <row r="1298" spans="1:19">
      <c r="A1298" t="s">
        <v>4792</v>
      </c>
      <c r="B1298" t="s">
        <v>1184</v>
      </c>
      <c r="C1298" t="s">
        <v>3607</v>
      </c>
      <c r="D1298" s="3">
        <v>391</v>
      </c>
      <c r="E1298" t="s">
        <v>1924</v>
      </c>
      <c r="F1298">
        <v>2</v>
      </c>
      <c r="G1298">
        <v>1</v>
      </c>
      <c r="I1298" t="s">
        <v>3238</v>
      </c>
      <c r="J1298" t="s">
        <v>47</v>
      </c>
      <c r="K1298" t="s">
        <v>47</v>
      </c>
      <c r="L1298">
        <v>5</v>
      </c>
      <c r="M1298">
        <v>2</v>
      </c>
      <c r="N1298" t="s">
        <v>2541</v>
      </c>
      <c r="O1298" t="s">
        <v>1447</v>
      </c>
      <c r="P1298" t="s">
        <v>2529</v>
      </c>
      <c r="Q1298" t="s">
        <v>1443</v>
      </c>
      <c r="R1298" t="s">
        <v>2553</v>
      </c>
      <c r="S1298" t="s">
        <v>2554</v>
      </c>
    </row>
    <row r="1299" spans="1:19">
      <c r="A1299" t="s">
        <v>4793</v>
      </c>
      <c r="B1299" t="s">
        <v>1200</v>
      </c>
      <c r="C1299" t="s">
        <v>3607</v>
      </c>
      <c r="D1299" s="3">
        <v>391</v>
      </c>
      <c r="E1299" t="s">
        <v>1460</v>
      </c>
      <c r="F1299">
        <v>2</v>
      </c>
      <c r="I1299" t="s">
        <v>3238</v>
      </c>
      <c r="J1299" t="s">
        <v>47</v>
      </c>
      <c r="K1299" t="s">
        <v>47</v>
      </c>
      <c r="L1299">
        <v>5</v>
      </c>
      <c r="M1299">
        <v>2</v>
      </c>
      <c r="N1299" t="s">
        <v>2541</v>
      </c>
      <c r="O1299" t="s">
        <v>1441</v>
      </c>
      <c r="P1299" t="s">
        <v>2529</v>
      </c>
      <c r="Q1299" t="s">
        <v>1443</v>
      </c>
      <c r="R1299" t="s">
        <v>1184</v>
      </c>
      <c r="S1299" t="s">
        <v>2555</v>
      </c>
    </row>
    <row r="1300" spans="1:19">
      <c r="A1300" t="s">
        <v>4794</v>
      </c>
      <c r="B1300" t="s">
        <v>1207</v>
      </c>
      <c r="C1300" t="s">
        <v>3607</v>
      </c>
      <c r="D1300" s="3">
        <v>391</v>
      </c>
      <c r="E1300" t="s">
        <v>1541</v>
      </c>
      <c r="F1300">
        <v>5</v>
      </c>
      <c r="I1300" t="s">
        <v>3238</v>
      </c>
      <c r="J1300" t="s">
        <v>47</v>
      </c>
      <c r="K1300" t="s">
        <v>47</v>
      </c>
      <c r="L1300">
        <v>5</v>
      </c>
      <c r="M1300">
        <v>2</v>
      </c>
      <c r="N1300" t="s">
        <v>2541</v>
      </c>
      <c r="O1300" t="s">
        <v>1441</v>
      </c>
      <c r="P1300" t="s">
        <v>2529</v>
      </c>
      <c r="Q1300" t="s">
        <v>1443</v>
      </c>
      <c r="R1300" t="s">
        <v>1218</v>
      </c>
      <c r="S1300" t="s">
        <v>2556</v>
      </c>
    </row>
    <row r="1301" spans="1:19">
      <c r="A1301" t="s">
        <v>4795</v>
      </c>
      <c r="B1301" t="s">
        <v>1220</v>
      </c>
      <c r="C1301" t="s">
        <v>3607</v>
      </c>
      <c r="D1301" s="3">
        <v>391</v>
      </c>
      <c r="E1301" t="s">
        <v>1482</v>
      </c>
      <c r="F1301">
        <v>7</v>
      </c>
      <c r="I1301" t="s">
        <v>3238</v>
      </c>
      <c r="J1301" t="s">
        <v>47</v>
      </c>
      <c r="K1301" t="s">
        <v>47</v>
      </c>
      <c r="L1301">
        <v>5</v>
      </c>
      <c r="M1301">
        <v>3</v>
      </c>
      <c r="N1301" t="s">
        <v>2557</v>
      </c>
      <c r="O1301" t="s">
        <v>1457</v>
      </c>
      <c r="P1301" t="s">
        <v>1444</v>
      </c>
      <c r="Q1301" t="s">
        <v>1547</v>
      </c>
      <c r="R1301" t="s">
        <v>1223</v>
      </c>
      <c r="S1301" t="s">
        <v>2558</v>
      </c>
    </row>
    <row r="1302" spans="1:19">
      <c r="A1302" t="s">
        <v>4796</v>
      </c>
      <c r="B1302" t="s">
        <v>1181</v>
      </c>
      <c r="C1302" t="s">
        <v>3607</v>
      </c>
      <c r="D1302" s="3">
        <v>391</v>
      </c>
      <c r="E1302" t="s">
        <v>1599</v>
      </c>
      <c r="F1302">
        <v>10</v>
      </c>
      <c r="G1302">
        <v>1</v>
      </c>
      <c r="I1302" t="s">
        <v>3238</v>
      </c>
      <c r="J1302" t="s">
        <v>47</v>
      </c>
      <c r="K1302" t="s">
        <v>47</v>
      </c>
      <c r="L1302">
        <v>5</v>
      </c>
      <c r="M1302">
        <v>3</v>
      </c>
      <c r="N1302" t="s">
        <v>2557</v>
      </c>
      <c r="O1302" t="s">
        <v>1447</v>
      </c>
      <c r="P1302" t="s">
        <v>1444</v>
      </c>
      <c r="Q1302" t="s">
        <v>1804</v>
      </c>
      <c r="R1302" t="s">
        <v>1189</v>
      </c>
      <c r="S1302" t="s">
        <v>2559</v>
      </c>
    </row>
    <row r="1303" spans="1:19">
      <c r="A1303" t="s">
        <v>4797</v>
      </c>
      <c r="B1303" t="s">
        <v>1178</v>
      </c>
      <c r="C1303" t="s">
        <v>3607</v>
      </c>
      <c r="D1303" s="3" t="s">
        <v>1179</v>
      </c>
      <c r="E1303" t="s">
        <v>1599</v>
      </c>
      <c r="F1303">
        <v>10</v>
      </c>
      <c r="G1303">
        <v>1</v>
      </c>
      <c r="I1303" t="s">
        <v>3238</v>
      </c>
      <c r="J1303" t="s">
        <v>47</v>
      </c>
      <c r="K1303" t="s">
        <v>47</v>
      </c>
      <c r="L1303">
        <v>5</v>
      </c>
      <c r="M1303">
        <v>3</v>
      </c>
      <c r="N1303" t="s">
        <v>2557</v>
      </c>
      <c r="O1303" t="s">
        <v>1447</v>
      </c>
      <c r="P1303" t="s">
        <v>1444</v>
      </c>
      <c r="Q1303" t="s">
        <v>1547</v>
      </c>
      <c r="R1303" t="s">
        <v>1191</v>
      </c>
      <c r="S1303" t="s">
        <v>2560</v>
      </c>
    </row>
    <row r="1304" spans="1:19">
      <c r="A1304" t="s">
        <v>4798</v>
      </c>
      <c r="B1304" t="s">
        <v>1215</v>
      </c>
      <c r="C1304" t="s">
        <v>3607</v>
      </c>
      <c r="D1304" s="3">
        <v>392</v>
      </c>
      <c r="E1304" t="s">
        <v>1554</v>
      </c>
      <c r="F1304">
        <v>4</v>
      </c>
      <c r="I1304" t="s">
        <v>3238</v>
      </c>
      <c r="J1304" t="s">
        <v>47</v>
      </c>
      <c r="K1304" t="s">
        <v>47</v>
      </c>
      <c r="L1304">
        <v>5</v>
      </c>
      <c r="M1304">
        <v>3</v>
      </c>
      <c r="N1304" t="s">
        <v>2557</v>
      </c>
      <c r="O1304" t="s">
        <v>1447</v>
      </c>
      <c r="P1304" t="s">
        <v>1705</v>
      </c>
      <c r="Q1304" t="s">
        <v>1547</v>
      </c>
      <c r="R1304" t="s">
        <v>1212</v>
      </c>
      <c r="S1304" t="s">
        <v>2561</v>
      </c>
    </row>
    <row r="1305" spans="1:19">
      <c r="A1305" t="s">
        <v>4799</v>
      </c>
      <c r="B1305" t="s">
        <v>1180</v>
      </c>
      <c r="C1305" t="s">
        <v>3607</v>
      </c>
      <c r="D1305" s="3">
        <v>392</v>
      </c>
      <c r="E1305" t="s">
        <v>2562</v>
      </c>
      <c r="F1305">
        <v>6</v>
      </c>
      <c r="G1305">
        <v>1</v>
      </c>
      <c r="H1305" t="s">
        <v>3603</v>
      </c>
      <c r="I1305" t="s">
        <v>3238</v>
      </c>
      <c r="J1305" t="s">
        <v>47</v>
      </c>
      <c r="K1305" t="s">
        <v>47</v>
      </c>
      <c r="L1305">
        <v>5</v>
      </c>
      <c r="M1305">
        <v>3</v>
      </c>
      <c r="N1305" t="s">
        <v>2557</v>
      </c>
      <c r="O1305" t="s">
        <v>1447</v>
      </c>
      <c r="P1305" t="s">
        <v>1444</v>
      </c>
      <c r="Q1305" t="s">
        <v>1473</v>
      </c>
      <c r="R1305" t="s">
        <v>2563</v>
      </c>
      <c r="S1305" t="s">
        <v>2564</v>
      </c>
    </row>
    <row r="1306" spans="1:19">
      <c r="A1306" t="s">
        <v>4800</v>
      </c>
      <c r="B1306" t="s">
        <v>1217</v>
      </c>
      <c r="C1306" t="s">
        <v>3607</v>
      </c>
      <c r="D1306" s="3">
        <v>392</v>
      </c>
      <c r="E1306" t="s">
        <v>1479</v>
      </c>
      <c r="F1306">
        <v>6</v>
      </c>
      <c r="G1306">
        <v>1</v>
      </c>
      <c r="I1306" t="s">
        <v>3238</v>
      </c>
      <c r="J1306" t="s">
        <v>47</v>
      </c>
      <c r="K1306" t="s">
        <v>47</v>
      </c>
      <c r="L1306">
        <v>5</v>
      </c>
      <c r="M1306">
        <v>3</v>
      </c>
      <c r="N1306" t="s">
        <v>2557</v>
      </c>
      <c r="O1306" t="s">
        <v>1457</v>
      </c>
      <c r="P1306" t="s">
        <v>2529</v>
      </c>
      <c r="Q1306" t="s">
        <v>1534</v>
      </c>
      <c r="R1306" t="s">
        <v>1182</v>
      </c>
      <c r="S1306" t="s">
        <v>2565</v>
      </c>
    </row>
    <row r="1307" spans="1:19">
      <c r="A1307" t="s">
        <v>4801</v>
      </c>
      <c r="B1307" t="s">
        <v>1195</v>
      </c>
      <c r="C1307" t="s">
        <v>3607</v>
      </c>
      <c r="D1307" s="3">
        <v>392</v>
      </c>
      <c r="E1307" t="s">
        <v>1599</v>
      </c>
      <c r="F1307">
        <v>10</v>
      </c>
      <c r="G1307">
        <v>1</v>
      </c>
      <c r="I1307" t="s">
        <v>3238</v>
      </c>
      <c r="J1307" t="s">
        <v>47</v>
      </c>
      <c r="K1307" t="s">
        <v>47</v>
      </c>
      <c r="L1307">
        <v>5</v>
      </c>
      <c r="M1307">
        <v>3</v>
      </c>
      <c r="N1307" t="s">
        <v>2557</v>
      </c>
      <c r="O1307" t="s">
        <v>1457</v>
      </c>
      <c r="P1307" t="s">
        <v>1444</v>
      </c>
      <c r="Q1307" t="s">
        <v>1473</v>
      </c>
      <c r="R1307" t="s">
        <v>2528</v>
      </c>
      <c r="S1307" t="s">
        <v>2566</v>
      </c>
    </row>
    <row r="1308" spans="1:19">
      <c r="A1308" t="s">
        <v>4802</v>
      </c>
      <c r="B1308" t="s">
        <v>1205</v>
      </c>
      <c r="C1308" t="s">
        <v>3607</v>
      </c>
      <c r="D1308" s="3" t="s">
        <v>1206</v>
      </c>
      <c r="E1308" t="s">
        <v>1599</v>
      </c>
      <c r="F1308">
        <v>10</v>
      </c>
      <c r="G1308">
        <v>1</v>
      </c>
      <c r="I1308" t="s">
        <v>3238</v>
      </c>
      <c r="J1308" t="s">
        <v>47</v>
      </c>
      <c r="K1308" t="s">
        <v>47</v>
      </c>
      <c r="L1308">
        <v>5</v>
      </c>
      <c r="M1308">
        <v>3</v>
      </c>
      <c r="N1308" t="s">
        <v>2557</v>
      </c>
      <c r="O1308" t="s">
        <v>1457</v>
      </c>
      <c r="P1308" t="s">
        <v>1444</v>
      </c>
      <c r="Q1308" t="s">
        <v>1547</v>
      </c>
      <c r="R1308" t="s">
        <v>1195</v>
      </c>
      <c r="S1308" t="s">
        <v>3821</v>
      </c>
    </row>
    <row r="1309" spans="1:19">
      <c r="A1309" t="s">
        <v>4803</v>
      </c>
      <c r="B1309" t="s">
        <v>1214</v>
      </c>
      <c r="C1309" t="s">
        <v>3607</v>
      </c>
      <c r="D1309" s="3">
        <v>393</v>
      </c>
      <c r="E1309" t="s">
        <v>1450</v>
      </c>
      <c r="F1309">
        <v>3</v>
      </c>
      <c r="I1309" t="s">
        <v>3238</v>
      </c>
      <c r="J1309" t="s">
        <v>47</v>
      </c>
      <c r="K1309" t="s">
        <v>47</v>
      </c>
      <c r="L1309">
        <v>5</v>
      </c>
      <c r="M1309">
        <v>3</v>
      </c>
      <c r="N1309" t="s">
        <v>2557</v>
      </c>
      <c r="O1309" t="s">
        <v>1447</v>
      </c>
      <c r="P1309" t="s">
        <v>2529</v>
      </c>
      <c r="Q1309" t="s">
        <v>1443</v>
      </c>
      <c r="R1309" t="s">
        <v>1194</v>
      </c>
      <c r="S1309" t="s">
        <v>2567</v>
      </c>
    </row>
    <row r="1310" spans="1:19">
      <c r="A1310" t="s">
        <v>4804</v>
      </c>
      <c r="B1310" t="s">
        <v>1213</v>
      </c>
      <c r="C1310" t="s">
        <v>3607</v>
      </c>
      <c r="D1310" s="3">
        <v>393</v>
      </c>
      <c r="E1310" t="s">
        <v>1511</v>
      </c>
      <c r="F1310" t="s">
        <v>1511</v>
      </c>
      <c r="I1310" t="s">
        <v>3238</v>
      </c>
      <c r="J1310" t="s">
        <v>47</v>
      </c>
      <c r="K1310" t="s">
        <v>47</v>
      </c>
      <c r="L1310">
        <v>5</v>
      </c>
      <c r="M1310">
        <v>3</v>
      </c>
      <c r="N1310" t="s">
        <v>2557</v>
      </c>
      <c r="O1310" t="s">
        <v>1513</v>
      </c>
      <c r="P1310" t="s">
        <v>2529</v>
      </c>
      <c r="Q1310" t="s">
        <v>1513</v>
      </c>
      <c r="R1310" t="s">
        <v>1214</v>
      </c>
      <c r="S1310" t="s">
        <v>2568</v>
      </c>
    </row>
    <row r="1311" spans="1:19">
      <c r="A1311" t="s">
        <v>4805</v>
      </c>
      <c r="B1311" t="s">
        <v>1177</v>
      </c>
      <c r="C1311" t="s">
        <v>3607</v>
      </c>
      <c r="D1311" s="3">
        <v>393</v>
      </c>
      <c r="E1311" t="s">
        <v>1599</v>
      </c>
      <c r="F1311">
        <v>10</v>
      </c>
      <c r="G1311">
        <v>1</v>
      </c>
      <c r="I1311" t="s">
        <v>3238</v>
      </c>
      <c r="J1311" t="s">
        <v>47</v>
      </c>
      <c r="K1311" t="s">
        <v>47</v>
      </c>
      <c r="L1311">
        <v>5</v>
      </c>
      <c r="M1311">
        <v>3</v>
      </c>
      <c r="N1311" t="s">
        <v>2557</v>
      </c>
      <c r="O1311" t="s">
        <v>1457</v>
      </c>
      <c r="P1311" t="s">
        <v>1444</v>
      </c>
      <c r="Q1311" t="s">
        <v>1473</v>
      </c>
      <c r="R1311" t="s">
        <v>2569</v>
      </c>
      <c r="S1311" t="s">
        <v>2570</v>
      </c>
    </row>
    <row r="1312" spans="1:19">
      <c r="A1312" t="s">
        <v>4807</v>
      </c>
      <c r="B1312" t="s">
        <v>3825</v>
      </c>
      <c r="C1312" t="s">
        <v>3602</v>
      </c>
      <c r="D1312" s="3">
        <v>29</v>
      </c>
      <c r="E1312" t="s">
        <v>2039</v>
      </c>
      <c r="F1312">
        <v>8</v>
      </c>
      <c r="G1312">
        <v>1</v>
      </c>
      <c r="I1312" t="s">
        <v>3238</v>
      </c>
      <c r="J1312" t="s">
        <v>47</v>
      </c>
      <c r="K1312" t="s">
        <v>47</v>
      </c>
      <c r="L1312">
        <v>5</v>
      </c>
      <c r="M1312">
        <v>3</v>
      </c>
      <c r="N1312" t="s">
        <v>3826</v>
      </c>
      <c r="O1312" t="s">
        <v>1447</v>
      </c>
      <c r="P1312" t="s">
        <v>1444</v>
      </c>
      <c r="Q1312" t="s">
        <v>1534</v>
      </c>
      <c r="R1312" t="s">
        <v>3827</v>
      </c>
      <c r="S1312" t="s">
        <v>3828</v>
      </c>
    </row>
    <row r="1313" spans="1:19">
      <c r="A1313" t="s">
        <v>4808</v>
      </c>
      <c r="B1313" t="s">
        <v>3829</v>
      </c>
      <c r="C1313" t="s">
        <v>3602</v>
      </c>
      <c r="D1313" s="3">
        <v>29</v>
      </c>
      <c r="E1313" t="s">
        <v>1554</v>
      </c>
      <c r="F1313">
        <v>4</v>
      </c>
      <c r="I1313" t="s">
        <v>3238</v>
      </c>
      <c r="J1313" t="s">
        <v>47</v>
      </c>
      <c r="K1313" t="s">
        <v>47</v>
      </c>
      <c r="L1313">
        <v>5</v>
      </c>
      <c r="M1313">
        <v>3</v>
      </c>
      <c r="N1313" t="s">
        <v>2557</v>
      </c>
      <c r="O1313" t="s">
        <v>1447</v>
      </c>
      <c r="P1313" t="s">
        <v>1444</v>
      </c>
      <c r="Q1313" t="s">
        <v>1443</v>
      </c>
      <c r="R1313" t="s">
        <v>1444</v>
      </c>
      <c r="S1313" t="s">
        <v>3830</v>
      </c>
    </row>
    <row r="1314" spans="1:19">
      <c r="A1314" t="s">
        <v>4809</v>
      </c>
      <c r="B1314" t="s">
        <v>3831</v>
      </c>
      <c r="C1314" t="s">
        <v>3602</v>
      </c>
      <c r="D1314" s="3">
        <v>29</v>
      </c>
      <c r="E1314" t="s">
        <v>1599</v>
      </c>
      <c r="F1314">
        <v>10</v>
      </c>
      <c r="G1314">
        <v>1</v>
      </c>
      <c r="I1314" t="s">
        <v>3238</v>
      </c>
      <c r="J1314" t="s">
        <v>47</v>
      </c>
      <c r="K1314" t="s">
        <v>47</v>
      </c>
      <c r="L1314">
        <v>5</v>
      </c>
      <c r="M1314">
        <v>3</v>
      </c>
      <c r="N1314" t="s">
        <v>2557</v>
      </c>
      <c r="O1314" t="s">
        <v>1457</v>
      </c>
      <c r="P1314" t="s">
        <v>3605</v>
      </c>
      <c r="Q1314" t="s">
        <v>1473</v>
      </c>
      <c r="R1314" t="s">
        <v>1444</v>
      </c>
      <c r="S1314" t="s">
        <v>3832</v>
      </c>
    </row>
    <row r="1315" spans="1:19">
      <c r="A1315" t="s">
        <v>4810</v>
      </c>
      <c r="B1315" t="s">
        <v>3833</v>
      </c>
      <c r="C1315" t="s">
        <v>3602</v>
      </c>
      <c r="D1315" s="3">
        <v>30</v>
      </c>
      <c r="E1315" t="s">
        <v>1497</v>
      </c>
      <c r="F1315">
        <v>6</v>
      </c>
      <c r="I1315" t="s">
        <v>3238</v>
      </c>
      <c r="J1315" t="s">
        <v>47</v>
      </c>
      <c r="K1315" t="s">
        <v>47</v>
      </c>
      <c r="L1315">
        <v>5</v>
      </c>
      <c r="M1315">
        <v>3</v>
      </c>
      <c r="N1315" t="s">
        <v>2557</v>
      </c>
      <c r="O1315" t="s">
        <v>1457</v>
      </c>
      <c r="P1315" t="s">
        <v>3834</v>
      </c>
      <c r="Q1315" t="s">
        <v>1443</v>
      </c>
      <c r="R1315" t="s">
        <v>3835</v>
      </c>
      <c r="S1315" t="s">
        <v>3836</v>
      </c>
    </row>
    <row r="1316" spans="1:19">
      <c r="A1316" t="s">
        <v>4811</v>
      </c>
      <c r="B1316" t="s">
        <v>3837</v>
      </c>
      <c r="C1316" t="s">
        <v>3602</v>
      </c>
      <c r="D1316" s="3">
        <v>30</v>
      </c>
      <c r="E1316" t="s">
        <v>1599</v>
      </c>
      <c r="F1316">
        <v>10</v>
      </c>
      <c r="G1316">
        <v>1</v>
      </c>
      <c r="I1316" t="s">
        <v>3238</v>
      </c>
      <c r="J1316" t="s">
        <v>47</v>
      </c>
      <c r="K1316" t="s">
        <v>47</v>
      </c>
      <c r="L1316">
        <v>5</v>
      </c>
      <c r="M1316">
        <v>3</v>
      </c>
      <c r="N1316" t="s">
        <v>2557</v>
      </c>
      <c r="O1316" t="s">
        <v>1447</v>
      </c>
      <c r="P1316" t="s">
        <v>3834</v>
      </c>
      <c r="Q1316" t="s">
        <v>1473</v>
      </c>
      <c r="R1316" t="s">
        <v>1194</v>
      </c>
      <c r="S1316" t="s">
        <v>3838</v>
      </c>
    </row>
    <row r="1317" spans="1:19">
      <c r="A1317" t="s">
        <v>7139</v>
      </c>
      <c r="B1317" t="s">
        <v>6144</v>
      </c>
      <c r="C1317" t="s">
        <v>3968</v>
      </c>
      <c r="D1317">
        <v>256</v>
      </c>
      <c r="E1317" t="s">
        <v>5071</v>
      </c>
      <c r="F1317">
        <v>2</v>
      </c>
      <c r="I1317" t="s">
        <v>3560</v>
      </c>
      <c r="J1317" t="s">
        <v>47</v>
      </c>
      <c r="K1317" t="s">
        <v>47</v>
      </c>
      <c r="L1317">
        <v>1</v>
      </c>
      <c r="M1317">
        <v>1</v>
      </c>
      <c r="N1317" t="s">
        <v>6145</v>
      </c>
      <c r="O1317" t="s">
        <v>1441</v>
      </c>
      <c r="P1317" t="s">
        <v>5260</v>
      </c>
      <c r="Q1317" t="s">
        <v>1443</v>
      </c>
      <c r="R1317" t="s">
        <v>1444</v>
      </c>
      <c r="S1317" t="s">
        <v>6146</v>
      </c>
    </row>
    <row r="1318" spans="1:19">
      <c r="A1318" t="s">
        <v>7140</v>
      </c>
      <c r="B1318" t="s">
        <v>6147</v>
      </c>
      <c r="C1318" t="s">
        <v>3968</v>
      </c>
      <c r="D1318">
        <v>256</v>
      </c>
      <c r="E1318" t="s">
        <v>1460</v>
      </c>
      <c r="F1318">
        <v>2</v>
      </c>
      <c r="I1318" t="s">
        <v>3560</v>
      </c>
      <c r="J1318" t="s">
        <v>47</v>
      </c>
      <c r="K1318" t="s">
        <v>47</v>
      </c>
      <c r="L1318">
        <v>2</v>
      </c>
      <c r="M1318">
        <v>1</v>
      </c>
      <c r="N1318" t="s">
        <v>6148</v>
      </c>
      <c r="O1318" t="s">
        <v>1441</v>
      </c>
      <c r="P1318" t="s">
        <v>6149</v>
      </c>
      <c r="Q1318" t="s">
        <v>1443</v>
      </c>
      <c r="R1318" t="s">
        <v>1444</v>
      </c>
      <c r="S1318" t="s">
        <v>6150</v>
      </c>
    </row>
    <row r="1319" spans="1:19">
      <c r="A1319" t="s">
        <v>7142</v>
      </c>
      <c r="B1319" t="s">
        <v>6154</v>
      </c>
      <c r="C1319" t="s">
        <v>3968</v>
      </c>
      <c r="D1319">
        <v>257</v>
      </c>
      <c r="E1319" t="s">
        <v>1541</v>
      </c>
      <c r="F1319">
        <v>5</v>
      </c>
      <c r="I1319" t="s">
        <v>3560</v>
      </c>
      <c r="J1319" t="s">
        <v>47</v>
      </c>
      <c r="K1319" t="s">
        <v>47</v>
      </c>
      <c r="L1319">
        <v>2</v>
      </c>
      <c r="M1319">
        <v>1</v>
      </c>
      <c r="N1319" t="s">
        <v>6148</v>
      </c>
      <c r="O1319" t="s">
        <v>1447</v>
      </c>
      <c r="P1319" t="s">
        <v>5263</v>
      </c>
      <c r="Q1319" t="s">
        <v>1473</v>
      </c>
      <c r="R1319" t="s">
        <v>1444</v>
      </c>
      <c r="S1319" t="s">
        <v>6155</v>
      </c>
    </row>
    <row r="1320" spans="1:19">
      <c r="A1320" t="s">
        <v>7143</v>
      </c>
      <c r="B1320" t="s">
        <v>6156</v>
      </c>
      <c r="C1320" t="s">
        <v>3968</v>
      </c>
      <c r="D1320">
        <v>257</v>
      </c>
      <c r="E1320" t="s">
        <v>1486</v>
      </c>
      <c r="F1320">
        <v>3</v>
      </c>
      <c r="H1320" t="s">
        <v>2434</v>
      </c>
      <c r="I1320" t="s">
        <v>3560</v>
      </c>
      <c r="J1320" t="s">
        <v>47</v>
      </c>
      <c r="K1320" t="s">
        <v>47</v>
      </c>
      <c r="L1320">
        <v>2</v>
      </c>
      <c r="M1320">
        <v>1</v>
      </c>
      <c r="N1320" t="s">
        <v>6148</v>
      </c>
      <c r="O1320" t="s">
        <v>1441</v>
      </c>
      <c r="P1320" t="s">
        <v>5244</v>
      </c>
      <c r="Q1320" t="s">
        <v>1443</v>
      </c>
      <c r="R1320" t="s">
        <v>6154</v>
      </c>
      <c r="S1320" t="s">
        <v>6157</v>
      </c>
    </row>
    <row r="1321" spans="1:19">
      <c r="A1321" t="s">
        <v>7141</v>
      </c>
      <c r="B1321" t="s">
        <v>6151</v>
      </c>
      <c r="C1321" t="s">
        <v>3968</v>
      </c>
      <c r="D1321">
        <v>257</v>
      </c>
      <c r="E1321" t="s">
        <v>1541</v>
      </c>
      <c r="F1321">
        <v>5</v>
      </c>
      <c r="I1321" t="s">
        <v>3560</v>
      </c>
      <c r="J1321" t="s">
        <v>47</v>
      </c>
      <c r="K1321" t="s">
        <v>47</v>
      </c>
      <c r="L1321">
        <v>3</v>
      </c>
      <c r="M1321">
        <v>1</v>
      </c>
      <c r="N1321" t="s">
        <v>2516</v>
      </c>
      <c r="O1321" t="s">
        <v>1441</v>
      </c>
      <c r="P1321" t="s">
        <v>6152</v>
      </c>
      <c r="Q1321" t="s">
        <v>1443</v>
      </c>
      <c r="R1321" t="s">
        <v>6147</v>
      </c>
      <c r="S1321" t="s">
        <v>6153</v>
      </c>
    </row>
    <row r="1322" spans="1:19">
      <c r="A1322" t="s">
        <v>7144</v>
      </c>
      <c r="B1322" t="s">
        <v>6158</v>
      </c>
      <c r="C1322" t="s">
        <v>3968</v>
      </c>
      <c r="D1322">
        <v>257</v>
      </c>
      <c r="E1322" t="s">
        <v>1541</v>
      </c>
      <c r="F1322">
        <v>5</v>
      </c>
      <c r="I1322" t="s">
        <v>3560</v>
      </c>
      <c r="J1322" t="s">
        <v>47</v>
      </c>
      <c r="K1322" t="s">
        <v>47</v>
      </c>
      <c r="L1322">
        <v>3</v>
      </c>
      <c r="M1322">
        <v>1</v>
      </c>
      <c r="N1322" t="s">
        <v>2516</v>
      </c>
      <c r="O1322" t="s">
        <v>1457</v>
      </c>
      <c r="P1322" t="s">
        <v>5507</v>
      </c>
      <c r="Q1322" t="s">
        <v>1443</v>
      </c>
      <c r="R1322" t="s">
        <v>6154</v>
      </c>
      <c r="S1322" t="s">
        <v>6159</v>
      </c>
    </row>
    <row r="1323" spans="1:19">
      <c r="A1323" t="s">
        <v>7145</v>
      </c>
      <c r="B1323" t="s">
        <v>6160</v>
      </c>
      <c r="C1323" t="s">
        <v>3968</v>
      </c>
      <c r="D1323">
        <v>258</v>
      </c>
      <c r="E1323" t="s">
        <v>1541</v>
      </c>
      <c r="F1323">
        <v>5</v>
      </c>
      <c r="I1323" t="s">
        <v>3560</v>
      </c>
      <c r="J1323" t="s">
        <v>47</v>
      </c>
      <c r="K1323" t="s">
        <v>47</v>
      </c>
      <c r="L1323">
        <v>3</v>
      </c>
      <c r="M1323">
        <v>2</v>
      </c>
      <c r="N1323" t="s">
        <v>6161</v>
      </c>
      <c r="O1323" t="s">
        <v>1447</v>
      </c>
      <c r="P1323" t="s">
        <v>6162</v>
      </c>
      <c r="Q1323" t="s">
        <v>1473</v>
      </c>
      <c r="R1323" t="s">
        <v>6154</v>
      </c>
      <c r="S1323" t="s">
        <v>6163</v>
      </c>
    </row>
    <row r="1324" spans="1:19">
      <c r="A1324" t="s">
        <v>7147</v>
      </c>
      <c r="B1324" t="s">
        <v>6165</v>
      </c>
      <c r="C1324" t="s">
        <v>3968</v>
      </c>
      <c r="D1324">
        <v>258</v>
      </c>
      <c r="E1324" t="s">
        <v>1924</v>
      </c>
      <c r="F1324">
        <v>2</v>
      </c>
      <c r="G1324">
        <v>1</v>
      </c>
      <c r="I1324" t="s">
        <v>3560</v>
      </c>
      <c r="J1324" t="s">
        <v>47</v>
      </c>
      <c r="K1324" t="s">
        <v>47</v>
      </c>
      <c r="L1324">
        <v>3</v>
      </c>
      <c r="M1324">
        <v>2</v>
      </c>
      <c r="N1324" t="s">
        <v>6161</v>
      </c>
      <c r="O1324" t="s">
        <v>1457</v>
      </c>
      <c r="P1324" t="s">
        <v>5507</v>
      </c>
      <c r="Q1324" t="s">
        <v>1804</v>
      </c>
      <c r="R1324" t="s">
        <v>6158</v>
      </c>
      <c r="S1324" t="s">
        <v>6167</v>
      </c>
    </row>
    <row r="1325" spans="1:19">
      <c r="A1325" t="s">
        <v>7149</v>
      </c>
      <c r="B1325" t="s">
        <v>6172</v>
      </c>
      <c r="C1325" t="s">
        <v>3968</v>
      </c>
      <c r="D1325">
        <v>258</v>
      </c>
      <c r="E1325" t="s">
        <v>5544</v>
      </c>
      <c r="F1325">
        <v>4</v>
      </c>
      <c r="H1325" t="s">
        <v>5201</v>
      </c>
      <c r="I1325" t="s">
        <v>3560</v>
      </c>
      <c r="J1325" t="s">
        <v>47</v>
      </c>
      <c r="K1325" t="s">
        <v>47</v>
      </c>
      <c r="L1325">
        <v>3</v>
      </c>
      <c r="M1325">
        <v>2</v>
      </c>
      <c r="N1325" t="s">
        <v>6161</v>
      </c>
      <c r="O1325" t="s">
        <v>1447</v>
      </c>
      <c r="P1325" t="s">
        <v>5002</v>
      </c>
      <c r="Q1325" t="s">
        <v>1443</v>
      </c>
      <c r="R1325" t="s">
        <v>6151</v>
      </c>
      <c r="S1325" t="s">
        <v>6173</v>
      </c>
    </row>
    <row r="1326" spans="1:19">
      <c r="A1326" t="s">
        <v>7153</v>
      </c>
      <c r="B1326" t="s">
        <v>6182</v>
      </c>
      <c r="C1326" t="s">
        <v>3968</v>
      </c>
      <c r="D1326">
        <v>260</v>
      </c>
      <c r="E1326" t="s">
        <v>5815</v>
      </c>
      <c r="F1326">
        <v>5</v>
      </c>
      <c r="H1326" t="s">
        <v>5201</v>
      </c>
      <c r="I1326" t="s">
        <v>3560</v>
      </c>
      <c r="J1326" t="s">
        <v>47</v>
      </c>
      <c r="K1326" t="s">
        <v>47</v>
      </c>
      <c r="L1326">
        <v>4</v>
      </c>
      <c r="M1326">
        <v>3</v>
      </c>
      <c r="N1326" t="s">
        <v>6183</v>
      </c>
      <c r="O1326" t="s">
        <v>1457</v>
      </c>
      <c r="P1326" t="s">
        <v>6184</v>
      </c>
      <c r="Q1326" t="s">
        <v>1443</v>
      </c>
      <c r="R1326" t="s">
        <v>6185</v>
      </c>
      <c r="S1326" t="s">
        <v>6186</v>
      </c>
    </row>
    <row r="1327" spans="1:19">
      <c r="A1327" t="s">
        <v>7146</v>
      </c>
      <c r="B1327" t="s">
        <v>6164</v>
      </c>
      <c r="C1327" t="s">
        <v>3968</v>
      </c>
      <c r="D1327">
        <v>258</v>
      </c>
      <c r="E1327" t="s">
        <v>1543</v>
      </c>
      <c r="F1327">
        <v>7</v>
      </c>
      <c r="G1327">
        <v>1</v>
      </c>
      <c r="I1327" t="s">
        <v>3560</v>
      </c>
      <c r="J1327" t="s">
        <v>47</v>
      </c>
      <c r="K1327" t="s">
        <v>47</v>
      </c>
      <c r="L1327">
        <v>5</v>
      </c>
      <c r="M1327">
        <v>3</v>
      </c>
      <c r="N1327" t="s">
        <v>2557</v>
      </c>
      <c r="O1327" t="s">
        <v>1457</v>
      </c>
      <c r="P1327" t="s">
        <v>5147</v>
      </c>
      <c r="Q1327" t="s">
        <v>1443</v>
      </c>
      <c r="R1327" t="s">
        <v>6165</v>
      </c>
      <c r="S1327" t="s">
        <v>6166</v>
      </c>
    </row>
    <row r="1328" spans="1:19">
      <c r="A1328" t="s">
        <v>7148</v>
      </c>
      <c r="B1328" t="s">
        <v>6168</v>
      </c>
      <c r="C1328" t="s">
        <v>3968</v>
      </c>
      <c r="D1328">
        <v>258</v>
      </c>
      <c r="E1328" t="s">
        <v>6169</v>
      </c>
      <c r="F1328">
        <v>6</v>
      </c>
      <c r="G1328">
        <v>1</v>
      </c>
      <c r="H1328" t="s">
        <v>5201</v>
      </c>
      <c r="I1328" t="s">
        <v>3560</v>
      </c>
      <c r="J1328" t="s">
        <v>47</v>
      </c>
      <c r="K1328" t="s">
        <v>47</v>
      </c>
      <c r="L1328">
        <v>5</v>
      </c>
      <c r="M1328">
        <v>3</v>
      </c>
      <c r="N1328" t="s">
        <v>2557</v>
      </c>
      <c r="O1328" t="s">
        <v>1457</v>
      </c>
      <c r="P1328" t="s">
        <v>6170</v>
      </c>
      <c r="Q1328" t="s">
        <v>1443</v>
      </c>
      <c r="R1328" t="s">
        <v>1444</v>
      </c>
      <c r="S1328" t="s">
        <v>6171</v>
      </c>
    </row>
    <row r="1329" spans="1:19">
      <c r="A1329" t="s">
        <v>7150</v>
      </c>
      <c r="B1329" t="s">
        <v>6174</v>
      </c>
      <c r="C1329" t="s">
        <v>3968</v>
      </c>
      <c r="D1329">
        <v>258</v>
      </c>
      <c r="E1329" t="s">
        <v>5231</v>
      </c>
      <c r="F1329">
        <v>10</v>
      </c>
      <c r="G1329">
        <v>1</v>
      </c>
      <c r="H1329" t="s">
        <v>5201</v>
      </c>
      <c r="I1329" t="s">
        <v>3560</v>
      </c>
      <c r="J1329" t="s">
        <v>47</v>
      </c>
      <c r="K1329" t="s">
        <v>47</v>
      </c>
      <c r="L1329">
        <v>5</v>
      </c>
      <c r="M1329">
        <v>3</v>
      </c>
      <c r="N1329" t="s">
        <v>2557</v>
      </c>
      <c r="O1329" t="s">
        <v>1457</v>
      </c>
      <c r="P1329" t="s">
        <v>6175</v>
      </c>
      <c r="Q1329" t="s">
        <v>1443</v>
      </c>
      <c r="R1329" t="s">
        <v>1444</v>
      </c>
      <c r="S1329" t="s">
        <v>6176</v>
      </c>
    </row>
    <row r="1330" spans="1:19">
      <c r="A1330" t="s">
        <v>7151</v>
      </c>
      <c r="B1330" t="s">
        <v>6177</v>
      </c>
      <c r="C1330" t="s">
        <v>3968</v>
      </c>
      <c r="D1330">
        <v>259</v>
      </c>
      <c r="E1330" t="s">
        <v>5878</v>
      </c>
      <c r="F1330">
        <v>5</v>
      </c>
      <c r="G1330">
        <v>1</v>
      </c>
      <c r="H1330" t="s">
        <v>5201</v>
      </c>
      <c r="I1330" t="s">
        <v>3560</v>
      </c>
      <c r="J1330" t="s">
        <v>47</v>
      </c>
      <c r="K1330" t="s">
        <v>47</v>
      </c>
      <c r="L1330">
        <v>5</v>
      </c>
      <c r="M1330">
        <v>3</v>
      </c>
      <c r="N1330" t="s">
        <v>2557</v>
      </c>
      <c r="O1330" t="s">
        <v>1447</v>
      </c>
      <c r="P1330" t="s">
        <v>6178</v>
      </c>
      <c r="Q1330" t="s">
        <v>1443</v>
      </c>
      <c r="R1330" t="s">
        <v>1444</v>
      </c>
      <c r="S1330" t="s">
        <v>6179</v>
      </c>
    </row>
    <row r="1331" spans="1:19">
      <c r="A1331" t="s">
        <v>7152</v>
      </c>
      <c r="B1331" t="s">
        <v>6180</v>
      </c>
      <c r="C1331" t="s">
        <v>3968</v>
      </c>
      <c r="D1331">
        <v>259</v>
      </c>
      <c r="E1331" t="s">
        <v>5231</v>
      </c>
      <c r="F1331">
        <v>10</v>
      </c>
      <c r="G1331">
        <v>1</v>
      </c>
      <c r="H1331" t="s">
        <v>5201</v>
      </c>
      <c r="I1331" t="s">
        <v>3560</v>
      </c>
      <c r="J1331" t="s">
        <v>47</v>
      </c>
      <c r="K1331" t="s">
        <v>47</v>
      </c>
      <c r="L1331">
        <v>5</v>
      </c>
      <c r="M1331">
        <v>3</v>
      </c>
      <c r="N1331" t="s">
        <v>2557</v>
      </c>
      <c r="O1331" t="s">
        <v>1457</v>
      </c>
      <c r="P1331" t="s">
        <v>5232</v>
      </c>
      <c r="Q1331" t="s">
        <v>1443</v>
      </c>
      <c r="R1331" t="s">
        <v>6172</v>
      </c>
      <c r="S1331" t="s">
        <v>6181</v>
      </c>
    </row>
    <row r="1332" spans="1:19">
      <c r="A1332" t="s">
        <v>7154</v>
      </c>
      <c r="B1332" t="s">
        <v>6187</v>
      </c>
      <c r="C1332" t="s">
        <v>3968</v>
      </c>
      <c r="D1332">
        <v>260</v>
      </c>
      <c r="E1332" t="s">
        <v>1467</v>
      </c>
      <c r="F1332">
        <v>5</v>
      </c>
      <c r="G1332">
        <v>1</v>
      </c>
      <c r="I1332" t="s">
        <v>3560</v>
      </c>
      <c r="J1332" t="s">
        <v>47</v>
      </c>
      <c r="K1332" t="s">
        <v>47</v>
      </c>
      <c r="L1332">
        <v>5</v>
      </c>
      <c r="M1332">
        <v>3</v>
      </c>
      <c r="N1332" t="s">
        <v>2557</v>
      </c>
      <c r="O1332" t="s">
        <v>1447</v>
      </c>
      <c r="P1332" t="s">
        <v>5263</v>
      </c>
      <c r="Q1332" t="s">
        <v>1473</v>
      </c>
      <c r="R1332" t="s">
        <v>6188</v>
      </c>
      <c r="S1332" t="s">
        <v>6189</v>
      </c>
    </row>
    <row r="1333" spans="1:19">
      <c r="A1333" t="s">
        <v>7155</v>
      </c>
      <c r="B1333" t="s">
        <v>6190</v>
      </c>
      <c r="C1333" t="s">
        <v>3968</v>
      </c>
      <c r="D1333">
        <v>260</v>
      </c>
      <c r="E1333" t="s">
        <v>2039</v>
      </c>
      <c r="F1333">
        <v>8</v>
      </c>
      <c r="G1333">
        <v>1</v>
      </c>
      <c r="I1333" t="s">
        <v>3560</v>
      </c>
      <c r="J1333" t="s">
        <v>47</v>
      </c>
      <c r="K1333" t="s">
        <v>47</v>
      </c>
      <c r="L1333">
        <v>5</v>
      </c>
      <c r="M1333">
        <v>3</v>
      </c>
      <c r="N1333" t="s">
        <v>2557</v>
      </c>
      <c r="O1333" t="s">
        <v>1457</v>
      </c>
      <c r="P1333" t="s">
        <v>5080</v>
      </c>
      <c r="Q1333" t="s">
        <v>1473</v>
      </c>
      <c r="R1333" t="s">
        <v>6160</v>
      </c>
      <c r="S1333" t="s">
        <v>6191</v>
      </c>
    </row>
    <row r="1334" spans="1:19">
      <c r="A1334" t="s">
        <v>7156</v>
      </c>
      <c r="B1334" t="s">
        <v>6192</v>
      </c>
      <c r="C1334" t="s">
        <v>3968</v>
      </c>
      <c r="D1334">
        <v>260</v>
      </c>
      <c r="E1334" t="s">
        <v>1465</v>
      </c>
      <c r="F1334">
        <v>1</v>
      </c>
      <c r="G1334">
        <v>1</v>
      </c>
      <c r="I1334" t="s">
        <v>3560</v>
      </c>
      <c r="J1334" t="s">
        <v>47</v>
      </c>
      <c r="K1334" t="s">
        <v>47</v>
      </c>
      <c r="L1334">
        <v>5</v>
      </c>
      <c r="M1334">
        <v>4</v>
      </c>
      <c r="N1334" t="s">
        <v>6193</v>
      </c>
      <c r="O1334" t="s">
        <v>1441</v>
      </c>
      <c r="P1334" t="s">
        <v>5263</v>
      </c>
      <c r="Q1334" t="s">
        <v>1443</v>
      </c>
      <c r="R1334" t="s">
        <v>6190</v>
      </c>
      <c r="S1334" t="s">
        <v>6194</v>
      </c>
    </row>
    <row r="1335" spans="1:19">
      <c r="A1335" t="s">
        <v>7157</v>
      </c>
      <c r="B1335" t="s">
        <v>6195</v>
      </c>
      <c r="C1335" t="s">
        <v>3968</v>
      </c>
      <c r="D1335">
        <v>261</v>
      </c>
      <c r="E1335" t="s">
        <v>1479</v>
      </c>
      <c r="F1335">
        <v>6</v>
      </c>
      <c r="G1335">
        <v>1</v>
      </c>
      <c r="I1335" t="s">
        <v>3560</v>
      </c>
      <c r="J1335" t="s">
        <v>47</v>
      </c>
      <c r="K1335" t="s">
        <v>47</v>
      </c>
      <c r="L1335">
        <v>5</v>
      </c>
      <c r="M1335">
        <v>5</v>
      </c>
      <c r="N1335" t="s">
        <v>6196</v>
      </c>
      <c r="O1335" t="s">
        <v>1441</v>
      </c>
      <c r="P1335" t="s">
        <v>6184</v>
      </c>
      <c r="Q1335" t="s">
        <v>1443</v>
      </c>
      <c r="R1335" t="s">
        <v>6197</v>
      </c>
      <c r="S1335" t="s">
        <v>6198</v>
      </c>
    </row>
    <row r="1336" spans="1:19">
      <c r="A1336" t="s">
        <v>4812</v>
      </c>
      <c r="B1336" t="s">
        <v>1267</v>
      </c>
      <c r="C1336" t="s">
        <v>3607</v>
      </c>
      <c r="D1336" s="3" t="s">
        <v>1268</v>
      </c>
      <c r="E1336" t="s">
        <v>1541</v>
      </c>
      <c r="F1336">
        <v>5</v>
      </c>
      <c r="I1336" t="s">
        <v>3238</v>
      </c>
      <c r="J1336" t="s">
        <v>50</v>
      </c>
      <c r="K1336" t="s">
        <v>50</v>
      </c>
      <c r="L1336">
        <v>3</v>
      </c>
      <c r="M1336">
        <v>1</v>
      </c>
      <c r="N1336" t="s">
        <v>2571</v>
      </c>
      <c r="O1336" t="s">
        <v>1447</v>
      </c>
      <c r="P1336" t="s">
        <v>1444</v>
      </c>
      <c r="Q1336" t="s">
        <v>1473</v>
      </c>
      <c r="R1336" t="s">
        <v>1444</v>
      </c>
      <c r="S1336" t="s">
        <v>2572</v>
      </c>
    </row>
    <row r="1337" spans="1:19">
      <c r="A1337" t="s">
        <v>4813</v>
      </c>
      <c r="B1337" t="s">
        <v>1256</v>
      </c>
      <c r="C1337" t="s">
        <v>3607</v>
      </c>
      <c r="D1337" s="3" t="s">
        <v>1268</v>
      </c>
      <c r="E1337" t="s">
        <v>1450</v>
      </c>
      <c r="F1337">
        <v>3</v>
      </c>
      <c r="I1337" t="s">
        <v>3238</v>
      </c>
      <c r="J1337" t="s">
        <v>50</v>
      </c>
      <c r="K1337" t="s">
        <v>50</v>
      </c>
      <c r="L1337">
        <v>3</v>
      </c>
      <c r="M1337">
        <v>1</v>
      </c>
      <c r="N1337" t="s">
        <v>2571</v>
      </c>
      <c r="O1337" t="s">
        <v>1441</v>
      </c>
      <c r="P1337" t="s">
        <v>1523</v>
      </c>
      <c r="Q1337" t="s">
        <v>1443</v>
      </c>
      <c r="R1337" t="s">
        <v>1444</v>
      </c>
      <c r="S1337" t="s">
        <v>2573</v>
      </c>
    </row>
    <row r="1338" spans="1:19">
      <c r="A1338" t="s">
        <v>4814</v>
      </c>
      <c r="B1338" t="s">
        <v>2574</v>
      </c>
      <c r="C1338" t="s">
        <v>3607</v>
      </c>
      <c r="D1338" s="3">
        <v>394</v>
      </c>
      <c r="E1338" t="s">
        <v>1439</v>
      </c>
      <c r="F1338">
        <v>1</v>
      </c>
      <c r="I1338" t="s">
        <v>3238</v>
      </c>
      <c r="J1338" t="s">
        <v>50</v>
      </c>
      <c r="K1338" t="s">
        <v>50</v>
      </c>
      <c r="L1338">
        <v>3</v>
      </c>
      <c r="M1338">
        <v>1</v>
      </c>
      <c r="N1338" t="s">
        <v>2571</v>
      </c>
      <c r="O1338" t="s">
        <v>1447</v>
      </c>
      <c r="P1338" t="s">
        <v>1444</v>
      </c>
      <c r="Q1338" t="s">
        <v>1600</v>
      </c>
      <c r="R1338" t="s">
        <v>1256</v>
      </c>
      <c r="S1338" t="s">
        <v>2575</v>
      </c>
    </row>
    <row r="1339" spans="1:19">
      <c r="A1339" t="s">
        <v>4817</v>
      </c>
      <c r="B1339" t="s">
        <v>1270</v>
      </c>
      <c r="C1339" t="s">
        <v>3607</v>
      </c>
      <c r="D1339" s="3" t="s">
        <v>1261</v>
      </c>
      <c r="E1339" t="s">
        <v>2580</v>
      </c>
      <c r="F1339">
        <v>1</v>
      </c>
      <c r="I1339" t="s">
        <v>3238</v>
      </c>
      <c r="J1339" t="s">
        <v>50</v>
      </c>
      <c r="K1339" t="s">
        <v>50</v>
      </c>
      <c r="L1339">
        <v>3</v>
      </c>
      <c r="M1339">
        <v>1</v>
      </c>
      <c r="N1339" t="s">
        <v>2571</v>
      </c>
      <c r="O1339" t="s">
        <v>1447</v>
      </c>
      <c r="P1339" t="s">
        <v>1523</v>
      </c>
      <c r="Q1339" t="s">
        <v>1443</v>
      </c>
      <c r="R1339" t="s">
        <v>1444</v>
      </c>
      <c r="S1339" t="s">
        <v>2581</v>
      </c>
    </row>
    <row r="1340" spans="1:19">
      <c r="A1340" t="s">
        <v>4816</v>
      </c>
      <c r="B1340" t="s">
        <v>1254</v>
      </c>
      <c r="C1340" t="s">
        <v>3607</v>
      </c>
      <c r="D1340" s="3" t="s">
        <v>1255</v>
      </c>
      <c r="E1340" t="s">
        <v>1439</v>
      </c>
      <c r="F1340">
        <v>1</v>
      </c>
      <c r="I1340" t="s">
        <v>3238</v>
      </c>
      <c r="J1340" t="s">
        <v>50</v>
      </c>
      <c r="K1340" t="s">
        <v>50</v>
      </c>
      <c r="L1340">
        <v>4</v>
      </c>
      <c r="M1340">
        <v>1</v>
      </c>
      <c r="N1340" t="s">
        <v>2578</v>
      </c>
      <c r="O1340" t="s">
        <v>1447</v>
      </c>
      <c r="P1340" t="s">
        <v>1444</v>
      </c>
      <c r="Q1340" t="s">
        <v>1443</v>
      </c>
      <c r="R1340" t="s">
        <v>1256</v>
      </c>
      <c r="S1340" t="s">
        <v>2579</v>
      </c>
    </row>
    <row r="1341" spans="1:19">
      <c r="A1341" t="s">
        <v>4818</v>
      </c>
      <c r="B1341" t="s">
        <v>1269</v>
      </c>
      <c r="C1341" t="s">
        <v>3607</v>
      </c>
      <c r="D1341" s="3">
        <v>394</v>
      </c>
      <c r="E1341" t="s">
        <v>1460</v>
      </c>
      <c r="F1341">
        <v>2</v>
      </c>
      <c r="I1341" t="s">
        <v>3238</v>
      </c>
      <c r="J1341" t="s">
        <v>50</v>
      </c>
      <c r="K1341" t="s">
        <v>50</v>
      </c>
      <c r="L1341">
        <v>4</v>
      </c>
      <c r="M1341">
        <v>1</v>
      </c>
      <c r="N1341" t="s">
        <v>2578</v>
      </c>
      <c r="O1341" t="s">
        <v>1447</v>
      </c>
      <c r="P1341" t="s">
        <v>1444</v>
      </c>
      <c r="Q1341" t="s">
        <v>1443</v>
      </c>
      <c r="R1341" t="s">
        <v>1270</v>
      </c>
      <c r="S1341" t="s">
        <v>2582</v>
      </c>
    </row>
    <row r="1342" spans="1:19">
      <c r="A1342" t="s">
        <v>4820</v>
      </c>
      <c r="B1342" t="s">
        <v>1229</v>
      </c>
      <c r="C1342" t="s">
        <v>3607</v>
      </c>
      <c r="D1342" s="3" t="s">
        <v>1230</v>
      </c>
      <c r="E1342" t="s">
        <v>1450</v>
      </c>
      <c r="F1342">
        <v>3</v>
      </c>
      <c r="I1342" t="s">
        <v>3238</v>
      </c>
      <c r="J1342" t="s">
        <v>50</v>
      </c>
      <c r="K1342" t="s">
        <v>50</v>
      </c>
      <c r="L1342">
        <v>4</v>
      </c>
      <c r="M1342">
        <v>2</v>
      </c>
      <c r="N1342" t="s">
        <v>2585</v>
      </c>
      <c r="O1342" t="s">
        <v>1457</v>
      </c>
      <c r="P1342" t="s">
        <v>1444</v>
      </c>
      <c r="Q1342" t="s">
        <v>1443</v>
      </c>
      <c r="R1342" t="s">
        <v>1267</v>
      </c>
      <c r="S1342" t="s">
        <v>2586</v>
      </c>
    </row>
    <row r="1343" spans="1:19">
      <c r="A1343" t="s">
        <v>4858</v>
      </c>
      <c r="B1343" t="s">
        <v>3841</v>
      </c>
      <c r="C1343" t="s">
        <v>3602</v>
      </c>
      <c r="D1343" s="3">
        <v>31</v>
      </c>
      <c r="E1343" t="s">
        <v>1450</v>
      </c>
      <c r="F1343">
        <v>3</v>
      </c>
      <c r="I1343" t="s">
        <v>3238</v>
      </c>
      <c r="J1343" t="s">
        <v>50</v>
      </c>
      <c r="K1343" t="s">
        <v>50</v>
      </c>
      <c r="L1343">
        <v>4</v>
      </c>
      <c r="M1343">
        <v>1</v>
      </c>
      <c r="N1343" t="s">
        <v>2578</v>
      </c>
      <c r="O1343" t="s">
        <v>1447</v>
      </c>
      <c r="P1343" t="s">
        <v>1444</v>
      </c>
      <c r="Q1343" t="s">
        <v>1473</v>
      </c>
      <c r="R1343" t="s">
        <v>1256</v>
      </c>
      <c r="S1343" t="s">
        <v>3842</v>
      </c>
    </row>
    <row r="1344" spans="1:19">
      <c r="A1344" t="s">
        <v>4859</v>
      </c>
      <c r="B1344" t="s">
        <v>3843</v>
      </c>
      <c r="C1344" t="s">
        <v>3602</v>
      </c>
      <c r="D1344" s="3">
        <v>31</v>
      </c>
      <c r="E1344" t="s">
        <v>1450</v>
      </c>
      <c r="F1344">
        <v>3</v>
      </c>
      <c r="I1344" t="s">
        <v>3238</v>
      </c>
      <c r="J1344" t="s">
        <v>50</v>
      </c>
      <c r="K1344" t="s">
        <v>50</v>
      </c>
      <c r="L1344">
        <v>4</v>
      </c>
      <c r="M1344">
        <v>1</v>
      </c>
      <c r="N1344" t="s">
        <v>2578</v>
      </c>
      <c r="O1344" t="s">
        <v>1441</v>
      </c>
      <c r="P1344" t="s">
        <v>1444</v>
      </c>
      <c r="Q1344" t="s">
        <v>1443</v>
      </c>
      <c r="R1344" t="s">
        <v>1256</v>
      </c>
      <c r="S1344" t="s">
        <v>3844</v>
      </c>
    </row>
    <row r="1345" spans="1:19">
      <c r="A1345" t="s">
        <v>4815</v>
      </c>
      <c r="B1345" t="s">
        <v>1277</v>
      </c>
      <c r="C1345" t="s">
        <v>3607</v>
      </c>
      <c r="D1345" s="3">
        <v>394</v>
      </c>
      <c r="E1345" t="s">
        <v>1460</v>
      </c>
      <c r="F1345">
        <v>2</v>
      </c>
      <c r="I1345" t="s">
        <v>3238</v>
      </c>
      <c r="J1345" t="s">
        <v>50</v>
      </c>
      <c r="K1345" t="s">
        <v>50</v>
      </c>
      <c r="L1345">
        <v>5</v>
      </c>
      <c r="M1345">
        <v>1</v>
      </c>
      <c r="N1345" t="s">
        <v>2576</v>
      </c>
      <c r="O1345" t="s">
        <v>1441</v>
      </c>
      <c r="P1345" t="s">
        <v>1523</v>
      </c>
      <c r="Q1345" t="s">
        <v>1443</v>
      </c>
      <c r="R1345" t="s">
        <v>2574</v>
      </c>
      <c r="S1345" t="s">
        <v>2577</v>
      </c>
    </row>
    <row r="1346" spans="1:19">
      <c r="A1346" t="s">
        <v>4819</v>
      </c>
      <c r="B1346" t="s">
        <v>1260</v>
      </c>
      <c r="C1346" t="s">
        <v>3607</v>
      </c>
      <c r="D1346" s="3" t="s">
        <v>1261</v>
      </c>
      <c r="E1346" t="s">
        <v>1439</v>
      </c>
      <c r="F1346">
        <v>1</v>
      </c>
      <c r="I1346" t="s">
        <v>3238</v>
      </c>
      <c r="J1346" t="s">
        <v>50</v>
      </c>
      <c r="K1346" t="s">
        <v>50</v>
      </c>
      <c r="L1346">
        <v>5</v>
      </c>
      <c r="M1346">
        <v>1</v>
      </c>
      <c r="N1346" t="s">
        <v>2576</v>
      </c>
      <c r="O1346" t="s">
        <v>1447</v>
      </c>
      <c r="P1346" t="s">
        <v>1523</v>
      </c>
      <c r="Q1346" t="s">
        <v>1443</v>
      </c>
      <c r="R1346" t="s">
        <v>2583</v>
      </c>
      <c r="S1346" t="s">
        <v>2584</v>
      </c>
    </row>
    <row r="1347" spans="1:19">
      <c r="A1347" t="s">
        <v>4821</v>
      </c>
      <c r="B1347" t="s">
        <v>1281</v>
      </c>
      <c r="C1347" t="s">
        <v>3607</v>
      </c>
      <c r="D1347" s="3" t="s">
        <v>1282</v>
      </c>
      <c r="E1347" t="s">
        <v>1450</v>
      </c>
      <c r="F1347">
        <v>3</v>
      </c>
      <c r="I1347" t="s">
        <v>3238</v>
      </c>
      <c r="J1347" t="s">
        <v>50</v>
      </c>
      <c r="K1347" t="s">
        <v>50</v>
      </c>
      <c r="L1347">
        <v>5</v>
      </c>
      <c r="M1347">
        <v>2</v>
      </c>
      <c r="N1347" t="s">
        <v>2587</v>
      </c>
      <c r="O1347" t="s">
        <v>1441</v>
      </c>
      <c r="P1347" t="s">
        <v>1444</v>
      </c>
      <c r="Q1347" t="s">
        <v>1443</v>
      </c>
      <c r="R1347" t="s">
        <v>1267</v>
      </c>
      <c r="S1347" t="s">
        <v>2588</v>
      </c>
    </row>
    <row r="1348" spans="1:19">
      <c r="A1348" t="s">
        <v>4822</v>
      </c>
      <c r="B1348" t="s">
        <v>1259</v>
      </c>
      <c r="C1348" t="s">
        <v>3607</v>
      </c>
      <c r="D1348" s="3">
        <v>395</v>
      </c>
      <c r="E1348" t="s">
        <v>1554</v>
      </c>
      <c r="F1348">
        <v>4</v>
      </c>
      <c r="I1348" t="s">
        <v>3238</v>
      </c>
      <c r="J1348" t="s">
        <v>50</v>
      </c>
      <c r="K1348" t="s">
        <v>50</v>
      </c>
      <c r="L1348">
        <v>5</v>
      </c>
      <c r="M1348">
        <v>2</v>
      </c>
      <c r="N1348" t="s">
        <v>2587</v>
      </c>
      <c r="O1348" t="s">
        <v>1441</v>
      </c>
      <c r="P1348" t="s">
        <v>1523</v>
      </c>
      <c r="Q1348" t="s">
        <v>1443</v>
      </c>
      <c r="R1348" t="s">
        <v>1281</v>
      </c>
      <c r="S1348" t="s">
        <v>2589</v>
      </c>
    </row>
    <row r="1349" spans="1:19">
      <c r="A1349" t="s">
        <v>4823</v>
      </c>
      <c r="B1349" t="s">
        <v>1233</v>
      </c>
      <c r="C1349" t="s">
        <v>3607</v>
      </c>
      <c r="D1349" s="3">
        <v>395</v>
      </c>
      <c r="E1349" t="s">
        <v>1541</v>
      </c>
      <c r="F1349">
        <v>5</v>
      </c>
      <c r="I1349" t="s">
        <v>3238</v>
      </c>
      <c r="J1349" t="s">
        <v>50</v>
      </c>
      <c r="K1349" t="s">
        <v>50</v>
      </c>
      <c r="L1349">
        <v>5</v>
      </c>
      <c r="M1349">
        <v>2</v>
      </c>
      <c r="N1349" t="s">
        <v>2587</v>
      </c>
      <c r="O1349" t="s">
        <v>1447</v>
      </c>
      <c r="P1349" t="s">
        <v>1523</v>
      </c>
      <c r="Q1349" t="s">
        <v>1443</v>
      </c>
      <c r="R1349" t="s">
        <v>1256</v>
      </c>
      <c r="S1349" t="s">
        <v>2590</v>
      </c>
    </row>
    <row r="1350" spans="1:19">
      <c r="A1350" t="s">
        <v>4824</v>
      </c>
      <c r="B1350" t="s">
        <v>1272</v>
      </c>
      <c r="C1350" t="s">
        <v>3607</v>
      </c>
      <c r="D1350" s="3">
        <v>395</v>
      </c>
      <c r="E1350" t="s">
        <v>1511</v>
      </c>
      <c r="F1350" t="s">
        <v>1511</v>
      </c>
      <c r="I1350" t="s">
        <v>3238</v>
      </c>
      <c r="J1350" t="s">
        <v>50</v>
      </c>
      <c r="K1350" t="s">
        <v>50</v>
      </c>
      <c r="L1350">
        <v>5</v>
      </c>
      <c r="M1350">
        <v>2</v>
      </c>
      <c r="N1350" t="s">
        <v>2587</v>
      </c>
      <c r="O1350" t="s">
        <v>1513</v>
      </c>
      <c r="P1350" t="s">
        <v>1444</v>
      </c>
      <c r="Q1350" t="s">
        <v>1513</v>
      </c>
      <c r="R1350" t="s">
        <v>1233</v>
      </c>
      <c r="S1350" t="s">
        <v>2591</v>
      </c>
    </row>
    <row r="1351" spans="1:19">
      <c r="A1351" t="s">
        <v>4825</v>
      </c>
      <c r="B1351" t="s">
        <v>1285</v>
      </c>
      <c r="C1351" t="s">
        <v>3607</v>
      </c>
      <c r="D1351" s="3" t="s">
        <v>1286</v>
      </c>
      <c r="E1351" t="s">
        <v>1497</v>
      </c>
      <c r="F1351">
        <v>6</v>
      </c>
      <c r="I1351" t="s">
        <v>3238</v>
      </c>
      <c r="J1351" t="s">
        <v>50</v>
      </c>
      <c r="K1351" t="s">
        <v>50</v>
      </c>
      <c r="L1351">
        <v>5</v>
      </c>
      <c r="M1351">
        <v>2</v>
      </c>
      <c r="N1351" t="s">
        <v>2587</v>
      </c>
      <c r="O1351" t="s">
        <v>1457</v>
      </c>
      <c r="P1351" t="s">
        <v>1444</v>
      </c>
      <c r="Q1351" t="s">
        <v>1443</v>
      </c>
      <c r="R1351" t="s">
        <v>1254</v>
      </c>
      <c r="S1351" t="s">
        <v>2592</v>
      </c>
    </row>
    <row r="1352" spans="1:19">
      <c r="A1352" t="s">
        <v>4826</v>
      </c>
      <c r="B1352" t="s">
        <v>1236</v>
      </c>
      <c r="C1352" t="s">
        <v>3607</v>
      </c>
      <c r="D1352" s="3">
        <v>396</v>
      </c>
      <c r="E1352" t="s">
        <v>1450</v>
      </c>
      <c r="F1352">
        <v>3</v>
      </c>
      <c r="I1352" t="s">
        <v>3238</v>
      </c>
      <c r="J1352" t="s">
        <v>50</v>
      </c>
      <c r="K1352" t="s">
        <v>50</v>
      </c>
      <c r="L1352">
        <v>5</v>
      </c>
      <c r="M1352">
        <v>2</v>
      </c>
      <c r="N1352" t="s">
        <v>2587</v>
      </c>
      <c r="O1352" t="s">
        <v>1447</v>
      </c>
      <c r="P1352" t="s">
        <v>1444</v>
      </c>
      <c r="Q1352" t="s">
        <v>1443</v>
      </c>
      <c r="R1352" t="s">
        <v>1260</v>
      </c>
      <c r="S1352" t="s">
        <v>2593</v>
      </c>
    </row>
    <row r="1353" spans="1:19">
      <c r="A1353" t="s">
        <v>4827</v>
      </c>
      <c r="B1353" t="s">
        <v>1234</v>
      </c>
      <c r="C1353" t="s">
        <v>3607</v>
      </c>
      <c r="D1353" s="3" t="s">
        <v>1235</v>
      </c>
      <c r="E1353" t="s">
        <v>1450</v>
      </c>
      <c r="F1353">
        <v>3</v>
      </c>
      <c r="I1353" t="s">
        <v>3238</v>
      </c>
      <c r="J1353" t="s">
        <v>50</v>
      </c>
      <c r="K1353" t="s">
        <v>50</v>
      </c>
      <c r="L1353">
        <v>5</v>
      </c>
      <c r="M1353">
        <v>2</v>
      </c>
      <c r="N1353" t="s">
        <v>2587</v>
      </c>
      <c r="O1353" t="s">
        <v>1447</v>
      </c>
      <c r="P1353" t="s">
        <v>1444</v>
      </c>
      <c r="Q1353" t="s">
        <v>1443</v>
      </c>
      <c r="R1353" t="s">
        <v>1260</v>
      </c>
      <c r="S1353" t="s">
        <v>2594</v>
      </c>
    </row>
    <row r="1354" spans="1:19">
      <c r="A1354" t="s">
        <v>4828</v>
      </c>
      <c r="B1354" t="s">
        <v>1239</v>
      </c>
      <c r="C1354" t="s">
        <v>3607</v>
      </c>
      <c r="D1354" s="3" t="s">
        <v>1235</v>
      </c>
      <c r="E1354" t="s">
        <v>1476</v>
      </c>
      <c r="F1354">
        <v>3</v>
      </c>
      <c r="G1354">
        <v>1</v>
      </c>
      <c r="I1354" t="s">
        <v>3238</v>
      </c>
      <c r="J1354" t="s">
        <v>50</v>
      </c>
      <c r="K1354" t="s">
        <v>50</v>
      </c>
      <c r="L1354">
        <v>5</v>
      </c>
      <c r="M1354">
        <v>2</v>
      </c>
      <c r="N1354" t="s">
        <v>2587</v>
      </c>
      <c r="O1354" t="s">
        <v>1447</v>
      </c>
      <c r="P1354" t="s">
        <v>1523</v>
      </c>
      <c r="Q1354" t="s">
        <v>1443</v>
      </c>
      <c r="R1354" t="s">
        <v>1270</v>
      </c>
      <c r="S1354" t="s">
        <v>2595</v>
      </c>
    </row>
    <row r="1355" spans="1:19">
      <c r="A1355" t="s">
        <v>4829</v>
      </c>
      <c r="B1355" t="s">
        <v>1250</v>
      </c>
      <c r="C1355" t="s">
        <v>3607</v>
      </c>
      <c r="D1355" s="3" t="s">
        <v>1251</v>
      </c>
      <c r="E1355" t="s">
        <v>1554</v>
      </c>
      <c r="F1355">
        <v>4</v>
      </c>
      <c r="I1355" t="s">
        <v>3238</v>
      </c>
      <c r="J1355" t="s">
        <v>50</v>
      </c>
      <c r="K1355" t="s">
        <v>50</v>
      </c>
      <c r="L1355">
        <v>5</v>
      </c>
      <c r="M1355">
        <v>2</v>
      </c>
      <c r="N1355" t="s">
        <v>2587</v>
      </c>
      <c r="O1355" t="s">
        <v>1457</v>
      </c>
      <c r="P1355" t="s">
        <v>1444</v>
      </c>
      <c r="Q1355" t="s">
        <v>1547</v>
      </c>
      <c r="R1355" t="s">
        <v>1270</v>
      </c>
      <c r="S1355" t="s">
        <v>2596</v>
      </c>
    </row>
    <row r="1356" spans="1:19">
      <c r="A1356" t="s">
        <v>4830</v>
      </c>
      <c r="B1356" t="s">
        <v>1271</v>
      </c>
      <c r="C1356" t="s">
        <v>3607</v>
      </c>
      <c r="D1356" s="3">
        <v>397</v>
      </c>
      <c r="E1356" t="s">
        <v>2597</v>
      </c>
      <c r="F1356" t="s">
        <v>2597</v>
      </c>
      <c r="I1356" t="s">
        <v>3238</v>
      </c>
      <c r="J1356" t="s">
        <v>50</v>
      </c>
      <c r="K1356" t="s">
        <v>50</v>
      </c>
      <c r="L1356">
        <v>5</v>
      </c>
      <c r="M1356">
        <v>2</v>
      </c>
      <c r="N1356" t="s">
        <v>2587</v>
      </c>
      <c r="O1356" t="s">
        <v>1457</v>
      </c>
      <c r="P1356" t="s">
        <v>1705</v>
      </c>
      <c r="Q1356" t="s">
        <v>1547</v>
      </c>
      <c r="R1356" t="s">
        <v>1250</v>
      </c>
      <c r="S1356" t="s">
        <v>2598</v>
      </c>
    </row>
    <row r="1357" spans="1:19">
      <c r="A1357" t="s">
        <v>4831</v>
      </c>
      <c r="B1357" t="s">
        <v>1262</v>
      </c>
      <c r="C1357" t="s">
        <v>3607</v>
      </c>
      <c r="D1357" s="3" t="s">
        <v>1263</v>
      </c>
      <c r="E1357" t="s">
        <v>1924</v>
      </c>
      <c r="F1357">
        <v>2</v>
      </c>
      <c r="G1357">
        <v>1</v>
      </c>
      <c r="I1357" t="s">
        <v>3238</v>
      </c>
      <c r="J1357" t="s">
        <v>50</v>
      </c>
      <c r="K1357" t="s">
        <v>50</v>
      </c>
      <c r="L1357">
        <v>5</v>
      </c>
      <c r="M1357">
        <v>2</v>
      </c>
      <c r="N1357" t="s">
        <v>2587</v>
      </c>
      <c r="O1357" t="s">
        <v>1447</v>
      </c>
      <c r="P1357" t="s">
        <v>1444</v>
      </c>
      <c r="Q1357" t="s">
        <v>1443</v>
      </c>
      <c r="R1357" t="s">
        <v>1271</v>
      </c>
      <c r="S1357" t="s">
        <v>2599</v>
      </c>
    </row>
    <row r="1358" spans="1:19">
      <c r="A1358" t="s">
        <v>4832</v>
      </c>
      <c r="B1358" t="s">
        <v>1231</v>
      </c>
      <c r="C1358" t="s">
        <v>3607</v>
      </c>
      <c r="D1358" s="3" t="s">
        <v>1232</v>
      </c>
      <c r="E1358" t="s">
        <v>1450</v>
      </c>
      <c r="F1358">
        <v>3</v>
      </c>
      <c r="I1358" t="s">
        <v>3238</v>
      </c>
      <c r="J1358" t="s">
        <v>50</v>
      </c>
      <c r="K1358" t="s">
        <v>50</v>
      </c>
      <c r="L1358">
        <v>5</v>
      </c>
      <c r="M1358">
        <v>3</v>
      </c>
      <c r="N1358" t="s">
        <v>2600</v>
      </c>
      <c r="O1358" t="s">
        <v>1447</v>
      </c>
      <c r="P1358" t="s">
        <v>1444</v>
      </c>
      <c r="Q1358" t="s">
        <v>1443</v>
      </c>
      <c r="R1358" t="s">
        <v>1281</v>
      </c>
      <c r="S1358" t="s">
        <v>2601</v>
      </c>
    </row>
    <row r="1359" spans="1:19">
      <c r="A1359" t="s">
        <v>4833</v>
      </c>
      <c r="B1359" t="s">
        <v>1237</v>
      </c>
      <c r="C1359" t="s">
        <v>3607</v>
      </c>
      <c r="D1359" s="3">
        <v>397</v>
      </c>
      <c r="E1359" t="s">
        <v>1479</v>
      </c>
      <c r="F1359">
        <v>6</v>
      </c>
      <c r="G1359">
        <v>1</v>
      </c>
      <c r="I1359" t="s">
        <v>3238</v>
      </c>
      <c r="J1359" t="s">
        <v>50</v>
      </c>
      <c r="K1359" t="s">
        <v>50</v>
      </c>
      <c r="L1359">
        <v>5</v>
      </c>
      <c r="M1359">
        <v>3</v>
      </c>
      <c r="N1359" t="s">
        <v>2600</v>
      </c>
      <c r="O1359" t="s">
        <v>1457</v>
      </c>
      <c r="P1359" t="s">
        <v>1444</v>
      </c>
      <c r="Q1359" t="s">
        <v>1443</v>
      </c>
      <c r="R1359" t="s">
        <v>1231</v>
      </c>
      <c r="S1359" t="s">
        <v>2602</v>
      </c>
    </row>
    <row r="1360" spans="1:19">
      <c r="A1360" t="s">
        <v>4834</v>
      </c>
      <c r="B1360" t="s">
        <v>1240</v>
      </c>
      <c r="C1360" t="s">
        <v>3607</v>
      </c>
      <c r="D1360" s="3" t="s">
        <v>1241</v>
      </c>
      <c r="E1360" t="s">
        <v>1479</v>
      </c>
      <c r="F1360">
        <v>6</v>
      </c>
      <c r="G1360">
        <v>1</v>
      </c>
      <c r="I1360" t="s">
        <v>3238</v>
      </c>
      <c r="J1360" t="s">
        <v>50</v>
      </c>
      <c r="K1360" t="s">
        <v>50</v>
      </c>
      <c r="L1360">
        <v>5</v>
      </c>
      <c r="M1360">
        <v>3</v>
      </c>
      <c r="N1360" t="s">
        <v>2600</v>
      </c>
      <c r="O1360" t="s">
        <v>1447</v>
      </c>
      <c r="P1360" t="s">
        <v>2603</v>
      </c>
      <c r="Q1360" t="s">
        <v>1443</v>
      </c>
      <c r="R1360" t="s">
        <v>1281</v>
      </c>
      <c r="S1360" t="s">
        <v>2604</v>
      </c>
    </row>
    <row r="1361" spans="1:19">
      <c r="A1361" t="s">
        <v>4835</v>
      </c>
      <c r="B1361" t="s">
        <v>1284</v>
      </c>
      <c r="C1361" t="s">
        <v>3607</v>
      </c>
      <c r="D1361" s="3">
        <v>398</v>
      </c>
      <c r="E1361" t="s">
        <v>1592</v>
      </c>
      <c r="F1361" t="s">
        <v>3699</v>
      </c>
      <c r="G1361">
        <v>1</v>
      </c>
      <c r="I1361" t="s">
        <v>3238</v>
      </c>
      <c r="J1361" t="s">
        <v>50</v>
      </c>
      <c r="K1361" t="s">
        <v>50</v>
      </c>
      <c r="L1361">
        <v>5</v>
      </c>
      <c r="M1361">
        <v>3</v>
      </c>
      <c r="N1361" t="s">
        <v>2600</v>
      </c>
      <c r="O1361" t="s">
        <v>1457</v>
      </c>
      <c r="P1361" t="s">
        <v>1444</v>
      </c>
      <c r="Q1361" t="s">
        <v>1443</v>
      </c>
      <c r="R1361" t="s">
        <v>1240</v>
      </c>
      <c r="S1361" t="s">
        <v>2605</v>
      </c>
    </row>
    <row r="1362" spans="1:19">
      <c r="A1362" t="s">
        <v>4836</v>
      </c>
      <c r="B1362" t="s">
        <v>1243</v>
      </c>
      <c r="C1362" t="s">
        <v>3607</v>
      </c>
      <c r="D1362" s="3">
        <v>398</v>
      </c>
      <c r="E1362" t="s">
        <v>1511</v>
      </c>
      <c r="F1362" t="s">
        <v>1511</v>
      </c>
      <c r="I1362" t="s">
        <v>3238</v>
      </c>
      <c r="J1362" t="s">
        <v>50</v>
      </c>
      <c r="K1362" t="s">
        <v>50</v>
      </c>
      <c r="L1362">
        <v>5</v>
      </c>
      <c r="M1362">
        <v>3</v>
      </c>
      <c r="N1362" t="s">
        <v>2600</v>
      </c>
      <c r="O1362" t="s">
        <v>1513</v>
      </c>
      <c r="P1362" t="s">
        <v>1444</v>
      </c>
      <c r="Q1362" t="s">
        <v>1513</v>
      </c>
      <c r="R1362" t="s">
        <v>1284</v>
      </c>
      <c r="S1362" t="s">
        <v>2606</v>
      </c>
    </row>
    <row r="1363" spans="1:19">
      <c r="A1363" t="s">
        <v>4837</v>
      </c>
      <c r="B1363" t="s">
        <v>1226</v>
      </c>
      <c r="C1363" t="s">
        <v>3607</v>
      </c>
      <c r="D1363" s="3">
        <v>398</v>
      </c>
      <c r="E1363" t="s">
        <v>1541</v>
      </c>
      <c r="F1363">
        <v>5</v>
      </c>
      <c r="I1363" t="s">
        <v>3238</v>
      </c>
      <c r="J1363" t="s">
        <v>50</v>
      </c>
      <c r="K1363" t="s">
        <v>50</v>
      </c>
      <c r="L1363">
        <v>5</v>
      </c>
      <c r="M1363">
        <v>3</v>
      </c>
      <c r="N1363" t="s">
        <v>2600</v>
      </c>
      <c r="O1363" t="s">
        <v>1447</v>
      </c>
      <c r="P1363" t="s">
        <v>1523</v>
      </c>
      <c r="Q1363" t="s">
        <v>1443</v>
      </c>
      <c r="R1363" t="s">
        <v>2607</v>
      </c>
      <c r="S1363" t="s">
        <v>2608</v>
      </c>
    </row>
    <row r="1364" spans="1:19">
      <c r="A1364" t="s">
        <v>4838</v>
      </c>
      <c r="B1364" t="s">
        <v>1225</v>
      </c>
      <c r="C1364" t="s">
        <v>3607</v>
      </c>
      <c r="D1364" s="3">
        <v>398</v>
      </c>
      <c r="E1364" t="s">
        <v>1554</v>
      </c>
      <c r="F1364">
        <v>4</v>
      </c>
      <c r="I1364" t="s">
        <v>3238</v>
      </c>
      <c r="J1364" t="s">
        <v>50</v>
      </c>
      <c r="K1364" t="s">
        <v>50</v>
      </c>
      <c r="L1364">
        <v>5</v>
      </c>
      <c r="M1364">
        <v>3</v>
      </c>
      <c r="N1364" t="s">
        <v>2600</v>
      </c>
      <c r="O1364" t="s">
        <v>1447</v>
      </c>
      <c r="P1364" t="s">
        <v>2609</v>
      </c>
      <c r="Q1364" t="s">
        <v>1443</v>
      </c>
      <c r="R1364" t="s">
        <v>2610</v>
      </c>
      <c r="S1364" t="s">
        <v>2611</v>
      </c>
    </row>
    <row r="1365" spans="1:19">
      <c r="A1365" t="s">
        <v>4839</v>
      </c>
      <c r="B1365" t="s">
        <v>1246</v>
      </c>
      <c r="C1365" t="s">
        <v>3607</v>
      </c>
      <c r="D1365" s="3" t="s">
        <v>1247</v>
      </c>
      <c r="E1365" t="s">
        <v>1511</v>
      </c>
      <c r="F1365" t="s">
        <v>1511</v>
      </c>
      <c r="I1365" t="s">
        <v>3238</v>
      </c>
      <c r="J1365" t="s">
        <v>50</v>
      </c>
      <c r="K1365" t="s">
        <v>50</v>
      </c>
      <c r="L1365">
        <v>5</v>
      </c>
      <c r="M1365">
        <v>3</v>
      </c>
      <c r="N1365" t="s">
        <v>2600</v>
      </c>
      <c r="O1365" t="s">
        <v>1513</v>
      </c>
      <c r="P1365" t="s">
        <v>1444</v>
      </c>
      <c r="Q1365" t="s">
        <v>1513</v>
      </c>
      <c r="R1365" t="s">
        <v>1285</v>
      </c>
      <c r="S1365" t="s">
        <v>2612</v>
      </c>
    </row>
    <row r="1366" spans="1:19">
      <c r="A1366" t="s">
        <v>4840</v>
      </c>
      <c r="B1366" t="s">
        <v>1273</v>
      </c>
      <c r="C1366" t="s">
        <v>3607</v>
      </c>
      <c r="D1366" s="3">
        <v>399</v>
      </c>
      <c r="E1366" t="s">
        <v>1924</v>
      </c>
      <c r="F1366">
        <v>2</v>
      </c>
      <c r="G1366">
        <v>1</v>
      </c>
      <c r="I1366" t="s">
        <v>3238</v>
      </c>
      <c r="J1366" t="s">
        <v>50</v>
      </c>
      <c r="K1366" t="s">
        <v>50</v>
      </c>
      <c r="L1366">
        <v>5</v>
      </c>
      <c r="M1366">
        <v>3</v>
      </c>
      <c r="N1366" t="s">
        <v>2600</v>
      </c>
      <c r="O1366" t="s">
        <v>1447</v>
      </c>
      <c r="P1366" t="s">
        <v>1444</v>
      </c>
      <c r="Q1366" t="s">
        <v>1443</v>
      </c>
      <c r="R1366" t="s">
        <v>1234</v>
      </c>
      <c r="S1366" t="s">
        <v>2613</v>
      </c>
    </row>
    <row r="1367" spans="1:19">
      <c r="A1367" t="s">
        <v>4841</v>
      </c>
      <c r="B1367" t="s">
        <v>1245</v>
      </c>
      <c r="C1367" t="s">
        <v>3607</v>
      </c>
      <c r="D1367" s="3">
        <v>399</v>
      </c>
      <c r="E1367" t="s">
        <v>1497</v>
      </c>
      <c r="F1367">
        <v>6</v>
      </c>
      <c r="I1367" t="s">
        <v>3238</v>
      </c>
      <c r="J1367" t="s">
        <v>50</v>
      </c>
      <c r="K1367" t="s">
        <v>50</v>
      </c>
      <c r="L1367">
        <v>5</v>
      </c>
      <c r="M1367">
        <v>3</v>
      </c>
      <c r="N1367" t="s">
        <v>2600</v>
      </c>
      <c r="O1367" t="s">
        <v>1457</v>
      </c>
      <c r="P1367" t="s">
        <v>1444</v>
      </c>
      <c r="Q1367" t="s">
        <v>1443</v>
      </c>
      <c r="R1367" t="s">
        <v>1273</v>
      </c>
      <c r="S1367" t="s">
        <v>2614</v>
      </c>
    </row>
    <row r="1368" spans="1:19">
      <c r="A1368" t="s">
        <v>4842</v>
      </c>
      <c r="B1368" t="s">
        <v>1274</v>
      </c>
      <c r="C1368" t="s">
        <v>3607</v>
      </c>
      <c r="D1368" s="3">
        <v>399</v>
      </c>
      <c r="E1368" t="s">
        <v>1456</v>
      </c>
      <c r="F1368">
        <v>4</v>
      </c>
      <c r="G1368">
        <v>1</v>
      </c>
      <c r="I1368" t="s">
        <v>3238</v>
      </c>
      <c r="J1368" t="s">
        <v>50</v>
      </c>
      <c r="K1368" t="s">
        <v>50</v>
      </c>
      <c r="L1368">
        <v>5</v>
      </c>
      <c r="M1368">
        <v>3</v>
      </c>
      <c r="N1368" t="s">
        <v>2600</v>
      </c>
      <c r="O1368" t="s">
        <v>1447</v>
      </c>
      <c r="P1368" t="s">
        <v>1523</v>
      </c>
      <c r="Q1368" t="s">
        <v>1443</v>
      </c>
      <c r="R1368" t="s">
        <v>1239</v>
      </c>
      <c r="S1368" t="s">
        <v>2615</v>
      </c>
    </row>
    <row r="1369" spans="1:19">
      <c r="A1369" t="s">
        <v>4843</v>
      </c>
      <c r="B1369" t="s">
        <v>1276</v>
      </c>
      <c r="C1369" t="s">
        <v>3607</v>
      </c>
      <c r="D1369" s="3">
        <v>399</v>
      </c>
      <c r="E1369" t="s">
        <v>1456</v>
      </c>
      <c r="F1369">
        <v>4</v>
      </c>
      <c r="G1369">
        <v>1</v>
      </c>
      <c r="I1369" t="s">
        <v>3238</v>
      </c>
      <c r="J1369" t="s">
        <v>50</v>
      </c>
      <c r="K1369" t="s">
        <v>50</v>
      </c>
      <c r="L1369">
        <v>5</v>
      </c>
      <c r="M1369">
        <v>3</v>
      </c>
      <c r="N1369" t="s">
        <v>2600</v>
      </c>
      <c r="O1369" t="s">
        <v>1447</v>
      </c>
      <c r="P1369" t="s">
        <v>1444</v>
      </c>
      <c r="Q1369" t="s">
        <v>1443</v>
      </c>
      <c r="R1369" t="s">
        <v>2616</v>
      </c>
      <c r="S1369" t="s">
        <v>2617</v>
      </c>
    </row>
    <row r="1370" spans="1:19">
      <c r="A1370" t="s">
        <v>4844</v>
      </c>
      <c r="B1370" t="s">
        <v>2618</v>
      </c>
      <c r="C1370" t="s">
        <v>3607</v>
      </c>
      <c r="D1370" s="3" t="s">
        <v>1264</v>
      </c>
      <c r="E1370" t="s">
        <v>1599</v>
      </c>
      <c r="F1370">
        <v>10</v>
      </c>
      <c r="G1370">
        <v>1</v>
      </c>
      <c r="I1370" t="s">
        <v>3238</v>
      </c>
      <c r="J1370" t="s">
        <v>50</v>
      </c>
      <c r="K1370" t="s">
        <v>50</v>
      </c>
      <c r="L1370">
        <v>5</v>
      </c>
      <c r="M1370">
        <v>3</v>
      </c>
      <c r="N1370" t="s">
        <v>2600</v>
      </c>
      <c r="O1370" t="s">
        <v>1457</v>
      </c>
      <c r="P1370" t="s">
        <v>1444</v>
      </c>
      <c r="Q1370" t="s">
        <v>1443</v>
      </c>
      <c r="R1370" t="s">
        <v>2619</v>
      </c>
      <c r="S1370" t="s">
        <v>2620</v>
      </c>
    </row>
    <row r="1371" spans="1:19">
      <c r="A1371" t="s">
        <v>4845</v>
      </c>
      <c r="B1371" t="s">
        <v>1280</v>
      </c>
      <c r="C1371" t="s">
        <v>3607</v>
      </c>
      <c r="D1371" s="3" t="s">
        <v>1279</v>
      </c>
      <c r="E1371" t="s">
        <v>2299</v>
      </c>
      <c r="F1371">
        <v>20</v>
      </c>
      <c r="G1371">
        <v>1</v>
      </c>
      <c r="I1371" t="s">
        <v>3238</v>
      </c>
      <c r="J1371" t="s">
        <v>50</v>
      </c>
      <c r="K1371" t="s">
        <v>50</v>
      </c>
      <c r="L1371">
        <v>5</v>
      </c>
      <c r="M1371">
        <v>3</v>
      </c>
      <c r="N1371" t="s">
        <v>2600</v>
      </c>
      <c r="O1371" t="s">
        <v>1457</v>
      </c>
      <c r="P1371" t="s">
        <v>1444</v>
      </c>
      <c r="Q1371" t="s">
        <v>1443</v>
      </c>
      <c r="R1371" t="s">
        <v>2621</v>
      </c>
      <c r="S1371" t="s">
        <v>2622</v>
      </c>
    </row>
    <row r="1372" spans="1:19">
      <c r="A1372" t="s">
        <v>4846</v>
      </c>
      <c r="B1372" t="s">
        <v>1278</v>
      </c>
      <c r="C1372" t="s">
        <v>3607</v>
      </c>
      <c r="D1372" s="3" t="s">
        <v>1279</v>
      </c>
      <c r="E1372" t="s">
        <v>1511</v>
      </c>
      <c r="F1372" t="s">
        <v>1511</v>
      </c>
      <c r="I1372" t="s">
        <v>3238</v>
      </c>
      <c r="J1372" t="s">
        <v>50</v>
      </c>
      <c r="K1372" t="s">
        <v>50</v>
      </c>
      <c r="L1372">
        <v>5</v>
      </c>
      <c r="M1372">
        <v>3</v>
      </c>
      <c r="N1372" t="s">
        <v>2600</v>
      </c>
      <c r="O1372" t="s">
        <v>1513</v>
      </c>
      <c r="P1372" t="s">
        <v>1444</v>
      </c>
      <c r="Q1372" t="s">
        <v>1513</v>
      </c>
      <c r="R1372" t="s">
        <v>1280</v>
      </c>
      <c r="S1372" t="s">
        <v>2623</v>
      </c>
    </row>
    <row r="1373" spans="1:19">
      <c r="A1373" t="s">
        <v>4847</v>
      </c>
      <c r="B1373" t="s">
        <v>1252</v>
      </c>
      <c r="C1373" t="s">
        <v>3607</v>
      </c>
      <c r="D1373" s="3" t="s">
        <v>1253</v>
      </c>
      <c r="E1373" t="s">
        <v>2624</v>
      </c>
      <c r="F1373" t="s">
        <v>2624</v>
      </c>
      <c r="I1373" t="s">
        <v>3238</v>
      </c>
      <c r="J1373" t="s">
        <v>50</v>
      </c>
      <c r="K1373" t="s">
        <v>50</v>
      </c>
      <c r="L1373">
        <v>5</v>
      </c>
      <c r="M1373">
        <v>3</v>
      </c>
      <c r="N1373" t="s">
        <v>2600</v>
      </c>
      <c r="O1373" t="s">
        <v>1513</v>
      </c>
      <c r="P1373" t="s">
        <v>1523</v>
      </c>
      <c r="Q1373" t="s">
        <v>1513</v>
      </c>
      <c r="R1373" t="s">
        <v>1262</v>
      </c>
      <c r="S1373" t="s">
        <v>2625</v>
      </c>
    </row>
    <row r="1374" spans="1:19">
      <c r="A1374" t="s">
        <v>4848</v>
      </c>
      <c r="B1374" t="s">
        <v>1257</v>
      </c>
      <c r="C1374" t="s">
        <v>3607</v>
      </c>
      <c r="D1374" s="3" t="s">
        <v>1258</v>
      </c>
      <c r="E1374" t="s">
        <v>1511</v>
      </c>
      <c r="F1374" t="s">
        <v>1511</v>
      </c>
      <c r="I1374" t="s">
        <v>3238</v>
      </c>
      <c r="J1374" t="s">
        <v>50</v>
      </c>
      <c r="K1374" t="s">
        <v>50</v>
      </c>
      <c r="L1374">
        <v>5</v>
      </c>
      <c r="M1374">
        <v>3</v>
      </c>
      <c r="N1374" t="s">
        <v>2600</v>
      </c>
      <c r="O1374" t="s">
        <v>1513</v>
      </c>
      <c r="P1374" t="s">
        <v>1444</v>
      </c>
      <c r="Q1374" t="s">
        <v>1513</v>
      </c>
      <c r="R1374" t="s">
        <v>1252</v>
      </c>
      <c r="S1374" t="s">
        <v>3839</v>
      </c>
    </row>
    <row r="1375" spans="1:19">
      <c r="A1375" t="s">
        <v>4849</v>
      </c>
      <c r="B1375" t="s">
        <v>1265</v>
      </c>
      <c r="C1375" t="s">
        <v>3607</v>
      </c>
      <c r="D1375" s="3" t="s">
        <v>1266</v>
      </c>
      <c r="E1375" t="s">
        <v>1511</v>
      </c>
      <c r="F1375" t="s">
        <v>1511</v>
      </c>
      <c r="I1375" t="s">
        <v>3238</v>
      </c>
      <c r="J1375" t="s">
        <v>50</v>
      </c>
      <c r="K1375" t="s">
        <v>50</v>
      </c>
      <c r="L1375">
        <v>5</v>
      </c>
      <c r="M1375">
        <v>3</v>
      </c>
      <c r="N1375" t="s">
        <v>2600</v>
      </c>
      <c r="O1375" t="s">
        <v>1513</v>
      </c>
      <c r="P1375" t="s">
        <v>1444</v>
      </c>
      <c r="Q1375" t="s">
        <v>1513</v>
      </c>
      <c r="R1375" t="s">
        <v>1257</v>
      </c>
      <c r="S1375" t="s">
        <v>2626</v>
      </c>
    </row>
    <row r="1376" spans="1:19">
      <c r="A1376" t="s">
        <v>4850</v>
      </c>
      <c r="B1376" t="s">
        <v>1248</v>
      </c>
      <c r="C1376" t="s">
        <v>3607</v>
      </c>
      <c r="D1376" s="3">
        <v>402</v>
      </c>
      <c r="E1376" t="s">
        <v>1511</v>
      </c>
      <c r="F1376" t="s">
        <v>1511</v>
      </c>
      <c r="I1376" t="s">
        <v>3238</v>
      </c>
      <c r="J1376" t="s">
        <v>50</v>
      </c>
      <c r="K1376" t="s">
        <v>50</v>
      </c>
      <c r="L1376">
        <v>5</v>
      </c>
      <c r="M1376">
        <v>3</v>
      </c>
      <c r="N1376" t="s">
        <v>2600</v>
      </c>
      <c r="O1376" t="s">
        <v>1513</v>
      </c>
      <c r="P1376" t="s">
        <v>1444</v>
      </c>
      <c r="Q1376" t="s">
        <v>1513</v>
      </c>
      <c r="R1376" t="s">
        <v>2627</v>
      </c>
      <c r="S1376" t="s">
        <v>2628</v>
      </c>
    </row>
    <row r="1377" spans="1:19">
      <c r="A1377" t="s">
        <v>4851</v>
      </c>
      <c r="B1377" t="s">
        <v>1283</v>
      </c>
      <c r="C1377" t="s">
        <v>3607</v>
      </c>
      <c r="D1377" s="3">
        <v>402</v>
      </c>
      <c r="E1377" t="s">
        <v>1599</v>
      </c>
      <c r="F1377">
        <v>10</v>
      </c>
      <c r="G1377">
        <v>1</v>
      </c>
      <c r="I1377" t="s">
        <v>3238</v>
      </c>
      <c r="J1377" t="s">
        <v>50</v>
      </c>
      <c r="K1377" t="s">
        <v>50</v>
      </c>
      <c r="L1377">
        <v>5</v>
      </c>
      <c r="M1377">
        <v>4</v>
      </c>
      <c r="N1377" t="s">
        <v>2629</v>
      </c>
      <c r="O1377" t="s">
        <v>1457</v>
      </c>
      <c r="P1377" t="s">
        <v>1444</v>
      </c>
      <c r="Q1377" t="s">
        <v>1443</v>
      </c>
      <c r="R1377" t="s">
        <v>1280</v>
      </c>
      <c r="S1377" t="s">
        <v>2630</v>
      </c>
    </row>
    <row r="1378" spans="1:19">
      <c r="A1378" t="s">
        <v>4852</v>
      </c>
      <c r="B1378" t="s">
        <v>1244</v>
      </c>
      <c r="C1378" t="s">
        <v>3607</v>
      </c>
      <c r="D1378" s="3">
        <v>402</v>
      </c>
      <c r="E1378" t="s">
        <v>1511</v>
      </c>
      <c r="F1378" t="s">
        <v>1511</v>
      </c>
      <c r="I1378" t="s">
        <v>3238</v>
      </c>
      <c r="J1378" t="s">
        <v>50</v>
      </c>
      <c r="K1378" t="s">
        <v>50</v>
      </c>
      <c r="L1378">
        <v>5</v>
      </c>
      <c r="M1378">
        <v>4</v>
      </c>
      <c r="N1378" t="s">
        <v>2629</v>
      </c>
      <c r="O1378" t="s">
        <v>1513</v>
      </c>
      <c r="P1378" t="s">
        <v>1444</v>
      </c>
      <c r="Q1378" t="s">
        <v>1513</v>
      </c>
      <c r="R1378" t="s">
        <v>1278</v>
      </c>
      <c r="S1378" t="s">
        <v>2631</v>
      </c>
    </row>
    <row r="1379" spans="1:19">
      <c r="A1379" t="s">
        <v>4853</v>
      </c>
      <c r="B1379" t="s">
        <v>1242</v>
      </c>
      <c r="C1379" t="s">
        <v>3607</v>
      </c>
      <c r="D1379" s="3">
        <v>402</v>
      </c>
      <c r="E1379" t="s">
        <v>1465</v>
      </c>
      <c r="F1379">
        <v>1</v>
      </c>
      <c r="G1379">
        <v>1</v>
      </c>
      <c r="I1379" t="s">
        <v>3238</v>
      </c>
      <c r="J1379" t="s">
        <v>50</v>
      </c>
      <c r="K1379" t="s">
        <v>50</v>
      </c>
      <c r="L1379">
        <v>5</v>
      </c>
      <c r="M1379">
        <v>4</v>
      </c>
      <c r="N1379" t="s">
        <v>2629</v>
      </c>
      <c r="O1379" t="s">
        <v>1447</v>
      </c>
      <c r="P1379" t="s">
        <v>1444</v>
      </c>
      <c r="Q1379" t="s">
        <v>1473</v>
      </c>
      <c r="R1379" t="s">
        <v>1244</v>
      </c>
      <c r="S1379" s="18" t="s">
        <v>2632</v>
      </c>
    </row>
    <row r="1380" spans="1:19">
      <c r="A1380" t="s">
        <v>4854</v>
      </c>
      <c r="B1380" t="s">
        <v>1238</v>
      </c>
      <c r="C1380" t="s">
        <v>3607</v>
      </c>
      <c r="D1380" s="3" t="s">
        <v>1228</v>
      </c>
      <c r="E1380" t="s">
        <v>1511</v>
      </c>
      <c r="F1380" t="s">
        <v>1511</v>
      </c>
      <c r="I1380" t="s">
        <v>3238</v>
      </c>
      <c r="J1380" t="s">
        <v>50</v>
      </c>
      <c r="K1380" t="s">
        <v>50</v>
      </c>
      <c r="L1380">
        <v>5</v>
      </c>
      <c r="M1380">
        <v>4</v>
      </c>
      <c r="N1380" t="s">
        <v>2629</v>
      </c>
      <c r="O1380" t="s">
        <v>1513</v>
      </c>
      <c r="P1380" t="s">
        <v>1444</v>
      </c>
      <c r="Q1380" t="s">
        <v>1513</v>
      </c>
      <c r="R1380" t="s">
        <v>1265</v>
      </c>
      <c r="S1380" t="s">
        <v>2633</v>
      </c>
    </row>
    <row r="1381" spans="1:19">
      <c r="A1381" t="s">
        <v>4855</v>
      </c>
      <c r="B1381" t="s">
        <v>1227</v>
      </c>
      <c r="C1381" t="s">
        <v>3607</v>
      </c>
      <c r="D1381" s="3" t="s">
        <v>1228</v>
      </c>
      <c r="E1381" t="s">
        <v>1599</v>
      </c>
      <c r="F1381">
        <v>10</v>
      </c>
      <c r="G1381">
        <v>1</v>
      </c>
      <c r="I1381" t="s">
        <v>3238</v>
      </c>
      <c r="J1381" t="s">
        <v>50</v>
      </c>
      <c r="K1381" t="s">
        <v>50</v>
      </c>
      <c r="L1381">
        <v>5</v>
      </c>
      <c r="M1381">
        <v>5</v>
      </c>
      <c r="N1381" t="s">
        <v>2634</v>
      </c>
      <c r="O1381" t="s">
        <v>1447</v>
      </c>
      <c r="P1381" t="s">
        <v>1523</v>
      </c>
      <c r="Q1381" t="s">
        <v>1443</v>
      </c>
      <c r="R1381" t="s">
        <v>2635</v>
      </c>
      <c r="S1381" t="s">
        <v>2636</v>
      </c>
    </row>
    <row r="1382" spans="1:19">
      <c r="A1382" t="s">
        <v>4856</v>
      </c>
      <c r="B1382" t="s">
        <v>1249</v>
      </c>
      <c r="C1382" t="s">
        <v>3607</v>
      </c>
      <c r="D1382" s="3">
        <v>403</v>
      </c>
      <c r="E1382" t="s">
        <v>2637</v>
      </c>
      <c r="H1382" t="s">
        <v>2637</v>
      </c>
      <c r="I1382" t="s">
        <v>3238</v>
      </c>
      <c r="J1382" t="s">
        <v>50</v>
      </c>
      <c r="K1382" t="s">
        <v>50</v>
      </c>
      <c r="L1382">
        <v>5</v>
      </c>
      <c r="M1382">
        <v>5</v>
      </c>
      <c r="N1382" t="s">
        <v>2634</v>
      </c>
      <c r="O1382" t="s">
        <v>1447</v>
      </c>
      <c r="P1382" t="s">
        <v>1444</v>
      </c>
      <c r="Q1382" t="s">
        <v>1443</v>
      </c>
      <c r="R1382" t="s">
        <v>1238</v>
      </c>
      <c r="S1382" t="s">
        <v>2638</v>
      </c>
    </row>
    <row r="1383" spans="1:19">
      <c r="A1383" t="s">
        <v>4857</v>
      </c>
      <c r="B1383" t="s">
        <v>1275</v>
      </c>
      <c r="C1383" t="s">
        <v>3607</v>
      </c>
      <c r="D1383" s="3">
        <v>403</v>
      </c>
      <c r="E1383" t="s">
        <v>2639</v>
      </c>
      <c r="F1383">
        <v>16</v>
      </c>
      <c r="G1383">
        <v>1</v>
      </c>
      <c r="H1383" t="s">
        <v>3840</v>
      </c>
      <c r="I1383" t="s">
        <v>3238</v>
      </c>
      <c r="J1383" t="s">
        <v>50</v>
      </c>
      <c r="K1383" t="s">
        <v>50</v>
      </c>
      <c r="L1383">
        <v>5</v>
      </c>
      <c r="M1383">
        <v>5</v>
      </c>
      <c r="N1383" t="s">
        <v>2634</v>
      </c>
      <c r="O1383" t="s">
        <v>1447</v>
      </c>
      <c r="P1383" t="s">
        <v>1444</v>
      </c>
      <c r="Q1383" t="s">
        <v>1443</v>
      </c>
      <c r="R1383" t="s">
        <v>1249</v>
      </c>
      <c r="S1383" t="s">
        <v>2640</v>
      </c>
    </row>
    <row r="1384" spans="1:19">
      <c r="A1384" t="s">
        <v>4860</v>
      </c>
      <c r="B1384" t="s">
        <v>3845</v>
      </c>
      <c r="C1384" t="s">
        <v>3602</v>
      </c>
      <c r="D1384" s="3">
        <v>32</v>
      </c>
      <c r="E1384" t="s">
        <v>1450</v>
      </c>
      <c r="F1384">
        <v>3</v>
      </c>
      <c r="I1384" t="s">
        <v>3238</v>
      </c>
      <c r="J1384" t="s">
        <v>50</v>
      </c>
      <c r="K1384" t="s">
        <v>50</v>
      </c>
      <c r="L1384">
        <v>5</v>
      </c>
      <c r="M1384">
        <v>1</v>
      </c>
      <c r="N1384" t="s">
        <v>2576</v>
      </c>
      <c r="O1384" t="s">
        <v>1441</v>
      </c>
      <c r="P1384" t="s">
        <v>1444</v>
      </c>
      <c r="Q1384" t="s">
        <v>1443</v>
      </c>
      <c r="R1384" t="s">
        <v>3843</v>
      </c>
      <c r="S1384" t="s">
        <v>3846</v>
      </c>
    </row>
    <row r="1385" spans="1:19">
      <c r="A1385" t="s">
        <v>4861</v>
      </c>
      <c r="B1385" t="s">
        <v>3847</v>
      </c>
      <c r="C1385" t="s">
        <v>3602</v>
      </c>
      <c r="D1385" s="3">
        <v>32</v>
      </c>
      <c r="E1385" t="s">
        <v>1465</v>
      </c>
      <c r="F1385">
        <v>1</v>
      </c>
      <c r="G1385">
        <v>1</v>
      </c>
      <c r="I1385" t="s">
        <v>3238</v>
      </c>
      <c r="J1385" t="s">
        <v>50</v>
      </c>
      <c r="K1385" t="s">
        <v>50</v>
      </c>
      <c r="L1385">
        <v>5</v>
      </c>
      <c r="M1385">
        <v>2</v>
      </c>
      <c r="N1385" t="s">
        <v>2587</v>
      </c>
      <c r="O1385" t="s">
        <v>1447</v>
      </c>
      <c r="P1385" t="s">
        <v>1444</v>
      </c>
      <c r="Q1385" t="s">
        <v>1443</v>
      </c>
      <c r="R1385" t="s">
        <v>1277</v>
      </c>
      <c r="S1385" t="s">
        <v>3848</v>
      </c>
    </row>
    <row r="1386" spans="1:19">
      <c r="A1386" t="s">
        <v>7158</v>
      </c>
      <c r="B1386" t="s">
        <v>6199</v>
      </c>
      <c r="C1386" t="s">
        <v>3968</v>
      </c>
      <c r="D1386">
        <v>261</v>
      </c>
      <c r="E1386" t="s">
        <v>6200</v>
      </c>
      <c r="F1386">
        <v>2</v>
      </c>
      <c r="I1386" t="s">
        <v>3560</v>
      </c>
      <c r="J1386" t="s">
        <v>50</v>
      </c>
      <c r="K1386" t="s">
        <v>50</v>
      </c>
      <c r="L1386">
        <v>1</v>
      </c>
      <c r="M1386">
        <v>1</v>
      </c>
      <c r="N1386" t="s">
        <v>6201</v>
      </c>
      <c r="O1386" t="s">
        <v>5176</v>
      </c>
      <c r="P1386" t="s">
        <v>6202</v>
      </c>
      <c r="Q1386" t="s">
        <v>1443</v>
      </c>
      <c r="R1386" t="s">
        <v>1444</v>
      </c>
      <c r="S1386" t="s">
        <v>6203</v>
      </c>
    </row>
    <row r="1387" spans="1:19">
      <c r="A1387" t="s">
        <v>7159</v>
      </c>
      <c r="B1387" t="s">
        <v>6204</v>
      </c>
      <c r="C1387" t="s">
        <v>3968</v>
      </c>
      <c r="D1387">
        <v>261</v>
      </c>
      <c r="E1387" t="s">
        <v>1450</v>
      </c>
      <c r="F1387">
        <v>3</v>
      </c>
      <c r="I1387" t="s">
        <v>3560</v>
      </c>
      <c r="J1387" t="s">
        <v>50</v>
      </c>
      <c r="K1387" t="s">
        <v>50</v>
      </c>
      <c r="L1387">
        <v>2</v>
      </c>
      <c r="M1387">
        <v>1</v>
      </c>
      <c r="N1387" t="s">
        <v>6205</v>
      </c>
      <c r="O1387" t="s">
        <v>1441</v>
      </c>
      <c r="P1387" t="s">
        <v>5075</v>
      </c>
      <c r="Q1387" t="s">
        <v>1443</v>
      </c>
      <c r="R1387" t="s">
        <v>1444</v>
      </c>
      <c r="S1387" t="s">
        <v>6206</v>
      </c>
    </row>
    <row r="1388" spans="1:19">
      <c r="A1388" t="s">
        <v>7160</v>
      </c>
      <c r="B1388" t="s">
        <v>6207</v>
      </c>
      <c r="C1388" t="s">
        <v>3968</v>
      </c>
      <c r="D1388">
        <v>261</v>
      </c>
      <c r="E1388" t="s">
        <v>3687</v>
      </c>
      <c r="I1388" t="s">
        <v>3560</v>
      </c>
      <c r="J1388" t="s">
        <v>50</v>
      </c>
      <c r="K1388" t="s">
        <v>50</v>
      </c>
      <c r="L1388">
        <v>3</v>
      </c>
      <c r="M1388">
        <v>1</v>
      </c>
      <c r="N1388" t="s">
        <v>2571</v>
      </c>
      <c r="O1388" t="s">
        <v>1513</v>
      </c>
      <c r="P1388" t="s">
        <v>5002</v>
      </c>
      <c r="Q1388" t="s">
        <v>1513</v>
      </c>
      <c r="R1388" t="s">
        <v>1444</v>
      </c>
      <c r="S1388" t="s">
        <v>6208</v>
      </c>
    </row>
    <row r="1389" spans="1:19">
      <c r="A1389" t="s">
        <v>7161</v>
      </c>
      <c r="B1389" t="s">
        <v>6209</v>
      </c>
      <c r="C1389" t="s">
        <v>3968</v>
      </c>
      <c r="D1389">
        <v>261</v>
      </c>
      <c r="E1389" t="s">
        <v>1554</v>
      </c>
      <c r="F1389">
        <v>4</v>
      </c>
      <c r="I1389" t="s">
        <v>3560</v>
      </c>
      <c r="J1389" t="s">
        <v>50</v>
      </c>
      <c r="K1389" t="s">
        <v>50</v>
      </c>
      <c r="L1389">
        <v>3</v>
      </c>
      <c r="M1389">
        <v>1</v>
      </c>
      <c r="N1389" t="s">
        <v>2571</v>
      </c>
      <c r="O1389" t="s">
        <v>1441</v>
      </c>
      <c r="P1389" t="s">
        <v>5075</v>
      </c>
      <c r="Q1389" t="s">
        <v>1443</v>
      </c>
      <c r="R1389" t="s">
        <v>1444</v>
      </c>
      <c r="S1389" t="s">
        <v>6210</v>
      </c>
    </row>
    <row r="1390" spans="1:19">
      <c r="A1390" t="s">
        <v>7162</v>
      </c>
      <c r="B1390" t="s">
        <v>6211</v>
      </c>
      <c r="C1390" t="s">
        <v>3968</v>
      </c>
      <c r="D1390">
        <v>261</v>
      </c>
      <c r="E1390" t="s">
        <v>1450</v>
      </c>
      <c r="F1390">
        <v>3</v>
      </c>
      <c r="I1390" t="s">
        <v>3560</v>
      </c>
      <c r="J1390" t="s">
        <v>50</v>
      </c>
      <c r="K1390" t="s">
        <v>50</v>
      </c>
      <c r="L1390">
        <v>3</v>
      </c>
      <c r="M1390">
        <v>1</v>
      </c>
      <c r="N1390" t="s">
        <v>2571</v>
      </c>
      <c r="O1390" t="s">
        <v>1447</v>
      </c>
      <c r="P1390" t="s">
        <v>5075</v>
      </c>
      <c r="Q1390" t="s">
        <v>1443</v>
      </c>
      <c r="R1390" t="s">
        <v>1444</v>
      </c>
      <c r="S1390" t="s">
        <v>6212</v>
      </c>
    </row>
    <row r="1391" spans="1:19">
      <c r="A1391" t="s">
        <v>7163</v>
      </c>
      <c r="B1391" t="s">
        <v>6213</v>
      </c>
      <c r="C1391" t="s">
        <v>3968</v>
      </c>
      <c r="D1391">
        <v>261</v>
      </c>
      <c r="E1391" t="s">
        <v>1541</v>
      </c>
      <c r="F1391">
        <v>5</v>
      </c>
      <c r="I1391" t="s">
        <v>3560</v>
      </c>
      <c r="J1391" t="s">
        <v>50</v>
      </c>
      <c r="K1391" t="s">
        <v>50</v>
      </c>
      <c r="L1391">
        <v>3</v>
      </c>
      <c r="M1391">
        <v>2</v>
      </c>
      <c r="N1391" t="s">
        <v>6214</v>
      </c>
      <c r="O1391" t="s">
        <v>1457</v>
      </c>
      <c r="P1391" t="s">
        <v>5425</v>
      </c>
      <c r="Q1391" t="s">
        <v>1443</v>
      </c>
      <c r="R1391" t="s">
        <v>6215</v>
      </c>
      <c r="S1391" t="s">
        <v>6216</v>
      </c>
    </row>
    <row r="1392" spans="1:19">
      <c r="A1392" t="s">
        <v>7164</v>
      </c>
      <c r="B1392" t="s">
        <v>6217</v>
      </c>
      <c r="C1392" t="s">
        <v>3968</v>
      </c>
      <c r="D1392">
        <v>262</v>
      </c>
      <c r="E1392" t="s">
        <v>1541</v>
      </c>
      <c r="F1392">
        <v>5</v>
      </c>
      <c r="I1392" t="s">
        <v>3560</v>
      </c>
      <c r="J1392" t="s">
        <v>50</v>
      </c>
      <c r="K1392" t="s">
        <v>50</v>
      </c>
      <c r="L1392">
        <v>3</v>
      </c>
      <c r="M1392">
        <v>2</v>
      </c>
      <c r="N1392" t="s">
        <v>6214</v>
      </c>
      <c r="O1392" t="s">
        <v>1457</v>
      </c>
      <c r="P1392" t="s">
        <v>5075</v>
      </c>
      <c r="Q1392" t="s">
        <v>1443</v>
      </c>
      <c r="R1392" t="s">
        <v>6204</v>
      </c>
      <c r="S1392" t="s">
        <v>6218</v>
      </c>
    </row>
    <row r="1393" spans="1:19">
      <c r="A1393" t="s">
        <v>7165</v>
      </c>
      <c r="B1393" t="s">
        <v>6219</v>
      </c>
      <c r="C1393" t="s">
        <v>3968</v>
      </c>
      <c r="D1393">
        <v>262</v>
      </c>
      <c r="E1393" t="s">
        <v>1497</v>
      </c>
      <c r="F1393">
        <v>6</v>
      </c>
      <c r="I1393" t="s">
        <v>3560</v>
      </c>
      <c r="J1393" t="s">
        <v>50</v>
      </c>
      <c r="K1393" t="s">
        <v>50</v>
      </c>
      <c r="L1393">
        <v>3</v>
      </c>
      <c r="M1393">
        <v>2</v>
      </c>
      <c r="N1393" t="s">
        <v>6214</v>
      </c>
      <c r="O1393" t="s">
        <v>1441</v>
      </c>
      <c r="P1393" t="s">
        <v>5080</v>
      </c>
      <c r="Q1393" t="s">
        <v>1443</v>
      </c>
      <c r="R1393" t="s">
        <v>6207</v>
      </c>
      <c r="S1393" t="s">
        <v>6220</v>
      </c>
    </row>
    <row r="1394" spans="1:19">
      <c r="A1394" t="s">
        <v>7166</v>
      </c>
      <c r="B1394" t="s">
        <v>6221</v>
      </c>
      <c r="C1394" t="s">
        <v>3968</v>
      </c>
      <c r="D1394">
        <v>262</v>
      </c>
      <c r="E1394" t="s">
        <v>1467</v>
      </c>
      <c r="F1394">
        <v>5</v>
      </c>
      <c r="G1394">
        <v>1</v>
      </c>
      <c r="I1394" t="s">
        <v>3560</v>
      </c>
      <c r="J1394" t="s">
        <v>50</v>
      </c>
      <c r="K1394" t="s">
        <v>50</v>
      </c>
      <c r="L1394">
        <v>3</v>
      </c>
      <c r="M1394">
        <v>2</v>
      </c>
      <c r="N1394" t="s">
        <v>6214</v>
      </c>
      <c r="O1394" t="s">
        <v>1457</v>
      </c>
      <c r="P1394" t="s">
        <v>6222</v>
      </c>
      <c r="Q1394" t="s">
        <v>1473</v>
      </c>
      <c r="R1394" t="s">
        <v>6207</v>
      </c>
      <c r="S1394" t="s">
        <v>6223</v>
      </c>
    </row>
    <row r="1395" spans="1:19">
      <c r="A1395" t="s">
        <v>7167</v>
      </c>
      <c r="B1395" t="s">
        <v>6224</v>
      </c>
      <c r="C1395" t="s">
        <v>3968</v>
      </c>
      <c r="D1395">
        <v>263</v>
      </c>
      <c r="E1395" t="s">
        <v>1465</v>
      </c>
      <c r="F1395">
        <v>1</v>
      </c>
      <c r="G1395">
        <v>1</v>
      </c>
      <c r="I1395" t="s">
        <v>3560</v>
      </c>
      <c r="J1395" t="s">
        <v>50</v>
      </c>
      <c r="K1395" t="s">
        <v>50</v>
      </c>
      <c r="L1395">
        <v>4</v>
      </c>
      <c r="M1395">
        <v>2</v>
      </c>
      <c r="N1395" t="s">
        <v>2585</v>
      </c>
      <c r="O1395" t="s">
        <v>1441</v>
      </c>
      <c r="P1395" t="s">
        <v>5363</v>
      </c>
      <c r="Q1395" t="s">
        <v>1443</v>
      </c>
      <c r="R1395" t="s">
        <v>6209</v>
      </c>
      <c r="S1395" t="s">
        <v>6225</v>
      </c>
    </row>
    <row r="1396" spans="1:19">
      <c r="A1396" t="s">
        <v>7169</v>
      </c>
      <c r="B1396" t="s">
        <v>6228</v>
      </c>
      <c r="C1396" t="s">
        <v>3968</v>
      </c>
      <c r="D1396">
        <v>264</v>
      </c>
      <c r="E1396" t="s">
        <v>1450</v>
      </c>
      <c r="F1396">
        <v>3</v>
      </c>
      <c r="I1396" t="s">
        <v>3560</v>
      </c>
      <c r="J1396" t="s">
        <v>50</v>
      </c>
      <c r="K1396" t="s">
        <v>50</v>
      </c>
      <c r="L1396">
        <v>4</v>
      </c>
      <c r="M1396">
        <v>2</v>
      </c>
      <c r="N1396" t="s">
        <v>2585</v>
      </c>
      <c r="O1396" t="s">
        <v>1447</v>
      </c>
      <c r="P1396" t="s">
        <v>5363</v>
      </c>
      <c r="Q1396" t="s">
        <v>1443</v>
      </c>
      <c r="R1396" t="s">
        <v>6229</v>
      </c>
      <c r="S1396" t="s">
        <v>6230</v>
      </c>
    </row>
    <row r="1397" spans="1:19">
      <c r="A1397" t="s">
        <v>7176</v>
      </c>
      <c r="B1397" t="s">
        <v>6246</v>
      </c>
      <c r="C1397" t="s">
        <v>3968</v>
      </c>
      <c r="D1397">
        <v>265</v>
      </c>
      <c r="E1397" t="s">
        <v>1467</v>
      </c>
      <c r="F1397">
        <v>5</v>
      </c>
      <c r="G1397">
        <v>1</v>
      </c>
      <c r="I1397" t="s">
        <v>3560</v>
      </c>
      <c r="J1397" t="s">
        <v>50</v>
      </c>
      <c r="K1397" t="s">
        <v>50</v>
      </c>
      <c r="L1397">
        <v>4</v>
      </c>
      <c r="M1397">
        <v>3</v>
      </c>
      <c r="N1397" t="s">
        <v>6247</v>
      </c>
      <c r="O1397" t="s">
        <v>1457</v>
      </c>
      <c r="P1397" t="s">
        <v>5075</v>
      </c>
      <c r="Q1397" t="s">
        <v>1443</v>
      </c>
      <c r="R1397" t="s">
        <v>6248</v>
      </c>
      <c r="S1397" t="s">
        <v>6249</v>
      </c>
    </row>
    <row r="1398" spans="1:19">
      <c r="A1398" t="s">
        <v>7178</v>
      </c>
      <c r="B1398" t="s">
        <v>6252</v>
      </c>
      <c r="C1398" t="s">
        <v>3968</v>
      </c>
      <c r="D1398">
        <v>266</v>
      </c>
      <c r="E1398" t="s">
        <v>1497</v>
      </c>
      <c r="F1398">
        <v>6</v>
      </c>
      <c r="I1398" t="s">
        <v>3560</v>
      </c>
      <c r="J1398" t="s">
        <v>50</v>
      </c>
      <c r="K1398" t="s">
        <v>50</v>
      </c>
      <c r="L1398">
        <v>4</v>
      </c>
      <c r="M1398">
        <v>3</v>
      </c>
      <c r="N1398" t="s">
        <v>6247</v>
      </c>
      <c r="O1398" t="s">
        <v>1447</v>
      </c>
      <c r="P1398" t="s">
        <v>5574</v>
      </c>
      <c r="Q1398" t="s">
        <v>1443</v>
      </c>
      <c r="R1398" t="s">
        <v>6228</v>
      </c>
      <c r="S1398" t="s">
        <v>6253</v>
      </c>
    </row>
    <row r="1399" spans="1:19">
      <c r="A1399" t="s">
        <v>7179</v>
      </c>
      <c r="B1399" t="s">
        <v>6254</v>
      </c>
      <c r="C1399" t="s">
        <v>3968</v>
      </c>
      <c r="D1399">
        <v>266</v>
      </c>
      <c r="E1399" t="s">
        <v>1479</v>
      </c>
      <c r="F1399">
        <v>6</v>
      </c>
      <c r="G1399">
        <v>1</v>
      </c>
      <c r="I1399" t="s">
        <v>3560</v>
      </c>
      <c r="J1399" t="s">
        <v>50</v>
      </c>
      <c r="K1399" t="s">
        <v>50</v>
      </c>
      <c r="L1399">
        <v>4</v>
      </c>
      <c r="M1399">
        <v>3</v>
      </c>
      <c r="N1399" t="s">
        <v>6247</v>
      </c>
      <c r="O1399" t="s">
        <v>1447</v>
      </c>
      <c r="P1399" t="s">
        <v>5305</v>
      </c>
      <c r="Q1399" t="s">
        <v>1443</v>
      </c>
      <c r="R1399" t="s">
        <v>6255</v>
      </c>
      <c r="S1399" t="s">
        <v>6256</v>
      </c>
    </row>
    <row r="1400" spans="1:19">
      <c r="A1400" t="s">
        <v>7168</v>
      </c>
      <c r="B1400" t="s">
        <v>6226</v>
      </c>
      <c r="C1400" t="s">
        <v>3968</v>
      </c>
      <c r="D1400">
        <v>263</v>
      </c>
      <c r="E1400" t="s">
        <v>1460</v>
      </c>
      <c r="F1400">
        <v>2</v>
      </c>
      <c r="I1400" t="s">
        <v>3560</v>
      </c>
      <c r="J1400" t="s">
        <v>50</v>
      </c>
      <c r="K1400" t="s">
        <v>50</v>
      </c>
      <c r="L1400">
        <v>5</v>
      </c>
      <c r="M1400">
        <v>2</v>
      </c>
      <c r="N1400" t="s">
        <v>2587</v>
      </c>
      <c r="O1400" t="s">
        <v>1441</v>
      </c>
      <c r="P1400" t="s">
        <v>5075</v>
      </c>
      <c r="Q1400" t="s">
        <v>1443</v>
      </c>
      <c r="R1400" t="s">
        <v>6224</v>
      </c>
      <c r="S1400" t="s">
        <v>6227</v>
      </c>
    </row>
    <row r="1401" spans="1:19">
      <c r="A1401" t="s">
        <v>7170</v>
      </c>
      <c r="B1401" t="s">
        <v>6231</v>
      </c>
      <c r="C1401" t="s">
        <v>3968</v>
      </c>
      <c r="D1401">
        <v>264</v>
      </c>
      <c r="E1401" t="s">
        <v>1456</v>
      </c>
      <c r="F1401">
        <v>4</v>
      </c>
      <c r="G1401">
        <v>1</v>
      </c>
      <c r="I1401" t="s">
        <v>3560</v>
      </c>
      <c r="J1401" t="s">
        <v>50</v>
      </c>
      <c r="K1401" t="s">
        <v>50</v>
      </c>
      <c r="L1401">
        <v>5</v>
      </c>
      <c r="M1401">
        <v>2</v>
      </c>
      <c r="N1401" t="s">
        <v>2587</v>
      </c>
      <c r="O1401" t="s">
        <v>1447</v>
      </c>
      <c r="P1401" t="s">
        <v>5075</v>
      </c>
      <c r="Q1401" t="s">
        <v>1443</v>
      </c>
      <c r="R1401" t="s">
        <v>6211</v>
      </c>
      <c r="S1401" t="s">
        <v>6232</v>
      </c>
    </row>
    <row r="1402" spans="1:19">
      <c r="A1402" t="s">
        <v>7171</v>
      </c>
      <c r="B1402" t="s">
        <v>6233</v>
      </c>
      <c r="C1402" t="s">
        <v>3968</v>
      </c>
      <c r="D1402">
        <v>264</v>
      </c>
      <c r="E1402" t="s">
        <v>1599</v>
      </c>
      <c r="F1402">
        <v>10</v>
      </c>
      <c r="G1402">
        <v>1</v>
      </c>
      <c r="I1402" t="s">
        <v>3560</v>
      </c>
      <c r="J1402" t="s">
        <v>50</v>
      </c>
      <c r="K1402" t="s">
        <v>50</v>
      </c>
      <c r="L1402">
        <v>5</v>
      </c>
      <c r="M1402">
        <v>3</v>
      </c>
      <c r="N1402" t="s">
        <v>2600</v>
      </c>
      <c r="O1402" t="s">
        <v>1457</v>
      </c>
      <c r="P1402" t="s">
        <v>6234</v>
      </c>
      <c r="Q1402" t="s">
        <v>1443</v>
      </c>
      <c r="R1402" t="s">
        <v>1444</v>
      </c>
      <c r="S1402" t="s">
        <v>6235</v>
      </c>
    </row>
    <row r="1403" spans="1:19">
      <c r="A1403" t="s">
        <v>7172</v>
      </c>
      <c r="B1403" t="s">
        <v>6236</v>
      </c>
      <c r="C1403" t="s">
        <v>3968</v>
      </c>
      <c r="D1403">
        <v>264</v>
      </c>
      <c r="E1403" t="s">
        <v>1599</v>
      </c>
      <c r="F1403">
        <v>10</v>
      </c>
      <c r="G1403">
        <v>1</v>
      </c>
      <c r="I1403" t="s">
        <v>3560</v>
      </c>
      <c r="J1403" t="s">
        <v>50</v>
      </c>
      <c r="K1403" t="s">
        <v>50</v>
      </c>
      <c r="L1403">
        <v>5</v>
      </c>
      <c r="M1403">
        <v>3</v>
      </c>
      <c r="N1403" t="s">
        <v>2600</v>
      </c>
      <c r="O1403" t="s">
        <v>1457</v>
      </c>
      <c r="P1403" t="s">
        <v>6237</v>
      </c>
      <c r="Q1403" t="s">
        <v>1443</v>
      </c>
      <c r="R1403" t="s">
        <v>1444</v>
      </c>
      <c r="S1403" t="s">
        <v>6238</v>
      </c>
    </row>
    <row r="1404" spans="1:19">
      <c r="A1404" t="s">
        <v>7173</v>
      </c>
      <c r="B1404" t="s">
        <v>6239</v>
      </c>
      <c r="C1404" t="s">
        <v>3968</v>
      </c>
      <c r="D1404">
        <v>264</v>
      </c>
      <c r="E1404" t="s">
        <v>2090</v>
      </c>
      <c r="F1404">
        <v>15</v>
      </c>
      <c r="G1404">
        <v>1</v>
      </c>
      <c r="I1404" t="s">
        <v>3560</v>
      </c>
      <c r="J1404" t="s">
        <v>50</v>
      </c>
      <c r="K1404" t="s">
        <v>50</v>
      </c>
      <c r="L1404">
        <v>5</v>
      </c>
      <c r="M1404">
        <v>3</v>
      </c>
      <c r="N1404" t="s">
        <v>2600</v>
      </c>
      <c r="O1404" t="s">
        <v>1457</v>
      </c>
      <c r="P1404" t="s">
        <v>6240</v>
      </c>
      <c r="Q1404" t="s">
        <v>1443</v>
      </c>
      <c r="R1404" t="s">
        <v>1444</v>
      </c>
      <c r="S1404" t="s">
        <v>6241</v>
      </c>
    </row>
    <row r="1405" spans="1:19">
      <c r="A1405" t="s">
        <v>7174</v>
      </c>
      <c r="B1405" t="s">
        <v>6242</v>
      </c>
      <c r="C1405" t="s">
        <v>3968</v>
      </c>
      <c r="D1405">
        <v>265</v>
      </c>
      <c r="E1405" t="s">
        <v>1467</v>
      </c>
      <c r="F1405">
        <v>5</v>
      </c>
      <c r="G1405">
        <v>1</v>
      </c>
      <c r="I1405" t="s">
        <v>3560</v>
      </c>
      <c r="J1405" t="s">
        <v>50</v>
      </c>
      <c r="K1405" t="s">
        <v>50</v>
      </c>
      <c r="L1405">
        <v>5</v>
      </c>
      <c r="M1405">
        <v>3</v>
      </c>
      <c r="N1405" t="s">
        <v>2600</v>
      </c>
      <c r="O1405" t="s">
        <v>1457</v>
      </c>
      <c r="P1405" t="s">
        <v>5294</v>
      </c>
      <c r="Q1405" t="s">
        <v>5291</v>
      </c>
      <c r="R1405" t="s">
        <v>1444</v>
      </c>
      <c r="S1405" t="s">
        <v>6243</v>
      </c>
    </row>
    <row r="1406" spans="1:19">
      <c r="A1406" t="s">
        <v>7175</v>
      </c>
      <c r="B1406" t="s">
        <v>6244</v>
      </c>
      <c r="C1406" t="s">
        <v>3968</v>
      </c>
      <c r="D1406">
        <v>265</v>
      </c>
      <c r="E1406" t="s">
        <v>1924</v>
      </c>
      <c r="F1406">
        <v>2</v>
      </c>
      <c r="G1406">
        <v>1</v>
      </c>
      <c r="I1406" t="s">
        <v>3560</v>
      </c>
      <c r="J1406" t="s">
        <v>50</v>
      </c>
      <c r="K1406" t="s">
        <v>50</v>
      </c>
      <c r="L1406">
        <v>5</v>
      </c>
      <c r="M1406">
        <v>3</v>
      </c>
      <c r="N1406" t="s">
        <v>2600</v>
      </c>
      <c r="O1406" t="s">
        <v>1447</v>
      </c>
      <c r="P1406" t="s">
        <v>5115</v>
      </c>
      <c r="Q1406" t="s">
        <v>1443</v>
      </c>
      <c r="R1406" t="s">
        <v>1444</v>
      </c>
      <c r="S1406" t="s">
        <v>6245</v>
      </c>
    </row>
    <row r="1407" spans="1:19">
      <c r="A1407" t="s">
        <v>7177</v>
      </c>
      <c r="B1407" t="s">
        <v>6250</v>
      </c>
      <c r="C1407" t="s">
        <v>3968</v>
      </c>
      <c r="D1407">
        <v>265</v>
      </c>
      <c r="E1407" t="s">
        <v>1467</v>
      </c>
      <c r="F1407">
        <v>5</v>
      </c>
      <c r="G1407">
        <v>1</v>
      </c>
      <c r="I1407" t="s">
        <v>3560</v>
      </c>
      <c r="J1407" t="s">
        <v>50</v>
      </c>
      <c r="K1407" t="s">
        <v>50</v>
      </c>
      <c r="L1407">
        <v>5</v>
      </c>
      <c r="M1407">
        <v>3</v>
      </c>
      <c r="N1407" t="s">
        <v>2600</v>
      </c>
      <c r="O1407" t="s">
        <v>1457</v>
      </c>
      <c r="P1407" t="s">
        <v>5319</v>
      </c>
      <c r="Q1407" t="s">
        <v>1443</v>
      </c>
      <c r="R1407" t="s">
        <v>6246</v>
      </c>
      <c r="S1407" t="s">
        <v>6251</v>
      </c>
    </row>
    <row r="1408" spans="1:19">
      <c r="A1408" t="s">
        <v>7180</v>
      </c>
      <c r="B1408" t="s">
        <v>6257</v>
      </c>
      <c r="C1408" t="s">
        <v>3968</v>
      </c>
      <c r="D1408">
        <v>266</v>
      </c>
      <c r="E1408" t="s">
        <v>1467</v>
      </c>
      <c r="F1408">
        <v>5</v>
      </c>
      <c r="G1408">
        <v>1</v>
      </c>
      <c r="I1408" t="s">
        <v>3560</v>
      </c>
      <c r="J1408" t="s">
        <v>50</v>
      </c>
      <c r="K1408" t="s">
        <v>50</v>
      </c>
      <c r="L1408">
        <v>5</v>
      </c>
      <c r="M1408">
        <v>3</v>
      </c>
      <c r="N1408" t="s">
        <v>2600</v>
      </c>
      <c r="O1408" t="s">
        <v>1457</v>
      </c>
      <c r="P1408" t="s">
        <v>6258</v>
      </c>
      <c r="Q1408" t="s">
        <v>1804</v>
      </c>
      <c r="R1408" t="s">
        <v>6231</v>
      </c>
      <c r="S1408" t="s">
        <v>6259</v>
      </c>
    </row>
    <row r="1409" spans="1:19">
      <c r="A1409" t="s">
        <v>7181</v>
      </c>
      <c r="B1409" t="s">
        <v>6260</v>
      </c>
      <c r="C1409" t="s">
        <v>3968</v>
      </c>
      <c r="D1409">
        <v>266</v>
      </c>
      <c r="E1409" t="s">
        <v>1479</v>
      </c>
      <c r="F1409">
        <v>6</v>
      </c>
      <c r="G1409">
        <v>1</v>
      </c>
      <c r="I1409" t="s">
        <v>3560</v>
      </c>
      <c r="J1409" t="s">
        <v>50</v>
      </c>
      <c r="K1409" t="s">
        <v>50</v>
      </c>
      <c r="L1409">
        <v>5</v>
      </c>
      <c r="M1409">
        <v>4</v>
      </c>
      <c r="N1409" t="s">
        <v>2629</v>
      </c>
      <c r="O1409" t="s">
        <v>1447</v>
      </c>
      <c r="P1409" t="s">
        <v>5305</v>
      </c>
      <c r="Q1409" t="s">
        <v>1443</v>
      </c>
      <c r="R1409" t="s">
        <v>6261</v>
      </c>
      <c r="S1409" t="s">
        <v>6262</v>
      </c>
    </row>
    <row r="1410" spans="1:19">
      <c r="A1410" t="s">
        <v>4874</v>
      </c>
      <c r="B1410" t="s">
        <v>3015</v>
      </c>
      <c r="C1410" t="s">
        <v>3607</v>
      </c>
      <c r="D1410" s="3">
        <v>476</v>
      </c>
      <c r="E1410" t="s">
        <v>3016</v>
      </c>
      <c r="G1410">
        <v>2</v>
      </c>
      <c r="H1410" t="s">
        <v>3849</v>
      </c>
      <c r="J1410" t="s">
        <v>2984</v>
      </c>
      <c r="K1410" t="s">
        <v>7378</v>
      </c>
      <c r="L1410">
        <v>4</v>
      </c>
      <c r="M1410">
        <v>3</v>
      </c>
      <c r="N1410" t="s">
        <v>2305</v>
      </c>
      <c r="P1410" t="s">
        <v>1620</v>
      </c>
      <c r="Q1410" t="s">
        <v>3017</v>
      </c>
      <c r="S1410" t="s">
        <v>3018</v>
      </c>
    </row>
    <row r="1411" spans="1:19">
      <c r="A1411" t="s">
        <v>4875</v>
      </c>
      <c r="B1411" t="s">
        <v>3019</v>
      </c>
      <c r="C1411" t="s">
        <v>3607</v>
      </c>
      <c r="D1411" s="3">
        <v>476</v>
      </c>
      <c r="E1411" t="s">
        <v>3020</v>
      </c>
      <c r="G1411">
        <v>3</v>
      </c>
      <c r="H1411" t="s">
        <v>3850</v>
      </c>
      <c r="J1411" t="s">
        <v>2984</v>
      </c>
      <c r="K1411" t="s">
        <v>7378</v>
      </c>
      <c r="L1411">
        <v>4</v>
      </c>
      <c r="M1411">
        <v>3</v>
      </c>
      <c r="N1411" t="s">
        <v>2305</v>
      </c>
      <c r="P1411" t="s">
        <v>1444</v>
      </c>
      <c r="Q1411" t="s">
        <v>1443</v>
      </c>
      <c r="S1411" t="s">
        <v>3021</v>
      </c>
    </row>
    <row r="1412" spans="1:19">
      <c r="A1412" t="s">
        <v>4876</v>
      </c>
      <c r="B1412" t="s">
        <v>3022</v>
      </c>
      <c r="C1412" t="s">
        <v>3607</v>
      </c>
      <c r="D1412" s="3">
        <v>476</v>
      </c>
      <c r="E1412" t="s">
        <v>3023</v>
      </c>
      <c r="G1412">
        <v>1</v>
      </c>
      <c r="H1412" t="s">
        <v>3858</v>
      </c>
      <c r="J1412" t="s">
        <v>2984</v>
      </c>
      <c r="K1412" t="s">
        <v>7378</v>
      </c>
      <c r="L1412">
        <v>4</v>
      </c>
      <c r="M1412">
        <v>3</v>
      </c>
      <c r="N1412" t="s">
        <v>2305</v>
      </c>
      <c r="P1412" t="s">
        <v>1444</v>
      </c>
      <c r="Q1412" t="s">
        <v>1804</v>
      </c>
      <c r="S1412" t="s">
        <v>3024</v>
      </c>
    </row>
    <row r="1413" spans="1:19">
      <c r="A1413" t="s">
        <v>4877</v>
      </c>
      <c r="B1413" t="s">
        <v>3025</v>
      </c>
      <c r="C1413" t="s">
        <v>3607</v>
      </c>
      <c r="D1413" s="3">
        <v>476</v>
      </c>
      <c r="E1413" t="s">
        <v>3026</v>
      </c>
      <c r="G1413">
        <v>2</v>
      </c>
      <c r="H1413" t="s">
        <v>3858</v>
      </c>
      <c r="J1413" t="s">
        <v>2984</v>
      </c>
      <c r="K1413" t="s">
        <v>7378</v>
      </c>
      <c r="L1413">
        <v>4</v>
      </c>
      <c r="M1413">
        <v>3</v>
      </c>
      <c r="N1413" t="s">
        <v>2305</v>
      </c>
      <c r="P1413" t="s">
        <v>1444</v>
      </c>
      <c r="Q1413" t="s">
        <v>3027</v>
      </c>
      <c r="S1413" t="s">
        <v>3028</v>
      </c>
    </row>
    <row r="1414" spans="1:19">
      <c r="A1414" t="s">
        <v>4878</v>
      </c>
      <c r="B1414" t="s">
        <v>3029</v>
      </c>
      <c r="C1414" t="s">
        <v>3607</v>
      </c>
      <c r="D1414" s="3">
        <v>476</v>
      </c>
      <c r="E1414" t="s">
        <v>3007</v>
      </c>
      <c r="G1414">
        <v>1</v>
      </c>
      <c r="H1414" t="s">
        <v>3850</v>
      </c>
      <c r="J1414" t="s">
        <v>2984</v>
      </c>
      <c r="K1414" t="s">
        <v>7378</v>
      </c>
      <c r="L1414">
        <v>4</v>
      </c>
      <c r="M1414">
        <v>3</v>
      </c>
      <c r="N1414" t="s">
        <v>2305</v>
      </c>
      <c r="P1414" t="s">
        <v>1444</v>
      </c>
      <c r="Q1414" t="s">
        <v>1804</v>
      </c>
      <c r="S1414" t="s">
        <v>3030</v>
      </c>
    </row>
    <row r="1415" spans="1:19">
      <c r="A1415" t="s">
        <v>4879</v>
      </c>
      <c r="B1415" t="s">
        <v>3031</v>
      </c>
      <c r="C1415" t="s">
        <v>3607</v>
      </c>
      <c r="D1415" s="3">
        <v>476</v>
      </c>
      <c r="E1415" t="s">
        <v>3023</v>
      </c>
      <c r="G1415">
        <v>1</v>
      </c>
      <c r="H1415" t="s">
        <v>3858</v>
      </c>
      <c r="J1415" t="s">
        <v>2984</v>
      </c>
      <c r="K1415" t="s">
        <v>7378</v>
      </c>
      <c r="L1415">
        <v>4</v>
      </c>
      <c r="M1415">
        <v>3</v>
      </c>
      <c r="N1415" t="s">
        <v>2305</v>
      </c>
      <c r="P1415" t="s">
        <v>1444</v>
      </c>
      <c r="Q1415" t="s">
        <v>1473</v>
      </c>
      <c r="S1415" t="s">
        <v>3032</v>
      </c>
    </row>
    <row r="1416" spans="1:19">
      <c r="A1416" t="s">
        <v>4880</v>
      </c>
      <c r="B1416" t="s">
        <v>3033</v>
      </c>
      <c r="C1416" t="s">
        <v>3607</v>
      </c>
      <c r="D1416" s="3">
        <v>476</v>
      </c>
      <c r="E1416" t="s">
        <v>3034</v>
      </c>
      <c r="G1416">
        <v>2</v>
      </c>
      <c r="H1416" t="s">
        <v>3859</v>
      </c>
      <c r="J1416" t="s">
        <v>2984</v>
      </c>
      <c r="K1416" t="s">
        <v>7378</v>
      </c>
      <c r="L1416">
        <v>4</v>
      </c>
      <c r="M1416">
        <v>3</v>
      </c>
      <c r="N1416" t="s">
        <v>2305</v>
      </c>
      <c r="P1416" t="s">
        <v>1444</v>
      </c>
      <c r="Q1416" t="s">
        <v>1473</v>
      </c>
      <c r="S1416" t="s">
        <v>3035</v>
      </c>
    </row>
    <row r="1417" spans="1:19">
      <c r="A1417" t="s">
        <v>4881</v>
      </c>
      <c r="B1417" t="s">
        <v>3036</v>
      </c>
      <c r="C1417" t="s">
        <v>3607</v>
      </c>
      <c r="D1417" s="3">
        <v>476</v>
      </c>
      <c r="E1417" t="s">
        <v>3037</v>
      </c>
      <c r="G1417">
        <v>2</v>
      </c>
      <c r="H1417" t="s">
        <v>3860</v>
      </c>
      <c r="J1417" t="s">
        <v>2984</v>
      </c>
      <c r="K1417" t="s">
        <v>7378</v>
      </c>
      <c r="L1417">
        <v>4</v>
      </c>
      <c r="M1417">
        <v>3</v>
      </c>
      <c r="N1417" t="s">
        <v>2305</v>
      </c>
      <c r="P1417" t="s">
        <v>1620</v>
      </c>
      <c r="Q1417" t="s">
        <v>1443</v>
      </c>
      <c r="S1417" t="s">
        <v>3038</v>
      </c>
    </row>
    <row r="1418" spans="1:19">
      <c r="A1418" t="s">
        <v>4882</v>
      </c>
      <c r="B1418" t="s">
        <v>3039</v>
      </c>
      <c r="C1418" t="s">
        <v>3607</v>
      </c>
      <c r="D1418" s="3">
        <v>480</v>
      </c>
      <c r="E1418" t="s">
        <v>3020</v>
      </c>
      <c r="G1418">
        <v>3</v>
      </c>
      <c r="H1418" t="s">
        <v>3850</v>
      </c>
      <c r="J1418" t="s">
        <v>2984</v>
      </c>
      <c r="K1418" t="s">
        <v>7379</v>
      </c>
      <c r="L1418">
        <v>5</v>
      </c>
      <c r="M1418">
        <v>5</v>
      </c>
      <c r="N1418" t="s">
        <v>2297</v>
      </c>
      <c r="P1418" t="s">
        <v>1444</v>
      </c>
      <c r="Q1418" t="s">
        <v>1443</v>
      </c>
      <c r="S1418" t="s">
        <v>3040</v>
      </c>
    </row>
    <row r="1419" spans="1:19">
      <c r="A1419" t="s">
        <v>4883</v>
      </c>
      <c r="B1419" t="s">
        <v>3041</v>
      </c>
      <c r="C1419" t="s">
        <v>3607</v>
      </c>
      <c r="D1419">
        <v>480</v>
      </c>
      <c r="E1419" t="s">
        <v>3037</v>
      </c>
      <c r="G1419">
        <v>2</v>
      </c>
      <c r="H1419" t="s">
        <v>3860</v>
      </c>
      <c r="J1419" t="s">
        <v>2984</v>
      </c>
      <c r="K1419" t="s">
        <v>7379</v>
      </c>
      <c r="L1419">
        <v>5</v>
      </c>
      <c r="M1419">
        <v>5</v>
      </c>
      <c r="N1419" t="s">
        <v>2297</v>
      </c>
      <c r="P1419" t="s">
        <v>3042</v>
      </c>
      <c r="Q1419" t="s">
        <v>3017</v>
      </c>
      <c r="S1419" t="s">
        <v>3043</v>
      </c>
    </row>
    <row r="1420" spans="1:19">
      <c r="A1420" t="s">
        <v>4884</v>
      </c>
      <c r="B1420" t="s">
        <v>3044</v>
      </c>
      <c r="C1420" t="s">
        <v>3607</v>
      </c>
      <c r="D1420">
        <v>480</v>
      </c>
      <c r="E1420" t="s">
        <v>3045</v>
      </c>
      <c r="G1420">
        <v>4</v>
      </c>
      <c r="H1420" t="s">
        <v>3850</v>
      </c>
      <c r="J1420" t="s">
        <v>2984</v>
      </c>
      <c r="K1420" t="s">
        <v>7379</v>
      </c>
      <c r="L1420">
        <v>5</v>
      </c>
      <c r="M1420">
        <v>5</v>
      </c>
      <c r="N1420" t="s">
        <v>2297</v>
      </c>
      <c r="P1420" t="s">
        <v>1444</v>
      </c>
      <c r="Q1420" t="s">
        <v>1443</v>
      </c>
      <c r="S1420" t="s">
        <v>3046</v>
      </c>
    </row>
    <row r="1421" spans="1:19">
      <c r="A1421" t="s">
        <v>4885</v>
      </c>
      <c r="B1421" t="s">
        <v>3047</v>
      </c>
      <c r="C1421" t="s">
        <v>3607</v>
      </c>
      <c r="D1421">
        <v>480</v>
      </c>
      <c r="E1421" t="s">
        <v>3048</v>
      </c>
      <c r="G1421">
        <v>3</v>
      </c>
      <c r="H1421" t="s">
        <v>3861</v>
      </c>
      <c r="J1421" t="s">
        <v>2984</v>
      </c>
      <c r="K1421" t="s">
        <v>7379</v>
      </c>
      <c r="L1421">
        <v>5</v>
      </c>
      <c r="M1421">
        <v>5</v>
      </c>
      <c r="N1421" t="s">
        <v>2297</v>
      </c>
      <c r="P1421" t="s">
        <v>3049</v>
      </c>
      <c r="Q1421" t="s">
        <v>3050</v>
      </c>
      <c r="S1421" t="s">
        <v>3862</v>
      </c>
    </row>
    <row r="1422" spans="1:19">
      <c r="A1422" t="s">
        <v>4862</v>
      </c>
      <c r="B1422" t="s">
        <v>2982</v>
      </c>
      <c r="C1422" t="s">
        <v>3607</v>
      </c>
      <c r="D1422" s="3">
        <v>471</v>
      </c>
      <c r="E1422" t="s">
        <v>2983</v>
      </c>
      <c r="G1422">
        <v>1</v>
      </c>
      <c r="H1422" t="s">
        <v>3849</v>
      </c>
      <c r="J1422" t="s">
        <v>2984</v>
      </c>
      <c r="K1422" t="s">
        <v>7377</v>
      </c>
      <c r="L1422">
        <v>3</v>
      </c>
      <c r="M1422">
        <v>1</v>
      </c>
      <c r="N1422" t="s">
        <v>2251</v>
      </c>
      <c r="P1422" t="s">
        <v>1444</v>
      </c>
      <c r="Q1422" t="s">
        <v>2985</v>
      </c>
      <c r="S1422" t="s">
        <v>2986</v>
      </c>
    </row>
    <row r="1423" spans="1:19">
      <c r="A1423" t="s">
        <v>4863</v>
      </c>
      <c r="B1423" t="s">
        <v>2987</v>
      </c>
      <c r="C1423" t="s">
        <v>3607</v>
      </c>
      <c r="D1423" s="3">
        <v>471</v>
      </c>
      <c r="E1423" t="s">
        <v>2983</v>
      </c>
      <c r="G1423">
        <v>1</v>
      </c>
      <c r="H1423" t="s">
        <v>3849</v>
      </c>
      <c r="J1423" t="s">
        <v>2984</v>
      </c>
      <c r="K1423" t="s">
        <v>7377</v>
      </c>
      <c r="L1423">
        <v>3</v>
      </c>
      <c r="M1423">
        <v>1</v>
      </c>
      <c r="N1423" t="s">
        <v>2251</v>
      </c>
      <c r="P1423" t="s">
        <v>2044</v>
      </c>
      <c r="Q1423" t="s">
        <v>1547</v>
      </c>
      <c r="S1423" t="s">
        <v>2988</v>
      </c>
    </row>
    <row r="1424" spans="1:19">
      <c r="A1424" t="s">
        <v>4864</v>
      </c>
      <c r="B1424" t="s">
        <v>2989</v>
      </c>
      <c r="C1424" t="s">
        <v>3607</v>
      </c>
      <c r="D1424" s="3">
        <v>471</v>
      </c>
      <c r="E1424" t="s">
        <v>2983</v>
      </c>
      <c r="G1424">
        <v>1</v>
      </c>
      <c r="H1424" t="s">
        <v>3849</v>
      </c>
      <c r="J1424" t="s">
        <v>2984</v>
      </c>
      <c r="K1424" t="s">
        <v>7377</v>
      </c>
      <c r="L1424">
        <v>3</v>
      </c>
      <c r="M1424">
        <v>1</v>
      </c>
      <c r="N1424" t="s">
        <v>2251</v>
      </c>
      <c r="P1424" t="s">
        <v>2240</v>
      </c>
      <c r="Q1424" t="s">
        <v>1443</v>
      </c>
      <c r="S1424" t="s">
        <v>2990</v>
      </c>
    </row>
    <row r="1425" spans="1:19">
      <c r="A1425" t="s">
        <v>4865</v>
      </c>
      <c r="B1425" t="s">
        <v>2991</v>
      </c>
      <c r="C1425" t="s">
        <v>3607</v>
      </c>
      <c r="D1425" s="3">
        <v>471</v>
      </c>
      <c r="E1425" t="s">
        <v>2992</v>
      </c>
      <c r="G1425">
        <v>2</v>
      </c>
      <c r="H1425" t="s">
        <v>3850</v>
      </c>
      <c r="J1425" t="s">
        <v>2984</v>
      </c>
      <c r="K1425" t="s">
        <v>7377</v>
      </c>
      <c r="L1425">
        <v>3</v>
      </c>
      <c r="M1425">
        <v>1</v>
      </c>
      <c r="N1425" t="s">
        <v>2251</v>
      </c>
      <c r="P1425" t="s">
        <v>1444</v>
      </c>
      <c r="Q1425" t="s">
        <v>1443</v>
      </c>
      <c r="S1425" t="s">
        <v>2993</v>
      </c>
    </row>
    <row r="1426" spans="1:19">
      <c r="A1426" t="s">
        <v>4866</v>
      </c>
      <c r="B1426" t="s">
        <v>2994</v>
      </c>
      <c r="C1426" t="s">
        <v>3607</v>
      </c>
      <c r="D1426" s="3">
        <v>471</v>
      </c>
      <c r="E1426" t="s">
        <v>2983</v>
      </c>
      <c r="G1426">
        <v>1</v>
      </c>
      <c r="H1426" t="s">
        <v>3849</v>
      </c>
      <c r="J1426" t="s">
        <v>2984</v>
      </c>
      <c r="K1426" t="s">
        <v>7377</v>
      </c>
      <c r="L1426">
        <v>3</v>
      </c>
      <c r="M1426">
        <v>1</v>
      </c>
      <c r="N1426" t="s">
        <v>2251</v>
      </c>
      <c r="P1426" t="s">
        <v>2240</v>
      </c>
      <c r="Q1426" t="s">
        <v>1443</v>
      </c>
      <c r="S1426" t="s">
        <v>2995</v>
      </c>
    </row>
    <row r="1427" spans="1:19">
      <c r="A1427" t="s">
        <v>4867</v>
      </c>
      <c r="B1427" t="s">
        <v>2996</v>
      </c>
      <c r="C1427" t="s">
        <v>3607</v>
      </c>
      <c r="D1427" s="3">
        <v>471</v>
      </c>
      <c r="E1427" t="s">
        <v>2997</v>
      </c>
      <c r="G1427">
        <v>2</v>
      </c>
      <c r="H1427" t="s">
        <v>3851</v>
      </c>
      <c r="J1427" t="s">
        <v>2984</v>
      </c>
      <c r="K1427" t="s">
        <v>7377</v>
      </c>
      <c r="L1427">
        <v>3</v>
      </c>
      <c r="M1427">
        <v>1</v>
      </c>
      <c r="N1427" t="s">
        <v>2251</v>
      </c>
      <c r="P1427" t="s">
        <v>1444</v>
      </c>
      <c r="Q1427" t="s">
        <v>2998</v>
      </c>
      <c r="S1427" t="s">
        <v>2999</v>
      </c>
    </row>
    <row r="1428" spans="1:19">
      <c r="A1428" t="s">
        <v>4868</v>
      </c>
      <c r="B1428" t="s">
        <v>3000</v>
      </c>
      <c r="C1428" t="s">
        <v>3607</v>
      </c>
      <c r="D1428" s="3">
        <v>471</v>
      </c>
      <c r="E1428" t="s">
        <v>3001</v>
      </c>
      <c r="G1428">
        <v>1</v>
      </c>
      <c r="H1428" t="s">
        <v>3852</v>
      </c>
      <c r="J1428" t="s">
        <v>2984</v>
      </c>
      <c r="K1428" t="s">
        <v>7377</v>
      </c>
      <c r="L1428">
        <v>3</v>
      </c>
      <c r="M1428">
        <v>1</v>
      </c>
      <c r="N1428" t="s">
        <v>2251</v>
      </c>
      <c r="P1428" t="s">
        <v>1444</v>
      </c>
      <c r="Q1428" t="s">
        <v>1804</v>
      </c>
      <c r="S1428" t="s">
        <v>3853</v>
      </c>
    </row>
    <row r="1429" spans="1:19">
      <c r="A1429" t="s">
        <v>4869</v>
      </c>
      <c r="B1429" t="s">
        <v>3002</v>
      </c>
      <c r="C1429" t="s">
        <v>3607</v>
      </c>
      <c r="D1429" s="3">
        <v>471</v>
      </c>
      <c r="E1429" t="s">
        <v>3003</v>
      </c>
      <c r="G1429">
        <v>2</v>
      </c>
      <c r="H1429" t="s">
        <v>3854</v>
      </c>
      <c r="J1429" t="s">
        <v>2984</v>
      </c>
      <c r="K1429" t="s">
        <v>7377</v>
      </c>
      <c r="L1429">
        <v>3</v>
      </c>
      <c r="M1429">
        <v>1</v>
      </c>
      <c r="N1429" t="s">
        <v>2251</v>
      </c>
      <c r="P1429" t="s">
        <v>1444</v>
      </c>
      <c r="Q1429" t="s">
        <v>3004</v>
      </c>
      <c r="S1429" t="s">
        <v>3005</v>
      </c>
    </row>
    <row r="1430" spans="1:19">
      <c r="A1430" t="s">
        <v>4870</v>
      </c>
      <c r="B1430" t="s">
        <v>3006</v>
      </c>
      <c r="C1430" t="s">
        <v>3607</v>
      </c>
      <c r="D1430" s="3">
        <v>471</v>
      </c>
      <c r="E1430" t="s">
        <v>3007</v>
      </c>
      <c r="G1430">
        <v>1</v>
      </c>
      <c r="H1430" t="s">
        <v>3850</v>
      </c>
      <c r="J1430" t="s">
        <v>2984</v>
      </c>
      <c r="K1430" t="s">
        <v>7377</v>
      </c>
      <c r="L1430">
        <v>3</v>
      </c>
      <c r="M1430">
        <v>1</v>
      </c>
      <c r="N1430" t="s">
        <v>2251</v>
      </c>
      <c r="P1430" t="s">
        <v>1444</v>
      </c>
      <c r="Q1430" t="s">
        <v>3008</v>
      </c>
      <c r="S1430" t="s">
        <v>3009</v>
      </c>
    </row>
    <row r="1431" spans="1:19">
      <c r="A1431" t="s">
        <v>4871</v>
      </c>
      <c r="B1431" t="s">
        <v>3010</v>
      </c>
      <c r="C1431" t="s">
        <v>3607</v>
      </c>
      <c r="D1431" s="3">
        <v>471</v>
      </c>
      <c r="E1431" t="s">
        <v>2983</v>
      </c>
      <c r="G1431">
        <v>1</v>
      </c>
      <c r="H1431" t="s">
        <v>3849</v>
      </c>
      <c r="J1431" t="s">
        <v>2984</v>
      </c>
      <c r="K1431" t="s">
        <v>7377</v>
      </c>
      <c r="L1431">
        <v>3</v>
      </c>
      <c r="M1431">
        <v>1</v>
      </c>
      <c r="N1431" t="s">
        <v>2251</v>
      </c>
      <c r="P1431" t="s">
        <v>1444</v>
      </c>
      <c r="Q1431" t="s">
        <v>1534</v>
      </c>
      <c r="S1431" t="s">
        <v>3855</v>
      </c>
    </row>
    <row r="1432" spans="1:19">
      <c r="A1432" t="s">
        <v>4872</v>
      </c>
      <c r="B1432" t="s">
        <v>3011</v>
      </c>
      <c r="C1432" t="s">
        <v>3607</v>
      </c>
      <c r="D1432" s="3">
        <v>471</v>
      </c>
      <c r="E1432" t="s">
        <v>2992</v>
      </c>
      <c r="G1432">
        <v>2</v>
      </c>
      <c r="H1432" t="s">
        <v>3850</v>
      </c>
      <c r="J1432" t="s">
        <v>2984</v>
      </c>
      <c r="K1432" t="s">
        <v>7377</v>
      </c>
      <c r="L1432">
        <v>3</v>
      </c>
      <c r="M1432">
        <v>1</v>
      </c>
      <c r="N1432" t="s">
        <v>2251</v>
      </c>
      <c r="P1432" t="s">
        <v>1444</v>
      </c>
      <c r="Q1432" t="s">
        <v>1443</v>
      </c>
      <c r="S1432" t="s">
        <v>3856</v>
      </c>
    </row>
    <row r="1433" spans="1:19">
      <c r="A1433" t="s">
        <v>4873</v>
      </c>
      <c r="B1433" t="s">
        <v>3012</v>
      </c>
      <c r="C1433" t="s">
        <v>3607</v>
      </c>
      <c r="D1433" s="3">
        <v>471</v>
      </c>
      <c r="E1433" t="s">
        <v>3013</v>
      </c>
      <c r="G1433">
        <v>1</v>
      </c>
      <c r="H1433" t="s">
        <v>3851</v>
      </c>
      <c r="J1433" t="s">
        <v>2984</v>
      </c>
      <c r="K1433" t="s">
        <v>7377</v>
      </c>
      <c r="L1433">
        <v>3</v>
      </c>
      <c r="M1433">
        <v>1</v>
      </c>
      <c r="N1433" t="s">
        <v>2251</v>
      </c>
      <c r="P1433" t="s">
        <v>1444</v>
      </c>
      <c r="Q1433" t="s">
        <v>3014</v>
      </c>
      <c r="S1433" t="s">
        <v>3857</v>
      </c>
    </row>
    <row r="1434" spans="1:19">
      <c r="A1434" t="s">
        <v>7158</v>
      </c>
      <c r="B1434" t="s">
        <v>6699</v>
      </c>
      <c r="C1434" t="s">
        <v>3968</v>
      </c>
      <c r="D1434">
        <v>309</v>
      </c>
      <c r="E1434" t="s">
        <v>2992</v>
      </c>
      <c r="G1434">
        <v>2</v>
      </c>
      <c r="I1434" t="s">
        <v>3560</v>
      </c>
      <c r="J1434" t="s">
        <v>2984</v>
      </c>
      <c r="K1434" t="s">
        <v>7377</v>
      </c>
      <c r="L1434">
        <v>3</v>
      </c>
      <c r="M1434">
        <v>1</v>
      </c>
      <c r="P1434" t="s">
        <v>1444</v>
      </c>
      <c r="Q1434" t="s">
        <v>6700</v>
      </c>
      <c r="S1434" t="s">
        <v>6701</v>
      </c>
    </row>
    <row r="1435" spans="1:19">
      <c r="A1435" t="s">
        <v>7159</v>
      </c>
      <c r="B1435" t="s">
        <v>6702</v>
      </c>
      <c r="C1435" t="s">
        <v>3968</v>
      </c>
      <c r="D1435">
        <v>310</v>
      </c>
      <c r="E1435" t="s">
        <v>3001</v>
      </c>
      <c r="F1435">
        <v>20</v>
      </c>
      <c r="G1435">
        <v>1</v>
      </c>
      <c r="I1435" t="s">
        <v>3560</v>
      </c>
      <c r="J1435" t="s">
        <v>2984</v>
      </c>
      <c r="K1435" t="s">
        <v>7377</v>
      </c>
      <c r="L1435">
        <v>3</v>
      </c>
      <c r="M1435">
        <v>1</v>
      </c>
      <c r="P1435" t="s">
        <v>1444</v>
      </c>
      <c r="Q1435" t="s">
        <v>6703</v>
      </c>
      <c r="S1435" t="s">
        <v>6704</v>
      </c>
    </row>
    <row r="1436" spans="1:19">
      <c r="A1436" t="s">
        <v>7160</v>
      </c>
      <c r="B1436" t="s">
        <v>6705</v>
      </c>
      <c r="C1436" t="s">
        <v>3968</v>
      </c>
      <c r="D1436">
        <v>310</v>
      </c>
      <c r="E1436" t="s">
        <v>2983</v>
      </c>
      <c r="F1436">
        <v>15</v>
      </c>
      <c r="G1436">
        <v>1</v>
      </c>
      <c r="I1436" t="s">
        <v>3560</v>
      </c>
      <c r="J1436" t="s">
        <v>2984</v>
      </c>
      <c r="K1436" t="s">
        <v>7377</v>
      </c>
      <c r="L1436">
        <v>3</v>
      </c>
      <c r="M1436">
        <v>1</v>
      </c>
      <c r="P1436" t="s">
        <v>1444</v>
      </c>
      <c r="Q1436" t="s">
        <v>1473</v>
      </c>
      <c r="S1436" t="s">
        <v>6706</v>
      </c>
    </row>
    <row r="1437" spans="1:19">
      <c r="A1437" t="s">
        <v>7161</v>
      </c>
      <c r="B1437" t="s">
        <v>6707</v>
      </c>
      <c r="C1437" t="s">
        <v>3968</v>
      </c>
      <c r="D1437">
        <v>311</v>
      </c>
      <c r="E1437" t="s">
        <v>3037</v>
      </c>
      <c r="F1437">
        <v>25</v>
      </c>
      <c r="G1437">
        <v>2</v>
      </c>
      <c r="I1437" t="s">
        <v>3560</v>
      </c>
      <c r="J1437" t="s">
        <v>2984</v>
      </c>
      <c r="K1437" t="s">
        <v>7377</v>
      </c>
      <c r="L1437">
        <v>3</v>
      </c>
      <c r="M1437">
        <v>1</v>
      </c>
      <c r="P1437" t="s">
        <v>1444</v>
      </c>
      <c r="Q1437" t="s">
        <v>1804</v>
      </c>
      <c r="S1437" t="s">
        <v>6708</v>
      </c>
    </row>
    <row r="1438" spans="1:19">
      <c r="A1438" t="s">
        <v>7162</v>
      </c>
      <c r="B1438" t="s">
        <v>6709</v>
      </c>
      <c r="C1438" t="s">
        <v>3968</v>
      </c>
      <c r="D1438">
        <v>311</v>
      </c>
      <c r="E1438" t="s">
        <v>3034</v>
      </c>
      <c r="F1438">
        <v>10</v>
      </c>
      <c r="G1438">
        <v>2</v>
      </c>
      <c r="I1438" t="s">
        <v>3560</v>
      </c>
      <c r="J1438" t="s">
        <v>2984</v>
      </c>
      <c r="K1438" t="s">
        <v>7377</v>
      </c>
      <c r="L1438">
        <v>3</v>
      </c>
      <c r="M1438">
        <v>1</v>
      </c>
      <c r="P1438" t="s">
        <v>1444</v>
      </c>
      <c r="Q1438" t="s">
        <v>1804</v>
      </c>
      <c r="S1438" t="s">
        <v>6710</v>
      </c>
    </row>
    <row r="1439" spans="1:19">
      <c r="A1439" t="s">
        <v>7163</v>
      </c>
      <c r="B1439" t="s">
        <v>6711</v>
      </c>
      <c r="C1439" t="s">
        <v>3968</v>
      </c>
      <c r="D1439">
        <v>312</v>
      </c>
      <c r="E1439" t="s">
        <v>3013</v>
      </c>
      <c r="F1439">
        <v>5</v>
      </c>
      <c r="G1439">
        <v>1</v>
      </c>
      <c r="I1439" t="s">
        <v>3560</v>
      </c>
      <c r="J1439" t="s">
        <v>2984</v>
      </c>
      <c r="K1439" t="s">
        <v>7377</v>
      </c>
      <c r="L1439">
        <v>3</v>
      </c>
      <c r="M1439">
        <v>1</v>
      </c>
      <c r="P1439" t="s">
        <v>1444</v>
      </c>
      <c r="Q1439" t="s">
        <v>1473</v>
      </c>
      <c r="S1439" t="s">
        <v>6712</v>
      </c>
    </row>
    <row r="1440" spans="1:19">
      <c r="A1440" t="s">
        <v>7164</v>
      </c>
      <c r="B1440" t="s">
        <v>6713</v>
      </c>
      <c r="C1440" t="s">
        <v>3968</v>
      </c>
      <c r="D1440">
        <v>312</v>
      </c>
      <c r="E1440" t="s">
        <v>3007</v>
      </c>
      <c r="G1440">
        <v>1</v>
      </c>
      <c r="I1440" t="s">
        <v>3560</v>
      </c>
      <c r="J1440" t="s">
        <v>2984</v>
      </c>
      <c r="K1440" t="s">
        <v>7377</v>
      </c>
      <c r="L1440">
        <v>3</v>
      </c>
      <c r="M1440">
        <v>1</v>
      </c>
      <c r="P1440" t="s">
        <v>1444</v>
      </c>
      <c r="Q1440" t="s">
        <v>6714</v>
      </c>
      <c r="S1440" t="s">
        <v>6715</v>
      </c>
    </row>
    <row r="1441" spans="1:19">
      <c r="A1441" t="s">
        <v>7165</v>
      </c>
      <c r="B1441" t="s">
        <v>6716</v>
      </c>
      <c r="C1441" t="s">
        <v>3968</v>
      </c>
      <c r="D1441">
        <v>312</v>
      </c>
      <c r="E1441" t="s">
        <v>2983</v>
      </c>
      <c r="F1441">
        <v>15</v>
      </c>
      <c r="G1441">
        <v>1</v>
      </c>
      <c r="I1441" t="s">
        <v>3560</v>
      </c>
      <c r="J1441" t="s">
        <v>2984</v>
      </c>
      <c r="K1441" t="s">
        <v>7377</v>
      </c>
      <c r="L1441">
        <v>3</v>
      </c>
      <c r="M1441">
        <v>1</v>
      </c>
      <c r="P1441" t="s">
        <v>1452</v>
      </c>
      <c r="Q1441" t="s">
        <v>1443</v>
      </c>
      <c r="S1441" t="s">
        <v>6717</v>
      </c>
    </row>
    <row r="1442" spans="1:19">
      <c r="A1442" t="s">
        <v>7166</v>
      </c>
      <c r="B1442" t="s">
        <v>6718</v>
      </c>
      <c r="C1442" t="s">
        <v>3968</v>
      </c>
      <c r="D1442">
        <v>313</v>
      </c>
      <c r="E1442" t="s">
        <v>2983</v>
      </c>
      <c r="F1442">
        <v>15</v>
      </c>
      <c r="G1442">
        <v>1</v>
      </c>
      <c r="I1442" t="s">
        <v>3560</v>
      </c>
      <c r="J1442" t="s">
        <v>2984</v>
      </c>
      <c r="K1442" t="s">
        <v>7377</v>
      </c>
      <c r="L1442">
        <v>3</v>
      </c>
      <c r="M1442">
        <v>1</v>
      </c>
      <c r="P1442" t="s">
        <v>1444</v>
      </c>
      <c r="Q1442" t="s">
        <v>1443</v>
      </c>
      <c r="S1442" t="s">
        <v>6719</v>
      </c>
    </row>
    <row r="1443" spans="1:19">
      <c r="A1443" t="s">
        <v>7167</v>
      </c>
      <c r="B1443" t="s">
        <v>6720</v>
      </c>
      <c r="C1443" t="s">
        <v>3968</v>
      </c>
      <c r="D1443">
        <v>313</v>
      </c>
      <c r="E1443" t="s">
        <v>3016</v>
      </c>
      <c r="F1443">
        <v>15</v>
      </c>
      <c r="G1443">
        <v>2</v>
      </c>
      <c r="I1443" t="s">
        <v>3560</v>
      </c>
      <c r="J1443" t="s">
        <v>2984</v>
      </c>
      <c r="K1443" t="s">
        <v>7377</v>
      </c>
      <c r="L1443">
        <v>3</v>
      </c>
      <c r="M1443">
        <v>1</v>
      </c>
      <c r="P1443" t="s">
        <v>1444</v>
      </c>
      <c r="Q1443" t="s">
        <v>1804</v>
      </c>
      <c r="S1443" t="s">
        <v>6721</v>
      </c>
    </row>
    <row r="1444" spans="1:19">
      <c r="A1444" t="s">
        <v>4886</v>
      </c>
      <c r="B1444" t="s">
        <v>1304</v>
      </c>
      <c r="C1444" t="s">
        <v>3607</v>
      </c>
      <c r="D1444" t="s">
        <v>1308</v>
      </c>
      <c r="E1444" t="s">
        <v>1465</v>
      </c>
      <c r="F1444">
        <v>1</v>
      </c>
      <c r="G1444">
        <v>1</v>
      </c>
      <c r="I1444" t="s">
        <v>3238</v>
      </c>
      <c r="J1444" t="s">
        <v>51</v>
      </c>
      <c r="K1444" t="s">
        <v>51</v>
      </c>
      <c r="L1444">
        <v>2</v>
      </c>
      <c r="M1444">
        <v>1</v>
      </c>
      <c r="N1444" t="s">
        <v>2641</v>
      </c>
      <c r="O1444" t="s">
        <v>1447</v>
      </c>
      <c r="P1444" t="s">
        <v>1444</v>
      </c>
      <c r="Q1444" t="s">
        <v>1443</v>
      </c>
      <c r="R1444" t="s">
        <v>1444</v>
      </c>
      <c r="S1444" t="s">
        <v>2642</v>
      </c>
    </row>
    <row r="1445" spans="1:19">
      <c r="A1445" t="s">
        <v>4887</v>
      </c>
      <c r="B1445" t="s">
        <v>1302</v>
      </c>
      <c r="C1445" t="s">
        <v>3607</v>
      </c>
      <c r="D1445" t="s">
        <v>1303</v>
      </c>
      <c r="E1445" t="s">
        <v>1541</v>
      </c>
      <c r="F1445">
        <v>5</v>
      </c>
      <c r="I1445" t="s">
        <v>3238</v>
      </c>
      <c r="J1445" t="s">
        <v>51</v>
      </c>
      <c r="K1445" t="s">
        <v>51</v>
      </c>
      <c r="L1445">
        <v>3</v>
      </c>
      <c r="M1445">
        <v>1</v>
      </c>
      <c r="N1445" t="s">
        <v>2643</v>
      </c>
      <c r="O1445" t="s">
        <v>1447</v>
      </c>
      <c r="P1445" t="s">
        <v>1523</v>
      </c>
      <c r="Q1445" t="s">
        <v>1547</v>
      </c>
      <c r="R1445" t="s">
        <v>1304</v>
      </c>
      <c r="S1445" t="s">
        <v>2644</v>
      </c>
    </row>
    <row r="1446" spans="1:19">
      <c r="A1446" t="s">
        <v>4888</v>
      </c>
      <c r="B1446" t="s">
        <v>1292</v>
      </c>
      <c r="C1446" t="s">
        <v>3607</v>
      </c>
      <c r="D1446" t="s">
        <v>1293</v>
      </c>
      <c r="E1446" t="s">
        <v>1450</v>
      </c>
      <c r="F1446">
        <v>3</v>
      </c>
      <c r="I1446" t="s">
        <v>3238</v>
      </c>
      <c r="J1446" t="s">
        <v>51</v>
      </c>
      <c r="K1446" t="s">
        <v>51</v>
      </c>
      <c r="L1446">
        <v>3</v>
      </c>
      <c r="M1446">
        <v>1</v>
      </c>
      <c r="N1446" t="s">
        <v>2643</v>
      </c>
      <c r="O1446" t="s">
        <v>1457</v>
      </c>
      <c r="P1446" t="s">
        <v>1444</v>
      </c>
      <c r="Q1446" t="s">
        <v>1473</v>
      </c>
      <c r="R1446" t="s">
        <v>1444</v>
      </c>
      <c r="S1446" t="s">
        <v>2645</v>
      </c>
    </row>
    <row r="1447" spans="1:19">
      <c r="A1447" t="s">
        <v>4889</v>
      </c>
      <c r="B1447" t="s">
        <v>1287</v>
      </c>
      <c r="C1447" t="s">
        <v>3607</v>
      </c>
      <c r="D1447" t="s">
        <v>1288</v>
      </c>
      <c r="E1447" t="s">
        <v>1450</v>
      </c>
      <c r="F1447">
        <v>3</v>
      </c>
      <c r="I1447" t="s">
        <v>3238</v>
      </c>
      <c r="J1447" t="s">
        <v>51</v>
      </c>
      <c r="K1447" t="s">
        <v>51</v>
      </c>
      <c r="L1447">
        <v>3</v>
      </c>
      <c r="M1447">
        <v>1</v>
      </c>
      <c r="N1447" t="s">
        <v>2643</v>
      </c>
      <c r="O1447" t="s">
        <v>1441</v>
      </c>
      <c r="P1447" t="s">
        <v>1444</v>
      </c>
      <c r="Q1447" t="s">
        <v>1443</v>
      </c>
      <c r="R1447" t="s">
        <v>1444</v>
      </c>
      <c r="S1447" t="s">
        <v>2646</v>
      </c>
    </row>
    <row r="1448" spans="1:19">
      <c r="A1448" t="s">
        <v>4891</v>
      </c>
      <c r="B1448" t="s">
        <v>1298</v>
      </c>
      <c r="C1448" t="s">
        <v>3607</v>
      </c>
      <c r="D1448" t="s">
        <v>1299</v>
      </c>
      <c r="E1448" t="s">
        <v>1450</v>
      </c>
      <c r="F1448">
        <v>3</v>
      </c>
      <c r="I1448" t="s">
        <v>3238</v>
      </c>
      <c r="J1448" t="s">
        <v>51</v>
      </c>
      <c r="K1448" t="s">
        <v>51</v>
      </c>
      <c r="L1448">
        <v>3</v>
      </c>
      <c r="M1448">
        <v>1</v>
      </c>
      <c r="N1448" t="s">
        <v>2643</v>
      </c>
      <c r="O1448" t="s">
        <v>1457</v>
      </c>
      <c r="P1448" t="s">
        <v>1523</v>
      </c>
      <c r="Q1448" t="s">
        <v>1443</v>
      </c>
      <c r="R1448" t="s">
        <v>1287</v>
      </c>
      <c r="S1448" t="s">
        <v>2649</v>
      </c>
    </row>
    <row r="1449" spans="1:19">
      <c r="A1449" t="s">
        <v>4890</v>
      </c>
      <c r="B1449" t="s">
        <v>1316</v>
      </c>
      <c r="C1449" t="s">
        <v>3607</v>
      </c>
      <c r="D1449" t="s">
        <v>1288</v>
      </c>
      <c r="E1449" t="s">
        <v>1541</v>
      </c>
      <c r="F1449">
        <v>5</v>
      </c>
      <c r="I1449" t="s">
        <v>3238</v>
      </c>
      <c r="J1449" t="s">
        <v>51</v>
      </c>
      <c r="K1449" t="s">
        <v>51</v>
      </c>
      <c r="L1449">
        <v>4</v>
      </c>
      <c r="M1449">
        <v>1</v>
      </c>
      <c r="N1449" t="s">
        <v>2647</v>
      </c>
      <c r="O1449" t="s">
        <v>1457</v>
      </c>
      <c r="P1449" t="s">
        <v>1523</v>
      </c>
      <c r="Q1449" t="s">
        <v>1547</v>
      </c>
      <c r="R1449" t="s">
        <v>1287</v>
      </c>
      <c r="S1449" t="s">
        <v>2648</v>
      </c>
    </row>
    <row r="1450" spans="1:19">
      <c r="A1450" t="s">
        <v>4892</v>
      </c>
      <c r="B1450" t="s">
        <v>1289</v>
      </c>
      <c r="C1450" t="s">
        <v>3607</v>
      </c>
      <c r="D1450" t="s">
        <v>1290</v>
      </c>
      <c r="E1450" t="s">
        <v>1543</v>
      </c>
      <c r="F1450">
        <v>7</v>
      </c>
      <c r="G1450">
        <v>1</v>
      </c>
      <c r="I1450" t="s">
        <v>3238</v>
      </c>
      <c r="J1450" t="s">
        <v>51</v>
      </c>
      <c r="K1450" t="s">
        <v>51</v>
      </c>
      <c r="L1450">
        <v>4</v>
      </c>
      <c r="M1450">
        <v>2</v>
      </c>
      <c r="N1450" t="s">
        <v>2650</v>
      </c>
      <c r="O1450" t="s">
        <v>1447</v>
      </c>
      <c r="P1450" t="s">
        <v>1523</v>
      </c>
      <c r="Q1450" t="s">
        <v>1547</v>
      </c>
      <c r="R1450" t="s">
        <v>1302</v>
      </c>
      <c r="S1450" t="s">
        <v>2651</v>
      </c>
    </row>
    <row r="1451" spans="1:19">
      <c r="A1451" t="s">
        <v>4893</v>
      </c>
      <c r="B1451" t="s">
        <v>1305</v>
      </c>
      <c r="C1451" t="s">
        <v>3607</v>
      </c>
      <c r="D1451" t="s">
        <v>1306</v>
      </c>
      <c r="E1451" t="s">
        <v>1467</v>
      </c>
      <c r="F1451">
        <v>5</v>
      </c>
      <c r="G1451">
        <v>1</v>
      </c>
      <c r="I1451" t="s">
        <v>3238</v>
      </c>
      <c r="J1451" t="s">
        <v>51</v>
      </c>
      <c r="K1451" t="s">
        <v>51</v>
      </c>
      <c r="L1451">
        <v>4</v>
      </c>
      <c r="M1451">
        <v>2</v>
      </c>
      <c r="N1451" t="s">
        <v>2650</v>
      </c>
      <c r="O1451" t="s">
        <v>1457</v>
      </c>
      <c r="P1451" t="s">
        <v>1523</v>
      </c>
      <c r="Q1451" t="s">
        <v>1473</v>
      </c>
      <c r="R1451" t="s">
        <v>1292</v>
      </c>
      <c r="S1451" t="s">
        <v>2652</v>
      </c>
    </row>
    <row r="1452" spans="1:19">
      <c r="A1452" t="s">
        <v>4894</v>
      </c>
      <c r="B1452" t="s">
        <v>2653</v>
      </c>
      <c r="C1452" t="s">
        <v>3607</v>
      </c>
      <c r="D1452" t="s">
        <v>1296</v>
      </c>
      <c r="E1452" t="s">
        <v>1476</v>
      </c>
      <c r="F1452">
        <v>3</v>
      </c>
      <c r="G1452">
        <v>1</v>
      </c>
      <c r="I1452" t="s">
        <v>3238</v>
      </c>
      <c r="J1452" t="s">
        <v>51</v>
      </c>
      <c r="K1452" t="s">
        <v>51</v>
      </c>
      <c r="L1452">
        <v>4</v>
      </c>
      <c r="M1452">
        <v>2</v>
      </c>
      <c r="N1452" t="s">
        <v>2650</v>
      </c>
      <c r="O1452" t="s">
        <v>1457</v>
      </c>
      <c r="P1452" t="s">
        <v>1523</v>
      </c>
      <c r="Q1452" t="s">
        <v>1443</v>
      </c>
      <c r="R1452" t="s">
        <v>1287</v>
      </c>
      <c r="S1452" t="s">
        <v>2654</v>
      </c>
    </row>
    <row r="1453" spans="1:19">
      <c r="A1453" t="s">
        <v>4897</v>
      </c>
      <c r="B1453" t="s">
        <v>2661</v>
      </c>
      <c r="C1453" t="s">
        <v>3607</v>
      </c>
      <c r="D1453" t="s">
        <v>1291</v>
      </c>
      <c r="E1453" t="s">
        <v>1439</v>
      </c>
      <c r="F1453">
        <v>1</v>
      </c>
      <c r="I1453" t="s">
        <v>3238</v>
      </c>
      <c r="J1453" t="s">
        <v>51</v>
      </c>
      <c r="K1453" t="s">
        <v>51</v>
      </c>
      <c r="L1453">
        <v>4</v>
      </c>
      <c r="M1453">
        <v>2</v>
      </c>
      <c r="N1453" t="s">
        <v>2650</v>
      </c>
      <c r="O1453" t="s">
        <v>1447</v>
      </c>
      <c r="P1453" t="s">
        <v>1523</v>
      </c>
      <c r="Q1453" t="s">
        <v>1443</v>
      </c>
      <c r="R1453" t="s">
        <v>1298</v>
      </c>
      <c r="S1453" t="s">
        <v>2662</v>
      </c>
    </row>
    <row r="1454" spans="1:19">
      <c r="A1454" t="s">
        <v>4909</v>
      </c>
      <c r="B1454" t="s">
        <v>3864</v>
      </c>
      <c r="C1454" t="s">
        <v>3602</v>
      </c>
      <c r="D1454">
        <v>32</v>
      </c>
      <c r="E1454" t="s">
        <v>1541</v>
      </c>
      <c r="F1454">
        <v>5</v>
      </c>
      <c r="I1454" t="s">
        <v>3238</v>
      </c>
      <c r="J1454" t="s">
        <v>51</v>
      </c>
      <c r="K1454" t="s">
        <v>51</v>
      </c>
      <c r="L1454">
        <v>4</v>
      </c>
      <c r="M1454">
        <v>1</v>
      </c>
      <c r="N1454" t="s">
        <v>2647</v>
      </c>
      <c r="O1454" t="s">
        <v>1457</v>
      </c>
      <c r="P1454" t="s">
        <v>1523</v>
      </c>
      <c r="Q1454" t="s">
        <v>1547</v>
      </c>
      <c r="R1454" t="s">
        <v>1304</v>
      </c>
      <c r="S1454" t="s">
        <v>3865</v>
      </c>
    </row>
    <row r="1455" spans="1:19">
      <c r="A1455" t="s">
        <v>4895</v>
      </c>
      <c r="B1455" t="s">
        <v>2655</v>
      </c>
      <c r="C1455" t="s">
        <v>3607</v>
      </c>
      <c r="D1455" t="s">
        <v>1296</v>
      </c>
      <c r="E1455" t="s">
        <v>1460</v>
      </c>
      <c r="F1455">
        <v>2</v>
      </c>
      <c r="I1455" t="s">
        <v>3238</v>
      </c>
      <c r="J1455" t="s">
        <v>51</v>
      </c>
      <c r="K1455" t="s">
        <v>51</v>
      </c>
      <c r="L1455">
        <v>5</v>
      </c>
      <c r="M1455">
        <v>2</v>
      </c>
      <c r="N1455" t="s">
        <v>2656</v>
      </c>
      <c r="O1455" t="s">
        <v>1447</v>
      </c>
      <c r="P1455" t="s">
        <v>1444</v>
      </c>
      <c r="Q1455" t="s">
        <v>1443</v>
      </c>
      <c r="R1455" t="s">
        <v>2653</v>
      </c>
      <c r="S1455" t="s">
        <v>2657</v>
      </c>
    </row>
    <row r="1456" spans="1:19">
      <c r="A1456" t="s">
        <v>4896</v>
      </c>
      <c r="B1456" t="s">
        <v>1300</v>
      </c>
      <c r="C1456" t="s">
        <v>3607</v>
      </c>
      <c r="D1456" t="s">
        <v>1301</v>
      </c>
      <c r="E1456" t="s">
        <v>2658</v>
      </c>
      <c r="G1456">
        <v>1</v>
      </c>
      <c r="H1456" t="s">
        <v>3863</v>
      </c>
      <c r="I1456" t="s">
        <v>3238</v>
      </c>
      <c r="J1456" t="s">
        <v>51</v>
      </c>
      <c r="K1456" t="s">
        <v>51</v>
      </c>
      <c r="L1456">
        <v>5</v>
      </c>
      <c r="M1456">
        <v>2</v>
      </c>
      <c r="N1456" t="s">
        <v>2656</v>
      </c>
      <c r="O1456" t="s">
        <v>1447</v>
      </c>
      <c r="P1456" t="s">
        <v>1444</v>
      </c>
      <c r="Q1456" t="s">
        <v>1443</v>
      </c>
      <c r="R1456" t="s">
        <v>2659</v>
      </c>
      <c r="S1456" t="s">
        <v>2660</v>
      </c>
    </row>
    <row r="1457" spans="1:19">
      <c r="A1457" t="s">
        <v>4898</v>
      </c>
      <c r="B1457" t="s">
        <v>1313</v>
      </c>
      <c r="C1457" t="s">
        <v>3607</v>
      </c>
      <c r="D1457" t="s">
        <v>1314</v>
      </c>
      <c r="E1457" t="s">
        <v>1450</v>
      </c>
      <c r="F1457">
        <v>3</v>
      </c>
      <c r="I1457" t="s">
        <v>3238</v>
      </c>
      <c r="J1457" t="s">
        <v>51</v>
      </c>
      <c r="K1457" t="s">
        <v>51</v>
      </c>
      <c r="L1457">
        <v>5</v>
      </c>
      <c r="M1457">
        <v>2</v>
      </c>
      <c r="N1457" t="s">
        <v>2656</v>
      </c>
      <c r="O1457" t="s">
        <v>1447</v>
      </c>
      <c r="P1457" t="s">
        <v>1523</v>
      </c>
      <c r="Q1457" t="s">
        <v>1443</v>
      </c>
      <c r="R1457" t="s">
        <v>2661</v>
      </c>
      <c r="S1457" t="s">
        <v>2663</v>
      </c>
    </row>
    <row r="1458" spans="1:19">
      <c r="A1458" t="s">
        <v>4899</v>
      </c>
      <c r="B1458" t="s">
        <v>1317</v>
      </c>
      <c r="C1458" t="s">
        <v>3607</v>
      </c>
      <c r="D1458" t="s">
        <v>1291</v>
      </c>
      <c r="E1458" t="s">
        <v>2664</v>
      </c>
      <c r="F1458" t="s">
        <v>2664</v>
      </c>
      <c r="I1458" t="s">
        <v>3238</v>
      </c>
      <c r="J1458" t="s">
        <v>51</v>
      </c>
      <c r="K1458" t="s">
        <v>51</v>
      </c>
      <c r="L1458">
        <v>5</v>
      </c>
      <c r="M1458">
        <v>3</v>
      </c>
      <c r="N1458" t="s">
        <v>2665</v>
      </c>
      <c r="O1458" t="s">
        <v>1447</v>
      </c>
      <c r="P1458" t="s">
        <v>1774</v>
      </c>
      <c r="Q1458" t="s">
        <v>1547</v>
      </c>
      <c r="R1458" t="s">
        <v>1289</v>
      </c>
      <c r="S1458" t="s">
        <v>2666</v>
      </c>
    </row>
    <row r="1459" spans="1:19">
      <c r="A1459" t="s">
        <v>4900</v>
      </c>
      <c r="B1459" t="s">
        <v>2667</v>
      </c>
      <c r="C1459" t="s">
        <v>3607</v>
      </c>
      <c r="D1459" t="s">
        <v>1310</v>
      </c>
      <c r="E1459" t="s">
        <v>1599</v>
      </c>
      <c r="F1459">
        <v>10</v>
      </c>
      <c r="G1459">
        <v>1</v>
      </c>
      <c r="I1459" t="s">
        <v>3238</v>
      </c>
      <c r="J1459" t="s">
        <v>51</v>
      </c>
      <c r="K1459" t="s">
        <v>51</v>
      </c>
      <c r="L1459">
        <v>5</v>
      </c>
      <c r="M1459">
        <v>3</v>
      </c>
      <c r="N1459" t="s">
        <v>2665</v>
      </c>
      <c r="O1459" t="s">
        <v>1447</v>
      </c>
      <c r="P1459" t="s">
        <v>1523</v>
      </c>
      <c r="Q1459" t="s">
        <v>1547</v>
      </c>
      <c r="R1459" t="s">
        <v>1305</v>
      </c>
      <c r="S1459" t="s">
        <v>2668</v>
      </c>
    </row>
    <row r="1460" spans="1:19">
      <c r="A1460" t="s">
        <v>4901</v>
      </c>
      <c r="B1460" t="s">
        <v>1315</v>
      </c>
      <c r="C1460" t="s">
        <v>3607</v>
      </c>
      <c r="D1460" t="s">
        <v>1310</v>
      </c>
      <c r="E1460" t="s">
        <v>1497</v>
      </c>
      <c r="F1460">
        <v>6</v>
      </c>
      <c r="I1460" t="s">
        <v>3238</v>
      </c>
      <c r="J1460" t="s">
        <v>51</v>
      </c>
      <c r="K1460" t="s">
        <v>51</v>
      </c>
      <c r="L1460">
        <v>5</v>
      </c>
      <c r="M1460">
        <v>3</v>
      </c>
      <c r="N1460" t="s">
        <v>2665</v>
      </c>
      <c r="O1460" t="s">
        <v>1447</v>
      </c>
      <c r="P1460" t="s">
        <v>1774</v>
      </c>
      <c r="Q1460" t="s">
        <v>1534</v>
      </c>
      <c r="R1460" t="s">
        <v>2669</v>
      </c>
      <c r="S1460" t="s">
        <v>2670</v>
      </c>
    </row>
    <row r="1461" spans="1:19">
      <c r="A1461" t="s">
        <v>4902</v>
      </c>
      <c r="B1461" t="s">
        <v>1318</v>
      </c>
      <c r="C1461" t="s">
        <v>3607</v>
      </c>
      <c r="D1461" t="s">
        <v>1310</v>
      </c>
      <c r="E1461" t="s">
        <v>1450</v>
      </c>
      <c r="F1461">
        <v>3</v>
      </c>
      <c r="I1461" t="s">
        <v>3238</v>
      </c>
      <c r="J1461" t="s">
        <v>51</v>
      </c>
      <c r="K1461" t="s">
        <v>51</v>
      </c>
      <c r="L1461">
        <v>5</v>
      </c>
      <c r="M1461">
        <v>3</v>
      </c>
      <c r="N1461" t="s">
        <v>2665</v>
      </c>
      <c r="O1461" t="s">
        <v>1447</v>
      </c>
      <c r="P1461" t="s">
        <v>1444</v>
      </c>
      <c r="Q1461" t="s">
        <v>1473</v>
      </c>
      <c r="R1461" t="s">
        <v>2671</v>
      </c>
      <c r="S1461" t="s">
        <v>2672</v>
      </c>
    </row>
    <row r="1462" spans="1:19">
      <c r="A1462" t="s">
        <v>4903</v>
      </c>
      <c r="B1462" t="s">
        <v>1307</v>
      </c>
      <c r="C1462" t="s">
        <v>3607</v>
      </c>
      <c r="D1462">
        <v>407</v>
      </c>
      <c r="E1462" t="s">
        <v>1511</v>
      </c>
      <c r="F1462" t="s">
        <v>1511</v>
      </c>
      <c r="I1462" t="s">
        <v>3238</v>
      </c>
      <c r="J1462" t="s">
        <v>51</v>
      </c>
      <c r="K1462" t="s">
        <v>51</v>
      </c>
      <c r="L1462">
        <v>5</v>
      </c>
      <c r="M1462">
        <v>3</v>
      </c>
      <c r="N1462" t="s">
        <v>2665</v>
      </c>
      <c r="O1462" t="s">
        <v>1513</v>
      </c>
      <c r="P1462" t="s">
        <v>1444</v>
      </c>
      <c r="Q1462" t="s">
        <v>1513</v>
      </c>
      <c r="R1462" t="s">
        <v>2655</v>
      </c>
      <c r="S1462" t="s">
        <v>2673</v>
      </c>
    </row>
    <row r="1463" spans="1:19">
      <c r="A1463" t="s">
        <v>4904</v>
      </c>
      <c r="B1463" t="s">
        <v>1309</v>
      </c>
      <c r="C1463" t="s">
        <v>3607</v>
      </c>
      <c r="D1463" t="s">
        <v>1310</v>
      </c>
      <c r="E1463" t="s">
        <v>2039</v>
      </c>
      <c r="F1463">
        <v>8</v>
      </c>
      <c r="G1463">
        <v>1</v>
      </c>
      <c r="I1463" t="s">
        <v>3238</v>
      </c>
      <c r="J1463" t="s">
        <v>51</v>
      </c>
      <c r="K1463" t="s">
        <v>51</v>
      </c>
      <c r="L1463">
        <v>5</v>
      </c>
      <c r="M1463">
        <v>3</v>
      </c>
      <c r="N1463" t="s">
        <v>2665</v>
      </c>
      <c r="O1463" t="s">
        <v>1447</v>
      </c>
      <c r="P1463" t="s">
        <v>2674</v>
      </c>
      <c r="Q1463" t="s">
        <v>1547</v>
      </c>
      <c r="R1463" t="s">
        <v>2661</v>
      </c>
      <c r="S1463" t="s">
        <v>2675</v>
      </c>
    </row>
    <row r="1464" spans="1:19">
      <c r="A1464" t="s">
        <v>4905</v>
      </c>
      <c r="B1464" t="s">
        <v>1311</v>
      </c>
      <c r="C1464" t="s">
        <v>3607</v>
      </c>
      <c r="D1464" t="s">
        <v>1312</v>
      </c>
      <c r="E1464" t="s">
        <v>1467</v>
      </c>
      <c r="F1464">
        <v>5</v>
      </c>
      <c r="G1464">
        <v>1</v>
      </c>
      <c r="I1464" t="s">
        <v>3238</v>
      </c>
      <c r="J1464" t="s">
        <v>51</v>
      </c>
      <c r="K1464" t="s">
        <v>51</v>
      </c>
      <c r="L1464">
        <v>5</v>
      </c>
      <c r="M1464">
        <v>3</v>
      </c>
      <c r="N1464" t="s">
        <v>2665</v>
      </c>
      <c r="O1464" t="s">
        <v>1447</v>
      </c>
      <c r="P1464" t="s">
        <v>1523</v>
      </c>
      <c r="Q1464" t="s">
        <v>1443</v>
      </c>
      <c r="R1464" t="s">
        <v>1313</v>
      </c>
      <c r="S1464" t="s">
        <v>2676</v>
      </c>
    </row>
    <row r="1465" spans="1:19">
      <c r="A1465" t="s">
        <v>4906</v>
      </c>
      <c r="B1465" t="s">
        <v>1295</v>
      </c>
      <c r="C1465" t="s">
        <v>3607</v>
      </c>
      <c r="D1465">
        <v>408</v>
      </c>
      <c r="E1465" t="s">
        <v>1511</v>
      </c>
      <c r="F1465" t="s">
        <v>1511</v>
      </c>
      <c r="I1465" t="s">
        <v>3238</v>
      </c>
      <c r="J1465" t="s">
        <v>51</v>
      </c>
      <c r="K1465" t="s">
        <v>51</v>
      </c>
      <c r="L1465">
        <v>5</v>
      </c>
      <c r="M1465">
        <v>4</v>
      </c>
      <c r="N1465" t="s">
        <v>2677</v>
      </c>
      <c r="O1465" t="s">
        <v>1513</v>
      </c>
      <c r="P1465" t="s">
        <v>1444</v>
      </c>
      <c r="Q1465" t="s">
        <v>1513</v>
      </c>
      <c r="R1465" t="s">
        <v>2671</v>
      </c>
      <c r="S1465" t="s">
        <v>2678</v>
      </c>
    </row>
    <row r="1466" spans="1:19">
      <c r="A1466" t="s">
        <v>4907</v>
      </c>
      <c r="B1466" t="s">
        <v>1294</v>
      </c>
      <c r="C1466" t="s">
        <v>3607</v>
      </c>
      <c r="D1466">
        <v>408</v>
      </c>
      <c r="E1466" t="s">
        <v>1543</v>
      </c>
      <c r="F1466">
        <v>7</v>
      </c>
      <c r="G1466">
        <v>1</v>
      </c>
      <c r="I1466" t="s">
        <v>3238</v>
      </c>
      <c r="J1466" t="s">
        <v>51</v>
      </c>
      <c r="K1466" t="s">
        <v>51</v>
      </c>
      <c r="L1466">
        <v>5</v>
      </c>
      <c r="M1466">
        <v>4</v>
      </c>
      <c r="N1466" t="s">
        <v>2677</v>
      </c>
      <c r="O1466" t="s">
        <v>1447</v>
      </c>
      <c r="P1466" t="s">
        <v>2674</v>
      </c>
      <c r="Q1466" t="s">
        <v>1443</v>
      </c>
      <c r="R1466" t="s">
        <v>2679</v>
      </c>
      <c r="S1466" t="s">
        <v>2680</v>
      </c>
    </row>
    <row r="1467" spans="1:19">
      <c r="A1467" t="s">
        <v>4908</v>
      </c>
      <c r="B1467" t="s">
        <v>1297</v>
      </c>
      <c r="C1467" t="s">
        <v>3607</v>
      </c>
      <c r="D1467">
        <v>409</v>
      </c>
      <c r="E1467" t="s">
        <v>1599</v>
      </c>
      <c r="F1467">
        <v>10</v>
      </c>
      <c r="G1467">
        <v>1</v>
      </c>
      <c r="I1467" t="s">
        <v>3238</v>
      </c>
      <c r="J1467" t="s">
        <v>51</v>
      </c>
      <c r="K1467" t="s">
        <v>51</v>
      </c>
      <c r="L1467">
        <v>5</v>
      </c>
      <c r="M1467">
        <v>4</v>
      </c>
      <c r="N1467" t="s">
        <v>2677</v>
      </c>
      <c r="O1467" t="s">
        <v>1447</v>
      </c>
      <c r="P1467" t="s">
        <v>2674</v>
      </c>
      <c r="Q1467" t="s">
        <v>1547</v>
      </c>
      <c r="R1467" t="s">
        <v>2681</v>
      </c>
      <c r="S1467" t="s">
        <v>2682</v>
      </c>
    </row>
    <row r="1468" spans="1:19">
      <c r="A1468" t="s">
        <v>4910</v>
      </c>
      <c r="B1468" t="s">
        <v>3866</v>
      </c>
      <c r="C1468" t="s">
        <v>3602</v>
      </c>
      <c r="D1468">
        <v>33</v>
      </c>
      <c r="E1468" t="s">
        <v>1467</v>
      </c>
      <c r="F1468">
        <v>5</v>
      </c>
      <c r="G1468">
        <v>1</v>
      </c>
      <c r="I1468" t="s">
        <v>3238</v>
      </c>
      <c r="J1468" t="s">
        <v>51</v>
      </c>
      <c r="K1468" t="s">
        <v>51</v>
      </c>
      <c r="L1468">
        <v>5</v>
      </c>
      <c r="M1468">
        <v>2</v>
      </c>
      <c r="N1468" t="s">
        <v>2656</v>
      </c>
      <c r="O1468" t="s">
        <v>1447</v>
      </c>
      <c r="P1468" t="s">
        <v>1523</v>
      </c>
      <c r="Q1468" t="s">
        <v>1443</v>
      </c>
      <c r="R1468" t="s">
        <v>1316</v>
      </c>
      <c r="S1468" t="s">
        <v>3867</v>
      </c>
    </row>
    <row r="1469" spans="1:19">
      <c r="A1469" t="s">
        <v>4911</v>
      </c>
      <c r="B1469" t="s">
        <v>3868</v>
      </c>
      <c r="C1469" t="s">
        <v>3602</v>
      </c>
      <c r="D1469">
        <v>34</v>
      </c>
      <c r="E1469" t="s">
        <v>1554</v>
      </c>
      <c r="F1469">
        <v>4</v>
      </c>
      <c r="I1469" t="s">
        <v>3238</v>
      </c>
      <c r="J1469" t="s">
        <v>51</v>
      </c>
      <c r="K1469" t="s">
        <v>51</v>
      </c>
      <c r="L1469">
        <v>5</v>
      </c>
      <c r="M1469">
        <v>3</v>
      </c>
      <c r="N1469" t="s">
        <v>2665</v>
      </c>
      <c r="O1469" t="s">
        <v>1441</v>
      </c>
      <c r="P1469" t="s">
        <v>2736</v>
      </c>
      <c r="Q1469" t="s">
        <v>1443</v>
      </c>
      <c r="R1469" t="s">
        <v>3869</v>
      </c>
      <c r="S1469" t="s">
        <v>3870</v>
      </c>
    </row>
    <row r="1470" spans="1:19">
      <c r="A1470" t="s">
        <v>7183</v>
      </c>
      <c r="B1470" t="s">
        <v>6267</v>
      </c>
      <c r="C1470" t="s">
        <v>3968</v>
      </c>
      <c r="D1470">
        <v>267</v>
      </c>
      <c r="E1470" t="s">
        <v>5071</v>
      </c>
      <c r="F1470">
        <v>2</v>
      </c>
      <c r="I1470" t="s">
        <v>3560</v>
      </c>
      <c r="J1470" t="s">
        <v>51</v>
      </c>
      <c r="K1470" t="s">
        <v>51</v>
      </c>
      <c r="L1470">
        <v>1</v>
      </c>
      <c r="M1470">
        <v>1</v>
      </c>
      <c r="N1470" t="s">
        <v>6268</v>
      </c>
      <c r="O1470" t="s">
        <v>1441</v>
      </c>
      <c r="P1470" t="s">
        <v>6269</v>
      </c>
      <c r="Q1470" t="s">
        <v>1443</v>
      </c>
      <c r="R1470" t="s">
        <v>1444</v>
      </c>
      <c r="S1470" t="s">
        <v>6270</v>
      </c>
    </row>
    <row r="1471" spans="1:19">
      <c r="A1471" t="s">
        <v>7182</v>
      </c>
      <c r="B1471" t="s">
        <v>6263</v>
      </c>
      <c r="C1471" t="s">
        <v>3968</v>
      </c>
      <c r="D1471">
        <v>267</v>
      </c>
      <c r="E1471" t="s">
        <v>1554</v>
      </c>
      <c r="F1471">
        <v>4</v>
      </c>
      <c r="I1471" t="s">
        <v>3560</v>
      </c>
      <c r="J1471" t="s">
        <v>51</v>
      </c>
      <c r="K1471" t="s">
        <v>51</v>
      </c>
      <c r="L1471">
        <v>3</v>
      </c>
      <c r="M1471">
        <v>2</v>
      </c>
      <c r="N1471" t="s">
        <v>6264</v>
      </c>
      <c r="O1471" t="s">
        <v>1447</v>
      </c>
      <c r="P1471" t="s">
        <v>5502</v>
      </c>
      <c r="Q1471" t="s">
        <v>2189</v>
      </c>
      <c r="R1471" t="s">
        <v>6265</v>
      </c>
      <c r="S1471" t="s">
        <v>6266</v>
      </c>
    </row>
    <row r="1472" spans="1:19">
      <c r="A1472" t="s">
        <v>7184</v>
      </c>
      <c r="B1472" t="s">
        <v>6265</v>
      </c>
      <c r="C1472" t="s">
        <v>3968</v>
      </c>
      <c r="D1472">
        <v>267</v>
      </c>
      <c r="E1472" t="s">
        <v>1554</v>
      </c>
      <c r="F1472">
        <v>4</v>
      </c>
      <c r="I1472" t="s">
        <v>3560</v>
      </c>
      <c r="J1472" t="s">
        <v>51</v>
      </c>
      <c r="K1472" t="s">
        <v>51</v>
      </c>
      <c r="L1472">
        <v>3</v>
      </c>
      <c r="M1472">
        <v>1</v>
      </c>
      <c r="N1472" t="s">
        <v>2643</v>
      </c>
      <c r="O1472" t="s">
        <v>1457</v>
      </c>
      <c r="P1472" t="s">
        <v>5507</v>
      </c>
      <c r="Q1472" t="s">
        <v>1473</v>
      </c>
      <c r="R1472" t="s">
        <v>1444</v>
      </c>
      <c r="S1472" t="s">
        <v>6271</v>
      </c>
    </row>
    <row r="1473" spans="1:19">
      <c r="A1473" t="s">
        <v>7185</v>
      </c>
      <c r="B1473" t="s">
        <v>6272</v>
      </c>
      <c r="C1473" t="s">
        <v>3968</v>
      </c>
      <c r="D1473">
        <v>267</v>
      </c>
      <c r="E1473" t="s">
        <v>1460</v>
      </c>
      <c r="F1473">
        <v>2</v>
      </c>
      <c r="I1473" t="s">
        <v>3560</v>
      </c>
      <c r="J1473" t="s">
        <v>51</v>
      </c>
      <c r="K1473" t="s">
        <v>51</v>
      </c>
      <c r="L1473">
        <v>3</v>
      </c>
      <c r="M1473">
        <v>1</v>
      </c>
      <c r="N1473" t="s">
        <v>2643</v>
      </c>
      <c r="O1473" t="s">
        <v>1441</v>
      </c>
      <c r="P1473" t="s">
        <v>5263</v>
      </c>
      <c r="Q1473" t="s">
        <v>1443</v>
      </c>
      <c r="R1473" t="s">
        <v>6265</v>
      </c>
      <c r="S1473" t="s">
        <v>6273</v>
      </c>
    </row>
    <row r="1474" spans="1:19">
      <c r="A1474" t="s">
        <v>7186</v>
      </c>
      <c r="B1474" t="s">
        <v>6274</v>
      </c>
      <c r="C1474" t="s">
        <v>3968</v>
      </c>
      <c r="D1474">
        <v>267</v>
      </c>
      <c r="E1474" t="s">
        <v>2957</v>
      </c>
      <c r="F1474">
        <v>4</v>
      </c>
      <c r="H1474" t="s">
        <v>2434</v>
      </c>
      <c r="I1474" t="s">
        <v>3560</v>
      </c>
      <c r="J1474" t="s">
        <v>51</v>
      </c>
      <c r="K1474" t="s">
        <v>51</v>
      </c>
      <c r="L1474">
        <v>4</v>
      </c>
      <c r="M1474">
        <v>2</v>
      </c>
      <c r="N1474" t="s">
        <v>2650</v>
      </c>
      <c r="O1474" t="s">
        <v>1457</v>
      </c>
      <c r="P1474" t="s">
        <v>5118</v>
      </c>
      <c r="Q1474" t="s">
        <v>1473</v>
      </c>
      <c r="R1474" t="s">
        <v>6272</v>
      </c>
      <c r="S1474" t="s">
        <v>6275</v>
      </c>
    </row>
    <row r="1475" spans="1:19">
      <c r="A1475" t="s">
        <v>7192</v>
      </c>
      <c r="B1475" t="s">
        <v>6291</v>
      </c>
      <c r="C1475" t="s">
        <v>3968</v>
      </c>
      <c r="D1475">
        <v>269</v>
      </c>
      <c r="E1475" t="s">
        <v>1465</v>
      </c>
      <c r="F1475">
        <v>1</v>
      </c>
      <c r="G1475">
        <v>1</v>
      </c>
      <c r="I1475" t="s">
        <v>3560</v>
      </c>
      <c r="J1475" t="s">
        <v>51</v>
      </c>
      <c r="K1475" t="s">
        <v>51</v>
      </c>
      <c r="L1475">
        <v>4</v>
      </c>
      <c r="M1475">
        <v>3</v>
      </c>
      <c r="N1475" t="s">
        <v>6292</v>
      </c>
      <c r="O1475" t="s">
        <v>1457</v>
      </c>
      <c r="P1475" t="s">
        <v>5075</v>
      </c>
      <c r="Q1475" t="s">
        <v>1473</v>
      </c>
      <c r="R1475" t="s">
        <v>6293</v>
      </c>
      <c r="S1475" t="s">
        <v>6294</v>
      </c>
    </row>
    <row r="1476" spans="1:19">
      <c r="A1476" t="s">
        <v>7193</v>
      </c>
      <c r="B1476" t="s">
        <v>6295</v>
      </c>
      <c r="C1476" t="s">
        <v>3968</v>
      </c>
      <c r="D1476">
        <v>269</v>
      </c>
      <c r="E1476" t="s">
        <v>1599</v>
      </c>
      <c r="F1476">
        <v>10</v>
      </c>
      <c r="G1476">
        <v>1</v>
      </c>
      <c r="I1476" t="s">
        <v>3560</v>
      </c>
      <c r="J1476" t="s">
        <v>51</v>
      </c>
      <c r="K1476" t="s">
        <v>51</v>
      </c>
      <c r="L1476">
        <v>4</v>
      </c>
      <c r="M1476">
        <v>3</v>
      </c>
      <c r="N1476" t="s">
        <v>6292</v>
      </c>
      <c r="O1476" t="s">
        <v>1457</v>
      </c>
      <c r="P1476" t="s">
        <v>5502</v>
      </c>
      <c r="Q1476" t="s">
        <v>1473</v>
      </c>
      <c r="R1476" t="s">
        <v>6263</v>
      </c>
      <c r="S1476" t="s">
        <v>6296</v>
      </c>
    </row>
    <row r="1477" spans="1:19">
      <c r="A1477" t="s">
        <v>7187</v>
      </c>
      <c r="B1477" t="s">
        <v>6276</v>
      </c>
      <c r="C1477" t="s">
        <v>3968</v>
      </c>
      <c r="D1477">
        <v>267</v>
      </c>
      <c r="E1477" t="s">
        <v>6277</v>
      </c>
      <c r="I1477" t="s">
        <v>3560</v>
      </c>
      <c r="J1477" t="s">
        <v>51</v>
      </c>
      <c r="K1477" t="s">
        <v>51</v>
      </c>
      <c r="L1477">
        <v>5</v>
      </c>
      <c r="M1477">
        <v>3</v>
      </c>
      <c r="N1477" t="s">
        <v>2665</v>
      </c>
      <c r="O1477" t="s">
        <v>1513</v>
      </c>
      <c r="P1477" t="s">
        <v>6234</v>
      </c>
      <c r="Q1477" t="s">
        <v>1513</v>
      </c>
      <c r="R1477" t="s">
        <v>1444</v>
      </c>
      <c r="S1477" t="s">
        <v>6278</v>
      </c>
    </row>
    <row r="1478" spans="1:19">
      <c r="A1478" t="s">
        <v>7188</v>
      </c>
      <c r="B1478" t="s">
        <v>6279</v>
      </c>
      <c r="C1478" t="s">
        <v>3968</v>
      </c>
      <c r="D1478">
        <v>268</v>
      </c>
      <c r="E1478" t="s">
        <v>1543</v>
      </c>
      <c r="F1478">
        <v>7</v>
      </c>
      <c r="G1478">
        <v>1</v>
      </c>
      <c r="I1478" t="s">
        <v>3560</v>
      </c>
      <c r="J1478" t="s">
        <v>51</v>
      </c>
      <c r="K1478" t="s">
        <v>51</v>
      </c>
      <c r="L1478">
        <v>5</v>
      </c>
      <c r="M1478">
        <v>3</v>
      </c>
      <c r="N1478" t="s">
        <v>2665</v>
      </c>
      <c r="O1478" t="s">
        <v>1457</v>
      </c>
      <c r="P1478" t="s">
        <v>6237</v>
      </c>
      <c r="Q1478" t="s">
        <v>1547</v>
      </c>
      <c r="R1478" t="s">
        <v>1444</v>
      </c>
      <c r="S1478" t="s">
        <v>6280</v>
      </c>
    </row>
    <row r="1479" spans="1:19">
      <c r="A1479" t="s">
        <v>7189</v>
      </c>
      <c r="B1479" t="s">
        <v>6281</v>
      </c>
      <c r="C1479" t="s">
        <v>3968</v>
      </c>
      <c r="D1479">
        <v>268</v>
      </c>
      <c r="E1479" t="s">
        <v>1924</v>
      </c>
      <c r="F1479">
        <v>2</v>
      </c>
      <c r="G1479">
        <v>1</v>
      </c>
      <c r="I1479" t="s">
        <v>3560</v>
      </c>
      <c r="J1479" t="s">
        <v>51</v>
      </c>
      <c r="K1479" t="s">
        <v>51</v>
      </c>
      <c r="L1479">
        <v>5</v>
      </c>
      <c r="M1479">
        <v>3</v>
      </c>
      <c r="N1479" t="s">
        <v>2665</v>
      </c>
      <c r="O1479" t="s">
        <v>1457</v>
      </c>
      <c r="P1479" t="s">
        <v>6282</v>
      </c>
      <c r="Q1479" t="s">
        <v>1473</v>
      </c>
      <c r="R1479" t="s">
        <v>1444</v>
      </c>
      <c r="S1479" t="s">
        <v>6283</v>
      </c>
    </row>
    <row r="1480" spans="1:19">
      <c r="A1480" t="s">
        <v>7190</v>
      </c>
      <c r="B1480" t="s">
        <v>6284</v>
      </c>
      <c r="C1480" t="s">
        <v>3968</v>
      </c>
      <c r="D1480">
        <v>268</v>
      </c>
      <c r="E1480" t="s">
        <v>1479</v>
      </c>
      <c r="F1480">
        <v>6</v>
      </c>
      <c r="G1480">
        <v>1</v>
      </c>
      <c r="I1480" t="s">
        <v>3560</v>
      </c>
      <c r="J1480" t="s">
        <v>51</v>
      </c>
      <c r="K1480" t="s">
        <v>51</v>
      </c>
      <c r="L1480">
        <v>5</v>
      </c>
      <c r="M1480">
        <v>3</v>
      </c>
      <c r="N1480" t="s">
        <v>2665</v>
      </c>
      <c r="O1480" t="s">
        <v>1457</v>
      </c>
      <c r="P1480" t="s">
        <v>5560</v>
      </c>
      <c r="Q1480" t="s">
        <v>5062</v>
      </c>
      <c r="R1480" t="s">
        <v>6272</v>
      </c>
      <c r="S1480" t="s">
        <v>6285</v>
      </c>
    </row>
    <row r="1481" spans="1:19">
      <c r="A1481" t="s">
        <v>7191</v>
      </c>
      <c r="B1481" t="s">
        <v>6286</v>
      </c>
      <c r="C1481" t="s">
        <v>3968</v>
      </c>
      <c r="D1481">
        <v>268</v>
      </c>
      <c r="E1481" t="s">
        <v>6287</v>
      </c>
      <c r="F1481">
        <v>5</v>
      </c>
      <c r="G1481">
        <v>1</v>
      </c>
      <c r="H1481" t="s">
        <v>5054</v>
      </c>
      <c r="I1481" t="s">
        <v>3560</v>
      </c>
      <c r="J1481" t="s">
        <v>51</v>
      </c>
      <c r="K1481" t="s">
        <v>51</v>
      </c>
      <c r="L1481">
        <v>5</v>
      </c>
      <c r="M1481">
        <v>3</v>
      </c>
      <c r="N1481" t="s">
        <v>6288</v>
      </c>
      <c r="O1481" t="s">
        <v>1447</v>
      </c>
      <c r="P1481" t="s">
        <v>6289</v>
      </c>
      <c r="Q1481" t="s">
        <v>5062</v>
      </c>
      <c r="R1481" t="s">
        <v>1444</v>
      </c>
      <c r="S1481" t="s">
        <v>6290</v>
      </c>
    </row>
    <row r="1482" spans="1:19">
      <c r="A1482" t="s">
        <v>7194</v>
      </c>
      <c r="B1482" t="s">
        <v>6297</v>
      </c>
      <c r="C1482" t="s">
        <v>3968</v>
      </c>
      <c r="D1482">
        <v>269</v>
      </c>
      <c r="E1482" t="s">
        <v>1541</v>
      </c>
      <c r="F1482">
        <v>5</v>
      </c>
      <c r="I1482" t="s">
        <v>3560</v>
      </c>
      <c r="J1482" t="s">
        <v>51</v>
      </c>
      <c r="K1482" t="s">
        <v>51</v>
      </c>
      <c r="L1482">
        <v>5</v>
      </c>
      <c r="M1482">
        <v>3</v>
      </c>
      <c r="N1482" t="s">
        <v>2665</v>
      </c>
      <c r="O1482" t="s">
        <v>1447</v>
      </c>
      <c r="P1482" t="s">
        <v>6298</v>
      </c>
      <c r="Q1482" t="s">
        <v>5062</v>
      </c>
      <c r="R1482" t="s">
        <v>6272</v>
      </c>
      <c r="S1482" t="s">
        <v>6299</v>
      </c>
    </row>
    <row r="1483" spans="1:19">
      <c r="A1483" t="s">
        <v>7195</v>
      </c>
      <c r="B1483" t="s">
        <v>6300</v>
      </c>
      <c r="C1483" t="s">
        <v>3968</v>
      </c>
      <c r="D1483">
        <v>269</v>
      </c>
      <c r="E1483" t="s">
        <v>1467</v>
      </c>
      <c r="F1483">
        <v>5</v>
      </c>
      <c r="G1483">
        <v>1</v>
      </c>
      <c r="I1483" t="s">
        <v>3560</v>
      </c>
      <c r="J1483" t="s">
        <v>51</v>
      </c>
      <c r="K1483" t="s">
        <v>51</v>
      </c>
      <c r="L1483">
        <v>5</v>
      </c>
      <c r="M1483">
        <v>4</v>
      </c>
      <c r="N1483" t="s">
        <v>2677</v>
      </c>
      <c r="O1483" t="s">
        <v>1447</v>
      </c>
      <c r="P1483" t="s">
        <v>5502</v>
      </c>
      <c r="Q1483" t="s">
        <v>1473</v>
      </c>
      <c r="R1483" t="s">
        <v>6295</v>
      </c>
      <c r="S1483" t="s">
        <v>6301</v>
      </c>
    </row>
    <row r="1484" spans="1:19">
      <c r="A1484" t="s">
        <v>7196</v>
      </c>
      <c r="B1484" t="s">
        <v>6302</v>
      </c>
      <c r="C1484" t="s">
        <v>3968</v>
      </c>
      <c r="D1484">
        <v>270</v>
      </c>
      <c r="E1484" t="s">
        <v>1476</v>
      </c>
      <c r="F1484">
        <v>3</v>
      </c>
      <c r="G1484">
        <v>1</v>
      </c>
      <c r="I1484" t="s">
        <v>3560</v>
      </c>
      <c r="J1484" t="s">
        <v>51</v>
      </c>
      <c r="K1484" t="s">
        <v>51</v>
      </c>
      <c r="L1484">
        <v>5</v>
      </c>
      <c r="M1484">
        <v>5</v>
      </c>
      <c r="N1484" t="s">
        <v>6303</v>
      </c>
      <c r="O1484" t="s">
        <v>1457</v>
      </c>
      <c r="P1484" t="s">
        <v>5705</v>
      </c>
      <c r="Q1484" t="s">
        <v>5062</v>
      </c>
      <c r="R1484" t="s">
        <v>6300</v>
      </c>
      <c r="S1484" t="s">
        <v>6304</v>
      </c>
    </row>
    <row r="1485" spans="1:19">
      <c r="A1485" t="s">
        <v>4912</v>
      </c>
      <c r="B1485" t="s">
        <v>1334</v>
      </c>
      <c r="C1485" t="s">
        <v>3607</v>
      </c>
      <c r="D1485">
        <v>409</v>
      </c>
      <c r="E1485" t="s">
        <v>1450</v>
      </c>
      <c r="F1485">
        <v>3</v>
      </c>
      <c r="I1485" t="s">
        <v>3238</v>
      </c>
      <c r="J1485" t="s">
        <v>56</v>
      </c>
      <c r="K1485" t="s">
        <v>56</v>
      </c>
      <c r="L1485">
        <v>1</v>
      </c>
      <c r="M1485">
        <v>1</v>
      </c>
      <c r="N1485" t="s">
        <v>2683</v>
      </c>
      <c r="O1485" t="s">
        <v>1457</v>
      </c>
      <c r="P1485" t="s">
        <v>1444</v>
      </c>
      <c r="Q1485" t="s">
        <v>1534</v>
      </c>
      <c r="R1485" t="s">
        <v>1444</v>
      </c>
      <c r="S1485" t="s">
        <v>2684</v>
      </c>
    </row>
    <row r="1486" spans="1:19">
      <c r="A1486" t="s">
        <v>4914</v>
      </c>
      <c r="B1486" t="s">
        <v>2687</v>
      </c>
      <c r="C1486" t="s">
        <v>3607</v>
      </c>
      <c r="D1486" t="s">
        <v>1336</v>
      </c>
      <c r="E1486" t="s">
        <v>1450</v>
      </c>
      <c r="F1486">
        <v>3</v>
      </c>
      <c r="I1486" t="s">
        <v>3238</v>
      </c>
      <c r="J1486" t="s">
        <v>56</v>
      </c>
      <c r="K1486" t="s">
        <v>56</v>
      </c>
      <c r="L1486">
        <v>2</v>
      </c>
      <c r="M1486">
        <v>1</v>
      </c>
      <c r="N1486" t="s">
        <v>2688</v>
      </c>
      <c r="O1486" t="s">
        <v>1457</v>
      </c>
      <c r="P1486" t="s">
        <v>1444</v>
      </c>
      <c r="Q1486" t="s">
        <v>1473</v>
      </c>
      <c r="R1486" t="s">
        <v>1444</v>
      </c>
      <c r="S1486" t="s">
        <v>2689</v>
      </c>
    </row>
    <row r="1487" spans="1:19">
      <c r="A1487" t="s">
        <v>4913</v>
      </c>
      <c r="B1487" t="s">
        <v>1338</v>
      </c>
      <c r="C1487" t="s">
        <v>3607</v>
      </c>
      <c r="D1487" t="s">
        <v>1339</v>
      </c>
      <c r="E1487" t="s">
        <v>1541</v>
      </c>
      <c r="F1487">
        <v>5</v>
      </c>
      <c r="I1487" t="s">
        <v>3238</v>
      </c>
      <c r="J1487" t="s">
        <v>56</v>
      </c>
      <c r="K1487" t="s">
        <v>56</v>
      </c>
      <c r="L1487">
        <v>3</v>
      </c>
      <c r="M1487">
        <v>1</v>
      </c>
      <c r="N1487" t="s">
        <v>2685</v>
      </c>
      <c r="O1487" t="s">
        <v>1447</v>
      </c>
      <c r="P1487" t="s">
        <v>1444</v>
      </c>
      <c r="Q1487" t="s">
        <v>1804</v>
      </c>
      <c r="R1487" t="s">
        <v>1444</v>
      </c>
      <c r="S1487" t="s">
        <v>2686</v>
      </c>
    </row>
    <row r="1488" spans="1:19">
      <c r="A1488" t="s">
        <v>4917</v>
      </c>
      <c r="B1488" t="s">
        <v>1348</v>
      </c>
      <c r="C1488" t="s">
        <v>3607</v>
      </c>
      <c r="D1488" t="s">
        <v>1349</v>
      </c>
      <c r="E1488" t="s">
        <v>2694</v>
      </c>
      <c r="F1488">
        <v>10</v>
      </c>
      <c r="H1488" t="s">
        <v>2075</v>
      </c>
      <c r="I1488" t="s">
        <v>3238</v>
      </c>
      <c r="J1488" t="s">
        <v>56</v>
      </c>
      <c r="K1488" t="s">
        <v>56</v>
      </c>
      <c r="L1488">
        <v>3</v>
      </c>
      <c r="M1488">
        <v>2</v>
      </c>
      <c r="N1488" t="s">
        <v>2695</v>
      </c>
      <c r="O1488" t="s">
        <v>1457</v>
      </c>
      <c r="P1488" t="s">
        <v>1444</v>
      </c>
      <c r="Q1488" t="s">
        <v>1443</v>
      </c>
      <c r="R1488" t="s">
        <v>2687</v>
      </c>
      <c r="S1488" t="s">
        <v>2696</v>
      </c>
    </row>
    <row r="1489" spans="1:19">
      <c r="A1489" t="s">
        <v>4923</v>
      </c>
      <c r="B1489" t="s">
        <v>1332</v>
      </c>
      <c r="C1489" t="s">
        <v>3607</v>
      </c>
      <c r="D1489" t="s">
        <v>1333</v>
      </c>
      <c r="E1489" t="s">
        <v>1554</v>
      </c>
      <c r="F1489">
        <v>4</v>
      </c>
      <c r="I1489" t="s">
        <v>3238</v>
      </c>
      <c r="J1489" t="s">
        <v>56</v>
      </c>
      <c r="K1489" t="s">
        <v>56</v>
      </c>
      <c r="L1489">
        <v>3</v>
      </c>
      <c r="M1489">
        <v>2</v>
      </c>
      <c r="N1489" t="s">
        <v>2695</v>
      </c>
      <c r="O1489" t="s">
        <v>1457</v>
      </c>
      <c r="P1489" t="s">
        <v>1523</v>
      </c>
      <c r="Q1489" t="s">
        <v>1443</v>
      </c>
      <c r="R1489" t="s">
        <v>1348</v>
      </c>
      <c r="S1489" t="s">
        <v>3514</v>
      </c>
    </row>
    <row r="1490" spans="1:19">
      <c r="A1490" t="s">
        <v>4925</v>
      </c>
      <c r="B1490" t="s">
        <v>1319</v>
      </c>
      <c r="C1490" t="s">
        <v>3607</v>
      </c>
      <c r="D1490" t="s">
        <v>1320</v>
      </c>
      <c r="E1490" t="s">
        <v>1450</v>
      </c>
      <c r="F1490">
        <v>3</v>
      </c>
      <c r="I1490" t="s">
        <v>3238</v>
      </c>
      <c r="J1490" t="s">
        <v>56</v>
      </c>
      <c r="K1490" t="s">
        <v>56</v>
      </c>
      <c r="L1490">
        <v>3</v>
      </c>
      <c r="M1490">
        <v>2</v>
      </c>
      <c r="N1490" t="s">
        <v>2695</v>
      </c>
      <c r="O1490" t="s">
        <v>1447</v>
      </c>
      <c r="P1490" t="s">
        <v>1523</v>
      </c>
      <c r="Q1490" t="s">
        <v>1443</v>
      </c>
      <c r="R1490" t="s">
        <v>1332</v>
      </c>
      <c r="S1490" t="s">
        <v>2703</v>
      </c>
    </row>
    <row r="1491" spans="1:19">
      <c r="A1491" t="s">
        <v>4936</v>
      </c>
      <c r="B1491" t="s">
        <v>3873</v>
      </c>
      <c r="C1491" t="s">
        <v>3602</v>
      </c>
      <c r="D1491">
        <v>34</v>
      </c>
      <c r="E1491" t="s">
        <v>1511</v>
      </c>
      <c r="F1491" t="s">
        <v>1511</v>
      </c>
      <c r="I1491" t="s">
        <v>3238</v>
      </c>
      <c r="J1491" t="s">
        <v>56</v>
      </c>
      <c r="K1491" t="s">
        <v>56</v>
      </c>
      <c r="L1491">
        <v>3</v>
      </c>
      <c r="M1491">
        <v>1</v>
      </c>
      <c r="N1491" t="s">
        <v>2685</v>
      </c>
      <c r="O1491" t="s">
        <v>1457</v>
      </c>
      <c r="P1491" t="s">
        <v>1444</v>
      </c>
      <c r="Q1491" t="s">
        <v>1443</v>
      </c>
      <c r="R1491" t="s">
        <v>3874</v>
      </c>
      <c r="S1491" t="s">
        <v>3875</v>
      </c>
    </row>
    <row r="1492" spans="1:19">
      <c r="A1492" t="s">
        <v>4915</v>
      </c>
      <c r="B1492" t="s">
        <v>1352</v>
      </c>
      <c r="C1492" t="s">
        <v>3607</v>
      </c>
      <c r="D1492" t="s">
        <v>1353</v>
      </c>
      <c r="E1492" t="s">
        <v>1467</v>
      </c>
      <c r="F1492">
        <v>5</v>
      </c>
      <c r="G1492">
        <v>1</v>
      </c>
      <c r="I1492" t="s">
        <v>3238</v>
      </c>
      <c r="J1492" t="s">
        <v>56</v>
      </c>
      <c r="K1492" t="s">
        <v>56</v>
      </c>
      <c r="L1492">
        <v>4</v>
      </c>
      <c r="M1492">
        <v>2</v>
      </c>
      <c r="N1492" t="s">
        <v>2690</v>
      </c>
      <c r="O1492" t="s">
        <v>1447</v>
      </c>
      <c r="P1492" t="s">
        <v>1444</v>
      </c>
      <c r="Q1492" t="s">
        <v>1547</v>
      </c>
      <c r="R1492" t="s">
        <v>1338</v>
      </c>
      <c r="S1492" t="s">
        <v>2691</v>
      </c>
    </row>
    <row r="1493" spans="1:19">
      <c r="A1493" t="s">
        <v>4918</v>
      </c>
      <c r="B1493" t="s">
        <v>1321</v>
      </c>
      <c r="C1493" t="s">
        <v>3607</v>
      </c>
      <c r="D1493" t="s">
        <v>1322</v>
      </c>
      <c r="E1493" t="s">
        <v>1599</v>
      </c>
      <c r="F1493">
        <v>10</v>
      </c>
      <c r="G1493">
        <v>1</v>
      </c>
      <c r="I1493" t="s">
        <v>3238</v>
      </c>
      <c r="J1493" t="s">
        <v>56</v>
      </c>
      <c r="K1493" t="s">
        <v>56</v>
      </c>
      <c r="L1493">
        <v>4</v>
      </c>
      <c r="M1493">
        <v>2</v>
      </c>
      <c r="N1493" t="s">
        <v>2690</v>
      </c>
      <c r="O1493" t="s">
        <v>1457</v>
      </c>
      <c r="P1493" t="s">
        <v>1444</v>
      </c>
      <c r="Q1493" t="s">
        <v>1723</v>
      </c>
      <c r="R1493" t="s">
        <v>1348</v>
      </c>
      <c r="S1493" t="s">
        <v>2697</v>
      </c>
    </row>
    <row r="1494" spans="1:19">
      <c r="A1494" t="s">
        <v>4920</v>
      </c>
      <c r="B1494" t="s">
        <v>1323</v>
      </c>
      <c r="C1494" t="s">
        <v>3607</v>
      </c>
      <c r="D1494" t="s">
        <v>1324</v>
      </c>
      <c r="E1494" t="s">
        <v>2699</v>
      </c>
      <c r="F1494">
        <v>10</v>
      </c>
      <c r="H1494" t="s">
        <v>3700</v>
      </c>
      <c r="I1494" t="s">
        <v>3238</v>
      </c>
      <c r="J1494" t="s">
        <v>56</v>
      </c>
      <c r="K1494" t="s">
        <v>56</v>
      </c>
      <c r="L1494">
        <v>4</v>
      </c>
      <c r="M1494">
        <v>2</v>
      </c>
      <c r="N1494" t="s">
        <v>2690</v>
      </c>
      <c r="O1494" t="s">
        <v>1441</v>
      </c>
      <c r="P1494" t="s">
        <v>1444</v>
      </c>
      <c r="Q1494" t="s">
        <v>1443</v>
      </c>
      <c r="R1494" t="s">
        <v>1348</v>
      </c>
      <c r="S1494" t="s">
        <v>3871</v>
      </c>
    </row>
    <row r="1495" spans="1:19">
      <c r="A1495" t="s">
        <v>4933</v>
      </c>
      <c r="B1495" t="s">
        <v>1335</v>
      </c>
      <c r="C1495" t="s">
        <v>3607</v>
      </c>
      <c r="D1495">
        <v>414</v>
      </c>
      <c r="E1495" t="s">
        <v>1511</v>
      </c>
      <c r="F1495" t="s">
        <v>1511</v>
      </c>
      <c r="I1495" t="s">
        <v>3238</v>
      </c>
      <c r="J1495" t="s">
        <v>56</v>
      </c>
      <c r="K1495" t="s">
        <v>56</v>
      </c>
      <c r="L1495">
        <v>4</v>
      </c>
      <c r="M1495">
        <v>3</v>
      </c>
      <c r="N1495" t="s">
        <v>2717</v>
      </c>
      <c r="O1495" t="s">
        <v>1513</v>
      </c>
      <c r="P1495" t="s">
        <v>1444</v>
      </c>
      <c r="Q1495" t="s">
        <v>1513</v>
      </c>
      <c r="R1495" t="s">
        <v>1319</v>
      </c>
      <c r="S1495" t="s">
        <v>2718</v>
      </c>
    </row>
    <row r="1496" spans="1:19">
      <c r="A1496" t="s">
        <v>4916</v>
      </c>
      <c r="B1496" t="s">
        <v>1354</v>
      </c>
      <c r="C1496" t="s">
        <v>3607</v>
      </c>
      <c r="D1496" t="s">
        <v>1351</v>
      </c>
      <c r="E1496" t="s">
        <v>1554</v>
      </c>
      <c r="F1496">
        <v>4</v>
      </c>
      <c r="I1496" t="s">
        <v>3238</v>
      </c>
      <c r="J1496" t="s">
        <v>56</v>
      </c>
      <c r="K1496" t="s">
        <v>56</v>
      </c>
      <c r="L1496">
        <v>5</v>
      </c>
      <c r="M1496">
        <v>2</v>
      </c>
      <c r="N1496" t="s">
        <v>2692</v>
      </c>
      <c r="O1496" t="s">
        <v>1441</v>
      </c>
      <c r="P1496" t="s">
        <v>1444</v>
      </c>
      <c r="Q1496" t="s">
        <v>1443</v>
      </c>
      <c r="R1496" t="s">
        <v>1352</v>
      </c>
      <c r="S1496" t="s">
        <v>2693</v>
      </c>
    </row>
    <row r="1497" spans="1:19">
      <c r="A1497" t="s">
        <v>4919</v>
      </c>
      <c r="B1497" t="s">
        <v>1326</v>
      </c>
      <c r="C1497" t="s">
        <v>3607</v>
      </c>
      <c r="D1497" t="s">
        <v>1324</v>
      </c>
      <c r="E1497" t="s">
        <v>1450</v>
      </c>
      <c r="F1497">
        <v>3</v>
      </c>
      <c r="I1497" t="s">
        <v>3238</v>
      </c>
      <c r="J1497" t="s">
        <v>56</v>
      </c>
      <c r="K1497" t="s">
        <v>56</v>
      </c>
      <c r="L1497">
        <v>5</v>
      </c>
      <c r="M1497">
        <v>2</v>
      </c>
      <c r="N1497" t="s">
        <v>2692</v>
      </c>
      <c r="O1497" t="s">
        <v>1447</v>
      </c>
      <c r="P1497" t="s">
        <v>1444</v>
      </c>
      <c r="Q1497" t="s">
        <v>1443</v>
      </c>
      <c r="R1497" t="s">
        <v>1321</v>
      </c>
      <c r="S1497" t="s">
        <v>2698</v>
      </c>
    </row>
    <row r="1498" spans="1:19">
      <c r="A1498" t="s">
        <v>4921</v>
      </c>
      <c r="B1498" t="s">
        <v>1340</v>
      </c>
      <c r="C1498" t="s">
        <v>3607</v>
      </c>
      <c r="D1498" t="s">
        <v>1324</v>
      </c>
      <c r="E1498" t="s">
        <v>1511</v>
      </c>
      <c r="F1498" t="s">
        <v>1511</v>
      </c>
      <c r="I1498" t="s">
        <v>3238</v>
      </c>
      <c r="J1498" t="s">
        <v>56</v>
      </c>
      <c r="K1498" t="s">
        <v>56</v>
      </c>
      <c r="L1498">
        <v>5</v>
      </c>
      <c r="M1498">
        <v>2</v>
      </c>
      <c r="N1498" t="s">
        <v>2692</v>
      </c>
      <c r="O1498" t="s">
        <v>1513</v>
      </c>
      <c r="P1498" t="s">
        <v>1705</v>
      </c>
      <c r="Q1498" t="s">
        <v>1513</v>
      </c>
      <c r="R1498" t="s">
        <v>1323</v>
      </c>
      <c r="S1498" t="s">
        <v>2700</v>
      </c>
    </row>
    <row r="1499" spans="1:19">
      <c r="A1499" t="s">
        <v>4922</v>
      </c>
      <c r="B1499" t="s">
        <v>1341</v>
      </c>
      <c r="C1499" t="s">
        <v>3607</v>
      </c>
      <c r="D1499" t="s">
        <v>1342</v>
      </c>
      <c r="E1499" t="s">
        <v>1511</v>
      </c>
      <c r="F1499" t="s">
        <v>1511</v>
      </c>
      <c r="I1499" t="s">
        <v>3238</v>
      </c>
      <c r="J1499" t="s">
        <v>56</v>
      </c>
      <c r="K1499" t="s">
        <v>56</v>
      </c>
      <c r="L1499">
        <v>5</v>
      </c>
      <c r="M1499">
        <v>2</v>
      </c>
      <c r="N1499" t="s">
        <v>2692</v>
      </c>
      <c r="O1499" t="s">
        <v>1513</v>
      </c>
      <c r="P1499" t="s">
        <v>1705</v>
      </c>
      <c r="Q1499" t="s">
        <v>1513</v>
      </c>
      <c r="R1499" t="s">
        <v>1323</v>
      </c>
      <c r="S1499" t="s">
        <v>2701</v>
      </c>
    </row>
    <row r="1500" spans="1:19">
      <c r="A1500" t="s">
        <v>4924</v>
      </c>
      <c r="B1500" t="s">
        <v>1347</v>
      </c>
      <c r="C1500" t="s">
        <v>3607</v>
      </c>
      <c r="D1500" t="s">
        <v>1320</v>
      </c>
      <c r="E1500" t="s">
        <v>1439</v>
      </c>
      <c r="F1500">
        <v>1</v>
      </c>
      <c r="I1500" t="s">
        <v>3238</v>
      </c>
      <c r="J1500" t="s">
        <v>56</v>
      </c>
      <c r="K1500" t="s">
        <v>56</v>
      </c>
      <c r="L1500">
        <v>5</v>
      </c>
      <c r="M1500">
        <v>2</v>
      </c>
      <c r="N1500" t="s">
        <v>2692</v>
      </c>
      <c r="O1500" t="s">
        <v>1447</v>
      </c>
      <c r="P1500" t="s">
        <v>1444</v>
      </c>
      <c r="Q1500" t="s">
        <v>1600</v>
      </c>
      <c r="R1500" t="s">
        <v>1332</v>
      </c>
      <c r="S1500" t="s">
        <v>2702</v>
      </c>
    </row>
    <row r="1501" spans="1:19">
      <c r="A1501" t="s">
        <v>4926</v>
      </c>
      <c r="B1501" t="s">
        <v>1329</v>
      </c>
      <c r="C1501" t="s">
        <v>3607</v>
      </c>
      <c r="D1501">
        <v>412</v>
      </c>
      <c r="E1501" t="s">
        <v>1511</v>
      </c>
      <c r="F1501" t="s">
        <v>1511</v>
      </c>
      <c r="I1501" t="s">
        <v>3238</v>
      </c>
      <c r="J1501" t="s">
        <v>56</v>
      </c>
      <c r="K1501" t="s">
        <v>56</v>
      </c>
      <c r="L1501">
        <v>5</v>
      </c>
      <c r="M1501">
        <v>3</v>
      </c>
      <c r="N1501" t="s">
        <v>2704</v>
      </c>
      <c r="O1501" t="s">
        <v>1513</v>
      </c>
      <c r="P1501" t="s">
        <v>1444</v>
      </c>
      <c r="Q1501" t="s">
        <v>1513</v>
      </c>
      <c r="R1501" t="s">
        <v>2705</v>
      </c>
      <c r="S1501" t="s">
        <v>2706</v>
      </c>
    </row>
    <row r="1502" spans="1:19">
      <c r="A1502" t="s">
        <v>4927</v>
      </c>
      <c r="B1502" t="s">
        <v>1350</v>
      </c>
      <c r="C1502" t="s">
        <v>3607</v>
      </c>
      <c r="D1502" t="s">
        <v>1351</v>
      </c>
      <c r="E1502" t="s">
        <v>1476</v>
      </c>
      <c r="F1502">
        <v>3</v>
      </c>
      <c r="G1502">
        <v>1</v>
      </c>
      <c r="I1502" t="s">
        <v>3238</v>
      </c>
      <c r="J1502" t="s">
        <v>56</v>
      </c>
      <c r="K1502" t="s">
        <v>56</v>
      </c>
      <c r="L1502">
        <v>5</v>
      </c>
      <c r="M1502">
        <v>3</v>
      </c>
      <c r="N1502" t="s">
        <v>2704</v>
      </c>
      <c r="O1502" t="s">
        <v>1441</v>
      </c>
      <c r="P1502" t="s">
        <v>1444</v>
      </c>
      <c r="Q1502" t="s">
        <v>1443</v>
      </c>
      <c r="R1502" t="s">
        <v>2707</v>
      </c>
      <c r="S1502" t="s">
        <v>2708</v>
      </c>
    </row>
    <row r="1503" spans="1:19">
      <c r="A1503" t="s">
        <v>4928</v>
      </c>
      <c r="B1503" t="s">
        <v>1330</v>
      </c>
      <c r="C1503" t="s">
        <v>3607</v>
      </c>
      <c r="D1503" t="s">
        <v>1331</v>
      </c>
      <c r="E1503" t="s">
        <v>1497</v>
      </c>
      <c r="F1503">
        <v>6</v>
      </c>
      <c r="I1503" t="s">
        <v>3238</v>
      </c>
      <c r="J1503" t="s">
        <v>56</v>
      </c>
      <c r="K1503" t="s">
        <v>56</v>
      </c>
      <c r="L1503">
        <v>5</v>
      </c>
      <c r="M1503">
        <v>3</v>
      </c>
      <c r="N1503" t="s">
        <v>2704</v>
      </c>
      <c r="O1503" t="s">
        <v>1457</v>
      </c>
      <c r="P1503" t="s">
        <v>1444</v>
      </c>
      <c r="Q1503" t="s">
        <v>1547</v>
      </c>
      <c r="R1503" t="s">
        <v>1350</v>
      </c>
      <c r="S1503" t="s">
        <v>2709</v>
      </c>
    </row>
    <row r="1504" spans="1:19">
      <c r="A1504" t="s">
        <v>4929</v>
      </c>
      <c r="B1504" t="s">
        <v>1344</v>
      </c>
      <c r="C1504" t="s">
        <v>3607</v>
      </c>
      <c r="D1504" t="s">
        <v>1345</v>
      </c>
      <c r="E1504" t="s">
        <v>1541</v>
      </c>
      <c r="F1504">
        <v>5</v>
      </c>
      <c r="I1504" t="s">
        <v>3238</v>
      </c>
      <c r="J1504" t="s">
        <v>56</v>
      </c>
      <c r="K1504" t="s">
        <v>56</v>
      </c>
      <c r="L1504">
        <v>5</v>
      </c>
      <c r="M1504">
        <v>3</v>
      </c>
      <c r="N1504" t="s">
        <v>2704</v>
      </c>
      <c r="O1504" t="s">
        <v>1447</v>
      </c>
      <c r="P1504" t="s">
        <v>1452</v>
      </c>
      <c r="Q1504" t="s">
        <v>1443</v>
      </c>
      <c r="R1504" t="s">
        <v>2710</v>
      </c>
      <c r="S1504" t="s">
        <v>2711</v>
      </c>
    </row>
    <row r="1505" spans="1:19">
      <c r="A1505" t="s">
        <v>4930</v>
      </c>
      <c r="B1505" t="s">
        <v>1337</v>
      </c>
      <c r="C1505" t="s">
        <v>3607</v>
      </c>
      <c r="D1505">
        <v>413</v>
      </c>
      <c r="E1505" t="s">
        <v>1511</v>
      </c>
      <c r="F1505" t="s">
        <v>1511</v>
      </c>
      <c r="I1505" t="s">
        <v>3238</v>
      </c>
      <c r="J1505" t="s">
        <v>56</v>
      </c>
      <c r="K1505" t="s">
        <v>56</v>
      </c>
      <c r="L1505">
        <v>5</v>
      </c>
      <c r="M1505">
        <v>3</v>
      </c>
      <c r="N1505" t="s">
        <v>2704</v>
      </c>
      <c r="O1505" t="s">
        <v>1513</v>
      </c>
      <c r="P1505" t="s">
        <v>1444</v>
      </c>
      <c r="Q1505" t="s">
        <v>1513</v>
      </c>
      <c r="R1505" t="s">
        <v>2712</v>
      </c>
      <c r="S1505" t="s">
        <v>2713</v>
      </c>
    </row>
    <row r="1506" spans="1:19">
      <c r="A1506" t="s">
        <v>4931</v>
      </c>
      <c r="B1506" t="s">
        <v>1346</v>
      </c>
      <c r="C1506" t="s">
        <v>3607</v>
      </c>
      <c r="D1506" t="s">
        <v>1342</v>
      </c>
      <c r="E1506" t="s">
        <v>1467</v>
      </c>
      <c r="F1506">
        <v>5</v>
      </c>
      <c r="G1506">
        <v>1</v>
      </c>
      <c r="I1506" t="s">
        <v>3238</v>
      </c>
      <c r="J1506" t="s">
        <v>56</v>
      </c>
      <c r="K1506" t="s">
        <v>56</v>
      </c>
      <c r="L1506">
        <v>5</v>
      </c>
      <c r="M1506">
        <v>3</v>
      </c>
      <c r="N1506" t="s">
        <v>2704</v>
      </c>
      <c r="O1506" t="s">
        <v>1447</v>
      </c>
      <c r="P1506" t="s">
        <v>1444</v>
      </c>
      <c r="Q1506" t="s">
        <v>1547</v>
      </c>
      <c r="R1506" t="s">
        <v>2714</v>
      </c>
      <c r="S1506" t="s">
        <v>2715</v>
      </c>
    </row>
    <row r="1507" spans="1:19">
      <c r="A1507" t="s">
        <v>4932</v>
      </c>
      <c r="B1507" t="s">
        <v>1343</v>
      </c>
      <c r="C1507" t="s">
        <v>3607</v>
      </c>
      <c r="D1507">
        <v>414</v>
      </c>
      <c r="E1507" t="s">
        <v>1450</v>
      </c>
      <c r="F1507">
        <v>3</v>
      </c>
      <c r="I1507" t="s">
        <v>3238</v>
      </c>
      <c r="J1507" t="s">
        <v>56</v>
      </c>
      <c r="K1507" t="s">
        <v>56</v>
      </c>
      <c r="L1507">
        <v>5</v>
      </c>
      <c r="M1507">
        <v>3</v>
      </c>
      <c r="N1507" t="s">
        <v>2704</v>
      </c>
      <c r="O1507" t="s">
        <v>1447</v>
      </c>
      <c r="P1507" t="s">
        <v>1444</v>
      </c>
      <c r="Q1507" t="s">
        <v>1600</v>
      </c>
      <c r="R1507" t="s">
        <v>1347</v>
      </c>
      <c r="S1507" t="s">
        <v>2716</v>
      </c>
    </row>
    <row r="1508" spans="1:19">
      <c r="A1508" t="s">
        <v>4934</v>
      </c>
      <c r="B1508" t="s">
        <v>1325</v>
      </c>
      <c r="C1508" t="s">
        <v>3607</v>
      </c>
      <c r="D1508">
        <v>414</v>
      </c>
      <c r="E1508" t="s">
        <v>1511</v>
      </c>
      <c r="F1508" t="s">
        <v>1511</v>
      </c>
      <c r="I1508" t="s">
        <v>3238</v>
      </c>
      <c r="J1508" t="s">
        <v>56</v>
      </c>
      <c r="K1508" t="s">
        <v>56</v>
      </c>
      <c r="L1508">
        <v>5</v>
      </c>
      <c r="M1508">
        <v>3</v>
      </c>
      <c r="N1508" t="s">
        <v>2704</v>
      </c>
      <c r="O1508" t="s">
        <v>1513</v>
      </c>
      <c r="P1508" t="s">
        <v>1444</v>
      </c>
      <c r="Q1508" t="s">
        <v>1513</v>
      </c>
      <c r="R1508" t="s">
        <v>1335</v>
      </c>
      <c r="S1508" t="s">
        <v>2719</v>
      </c>
    </row>
    <row r="1509" spans="1:19">
      <c r="A1509" t="s">
        <v>4935</v>
      </c>
      <c r="B1509" t="s">
        <v>1327</v>
      </c>
      <c r="C1509" t="s">
        <v>3607</v>
      </c>
      <c r="D1509" t="s">
        <v>1328</v>
      </c>
      <c r="E1509" t="s">
        <v>2090</v>
      </c>
      <c r="F1509">
        <v>15</v>
      </c>
      <c r="G1509">
        <v>1</v>
      </c>
      <c r="I1509" t="s">
        <v>3238</v>
      </c>
      <c r="J1509" t="s">
        <v>56</v>
      </c>
      <c r="K1509" t="s">
        <v>56</v>
      </c>
      <c r="L1509">
        <v>5</v>
      </c>
      <c r="M1509">
        <v>3</v>
      </c>
      <c r="N1509" t="s">
        <v>2704</v>
      </c>
      <c r="O1509" t="s">
        <v>1447</v>
      </c>
      <c r="P1509" t="s">
        <v>1444</v>
      </c>
      <c r="Q1509" t="s">
        <v>1547</v>
      </c>
      <c r="R1509" t="s">
        <v>2720</v>
      </c>
      <c r="S1509" t="s">
        <v>3872</v>
      </c>
    </row>
    <row r="1510" spans="1:19">
      <c r="A1510" t="s">
        <v>4937</v>
      </c>
      <c r="B1510" t="s">
        <v>3876</v>
      </c>
      <c r="C1510" t="s">
        <v>3602</v>
      </c>
      <c r="D1510">
        <v>34</v>
      </c>
      <c r="E1510" t="s">
        <v>1497</v>
      </c>
      <c r="F1510">
        <v>6</v>
      </c>
      <c r="I1510" t="s">
        <v>3238</v>
      </c>
      <c r="J1510" t="s">
        <v>56</v>
      </c>
      <c r="K1510" t="s">
        <v>56</v>
      </c>
      <c r="L1510">
        <v>5</v>
      </c>
      <c r="M1510">
        <v>3</v>
      </c>
      <c r="N1510" t="s">
        <v>2704</v>
      </c>
      <c r="O1510" t="s">
        <v>1457</v>
      </c>
      <c r="P1510" t="s">
        <v>1444</v>
      </c>
      <c r="Q1510" t="s">
        <v>1547</v>
      </c>
      <c r="R1510" t="s">
        <v>3877</v>
      </c>
      <c r="S1510" t="s">
        <v>3878</v>
      </c>
    </row>
    <row r="1511" spans="1:19">
      <c r="A1511" t="s">
        <v>4938</v>
      </c>
      <c r="B1511" t="s">
        <v>3879</v>
      </c>
      <c r="C1511" t="s">
        <v>3602</v>
      </c>
      <c r="D1511">
        <v>35</v>
      </c>
      <c r="E1511" t="s">
        <v>2039</v>
      </c>
      <c r="F1511">
        <v>8</v>
      </c>
      <c r="G1511">
        <v>1</v>
      </c>
      <c r="I1511" t="s">
        <v>3238</v>
      </c>
      <c r="J1511" t="s">
        <v>56</v>
      </c>
      <c r="K1511" t="s">
        <v>56</v>
      </c>
      <c r="L1511">
        <v>5</v>
      </c>
      <c r="M1511">
        <v>3</v>
      </c>
      <c r="N1511" t="s">
        <v>2704</v>
      </c>
      <c r="O1511" t="s">
        <v>1457</v>
      </c>
      <c r="P1511" t="s">
        <v>1444</v>
      </c>
      <c r="Q1511" t="s">
        <v>1473</v>
      </c>
      <c r="R1511" t="s">
        <v>1344</v>
      </c>
      <c r="S1511" t="s">
        <v>3880</v>
      </c>
    </row>
    <row r="1512" spans="1:19">
      <c r="A1512" t="s">
        <v>4939</v>
      </c>
      <c r="B1512" t="s">
        <v>3881</v>
      </c>
      <c r="C1512" t="s">
        <v>3602</v>
      </c>
      <c r="D1512">
        <v>35</v>
      </c>
      <c r="E1512" t="s">
        <v>3882</v>
      </c>
      <c r="F1512">
        <v>7</v>
      </c>
      <c r="G1512">
        <v>1</v>
      </c>
      <c r="H1512" t="s">
        <v>3603</v>
      </c>
      <c r="I1512" t="s">
        <v>3238</v>
      </c>
      <c r="J1512" t="s">
        <v>56</v>
      </c>
      <c r="K1512" t="s">
        <v>56</v>
      </c>
      <c r="L1512">
        <v>5</v>
      </c>
      <c r="M1512">
        <v>4</v>
      </c>
      <c r="N1512" t="s">
        <v>3883</v>
      </c>
      <c r="O1512" t="s">
        <v>1447</v>
      </c>
      <c r="P1512" t="s">
        <v>1444</v>
      </c>
      <c r="Q1512" t="s">
        <v>1473</v>
      </c>
      <c r="R1512" t="s">
        <v>1327</v>
      </c>
      <c r="S1512" t="s">
        <v>3884</v>
      </c>
    </row>
    <row r="1513" spans="1:19">
      <c r="A1513" t="s">
        <v>4940</v>
      </c>
      <c r="B1513" t="s">
        <v>3885</v>
      </c>
      <c r="C1513" t="s">
        <v>3602</v>
      </c>
      <c r="D1513">
        <v>36</v>
      </c>
      <c r="E1513" t="s">
        <v>3687</v>
      </c>
      <c r="F1513" t="s">
        <v>3687</v>
      </c>
      <c r="I1513" t="s">
        <v>3238</v>
      </c>
      <c r="J1513" t="s">
        <v>56</v>
      </c>
      <c r="K1513" t="s">
        <v>56</v>
      </c>
      <c r="L1513">
        <v>5</v>
      </c>
      <c r="M1513">
        <v>5</v>
      </c>
      <c r="N1513" t="s">
        <v>3886</v>
      </c>
      <c r="O1513" t="s">
        <v>1447</v>
      </c>
      <c r="P1513" t="s">
        <v>1444</v>
      </c>
      <c r="Q1513" t="s">
        <v>1443</v>
      </c>
      <c r="R1513" t="s">
        <v>3881</v>
      </c>
      <c r="S1513" t="s">
        <v>3887</v>
      </c>
    </row>
    <row r="1514" spans="1:19">
      <c r="A1514" t="s">
        <v>7197</v>
      </c>
      <c r="B1514" t="s">
        <v>6305</v>
      </c>
      <c r="C1514" t="s">
        <v>3968</v>
      </c>
      <c r="D1514">
        <v>270</v>
      </c>
      <c r="E1514" t="s">
        <v>1460</v>
      </c>
      <c r="F1514">
        <v>2</v>
      </c>
      <c r="I1514" t="s">
        <v>3560</v>
      </c>
      <c r="J1514" t="s">
        <v>56</v>
      </c>
      <c r="K1514" t="s">
        <v>56</v>
      </c>
      <c r="L1514">
        <v>1</v>
      </c>
      <c r="M1514">
        <v>1</v>
      </c>
      <c r="N1514" t="s">
        <v>2683</v>
      </c>
      <c r="O1514" t="s">
        <v>1441</v>
      </c>
      <c r="P1514" t="s">
        <v>5713</v>
      </c>
      <c r="Q1514" t="s">
        <v>1443</v>
      </c>
      <c r="R1514" t="s">
        <v>1444</v>
      </c>
      <c r="S1514" t="s">
        <v>6306</v>
      </c>
    </row>
    <row r="1515" spans="1:19">
      <c r="A1515" t="s">
        <v>7198</v>
      </c>
      <c r="B1515" t="s">
        <v>6307</v>
      </c>
      <c r="C1515" t="s">
        <v>3968</v>
      </c>
      <c r="D1515">
        <v>270</v>
      </c>
      <c r="E1515" t="s">
        <v>1460</v>
      </c>
      <c r="F1515">
        <v>2</v>
      </c>
      <c r="I1515" t="s">
        <v>3560</v>
      </c>
      <c r="J1515" t="s">
        <v>56</v>
      </c>
      <c r="K1515" t="s">
        <v>56</v>
      </c>
      <c r="L1515">
        <v>2</v>
      </c>
      <c r="M1515">
        <v>1</v>
      </c>
      <c r="N1515" t="s">
        <v>2688</v>
      </c>
      <c r="O1515" t="s">
        <v>1441</v>
      </c>
      <c r="P1515" t="s">
        <v>5717</v>
      </c>
      <c r="Q1515" t="s">
        <v>1443</v>
      </c>
      <c r="R1515" t="s">
        <v>1444</v>
      </c>
      <c r="S1515" t="s">
        <v>6308</v>
      </c>
    </row>
    <row r="1516" spans="1:19">
      <c r="A1516" t="s">
        <v>7200</v>
      </c>
      <c r="B1516" t="s">
        <v>6312</v>
      </c>
      <c r="C1516" t="s">
        <v>3968</v>
      </c>
      <c r="D1516">
        <v>271</v>
      </c>
      <c r="E1516" t="s">
        <v>1450</v>
      </c>
      <c r="F1516">
        <v>3</v>
      </c>
      <c r="I1516" t="s">
        <v>3560</v>
      </c>
      <c r="J1516" t="s">
        <v>56</v>
      </c>
      <c r="K1516" t="s">
        <v>56</v>
      </c>
      <c r="L1516">
        <v>2</v>
      </c>
      <c r="M1516">
        <v>1</v>
      </c>
      <c r="N1516" t="s">
        <v>2688</v>
      </c>
      <c r="O1516" t="s">
        <v>1457</v>
      </c>
      <c r="P1516" t="s">
        <v>5002</v>
      </c>
      <c r="Q1516" t="s">
        <v>1443</v>
      </c>
      <c r="R1516" t="s">
        <v>1444</v>
      </c>
      <c r="S1516" t="s">
        <v>6313</v>
      </c>
    </row>
    <row r="1517" spans="1:19">
      <c r="A1517" t="s">
        <v>7199</v>
      </c>
      <c r="B1517" t="s">
        <v>6309</v>
      </c>
      <c r="C1517" t="s">
        <v>3968</v>
      </c>
      <c r="D1517">
        <v>271</v>
      </c>
      <c r="E1517" t="s">
        <v>1541</v>
      </c>
      <c r="F1517">
        <v>5</v>
      </c>
      <c r="I1517" t="s">
        <v>3560</v>
      </c>
      <c r="J1517" t="s">
        <v>56</v>
      </c>
      <c r="K1517" t="s">
        <v>56</v>
      </c>
      <c r="L1517">
        <v>3</v>
      </c>
      <c r="M1517">
        <v>1</v>
      </c>
      <c r="N1517" t="s">
        <v>2685</v>
      </c>
      <c r="O1517" t="s">
        <v>1441</v>
      </c>
      <c r="P1517" t="s">
        <v>6310</v>
      </c>
      <c r="Q1517" t="s">
        <v>1443</v>
      </c>
      <c r="R1517" t="s">
        <v>6307</v>
      </c>
      <c r="S1517" t="s">
        <v>6311</v>
      </c>
    </row>
    <row r="1518" spans="1:19">
      <c r="A1518" t="s">
        <v>7201</v>
      </c>
      <c r="B1518" t="s">
        <v>6314</v>
      </c>
      <c r="C1518" t="s">
        <v>3968</v>
      </c>
      <c r="D1518">
        <v>252</v>
      </c>
      <c r="E1518" t="s">
        <v>1450</v>
      </c>
      <c r="F1518">
        <v>3</v>
      </c>
      <c r="I1518" t="s">
        <v>3560</v>
      </c>
      <c r="J1518" t="s">
        <v>56</v>
      </c>
      <c r="K1518" t="s">
        <v>56</v>
      </c>
      <c r="L1518">
        <v>3</v>
      </c>
      <c r="M1518">
        <v>1</v>
      </c>
      <c r="N1518" t="s">
        <v>2685</v>
      </c>
      <c r="O1518" t="s">
        <v>1441</v>
      </c>
      <c r="P1518" t="s">
        <v>5717</v>
      </c>
      <c r="Q1518" t="s">
        <v>1443</v>
      </c>
      <c r="R1518" t="s">
        <v>1444</v>
      </c>
      <c r="S1518" t="s">
        <v>6315</v>
      </c>
    </row>
    <row r="1519" spans="1:19">
      <c r="A1519" t="s">
        <v>7203</v>
      </c>
      <c r="B1519" t="s">
        <v>6318</v>
      </c>
      <c r="C1519" t="s">
        <v>3968</v>
      </c>
      <c r="D1519">
        <v>271</v>
      </c>
      <c r="E1519" t="s">
        <v>1554</v>
      </c>
      <c r="F1519">
        <v>4</v>
      </c>
      <c r="I1519" t="s">
        <v>3560</v>
      </c>
      <c r="J1519" t="s">
        <v>56</v>
      </c>
      <c r="K1519" t="s">
        <v>56</v>
      </c>
      <c r="L1519">
        <v>3</v>
      </c>
      <c r="M1519">
        <v>1</v>
      </c>
      <c r="N1519" t="s">
        <v>2685</v>
      </c>
      <c r="O1519" t="s">
        <v>1441</v>
      </c>
      <c r="P1519" t="s">
        <v>5717</v>
      </c>
      <c r="Q1519" t="s">
        <v>1443</v>
      </c>
      <c r="R1519" t="s">
        <v>6314</v>
      </c>
      <c r="S1519" t="s">
        <v>6319</v>
      </c>
    </row>
    <row r="1520" spans="1:19">
      <c r="A1520" t="s">
        <v>7204</v>
      </c>
      <c r="B1520" t="s">
        <v>6320</v>
      </c>
      <c r="C1520" t="s">
        <v>3968</v>
      </c>
      <c r="D1520">
        <v>271</v>
      </c>
      <c r="E1520" t="s">
        <v>1476</v>
      </c>
      <c r="F1520">
        <v>3</v>
      </c>
      <c r="G1520">
        <v>1</v>
      </c>
      <c r="I1520" t="s">
        <v>3560</v>
      </c>
      <c r="J1520" t="s">
        <v>56</v>
      </c>
      <c r="K1520" t="s">
        <v>56</v>
      </c>
      <c r="L1520">
        <v>3</v>
      </c>
      <c r="M1520">
        <v>2</v>
      </c>
      <c r="N1520" t="s">
        <v>2695</v>
      </c>
      <c r="O1520" t="s">
        <v>1457</v>
      </c>
      <c r="P1520" t="s">
        <v>5002</v>
      </c>
      <c r="Q1520" t="s">
        <v>1804</v>
      </c>
      <c r="R1520" t="s">
        <v>1444</v>
      </c>
      <c r="S1520" t="s">
        <v>6321</v>
      </c>
    </row>
    <row r="1521" spans="1:19">
      <c r="A1521" t="s">
        <v>7205</v>
      </c>
      <c r="B1521" t="s">
        <v>6322</v>
      </c>
      <c r="C1521" t="s">
        <v>3968</v>
      </c>
      <c r="D1521">
        <v>272</v>
      </c>
      <c r="E1521" t="s">
        <v>1554</v>
      </c>
      <c r="F1521">
        <v>4</v>
      </c>
      <c r="I1521" t="s">
        <v>3560</v>
      </c>
      <c r="J1521" t="s">
        <v>56</v>
      </c>
      <c r="K1521" t="s">
        <v>56</v>
      </c>
      <c r="L1521">
        <v>3</v>
      </c>
      <c r="M1521">
        <v>2</v>
      </c>
      <c r="N1521" t="s">
        <v>2695</v>
      </c>
      <c r="O1521" t="s">
        <v>1441</v>
      </c>
      <c r="P1521" t="s">
        <v>5002</v>
      </c>
      <c r="Q1521" t="s">
        <v>1443</v>
      </c>
      <c r="R1521" t="s">
        <v>6307</v>
      </c>
      <c r="S1521" t="s">
        <v>6323</v>
      </c>
    </row>
    <row r="1522" spans="1:19">
      <c r="A1522" t="s">
        <v>7202</v>
      </c>
      <c r="B1522" t="s">
        <v>6316</v>
      </c>
      <c r="C1522" t="s">
        <v>3968</v>
      </c>
      <c r="D1522">
        <v>271</v>
      </c>
      <c r="E1522" t="s">
        <v>2039</v>
      </c>
      <c r="F1522">
        <v>8</v>
      </c>
      <c r="G1522">
        <v>1</v>
      </c>
      <c r="I1522" t="s">
        <v>3560</v>
      </c>
      <c r="J1522" t="s">
        <v>56</v>
      </c>
      <c r="K1522" t="s">
        <v>56</v>
      </c>
      <c r="L1522">
        <v>4</v>
      </c>
      <c r="M1522">
        <v>2</v>
      </c>
      <c r="N1522" t="s">
        <v>2690</v>
      </c>
      <c r="O1522" t="s">
        <v>1457</v>
      </c>
      <c r="P1522" t="s">
        <v>5002</v>
      </c>
      <c r="Q1522" t="s">
        <v>1723</v>
      </c>
      <c r="R1522" t="s">
        <v>6314</v>
      </c>
      <c r="S1522" t="s">
        <v>6317</v>
      </c>
    </row>
    <row r="1523" spans="1:19">
      <c r="A1523" t="s">
        <v>7206</v>
      </c>
      <c r="B1523" t="s">
        <v>6324</v>
      </c>
      <c r="C1523" t="s">
        <v>3968</v>
      </c>
      <c r="D1523">
        <v>272</v>
      </c>
      <c r="E1523" t="s">
        <v>1541</v>
      </c>
      <c r="F1523">
        <v>5</v>
      </c>
      <c r="I1523" t="s">
        <v>3560</v>
      </c>
      <c r="J1523" t="s">
        <v>56</v>
      </c>
      <c r="K1523" t="s">
        <v>56</v>
      </c>
      <c r="L1523">
        <v>4</v>
      </c>
      <c r="M1523">
        <v>2</v>
      </c>
      <c r="N1523" t="s">
        <v>2690</v>
      </c>
      <c r="O1523" t="s">
        <v>1441</v>
      </c>
      <c r="P1523" t="s">
        <v>5507</v>
      </c>
      <c r="Q1523" t="s">
        <v>1443</v>
      </c>
      <c r="R1523" t="s">
        <v>6309</v>
      </c>
      <c r="S1523" t="s">
        <v>6325</v>
      </c>
    </row>
    <row r="1524" spans="1:19">
      <c r="A1524" t="s">
        <v>7212</v>
      </c>
      <c r="B1524" t="s">
        <v>6336</v>
      </c>
      <c r="C1524" t="s">
        <v>3968</v>
      </c>
      <c r="D1524">
        <v>273</v>
      </c>
      <c r="E1524" t="s">
        <v>6337</v>
      </c>
      <c r="I1524" t="s">
        <v>3560</v>
      </c>
      <c r="J1524" t="s">
        <v>56</v>
      </c>
      <c r="K1524" t="s">
        <v>56</v>
      </c>
      <c r="L1524">
        <v>4</v>
      </c>
      <c r="M1524">
        <v>3</v>
      </c>
      <c r="N1524" t="s">
        <v>2717</v>
      </c>
      <c r="O1524" t="s">
        <v>1513</v>
      </c>
      <c r="P1524" t="s">
        <v>5002</v>
      </c>
      <c r="Q1524" t="s">
        <v>1513</v>
      </c>
      <c r="R1524" t="s">
        <v>6320</v>
      </c>
      <c r="S1524" t="s">
        <v>6338</v>
      </c>
    </row>
    <row r="1525" spans="1:19">
      <c r="A1525" t="s">
        <v>7214</v>
      </c>
      <c r="B1525" t="s">
        <v>6341</v>
      </c>
      <c r="C1525" t="s">
        <v>3968</v>
      </c>
      <c r="D1525">
        <v>274</v>
      </c>
      <c r="E1525" t="s">
        <v>1439</v>
      </c>
      <c r="F1525">
        <v>1</v>
      </c>
      <c r="I1525" t="s">
        <v>3560</v>
      </c>
      <c r="J1525" t="s">
        <v>56</v>
      </c>
      <c r="K1525" t="s">
        <v>56</v>
      </c>
      <c r="L1525">
        <v>4</v>
      </c>
      <c r="M1525">
        <v>3</v>
      </c>
      <c r="N1525" t="s">
        <v>2717</v>
      </c>
      <c r="O1525" t="s">
        <v>1447</v>
      </c>
      <c r="P1525" t="s">
        <v>5507</v>
      </c>
      <c r="Q1525" t="s">
        <v>1443</v>
      </c>
      <c r="R1525" t="s">
        <v>6324</v>
      </c>
      <c r="S1525" t="s">
        <v>6342</v>
      </c>
    </row>
    <row r="1526" spans="1:19">
      <c r="A1526" t="s">
        <v>7216</v>
      </c>
      <c r="B1526" t="s">
        <v>6349</v>
      </c>
      <c r="C1526" t="s">
        <v>3968</v>
      </c>
      <c r="D1526">
        <v>274</v>
      </c>
      <c r="E1526" t="s">
        <v>1543</v>
      </c>
      <c r="F1526">
        <v>7</v>
      </c>
      <c r="G1526">
        <v>1</v>
      </c>
      <c r="I1526" t="s">
        <v>3560</v>
      </c>
      <c r="J1526" t="s">
        <v>56</v>
      </c>
      <c r="K1526" t="s">
        <v>56</v>
      </c>
      <c r="L1526">
        <v>4</v>
      </c>
      <c r="M1526">
        <v>3</v>
      </c>
      <c r="N1526" t="s">
        <v>2717</v>
      </c>
      <c r="O1526" t="s">
        <v>1447</v>
      </c>
      <c r="P1526" t="s">
        <v>1620</v>
      </c>
      <c r="Q1526" t="s">
        <v>1443</v>
      </c>
      <c r="R1526" t="s">
        <v>6320</v>
      </c>
      <c r="S1526" t="s">
        <v>6350</v>
      </c>
    </row>
    <row r="1527" spans="1:19">
      <c r="A1527" t="s">
        <v>7207</v>
      </c>
      <c r="B1527" t="s">
        <v>6326</v>
      </c>
      <c r="C1527" t="s">
        <v>3968</v>
      </c>
      <c r="D1527">
        <v>272</v>
      </c>
      <c r="E1527" t="s">
        <v>1924</v>
      </c>
      <c r="F1527">
        <v>2</v>
      </c>
      <c r="G1527">
        <v>1</v>
      </c>
      <c r="I1527" t="s">
        <v>3560</v>
      </c>
      <c r="J1527" t="s">
        <v>56</v>
      </c>
      <c r="K1527" t="s">
        <v>56</v>
      </c>
      <c r="L1527">
        <v>5</v>
      </c>
      <c r="M1527">
        <v>3</v>
      </c>
      <c r="N1527" t="s">
        <v>2704</v>
      </c>
      <c r="O1527" t="s">
        <v>1447</v>
      </c>
      <c r="P1527" t="s">
        <v>5676</v>
      </c>
      <c r="Q1527" t="s">
        <v>1600</v>
      </c>
      <c r="R1527" t="s">
        <v>6316</v>
      </c>
      <c r="S1527" t="s">
        <v>6327</v>
      </c>
    </row>
    <row r="1528" spans="1:19">
      <c r="A1528" t="s">
        <v>7208</v>
      </c>
      <c r="B1528" t="s">
        <v>6328</v>
      </c>
      <c r="C1528" t="s">
        <v>3968</v>
      </c>
      <c r="D1528">
        <v>272</v>
      </c>
      <c r="E1528" t="s">
        <v>1599</v>
      </c>
      <c r="F1528">
        <v>10</v>
      </c>
      <c r="G1528">
        <v>1</v>
      </c>
      <c r="I1528" t="s">
        <v>3560</v>
      </c>
      <c r="J1528" t="s">
        <v>56</v>
      </c>
      <c r="K1528" t="s">
        <v>56</v>
      </c>
      <c r="L1528">
        <v>5</v>
      </c>
      <c r="M1528">
        <v>3</v>
      </c>
      <c r="N1528" t="s">
        <v>2704</v>
      </c>
      <c r="O1528" t="s">
        <v>1457</v>
      </c>
      <c r="P1528" t="s">
        <v>5287</v>
      </c>
      <c r="Q1528" t="s">
        <v>1443</v>
      </c>
      <c r="R1528" t="s">
        <v>1444</v>
      </c>
      <c r="S1528" t="s">
        <v>6329</v>
      </c>
    </row>
    <row r="1529" spans="1:19">
      <c r="A1529" t="s">
        <v>7209</v>
      </c>
      <c r="B1529" t="s">
        <v>6330</v>
      </c>
      <c r="C1529" t="s">
        <v>3968</v>
      </c>
      <c r="D1529">
        <v>272</v>
      </c>
      <c r="E1529" t="s">
        <v>1599</v>
      </c>
      <c r="F1529">
        <v>10</v>
      </c>
      <c r="G1529">
        <v>1</v>
      </c>
      <c r="I1529" t="s">
        <v>3560</v>
      </c>
      <c r="J1529" t="s">
        <v>56</v>
      </c>
      <c r="K1529" t="s">
        <v>56</v>
      </c>
      <c r="L1529">
        <v>5</v>
      </c>
      <c r="M1529">
        <v>3</v>
      </c>
      <c r="N1529" t="s">
        <v>2704</v>
      </c>
      <c r="O1529" t="s">
        <v>1457</v>
      </c>
      <c r="P1529" t="s">
        <v>5290</v>
      </c>
      <c r="Q1529" t="s">
        <v>1443</v>
      </c>
      <c r="R1529" t="s">
        <v>1444</v>
      </c>
      <c r="S1529" t="s">
        <v>6331</v>
      </c>
    </row>
    <row r="1530" spans="1:19">
      <c r="A1530" t="s">
        <v>7210</v>
      </c>
      <c r="B1530" t="s">
        <v>6332</v>
      </c>
      <c r="C1530" t="s">
        <v>3968</v>
      </c>
      <c r="D1530">
        <v>273</v>
      </c>
      <c r="E1530" t="s">
        <v>1467</v>
      </c>
      <c r="F1530">
        <v>5</v>
      </c>
      <c r="G1530">
        <v>1</v>
      </c>
      <c r="I1530" t="s">
        <v>3560</v>
      </c>
      <c r="J1530" t="s">
        <v>56</v>
      </c>
      <c r="K1530" t="s">
        <v>56</v>
      </c>
      <c r="L1530">
        <v>5</v>
      </c>
      <c r="M1530">
        <v>3</v>
      </c>
      <c r="N1530" t="s">
        <v>2704</v>
      </c>
      <c r="O1530" t="s">
        <v>1457</v>
      </c>
      <c r="P1530" t="s">
        <v>5115</v>
      </c>
      <c r="Q1530" t="s">
        <v>1534</v>
      </c>
      <c r="R1530" t="s">
        <v>1444</v>
      </c>
      <c r="S1530" t="s">
        <v>6333</v>
      </c>
    </row>
    <row r="1531" spans="1:19">
      <c r="A1531" t="s">
        <v>7211</v>
      </c>
      <c r="B1531" t="s">
        <v>6334</v>
      </c>
      <c r="C1531" t="s">
        <v>3968</v>
      </c>
      <c r="D1531">
        <v>273</v>
      </c>
      <c r="E1531" t="s">
        <v>1599</v>
      </c>
      <c r="F1531">
        <v>10</v>
      </c>
      <c r="G1531">
        <v>1</v>
      </c>
      <c r="I1531" t="s">
        <v>3560</v>
      </c>
      <c r="J1531" t="s">
        <v>56</v>
      </c>
      <c r="K1531" t="s">
        <v>56</v>
      </c>
      <c r="L1531">
        <v>5</v>
      </c>
      <c r="M1531">
        <v>3</v>
      </c>
      <c r="N1531" t="s">
        <v>2704</v>
      </c>
      <c r="O1531" t="s">
        <v>1457</v>
      </c>
      <c r="P1531" t="s">
        <v>5112</v>
      </c>
      <c r="Q1531" t="s">
        <v>1443</v>
      </c>
      <c r="R1531" t="s">
        <v>1444</v>
      </c>
      <c r="S1531" t="s">
        <v>6335</v>
      </c>
    </row>
    <row r="1532" spans="1:19">
      <c r="A1532" t="s">
        <v>7213</v>
      </c>
      <c r="B1532" t="s">
        <v>6339</v>
      </c>
      <c r="C1532" t="s">
        <v>3968</v>
      </c>
      <c r="D1532">
        <v>273</v>
      </c>
      <c r="E1532" t="s">
        <v>1599</v>
      </c>
      <c r="F1532">
        <v>10</v>
      </c>
      <c r="G1532">
        <v>1</v>
      </c>
      <c r="I1532" t="s">
        <v>3560</v>
      </c>
      <c r="J1532" t="s">
        <v>56</v>
      </c>
      <c r="K1532" t="s">
        <v>56</v>
      </c>
      <c r="L1532">
        <v>5</v>
      </c>
      <c r="M1532">
        <v>3</v>
      </c>
      <c r="N1532" t="s">
        <v>2704</v>
      </c>
      <c r="O1532" t="s">
        <v>1457</v>
      </c>
      <c r="P1532" t="s">
        <v>1444</v>
      </c>
      <c r="Q1532" t="s">
        <v>5480</v>
      </c>
      <c r="R1532" t="s">
        <v>6336</v>
      </c>
      <c r="S1532" t="s">
        <v>6340</v>
      </c>
    </row>
    <row r="1533" spans="1:19">
      <c r="A1533" t="s">
        <v>7215</v>
      </c>
      <c r="B1533" t="s">
        <v>6343</v>
      </c>
      <c r="C1533" t="s">
        <v>3968</v>
      </c>
      <c r="D1533">
        <v>274</v>
      </c>
      <c r="E1533" t="s">
        <v>6344</v>
      </c>
      <c r="F1533">
        <v>3</v>
      </c>
      <c r="H1533" t="s">
        <v>6345</v>
      </c>
      <c r="I1533" t="s">
        <v>3560</v>
      </c>
      <c r="J1533" t="s">
        <v>56</v>
      </c>
      <c r="K1533" t="s">
        <v>56</v>
      </c>
      <c r="L1533">
        <v>5</v>
      </c>
      <c r="M1533">
        <v>3</v>
      </c>
      <c r="N1533" t="s">
        <v>6346</v>
      </c>
      <c r="O1533" t="s">
        <v>1447</v>
      </c>
      <c r="P1533" t="s">
        <v>6347</v>
      </c>
      <c r="Q1533" t="s">
        <v>1443</v>
      </c>
      <c r="R1533" t="s">
        <v>6316</v>
      </c>
      <c r="S1533" t="s">
        <v>6348</v>
      </c>
    </row>
    <row r="1534" spans="1:19">
      <c r="A1534" t="s">
        <v>7217</v>
      </c>
      <c r="B1534" t="s">
        <v>6351</v>
      </c>
      <c r="C1534" t="s">
        <v>3968</v>
      </c>
      <c r="D1534">
        <v>274</v>
      </c>
      <c r="E1534" t="s">
        <v>2090</v>
      </c>
      <c r="F1534">
        <v>15</v>
      </c>
      <c r="G1534">
        <v>1</v>
      </c>
      <c r="I1534" t="s">
        <v>3560</v>
      </c>
      <c r="J1534" t="s">
        <v>56</v>
      </c>
      <c r="K1534" t="s">
        <v>56</v>
      </c>
      <c r="L1534">
        <v>5</v>
      </c>
      <c r="M1534">
        <v>4</v>
      </c>
      <c r="N1534" t="s">
        <v>3883</v>
      </c>
      <c r="O1534" t="s">
        <v>1457</v>
      </c>
      <c r="P1534" t="s">
        <v>6352</v>
      </c>
      <c r="Q1534" t="s">
        <v>1443</v>
      </c>
      <c r="R1534" t="s">
        <v>6353</v>
      </c>
      <c r="S1534" t="s">
        <v>6354</v>
      </c>
    </row>
    <row r="1535" spans="1:19">
      <c r="A1535" t="s">
        <v>4941</v>
      </c>
      <c r="B1535" t="s">
        <v>1357</v>
      </c>
      <c r="C1535" t="s">
        <v>3607</v>
      </c>
      <c r="D1535" t="s">
        <v>1356</v>
      </c>
      <c r="E1535" t="s">
        <v>1439</v>
      </c>
      <c r="F1535">
        <v>1</v>
      </c>
      <c r="I1535" t="s">
        <v>3238</v>
      </c>
      <c r="J1535" t="s">
        <v>57</v>
      </c>
      <c r="K1535" t="s">
        <v>57</v>
      </c>
      <c r="L1535">
        <v>1</v>
      </c>
      <c r="M1535">
        <v>1</v>
      </c>
      <c r="N1535" t="s">
        <v>2721</v>
      </c>
      <c r="O1535" t="s">
        <v>1441</v>
      </c>
      <c r="P1535" t="s">
        <v>1454</v>
      </c>
      <c r="Q1535" t="s">
        <v>1443</v>
      </c>
      <c r="R1535" t="s">
        <v>1444</v>
      </c>
      <c r="S1535" t="s">
        <v>2722</v>
      </c>
    </row>
    <row r="1536" spans="1:19">
      <c r="A1536" t="s">
        <v>4942</v>
      </c>
      <c r="B1536" t="s">
        <v>1369</v>
      </c>
      <c r="C1536" t="s">
        <v>3607</v>
      </c>
      <c r="D1536" t="s">
        <v>1387</v>
      </c>
      <c r="E1536" t="s">
        <v>1460</v>
      </c>
      <c r="F1536">
        <v>2</v>
      </c>
      <c r="I1536" t="s">
        <v>3238</v>
      </c>
      <c r="J1536" t="s">
        <v>57</v>
      </c>
      <c r="K1536" t="s">
        <v>57</v>
      </c>
      <c r="L1536">
        <v>2</v>
      </c>
      <c r="M1536">
        <v>1</v>
      </c>
      <c r="N1536" t="s">
        <v>2723</v>
      </c>
      <c r="O1536" t="s">
        <v>1441</v>
      </c>
      <c r="P1536" t="s">
        <v>1452</v>
      </c>
      <c r="Q1536" t="s">
        <v>1443</v>
      </c>
      <c r="R1536" t="s">
        <v>1357</v>
      </c>
      <c r="S1536" t="s">
        <v>2724</v>
      </c>
    </row>
    <row r="1537" spans="1:19">
      <c r="A1537" t="s">
        <v>4943</v>
      </c>
      <c r="B1537" t="s">
        <v>1368</v>
      </c>
      <c r="C1537" t="s">
        <v>3607</v>
      </c>
      <c r="D1537" t="s">
        <v>1356</v>
      </c>
      <c r="E1537" t="s">
        <v>1450</v>
      </c>
      <c r="F1537">
        <v>3</v>
      </c>
      <c r="I1537" t="s">
        <v>3238</v>
      </c>
      <c r="J1537" t="s">
        <v>57</v>
      </c>
      <c r="K1537" t="s">
        <v>57</v>
      </c>
      <c r="L1537">
        <v>3</v>
      </c>
      <c r="M1537">
        <v>1</v>
      </c>
      <c r="N1537" t="s">
        <v>2725</v>
      </c>
      <c r="O1537" t="s">
        <v>1441</v>
      </c>
      <c r="P1537" t="s">
        <v>1444</v>
      </c>
      <c r="Q1537" t="s">
        <v>1443</v>
      </c>
      <c r="R1537" t="s">
        <v>1369</v>
      </c>
      <c r="S1537" t="s">
        <v>2726</v>
      </c>
    </row>
    <row r="1538" spans="1:19">
      <c r="A1538" t="s">
        <v>4944</v>
      </c>
      <c r="B1538" t="s">
        <v>1371</v>
      </c>
      <c r="C1538" t="s">
        <v>3607</v>
      </c>
      <c r="D1538" t="s">
        <v>1372</v>
      </c>
      <c r="E1538" t="s">
        <v>1450</v>
      </c>
      <c r="F1538">
        <v>3</v>
      </c>
      <c r="I1538" t="s">
        <v>3238</v>
      </c>
      <c r="J1538" t="s">
        <v>57</v>
      </c>
      <c r="K1538" t="s">
        <v>57</v>
      </c>
      <c r="L1538">
        <v>3</v>
      </c>
      <c r="M1538">
        <v>1</v>
      </c>
      <c r="N1538" t="s">
        <v>2725</v>
      </c>
      <c r="O1538" t="s">
        <v>1441</v>
      </c>
      <c r="P1538" t="s">
        <v>2727</v>
      </c>
      <c r="Q1538" t="s">
        <v>1443</v>
      </c>
      <c r="R1538" t="s">
        <v>1357</v>
      </c>
      <c r="S1538" t="s">
        <v>2728</v>
      </c>
    </row>
    <row r="1539" spans="1:19">
      <c r="A1539" t="s">
        <v>4946</v>
      </c>
      <c r="B1539" t="s">
        <v>1360</v>
      </c>
      <c r="C1539" t="s">
        <v>3607</v>
      </c>
      <c r="D1539">
        <v>416</v>
      </c>
      <c r="E1539" t="s">
        <v>1439</v>
      </c>
      <c r="F1539">
        <v>1</v>
      </c>
      <c r="I1539" t="s">
        <v>3238</v>
      </c>
      <c r="J1539" t="s">
        <v>57</v>
      </c>
      <c r="K1539" t="s">
        <v>57</v>
      </c>
      <c r="L1539">
        <v>3</v>
      </c>
      <c r="M1539">
        <v>1</v>
      </c>
      <c r="N1539" t="s">
        <v>2725</v>
      </c>
      <c r="O1539" t="s">
        <v>1441</v>
      </c>
      <c r="P1539" t="s">
        <v>1442</v>
      </c>
      <c r="Q1539" t="s">
        <v>1443</v>
      </c>
      <c r="R1539" t="s">
        <v>1444</v>
      </c>
      <c r="S1539" t="s">
        <v>2731</v>
      </c>
    </row>
    <row r="1540" spans="1:19">
      <c r="A1540" t="s">
        <v>4965</v>
      </c>
      <c r="B1540" t="s">
        <v>3890</v>
      </c>
      <c r="C1540" t="s">
        <v>3602</v>
      </c>
      <c r="D1540">
        <v>36</v>
      </c>
      <c r="E1540" t="s">
        <v>1439</v>
      </c>
      <c r="F1540">
        <v>1</v>
      </c>
      <c r="I1540" t="s">
        <v>3238</v>
      </c>
      <c r="J1540" t="s">
        <v>57</v>
      </c>
      <c r="K1540" t="s">
        <v>57</v>
      </c>
      <c r="L1540">
        <v>3</v>
      </c>
      <c r="M1540">
        <v>1</v>
      </c>
      <c r="N1540" t="s">
        <v>2725</v>
      </c>
      <c r="O1540" t="s">
        <v>1447</v>
      </c>
      <c r="P1540" t="s">
        <v>1444</v>
      </c>
      <c r="Q1540" t="s">
        <v>1443</v>
      </c>
      <c r="R1540" t="s">
        <v>1444</v>
      </c>
      <c r="S1540" t="s">
        <v>3891</v>
      </c>
    </row>
    <row r="1541" spans="1:19">
      <c r="A1541" t="s">
        <v>4945</v>
      </c>
      <c r="B1541" t="s">
        <v>1355</v>
      </c>
      <c r="C1541" t="s">
        <v>3607</v>
      </c>
      <c r="D1541" t="s">
        <v>1356</v>
      </c>
      <c r="E1541" t="s">
        <v>1450</v>
      </c>
      <c r="F1541">
        <v>3</v>
      </c>
      <c r="I1541" t="s">
        <v>3238</v>
      </c>
      <c r="J1541" t="s">
        <v>57</v>
      </c>
      <c r="K1541" t="s">
        <v>57</v>
      </c>
      <c r="L1541">
        <v>4</v>
      </c>
      <c r="M1541">
        <v>1</v>
      </c>
      <c r="N1541" t="s">
        <v>2729</v>
      </c>
      <c r="O1541" t="s">
        <v>1457</v>
      </c>
      <c r="P1541" t="s">
        <v>1442</v>
      </c>
      <c r="Q1541" t="s">
        <v>1443</v>
      </c>
      <c r="R1541" t="s">
        <v>1357</v>
      </c>
      <c r="S1541" t="s">
        <v>2730</v>
      </c>
    </row>
    <row r="1542" spans="1:19">
      <c r="A1542" t="s">
        <v>4947</v>
      </c>
      <c r="B1542" t="s">
        <v>1358</v>
      </c>
      <c r="C1542" t="s">
        <v>3607</v>
      </c>
      <c r="D1542" t="s">
        <v>1359</v>
      </c>
      <c r="E1542" t="s">
        <v>1467</v>
      </c>
      <c r="F1542">
        <v>5</v>
      </c>
      <c r="G1542">
        <v>1</v>
      </c>
      <c r="I1542" t="s">
        <v>3238</v>
      </c>
      <c r="J1542" t="s">
        <v>57</v>
      </c>
      <c r="K1542" t="s">
        <v>57</v>
      </c>
      <c r="L1542">
        <v>4</v>
      </c>
      <c r="M1542">
        <v>1</v>
      </c>
      <c r="N1542" t="s">
        <v>2729</v>
      </c>
      <c r="O1542" t="s">
        <v>1447</v>
      </c>
      <c r="P1542" t="s">
        <v>1452</v>
      </c>
      <c r="Q1542" t="s">
        <v>1443</v>
      </c>
      <c r="R1542" t="s">
        <v>1360</v>
      </c>
      <c r="S1542" t="s">
        <v>2732</v>
      </c>
    </row>
    <row r="1543" spans="1:19">
      <c r="A1543" t="s">
        <v>4948</v>
      </c>
      <c r="B1543" t="s">
        <v>1388</v>
      </c>
      <c r="C1543" t="s">
        <v>3607</v>
      </c>
      <c r="D1543" t="s">
        <v>1389</v>
      </c>
      <c r="E1543" t="s">
        <v>1460</v>
      </c>
      <c r="F1543">
        <v>2</v>
      </c>
      <c r="I1543" t="s">
        <v>3238</v>
      </c>
      <c r="J1543" t="s">
        <v>57</v>
      </c>
      <c r="K1543" t="s">
        <v>57</v>
      </c>
      <c r="L1543">
        <v>4</v>
      </c>
      <c r="M1543">
        <v>2</v>
      </c>
      <c r="N1543" t="s">
        <v>2733</v>
      </c>
      <c r="O1543" t="s">
        <v>1441</v>
      </c>
      <c r="P1543" t="s">
        <v>1442</v>
      </c>
      <c r="Q1543" t="s">
        <v>1443</v>
      </c>
      <c r="R1543" t="s">
        <v>1368</v>
      </c>
      <c r="S1543" t="s">
        <v>2734</v>
      </c>
    </row>
    <row r="1544" spans="1:19">
      <c r="A1544" t="s">
        <v>4949</v>
      </c>
      <c r="B1544" t="s">
        <v>1373</v>
      </c>
      <c r="C1544" t="s">
        <v>3607</v>
      </c>
      <c r="D1544" t="s">
        <v>1374</v>
      </c>
      <c r="E1544" t="s">
        <v>2735</v>
      </c>
      <c r="F1544" t="s">
        <v>2735</v>
      </c>
      <c r="I1544" t="s">
        <v>3238</v>
      </c>
      <c r="J1544" t="s">
        <v>57</v>
      </c>
      <c r="K1544" t="s">
        <v>57</v>
      </c>
      <c r="L1544">
        <v>4</v>
      </c>
      <c r="M1544">
        <v>2</v>
      </c>
      <c r="N1544" t="s">
        <v>2733</v>
      </c>
      <c r="O1544" t="s">
        <v>1441</v>
      </c>
      <c r="P1544" t="s">
        <v>2736</v>
      </c>
      <c r="Q1544" t="s">
        <v>1443</v>
      </c>
      <c r="R1544" t="s">
        <v>1371</v>
      </c>
      <c r="S1544" t="s">
        <v>2737</v>
      </c>
    </row>
    <row r="1545" spans="1:19">
      <c r="A1545" t="s">
        <v>4950</v>
      </c>
      <c r="B1545" t="s">
        <v>1377</v>
      </c>
      <c r="C1545" t="s">
        <v>3607</v>
      </c>
      <c r="D1545" t="s">
        <v>1378</v>
      </c>
      <c r="E1545" t="s">
        <v>1450</v>
      </c>
      <c r="F1545">
        <v>3</v>
      </c>
      <c r="I1545" t="s">
        <v>3238</v>
      </c>
      <c r="J1545" t="s">
        <v>57</v>
      </c>
      <c r="K1545" t="s">
        <v>57</v>
      </c>
      <c r="L1545">
        <v>4</v>
      </c>
      <c r="M1545">
        <v>2</v>
      </c>
      <c r="N1545" t="s">
        <v>2733</v>
      </c>
      <c r="O1545" t="s">
        <v>1441</v>
      </c>
      <c r="P1545" t="s">
        <v>2214</v>
      </c>
      <c r="Q1545" t="s">
        <v>1443</v>
      </c>
      <c r="R1545" t="s">
        <v>1371</v>
      </c>
      <c r="S1545" t="s">
        <v>2738</v>
      </c>
    </row>
    <row r="1546" spans="1:19">
      <c r="A1546" t="s">
        <v>4966</v>
      </c>
      <c r="B1546" t="s">
        <v>3892</v>
      </c>
      <c r="C1546" t="s">
        <v>3602</v>
      </c>
      <c r="D1546">
        <v>36</v>
      </c>
      <c r="E1546" t="s">
        <v>1450</v>
      </c>
      <c r="F1546">
        <v>3</v>
      </c>
      <c r="I1546" t="s">
        <v>3238</v>
      </c>
      <c r="J1546" t="s">
        <v>57</v>
      </c>
      <c r="K1546" t="s">
        <v>57</v>
      </c>
      <c r="L1546">
        <v>4</v>
      </c>
      <c r="M1546">
        <v>1</v>
      </c>
      <c r="N1546" t="s">
        <v>2729</v>
      </c>
      <c r="O1546" t="s">
        <v>1441</v>
      </c>
      <c r="P1546" t="s">
        <v>1452</v>
      </c>
      <c r="Q1546" t="s">
        <v>1443</v>
      </c>
      <c r="R1546" t="s">
        <v>3890</v>
      </c>
      <c r="S1546" t="s">
        <v>3893</v>
      </c>
    </row>
    <row r="1547" spans="1:19">
      <c r="A1547" t="s">
        <v>4951</v>
      </c>
      <c r="B1547" t="s">
        <v>1370</v>
      </c>
      <c r="C1547" t="s">
        <v>3607</v>
      </c>
      <c r="D1547">
        <v>417</v>
      </c>
      <c r="E1547" t="s">
        <v>1460</v>
      </c>
      <c r="F1547">
        <v>2</v>
      </c>
      <c r="I1547" t="s">
        <v>3238</v>
      </c>
      <c r="J1547" t="s">
        <v>57</v>
      </c>
      <c r="K1547" t="s">
        <v>57</v>
      </c>
      <c r="L1547">
        <v>5</v>
      </c>
      <c r="M1547">
        <v>2</v>
      </c>
      <c r="N1547" t="s">
        <v>2739</v>
      </c>
      <c r="O1547" t="s">
        <v>1441</v>
      </c>
      <c r="P1547" t="s">
        <v>1452</v>
      </c>
      <c r="Q1547" t="s">
        <v>1443</v>
      </c>
      <c r="R1547" t="s">
        <v>1377</v>
      </c>
      <c r="S1547" t="s">
        <v>2740</v>
      </c>
    </row>
    <row r="1548" spans="1:19">
      <c r="A1548" t="s">
        <v>4952</v>
      </c>
      <c r="B1548" t="s">
        <v>1363</v>
      </c>
      <c r="C1548" t="s">
        <v>3607</v>
      </c>
      <c r="D1548">
        <v>417</v>
      </c>
      <c r="E1548" t="s">
        <v>1511</v>
      </c>
      <c r="F1548" t="s">
        <v>1511</v>
      </c>
      <c r="I1548" t="s">
        <v>3238</v>
      </c>
      <c r="J1548" t="s">
        <v>57</v>
      </c>
      <c r="K1548" t="s">
        <v>57</v>
      </c>
      <c r="L1548">
        <v>5</v>
      </c>
      <c r="M1548">
        <v>2</v>
      </c>
      <c r="N1548" t="s">
        <v>2739</v>
      </c>
      <c r="O1548" t="s">
        <v>1513</v>
      </c>
      <c r="P1548" t="s">
        <v>1444</v>
      </c>
      <c r="Q1548" t="s">
        <v>1513</v>
      </c>
      <c r="R1548" t="s">
        <v>1377</v>
      </c>
      <c r="S1548" t="s">
        <v>2741</v>
      </c>
    </row>
    <row r="1549" spans="1:19">
      <c r="A1549" t="s">
        <v>4953</v>
      </c>
      <c r="B1549" t="s">
        <v>1364</v>
      </c>
      <c r="C1549" t="s">
        <v>3607</v>
      </c>
      <c r="D1549" t="s">
        <v>1365</v>
      </c>
      <c r="E1549" t="s">
        <v>1486</v>
      </c>
      <c r="F1549">
        <v>3</v>
      </c>
      <c r="H1549" t="s">
        <v>2434</v>
      </c>
      <c r="I1549" t="s">
        <v>3238</v>
      </c>
      <c r="J1549" t="s">
        <v>57</v>
      </c>
      <c r="K1549" t="s">
        <v>57</v>
      </c>
      <c r="L1549">
        <v>5</v>
      </c>
      <c r="M1549">
        <v>2</v>
      </c>
      <c r="N1549" t="s">
        <v>2739</v>
      </c>
      <c r="O1549" t="s">
        <v>1447</v>
      </c>
      <c r="P1549" t="s">
        <v>1444</v>
      </c>
      <c r="Q1549" t="s">
        <v>1443</v>
      </c>
      <c r="R1549" t="s">
        <v>1363</v>
      </c>
      <c r="S1549" t="s">
        <v>2742</v>
      </c>
    </row>
    <row r="1550" spans="1:19">
      <c r="A1550" t="s">
        <v>4954</v>
      </c>
      <c r="B1550" t="s">
        <v>1375</v>
      </c>
      <c r="C1550" t="s">
        <v>3607</v>
      </c>
      <c r="D1550" t="s">
        <v>1376</v>
      </c>
      <c r="E1550" t="s">
        <v>1450</v>
      </c>
      <c r="F1550">
        <v>3</v>
      </c>
      <c r="I1550" t="s">
        <v>3238</v>
      </c>
      <c r="J1550" t="s">
        <v>57</v>
      </c>
      <c r="K1550" t="s">
        <v>57</v>
      </c>
      <c r="L1550">
        <v>5</v>
      </c>
      <c r="M1550">
        <v>2</v>
      </c>
      <c r="N1550" t="s">
        <v>2739</v>
      </c>
      <c r="O1550" t="s">
        <v>1447</v>
      </c>
      <c r="P1550" t="s">
        <v>1523</v>
      </c>
      <c r="Q1550" t="s">
        <v>1443</v>
      </c>
      <c r="R1550" t="s">
        <v>1371</v>
      </c>
      <c r="S1550" t="s">
        <v>2743</v>
      </c>
    </row>
    <row r="1551" spans="1:19">
      <c r="A1551" t="s">
        <v>4955</v>
      </c>
      <c r="B1551" t="s">
        <v>1385</v>
      </c>
      <c r="C1551" t="s">
        <v>3607</v>
      </c>
      <c r="D1551" t="s">
        <v>1378</v>
      </c>
      <c r="E1551" t="s">
        <v>1479</v>
      </c>
      <c r="F1551">
        <v>6</v>
      </c>
      <c r="G1551">
        <v>1</v>
      </c>
      <c r="I1551" t="s">
        <v>3238</v>
      </c>
      <c r="J1551" t="s">
        <v>57</v>
      </c>
      <c r="K1551" t="s">
        <v>57</v>
      </c>
      <c r="L1551">
        <v>5</v>
      </c>
      <c r="M1551">
        <v>2</v>
      </c>
      <c r="N1551" t="s">
        <v>2739</v>
      </c>
      <c r="O1551" t="s">
        <v>1457</v>
      </c>
      <c r="P1551" t="s">
        <v>1454</v>
      </c>
      <c r="Q1551" t="s">
        <v>1443</v>
      </c>
      <c r="R1551" t="s">
        <v>1358</v>
      </c>
      <c r="S1551" t="s">
        <v>2744</v>
      </c>
    </row>
    <row r="1552" spans="1:19">
      <c r="A1552" t="s">
        <v>4956</v>
      </c>
      <c r="B1552" t="s">
        <v>1386</v>
      </c>
      <c r="C1552" t="s">
        <v>3607</v>
      </c>
      <c r="D1552">
        <v>418</v>
      </c>
      <c r="E1552" t="s">
        <v>1511</v>
      </c>
      <c r="F1552" t="s">
        <v>1511</v>
      </c>
      <c r="I1552" t="s">
        <v>3238</v>
      </c>
      <c r="J1552" t="s">
        <v>57</v>
      </c>
      <c r="K1552" t="s">
        <v>57</v>
      </c>
      <c r="L1552">
        <v>5</v>
      </c>
      <c r="M1552">
        <v>3</v>
      </c>
      <c r="N1552" t="s">
        <v>2745</v>
      </c>
      <c r="O1552" t="s">
        <v>1513</v>
      </c>
      <c r="P1552" t="s">
        <v>1444</v>
      </c>
      <c r="Q1552" t="s">
        <v>1443</v>
      </c>
      <c r="R1552" t="s">
        <v>1388</v>
      </c>
      <c r="S1552" t="s">
        <v>2746</v>
      </c>
    </row>
    <row r="1553" spans="1:19">
      <c r="A1553" t="s">
        <v>4957</v>
      </c>
      <c r="B1553" t="s">
        <v>1361</v>
      </c>
      <c r="C1553" t="s">
        <v>3607</v>
      </c>
      <c r="D1553">
        <v>418</v>
      </c>
      <c r="E1553" t="s">
        <v>1467</v>
      </c>
      <c r="F1553">
        <v>5</v>
      </c>
      <c r="G1553">
        <v>1</v>
      </c>
      <c r="I1553" t="s">
        <v>3238</v>
      </c>
      <c r="J1553" t="s">
        <v>57</v>
      </c>
      <c r="K1553" t="s">
        <v>57</v>
      </c>
      <c r="L1553">
        <v>5</v>
      </c>
      <c r="M1553">
        <v>3</v>
      </c>
      <c r="N1553" t="s">
        <v>2745</v>
      </c>
      <c r="O1553" t="s">
        <v>1447</v>
      </c>
      <c r="P1553" t="s">
        <v>2736</v>
      </c>
      <c r="Q1553" t="s">
        <v>1443</v>
      </c>
      <c r="R1553" t="s">
        <v>1377</v>
      </c>
      <c r="S1553" t="s">
        <v>2747</v>
      </c>
    </row>
    <row r="1554" spans="1:19">
      <c r="A1554" t="s">
        <v>4958</v>
      </c>
      <c r="B1554" t="s">
        <v>1384</v>
      </c>
      <c r="C1554" t="s">
        <v>3607</v>
      </c>
      <c r="D1554">
        <v>418</v>
      </c>
      <c r="E1554" t="s">
        <v>1465</v>
      </c>
      <c r="F1554">
        <v>1</v>
      </c>
      <c r="G1554">
        <v>1</v>
      </c>
      <c r="I1554" t="s">
        <v>3238</v>
      </c>
      <c r="J1554" t="s">
        <v>57</v>
      </c>
      <c r="K1554" t="s">
        <v>57</v>
      </c>
      <c r="L1554">
        <v>5</v>
      </c>
      <c r="M1554">
        <v>3</v>
      </c>
      <c r="N1554" t="s">
        <v>2745</v>
      </c>
      <c r="O1554" t="s">
        <v>1441</v>
      </c>
      <c r="P1554" t="s">
        <v>1452</v>
      </c>
      <c r="Q1554" t="s">
        <v>1443</v>
      </c>
      <c r="R1554" t="s">
        <v>1377</v>
      </c>
      <c r="S1554" t="s">
        <v>2748</v>
      </c>
    </row>
    <row r="1555" spans="1:19">
      <c r="A1555" t="s">
        <v>4959</v>
      </c>
      <c r="B1555" t="s">
        <v>1383</v>
      </c>
      <c r="C1555" t="s">
        <v>3607</v>
      </c>
      <c r="D1555">
        <v>418</v>
      </c>
      <c r="E1555" t="s">
        <v>2749</v>
      </c>
      <c r="F1555">
        <v>2</v>
      </c>
      <c r="H1555" t="s">
        <v>3888</v>
      </c>
      <c r="I1555" t="s">
        <v>3238</v>
      </c>
      <c r="J1555" t="s">
        <v>57</v>
      </c>
      <c r="K1555" t="s">
        <v>57</v>
      </c>
      <c r="L1555">
        <v>5</v>
      </c>
      <c r="M1555">
        <v>3</v>
      </c>
      <c r="N1555" t="s">
        <v>2745</v>
      </c>
      <c r="O1555" t="s">
        <v>1457</v>
      </c>
      <c r="P1555" t="s">
        <v>1630</v>
      </c>
      <c r="Q1555" t="s">
        <v>1443</v>
      </c>
      <c r="R1555" t="s">
        <v>1384</v>
      </c>
      <c r="S1555" t="s">
        <v>2750</v>
      </c>
    </row>
    <row r="1556" spans="1:19">
      <c r="A1556" t="s">
        <v>4960</v>
      </c>
      <c r="B1556" t="s">
        <v>1381</v>
      </c>
      <c r="C1556" t="s">
        <v>3607</v>
      </c>
      <c r="D1556" t="s">
        <v>1382</v>
      </c>
      <c r="E1556" t="s">
        <v>1554</v>
      </c>
      <c r="F1556">
        <v>4</v>
      </c>
      <c r="I1556" t="s">
        <v>3238</v>
      </c>
      <c r="J1556" t="s">
        <v>57</v>
      </c>
      <c r="K1556" t="s">
        <v>57</v>
      </c>
      <c r="L1556">
        <v>5</v>
      </c>
      <c r="M1556">
        <v>3</v>
      </c>
      <c r="N1556" t="s">
        <v>2745</v>
      </c>
      <c r="O1556" t="s">
        <v>1447</v>
      </c>
      <c r="P1556" t="s">
        <v>1444</v>
      </c>
      <c r="Q1556" t="s">
        <v>1443</v>
      </c>
      <c r="R1556" t="s">
        <v>1384</v>
      </c>
      <c r="S1556" t="s">
        <v>2751</v>
      </c>
    </row>
    <row r="1557" spans="1:19">
      <c r="A1557" t="s">
        <v>4961</v>
      </c>
      <c r="B1557" t="s">
        <v>1379</v>
      </c>
      <c r="C1557" t="s">
        <v>3607</v>
      </c>
      <c r="D1557" t="s">
        <v>1380</v>
      </c>
      <c r="E1557" t="s">
        <v>1467</v>
      </c>
      <c r="F1557">
        <v>5</v>
      </c>
      <c r="G1557">
        <v>1</v>
      </c>
      <c r="I1557" t="s">
        <v>3238</v>
      </c>
      <c r="J1557" t="s">
        <v>57</v>
      </c>
      <c r="K1557" t="s">
        <v>57</v>
      </c>
      <c r="L1557">
        <v>5</v>
      </c>
      <c r="M1557">
        <v>3</v>
      </c>
      <c r="N1557" t="s">
        <v>2745</v>
      </c>
      <c r="O1557" t="s">
        <v>1447</v>
      </c>
      <c r="P1557" t="s">
        <v>1454</v>
      </c>
      <c r="Q1557" t="s">
        <v>1443</v>
      </c>
      <c r="R1557" t="s">
        <v>1364</v>
      </c>
      <c r="S1557" t="s">
        <v>2752</v>
      </c>
    </row>
    <row r="1558" spans="1:19">
      <c r="A1558" t="s">
        <v>4962</v>
      </c>
      <c r="B1558" t="s">
        <v>1366</v>
      </c>
      <c r="C1558" t="s">
        <v>3607</v>
      </c>
      <c r="D1558">
        <v>419</v>
      </c>
      <c r="E1558" t="s">
        <v>1497</v>
      </c>
      <c r="F1558">
        <v>6</v>
      </c>
      <c r="I1558" t="s">
        <v>3238</v>
      </c>
      <c r="J1558" t="s">
        <v>57</v>
      </c>
      <c r="K1558" t="s">
        <v>57</v>
      </c>
      <c r="L1558">
        <v>5</v>
      </c>
      <c r="M1558">
        <v>3</v>
      </c>
      <c r="N1558" t="s">
        <v>2745</v>
      </c>
      <c r="O1558" t="s">
        <v>1441</v>
      </c>
      <c r="P1558" t="s">
        <v>1452</v>
      </c>
      <c r="Q1558" t="s">
        <v>1443</v>
      </c>
      <c r="R1558" t="s">
        <v>1375</v>
      </c>
      <c r="S1558" t="s">
        <v>2753</v>
      </c>
    </row>
    <row r="1559" spans="1:19">
      <c r="A1559" t="s">
        <v>4963</v>
      </c>
      <c r="B1559" t="s">
        <v>1367</v>
      </c>
      <c r="C1559" t="s">
        <v>3607</v>
      </c>
      <c r="D1559">
        <v>419</v>
      </c>
      <c r="E1559" t="s">
        <v>2754</v>
      </c>
      <c r="F1559">
        <v>5</v>
      </c>
      <c r="H1559" t="s">
        <v>3889</v>
      </c>
      <c r="I1559" t="s">
        <v>3238</v>
      </c>
      <c r="J1559" t="s">
        <v>57</v>
      </c>
      <c r="K1559" t="s">
        <v>57</v>
      </c>
      <c r="L1559">
        <v>5</v>
      </c>
      <c r="M1559">
        <v>3</v>
      </c>
      <c r="N1559" t="s">
        <v>2745</v>
      </c>
      <c r="O1559" t="s">
        <v>1457</v>
      </c>
      <c r="P1559" t="s">
        <v>1452</v>
      </c>
      <c r="Q1559" t="s">
        <v>1443</v>
      </c>
      <c r="R1559" t="s">
        <v>1358</v>
      </c>
      <c r="S1559" t="s">
        <v>2755</v>
      </c>
    </row>
    <row r="1560" spans="1:19">
      <c r="A1560" t="s">
        <v>4964</v>
      </c>
      <c r="B1560" t="s">
        <v>1362</v>
      </c>
      <c r="C1560" t="s">
        <v>3607</v>
      </c>
      <c r="D1560">
        <v>419</v>
      </c>
      <c r="E1560" t="s">
        <v>1467</v>
      </c>
      <c r="F1560">
        <v>5</v>
      </c>
      <c r="G1560">
        <v>1</v>
      </c>
      <c r="I1560" t="s">
        <v>3238</v>
      </c>
      <c r="J1560" t="s">
        <v>57</v>
      </c>
      <c r="K1560" t="s">
        <v>57</v>
      </c>
      <c r="L1560">
        <v>5</v>
      </c>
      <c r="M1560">
        <v>4</v>
      </c>
      <c r="N1560" t="s">
        <v>2756</v>
      </c>
      <c r="O1560" t="s">
        <v>1457</v>
      </c>
      <c r="P1560" t="s">
        <v>1444</v>
      </c>
      <c r="Q1560" t="s">
        <v>1443</v>
      </c>
      <c r="R1560" t="s">
        <v>1366</v>
      </c>
      <c r="S1560" t="s">
        <v>2757</v>
      </c>
    </row>
    <row r="1561" spans="1:19">
      <c r="A1561" t="s">
        <v>4967</v>
      </c>
      <c r="B1561" t="s">
        <v>3894</v>
      </c>
      <c r="C1561" t="s">
        <v>3602</v>
      </c>
      <c r="D1561">
        <v>36</v>
      </c>
      <c r="E1561" t="s">
        <v>1486</v>
      </c>
      <c r="F1561">
        <v>3</v>
      </c>
      <c r="I1561" t="s">
        <v>3238</v>
      </c>
      <c r="J1561" t="s">
        <v>57</v>
      </c>
      <c r="K1561" t="s">
        <v>57</v>
      </c>
      <c r="L1561">
        <v>5</v>
      </c>
      <c r="M1561">
        <v>1</v>
      </c>
      <c r="N1561" t="s">
        <v>3895</v>
      </c>
      <c r="O1561" t="s">
        <v>1447</v>
      </c>
      <c r="P1561" t="s">
        <v>1452</v>
      </c>
      <c r="Q1561" t="s">
        <v>1443</v>
      </c>
      <c r="R1561" t="s">
        <v>1355</v>
      </c>
      <c r="S1561" t="s">
        <v>3896</v>
      </c>
    </row>
    <row r="1562" spans="1:19">
      <c r="A1562" t="s">
        <v>4968</v>
      </c>
      <c r="B1562" t="s">
        <v>3897</v>
      </c>
      <c r="C1562" t="s">
        <v>3602</v>
      </c>
      <c r="D1562">
        <v>37</v>
      </c>
      <c r="E1562" t="s">
        <v>1465</v>
      </c>
      <c r="F1562">
        <v>1</v>
      </c>
      <c r="G1562">
        <v>1</v>
      </c>
      <c r="I1562" t="s">
        <v>3238</v>
      </c>
      <c r="J1562" t="s">
        <v>57</v>
      </c>
      <c r="K1562" t="s">
        <v>57</v>
      </c>
      <c r="L1562">
        <v>5</v>
      </c>
      <c r="M1562">
        <v>2</v>
      </c>
      <c r="N1562" t="s">
        <v>2739</v>
      </c>
      <c r="O1562" t="s">
        <v>1457</v>
      </c>
      <c r="P1562" t="s">
        <v>1452</v>
      </c>
      <c r="Q1562" t="s">
        <v>1443</v>
      </c>
      <c r="R1562" t="s">
        <v>3892</v>
      </c>
      <c r="S1562" t="s">
        <v>3898</v>
      </c>
    </row>
    <row r="1563" spans="1:19">
      <c r="A1563" t="s">
        <v>4969</v>
      </c>
      <c r="B1563" t="s">
        <v>3899</v>
      </c>
      <c r="C1563" t="s">
        <v>3602</v>
      </c>
      <c r="D1563">
        <v>37</v>
      </c>
      <c r="E1563" t="s">
        <v>1456</v>
      </c>
      <c r="F1563">
        <v>4</v>
      </c>
      <c r="G1563">
        <v>1</v>
      </c>
      <c r="I1563" t="s">
        <v>3238</v>
      </c>
      <c r="J1563" t="s">
        <v>57</v>
      </c>
      <c r="K1563" t="s">
        <v>57</v>
      </c>
      <c r="L1563">
        <v>5</v>
      </c>
      <c r="M1563">
        <v>2</v>
      </c>
      <c r="N1563" t="s">
        <v>2739</v>
      </c>
      <c r="O1563" t="s">
        <v>1457</v>
      </c>
      <c r="P1563" t="s">
        <v>1452</v>
      </c>
      <c r="Q1563" t="s">
        <v>1443</v>
      </c>
      <c r="R1563" t="s">
        <v>3892</v>
      </c>
      <c r="S1563" t="s">
        <v>3900</v>
      </c>
    </row>
    <row r="1564" spans="1:19">
      <c r="A1564" t="s">
        <v>4970</v>
      </c>
      <c r="B1564" t="s">
        <v>3901</v>
      </c>
      <c r="C1564" t="s">
        <v>3602</v>
      </c>
      <c r="D1564">
        <v>38</v>
      </c>
      <c r="E1564" t="s">
        <v>3902</v>
      </c>
      <c r="F1564">
        <v>9</v>
      </c>
      <c r="G1564">
        <v>1</v>
      </c>
      <c r="I1564" t="s">
        <v>3238</v>
      </c>
      <c r="J1564" t="s">
        <v>57</v>
      </c>
      <c r="K1564" t="s">
        <v>57</v>
      </c>
      <c r="L1564">
        <v>5</v>
      </c>
      <c r="M1564">
        <v>3</v>
      </c>
      <c r="N1564" t="s">
        <v>2745</v>
      </c>
      <c r="O1564" t="s">
        <v>1457</v>
      </c>
      <c r="P1564" t="s">
        <v>1452</v>
      </c>
      <c r="Q1564" t="s">
        <v>1443</v>
      </c>
      <c r="R1564" t="s">
        <v>3903</v>
      </c>
      <c r="S1564" t="s">
        <v>3904</v>
      </c>
    </row>
    <row r="1565" spans="1:19">
      <c r="A1565" t="s">
        <v>7218</v>
      </c>
      <c r="B1565" t="s">
        <v>6355</v>
      </c>
      <c r="C1565" t="s">
        <v>3968</v>
      </c>
      <c r="D1565">
        <v>275</v>
      </c>
      <c r="E1565" t="s">
        <v>4991</v>
      </c>
      <c r="F1565">
        <v>1</v>
      </c>
      <c r="I1565" t="s">
        <v>3560</v>
      </c>
      <c r="J1565" t="s">
        <v>57</v>
      </c>
      <c r="K1565" t="s">
        <v>57</v>
      </c>
      <c r="L1565">
        <v>1</v>
      </c>
      <c r="M1565">
        <v>1</v>
      </c>
      <c r="N1565" t="s">
        <v>2721</v>
      </c>
      <c r="O1565" t="s">
        <v>1441</v>
      </c>
      <c r="P1565" t="s">
        <v>6356</v>
      </c>
      <c r="Q1565" t="s">
        <v>1443</v>
      </c>
      <c r="R1565" t="s">
        <v>1444</v>
      </c>
      <c r="S1565" t="s">
        <v>6357</v>
      </c>
    </row>
    <row r="1566" spans="1:19">
      <c r="A1566" t="s">
        <v>7219</v>
      </c>
      <c r="B1566" t="s">
        <v>6358</v>
      </c>
      <c r="C1566" t="s">
        <v>3968</v>
      </c>
      <c r="D1566">
        <v>275</v>
      </c>
      <c r="E1566" t="s">
        <v>1450</v>
      </c>
      <c r="F1566">
        <v>3</v>
      </c>
      <c r="I1566" t="s">
        <v>3560</v>
      </c>
      <c r="J1566" t="s">
        <v>57</v>
      </c>
      <c r="K1566" t="s">
        <v>57</v>
      </c>
      <c r="L1566">
        <v>2</v>
      </c>
      <c r="M1566">
        <v>1</v>
      </c>
      <c r="N1566" t="s">
        <v>2723</v>
      </c>
      <c r="O1566" t="s">
        <v>1441</v>
      </c>
      <c r="P1566" t="s">
        <v>5197</v>
      </c>
      <c r="Q1566" t="s">
        <v>1443</v>
      </c>
      <c r="R1566" t="s">
        <v>1444</v>
      </c>
      <c r="S1566" t="s">
        <v>6359</v>
      </c>
    </row>
    <row r="1567" spans="1:19">
      <c r="A1567" t="s">
        <v>7220</v>
      </c>
      <c r="B1567" t="s">
        <v>6360</v>
      </c>
      <c r="C1567" t="s">
        <v>3968</v>
      </c>
      <c r="D1567">
        <v>275</v>
      </c>
      <c r="E1567" t="s">
        <v>1554</v>
      </c>
      <c r="F1567">
        <v>4</v>
      </c>
      <c r="I1567" t="s">
        <v>3560</v>
      </c>
      <c r="J1567" t="s">
        <v>57</v>
      </c>
      <c r="K1567" t="s">
        <v>57</v>
      </c>
      <c r="L1567">
        <v>3</v>
      </c>
      <c r="M1567">
        <v>1</v>
      </c>
      <c r="N1567" t="s">
        <v>2725</v>
      </c>
      <c r="O1567" t="s">
        <v>1457</v>
      </c>
      <c r="P1567" t="s">
        <v>5124</v>
      </c>
      <c r="Q1567" t="s">
        <v>1443</v>
      </c>
      <c r="R1567" t="s">
        <v>1444</v>
      </c>
      <c r="S1567" t="s">
        <v>6361</v>
      </c>
    </row>
    <row r="1568" spans="1:19">
      <c r="A1568" t="s">
        <v>7221</v>
      </c>
      <c r="B1568" t="s">
        <v>6362</v>
      </c>
      <c r="C1568" t="s">
        <v>3968</v>
      </c>
      <c r="D1568">
        <v>275</v>
      </c>
      <c r="E1568" t="s">
        <v>1618</v>
      </c>
      <c r="F1568">
        <v>3</v>
      </c>
      <c r="H1568" t="s">
        <v>2420</v>
      </c>
      <c r="I1568" t="s">
        <v>3560</v>
      </c>
      <c r="J1568" t="s">
        <v>57</v>
      </c>
      <c r="K1568" t="s">
        <v>57</v>
      </c>
      <c r="L1568">
        <v>3</v>
      </c>
      <c r="M1568">
        <v>1</v>
      </c>
      <c r="N1568" t="s">
        <v>2725</v>
      </c>
      <c r="O1568" t="s">
        <v>1447</v>
      </c>
      <c r="P1568" t="s">
        <v>5013</v>
      </c>
      <c r="Q1568" t="s">
        <v>1443</v>
      </c>
      <c r="R1568" t="s">
        <v>1444</v>
      </c>
      <c r="S1568" t="s">
        <v>6363</v>
      </c>
    </row>
    <row r="1569" spans="1:19">
      <c r="A1569" t="s">
        <v>7222</v>
      </c>
      <c r="B1569" t="s">
        <v>6364</v>
      </c>
      <c r="C1569" t="s">
        <v>3968</v>
      </c>
      <c r="D1569">
        <v>275</v>
      </c>
      <c r="E1569" t="s">
        <v>1460</v>
      </c>
      <c r="F1569">
        <v>2</v>
      </c>
      <c r="I1569" t="s">
        <v>3560</v>
      </c>
      <c r="J1569" t="s">
        <v>57</v>
      </c>
      <c r="K1569" t="s">
        <v>57</v>
      </c>
      <c r="L1569">
        <v>3</v>
      </c>
      <c r="M1569">
        <v>2</v>
      </c>
      <c r="N1569" t="s">
        <v>6365</v>
      </c>
      <c r="O1569" t="s">
        <v>1441</v>
      </c>
      <c r="P1569" t="s">
        <v>5846</v>
      </c>
      <c r="Q1569" t="s">
        <v>1443</v>
      </c>
      <c r="R1569" t="s">
        <v>6358</v>
      </c>
      <c r="S1569" t="s">
        <v>6366</v>
      </c>
    </row>
    <row r="1570" spans="1:19">
      <c r="A1570" t="s">
        <v>7223</v>
      </c>
      <c r="B1570" t="s">
        <v>6367</v>
      </c>
      <c r="C1570" t="s">
        <v>3968</v>
      </c>
      <c r="D1570">
        <v>275</v>
      </c>
      <c r="E1570" t="s">
        <v>1554</v>
      </c>
      <c r="F1570">
        <v>4</v>
      </c>
      <c r="I1570" t="s">
        <v>3560</v>
      </c>
      <c r="J1570" t="s">
        <v>57</v>
      </c>
      <c r="K1570" t="s">
        <v>57</v>
      </c>
      <c r="L1570">
        <v>3</v>
      </c>
      <c r="M1570">
        <v>2</v>
      </c>
      <c r="N1570" t="s">
        <v>6365</v>
      </c>
      <c r="O1570" t="s">
        <v>1457</v>
      </c>
      <c r="P1570" t="s">
        <v>5213</v>
      </c>
      <c r="Q1570" t="s">
        <v>1443</v>
      </c>
      <c r="R1570" t="s">
        <v>6358</v>
      </c>
      <c r="S1570" t="s">
        <v>6368</v>
      </c>
    </row>
    <row r="1571" spans="1:19">
      <c r="A1571" t="s">
        <v>7224</v>
      </c>
      <c r="B1571" t="s">
        <v>6369</v>
      </c>
      <c r="C1571" t="s">
        <v>3968</v>
      </c>
      <c r="D1571">
        <v>275</v>
      </c>
      <c r="E1571" t="s">
        <v>6370</v>
      </c>
      <c r="F1571">
        <v>2</v>
      </c>
      <c r="I1571" t="s">
        <v>3560</v>
      </c>
      <c r="J1571" t="s">
        <v>57</v>
      </c>
      <c r="K1571" t="s">
        <v>57</v>
      </c>
      <c r="L1571">
        <v>3</v>
      </c>
      <c r="M1571">
        <v>2</v>
      </c>
      <c r="N1571" t="s">
        <v>6365</v>
      </c>
      <c r="O1571" t="s">
        <v>1457</v>
      </c>
      <c r="P1571" t="s">
        <v>6371</v>
      </c>
      <c r="Q1571" t="s">
        <v>1547</v>
      </c>
      <c r="R1571" t="s">
        <v>1444</v>
      </c>
      <c r="S1571" t="s">
        <v>6372</v>
      </c>
    </row>
    <row r="1572" spans="1:19">
      <c r="A1572" t="s">
        <v>7227</v>
      </c>
      <c r="B1572" t="s">
        <v>6379</v>
      </c>
      <c r="C1572" t="s">
        <v>3968</v>
      </c>
      <c r="D1572">
        <v>276</v>
      </c>
      <c r="E1572" t="s">
        <v>1541</v>
      </c>
      <c r="F1572">
        <v>5</v>
      </c>
      <c r="I1572" t="s">
        <v>3560</v>
      </c>
      <c r="J1572" t="s">
        <v>57</v>
      </c>
      <c r="K1572" t="s">
        <v>57</v>
      </c>
      <c r="L1572">
        <v>4</v>
      </c>
      <c r="M1572">
        <v>2</v>
      </c>
      <c r="N1572" t="s">
        <v>2733</v>
      </c>
      <c r="O1572" t="s">
        <v>1441</v>
      </c>
      <c r="P1572" t="s">
        <v>5875</v>
      </c>
      <c r="Q1572" t="s">
        <v>1443</v>
      </c>
      <c r="R1572" t="s">
        <v>1444</v>
      </c>
      <c r="S1572" t="s">
        <v>6380</v>
      </c>
    </row>
    <row r="1573" spans="1:19">
      <c r="A1573" t="s">
        <v>7228</v>
      </c>
      <c r="B1573" t="s">
        <v>6381</v>
      </c>
      <c r="C1573" t="s">
        <v>3968</v>
      </c>
      <c r="D1573">
        <v>276</v>
      </c>
      <c r="E1573" t="s">
        <v>1541</v>
      </c>
      <c r="F1573">
        <v>5</v>
      </c>
      <c r="I1573" t="s">
        <v>3560</v>
      </c>
      <c r="J1573" t="s">
        <v>57</v>
      </c>
      <c r="K1573" t="s">
        <v>57</v>
      </c>
      <c r="L1573">
        <v>4</v>
      </c>
      <c r="M1573">
        <v>2</v>
      </c>
      <c r="N1573" t="s">
        <v>2733</v>
      </c>
      <c r="O1573" t="s">
        <v>1441</v>
      </c>
      <c r="P1573" t="s">
        <v>6382</v>
      </c>
      <c r="Q1573" t="s">
        <v>6383</v>
      </c>
      <c r="R1573" t="s">
        <v>6360</v>
      </c>
      <c r="S1573" t="s">
        <v>6384</v>
      </c>
    </row>
    <row r="1574" spans="1:19">
      <c r="A1574" t="s">
        <v>7233</v>
      </c>
      <c r="B1574" t="s">
        <v>6398</v>
      </c>
      <c r="C1574" t="s">
        <v>3968</v>
      </c>
      <c r="D1574">
        <v>277</v>
      </c>
      <c r="E1574" t="s">
        <v>1486</v>
      </c>
      <c r="F1574">
        <v>3</v>
      </c>
      <c r="H1574" t="s">
        <v>2434</v>
      </c>
      <c r="I1574" t="s">
        <v>3560</v>
      </c>
      <c r="J1574" t="s">
        <v>57</v>
      </c>
      <c r="K1574" t="s">
        <v>57</v>
      </c>
      <c r="L1574">
        <v>4</v>
      </c>
      <c r="M1574">
        <v>3</v>
      </c>
      <c r="N1574" t="s">
        <v>6399</v>
      </c>
      <c r="O1574" t="s">
        <v>1441</v>
      </c>
      <c r="P1574" t="s">
        <v>5197</v>
      </c>
      <c r="Q1574" t="s">
        <v>1443</v>
      </c>
      <c r="R1574" t="s">
        <v>6367</v>
      </c>
      <c r="S1574" t="s">
        <v>6400</v>
      </c>
    </row>
    <row r="1575" spans="1:19">
      <c r="A1575" t="s">
        <v>7234</v>
      </c>
      <c r="B1575" t="s">
        <v>6401</v>
      </c>
      <c r="C1575" t="s">
        <v>3968</v>
      </c>
      <c r="D1575">
        <v>278</v>
      </c>
      <c r="E1575" t="s">
        <v>1554</v>
      </c>
      <c r="F1575">
        <v>4</v>
      </c>
      <c r="I1575" t="s">
        <v>3560</v>
      </c>
      <c r="J1575" t="s">
        <v>57</v>
      </c>
      <c r="K1575" t="s">
        <v>57</v>
      </c>
      <c r="L1575">
        <v>4</v>
      </c>
      <c r="M1575">
        <v>3</v>
      </c>
      <c r="N1575" t="s">
        <v>6399</v>
      </c>
      <c r="O1575" t="s">
        <v>1441</v>
      </c>
      <c r="P1575" t="s">
        <v>5875</v>
      </c>
      <c r="Q1575" t="s">
        <v>1443</v>
      </c>
      <c r="R1575" t="s">
        <v>6379</v>
      </c>
      <c r="S1575" t="s">
        <v>6402</v>
      </c>
    </row>
    <row r="1576" spans="1:19">
      <c r="A1576" t="s">
        <v>7225</v>
      </c>
      <c r="B1576" t="s">
        <v>6373</v>
      </c>
      <c r="C1576" t="s">
        <v>3968</v>
      </c>
      <c r="D1576">
        <v>276</v>
      </c>
      <c r="E1576" t="s">
        <v>1456</v>
      </c>
      <c r="F1576">
        <v>4</v>
      </c>
      <c r="G1576">
        <v>1</v>
      </c>
      <c r="I1576" t="s">
        <v>3560</v>
      </c>
      <c r="J1576" t="s">
        <v>57</v>
      </c>
      <c r="K1576" t="s">
        <v>57</v>
      </c>
      <c r="L1576">
        <v>5</v>
      </c>
      <c r="M1576">
        <v>2</v>
      </c>
      <c r="N1576" t="s">
        <v>2739</v>
      </c>
      <c r="O1576" t="s">
        <v>1457</v>
      </c>
      <c r="P1576" t="s">
        <v>6083</v>
      </c>
      <c r="Q1576" t="s">
        <v>1443</v>
      </c>
      <c r="R1576" t="s">
        <v>6369</v>
      </c>
      <c r="S1576" t="s">
        <v>6374</v>
      </c>
    </row>
    <row r="1577" spans="1:19">
      <c r="A1577" t="s">
        <v>7226</v>
      </c>
      <c r="B1577" t="s">
        <v>6375</v>
      </c>
      <c r="C1577" t="s">
        <v>3968</v>
      </c>
      <c r="D1577">
        <v>276</v>
      </c>
      <c r="E1577" t="s">
        <v>6376</v>
      </c>
      <c r="F1577">
        <v>5</v>
      </c>
      <c r="G1577">
        <v>1</v>
      </c>
      <c r="H1577" t="s">
        <v>5026</v>
      </c>
      <c r="I1577" t="s">
        <v>3560</v>
      </c>
      <c r="J1577" t="s">
        <v>57</v>
      </c>
      <c r="K1577" t="s">
        <v>57</v>
      </c>
      <c r="L1577">
        <v>5</v>
      </c>
      <c r="M1577">
        <v>3</v>
      </c>
      <c r="N1577" t="s">
        <v>6377</v>
      </c>
      <c r="O1577" t="s">
        <v>1457</v>
      </c>
      <c r="P1577" t="s">
        <v>6052</v>
      </c>
      <c r="Q1577" t="s">
        <v>1473</v>
      </c>
      <c r="R1577" t="s">
        <v>6373</v>
      </c>
      <c r="S1577" t="s">
        <v>6378</v>
      </c>
    </row>
    <row r="1578" spans="1:19">
      <c r="A1578" t="s">
        <v>7229</v>
      </c>
      <c r="B1578" t="s">
        <v>6385</v>
      </c>
      <c r="C1578" t="s">
        <v>3968</v>
      </c>
      <c r="D1578">
        <v>276</v>
      </c>
      <c r="E1578" t="s">
        <v>6386</v>
      </c>
      <c r="F1578">
        <v>5</v>
      </c>
      <c r="G1578">
        <v>1</v>
      </c>
      <c r="H1578" t="s">
        <v>6387</v>
      </c>
      <c r="I1578" t="s">
        <v>3560</v>
      </c>
      <c r="J1578" t="s">
        <v>57</v>
      </c>
      <c r="K1578" t="s">
        <v>57</v>
      </c>
      <c r="L1578">
        <v>5</v>
      </c>
      <c r="M1578">
        <v>3</v>
      </c>
      <c r="N1578" t="s">
        <v>2745</v>
      </c>
      <c r="O1578" t="s">
        <v>1457</v>
      </c>
      <c r="P1578" t="s">
        <v>6388</v>
      </c>
      <c r="Q1578" t="s">
        <v>1443</v>
      </c>
      <c r="R1578" t="s">
        <v>6367</v>
      </c>
      <c r="S1578" t="s">
        <v>6389</v>
      </c>
    </row>
    <row r="1579" spans="1:19">
      <c r="A1579" t="s">
        <v>7230</v>
      </c>
      <c r="B1579" t="s">
        <v>6390</v>
      </c>
      <c r="C1579" t="s">
        <v>3968</v>
      </c>
      <c r="D1579">
        <v>277</v>
      </c>
      <c r="E1579" t="s">
        <v>1467</v>
      </c>
      <c r="F1579">
        <v>5</v>
      </c>
      <c r="G1579">
        <v>1</v>
      </c>
      <c r="I1579" t="s">
        <v>3560</v>
      </c>
      <c r="J1579" t="s">
        <v>57</v>
      </c>
      <c r="K1579" t="s">
        <v>57</v>
      </c>
      <c r="L1579">
        <v>5</v>
      </c>
      <c r="M1579">
        <v>3</v>
      </c>
      <c r="N1579" t="s">
        <v>2745</v>
      </c>
      <c r="O1579" t="s">
        <v>1457</v>
      </c>
      <c r="P1579" t="s">
        <v>5036</v>
      </c>
      <c r="Q1579" t="s">
        <v>1443</v>
      </c>
      <c r="R1579" t="s">
        <v>6381</v>
      </c>
      <c r="S1579" t="s">
        <v>6391</v>
      </c>
    </row>
    <row r="1580" spans="1:19">
      <c r="A1580" t="s">
        <v>7231</v>
      </c>
      <c r="B1580" t="s">
        <v>6392</v>
      </c>
      <c r="C1580" t="s">
        <v>3968</v>
      </c>
      <c r="D1580">
        <v>277</v>
      </c>
      <c r="E1580" t="s">
        <v>1541</v>
      </c>
      <c r="F1580">
        <v>5</v>
      </c>
      <c r="I1580" t="s">
        <v>3560</v>
      </c>
      <c r="J1580" t="s">
        <v>57</v>
      </c>
      <c r="K1580" t="s">
        <v>57</v>
      </c>
      <c r="L1580">
        <v>5</v>
      </c>
      <c r="M1580">
        <v>3</v>
      </c>
      <c r="N1580" t="s">
        <v>2745</v>
      </c>
      <c r="O1580" t="s">
        <v>1441</v>
      </c>
      <c r="P1580" t="s">
        <v>6393</v>
      </c>
      <c r="Q1580" t="s">
        <v>1443</v>
      </c>
      <c r="R1580" t="s">
        <v>1444</v>
      </c>
      <c r="S1580" t="s">
        <v>6394</v>
      </c>
    </row>
    <row r="1581" spans="1:19">
      <c r="A1581" t="s">
        <v>7232</v>
      </c>
      <c r="B1581" t="s">
        <v>6395</v>
      </c>
      <c r="C1581" t="s">
        <v>3968</v>
      </c>
      <c r="D1581">
        <v>277</v>
      </c>
      <c r="E1581" t="s">
        <v>5809</v>
      </c>
      <c r="F1581">
        <v>5</v>
      </c>
      <c r="G1581">
        <v>1</v>
      </c>
      <c r="H1581" t="s">
        <v>1507</v>
      </c>
      <c r="I1581" t="s">
        <v>3560</v>
      </c>
      <c r="J1581" t="s">
        <v>57</v>
      </c>
      <c r="K1581" t="s">
        <v>57</v>
      </c>
      <c r="L1581">
        <v>5</v>
      </c>
      <c r="M1581">
        <v>3</v>
      </c>
      <c r="N1581" t="s">
        <v>2745</v>
      </c>
      <c r="O1581" t="s">
        <v>1447</v>
      </c>
      <c r="P1581" t="s">
        <v>6396</v>
      </c>
      <c r="Q1581" t="s">
        <v>1443</v>
      </c>
      <c r="R1581" t="s">
        <v>6379</v>
      </c>
      <c r="S1581" t="s">
        <v>6397</v>
      </c>
    </row>
    <row r="1582" spans="1:19">
      <c r="A1582" t="s">
        <v>7235</v>
      </c>
      <c r="B1582" t="s">
        <v>6403</v>
      </c>
      <c r="C1582" t="s">
        <v>3968</v>
      </c>
      <c r="D1582">
        <v>277</v>
      </c>
      <c r="E1582" t="s">
        <v>6404</v>
      </c>
      <c r="F1582">
        <v>1</v>
      </c>
      <c r="G1582">
        <v>1</v>
      </c>
      <c r="H1582" t="s">
        <v>5026</v>
      </c>
      <c r="I1582" t="s">
        <v>3560</v>
      </c>
      <c r="J1582" t="s">
        <v>57</v>
      </c>
      <c r="K1582" t="s">
        <v>57</v>
      </c>
      <c r="L1582">
        <v>5</v>
      </c>
      <c r="M1582">
        <v>3</v>
      </c>
      <c r="N1582" t="s">
        <v>6377</v>
      </c>
      <c r="O1582" t="s">
        <v>1457</v>
      </c>
      <c r="P1582" t="s">
        <v>6405</v>
      </c>
      <c r="Q1582" t="s">
        <v>1443</v>
      </c>
      <c r="R1582" t="s">
        <v>6373</v>
      </c>
      <c r="S1582" t="s">
        <v>6406</v>
      </c>
    </row>
    <row r="1583" spans="1:19">
      <c r="A1583" t="s">
        <v>7236</v>
      </c>
      <c r="B1583" t="s">
        <v>6407</v>
      </c>
      <c r="C1583" t="s">
        <v>3968</v>
      </c>
      <c r="D1583">
        <v>278</v>
      </c>
      <c r="E1583" t="s">
        <v>6408</v>
      </c>
      <c r="F1583">
        <v>7</v>
      </c>
      <c r="G1583">
        <v>1</v>
      </c>
      <c r="H1583" t="s">
        <v>5026</v>
      </c>
      <c r="I1583" t="s">
        <v>3560</v>
      </c>
      <c r="J1583" t="s">
        <v>57</v>
      </c>
      <c r="K1583" t="s">
        <v>57</v>
      </c>
      <c r="L1583">
        <v>5</v>
      </c>
      <c r="M1583">
        <v>4</v>
      </c>
      <c r="N1583" t="s">
        <v>6409</v>
      </c>
      <c r="O1583" t="s">
        <v>1457</v>
      </c>
      <c r="P1583" t="s">
        <v>5705</v>
      </c>
      <c r="Q1583" t="s">
        <v>1473</v>
      </c>
      <c r="R1583" t="s">
        <v>6403</v>
      </c>
      <c r="S1583" t="s">
        <v>6410</v>
      </c>
    </row>
    <row r="1584" spans="1:19">
      <c r="A1584" t="s">
        <v>7237</v>
      </c>
      <c r="B1584" t="s">
        <v>6411</v>
      </c>
      <c r="C1584" t="s">
        <v>3968</v>
      </c>
      <c r="D1584">
        <v>279</v>
      </c>
      <c r="E1584" t="s">
        <v>6412</v>
      </c>
      <c r="F1584">
        <v>3</v>
      </c>
      <c r="G1584">
        <v>1</v>
      </c>
      <c r="H1584" t="s">
        <v>5026</v>
      </c>
      <c r="I1584" t="s">
        <v>3560</v>
      </c>
      <c r="J1584" t="s">
        <v>57</v>
      </c>
      <c r="K1584" t="s">
        <v>57</v>
      </c>
      <c r="L1584">
        <v>5</v>
      </c>
      <c r="M1584">
        <v>4</v>
      </c>
      <c r="N1584" t="s">
        <v>6409</v>
      </c>
      <c r="O1584" t="s">
        <v>1447</v>
      </c>
      <c r="P1584" t="s">
        <v>6413</v>
      </c>
      <c r="Q1584" t="s">
        <v>1443</v>
      </c>
      <c r="R1584" t="s">
        <v>6407</v>
      </c>
      <c r="S1584" t="s">
        <v>6414</v>
      </c>
    </row>
    <row r="1585" spans="1:19">
      <c r="A1585" t="s">
        <v>7238</v>
      </c>
      <c r="B1585" t="s">
        <v>6415</v>
      </c>
      <c r="C1585" t="s">
        <v>3968</v>
      </c>
      <c r="D1585">
        <v>279</v>
      </c>
      <c r="E1585" t="s">
        <v>3687</v>
      </c>
      <c r="I1585" t="s">
        <v>3560</v>
      </c>
      <c r="J1585" t="s">
        <v>57</v>
      </c>
      <c r="K1585" t="s">
        <v>57</v>
      </c>
      <c r="L1585">
        <v>5</v>
      </c>
      <c r="M1585">
        <v>4</v>
      </c>
      <c r="N1585" t="s">
        <v>2756</v>
      </c>
      <c r="O1585" t="s">
        <v>1513</v>
      </c>
      <c r="P1585" t="s">
        <v>5507</v>
      </c>
      <c r="Q1585" t="s">
        <v>1513</v>
      </c>
      <c r="R1585" t="s">
        <v>6411</v>
      </c>
      <c r="S1585" t="s">
        <v>6416</v>
      </c>
    </row>
    <row r="1586" spans="1:19">
      <c r="A1586" t="s">
        <v>4971</v>
      </c>
      <c r="B1586" t="s">
        <v>1395</v>
      </c>
      <c r="C1586" t="s">
        <v>3607</v>
      </c>
      <c r="D1586" t="s">
        <v>1407</v>
      </c>
      <c r="E1586" t="s">
        <v>1450</v>
      </c>
      <c r="F1586">
        <v>3</v>
      </c>
      <c r="I1586" t="s">
        <v>3238</v>
      </c>
      <c r="J1586" t="s">
        <v>59</v>
      </c>
      <c r="K1586" t="s">
        <v>59</v>
      </c>
      <c r="L1586">
        <v>1</v>
      </c>
      <c r="M1586">
        <v>1</v>
      </c>
      <c r="N1586" t="s">
        <v>2758</v>
      </c>
      <c r="O1586" t="s">
        <v>1441</v>
      </c>
      <c r="P1586" t="s">
        <v>1444</v>
      </c>
      <c r="Q1586" t="s">
        <v>1443</v>
      </c>
      <c r="R1586" t="s">
        <v>1444</v>
      </c>
      <c r="S1586" t="s">
        <v>2759</v>
      </c>
    </row>
    <row r="1587" spans="1:19">
      <c r="A1587" t="s">
        <v>4972</v>
      </c>
      <c r="B1587" t="s">
        <v>2760</v>
      </c>
      <c r="C1587" t="s">
        <v>3607</v>
      </c>
      <c r="D1587">
        <v>420</v>
      </c>
      <c r="E1587" t="s">
        <v>1450</v>
      </c>
      <c r="F1587">
        <v>3</v>
      </c>
      <c r="I1587" t="s">
        <v>3238</v>
      </c>
      <c r="J1587" t="s">
        <v>59</v>
      </c>
      <c r="K1587" t="s">
        <v>59</v>
      </c>
      <c r="L1587">
        <v>2</v>
      </c>
      <c r="M1587">
        <v>1</v>
      </c>
      <c r="N1587" t="s">
        <v>2761</v>
      </c>
      <c r="O1587" t="s">
        <v>1457</v>
      </c>
      <c r="P1587" t="s">
        <v>1444</v>
      </c>
      <c r="Q1587" t="s">
        <v>1443</v>
      </c>
      <c r="R1587" t="s">
        <v>1395</v>
      </c>
      <c r="S1587" t="s">
        <v>2762</v>
      </c>
    </row>
    <row r="1588" spans="1:19">
      <c r="A1588" t="s">
        <v>4975</v>
      </c>
      <c r="B1588" t="s">
        <v>1394</v>
      </c>
      <c r="C1588" t="s">
        <v>3607</v>
      </c>
      <c r="D1588">
        <v>421</v>
      </c>
      <c r="E1588" t="s">
        <v>1460</v>
      </c>
      <c r="F1588">
        <v>2</v>
      </c>
      <c r="I1588" t="s">
        <v>3238</v>
      </c>
      <c r="J1588" t="s">
        <v>59</v>
      </c>
      <c r="K1588" t="s">
        <v>59</v>
      </c>
      <c r="L1588">
        <v>2</v>
      </c>
      <c r="M1588">
        <v>1</v>
      </c>
      <c r="N1588" t="s">
        <v>2761</v>
      </c>
      <c r="O1588" t="s">
        <v>1441</v>
      </c>
      <c r="P1588" t="s">
        <v>1444</v>
      </c>
      <c r="Q1588" t="s">
        <v>1443</v>
      </c>
      <c r="R1588" t="s">
        <v>1395</v>
      </c>
      <c r="S1588" t="s">
        <v>2766</v>
      </c>
    </row>
    <row r="1589" spans="1:19">
      <c r="A1589" t="s">
        <v>4976</v>
      </c>
      <c r="B1589" t="s">
        <v>1396</v>
      </c>
      <c r="C1589" t="s">
        <v>3607</v>
      </c>
      <c r="D1589" t="s">
        <v>1391</v>
      </c>
      <c r="E1589" t="s">
        <v>1450</v>
      </c>
      <c r="F1589">
        <v>3</v>
      </c>
      <c r="I1589" t="s">
        <v>3238</v>
      </c>
      <c r="J1589" t="s">
        <v>59</v>
      </c>
      <c r="K1589" t="s">
        <v>59</v>
      </c>
      <c r="L1589">
        <v>2</v>
      </c>
      <c r="M1589">
        <v>1</v>
      </c>
      <c r="N1589" t="s">
        <v>2761</v>
      </c>
      <c r="O1589" t="s">
        <v>1441</v>
      </c>
      <c r="P1589" t="s">
        <v>1444</v>
      </c>
      <c r="Q1589" t="s">
        <v>1443</v>
      </c>
      <c r="R1589" t="s">
        <v>1444</v>
      </c>
      <c r="S1589" t="s">
        <v>2767</v>
      </c>
    </row>
    <row r="1590" spans="1:19">
      <c r="A1590" t="s">
        <v>4973</v>
      </c>
      <c r="B1590" t="s">
        <v>1397</v>
      </c>
      <c r="C1590" t="s">
        <v>3607</v>
      </c>
      <c r="D1590" t="s">
        <v>1398</v>
      </c>
      <c r="E1590" t="s">
        <v>1541</v>
      </c>
      <c r="F1590">
        <v>5</v>
      </c>
      <c r="I1590" t="s">
        <v>3238</v>
      </c>
      <c r="J1590" t="s">
        <v>59</v>
      </c>
      <c r="K1590" t="s">
        <v>59</v>
      </c>
      <c r="L1590">
        <v>3</v>
      </c>
      <c r="M1590">
        <v>1</v>
      </c>
      <c r="N1590" t="s">
        <v>2763</v>
      </c>
      <c r="O1590" t="s">
        <v>1457</v>
      </c>
      <c r="P1590" t="s">
        <v>1444</v>
      </c>
      <c r="Q1590" t="s">
        <v>1547</v>
      </c>
      <c r="R1590" t="s">
        <v>1395</v>
      </c>
      <c r="S1590" t="s">
        <v>2764</v>
      </c>
    </row>
    <row r="1591" spans="1:19">
      <c r="A1591" t="s">
        <v>4974</v>
      </c>
      <c r="B1591" t="s">
        <v>1404</v>
      </c>
      <c r="C1591" t="s">
        <v>3607</v>
      </c>
      <c r="D1591">
        <v>421</v>
      </c>
      <c r="E1591" t="s">
        <v>1450</v>
      </c>
      <c r="F1591">
        <v>3</v>
      </c>
      <c r="I1591" t="s">
        <v>3238</v>
      </c>
      <c r="J1591" t="s">
        <v>59</v>
      </c>
      <c r="K1591" t="s">
        <v>59</v>
      </c>
      <c r="L1591">
        <v>3</v>
      </c>
      <c r="M1591">
        <v>1</v>
      </c>
      <c r="N1591" t="s">
        <v>2763</v>
      </c>
      <c r="O1591" t="s">
        <v>1447</v>
      </c>
      <c r="P1591" t="s">
        <v>1444</v>
      </c>
      <c r="Q1591" t="s">
        <v>1443</v>
      </c>
      <c r="R1591" t="s">
        <v>1395</v>
      </c>
      <c r="S1591" t="s">
        <v>2765</v>
      </c>
    </row>
    <row r="1592" spans="1:19">
      <c r="A1592" t="s">
        <v>4979</v>
      </c>
      <c r="B1592" t="s">
        <v>1402</v>
      </c>
      <c r="C1592" t="s">
        <v>3607</v>
      </c>
      <c r="D1592" t="s">
        <v>1403</v>
      </c>
      <c r="E1592" t="s">
        <v>1439</v>
      </c>
      <c r="F1592">
        <v>1</v>
      </c>
      <c r="I1592" t="s">
        <v>3238</v>
      </c>
      <c r="J1592" t="s">
        <v>59</v>
      </c>
      <c r="K1592" t="s">
        <v>59</v>
      </c>
      <c r="L1592">
        <v>3</v>
      </c>
      <c r="M1592">
        <v>2</v>
      </c>
      <c r="N1592" t="s">
        <v>2771</v>
      </c>
      <c r="O1592" t="s">
        <v>1441</v>
      </c>
      <c r="P1592" t="s">
        <v>1444</v>
      </c>
      <c r="Q1592" t="s">
        <v>1443</v>
      </c>
      <c r="R1592" t="s">
        <v>1394</v>
      </c>
      <c r="S1592" t="s">
        <v>2772</v>
      </c>
    </row>
    <row r="1593" spans="1:19">
      <c r="A1593" t="s">
        <v>4988</v>
      </c>
      <c r="B1593" t="s">
        <v>3905</v>
      </c>
      <c r="C1593" t="s">
        <v>3602</v>
      </c>
      <c r="D1593">
        <v>38</v>
      </c>
      <c r="E1593" t="s">
        <v>1541</v>
      </c>
      <c r="F1593">
        <v>5</v>
      </c>
      <c r="I1593" t="s">
        <v>3238</v>
      </c>
      <c r="J1593" t="s">
        <v>59</v>
      </c>
      <c r="K1593" t="s">
        <v>59</v>
      </c>
      <c r="L1593">
        <v>3</v>
      </c>
      <c r="M1593">
        <v>1</v>
      </c>
      <c r="N1593" t="s">
        <v>2763</v>
      </c>
      <c r="O1593" t="s">
        <v>1447</v>
      </c>
      <c r="P1593" t="s">
        <v>1444</v>
      </c>
      <c r="Q1593" t="s">
        <v>1473</v>
      </c>
      <c r="R1593" t="s">
        <v>1394</v>
      </c>
      <c r="S1593" t="s">
        <v>3906</v>
      </c>
    </row>
    <row r="1594" spans="1:19">
      <c r="A1594" t="s">
        <v>4977</v>
      </c>
      <c r="B1594" t="s">
        <v>1406</v>
      </c>
      <c r="C1594" t="s">
        <v>3607</v>
      </c>
      <c r="D1594">
        <v>421</v>
      </c>
      <c r="E1594" t="s">
        <v>1599</v>
      </c>
      <c r="F1594">
        <v>10</v>
      </c>
      <c r="G1594">
        <v>1</v>
      </c>
      <c r="I1594" t="s">
        <v>3238</v>
      </c>
      <c r="J1594" t="s">
        <v>59</v>
      </c>
      <c r="K1594" t="s">
        <v>59</v>
      </c>
      <c r="L1594">
        <v>4</v>
      </c>
      <c r="M1594">
        <v>2</v>
      </c>
      <c r="N1594" t="s">
        <v>2768</v>
      </c>
      <c r="O1594" t="s">
        <v>1457</v>
      </c>
      <c r="P1594" t="s">
        <v>1444</v>
      </c>
      <c r="Q1594" t="s">
        <v>1547</v>
      </c>
      <c r="R1594" t="s">
        <v>1397</v>
      </c>
      <c r="S1594" t="s">
        <v>2769</v>
      </c>
    </row>
    <row r="1595" spans="1:19">
      <c r="A1595" t="s">
        <v>4978</v>
      </c>
      <c r="B1595" t="s">
        <v>1399</v>
      </c>
      <c r="C1595" t="s">
        <v>3607</v>
      </c>
      <c r="D1595" t="s">
        <v>1400</v>
      </c>
      <c r="E1595" t="s">
        <v>1476</v>
      </c>
      <c r="F1595">
        <v>3</v>
      </c>
      <c r="G1595">
        <v>1</v>
      </c>
      <c r="I1595" t="s">
        <v>3238</v>
      </c>
      <c r="J1595" t="s">
        <v>59</v>
      </c>
      <c r="K1595" t="s">
        <v>59</v>
      </c>
      <c r="L1595">
        <v>4</v>
      </c>
      <c r="M1595">
        <v>2</v>
      </c>
      <c r="N1595" t="s">
        <v>2768</v>
      </c>
      <c r="O1595" t="s">
        <v>1447</v>
      </c>
      <c r="P1595" t="s">
        <v>1444</v>
      </c>
      <c r="Q1595" t="s">
        <v>1443</v>
      </c>
      <c r="R1595" t="s">
        <v>1404</v>
      </c>
      <c r="S1595" t="s">
        <v>2770</v>
      </c>
    </row>
    <row r="1596" spans="1:19">
      <c r="A1596" t="s">
        <v>4980</v>
      </c>
      <c r="B1596" t="s">
        <v>1393</v>
      </c>
      <c r="C1596" t="s">
        <v>3607</v>
      </c>
      <c r="D1596" t="s">
        <v>1391</v>
      </c>
      <c r="E1596" t="s">
        <v>1554</v>
      </c>
      <c r="F1596">
        <v>4</v>
      </c>
      <c r="I1596" t="s">
        <v>3238</v>
      </c>
      <c r="J1596" t="s">
        <v>59</v>
      </c>
      <c r="K1596" t="s">
        <v>59</v>
      </c>
      <c r="L1596">
        <v>4</v>
      </c>
      <c r="M1596">
        <v>2</v>
      </c>
      <c r="N1596" t="s">
        <v>2768</v>
      </c>
      <c r="O1596" t="s">
        <v>1441</v>
      </c>
      <c r="P1596" t="s">
        <v>1444</v>
      </c>
      <c r="Q1596" t="s">
        <v>1443</v>
      </c>
      <c r="R1596" t="s">
        <v>1402</v>
      </c>
      <c r="S1596" t="s">
        <v>2773</v>
      </c>
    </row>
    <row r="1597" spans="1:19">
      <c r="A1597" t="s">
        <v>4981</v>
      </c>
      <c r="B1597" t="s">
        <v>2774</v>
      </c>
      <c r="C1597" t="s">
        <v>3607</v>
      </c>
      <c r="D1597">
        <v>422</v>
      </c>
      <c r="E1597" t="s">
        <v>2775</v>
      </c>
      <c r="F1597">
        <v>4</v>
      </c>
      <c r="G1597">
        <v>1</v>
      </c>
      <c r="I1597" t="s">
        <v>3238</v>
      </c>
      <c r="J1597" t="s">
        <v>59</v>
      </c>
      <c r="K1597" t="s">
        <v>59</v>
      </c>
      <c r="L1597">
        <v>4</v>
      </c>
      <c r="M1597">
        <v>2</v>
      </c>
      <c r="N1597" t="s">
        <v>2768</v>
      </c>
      <c r="O1597" t="s">
        <v>1457</v>
      </c>
      <c r="P1597" t="s">
        <v>1444</v>
      </c>
      <c r="Q1597" t="s">
        <v>1443</v>
      </c>
      <c r="R1597" t="s">
        <v>1396</v>
      </c>
      <c r="S1597" t="s">
        <v>2776</v>
      </c>
    </row>
    <row r="1598" spans="1:19">
      <c r="A1598" t="s">
        <v>4982</v>
      </c>
      <c r="B1598" t="s">
        <v>1390</v>
      </c>
      <c r="C1598" t="s">
        <v>3607</v>
      </c>
      <c r="D1598" t="s">
        <v>1391</v>
      </c>
      <c r="E1598" t="s">
        <v>1541</v>
      </c>
      <c r="F1598">
        <v>5</v>
      </c>
      <c r="I1598" t="s">
        <v>3238</v>
      </c>
      <c r="J1598" t="s">
        <v>59</v>
      </c>
      <c r="K1598" t="s">
        <v>59</v>
      </c>
      <c r="L1598">
        <v>4</v>
      </c>
      <c r="M1598">
        <v>2</v>
      </c>
      <c r="N1598" t="s">
        <v>2768</v>
      </c>
      <c r="O1598" t="s">
        <v>1447</v>
      </c>
      <c r="P1598" t="s">
        <v>1444</v>
      </c>
      <c r="Q1598" t="s">
        <v>1443</v>
      </c>
      <c r="R1598" t="s">
        <v>1396</v>
      </c>
      <c r="S1598" t="s">
        <v>2777</v>
      </c>
    </row>
    <row r="1599" spans="1:19">
      <c r="A1599" t="s">
        <v>4983</v>
      </c>
      <c r="B1599" t="s">
        <v>1401</v>
      </c>
      <c r="C1599" t="s">
        <v>3607</v>
      </c>
      <c r="D1599">
        <v>423</v>
      </c>
      <c r="E1599" t="s">
        <v>1599</v>
      </c>
      <c r="F1599">
        <v>10</v>
      </c>
      <c r="G1599">
        <v>1</v>
      </c>
      <c r="I1599" t="s">
        <v>3238</v>
      </c>
      <c r="J1599" t="s">
        <v>59</v>
      </c>
      <c r="K1599" t="s">
        <v>59</v>
      </c>
      <c r="L1599">
        <v>5</v>
      </c>
      <c r="M1599">
        <v>3</v>
      </c>
      <c r="N1599" t="s">
        <v>2778</v>
      </c>
      <c r="O1599" t="s">
        <v>1457</v>
      </c>
      <c r="P1599" t="s">
        <v>1444</v>
      </c>
      <c r="Q1599" t="s">
        <v>1443</v>
      </c>
      <c r="R1599" t="s">
        <v>2779</v>
      </c>
      <c r="S1599" t="s">
        <v>2780</v>
      </c>
    </row>
    <row r="1600" spans="1:19">
      <c r="A1600" t="s">
        <v>4984</v>
      </c>
      <c r="B1600" t="s">
        <v>1405</v>
      </c>
      <c r="C1600" t="s">
        <v>3607</v>
      </c>
      <c r="D1600">
        <v>423</v>
      </c>
      <c r="E1600" t="s">
        <v>1599</v>
      </c>
      <c r="F1600">
        <v>10</v>
      </c>
      <c r="G1600">
        <v>1</v>
      </c>
      <c r="I1600" t="s">
        <v>3238</v>
      </c>
      <c r="J1600" t="s">
        <v>59</v>
      </c>
      <c r="K1600" t="s">
        <v>59</v>
      </c>
      <c r="L1600">
        <v>5</v>
      </c>
      <c r="M1600">
        <v>3</v>
      </c>
      <c r="N1600" t="s">
        <v>2778</v>
      </c>
      <c r="O1600" t="s">
        <v>1447</v>
      </c>
      <c r="P1600" t="s">
        <v>1444</v>
      </c>
      <c r="Q1600" t="s">
        <v>1443</v>
      </c>
      <c r="R1600" t="s">
        <v>1401</v>
      </c>
      <c r="S1600" t="s">
        <v>2781</v>
      </c>
    </row>
    <row r="1601" spans="1:19">
      <c r="A1601" t="s">
        <v>4985</v>
      </c>
      <c r="B1601" t="s">
        <v>1392</v>
      </c>
      <c r="C1601" t="s">
        <v>3607</v>
      </c>
      <c r="D1601">
        <v>423</v>
      </c>
      <c r="E1601" t="s">
        <v>1511</v>
      </c>
      <c r="F1601" t="s">
        <v>1511</v>
      </c>
      <c r="I1601" t="s">
        <v>3238</v>
      </c>
      <c r="J1601" t="s">
        <v>59</v>
      </c>
      <c r="K1601" t="s">
        <v>59</v>
      </c>
      <c r="L1601">
        <v>5</v>
      </c>
      <c r="M1601">
        <v>3</v>
      </c>
      <c r="N1601" t="s">
        <v>2778</v>
      </c>
      <c r="O1601" t="s">
        <v>1513</v>
      </c>
      <c r="P1601" t="s">
        <v>1444</v>
      </c>
      <c r="Q1601" t="s">
        <v>1513</v>
      </c>
      <c r="R1601" t="s">
        <v>1393</v>
      </c>
      <c r="S1601" t="s">
        <v>2782</v>
      </c>
    </row>
    <row r="1602" spans="1:19">
      <c r="A1602" t="s">
        <v>4986</v>
      </c>
      <c r="B1602" t="s">
        <v>2783</v>
      </c>
      <c r="C1602" t="s">
        <v>3607</v>
      </c>
      <c r="D1602">
        <v>423</v>
      </c>
      <c r="E1602" t="s">
        <v>1439</v>
      </c>
      <c r="F1602">
        <v>1</v>
      </c>
      <c r="I1602" t="s">
        <v>3238</v>
      </c>
      <c r="J1602" t="s">
        <v>59</v>
      </c>
      <c r="K1602" t="s">
        <v>59</v>
      </c>
      <c r="L1602">
        <v>5</v>
      </c>
      <c r="M1602">
        <v>3</v>
      </c>
      <c r="N1602" t="s">
        <v>2778</v>
      </c>
      <c r="O1602" t="s">
        <v>1447</v>
      </c>
      <c r="P1602" t="s">
        <v>1444</v>
      </c>
      <c r="Q1602" t="s">
        <v>1443</v>
      </c>
      <c r="R1602" t="s">
        <v>1390</v>
      </c>
      <c r="S1602" t="s">
        <v>2784</v>
      </c>
    </row>
    <row r="1603" spans="1:19">
      <c r="A1603" t="s">
        <v>4987</v>
      </c>
      <c r="B1603" t="s">
        <v>2785</v>
      </c>
      <c r="C1603" t="s">
        <v>3607</v>
      </c>
      <c r="D1603">
        <v>423</v>
      </c>
      <c r="E1603" t="s">
        <v>1599</v>
      </c>
      <c r="F1603">
        <v>10</v>
      </c>
      <c r="G1603">
        <v>1</v>
      </c>
      <c r="I1603" t="s">
        <v>3238</v>
      </c>
      <c r="J1603" t="s">
        <v>59</v>
      </c>
      <c r="K1603" t="s">
        <v>59</v>
      </c>
      <c r="L1603">
        <v>5</v>
      </c>
      <c r="M1603">
        <v>3</v>
      </c>
      <c r="N1603" t="s">
        <v>2778</v>
      </c>
      <c r="O1603" t="s">
        <v>1457</v>
      </c>
      <c r="P1603" t="s">
        <v>1444</v>
      </c>
      <c r="Q1603" t="s">
        <v>1473</v>
      </c>
      <c r="R1603" t="s">
        <v>2786</v>
      </c>
      <c r="S1603" t="s">
        <v>2787</v>
      </c>
    </row>
    <row r="1604" spans="1:19">
      <c r="A1604" t="s">
        <v>4989</v>
      </c>
      <c r="B1604" t="s">
        <v>3907</v>
      </c>
      <c r="C1604" t="s">
        <v>3602</v>
      </c>
      <c r="D1604">
        <v>38</v>
      </c>
      <c r="E1604" t="s">
        <v>1541</v>
      </c>
      <c r="F1604">
        <v>5</v>
      </c>
      <c r="I1604" t="s">
        <v>3238</v>
      </c>
      <c r="J1604" t="s">
        <v>59</v>
      </c>
      <c r="K1604" t="s">
        <v>59</v>
      </c>
      <c r="L1604">
        <v>5</v>
      </c>
      <c r="M1604">
        <v>4</v>
      </c>
      <c r="N1604" t="s">
        <v>3908</v>
      </c>
      <c r="O1604" t="s">
        <v>1447</v>
      </c>
      <c r="P1604" t="s">
        <v>1444</v>
      </c>
      <c r="Q1604" t="s">
        <v>1443</v>
      </c>
      <c r="R1604" t="s">
        <v>1392</v>
      </c>
      <c r="S1604" t="s">
        <v>3909</v>
      </c>
    </row>
    <row r="1605" spans="1:19">
      <c r="A1605" t="s">
        <v>7239</v>
      </c>
      <c r="B1605" t="s">
        <v>6417</v>
      </c>
      <c r="C1605" t="s">
        <v>3968</v>
      </c>
      <c r="D1605">
        <v>279</v>
      </c>
      <c r="E1605" t="s">
        <v>4991</v>
      </c>
      <c r="F1605">
        <v>1</v>
      </c>
      <c r="I1605" t="s">
        <v>3560</v>
      </c>
      <c r="J1605" t="s">
        <v>59</v>
      </c>
      <c r="K1605" t="s">
        <v>59</v>
      </c>
      <c r="L1605">
        <v>1</v>
      </c>
      <c r="M1605">
        <v>1</v>
      </c>
      <c r="N1605" t="s">
        <v>2758</v>
      </c>
      <c r="O1605" t="s">
        <v>1441</v>
      </c>
      <c r="P1605" t="s">
        <v>5129</v>
      </c>
      <c r="Q1605" t="s">
        <v>1443</v>
      </c>
      <c r="R1605" t="s">
        <v>1444</v>
      </c>
      <c r="S1605" t="s">
        <v>6418</v>
      </c>
    </row>
    <row r="1606" spans="1:19">
      <c r="A1606" t="s">
        <v>7240</v>
      </c>
      <c r="B1606" t="s">
        <v>6419</v>
      </c>
      <c r="C1606" t="s">
        <v>3968</v>
      </c>
      <c r="D1606">
        <v>279</v>
      </c>
      <c r="E1606" t="s">
        <v>1541</v>
      </c>
      <c r="F1606">
        <v>5</v>
      </c>
      <c r="I1606" t="s">
        <v>3560</v>
      </c>
      <c r="J1606" t="s">
        <v>59</v>
      </c>
      <c r="K1606" t="s">
        <v>59</v>
      </c>
      <c r="L1606">
        <v>2</v>
      </c>
      <c r="M1606">
        <v>1</v>
      </c>
      <c r="N1606" t="s">
        <v>2761</v>
      </c>
      <c r="O1606" t="s">
        <v>1441</v>
      </c>
      <c r="P1606" t="s">
        <v>5083</v>
      </c>
      <c r="Q1606" t="s">
        <v>1443</v>
      </c>
      <c r="R1606" t="s">
        <v>1444</v>
      </c>
      <c r="S1606" t="s">
        <v>6420</v>
      </c>
    </row>
    <row r="1607" spans="1:19">
      <c r="A1607" t="s">
        <v>7242</v>
      </c>
      <c r="B1607" t="s">
        <v>6424</v>
      </c>
      <c r="C1607" t="s">
        <v>3968</v>
      </c>
      <c r="D1607">
        <v>279</v>
      </c>
      <c r="E1607" t="s">
        <v>1450</v>
      </c>
      <c r="F1607">
        <v>3</v>
      </c>
      <c r="I1607" t="s">
        <v>3560</v>
      </c>
      <c r="J1607" t="s">
        <v>59</v>
      </c>
      <c r="K1607" t="s">
        <v>59</v>
      </c>
      <c r="L1607">
        <v>2</v>
      </c>
      <c r="M1607">
        <v>1</v>
      </c>
      <c r="N1607" t="s">
        <v>2761</v>
      </c>
      <c r="O1607" t="s">
        <v>1447</v>
      </c>
      <c r="P1607" t="s">
        <v>6425</v>
      </c>
      <c r="Q1607" t="s">
        <v>1600</v>
      </c>
      <c r="R1607" t="s">
        <v>1444</v>
      </c>
      <c r="S1607" t="s">
        <v>6426</v>
      </c>
    </row>
    <row r="1608" spans="1:19">
      <c r="A1608" t="s">
        <v>7241</v>
      </c>
      <c r="B1608" t="s">
        <v>6421</v>
      </c>
      <c r="C1608" t="s">
        <v>3968</v>
      </c>
      <c r="D1608">
        <v>279</v>
      </c>
      <c r="E1608" t="s">
        <v>1450</v>
      </c>
      <c r="F1608">
        <v>3</v>
      </c>
      <c r="I1608" t="s">
        <v>3560</v>
      </c>
      <c r="J1608" t="s">
        <v>59</v>
      </c>
      <c r="K1608" t="s">
        <v>59</v>
      </c>
      <c r="L1608">
        <v>3</v>
      </c>
      <c r="M1608">
        <v>1</v>
      </c>
      <c r="N1608" t="s">
        <v>2763</v>
      </c>
      <c r="O1608" t="s">
        <v>1441</v>
      </c>
      <c r="P1608" t="s">
        <v>5094</v>
      </c>
      <c r="Q1608" t="s">
        <v>1443</v>
      </c>
      <c r="R1608" t="s">
        <v>6422</v>
      </c>
      <c r="S1608" t="s">
        <v>6423</v>
      </c>
    </row>
    <row r="1609" spans="1:19">
      <c r="A1609" t="s">
        <v>7243</v>
      </c>
      <c r="B1609" t="s">
        <v>6427</v>
      </c>
      <c r="C1609" t="s">
        <v>3968</v>
      </c>
      <c r="D1609">
        <v>279</v>
      </c>
      <c r="E1609" t="s">
        <v>1460</v>
      </c>
      <c r="F1609">
        <v>2</v>
      </c>
      <c r="I1609" t="s">
        <v>3560</v>
      </c>
      <c r="J1609" t="s">
        <v>59</v>
      </c>
      <c r="K1609" t="s">
        <v>59</v>
      </c>
      <c r="L1609">
        <v>3</v>
      </c>
      <c r="M1609">
        <v>1</v>
      </c>
      <c r="N1609" t="s">
        <v>2763</v>
      </c>
      <c r="O1609" t="s">
        <v>1441</v>
      </c>
      <c r="P1609" t="s">
        <v>5363</v>
      </c>
      <c r="Q1609" t="s">
        <v>1443</v>
      </c>
      <c r="R1609" t="s">
        <v>6424</v>
      </c>
      <c r="S1609" t="s">
        <v>6428</v>
      </c>
    </row>
    <row r="1610" spans="1:19">
      <c r="A1610" t="s">
        <v>7245</v>
      </c>
      <c r="B1610" t="s">
        <v>6433</v>
      </c>
      <c r="C1610" t="s">
        <v>3968</v>
      </c>
      <c r="D1610">
        <v>280</v>
      </c>
      <c r="E1610" t="s">
        <v>1486</v>
      </c>
      <c r="F1610">
        <v>3</v>
      </c>
      <c r="H1610" t="s">
        <v>2434</v>
      </c>
      <c r="I1610" t="s">
        <v>3560</v>
      </c>
      <c r="J1610" t="s">
        <v>59</v>
      </c>
      <c r="K1610" t="s">
        <v>59</v>
      </c>
      <c r="L1610">
        <v>3</v>
      </c>
      <c r="M1610">
        <v>2</v>
      </c>
      <c r="N1610" t="s">
        <v>2771</v>
      </c>
      <c r="O1610" t="s">
        <v>1447</v>
      </c>
      <c r="P1610" t="s">
        <v>6434</v>
      </c>
      <c r="Q1610" t="s">
        <v>1443</v>
      </c>
      <c r="R1610" t="s">
        <v>6435</v>
      </c>
      <c r="S1610" t="s">
        <v>6436</v>
      </c>
    </row>
    <row r="1611" spans="1:19">
      <c r="A1611" t="s">
        <v>7246</v>
      </c>
      <c r="B1611" t="s">
        <v>6437</v>
      </c>
      <c r="C1611" t="s">
        <v>3968</v>
      </c>
      <c r="D1611">
        <v>280</v>
      </c>
      <c r="E1611" t="s">
        <v>1465</v>
      </c>
      <c r="F1611">
        <v>1</v>
      </c>
      <c r="G1611">
        <v>1</v>
      </c>
      <c r="I1611" t="s">
        <v>3560</v>
      </c>
      <c r="J1611" t="s">
        <v>59</v>
      </c>
      <c r="K1611" t="s">
        <v>59</v>
      </c>
      <c r="L1611">
        <v>4</v>
      </c>
      <c r="M1611">
        <v>2</v>
      </c>
      <c r="N1611" t="s">
        <v>2768</v>
      </c>
      <c r="O1611" t="s">
        <v>1441</v>
      </c>
      <c r="P1611" t="s">
        <v>5002</v>
      </c>
      <c r="Q1611" t="s">
        <v>1443</v>
      </c>
      <c r="R1611" t="s">
        <v>6433</v>
      </c>
      <c r="S1611" t="s">
        <v>6438</v>
      </c>
    </row>
    <row r="1612" spans="1:19">
      <c r="A1612" t="s">
        <v>7247</v>
      </c>
      <c r="B1612" t="s">
        <v>6439</v>
      </c>
      <c r="C1612" t="s">
        <v>3968</v>
      </c>
      <c r="D1612">
        <v>280</v>
      </c>
      <c r="E1612" t="s">
        <v>1450</v>
      </c>
      <c r="F1612">
        <v>3</v>
      </c>
      <c r="I1612" t="s">
        <v>3560</v>
      </c>
      <c r="J1612" t="s">
        <v>59</v>
      </c>
      <c r="K1612" t="s">
        <v>59</v>
      </c>
      <c r="L1612">
        <v>4</v>
      </c>
      <c r="M1612">
        <v>2</v>
      </c>
      <c r="N1612" t="s">
        <v>2768</v>
      </c>
      <c r="O1612" t="s">
        <v>1441</v>
      </c>
      <c r="P1612" t="s">
        <v>5080</v>
      </c>
      <c r="Q1612" t="s">
        <v>1443</v>
      </c>
      <c r="R1612" t="s">
        <v>6421</v>
      </c>
      <c r="S1612" t="s">
        <v>6440</v>
      </c>
    </row>
    <row r="1613" spans="1:19">
      <c r="A1613" t="s">
        <v>7252</v>
      </c>
      <c r="B1613" t="s">
        <v>6450</v>
      </c>
      <c r="C1613" t="s">
        <v>3968</v>
      </c>
      <c r="D1613">
        <v>282</v>
      </c>
      <c r="E1613" t="s">
        <v>1618</v>
      </c>
      <c r="F1613">
        <v>3</v>
      </c>
      <c r="H1613" t="s">
        <v>2420</v>
      </c>
      <c r="I1613" t="s">
        <v>3560</v>
      </c>
      <c r="J1613" t="s">
        <v>59</v>
      </c>
      <c r="K1613" t="s">
        <v>59</v>
      </c>
      <c r="L1613">
        <v>4</v>
      </c>
      <c r="M1613">
        <v>3</v>
      </c>
      <c r="N1613" t="s">
        <v>6451</v>
      </c>
      <c r="O1613" t="s">
        <v>1447</v>
      </c>
      <c r="P1613" t="s">
        <v>6452</v>
      </c>
      <c r="Q1613" t="s">
        <v>1443</v>
      </c>
      <c r="R1613" t="s">
        <v>6421</v>
      </c>
      <c r="S1613" t="s">
        <v>6453</v>
      </c>
    </row>
    <row r="1614" spans="1:19">
      <c r="A1614" t="s">
        <v>7244</v>
      </c>
      <c r="B1614" t="s">
        <v>6429</v>
      </c>
      <c r="C1614" t="s">
        <v>3968</v>
      </c>
      <c r="D1614">
        <v>280</v>
      </c>
      <c r="E1614" t="s">
        <v>6430</v>
      </c>
      <c r="F1614">
        <v>10</v>
      </c>
      <c r="G1614">
        <v>1</v>
      </c>
      <c r="H1614" t="s">
        <v>5121</v>
      </c>
      <c r="I1614" t="s">
        <v>3560</v>
      </c>
      <c r="J1614" t="s">
        <v>59</v>
      </c>
      <c r="K1614" t="s">
        <v>59</v>
      </c>
      <c r="L1614">
        <v>5</v>
      </c>
      <c r="M1614">
        <v>3</v>
      </c>
      <c r="N1614" t="s">
        <v>2778</v>
      </c>
      <c r="O1614" t="s">
        <v>1457</v>
      </c>
      <c r="P1614" t="s">
        <v>5147</v>
      </c>
      <c r="Q1614" t="s">
        <v>6431</v>
      </c>
      <c r="R1614" t="s">
        <v>1444</v>
      </c>
      <c r="S1614" t="s">
        <v>6432</v>
      </c>
    </row>
    <row r="1615" spans="1:19">
      <c r="A1615" t="s">
        <v>7248</v>
      </c>
      <c r="B1615" t="s">
        <v>6441</v>
      </c>
      <c r="C1615" t="s">
        <v>3968</v>
      </c>
      <c r="D1615">
        <v>280</v>
      </c>
      <c r="E1615" t="s">
        <v>1467</v>
      </c>
      <c r="F1615">
        <v>5</v>
      </c>
      <c r="G1615">
        <v>1</v>
      </c>
      <c r="I1615" t="s">
        <v>3560</v>
      </c>
      <c r="J1615" t="s">
        <v>59</v>
      </c>
      <c r="K1615" t="s">
        <v>59</v>
      </c>
      <c r="L1615">
        <v>5</v>
      </c>
      <c r="M1615">
        <v>3</v>
      </c>
      <c r="N1615" t="s">
        <v>2778</v>
      </c>
      <c r="O1615" t="s">
        <v>1441</v>
      </c>
      <c r="P1615" t="s">
        <v>5287</v>
      </c>
      <c r="Q1615" t="s">
        <v>1473</v>
      </c>
      <c r="R1615" t="s">
        <v>1444</v>
      </c>
      <c r="S1615" t="s">
        <v>6442</v>
      </c>
    </row>
    <row r="1616" spans="1:19">
      <c r="A1616" t="s">
        <v>7249</v>
      </c>
      <c r="B1616" t="s">
        <v>6443</v>
      </c>
      <c r="C1616" t="s">
        <v>3968</v>
      </c>
      <c r="D1616">
        <v>281</v>
      </c>
      <c r="E1616" t="s">
        <v>5107</v>
      </c>
      <c r="F1616">
        <v>5</v>
      </c>
      <c r="G1616">
        <v>1</v>
      </c>
      <c r="H1616" t="s">
        <v>5108</v>
      </c>
      <c r="I1616" t="s">
        <v>3560</v>
      </c>
      <c r="J1616" t="s">
        <v>59</v>
      </c>
      <c r="K1616" t="s">
        <v>59</v>
      </c>
      <c r="L1616">
        <v>5</v>
      </c>
      <c r="M1616">
        <v>3</v>
      </c>
      <c r="N1616" s="18" t="s">
        <v>2778</v>
      </c>
      <c r="O1616" t="s">
        <v>1441</v>
      </c>
      <c r="P1616" t="s">
        <v>5109</v>
      </c>
      <c r="Q1616" t="s">
        <v>1443</v>
      </c>
      <c r="R1616" t="s">
        <v>1444</v>
      </c>
      <c r="S1616" t="s">
        <v>6444</v>
      </c>
    </row>
    <row r="1617" spans="1:19">
      <c r="A1617" t="s">
        <v>7250</v>
      </c>
      <c r="B1617" t="s">
        <v>6445</v>
      </c>
      <c r="C1617" t="s">
        <v>3968</v>
      </c>
      <c r="D1617">
        <v>282</v>
      </c>
      <c r="E1617" t="s">
        <v>1467</v>
      </c>
      <c r="F1617">
        <v>5</v>
      </c>
      <c r="G1617">
        <v>1</v>
      </c>
      <c r="I1617" t="s">
        <v>3560</v>
      </c>
      <c r="J1617" t="s">
        <v>59</v>
      </c>
      <c r="K1617" t="s">
        <v>59</v>
      </c>
      <c r="L1617">
        <v>5</v>
      </c>
      <c r="M1617">
        <v>3</v>
      </c>
      <c r="N1617" t="s">
        <v>2778</v>
      </c>
      <c r="O1617" t="s">
        <v>1457</v>
      </c>
      <c r="P1617" t="s">
        <v>5115</v>
      </c>
      <c r="Q1617" t="s">
        <v>6431</v>
      </c>
      <c r="R1617" t="s">
        <v>1444</v>
      </c>
      <c r="S1617" t="s">
        <v>6446</v>
      </c>
    </row>
    <row r="1618" spans="1:19">
      <c r="A1618" t="s">
        <v>7251</v>
      </c>
      <c r="B1618" t="s">
        <v>6447</v>
      </c>
      <c r="C1618" t="s">
        <v>3968</v>
      </c>
      <c r="D1618">
        <v>282</v>
      </c>
      <c r="E1618" t="s">
        <v>1479</v>
      </c>
      <c r="F1618">
        <v>6</v>
      </c>
      <c r="G1618">
        <v>1</v>
      </c>
      <c r="I1618" t="s">
        <v>3560</v>
      </c>
      <c r="J1618" t="s">
        <v>59</v>
      </c>
      <c r="K1618" t="s">
        <v>59</v>
      </c>
      <c r="L1618">
        <v>5</v>
      </c>
      <c r="M1618">
        <v>3</v>
      </c>
      <c r="N1618" t="s">
        <v>2778</v>
      </c>
      <c r="O1618" t="s">
        <v>1457</v>
      </c>
      <c r="P1618" t="s">
        <v>6448</v>
      </c>
      <c r="Q1618" t="s">
        <v>6431</v>
      </c>
      <c r="R1618" t="s">
        <v>1444</v>
      </c>
      <c r="S1618" t="s">
        <v>6449</v>
      </c>
    </row>
    <row r="1619" spans="1:19">
      <c r="A1619" t="s">
        <v>7253</v>
      </c>
      <c r="B1619" t="s">
        <v>6454</v>
      </c>
      <c r="C1619" t="s">
        <v>3968</v>
      </c>
      <c r="D1619">
        <v>283</v>
      </c>
      <c r="E1619" t="s">
        <v>5815</v>
      </c>
      <c r="F1619">
        <v>5</v>
      </c>
      <c r="H1619" t="s">
        <v>5201</v>
      </c>
      <c r="I1619" t="s">
        <v>3560</v>
      </c>
      <c r="J1619" t="s">
        <v>59</v>
      </c>
      <c r="K1619" t="s">
        <v>59</v>
      </c>
      <c r="L1619">
        <v>5</v>
      </c>
      <c r="M1619">
        <v>3</v>
      </c>
      <c r="N1619" t="s">
        <v>2778</v>
      </c>
      <c r="O1619" t="s">
        <v>1441</v>
      </c>
      <c r="P1619" t="s">
        <v>5075</v>
      </c>
      <c r="Q1619" t="s">
        <v>1443</v>
      </c>
      <c r="R1619" t="s">
        <v>6427</v>
      </c>
      <c r="S1619" t="s">
        <v>6455</v>
      </c>
    </row>
    <row r="1620" spans="1:19">
      <c r="A1620" t="s">
        <v>7254</v>
      </c>
      <c r="B1620" t="s">
        <v>6456</v>
      </c>
      <c r="C1620" t="s">
        <v>3968</v>
      </c>
      <c r="D1620">
        <v>283</v>
      </c>
      <c r="E1620" t="s">
        <v>6457</v>
      </c>
      <c r="F1620">
        <v>1</v>
      </c>
      <c r="G1620">
        <v>1</v>
      </c>
      <c r="I1620" t="s">
        <v>3560</v>
      </c>
      <c r="J1620" t="s">
        <v>59</v>
      </c>
      <c r="K1620" t="s">
        <v>59</v>
      </c>
      <c r="L1620">
        <v>5</v>
      </c>
      <c r="M1620">
        <v>3</v>
      </c>
      <c r="N1620" t="s">
        <v>2778</v>
      </c>
      <c r="O1620" t="s">
        <v>1441</v>
      </c>
      <c r="P1620" t="s">
        <v>6458</v>
      </c>
      <c r="Q1620" t="s">
        <v>1443</v>
      </c>
      <c r="R1620" t="s">
        <v>6454</v>
      </c>
      <c r="S1620" t="s">
        <v>6459</v>
      </c>
    </row>
    <row r="1621" spans="1:19">
      <c r="A1621" t="s">
        <v>7255</v>
      </c>
      <c r="B1621" t="s">
        <v>6460</v>
      </c>
      <c r="C1621" t="s">
        <v>3968</v>
      </c>
      <c r="D1621">
        <v>283</v>
      </c>
      <c r="E1621" t="s">
        <v>1467</v>
      </c>
      <c r="F1621">
        <v>5</v>
      </c>
      <c r="G1621">
        <v>1</v>
      </c>
      <c r="I1621" t="s">
        <v>3560</v>
      </c>
      <c r="J1621" t="s">
        <v>59</v>
      </c>
      <c r="K1621" t="s">
        <v>59</v>
      </c>
      <c r="L1621">
        <v>5</v>
      </c>
      <c r="M1621">
        <v>4</v>
      </c>
      <c r="N1621" t="s">
        <v>3908</v>
      </c>
      <c r="O1621" t="s">
        <v>1447</v>
      </c>
      <c r="P1621" t="s">
        <v>5172</v>
      </c>
      <c r="Q1621" t="s">
        <v>1473</v>
      </c>
      <c r="R1621" t="s">
        <v>6450</v>
      </c>
      <c r="S1621" t="s">
        <v>6461</v>
      </c>
    </row>
  </sheetData>
  <sortState xmlns:xlrd2="http://schemas.microsoft.com/office/spreadsheetml/2017/richdata2" ref="A2:T1621">
    <sortCondition ref="J2:J1621"/>
    <sortCondition ref="K2:K1621"/>
    <sortCondition ref="L2:L1621"/>
  </sortState>
  <pageMargins left="0.7" right="0.7" top="0.75" bottom="0.75" header="0.3" footer="0.3"/>
  <pageSetup paperSize="9" orientation="portrait" r:id="rId1"/>
  <legacy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Feuil13"/>
  <dimension ref="A1:L100"/>
  <sheetViews>
    <sheetView workbookViewId="0">
      <selection activeCell="M25" sqref="M25"/>
    </sheetView>
  </sheetViews>
  <sheetFormatPr baseColWidth="10" defaultRowHeight="14.25"/>
  <cols>
    <col min="3" max="3" width="13.375" customWidth="1"/>
  </cols>
  <sheetData>
    <row r="1" spans="1:12">
      <c r="A1" s="229" t="s">
        <v>3958</v>
      </c>
      <c r="B1" s="229"/>
      <c r="E1" s="18" t="s">
        <v>3959</v>
      </c>
      <c r="F1" s="18"/>
      <c r="J1" s="18" t="s">
        <v>3960</v>
      </c>
      <c r="K1" s="18"/>
    </row>
    <row r="2" spans="1:12">
      <c r="A2" s="230" t="e">
        <f>IF(VLOOKUP(Creation_1!$S$4,Castes!$B$2:$D$25,3,FALSE)="None","Out, Mortal !",IF(VLOOKUP(Creation_1!$S$4,Castes!$B$2:$D$25,3,FALSE)="Abilities",E2,J2))</f>
        <v>#N/A</v>
      </c>
      <c r="B2" s="231" t="e">
        <f>IF(VLOOKUP(Creation_1!$S$4,Castes!$B$2:$D$25,3,FALSE)="None","Out, Mortal !",IF(VLOOKUP(Creation_1!$S$4,Castes!$B$2:$D$25,3,FALSE)="Abilities",F2,K2))</f>
        <v>#N/A</v>
      </c>
      <c r="C2" s="231" t="e">
        <f>IF(VLOOKUP(Creation_1!$S$4,Castes!$B$2:$D$25,3,FALSE)="None","Out, Mortal !",IF(VLOOKUP(Creation_1!$S$4,Castes!$B$2:$D$25,3,FALSE)="Abilities",G2,L2))</f>
        <v>#N/A</v>
      </c>
      <c r="E2" s="230" t="s">
        <v>20</v>
      </c>
      <c r="F2" s="231" t="s">
        <v>20</v>
      </c>
      <c r="G2" s="231" t="s">
        <v>20</v>
      </c>
      <c r="J2" s="230" t="str">
        <f>Values!A17</f>
        <v>Appearance</v>
      </c>
      <c r="K2" s="231" t="str">
        <f>J2</f>
        <v>Appearance</v>
      </c>
      <c r="L2" s="231" t="str">
        <f>J2</f>
        <v>Appearance</v>
      </c>
    </row>
    <row r="3" spans="1:12">
      <c r="A3" s="230" t="e">
        <f>IF(VLOOKUP(Creation_1!$S$4,Castes!$B$2:$D$25,3,FALSE)="None","Out, Mortal !",IF(VLOOKUP(Creation_1!$S$4,Castes!$B$2:$D$25,3,FALSE)="Abilities",E3,J3))</f>
        <v>#N/A</v>
      </c>
      <c r="B3" s="231" t="e">
        <f>IF(VLOOKUP(Creation_1!$S$4,Castes!$B$2:$D$25,3,FALSE)="None","Out, Mortal !",IF(VLOOKUP(Creation_1!$S$4,Castes!$B$2:$D$25,3,FALSE)="Abilities",F3,K3))</f>
        <v>#N/A</v>
      </c>
      <c r="C3" s="231" t="e">
        <f>IF(VLOOKUP(Creation_1!$S$4,Castes!$B$2:$D$25,3,FALSE)="None","Out, Mortal !",IF(VLOOKUP(Creation_1!$S$4,Castes!$B$2:$D$25,3,FALSE)="Abilities",G3,L3))</f>
        <v>#N/A</v>
      </c>
      <c r="E3" s="230" t="s">
        <v>22</v>
      </c>
      <c r="F3" s="231" t="s">
        <v>22</v>
      </c>
      <c r="G3" s="231" t="s">
        <v>22</v>
      </c>
      <c r="J3" s="230" t="str">
        <f>Values!A15</f>
        <v>Charisma</v>
      </c>
      <c r="K3" s="231" t="str">
        <f t="shared" ref="K3:K12" si="0">J3</f>
        <v>Charisma</v>
      </c>
      <c r="L3" s="231" t="str">
        <f t="shared" ref="L3:L11" si="1">J3</f>
        <v>Charisma</v>
      </c>
    </row>
    <row r="4" spans="1:12">
      <c r="A4" s="230" t="e">
        <f>IF(VLOOKUP(Creation_1!$S$4,Castes!$B$2:$D$25,3,FALSE)="None","Out, Mortal !",IF(VLOOKUP(Creation_1!$S$4,Castes!$B$2:$D$25,3,FALSE)="Abilities",E4,J4))</f>
        <v>#N/A</v>
      </c>
      <c r="B4" s="231" t="e">
        <f>IF(VLOOKUP(Creation_1!$S$4,Castes!$B$2:$D$25,3,FALSE)="None","Out, Mortal !",IF(VLOOKUP(Creation_1!$S$4,Castes!$B$2:$D$25,3,FALSE)="Abilities",F4,K4))</f>
        <v>#N/A</v>
      </c>
      <c r="C4" s="231" t="e">
        <f>IF(VLOOKUP(Creation_1!$S$4,Castes!$B$2:$D$25,3,FALSE)="None","Out, Mortal !",IF(VLOOKUP(Creation_1!$S$4,Castes!$B$2:$D$25,3,FALSE)="Abilities",G4,L4))</f>
        <v>#N/A</v>
      </c>
      <c r="E4" s="230" t="s">
        <v>23</v>
      </c>
      <c r="F4" s="231" t="s">
        <v>23</v>
      </c>
      <c r="G4" s="231" t="s">
        <v>23</v>
      </c>
      <c r="J4" s="230" t="str">
        <f>Values!A12</f>
        <v>Dexterity</v>
      </c>
      <c r="K4" s="231" t="str">
        <f t="shared" si="0"/>
        <v>Dexterity</v>
      </c>
      <c r="L4" s="231" t="str">
        <f t="shared" si="1"/>
        <v>Dexterity</v>
      </c>
    </row>
    <row r="5" spans="1:12">
      <c r="A5" s="230" t="e">
        <f>IF(VLOOKUP(Creation_1!$S$4,Castes!$B$2:$D$25,3,FALSE)="None","Out, Mortal !",IF(VLOOKUP(Creation_1!$S$4,Castes!$B$2:$D$25,3,FALSE)="Abilities",E5,J5))</f>
        <v>#N/A</v>
      </c>
      <c r="B5" s="231" t="e">
        <f>IF(VLOOKUP(Creation_1!$S$4,Castes!$B$2:$D$25,3,FALSE)="None","Out, Mortal !",IF(VLOOKUP(Creation_1!$S$4,Castes!$B$2:$D$25,3,FALSE)="Abilities",F5,K5))</f>
        <v>#N/A</v>
      </c>
      <c r="C5" s="231" t="e">
        <f>IF(VLOOKUP(Creation_1!$S$4,Castes!$B$2:$D$25,3,FALSE)="None","Out, Mortal !",IF(VLOOKUP(Creation_1!$S$4,Castes!$B$2:$D$25,3,FALSE)="Abilities",G5,L5))</f>
        <v>#N/A</v>
      </c>
      <c r="E5" s="230" t="s">
        <v>24</v>
      </c>
      <c r="F5" s="231" t="s">
        <v>24</v>
      </c>
      <c r="G5" s="231" t="s">
        <v>24</v>
      </c>
      <c r="J5" s="230" t="str">
        <f>Values!A20</f>
        <v>Intelligence</v>
      </c>
      <c r="K5" s="231" t="str">
        <f t="shared" si="0"/>
        <v>Intelligence</v>
      </c>
      <c r="L5" s="231" t="str">
        <f t="shared" si="1"/>
        <v>Intelligence</v>
      </c>
    </row>
    <row r="6" spans="1:12">
      <c r="A6" s="230" t="e">
        <f>IF(VLOOKUP(Creation_1!$S$4,Castes!$B$2:$D$25,3,FALSE)="None","Out, Mortal !",IF(VLOOKUP(Creation_1!$S$4,Castes!$B$2:$D$25,3,FALSE)="Abilities",E6,J6))</f>
        <v>#N/A</v>
      </c>
      <c r="B6" s="231" t="e">
        <f>IF(VLOOKUP(Creation_1!$S$4,Castes!$B$2:$D$25,3,FALSE)="None","Out, Mortal !",IF(VLOOKUP(Creation_1!$S$4,Castes!$B$2:$D$25,3,FALSE)="Abilities",F6,K6))</f>
        <v>#N/A</v>
      </c>
      <c r="C6" s="231" t="e">
        <f>IF(VLOOKUP(Creation_1!$S$4,Castes!$B$2:$D$25,3,FALSE)="None","Out, Mortal !",IF(VLOOKUP(Creation_1!$S$4,Castes!$B$2:$D$25,3,FALSE)="Abilities",G6,L6))</f>
        <v>#N/A</v>
      </c>
      <c r="E6" s="230" t="s">
        <v>25</v>
      </c>
      <c r="F6" s="231" t="s">
        <v>25</v>
      </c>
      <c r="G6" s="231" t="s">
        <v>25</v>
      </c>
      <c r="J6" s="230" t="str">
        <f>Values!A16</f>
        <v>Manipulation</v>
      </c>
      <c r="K6" s="231" t="str">
        <f t="shared" si="0"/>
        <v>Manipulation</v>
      </c>
      <c r="L6" s="231" t="str">
        <f t="shared" si="1"/>
        <v>Manipulation</v>
      </c>
    </row>
    <row r="7" spans="1:12">
      <c r="A7" s="230" t="e">
        <f>IF(VLOOKUP(Creation_1!$S$4,Castes!$B$2:$D$25,3,FALSE)="None","Out, Mortal !",IF(VLOOKUP(Creation_1!$S$4,Castes!$B$2:$D$25,3,FALSE)="Abilities",E7,J7))</f>
        <v>#N/A</v>
      </c>
      <c r="B7" s="231" t="e">
        <f>IF(VLOOKUP(Creation_1!$S$4,Castes!$B$2:$D$25,3,FALSE)="None","Out, Mortal !",IF(VLOOKUP(Creation_1!$S$4,Castes!$B$2:$D$25,3,FALSE)="Abilities",F7,K7))</f>
        <v>#N/A</v>
      </c>
      <c r="C7" s="231" t="e">
        <f>IF(VLOOKUP(Creation_1!$S$4,Castes!$B$2:$D$25,3,FALSE)="None","Out, Mortal !",IF(VLOOKUP(Creation_1!$S$4,Castes!$B$2:$D$25,3,FALSE)="Abilities",G7,L7))</f>
        <v>#N/A</v>
      </c>
      <c r="E7" s="230" t="s">
        <v>26</v>
      </c>
      <c r="F7" s="231" t="s">
        <v>26</v>
      </c>
      <c r="G7" s="231" t="s">
        <v>26</v>
      </c>
      <c r="J7" s="230" t="str">
        <f>Values!A19</f>
        <v>Perception</v>
      </c>
      <c r="K7" s="231" t="str">
        <f t="shared" si="0"/>
        <v>Perception</v>
      </c>
      <c r="L7" s="231" t="str">
        <f t="shared" si="1"/>
        <v>Perception</v>
      </c>
    </row>
    <row r="8" spans="1:12">
      <c r="A8" s="230" t="e">
        <f>IF(VLOOKUP(Creation_1!$S$4,Castes!$B$2:$D$25,3,FALSE)="None","Out, Mortal !",IF(VLOOKUP(Creation_1!$S$4,Castes!$B$2:$D$25,3,FALSE)="Abilities",E8,J8))</f>
        <v>#N/A</v>
      </c>
      <c r="B8" s="231" t="e">
        <f>IF(VLOOKUP(Creation_1!$S$4,Castes!$B$2:$D$25,3,FALSE)="None","Out, Mortal !",IF(VLOOKUP(Creation_1!$S$4,Castes!$B$2:$D$25,3,FALSE)="Abilities",F8,K8))</f>
        <v>#N/A</v>
      </c>
      <c r="C8" s="231" t="e">
        <f>IF(VLOOKUP(Creation_1!$S$4,Castes!$B$2:$D$25,3,FALSE)="None","Out, Mortal !",IF(VLOOKUP(Creation_1!$S$4,Castes!$B$2:$D$25,3,FALSE)="Abilities",G8,L8))</f>
        <v>#N/A</v>
      </c>
      <c r="E8" s="230" t="s">
        <v>27</v>
      </c>
      <c r="F8" s="231" t="s">
        <v>27</v>
      </c>
      <c r="G8" s="231" t="s">
        <v>27</v>
      </c>
      <c r="J8" s="230" t="str">
        <f>Values!A13</f>
        <v>Stamina</v>
      </c>
      <c r="K8" s="231" t="str">
        <f t="shared" si="0"/>
        <v>Stamina</v>
      </c>
      <c r="L8" s="231" t="str">
        <f t="shared" si="1"/>
        <v>Stamina</v>
      </c>
    </row>
    <row r="9" spans="1:12">
      <c r="A9" s="230" t="e">
        <f>IF(VLOOKUP(Creation_1!$S$4,Castes!$B$2:$D$25,3,FALSE)="None","Out, Mortal !",IF(VLOOKUP(Creation_1!$S$4,Castes!$B$2:$D$25,3,FALSE)="Abilities",E9,J9))</f>
        <v>#N/A</v>
      </c>
      <c r="B9" s="231" t="e">
        <f>IF(VLOOKUP(Creation_1!$S$4,Castes!$B$2:$D$25,3,FALSE)="None","Out, Mortal !",IF(VLOOKUP(Creation_1!$S$4,Castes!$B$2:$D$25,3,FALSE)="Abilities",F9,K9))</f>
        <v>#N/A</v>
      </c>
      <c r="C9" s="231" t="e">
        <f>IF(VLOOKUP(Creation_1!$S$4,Castes!$B$2:$D$25,3,FALSE)="None","Out, Mortal !",IF(VLOOKUP(Creation_1!$S$4,Castes!$B$2:$D$25,3,FALSE)="Abilities",G9,L9))</f>
        <v>#N/A</v>
      </c>
      <c r="E9" s="230" t="s">
        <v>28</v>
      </c>
      <c r="F9" s="231" t="s">
        <v>28</v>
      </c>
      <c r="G9" s="231" t="s">
        <v>28</v>
      </c>
      <c r="J9" s="230" t="str">
        <f>Values!A11</f>
        <v>Strength</v>
      </c>
      <c r="K9" s="231" t="str">
        <f t="shared" si="0"/>
        <v>Strength</v>
      </c>
      <c r="L9" s="231" t="str">
        <f t="shared" si="1"/>
        <v>Strength</v>
      </c>
    </row>
    <row r="10" spans="1:12">
      <c r="A10" s="230" t="e">
        <f>IF(VLOOKUP(Creation_1!$S$4,Castes!$B$2:$D$25,3,FALSE)="None","Out, Mortal !",IF(VLOOKUP(Creation_1!$S$4,Castes!$B$2:$D$25,3,FALSE)="Abilities",E10,J10))</f>
        <v>#N/A</v>
      </c>
      <c r="B10" s="231" t="e">
        <f>IF(VLOOKUP(Creation_1!$S$4,Castes!$B$2:$D$25,3,FALSE)="None","Out, Mortal !",IF(VLOOKUP(Creation_1!$S$4,Castes!$B$2:$D$25,3,FALSE)="Abilities",F10,K10))</f>
        <v>#N/A</v>
      </c>
      <c r="C10" s="231" t="e">
        <f>IF(VLOOKUP(Creation_1!$S$4,Castes!$B$2:$D$25,3,FALSE)="None","Out, Mortal !",IF(VLOOKUP(Creation_1!$S$4,Castes!$B$2:$D$25,3,FALSE)="Abilities",G10,L10))</f>
        <v>#N/A</v>
      </c>
      <c r="E10" s="230" t="s">
        <v>29</v>
      </c>
      <c r="F10" s="231" t="s">
        <v>29</v>
      </c>
      <c r="G10" s="231" t="s">
        <v>29</v>
      </c>
      <c r="J10" s="232" t="s">
        <v>3961</v>
      </c>
      <c r="K10" s="231" t="str">
        <f t="shared" si="0"/>
        <v>Universal</v>
      </c>
      <c r="L10" s="231" t="str">
        <f t="shared" si="1"/>
        <v>Universal</v>
      </c>
    </row>
    <row r="11" spans="1:12">
      <c r="A11" s="230" t="e">
        <f>IF(VLOOKUP(Creation_1!$S$4,Castes!$B$2:$D$25,3,FALSE)="None","Out, Mortal !",IF(VLOOKUP(Creation_1!$S$4,Castes!$B$2:$D$25,3,FALSE)="Abilities",E11,J11))</f>
        <v>#N/A</v>
      </c>
      <c r="B11" s="231" t="e">
        <f>IF(VLOOKUP(Creation_1!$S$4,Castes!$B$2:$D$25,3,FALSE)="None","Out, Mortal !",IF(VLOOKUP(Creation_1!$S$4,Castes!$B$2:$D$25,3,FALSE)="Abilities",F11,K11))</f>
        <v>#N/A</v>
      </c>
      <c r="C11" s="231" t="e">
        <f>IF(VLOOKUP(Creation_1!$S$4,Castes!$B$2:$D$25,3,FALSE)="None","Out, Mortal !",IF(VLOOKUP(Creation_1!$S$4,Castes!$B$2:$D$25,3,FALSE)="Abilities",G11,L11))</f>
        <v>#N/A</v>
      </c>
      <c r="E11" s="230" t="s">
        <v>30</v>
      </c>
      <c r="F11" s="231" t="s">
        <v>30</v>
      </c>
      <c r="G11" s="231" t="s">
        <v>30</v>
      </c>
      <c r="J11" s="230" t="str">
        <f>Values!A21</f>
        <v>Wits</v>
      </c>
      <c r="K11" s="231" t="str">
        <f t="shared" si="0"/>
        <v>Wits</v>
      </c>
      <c r="L11" s="231" t="str">
        <f t="shared" si="1"/>
        <v>Wits</v>
      </c>
    </row>
    <row r="12" spans="1:12">
      <c r="A12" s="230" t="e">
        <f>IF(VLOOKUP(Creation_1!$S$4,Castes!$B$2:$D$25,3,FALSE)="None","Out, Mortal !",IF(VLOOKUP(Creation_1!$S$4,Castes!$B$2:$D$25,3,FALSE)="Abilities",E12,J12))</f>
        <v>#N/A</v>
      </c>
      <c r="B12" s="231" t="e">
        <f>IF(VLOOKUP(Creation_1!$S$4,Castes!$B$2:$D$25,3,FALSE)="None","Out, Mortal !",IF(VLOOKUP(Creation_1!$S$4,Castes!$B$2:$D$25,3,FALSE)="Abilities",F12,K12))</f>
        <v>#N/A</v>
      </c>
      <c r="C12" s="231" t="e">
        <f>IF(VLOOKUP(Creation_1!$S$4,Castes!$B$2:$D$25,3,FALSE)="None","Out, Mortal !",IF(VLOOKUP(Creation_1!$S$4,Castes!$B$2:$D$25,3,FALSE)="Abilities",G12,L12))</f>
        <v>#N/A</v>
      </c>
      <c r="E12" s="230" t="s">
        <v>31</v>
      </c>
      <c r="F12" s="231" t="s">
        <v>31</v>
      </c>
      <c r="G12" s="231" t="s">
        <v>31</v>
      </c>
      <c r="J12" s="234" t="str">
        <f>"-----------"</f>
        <v>-----------</v>
      </c>
      <c r="K12" s="231" t="str">
        <f t="shared" si="0"/>
        <v>-----------</v>
      </c>
      <c r="L12" s="233" t="str">
        <f t="shared" ref="K12:L26" si="2">"-"</f>
        <v>-</v>
      </c>
    </row>
    <row r="13" spans="1:12">
      <c r="A13" s="230" t="e">
        <f>IF(VLOOKUP(Creation_1!$S$4,Castes!$B$2:$D$25,3,FALSE)="None","Out, Mortal !",IF(VLOOKUP(Creation_1!$S$4,Castes!$B$2:$D$25,3,FALSE)="Abilities",E13,J13))</f>
        <v>#N/A</v>
      </c>
      <c r="B13" s="231" t="e">
        <f>IF(VLOOKUP(Creation_1!$S$4,Castes!$B$2:$D$25,3,FALSE)="None","Out, Mortal !",IF(VLOOKUP(Creation_1!$S$4,Castes!$B$2:$D$25,3,FALSE)="Abilities",F13,K13))</f>
        <v>#N/A</v>
      </c>
      <c r="C13" s="231" t="e">
        <f>IF(VLOOKUP(Creation_1!$S$4,Castes!$B$2:$D$25,3,FALSE)="None","Out, Mortal !",IF(VLOOKUP(Creation_1!$S$4,Castes!$B$2:$D$25,3,FALSE)="Abilities",G13,L13))</f>
        <v>#N/A</v>
      </c>
      <c r="E13" s="230" t="s">
        <v>34</v>
      </c>
      <c r="F13" s="231" t="s">
        <v>34</v>
      </c>
      <c r="G13" s="231" t="s">
        <v>34</v>
      </c>
      <c r="J13" s="234" t="s">
        <v>37</v>
      </c>
      <c r="K13" s="233" t="str">
        <f t="shared" si="2"/>
        <v>-</v>
      </c>
      <c r="L13" s="233" t="str">
        <f t="shared" si="2"/>
        <v>-</v>
      </c>
    </row>
    <row r="14" spans="1:12">
      <c r="A14" s="230" t="e">
        <f>IF(VLOOKUP(Creation_1!$S$4,Castes!$B$2:$D$25,3,FALSE)="None","Out, Mortal !",IF(VLOOKUP(Creation_1!$S$4,Castes!$B$2:$D$25,3,FALSE)="Abilities",E14,J14))</f>
        <v>#N/A</v>
      </c>
      <c r="B14" s="231" t="e">
        <f>IF(VLOOKUP(Creation_1!$S$4,Castes!$B$2:$D$25,3,FALSE)="None","Out, Mortal !",IF(VLOOKUP(Creation_1!$S$4,Castes!$B$2:$D$25,3,FALSE)="Abilities",F14,K14))</f>
        <v>#N/A</v>
      </c>
      <c r="C14" s="231" t="e">
        <f>IF(VLOOKUP(Creation_1!$S$4,Castes!$B$2:$D$25,3,FALSE)="None","Out, Mortal !",IF(VLOOKUP(Creation_1!$S$4,Castes!$B$2:$D$25,3,FALSE)="Abilities",G14,L14))</f>
        <v>#N/A</v>
      </c>
      <c r="E14" s="230" t="s">
        <v>38</v>
      </c>
      <c r="F14" s="231" t="s">
        <v>38</v>
      </c>
      <c r="G14" s="231" t="s">
        <v>38</v>
      </c>
      <c r="J14" s="234" t="s">
        <v>2984</v>
      </c>
      <c r="K14" s="233" t="str">
        <f t="shared" si="2"/>
        <v>-</v>
      </c>
      <c r="L14" s="233" t="str">
        <f t="shared" si="2"/>
        <v>-</v>
      </c>
    </row>
    <row r="15" spans="1:12">
      <c r="A15" s="230" t="e">
        <f>IF(VLOOKUP(Creation_1!$S$4,Castes!$B$2:$D$25,3,FALSE)="None","Out, Mortal !",IF(VLOOKUP(Creation_1!$S$4,Castes!$B$2:$D$25,3,FALSE)="Abilities",E15,J15))</f>
        <v>#N/A</v>
      </c>
      <c r="B15" s="231" t="e">
        <f>IF(VLOOKUP(Creation_1!$S$4,Castes!$B$2:$D$25,3,FALSE)="None","Out, Mortal !",IF(VLOOKUP(Creation_1!$S$4,Castes!$B$2:$D$25,3,FALSE)="Abilities",F15,K15))</f>
        <v>#N/A</v>
      </c>
      <c r="C15" s="231" t="e">
        <f>IF(VLOOKUP(Creation_1!$S$4,Castes!$B$2:$D$25,3,FALSE)="None","Out, Mortal !",IF(VLOOKUP(Creation_1!$S$4,Castes!$B$2:$D$25,3,FALSE)="Abilities",G15,L15))</f>
        <v>#N/A</v>
      </c>
      <c r="E15" s="230" t="s">
        <v>39</v>
      </c>
      <c r="F15" s="231" t="s">
        <v>39</v>
      </c>
      <c r="G15" s="231" t="s">
        <v>39</v>
      </c>
      <c r="J15" s="232" t="s">
        <v>3198</v>
      </c>
      <c r="K15" s="233" t="str">
        <f t="shared" si="2"/>
        <v>-</v>
      </c>
      <c r="L15" s="233" t="str">
        <f t="shared" si="2"/>
        <v>-</v>
      </c>
    </row>
    <row r="16" spans="1:12">
      <c r="A16" s="230" t="e">
        <f>IF(VLOOKUP(Creation_1!$S$4,Castes!$B$2:$D$25,3,FALSE)="None","Out, Mortal !",IF(VLOOKUP(Creation_1!$S$4,Castes!$B$2:$D$25,3,FALSE)="Abilities",E16,J16))</f>
        <v>#N/A</v>
      </c>
      <c r="B16" s="231" t="e">
        <f>IF(VLOOKUP(Creation_1!$S$4,Castes!$B$2:$D$25,3,FALSE)="None","Out, Mortal !",IF(VLOOKUP(Creation_1!$S$4,Castes!$B$2:$D$25,3,FALSE)="Abilities",F16,K16))</f>
        <v>#N/A</v>
      </c>
      <c r="C16" s="231" t="e">
        <f>IF(VLOOKUP(Creation_1!$S$4,Castes!$B$2:$D$25,3,FALSE)="None","Out, Mortal !",IF(VLOOKUP(Creation_1!$S$4,Castes!$B$2:$D$25,3,FALSE)="Abilities",G16,L16))</f>
        <v>#N/A</v>
      </c>
      <c r="E16" s="230" t="s">
        <v>42</v>
      </c>
      <c r="F16" s="231" t="s">
        <v>42</v>
      </c>
      <c r="G16" s="231" t="s">
        <v>42</v>
      </c>
      <c r="J16" s="232" t="str">
        <f t="shared" ref="J16:J29" si="3">"-"</f>
        <v>-</v>
      </c>
      <c r="K16" s="233" t="str">
        <f t="shared" si="2"/>
        <v>-</v>
      </c>
      <c r="L16" s="233" t="str">
        <f t="shared" si="2"/>
        <v>-</v>
      </c>
    </row>
    <row r="17" spans="1:12">
      <c r="A17" s="230" t="e">
        <f>IF(VLOOKUP(Creation_1!$S$4,Castes!$B$2:$D$25,3,FALSE)="None","Out, Mortal !",IF(VLOOKUP(Creation_1!$S$4,Castes!$B$2:$D$25,3,FALSE)="Abilities",E17,J17))</f>
        <v>#N/A</v>
      </c>
      <c r="B17" s="231" t="e">
        <f>IF(VLOOKUP(Creation_1!$S$4,Castes!$B$2:$D$25,3,FALSE)="None","Out, Mortal !",IF(VLOOKUP(Creation_1!$S$4,Castes!$B$2:$D$25,3,FALSE)="Abilities",F17,K17))</f>
        <v>#N/A</v>
      </c>
      <c r="C17" s="231" t="e">
        <f>IF(VLOOKUP(Creation_1!$S$4,Castes!$B$2:$D$25,3,FALSE)="None","Out, Mortal !",IF(VLOOKUP(Creation_1!$S$4,Castes!$B$2:$D$25,3,FALSE)="Abilities",G17,L17))</f>
        <v>#N/A</v>
      </c>
      <c r="E17" s="230" t="s">
        <v>43</v>
      </c>
      <c r="F17" s="231" t="s">
        <v>43</v>
      </c>
      <c r="G17" s="231" t="s">
        <v>43</v>
      </c>
      <c r="J17" s="232" t="str">
        <f t="shared" si="3"/>
        <v>-</v>
      </c>
      <c r="K17" s="233" t="str">
        <f t="shared" si="2"/>
        <v>-</v>
      </c>
      <c r="L17" s="233" t="str">
        <f t="shared" si="2"/>
        <v>-</v>
      </c>
    </row>
    <row r="18" spans="1:12">
      <c r="A18" s="230" t="e">
        <f>IF(VLOOKUP(Creation_1!$S$4,Castes!$B$2:$D$25,3,FALSE)="None","Out, Mortal !",IF(VLOOKUP(Creation_1!$S$4,Castes!$B$2:$D$25,3,FALSE)="Abilities",E18,J18))</f>
        <v>#N/A</v>
      </c>
      <c r="B18" s="231" t="e">
        <f>IF(VLOOKUP(Creation_1!$S$4,Castes!$B$2:$D$25,3,FALSE)="None","Out, Mortal !",IF(VLOOKUP(Creation_1!$S$4,Castes!$B$2:$D$25,3,FALSE)="Abilities",F18,K18))</f>
        <v>#N/A</v>
      </c>
      <c r="C18" s="231" t="e">
        <f>IF(VLOOKUP(Creation_1!$S$4,Castes!$B$2:$D$25,3,FALSE)="None","Out, Mortal !",IF(VLOOKUP(Creation_1!$S$4,Castes!$B$2:$D$25,3,FALSE)="Abilities",G18,L18))</f>
        <v>#N/A</v>
      </c>
      <c r="E18" s="230" t="s">
        <v>44</v>
      </c>
      <c r="F18" s="231" t="s">
        <v>44</v>
      </c>
      <c r="G18" s="231" t="s">
        <v>44</v>
      </c>
      <c r="J18" s="232" t="str">
        <f t="shared" si="3"/>
        <v>-</v>
      </c>
      <c r="K18" s="233" t="str">
        <f t="shared" si="2"/>
        <v>-</v>
      </c>
      <c r="L18" s="233" t="str">
        <f t="shared" si="2"/>
        <v>-</v>
      </c>
    </row>
    <row r="19" spans="1:12">
      <c r="A19" s="230" t="e">
        <f>IF(VLOOKUP(Creation_1!$S$4,Castes!$B$2:$D$25,3,FALSE)="None","Out, Mortal !",IF(VLOOKUP(Creation_1!$S$4,Castes!$B$2:$D$25,3,FALSE)="Abilities",E19,J19))</f>
        <v>#N/A</v>
      </c>
      <c r="B19" s="231" t="e">
        <f>IF(VLOOKUP(Creation_1!$S$4,Castes!$B$2:$D$25,3,FALSE)="None","Out, Mortal !",IF(VLOOKUP(Creation_1!$S$4,Castes!$B$2:$D$25,3,FALSE)="Abilities",F19,K19))</f>
        <v>#N/A</v>
      </c>
      <c r="C19" s="231" t="e">
        <f>IF(VLOOKUP(Creation_1!$S$4,Castes!$B$2:$D$25,3,FALSE)="None","Out, Mortal !",IF(VLOOKUP(Creation_1!$S$4,Castes!$B$2:$D$25,3,FALSE)="Abilities",G19,L19))</f>
        <v>#N/A</v>
      </c>
      <c r="E19" s="230" t="s">
        <v>45</v>
      </c>
      <c r="F19" s="231" t="s">
        <v>45</v>
      </c>
      <c r="G19" s="231" t="s">
        <v>45</v>
      </c>
      <c r="J19" s="232" t="str">
        <f t="shared" si="3"/>
        <v>-</v>
      </c>
      <c r="K19" s="233" t="str">
        <f t="shared" si="2"/>
        <v>-</v>
      </c>
      <c r="L19" s="233" t="str">
        <f t="shared" si="2"/>
        <v>-</v>
      </c>
    </row>
    <row r="20" spans="1:12">
      <c r="A20" s="230" t="e">
        <f>IF(VLOOKUP(Creation_1!$S$4,Castes!$B$2:$D$25,3,FALSE)="None","Out, Mortal !",IF(VLOOKUP(Creation_1!$S$4,Castes!$B$2:$D$25,3,FALSE)="Abilities",E20,J20))</f>
        <v>#N/A</v>
      </c>
      <c r="B20" s="231" t="e">
        <f>IF(VLOOKUP(Creation_1!$S$4,Castes!$B$2:$D$25,3,FALSE)="None","Out, Mortal !",IF(VLOOKUP(Creation_1!$S$4,Castes!$B$2:$D$25,3,FALSE)="Abilities",F20,K20))</f>
        <v>#N/A</v>
      </c>
      <c r="C20" s="231" t="e">
        <f>IF(VLOOKUP(Creation_1!$S$4,Castes!$B$2:$D$25,3,FALSE)="None","Out, Mortal !",IF(VLOOKUP(Creation_1!$S$4,Castes!$B$2:$D$25,3,FALSE)="Abilities",G20,L20))</f>
        <v>#N/A</v>
      </c>
      <c r="E20" s="230" t="s">
        <v>46</v>
      </c>
      <c r="F20" s="231" t="s">
        <v>46</v>
      </c>
      <c r="G20" s="231" t="s">
        <v>46</v>
      </c>
      <c r="J20" s="232" t="str">
        <f t="shared" si="3"/>
        <v>-</v>
      </c>
      <c r="K20" s="233" t="str">
        <f t="shared" si="2"/>
        <v>-</v>
      </c>
      <c r="L20" s="233" t="str">
        <f t="shared" si="2"/>
        <v>-</v>
      </c>
    </row>
    <row r="21" spans="1:12">
      <c r="A21" s="230" t="e">
        <f>IF(VLOOKUP(Creation_1!$S$4,Castes!$B$2:$D$25,3,FALSE)="None","Out, Mortal !",IF(VLOOKUP(Creation_1!$S$4,Castes!$B$2:$D$25,3,FALSE)="Abilities",E21,J21))</f>
        <v>#N/A</v>
      </c>
      <c r="B21" s="231" t="e">
        <f>IF(VLOOKUP(Creation_1!$S$4,Castes!$B$2:$D$25,3,FALSE)="None","Out, Mortal !",IF(VLOOKUP(Creation_1!$S$4,Castes!$B$2:$D$25,3,FALSE)="Abilities",F21,K21))</f>
        <v>#N/A</v>
      </c>
      <c r="C21" s="231" t="e">
        <f>IF(VLOOKUP(Creation_1!$S$4,Castes!$B$2:$D$25,3,FALSE)="None","Out, Mortal !",IF(VLOOKUP(Creation_1!$S$4,Castes!$B$2:$D$25,3,FALSE)="Abilities",G21,L21))</f>
        <v>#N/A</v>
      </c>
      <c r="E21" s="230" t="s">
        <v>47</v>
      </c>
      <c r="F21" s="231" t="s">
        <v>47</v>
      </c>
      <c r="G21" s="231" t="s">
        <v>47</v>
      </c>
      <c r="J21" s="232" t="str">
        <f t="shared" si="3"/>
        <v>-</v>
      </c>
      <c r="K21" s="233" t="str">
        <f t="shared" si="2"/>
        <v>-</v>
      </c>
      <c r="L21" s="233" t="str">
        <f t="shared" si="2"/>
        <v>-</v>
      </c>
    </row>
    <row r="22" spans="1:12">
      <c r="A22" s="230" t="e">
        <f>IF(VLOOKUP(Creation_1!$S$4,Castes!$B$2:$D$25,3,FALSE)="None","Out, Mortal !",IF(VLOOKUP(Creation_1!$S$4,Castes!$B$2:$D$25,3,FALSE)="Abilities",E22,J22))</f>
        <v>#N/A</v>
      </c>
      <c r="B22" s="231" t="e">
        <f>IF(VLOOKUP(Creation_1!$S$4,Castes!$B$2:$D$25,3,FALSE)="None","Out, Mortal !",IF(VLOOKUP(Creation_1!$S$4,Castes!$B$2:$D$25,3,FALSE)="Abilities",F22,K22))</f>
        <v>#N/A</v>
      </c>
      <c r="C22" s="231" t="e">
        <f>IF(VLOOKUP(Creation_1!$S$4,Castes!$B$2:$D$25,3,FALSE)="None","Out, Mortal !",IF(VLOOKUP(Creation_1!$S$4,Castes!$B$2:$D$25,3,FALSE)="Abilities",G22,L22))</f>
        <v>#N/A</v>
      </c>
      <c r="E22" s="230" t="s">
        <v>50</v>
      </c>
      <c r="F22" s="231" t="s">
        <v>50</v>
      </c>
      <c r="G22" s="231" t="s">
        <v>50</v>
      </c>
      <c r="J22" s="232" t="str">
        <f t="shared" si="3"/>
        <v>-</v>
      </c>
      <c r="K22" s="233" t="str">
        <f t="shared" si="2"/>
        <v>-</v>
      </c>
      <c r="L22" s="233" t="str">
        <f t="shared" si="2"/>
        <v>-</v>
      </c>
    </row>
    <row r="23" spans="1:12">
      <c r="A23" s="230" t="e">
        <f>IF(VLOOKUP(Creation_1!$S$4,Castes!$B$2:$D$25,3,FALSE)="None","Out, Mortal !",IF(VLOOKUP(Creation_1!$S$4,Castes!$B$2:$D$25,3,FALSE)="Abilities",E23,J23))</f>
        <v>#N/A</v>
      </c>
      <c r="B23" s="231" t="e">
        <f>IF(VLOOKUP(Creation_1!$S$4,Castes!$B$2:$D$25,3,FALSE)="None","Out, Mortal !",IF(VLOOKUP(Creation_1!$S$4,Castes!$B$2:$D$25,3,FALSE)="Abilities",F23,K23))</f>
        <v>#N/A</v>
      </c>
      <c r="C23" s="231" t="e">
        <f>IF(VLOOKUP(Creation_1!$S$4,Castes!$B$2:$D$25,3,FALSE)="None","Out, Mortal !",IF(VLOOKUP(Creation_1!$S$4,Castes!$B$2:$D$25,3,FALSE)="Abilities",G23,L23))</f>
        <v>#N/A</v>
      </c>
      <c r="E23" s="230" t="s">
        <v>51</v>
      </c>
      <c r="F23" s="231" t="s">
        <v>51</v>
      </c>
      <c r="G23" s="231" t="s">
        <v>51</v>
      </c>
      <c r="J23" s="232" t="str">
        <f t="shared" si="3"/>
        <v>-</v>
      </c>
      <c r="K23" s="233" t="str">
        <f t="shared" si="2"/>
        <v>-</v>
      </c>
      <c r="L23" s="233" t="str">
        <f t="shared" si="2"/>
        <v>-</v>
      </c>
    </row>
    <row r="24" spans="1:12">
      <c r="A24" s="230" t="e">
        <f>IF(VLOOKUP(Creation_1!$S$4,Castes!$B$2:$D$25,3,FALSE)="None","Out, Mortal !",IF(VLOOKUP(Creation_1!$S$4,Castes!$B$2:$D$25,3,FALSE)="Abilities",E24,J24))</f>
        <v>#N/A</v>
      </c>
      <c r="B24" s="231" t="e">
        <f>IF(VLOOKUP(Creation_1!$S$4,Castes!$B$2:$D$25,3,FALSE)="None","Out, Mortal !",IF(VLOOKUP(Creation_1!$S$4,Castes!$B$2:$D$25,3,FALSE)="Abilities",F24,K24))</f>
        <v>#N/A</v>
      </c>
      <c r="C24" s="231" t="e">
        <f>IF(VLOOKUP(Creation_1!$S$4,Castes!$B$2:$D$25,3,FALSE)="None","Out, Mortal !",IF(VLOOKUP(Creation_1!$S$4,Castes!$B$2:$D$25,3,FALSE)="Abilities",G24,L24))</f>
        <v>#N/A</v>
      </c>
      <c r="E24" s="230" t="s">
        <v>56</v>
      </c>
      <c r="F24" s="231" t="s">
        <v>56</v>
      </c>
      <c r="G24" s="231" t="s">
        <v>56</v>
      </c>
      <c r="J24" s="232" t="str">
        <f t="shared" si="3"/>
        <v>-</v>
      </c>
      <c r="K24" s="233" t="str">
        <f t="shared" si="2"/>
        <v>-</v>
      </c>
      <c r="L24" s="233" t="str">
        <f t="shared" si="2"/>
        <v>-</v>
      </c>
    </row>
    <row r="25" spans="1:12">
      <c r="A25" s="230" t="e">
        <f>IF(VLOOKUP(Creation_1!$S$4,Castes!$B$2:$D$25,3,FALSE)="None","Out, Mortal !",IF(VLOOKUP(Creation_1!$S$4,Castes!$B$2:$D$25,3,FALSE)="Abilities",E25,J25))</f>
        <v>#N/A</v>
      </c>
      <c r="B25" s="231" t="e">
        <f>IF(VLOOKUP(Creation_1!$S$4,Castes!$B$2:$D$25,3,FALSE)="None","Out, Mortal !",IF(VLOOKUP(Creation_1!$S$4,Castes!$B$2:$D$25,3,FALSE)="Abilities",F25,K25))</f>
        <v>#N/A</v>
      </c>
      <c r="C25" s="231" t="e">
        <f>IF(VLOOKUP(Creation_1!$S$4,Castes!$B$2:$D$25,3,FALSE)="None","Out, Mortal !",IF(VLOOKUP(Creation_1!$S$4,Castes!$B$2:$D$25,3,FALSE)="Abilities",G25,L25))</f>
        <v>#N/A</v>
      </c>
      <c r="E25" s="230" t="s">
        <v>57</v>
      </c>
      <c r="F25" s="231" t="s">
        <v>57</v>
      </c>
      <c r="G25" s="231" t="s">
        <v>57</v>
      </c>
      <c r="J25" s="232" t="str">
        <f t="shared" si="3"/>
        <v>-</v>
      </c>
      <c r="K25" s="233" t="str">
        <f t="shared" si="2"/>
        <v>-</v>
      </c>
      <c r="L25" s="233" t="str">
        <f t="shared" si="2"/>
        <v>-</v>
      </c>
    </row>
    <row r="26" spans="1:12">
      <c r="A26" s="230" t="e">
        <f>IF(VLOOKUP(Creation_1!$S$4,Castes!$B$2:$D$25,3,FALSE)="None","Out, Mortal !",IF(VLOOKUP(Creation_1!$S$4,Castes!$B$2:$D$25,3,FALSE)="Abilities",E26,J26))</f>
        <v>#N/A</v>
      </c>
      <c r="B26" s="231" t="e">
        <f>IF(VLOOKUP(Creation_1!$S$4,Castes!$B$2:$D$25,3,FALSE)="None","Out, Mortal !",IF(VLOOKUP(Creation_1!$S$4,Castes!$B$2:$D$25,3,FALSE)="Abilities",F26,K26))</f>
        <v>#N/A</v>
      </c>
      <c r="C26" s="231" t="e">
        <f>IF(VLOOKUP(Creation_1!$S$4,Castes!$B$2:$D$25,3,FALSE)="None","Out, Mortal !",IF(VLOOKUP(Creation_1!$S$4,Castes!$B$2:$D$25,3,FALSE)="Abilities",G26,L26))</f>
        <v>#N/A</v>
      </c>
      <c r="E26" s="230" t="s">
        <v>59</v>
      </c>
      <c r="F26" s="231" t="s">
        <v>59</v>
      </c>
      <c r="G26" s="231" t="s">
        <v>59</v>
      </c>
      <c r="J26" s="232" t="str">
        <f t="shared" si="3"/>
        <v>-</v>
      </c>
      <c r="K26" s="233" t="str">
        <f t="shared" si="2"/>
        <v>-</v>
      </c>
      <c r="L26" s="233" t="str">
        <f t="shared" si="2"/>
        <v>-</v>
      </c>
    </row>
    <row r="27" spans="1:12">
      <c r="A27" s="230" t="e">
        <f>IF(VLOOKUP(Creation_1!$S$4,Castes!$B$2:$D$25,3,FALSE)="None","Out, Mortal !",IF(VLOOKUP(Creation_1!$S$4,Castes!$B$2:$D$25,3,FALSE)="Abilities",E27,J27))</f>
        <v>#N/A</v>
      </c>
      <c r="B27" s="231" t="e">
        <f>IF(VLOOKUP(Creation_1!$S$4,Castes!$B$2:$D$25,3,FALSE)="None","Out, Mortal !",IF(VLOOKUP(Creation_1!$S$4,Castes!$B$2:$D$25,3,FALSE)="Abilities",F27,K27))</f>
        <v>#N/A</v>
      </c>
      <c r="C27" s="231" t="e">
        <f>IF(VLOOKUP(Creation_1!$S$4,Castes!$B$2:$D$25,3,FALSE)="None","Out, Mortal !",IF(VLOOKUP(Creation_1!$S$4,Castes!$B$2:$D$25,3,FALSE)="Abilities",G27,L27))</f>
        <v>#N/A</v>
      </c>
      <c r="E27" s="234" t="s">
        <v>37</v>
      </c>
      <c r="F27" s="231" t="str">
        <f>$E$27</f>
        <v>Martial Arts</v>
      </c>
      <c r="G27" s="231" t="str">
        <f>L27</f>
        <v>Air Dragon</v>
      </c>
      <c r="J27" s="232" t="str">
        <f t="shared" si="3"/>
        <v>-</v>
      </c>
      <c r="K27" s="243" t="str">
        <f>$J$13</f>
        <v>Martial Arts</v>
      </c>
      <c r="L27" s="243" t="s">
        <v>7362</v>
      </c>
    </row>
    <row r="28" spans="1:12">
      <c r="A28" s="230" t="e">
        <f>IF(VLOOKUP(Creation_1!$S$4,Castes!$B$2:$D$25,3,FALSE)="None","Out, Mortal !",IF(VLOOKUP(Creation_1!$S$4,Castes!$B$2:$D$25,3,FALSE)="Abilities",E28,J28))</f>
        <v>#N/A</v>
      </c>
      <c r="B28" s="231" t="e">
        <f>IF(VLOOKUP(Creation_1!$S$4,Castes!$B$2:$D$25,3,FALSE)="None","Out, Mortal !",IF(VLOOKUP(Creation_1!$S$4,Castes!$B$2:$D$25,3,FALSE)="Abilities",F28,K28))</f>
        <v>#N/A</v>
      </c>
      <c r="C28" s="231" t="e">
        <f>IF(VLOOKUP(Creation_1!$S$4,Castes!$B$2:$D$25,3,FALSE)="None","Out, Mortal !",IF(VLOOKUP(Creation_1!$S$4,Castes!$B$2:$D$25,3,FALSE)="Abilities",G28,L28))</f>
        <v>#N/A</v>
      </c>
      <c r="E28" s="230" t="s">
        <v>2984</v>
      </c>
      <c r="F28" s="231" t="str">
        <f t="shared" ref="F28:F45" si="4">$E$27</f>
        <v>Martial Arts</v>
      </c>
      <c r="G28" s="231" t="str">
        <f t="shared" ref="G28:G45" si="5">L28</f>
        <v>Black Claw</v>
      </c>
      <c r="J28" s="232" t="str">
        <f t="shared" si="3"/>
        <v>-</v>
      </c>
      <c r="K28" s="243" t="str">
        <f t="shared" ref="K28:K45" si="6">$J$13</f>
        <v>Martial Arts</v>
      </c>
      <c r="L28" s="231" t="s">
        <v>7363</v>
      </c>
    </row>
    <row r="29" spans="1:12">
      <c r="A29" s="230" t="e">
        <f>IF(VLOOKUP(Creation_1!$S$4,Castes!$B$2:$D$25,3,FALSE)="None","Out, Mortal !",IF(VLOOKUP(Creation_1!$S$4,Castes!$B$2:$D$25,3,FALSE)="Abilities",E29,J29))</f>
        <v>#N/A</v>
      </c>
      <c r="B29" s="231" t="e">
        <f>IF(VLOOKUP(Creation_1!$S$4,Castes!$B$2:$D$25,3,FALSE)="None","Out, Mortal !",IF(VLOOKUP(Creation_1!$S$4,Castes!$B$2:$D$25,3,FALSE)="Abilities",F29,K29))</f>
        <v>#N/A</v>
      </c>
      <c r="C29" s="231" t="e">
        <f>IF(VLOOKUP(Creation_1!$S$4,Castes!$B$2:$D$25,3,FALSE)="None","Out, Mortal !",IF(VLOOKUP(Creation_1!$S$4,Castes!$B$2:$D$25,3,FALSE)="Abilities",G29,L29))</f>
        <v>#N/A</v>
      </c>
      <c r="E29" s="230" t="s">
        <v>3198</v>
      </c>
      <c r="F29" s="231" t="str">
        <f t="shared" si="4"/>
        <v>Martial Arts</v>
      </c>
      <c r="G29" s="231" t="str">
        <f t="shared" si="5"/>
        <v>Crane</v>
      </c>
      <c r="J29" s="232" t="str">
        <f t="shared" si="3"/>
        <v>-</v>
      </c>
      <c r="K29" s="243" t="str">
        <f t="shared" si="6"/>
        <v>Martial Arts</v>
      </c>
      <c r="L29" s="231" t="s">
        <v>3221</v>
      </c>
    </row>
    <row r="30" spans="1:12">
      <c r="B30" s="231" t="e">
        <f>IF(VLOOKUP(Creation_1!$S$4,Castes!$B$2:$D$25,3,FALSE)="None","Out, Mortal !",IF(VLOOKUP(Creation_1!$S$4,Castes!$B$2:$D$25,3,FALSE)="Abilities",F30,K30))</f>
        <v>#N/A</v>
      </c>
      <c r="C30" s="231" t="e">
        <f>IF(VLOOKUP(Creation_1!$S$4,Castes!$B$2:$D$25,3,FALSE)="None","Out, Mortal !",IF(VLOOKUP(Creation_1!$S$4,Castes!$B$2:$D$25,3,FALSE)="Abilities",G30,L30))</f>
        <v>#N/A</v>
      </c>
      <c r="F30" s="231" t="str">
        <f t="shared" si="4"/>
        <v>Martial Arts</v>
      </c>
      <c r="G30" s="231" t="str">
        <f t="shared" si="5"/>
        <v>DP Courtesan</v>
      </c>
      <c r="J30" s="232"/>
      <c r="K30" s="243" t="str">
        <f t="shared" si="6"/>
        <v>Martial Arts</v>
      </c>
      <c r="L30" s="231" t="s">
        <v>7364</v>
      </c>
    </row>
    <row r="31" spans="1:12">
      <c r="B31" s="231" t="e">
        <f>IF(VLOOKUP(Creation_1!$S$4,Castes!$B$2:$D$25,3,FALSE)="None","Out, Mortal !",IF(VLOOKUP(Creation_1!$S$4,Castes!$B$2:$D$25,3,FALSE)="Abilities",F31,K31))</f>
        <v>#N/A</v>
      </c>
      <c r="C31" s="231" t="e">
        <f>IF(VLOOKUP(Creation_1!$S$4,Castes!$B$2:$D$25,3,FALSE)="None","Out, Mortal !",IF(VLOOKUP(Creation_1!$S$4,Castes!$B$2:$D$25,3,FALSE)="Abilities",G31,L31))</f>
        <v>#N/A</v>
      </c>
      <c r="F31" s="231" t="str">
        <f t="shared" si="4"/>
        <v>Martial Arts</v>
      </c>
      <c r="G31" s="231" t="str">
        <f t="shared" si="5"/>
        <v>Earth Dragon</v>
      </c>
      <c r="J31" s="232"/>
      <c r="K31" s="243" t="str">
        <f t="shared" si="6"/>
        <v>Martial Arts</v>
      </c>
      <c r="L31" s="231" t="s">
        <v>7365</v>
      </c>
    </row>
    <row r="32" spans="1:12">
      <c r="B32" s="231" t="e">
        <f>IF(VLOOKUP(Creation_1!$S$4,Castes!$B$2:$D$25,3,FALSE)="None","Out, Mortal !",IF(VLOOKUP(Creation_1!$S$4,Castes!$B$2:$D$25,3,FALSE)="Abilities",F32,K32))</f>
        <v>#N/A</v>
      </c>
      <c r="C32" s="231" t="e">
        <f>IF(VLOOKUP(Creation_1!$S$4,Castes!$B$2:$D$25,3,FALSE)="None","Out, Mortal !",IF(VLOOKUP(Creation_1!$S$4,Castes!$B$2:$D$25,3,FALSE)="Abilities",G32,L32))</f>
        <v>#N/A</v>
      </c>
      <c r="F32" s="231" t="str">
        <f t="shared" si="4"/>
        <v>Martial Arts</v>
      </c>
      <c r="G32" s="231" t="str">
        <f t="shared" si="5"/>
        <v>Ebon Shadow</v>
      </c>
      <c r="J32" s="232"/>
      <c r="K32" s="243" t="str">
        <f t="shared" si="6"/>
        <v>Martial Arts</v>
      </c>
      <c r="L32" s="231" t="s">
        <v>7366</v>
      </c>
    </row>
    <row r="33" spans="2:12">
      <c r="B33" s="231" t="e">
        <f>IF(VLOOKUP(Creation_1!$S$4,Castes!$B$2:$D$25,3,FALSE)="None","Out, Mortal !",IF(VLOOKUP(Creation_1!$S$4,Castes!$B$2:$D$25,3,FALSE)="Abilities",F33,K33))</f>
        <v>#N/A</v>
      </c>
      <c r="C33" s="231" t="e">
        <f>IF(VLOOKUP(Creation_1!$S$4,Castes!$B$2:$D$25,3,FALSE)="None","Out, Mortal !",IF(VLOOKUP(Creation_1!$S$4,Castes!$B$2:$D$25,3,FALSE)="Abilities",G33,L33))</f>
        <v>#N/A</v>
      </c>
      <c r="F33" s="231" t="str">
        <f t="shared" si="4"/>
        <v>Martial Arts</v>
      </c>
      <c r="G33" s="231" t="str">
        <f t="shared" si="5"/>
        <v>Fire Dragon</v>
      </c>
      <c r="J33" s="232"/>
      <c r="K33" s="243" t="str">
        <f t="shared" si="6"/>
        <v>Martial Arts</v>
      </c>
      <c r="L33" s="231" t="s">
        <v>7367</v>
      </c>
    </row>
    <row r="34" spans="2:12">
      <c r="B34" s="231" t="e">
        <f>IF(VLOOKUP(Creation_1!$S$4,Castes!$B$2:$D$25,3,FALSE)="None","Out, Mortal !",IF(VLOOKUP(Creation_1!$S$4,Castes!$B$2:$D$25,3,FALSE)="Abilities",F34,K34))</f>
        <v>#N/A</v>
      </c>
      <c r="C34" s="231" t="e">
        <f>IF(VLOOKUP(Creation_1!$S$4,Castes!$B$2:$D$25,3,FALSE)="None","Out, Mortal !",IF(VLOOKUP(Creation_1!$S$4,Castes!$B$2:$D$25,3,FALSE)="Abilities",G34,L34))</f>
        <v>#N/A</v>
      </c>
      <c r="F34" s="231" t="str">
        <f t="shared" si="4"/>
        <v>Martial Arts</v>
      </c>
      <c r="G34" s="231" t="str">
        <f t="shared" si="5"/>
        <v>Golden Janissary</v>
      </c>
      <c r="J34" s="232"/>
      <c r="K34" s="243" t="str">
        <f t="shared" si="6"/>
        <v>Martial Arts</v>
      </c>
      <c r="L34" s="231" t="s">
        <v>7368</v>
      </c>
    </row>
    <row r="35" spans="2:12">
      <c r="B35" s="231" t="e">
        <f>IF(VLOOKUP(Creation_1!$S$4,Castes!$B$2:$D$25,3,FALSE)="None","Out, Mortal !",IF(VLOOKUP(Creation_1!$S$4,Castes!$B$2:$D$25,3,FALSE)="Abilities",F35,K35))</f>
        <v>#N/A</v>
      </c>
      <c r="C35" s="231" t="e">
        <f>IF(VLOOKUP(Creation_1!$S$4,Castes!$B$2:$D$25,3,FALSE)="None","Out, Mortal !",IF(VLOOKUP(Creation_1!$S$4,Castes!$B$2:$D$25,3,FALSE)="Abilities",G35,L35))</f>
        <v>#N/A</v>
      </c>
      <c r="F35" s="231" t="str">
        <f t="shared" si="4"/>
        <v>Martial Arts</v>
      </c>
      <c r="G35" s="231" t="str">
        <f t="shared" si="5"/>
        <v>Mantis</v>
      </c>
      <c r="J35" s="232"/>
      <c r="K35" s="243" t="str">
        <f t="shared" si="6"/>
        <v>Martial Arts</v>
      </c>
      <c r="L35" s="231" t="s">
        <v>6648</v>
      </c>
    </row>
    <row r="36" spans="2:12">
      <c r="B36" s="231" t="e">
        <f>IF(VLOOKUP(Creation_1!$S$4,Castes!$B$2:$D$25,3,FALSE)="None","Out, Mortal !",IF(VLOOKUP(Creation_1!$S$4,Castes!$B$2:$D$25,3,FALSE)="Abilities",F36,K36))</f>
        <v>#N/A</v>
      </c>
      <c r="C36" s="231" t="e">
        <f>IF(VLOOKUP(Creation_1!$S$4,Castes!$B$2:$D$25,3,FALSE)="None","Out, Mortal !",IF(VLOOKUP(Creation_1!$S$4,Castes!$B$2:$D$25,3,FALSE)="Abilities",G36,L36))</f>
        <v>#N/A</v>
      </c>
      <c r="F36" s="231" t="str">
        <f t="shared" si="4"/>
        <v>Martial Arts</v>
      </c>
      <c r="G36" s="231" t="str">
        <f t="shared" si="5"/>
        <v>Righteous Devil</v>
      </c>
      <c r="J36" s="232"/>
      <c r="K36" s="243" t="str">
        <f t="shared" si="6"/>
        <v>Martial Arts</v>
      </c>
      <c r="L36" s="231" t="s">
        <v>7369</v>
      </c>
    </row>
    <row r="37" spans="2:12">
      <c r="B37" s="231" t="e">
        <f>IF(VLOOKUP(Creation_1!$S$4,Castes!$B$2:$D$25,3,FALSE)="None","Out, Mortal !",IF(VLOOKUP(Creation_1!$S$4,Castes!$B$2:$D$25,3,FALSE)="Abilities",F37,K37))</f>
        <v>#N/A</v>
      </c>
      <c r="C37" s="231" t="e">
        <f>IF(VLOOKUP(Creation_1!$S$4,Castes!$B$2:$D$25,3,FALSE)="None","Out, Mortal !",IF(VLOOKUP(Creation_1!$S$4,Castes!$B$2:$D$25,3,FALSE)="Abilities",G37,L37))</f>
        <v>#N/A</v>
      </c>
      <c r="F37" s="231" t="str">
        <f t="shared" si="4"/>
        <v>Martial Arts</v>
      </c>
      <c r="G37" s="231" t="str">
        <f t="shared" si="5"/>
        <v>Single Point</v>
      </c>
      <c r="J37" s="232"/>
      <c r="K37" s="243" t="str">
        <f t="shared" si="6"/>
        <v>Martial Arts</v>
      </c>
      <c r="L37" s="231" t="s">
        <v>7370</v>
      </c>
    </row>
    <row r="38" spans="2:12">
      <c r="B38" s="231" t="e">
        <f>IF(VLOOKUP(Creation_1!$S$4,Castes!$B$2:$D$25,3,FALSE)="None","Out, Mortal !",IF(VLOOKUP(Creation_1!$S$4,Castes!$B$2:$D$25,3,FALSE)="Abilities",F38,K38))</f>
        <v>#N/A</v>
      </c>
      <c r="C38" s="231" t="e">
        <f>IF(VLOOKUP(Creation_1!$S$4,Castes!$B$2:$D$25,3,FALSE)="None","Out, Mortal !",IF(VLOOKUP(Creation_1!$S$4,Castes!$B$2:$D$25,3,FALSE)="Abilities",G38,L38))</f>
        <v>#N/A</v>
      </c>
      <c r="F38" s="231" t="str">
        <f t="shared" si="4"/>
        <v>Martial Arts</v>
      </c>
      <c r="G38" s="231" t="str">
        <f t="shared" si="5"/>
        <v>Snake</v>
      </c>
      <c r="K38" s="243" t="str">
        <f t="shared" si="6"/>
        <v>Martial Arts</v>
      </c>
      <c r="L38" s="231" t="s">
        <v>3219</v>
      </c>
    </row>
    <row r="39" spans="2:12">
      <c r="B39" s="231" t="e">
        <f>IF(VLOOKUP(Creation_1!$S$4,Castes!$B$2:$D$25,3,FALSE)="None","Out, Mortal !",IF(VLOOKUP(Creation_1!$S$4,Castes!$B$2:$D$25,3,FALSE)="Abilities",F39,K39))</f>
        <v>#N/A</v>
      </c>
      <c r="C39" s="231" t="e">
        <f>IF(VLOOKUP(Creation_1!$S$4,Castes!$B$2:$D$25,3,FALSE)="None","Out, Mortal !",IF(VLOOKUP(Creation_1!$S$4,Castes!$B$2:$D$25,3,FALSE)="Abilities",G39,L39))</f>
        <v>#N/A</v>
      </c>
      <c r="F39" s="231" t="str">
        <f t="shared" si="4"/>
        <v>Martial Arts</v>
      </c>
      <c r="G39" s="231" t="str">
        <f t="shared" si="5"/>
        <v>Steel Devil</v>
      </c>
      <c r="K39" s="243" t="str">
        <f t="shared" si="6"/>
        <v>Martial Arts</v>
      </c>
      <c r="L39" s="231" t="s">
        <v>7371</v>
      </c>
    </row>
    <row r="40" spans="2:12">
      <c r="B40" s="231" t="e">
        <f>IF(VLOOKUP(Creation_1!$S$4,Castes!$B$2:$D$25,3,FALSE)="None","Out, Mortal !",IF(VLOOKUP(Creation_1!$S$4,Castes!$B$2:$D$25,3,FALSE)="Abilities",F40,K40))</f>
        <v>#N/A</v>
      </c>
      <c r="C40" s="231" t="e">
        <f>IF(VLOOKUP(Creation_1!$S$4,Castes!$B$2:$D$25,3,FALSE)="None","Out, Mortal !",IF(VLOOKUP(Creation_1!$S$4,Castes!$B$2:$D$25,3,FALSE)="Abilities",G40,L40))</f>
        <v>#N/A</v>
      </c>
      <c r="F40" s="231" t="str">
        <f t="shared" si="4"/>
        <v>Martial Arts</v>
      </c>
      <c r="G40" s="231" t="str">
        <f t="shared" si="5"/>
        <v>SV Nightingale</v>
      </c>
      <c r="K40" s="243" t="str">
        <f t="shared" si="6"/>
        <v>Martial Arts</v>
      </c>
      <c r="L40" s="231" t="s">
        <v>7372</v>
      </c>
    </row>
    <row r="41" spans="2:12">
      <c r="B41" s="231" t="e">
        <f>IF(VLOOKUP(Creation_1!$S$4,Castes!$B$2:$D$25,3,FALSE)="None","Out, Mortal !",IF(VLOOKUP(Creation_1!$S$4,Castes!$B$2:$D$25,3,FALSE)="Abilities",F41,K41))</f>
        <v>#N/A</v>
      </c>
      <c r="C41" s="231" t="e">
        <f>IF(VLOOKUP(Creation_1!$S$4,Castes!$B$2:$D$25,3,FALSE)="None","Out, Mortal !",IF(VLOOKUP(Creation_1!$S$4,Castes!$B$2:$D$25,3,FALSE)="Abilities",G41,L41))</f>
        <v>#N/A</v>
      </c>
      <c r="F41" s="231" t="str">
        <f t="shared" si="4"/>
        <v>Martial Arts</v>
      </c>
      <c r="G41" s="231" t="str">
        <f t="shared" si="5"/>
        <v>Tiger</v>
      </c>
      <c r="K41" s="243" t="str">
        <f t="shared" si="6"/>
        <v>Martial Arts</v>
      </c>
      <c r="L41" s="231" t="s">
        <v>3220</v>
      </c>
    </row>
    <row r="42" spans="2:12">
      <c r="B42" s="231" t="e">
        <f>IF(VLOOKUP(Creation_1!$S$4,Castes!$B$2:$D$25,3,FALSE)="None","Out, Mortal !",IF(VLOOKUP(Creation_1!$S$4,Castes!$B$2:$D$25,3,FALSE)="Abilities",F42,K42))</f>
        <v>#N/A</v>
      </c>
      <c r="C42" s="231" t="e">
        <f>IF(VLOOKUP(Creation_1!$S$4,Castes!$B$2:$D$25,3,FALSE)="None","Out, Mortal !",IF(VLOOKUP(Creation_1!$S$4,Castes!$B$2:$D$25,3,FALSE)="Abilities",G42,L42))</f>
        <v>#N/A</v>
      </c>
      <c r="F42" s="231" t="str">
        <f t="shared" si="4"/>
        <v>Martial Arts</v>
      </c>
      <c r="G42" s="231" t="str">
        <f t="shared" si="5"/>
        <v>Water Dragon</v>
      </c>
      <c r="K42" s="243" t="str">
        <f t="shared" si="6"/>
        <v>Martial Arts</v>
      </c>
      <c r="L42" s="231" t="s">
        <v>7373</v>
      </c>
    </row>
    <row r="43" spans="2:12">
      <c r="B43" s="231" t="e">
        <f>IF(VLOOKUP(Creation_1!$S$4,Castes!$B$2:$D$25,3,FALSE)="None","Out, Mortal !",IF(VLOOKUP(Creation_1!$S$4,Castes!$B$2:$D$25,3,FALSE)="Abilities",F43,K43))</f>
        <v>#N/A</v>
      </c>
      <c r="C43" s="231" t="e">
        <f>IF(VLOOKUP(Creation_1!$S$4,Castes!$B$2:$D$25,3,FALSE)="None","Out, Mortal !",IF(VLOOKUP(Creation_1!$S$4,Castes!$B$2:$D$25,3,FALSE)="Abilities",G43,L43))</f>
        <v>#N/A</v>
      </c>
      <c r="F43" s="231" t="str">
        <f t="shared" si="4"/>
        <v>Martial Arts</v>
      </c>
      <c r="G43" s="231" t="str">
        <f t="shared" si="5"/>
        <v>White Veil</v>
      </c>
      <c r="K43" s="243" t="str">
        <f t="shared" si="6"/>
        <v>Martial Arts</v>
      </c>
      <c r="L43" s="231" t="s">
        <v>7374</v>
      </c>
    </row>
    <row r="44" spans="2:12">
      <c r="B44" s="231" t="e">
        <f>IF(VLOOKUP(Creation_1!$S$4,Castes!$B$2:$D$25,3,FALSE)="None","Out, Mortal !",IF(VLOOKUP(Creation_1!$S$4,Castes!$B$2:$D$25,3,FALSE)="Abilities",F44,K44))</f>
        <v>#N/A</v>
      </c>
      <c r="C44" s="231" t="e">
        <f>IF(VLOOKUP(Creation_1!$S$4,Castes!$B$2:$D$25,3,FALSE)="None","Out, Mortal !",IF(VLOOKUP(Creation_1!$S$4,Castes!$B$2:$D$25,3,FALSE)="Abilities",G44,L44))</f>
        <v>#N/A</v>
      </c>
      <c r="F44" s="231" t="str">
        <f t="shared" si="4"/>
        <v>Martial Arts</v>
      </c>
      <c r="G44" s="231" t="str">
        <f t="shared" si="5"/>
        <v>White Reaper</v>
      </c>
      <c r="K44" s="243" t="str">
        <f t="shared" si="6"/>
        <v>Martial Arts</v>
      </c>
      <c r="L44" s="231" t="s">
        <v>7375</v>
      </c>
    </row>
    <row r="45" spans="2:12">
      <c r="B45" s="231" t="e">
        <f>IF(VLOOKUP(Creation_1!$S$4,Castes!$B$2:$D$25,3,FALSE)="None","Out, Mortal !",IF(VLOOKUP(Creation_1!$S$4,Castes!$B$2:$D$25,3,FALSE)="Abilities",F45,K45))</f>
        <v>#N/A</v>
      </c>
      <c r="C45" s="231" t="e">
        <f>IF(VLOOKUP(Creation_1!$S$4,Castes!$B$2:$D$25,3,FALSE)="None","Out, Mortal !",IF(VLOOKUP(Creation_1!$S$4,Castes!$B$2:$D$25,3,FALSE)="Abilities",G45,L45))</f>
        <v>#N/A</v>
      </c>
      <c r="F45" s="231" t="str">
        <f t="shared" si="4"/>
        <v>Martial Arts</v>
      </c>
      <c r="G45" s="231" t="str">
        <f t="shared" si="5"/>
        <v>Wood Dragon</v>
      </c>
      <c r="K45" s="243" t="str">
        <f t="shared" si="6"/>
        <v>Martial Arts</v>
      </c>
      <c r="L45" s="231" t="s">
        <v>7376</v>
      </c>
    </row>
    <row r="46" spans="2:12">
      <c r="B46" s="231" t="e">
        <f>IF(VLOOKUP(Creation_1!$S$4,Castes!$B$2:$D$25,3,FALSE)="None","Out, Mortal !",IF(VLOOKUP(Creation_1!$S$4,Castes!$B$2:$D$25,3,FALSE)="Abilities",F46,K46))</f>
        <v>#N/A</v>
      </c>
      <c r="C46" s="231" t="e">
        <f>IF(VLOOKUP(Creation_1!$S$4,Castes!$B$2:$D$25,3,FALSE)="None","Out, Mortal !",IF(VLOOKUP(Creation_1!$S$4,Castes!$B$2:$D$25,3,FALSE)="Abilities",G46,L46))</f>
        <v>#N/A</v>
      </c>
      <c r="F46" s="243" t="s">
        <v>2984</v>
      </c>
      <c r="G46" s="231" t="s">
        <v>7377</v>
      </c>
      <c r="K46" s="231" t="s">
        <v>7377</v>
      </c>
      <c r="L46" s="231" t="s">
        <v>7377</v>
      </c>
    </row>
    <row r="47" spans="2:12">
      <c r="B47" s="231" t="e">
        <f>IF(VLOOKUP(Creation_1!$S$4,Castes!$B$2:$D$25,3,FALSE)="None","Out, Mortal !",IF(VLOOKUP(Creation_1!$S$4,Castes!$B$2:$D$25,3,FALSE)="Abilities",F47,K47))</f>
        <v>#N/A</v>
      </c>
      <c r="C47" s="231" t="e">
        <f>IF(VLOOKUP(Creation_1!$S$4,Castes!$B$2:$D$25,3,FALSE)="None","Out, Mortal !",IF(VLOOKUP(Creation_1!$S$4,Castes!$B$2:$D$25,3,FALSE)="Abilities",G47,L47))</f>
        <v>#N/A</v>
      </c>
      <c r="F47" s="243" t="s">
        <v>2984</v>
      </c>
      <c r="G47" s="231" t="s">
        <v>7378</v>
      </c>
      <c r="K47" s="231" t="s">
        <v>7378</v>
      </c>
      <c r="L47" s="231" t="s">
        <v>7378</v>
      </c>
    </row>
    <row r="48" spans="2:12">
      <c r="B48" s="231" t="e">
        <f>IF(VLOOKUP(Creation_1!$S$4,Castes!$B$2:$D$25,3,FALSE)="None","Out, Mortal !",IF(VLOOKUP(Creation_1!$S$4,Castes!$B$2:$D$25,3,FALSE)="Abilities",F48,K48))</f>
        <v>#N/A</v>
      </c>
      <c r="C48" s="231" t="e">
        <f>IF(VLOOKUP(Creation_1!$S$4,Castes!$B$2:$D$25,3,FALSE)="None","Out, Mortal !",IF(VLOOKUP(Creation_1!$S$4,Castes!$B$2:$D$25,3,FALSE)="Abilities",G48,L48))</f>
        <v>#N/A</v>
      </c>
      <c r="F48" s="243" t="s">
        <v>2984</v>
      </c>
      <c r="G48" s="231" t="s">
        <v>7379</v>
      </c>
      <c r="K48" s="231" t="s">
        <v>7379</v>
      </c>
      <c r="L48" s="231" t="s">
        <v>7379</v>
      </c>
    </row>
    <row r="49" spans="2:12">
      <c r="B49" s="231" t="e">
        <f>IF(VLOOKUP(Creation_1!$S$4,Castes!$B$2:$D$25,3,FALSE)="None","Out, Mortal !",IF(VLOOKUP(Creation_1!$S$4,Castes!$B$2:$D$25,3,FALSE)="Abilities",F49,K49))</f>
        <v>#N/A</v>
      </c>
      <c r="C49" s="231" t="e">
        <f>IF(VLOOKUP(Creation_1!$S$4,Castes!$B$2:$D$25,3,FALSE)="None","Out, Mortal !",IF(VLOOKUP(Creation_1!$S$4,Castes!$B$2:$D$25,3,FALSE)="Abilities",G49,L49))</f>
        <v>#N/A</v>
      </c>
      <c r="F49" s="243" t="s">
        <v>3198</v>
      </c>
      <c r="G49" s="264" t="s">
        <v>7380</v>
      </c>
      <c r="K49" s="243" t="s">
        <v>3198</v>
      </c>
      <c r="L49" s="264" t="s">
        <v>7380</v>
      </c>
    </row>
    <row r="50" spans="2:12">
      <c r="B50" s="231" t="e">
        <f>IF(VLOOKUP(Creation_1!$S$4,Castes!$B$2:$D$25,3,FALSE)="None","Out, Mortal !",IF(VLOOKUP(Creation_1!$S$4,Castes!$B$2:$D$25,3,FALSE)="Abilities",F50,K50))</f>
        <v>#N/A</v>
      </c>
      <c r="C50" s="231" t="e">
        <f>IF(VLOOKUP(Creation_1!$S$4,Castes!$B$2:$D$25,3,FALSE)="None","Out, Mortal !",IF(VLOOKUP(Creation_1!$S$4,Castes!$B$2:$D$25,3,FALSE)="Abilities",G50,L50))</f>
        <v>#N/A</v>
      </c>
    </row>
    <row r="51" spans="2:12">
      <c r="B51" s="231" t="e">
        <f>IF(VLOOKUP(Creation_1!$S$4,Castes!$B$2:$D$25,3,FALSE)="None","Out, Mortal !",IF(VLOOKUP(Creation_1!$S$4,Castes!$B$2:$D$25,3,FALSE)="Abilities",F51,K51))</f>
        <v>#N/A</v>
      </c>
      <c r="C51" s="231" t="e">
        <f>IF(VLOOKUP(Creation_1!$S$4,Castes!$B$2:$D$25,3,FALSE)="None","Out, Mortal !",IF(VLOOKUP(Creation_1!$S$4,Castes!$B$2:$D$25,3,FALSE)="Abilities",G51,L51))</f>
        <v>#N/A</v>
      </c>
    </row>
    <row r="52" spans="2:12">
      <c r="B52" s="231" t="e">
        <f>IF(VLOOKUP(Creation_1!$S$4,Castes!$B$2:$D$25,3,FALSE)="None","Out, Mortal !",IF(VLOOKUP(Creation_1!$S$4,Castes!$B$2:$D$25,3,FALSE)="Abilities",F52,K52))</f>
        <v>#N/A</v>
      </c>
      <c r="C52" s="231" t="e">
        <f>IF(VLOOKUP(Creation_1!$S$4,Castes!$B$2:$D$25,3,FALSE)="None","Out, Mortal !",IF(VLOOKUP(Creation_1!$S$4,Castes!$B$2:$D$25,3,FALSE)="Abilities",G52,L52))</f>
        <v>#N/A</v>
      </c>
    </row>
    <row r="53" spans="2:12">
      <c r="B53" s="231" t="e">
        <f>IF(VLOOKUP(Creation_1!$S$4,Castes!$B$2:$D$25,3,FALSE)="None","Out, Mortal !",IF(VLOOKUP(Creation_1!$S$4,Castes!$B$2:$D$25,3,FALSE)="Abilities",F53,K53))</f>
        <v>#N/A</v>
      </c>
      <c r="C53" s="231" t="e">
        <f>IF(VLOOKUP(Creation_1!$S$4,Castes!$B$2:$D$25,3,FALSE)="None","Out, Mortal !",IF(VLOOKUP(Creation_1!$S$4,Castes!$B$2:$D$25,3,FALSE)="Abilities",G53,L53))</f>
        <v>#N/A</v>
      </c>
    </row>
    <row r="54" spans="2:12">
      <c r="B54" s="231" t="e">
        <f>IF(VLOOKUP(Creation_1!$S$4,Castes!$B$2:$D$25,3,FALSE)="None","Out, Mortal !",IF(VLOOKUP(Creation_1!$S$4,Castes!$B$2:$D$25,3,FALSE)="Abilities",F54,K54))</f>
        <v>#N/A</v>
      </c>
      <c r="C54" s="231" t="e">
        <f>IF(VLOOKUP(Creation_1!$S$4,Castes!$B$2:$D$25,3,FALSE)="None","Out, Mortal !",IF(VLOOKUP(Creation_1!$S$4,Castes!$B$2:$D$25,3,FALSE)="Abilities",G54,L54))</f>
        <v>#N/A</v>
      </c>
    </row>
    <row r="55" spans="2:12">
      <c r="B55" s="231" t="e">
        <f>IF(VLOOKUP(Creation_1!$S$4,Castes!$B$2:$D$25,3,FALSE)="None","Out, Mortal !",IF(VLOOKUP(Creation_1!$S$4,Castes!$B$2:$D$25,3,FALSE)="Abilities",F55,K55))</f>
        <v>#N/A</v>
      </c>
      <c r="C55" s="231" t="e">
        <f>IF(VLOOKUP(Creation_1!$S$4,Castes!$B$2:$D$25,3,FALSE)="None","Out, Mortal !",IF(VLOOKUP(Creation_1!$S$4,Castes!$B$2:$D$25,3,FALSE)="Abilities",G55,L55))</f>
        <v>#N/A</v>
      </c>
    </row>
    <row r="56" spans="2:12">
      <c r="B56" s="231" t="e">
        <f>IF(VLOOKUP(Creation_1!$S$4,Castes!$B$2:$D$25,3,FALSE)="None","Out, Mortal !",IF(VLOOKUP(Creation_1!$S$4,Castes!$B$2:$D$25,3,FALSE)="Abilities",F56,K56))</f>
        <v>#N/A</v>
      </c>
      <c r="C56" s="231" t="e">
        <f>IF(VLOOKUP(Creation_1!$S$4,Castes!$B$2:$D$25,3,FALSE)="None","Out, Mortal !",IF(VLOOKUP(Creation_1!$S$4,Castes!$B$2:$D$25,3,FALSE)="Abilities",G56,L56))</f>
        <v>#N/A</v>
      </c>
    </row>
    <row r="57" spans="2:12">
      <c r="B57" s="231" t="e">
        <f>IF(VLOOKUP(Creation_1!$S$4,Castes!$B$2:$D$25,3,FALSE)="None","Out, Mortal !",IF(VLOOKUP(Creation_1!$S$4,Castes!$B$2:$D$25,3,FALSE)="Abilities",F57,K57))</f>
        <v>#N/A</v>
      </c>
      <c r="C57" s="231" t="e">
        <f>IF(VLOOKUP(Creation_1!$S$4,Castes!$B$2:$D$25,3,FALSE)="None","Out, Mortal !",IF(VLOOKUP(Creation_1!$S$4,Castes!$B$2:$D$25,3,FALSE)="Abilities",G57,L57))</f>
        <v>#N/A</v>
      </c>
    </row>
    <row r="58" spans="2:12">
      <c r="B58" s="231" t="e">
        <f>IF(VLOOKUP(Creation_1!$S$4,Castes!$B$2:$D$25,3,FALSE)="None","Out, Mortal !",IF(VLOOKUP(Creation_1!$S$4,Castes!$B$2:$D$25,3,FALSE)="Abilities",F58,K58))</f>
        <v>#N/A</v>
      </c>
      <c r="C58" s="231" t="e">
        <f>IF(VLOOKUP(Creation_1!$S$4,Castes!$B$2:$D$25,3,FALSE)="None","Out, Mortal !",IF(VLOOKUP(Creation_1!$S$4,Castes!$B$2:$D$25,3,FALSE)="Abilities",G58,L58))</f>
        <v>#N/A</v>
      </c>
    </row>
    <row r="59" spans="2:12">
      <c r="B59" s="231" t="e">
        <f>IF(VLOOKUP(Creation_1!$S$4,Castes!$B$2:$D$25,3,FALSE)="None","Out, Mortal !",IF(VLOOKUP(Creation_1!$S$4,Castes!$B$2:$D$25,3,FALSE)="Abilities",F59,K59))</f>
        <v>#N/A</v>
      </c>
      <c r="C59" s="231" t="e">
        <f>IF(VLOOKUP(Creation_1!$S$4,Castes!$B$2:$D$25,3,FALSE)="None","Out, Mortal !",IF(VLOOKUP(Creation_1!$S$4,Castes!$B$2:$D$25,3,FALSE)="Abilities",G59,L59))</f>
        <v>#N/A</v>
      </c>
    </row>
    <row r="60" spans="2:12">
      <c r="B60" s="231" t="e">
        <f>IF(VLOOKUP(Creation_1!$S$4,Castes!$B$2:$D$25,3,FALSE)="None","Out, Mortal !",IF(VLOOKUP(Creation_1!$S$4,Castes!$B$2:$D$25,3,FALSE)="Abilities",F60,K60))</f>
        <v>#N/A</v>
      </c>
      <c r="C60" s="231" t="e">
        <f>IF(VLOOKUP(Creation_1!$S$4,Castes!$B$2:$D$25,3,FALSE)="None","Out, Mortal !",IF(VLOOKUP(Creation_1!$S$4,Castes!$B$2:$D$25,3,FALSE)="Abilities",G60,L60))</f>
        <v>#N/A</v>
      </c>
    </row>
    <row r="61" spans="2:12">
      <c r="B61" s="231" t="e">
        <f>IF(VLOOKUP(Creation_1!$S$4,Castes!$B$2:$D$25,3,FALSE)="None","Out, Mortal !",IF(VLOOKUP(Creation_1!$S$4,Castes!$B$2:$D$25,3,FALSE)="Abilities",F61,K61))</f>
        <v>#N/A</v>
      </c>
      <c r="C61" s="231" t="e">
        <f>IF(VLOOKUP(Creation_1!$S$4,Castes!$B$2:$D$25,3,FALSE)="None","Out, Mortal !",IF(VLOOKUP(Creation_1!$S$4,Castes!$B$2:$D$25,3,FALSE)="Abilities",G61,L61))</f>
        <v>#N/A</v>
      </c>
    </row>
    <row r="62" spans="2:12">
      <c r="B62" s="231" t="e">
        <f>IF(VLOOKUP(Creation_1!$S$4,Castes!$B$2:$D$25,3,FALSE)="None","Out, Mortal !",IF(VLOOKUP(Creation_1!$S$4,Castes!$B$2:$D$25,3,FALSE)="Abilities",F62,K62))</f>
        <v>#N/A</v>
      </c>
      <c r="C62" s="231" t="e">
        <f>IF(VLOOKUP(Creation_1!$S$4,Castes!$B$2:$D$25,3,FALSE)="None","Out, Mortal !",IF(VLOOKUP(Creation_1!$S$4,Castes!$B$2:$D$25,3,FALSE)="Abilities",G62,L62))</f>
        <v>#N/A</v>
      </c>
    </row>
    <row r="63" spans="2:12">
      <c r="B63" s="231" t="e">
        <f>IF(VLOOKUP(Creation_1!$S$4,Castes!$B$2:$D$25,3,FALSE)="None","Out, Mortal !",IF(VLOOKUP(Creation_1!$S$4,Castes!$B$2:$D$25,3,FALSE)="Abilities",F63,K63))</f>
        <v>#N/A</v>
      </c>
      <c r="C63" s="231" t="e">
        <f>IF(VLOOKUP(Creation_1!$S$4,Castes!$B$2:$D$25,3,FALSE)="None","Out, Mortal !",IF(VLOOKUP(Creation_1!$S$4,Castes!$B$2:$D$25,3,FALSE)="Abilities",G63,L63))</f>
        <v>#N/A</v>
      </c>
    </row>
    <row r="64" spans="2:12">
      <c r="B64" s="231" t="e">
        <f>IF(VLOOKUP(Creation_1!$S$4,Castes!$B$2:$D$25,3,FALSE)="None","Out, Mortal !",IF(VLOOKUP(Creation_1!$S$4,Castes!$B$2:$D$25,3,FALSE)="Abilities",F64,K64))</f>
        <v>#N/A</v>
      </c>
      <c r="C64" s="231" t="e">
        <f>IF(VLOOKUP(Creation_1!$S$4,Castes!$B$2:$D$25,3,FALSE)="None","Out, Mortal !",IF(VLOOKUP(Creation_1!$S$4,Castes!$B$2:$D$25,3,FALSE)="Abilities",G64,L64))</f>
        <v>#N/A</v>
      </c>
    </row>
    <row r="65" spans="2:3">
      <c r="B65" s="231" t="e">
        <f>IF(VLOOKUP(Creation_1!$S$4,Castes!$B$2:$D$25,3,FALSE)="None","Out, Mortal !",IF(VLOOKUP(Creation_1!$S$4,Castes!$B$2:$D$25,3,FALSE)="Abilities",F65,K65))</f>
        <v>#N/A</v>
      </c>
      <c r="C65" s="231" t="e">
        <f>IF(VLOOKUP(Creation_1!$S$4,Castes!$B$2:$D$25,3,FALSE)="None","Out, Mortal !",IF(VLOOKUP(Creation_1!$S$4,Castes!$B$2:$D$25,3,FALSE)="Abilities",G65,L65))</f>
        <v>#N/A</v>
      </c>
    </row>
    <row r="66" spans="2:3">
      <c r="B66" s="231" t="e">
        <f>IF(VLOOKUP(Creation_1!$S$4,Castes!$B$2:$D$25,3,FALSE)="None","Out, Mortal !",IF(VLOOKUP(Creation_1!$S$4,Castes!$B$2:$D$25,3,FALSE)="Abilities",F66,K66))</f>
        <v>#N/A</v>
      </c>
      <c r="C66" s="231" t="e">
        <f>IF(VLOOKUP(Creation_1!$S$4,Castes!$B$2:$D$25,3,FALSE)="None","Out, Mortal !",IF(VLOOKUP(Creation_1!$S$4,Castes!$B$2:$D$25,3,FALSE)="Abilities",G66,L66))</f>
        <v>#N/A</v>
      </c>
    </row>
    <row r="67" spans="2:3">
      <c r="B67" s="231" t="e">
        <f>IF(VLOOKUP(Creation_1!$S$4,Castes!$B$2:$D$25,3,FALSE)="None","Out, Mortal !",IF(VLOOKUP(Creation_1!$S$4,Castes!$B$2:$D$25,3,FALSE)="Abilities",F67,K67))</f>
        <v>#N/A</v>
      </c>
      <c r="C67" s="231" t="e">
        <f>IF(VLOOKUP(Creation_1!$S$4,Castes!$B$2:$D$25,3,FALSE)="None","Out, Mortal !",IF(VLOOKUP(Creation_1!$S$4,Castes!$B$2:$D$25,3,FALSE)="Abilities",G67,L67))</f>
        <v>#N/A</v>
      </c>
    </row>
    <row r="68" spans="2:3">
      <c r="B68" s="231" t="e">
        <f>IF(VLOOKUP(Creation_1!$S$4,Castes!$B$2:$D$25,3,FALSE)="None","Out, Mortal !",IF(VLOOKUP(Creation_1!$S$4,Castes!$B$2:$D$25,3,FALSE)="Abilities",F68,K68))</f>
        <v>#N/A</v>
      </c>
      <c r="C68" s="231" t="e">
        <f>IF(VLOOKUP(Creation_1!$S$4,Castes!$B$2:$D$25,3,FALSE)="None","Out, Mortal !",IF(VLOOKUP(Creation_1!$S$4,Castes!$B$2:$D$25,3,FALSE)="Abilities",G68,L68))</f>
        <v>#N/A</v>
      </c>
    </row>
    <row r="69" spans="2:3">
      <c r="B69" s="231" t="e">
        <f>IF(VLOOKUP(Creation_1!$S$4,Castes!$B$2:$D$25,3,FALSE)="None","Out, Mortal !",IF(VLOOKUP(Creation_1!$S$4,Castes!$B$2:$D$25,3,FALSE)="Abilities",F69,K69))</f>
        <v>#N/A</v>
      </c>
      <c r="C69" s="231" t="e">
        <f>IF(VLOOKUP(Creation_1!$S$4,Castes!$B$2:$D$25,3,FALSE)="None","Out, Mortal !",IF(VLOOKUP(Creation_1!$S$4,Castes!$B$2:$D$25,3,FALSE)="Abilities",G69,L69))</f>
        <v>#N/A</v>
      </c>
    </row>
    <row r="70" spans="2:3">
      <c r="B70" s="231" t="e">
        <f>IF(VLOOKUP(Creation_1!$S$4,Castes!$B$2:$D$25,3,FALSE)="None","Out, Mortal !",IF(VLOOKUP(Creation_1!$S$4,Castes!$B$2:$D$25,3,FALSE)="Abilities",F70,K70))</f>
        <v>#N/A</v>
      </c>
      <c r="C70" s="231" t="e">
        <f>IF(VLOOKUP(Creation_1!$S$4,Castes!$B$2:$D$25,3,FALSE)="None","Out, Mortal !",IF(VLOOKUP(Creation_1!$S$4,Castes!$B$2:$D$25,3,FALSE)="Abilities",G70,L70))</f>
        <v>#N/A</v>
      </c>
    </row>
    <row r="71" spans="2:3">
      <c r="B71" s="231" t="e">
        <f>IF(VLOOKUP(Creation_1!$S$4,Castes!$B$2:$D$25,3,FALSE)="None","Out, Mortal !",IF(VLOOKUP(Creation_1!$S$4,Castes!$B$2:$D$25,3,FALSE)="Abilities",F71,K71))</f>
        <v>#N/A</v>
      </c>
      <c r="C71" s="231" t="e">
        <f>IF(VLOOKUP(Creation_1!$S$4,Castes!$B$2:$D$25,3,FALSE)="None","Out, Mortal !",IF(VLOOKUP(Creation_1!$S$4,Castes!$B$2:$D$25,3,FALSE)="Abilities",G71,L71))</f>
        <v>#N/A</v>
      </c>
    </row>
    <row r="72" spans="2:3">
      <c r="B72" s="231" t="e">
        <f>IF(VLOOKUP(Creation_1!$S$4,Castes!$B$2:$D$25,3,FALSE)="None","Out, Mortal !",IF(VLOOKUP(Creation_1!$S$4,Castes!$B$2:$D$25,3,FALSE)="Abilities",F72,K72))</f>
        <v>#N/A</v>
      </c>
      <c r="C72" s="231" t="e">
        <f>IF(VLOOKUP(Creation_1!$S$4,Castes!$B$2:$D$25,3,FALSE)="None","Out, Mortal !",IF(VLOOKUP(Creation_1!$S$4,Castes!$B$2:$D$25,3,FALSE)="Abilities",G72,L72))</f>
        <v>#N/A</v>
      </c>
    </row>
    <row r="73" spans="2:3">
      <c r="B73" s="231" t="e">
        <f>IF(VLOOKUP(Creation_1!$S$4,Castes!$B$2:$D$25,3,FALSE)="None","Out, Mortal !",IF(VLOOKUP(Creation_1!$S$4,Castes!$B$2:$D$25,3,FALSE)="Abilities",F73,K73))</f>
        <v>#N/A</v>
      </c>
      <c r="C73" s="231" t="e">
        <f>IF(VLOOKUP(Creation_1!$S$4,Castes!$B$2:$D$25,3,FALSE)="None","Out, Mortal !",IF(VLOOKUP(Creation_1!$S$4,Castes!$B$2:$D$25,3,FALSE)="Abilities",G73,L73))</f>
        <v>#N/A</v>
      </c>
    </row>
    <row r="74" spans="2:3">
      <c r="B74" s="231" t="e">
        <f>IF(VLOOKUP(Creation_1!$S$4,Castes!$B$2:$D$25,3,FALSE)="None","Out, Mortal !",IF(VLOOKUP(Creation_1!$S$4,Castes!$B$2:$D$25,3,FALSE)="Abilities",F74,K74))</f>
        <v>#N/A</v>
      </c>
      <c r="C74" s="231" t="e">
        <f>IF(VLOOKUP(Creation_1!$S$4,Castes!$B$2:$D$25,3,FALSE)="None","Out, Mortal !",IF(VLOOKUP(Creation_1!$S$4,Castes!$B$2:$D$25,3,FALSE)="Abilities",G74,L74))</f>
        <v>#N/A</v>
      </c>
    </row>
    <row r="75" spans="2:3">
      <c r="B75" s="231" t="e">
        <f>IF(VLOOKUP(Creation_1!$S$4,Castes!$B$2:$D$25,3,FALSE)="None","Out, Mortal !",IF(VLOOKUP(Creation_1!$S$4,Castes!$B$2:$D$25,3,FALSE)="Abilities",F75,K75))</f>
        <v>#N/A</v>
      </c>
      <c r="C75" s="231" t="e">
        <f>IF(VLOOKUP(Creation_1!$S$4,Castes!$B$2:$D$25,3,FALSE)="None","Out, Mortal !",IF(VLOOKUP(Creation_1!$S$4,Castes!$B$2:$D$25,3,FALSE)="Abilities",G75,L75))</f>
        <v>#N/A</v>
      </c>
    </row>
    <row r="76" spans="2:3">
      <c r="B76" s="231" t="e">
        <f>IF(VLOOKUP(Creation_1!$S$4,Castes!$B$2:$D$25,3,FALSE)="None","Out, Mortal !",IF(VLOOKUP(Creation_1!$S$4,Castes!$B$2:$D$25,3,FALSE)="Abilities",F76,K76))</f>
        <v>#N/A</v>
      </c>
      <c r="C76" s="231" t="e">
        <f>IF(VLOOKUP(Creation_1!$S$4,Castes!$B$2:$D$25,3,FALSE)="None","Out, Mortal !",IF(VLOOKUP(Creation_1!$S$4,Castes!$B$2:$D$25,3,FALSE)="Abilities",G76,L76))</f>
        <v>#N/A</v>
      </c>
    </row>
    <row r="77" spans="2:3">
      <c r="B77" s="231" t="e">
        <f>IF(VLOOKUP(Creation_1!$S$4,Castes!$B$2:$D$25,3,FALSE)="None","Out, Mortal !",IF(VLOOKUP(Creation_1!$S$4,Castes!$B$2:$D$25,3,FALSE)="Abilities",F77,K77))</f>
        <v>#N/A</v>
      </c>
      <c r="C77" s="231" t="e">
        <f>IF(VLOOKUP(Creation_1!$S$4,Castes!$B$2:$D$25,3,FALSE)="None","Out, Mortal !",IF(VLOOKUP(Creation_1!$S$4,Castes!$B$2:$D$25,3,FALSE)="Abilities",G77,L77))</f>
        <v>#N/A</v>
      </c>
    </row>
    <row r="78" spans="2:3">
      <c r="B78" s="231" t="e">
        <f>IF(VLOOKUP(Creation_1!$S$4,Castes!$B$2:$D$25,3,FALSE)="None","Out, Mortal !",IF(VLOOKUP(Creation_1!$S$4,Castes!$B$2:$D$25,3,FALSE)="Abilities",F78,K78))</f>
        <v>#N/A</v>
      </c>
      <c r="C78" s="231" t="e">
        <f>IF(VLOOKUP(Creation_1!$S$4,Castes!$B$2:$D$25,3,FALSE)="None","Out, Mortal !",IF(VLOOKUP(Creation_1!$S$4,Castes!$B$2:$D$25,3,FALSE)="Abilities",G78,L78))</f>
        <v>#N/A</v>
      </c>
    </row>
    <row r="79" spans="2:3">
      <c r="B79" s="231" t="e">
        <f>IF(VLOOKUP(Creation_1!$S$4,Castes!$B$2:$D$25,3,FALSE)="None","Out, Mortal !",IF(VLOOKUP(Creation_1!$S$4,Castes!$B$2:$D$25,3,FALSE)="Abilities",F79,K79))</f>
        <v>#N/A</v>
      </c>
      <c r="C79" s="231" t="e">
        <f>IF(VLOOKUP(Creation_1!$S$4,Castes!$B$2:$D$25,3,FALSE)="None","Out, Mortal !",IF(VLOOKUP(Creation_1!$S$4,Castes!$B$2:$D$25,3,FALSE)="Abilities",G79,L79))</f>
        <v>#N/A</v>
      </c>
    </row>
    <row r="80" spans="2:3">
      <c r="B80" s="231" t="e">
        <f>IF(VLOOKUP(Creation_1!$S$4,Castes!$B$2:$D$25,3,FALSE)="None","Out, Mortal !",IF(VLOOKUP(Creation_1!$S$4,Castes!$B$2:$D$25,3,FALSE)="Abilities",F80,K80))</f>
        <v>#N/A</v>
      </c>
      <c r="C80" s="231" t="e">
        <f>IF(VLOOKUP(Creation_1!$S$4,Castes!$B$2:$D$25,3,FALSE)="None","Out, Mortal !",IF(VLOOKUP(Creation_1!$S$4,Castes!$B$2:$D$25,3,FALSE)="Abilities",G80,L80))</f>
        <v>#N/A</v>
      </c>
    </row>
    <row r="81" spans="2:3">
      <c r="B81" s="231" t="e">
        <f>IF(VLOOKUP(Creation_1!$S$4,Castes!$B$2:$D$25,3,FALSE)="None","Out, Mortal !",IF(VLOOKUP(Creation_1!$S$4,Castes!$B$2:$D$25,3,FALSE)="Abilities",F81,K81))</f>
        <v>#N/A</v>
      </c>
      <c r="C81" s="231" t="e">
        <f>IF(VLOOKUP(Creation_1!$S$4,Castes!$B$2:$D$25,3,FALSE)="None","Out, Mortal !",IF(VLOOKUP(Creation_1!$S$4,Castes!$B$2:$D$25,3,FALSE)="Abilities",G81,L81))</f>
        <v>#N/A</v>
      </c>
    </row>
    <row r="82" spans="2:3">
      <c r="B82" s="231" t="e">
        <f>IF(VLOOKUP(Creation_1!$S$4,Castes!$B$2:$D$25,3,FALSE)="None","Out, Mortal !",IF(VLOOKUP(Creation_1!$S$4,Castes!$B$2:$D$25,3,FALSE)="Abilities",F82,K82))</f>
        <v>#N/A</v>
      </c>
      <c r="C82" s="231" t="e">
        <f>IF(VLOOKUP(Creation_1!$S$4,Castes!$B$2:$D$25,3,FALSE)="None","Out, Mortal !",IF(VLOOKUP(Creation_1!$S$4,Castes!$B$2:$D$25,3,FALSE)="Abilities",G82,L82))</f>
        <v>#N/A</v>
      </c>
    </row>
    <row r="83" spans="2:3">
      <c r="B83" s="231" t="e">
        <f>IF(VLOOKUP(Creation_1!$S$4,Castes!$B$2:$D$25,3,FALSE)="None","Out, Mortal !",IF(VLOOKUP(Creation_1!$S$4,Castes!$B$2:$D$25,3,FALSE)="Abilities",F83,K83))</f>
        <v>#N/A</v>
      </c>
      <c r="C83" s="231" t="e">
        <f>IF(VLOOKUP(Creation_1!$S$4,Castes!$B$2:$D$25,3,FALSE)="None","Out, Mortal !",IF(VLOOKUP(Creation_1!$S$4,Castes!$B$2:$D$25,3,FALSE)="Abilities",G83,L83))</f>
        <v>#N/A</v>
      </c>
    </row>
    <row r="84" spans="2:3">
      <c r="B84" s="231" t="e">
        <f>IF(VLOOKUP(Creation_1!$S$4,Castes!$B$2:$D$25,3,FALSE)="None","Out, Mortal !",IF(VLOOKUP(Creation_1!$S$4,Castes!$B$2:$D$25,3,FALSE)="Abilities",F84,K84))</f>
        <v>#N/A</v>
      </c>
      <c r="C84" s="231" t="e">
        <f>IF(VLOOKUP(Creation_1!$S$4,Castes!$B$2:$D$25,3,FALSE)="None","Out, Mortal !",IF(VLOOKUP(Creation_1!$S$4,Castes!$B$2:$D$25,3,FALSE)="Abilities",G84,L84))</f>
        <v>#N/A</v>
      </c>
    </row>
    <row r="85" spans="2:3">
      <c r="B85" s="231" t="e">
        <f>IF(VLOOKUP(Creation_1!$S$4,Castes!$B$2:$D$25,3,FALSE)="None","Out, Mortal !",IF(VLOOKUP(Creation_1!$S$4,Castes!$B$2:$D$25,3,FALSE)="Abilities",F85,K85))</f>
        <v>#N/A</v>
      </c>
      <c r="C85" s="231" t="e">
        <f>IF(VLOOKUP(Creation_1!$S$4,Castes!$B$2:$D$25,3,FALSE)="None","Out, Mortal !",IF(VLOOKUP(Creation_1!$S$4,Castes!$B$2:$D$25,3,FALSE)="Abilities",G85,L85))</f>
        <v>#N/A</v>
      </c>
    </row>
    <row r="86" spans="2:3">
      <c r="B86" s="231" t="e">
        <f>IF(VLOOKUP(Creation_1!$S$4,Castes!$B$2:$D$25,3,FALSE)="None","Out, Mortal !",IF(VLOOKUP(Creation_1!$S$4,Castes!$B$2:$D$25,3,FALSE)="Abilities",F86,K86))</f>
        <v>#N/A</v>
      </c>
      <c r="C86" s="231" t="e">
        <f>IF(VLOOKUP(Creation_1!$S$4,Castes!$B$2:$D$25,3,FALSE)="None","Out, Mortal !",IF(VLOOKUP(Creation_1!$S$4,Castes!$B$2:$D$25,3,FALSE)="Abilities",G86,L86))</f>
        <v>#N/A</v>
      </c>
    </row>
    <row r="87" spans="2:3">
      <c r="B87" s="231" t="e">
        <f>IF(VLOOKUP(Creation_1!$S$4,Castes!$B$2:$D$25,3,FALSE)="None","Out, Mortal !",IF(VLOOKUP(Creation_1!$S$4,Castes!$B$2:$D$25,3,FALSE)="Abilities",F87,K87))</f>
        <v>#N/A</v>
      </c>
      <c r="C87" s="231" t="e">
        <f>IF(VLOOKUP(Creation_1!$S$4,Castes!$B$2:$D$25,3,FALSE)="None","Out, Mortal !",IF(VLOOKUP(Creation_1!$S$4,Castes!$B$2:$D$25,3,FALSE)="Abilities",G87,L87))</f>
        <v>#N/A</v>
      </c>
    </row>
    <row r="88" spans="2:3">
      <c r="B88" s="231" t="e">
        <f>IF(VLOOKUP(Creation_1!$S$4,Castes!$B$2:$D$25,3,FALSE)="None","Out, Mortal !",IF(VLOOKUP(Creation_1!$S$4,Castes!$B$2:$D$25,3,FALSE)="Abilities",F88,K88))</f>
        <v>#N/A</v>
      </c>
      <c r="C88" s="231" t="e">
        <f>IF(VLOOKUP(Creation_1!$S$4,Castes!$B$2:$D$25,3,FALSE)="None","Out, Mortal !",IF(VLOOKUP(Creation_1!$S$4,Castes!$B$2:$D$25,3,FALSE)="Abilities",G88,L88))</f>
        <v>#N/A</v>
      </c>
    </row>
    <row r="89" spans="2:3">
      <c r="B89" s="231" t="e">
        <f>IF(VLOOKUP(Creation_1!$S$4,Castes!$B$2:$D$25,3,FALSE)="None","Out, Mortal !",IF(VLOOKUP(Creation_1!$S$4,Castes!$B$2:$D$25,3,FALSE)="Abilities",F89,K89))</f>
        <v>#N/A</v>
      </c>
      <c r="C89" s="231" t="e">
        <f>IF(VLOOKUP(Creation_1!$S$4,Castes!$B$2:$D$25,3,FALSE)="None","Out, Mortal !",IF(VLOOKUP(Creation_1!$S$4,Castes!$B$2:$D$25,3,FALSE)="Abilities",G89,L89))</f>
        <v>#N/A</v>
      </c>
    </row>
    <row r="90" spans="2:3">
      <c r="B90" s="231" t="e">
        <f>IF(VLOOKUP(Creation_1!$S$4,Castes!$B$2:$D$25,3,FALSE)="None","Out, Mortal !",IF(VLOOKUP(Creation_1!$S$4,Castes!$B$2:$D$25,3,FALSE)="Abilities",F90,K90))</f>
        <v>#N/A</v>
      </c>
      <c r="C90" s="231" t="e">
        <f>IF(VLOOKUP(Creation_1!$S$4,Castes!$B$2:$D$25,3,FALSE)="None","Out, Mortal !",IF(VLOOKUP(Creation_1!$S$4,Castes!$B$2:$D$25,3,FALSE)="Abilities",G90,L90))</f>
        <v>#N/A</v>
      </c>
    </row>
    <row r="91" spans="2:3">
      <c r="B91" s="231" t="e">
        <f>IF(VLOOKUP(Creation_1!$S$4,Castes!$B$2:$D$25,3,FALSE)="None","Out, Mortal !",IF(VLOOKUP(Creation_1!$S$4,Castes!$B$2:$D$25,3,FALSE)="Abilities",F91,K91))</f>
        <v>#N/A</v>
      </c>
      <c r="C91" s="231" t="e">
        <f>IF(VLOOKUP(Creation_1!$S$4,Castes!$B$2:$D$25,3,FALSE)="None","Out, Mortal !",IF(VLOOKUP(Creation_1!$S$4,Castes!$B$2:$D$25,3,FALSE)="Abilities",G91,L91))</f>
        <v>#N/A</v>
      </c>
    </row>
    <row r="92" spans="2:3">
      <c r="B92" s="231" t="e">
        <f>IF(VLOOKUP(Creation_1!$S$4,Castes!$B$2:$D$25,3,FALSE)="None","Out, Mortal !",IF(VLOOKUP(Creation_1!$S$4,Castes!$B$2:$D$25,3,FALSE)="Abilities",F92,K92))</f>
        <v>#N/A</v>
      </c>
      <c r="C92" s="231" t="e">
        <f>IF(VLOOKUP(Creation_1!$S$4,Castes!$B$2:$D$25,3,FALSE)="None","Out, Mortal !",IF(VLOOKUP(Creation_1!$S$4,Castes!$B$2:$D$25,3,FALSE)="Abilities",G92,L92))</f>
        <v>#N/A</v>
      </c>
    </row>
    <row r="93" spans="2:3">
      <c r="B93" s="231" t="e">
        <f>IF(VLOOKUP(Creation_1!$S$4,Castes!$B$2:$D$25,3,FALSE)="None","Out, Mortal !",IF(VLOOKUP(Creation_1!$S$4,Castes!$B$2:$D$25,3,FALSE)="Abilities",F93,K93))</f>
        <v>#N/A</v>
      </c>
      <c r="C93" s="231" t="e">
        <f>IF(VLOOKUP(Creation_1!$S$4,Castes!$B$2:$D$25,3,FALSE)="None","Out, Mortal !",IF(VLOOKUP(Creation_1!$S$4,Castes!$B$2:$D$25,3,FALSE)="Abilities",G93,L93))</f>
        <v>#N/A</v>
      </c>
    </row>
    <row r="94" spans="2:3">
      <c r="B94" s="231" t="e">
        <f>IF(VLOOKUP(Creation_1!$S$4,Castes!$B$2:$D$25,3,FALSE)="None","Out, Mortal !",IF(VLOOKUP(Creation_1!$S$4,Castes!$B$2:$D$25,3,FALSE)="Abilities",F94,K94))</f>
        <v>#N/A</v>
      </c>
      <c r="C94" s="231" t="e">
        <f>IF(VLOOKUP(Creation_1!$S$4,Castes!$B$2:$D$25,3,FALSE)="None","Out, Mortal !",IF(VLOOKUP(Creation_1!$S$4,Castes!$B$2:$D$25,3,FALSE)="Abilities",G94,L94))</f>
        <v>#N/A</v>
      </c>
    </row>
    <row r="95" spans="2:3">
      <c r="B95" s="231" t="e">
        <f>IF(VLOOKUP(Creation_1!$S$4,Castes!$B$2:$D$25,3,FALSE)="None","Out, Mortal !",IF(VLOOKUP(Creation_1!$S$4,Castes!$B$2:$D$25,3,FALSE)="Abilities",F95,K95))</f>
        <v>#N/A</v>
      </c>
      <c r="C95" s="231" t="e">
        <f>IF(VLOOKUP(Creation_1!$S$4,Castes!$B$2:$D$25,3,FALSE)="None","Out, Mortal !",IF(VLOOKUP(Creation_1!$S$4,Castes!$B$2:$D$25,3,FALSE)="Abilities",G95,L95))</f>
        <v>#N/A</v>
      </c>
    </row>
    <row r="96" spans="2:3">
      <c r="B96" s="231" t="e">
        <f>IF(VLOOKUP(Creation_1!$S$4,Castes!$B$2:$D$25,3,FALSE)="None","Out, Mortal !",IF(VLOOKUP(Creation_1!$S$4,Castes!$B$2:$D$25,3,FALSE)="Abilities",F96,K96))</f>
        <v>#N/A</v>
      </c>
      <c r="C96" s="231" t="e">
        <f>IF(VLOOKUP(Creation_1!$S$4,Castes!$B$2:$D$25,3,FALSE)="None","Out, Mortal !",IF(VLOOKUP(Creation_1!$S$4,Castes!$B$2:$D$25,3,FALSE)="Abilities",G96,L96))</f>
        <v>#N/A</v>
      </c>
    </row>
    <row r="97" spans="2:3">
      <c r="B97" s="231" t="e">
        <f>IF(VLOOKUP(Creation_1!$S$4,Castes!$B$2:$D$25,3,FALSE)="None","Out, Mortal !",IF(VLOOKUP(Creation_1!$S$4,Castes!$B$2:$D$25,3,FALSE)="Abilities",F97,K97))</f>
        <v>#N/A</v>
      </c>
      <c r="C97" s="231" t="e">
        <f>IF(VLOOKUP(Creation_1!$S$4,Castes!$B$2:$D$25,3,FALSE)="None","Out, Mortal !",IF(VLOOKUP(Creation_1!$S$4,Castes!$B$2:$D$25,3,FALSE)="Abilities",G97,L97))</f>
        <v>#N/A</v>
      </c>
    </row>
    <row r="98" spans="2:3">
      <c r="B98" s="231" t="e">
        <f>IF(VLOOKUP(Creation_1!$S$4,Castes!$B$2:$D$25,3,FALSE)="None","Out, Mortal !",IF(VLOOKUP(Creation_1!$S$4,Castes!$B$2:$D$25,3,FALSE)="Abilities",F98,K98))</f>
        <v>#N/A</v>
      </c>
      <c r="C98" s="231" t="e">
        <f>IF(VLOOKUP(Creation_1!$S$4,Castes!$B$2:$D$25,3,FALSE)="None","Out, Mortal !",IF(VLOOKUP(Creation_1!$S$4,Castes!$B$2:$D$25,3,FALSE)="Abilities",G98,L98))</f>
        <v>#N/A</v>
      </c>
    </row>
    <row r="99" spans="2:3">
      <c r="B99" s="231" t="e">
        <f>IF(VLOOKUP(Creation_1!$S$4,Castes!$B$2:$D$25,3,FALSE)="None","Out, Mortal !",IF(VLOOKUP(Creation_1!$S$4,Castes!$B$2:$D$25,3,FALSE)="Abilities",F99,K99))</f>
        <v>#N/A</v>
      </c>
      <c r="C99" s="231" t="e">
        <f>IF(VLOOKUP(Creation_1!$S$4,Castes!$B$2:$D$25,3,FALSE)="None","Out, Mortal !",IF(VLOOKUP(Creation_1!$S$4,Castes!$B$2:$D$25,3,FALSE)="Abilities",G99,L99))</f>
        <v>#N/A</v>
      </c>
    </row>
    <row r="100" spans="2:3">
      <c r="B100" s="231" t="e">
        <f>IF(VLOOKUP(Creation_1!$S$4,Castes!$B$2:$D$25,3,FALSE)="None","Out, Mortal !",IF(VLOOKUP(Creation_1!$S$4,Castes!$B$2:$D$25,3,FALSE)="Abilities",F100,K100))</f>
        <v>#N/A</v>
      </c>
      <c r="C100" s="231" t="e">
        <f>IF(VLOOKUP(Creation_1!$S$4,Castes!$B$2:$D$25,3,FALSE)="None","Out, Mortal !",IF(VLOOKUP(Creation_1!$S$4,Castes!$B$2:$D$25,3,FALSE)="Abilities",G100,L100))</f>
        <v>#N/A</v>
      </c>
    </row>
  </sheetData>
  <sortState xmlns:xlrd2="http://schemas.microsoft.com/office/spreadsheetml/2017/richdata2" ref="J2:J11">
    <sortCondition ref="J2"/>
  </sortState>
  <pageMargins left="0.7" right="0.7" top="0.75" bottom="0.75" header="0.3" footer="0.3"/>
  <pageSetup paperSize="9" orientation="portrait" r:id="rId1"/>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1B0695-DADA-40EA-9E5E-117C579AE9A5}">
  <sheetPr>
    <tabColor theme="0"/>
  </sheetPr>
  <dimension ref="A1:Q5000"/>
  <sheetViews>
    <sheetView zoomScale="70" zoomScaleNormal="70" workbookViewId="0">
      <selection activeCell="Q2" sqref="Q2"/>
    </sheetView>
  </sheetViews>
  <sheetFormatPr baseColWidth="10" defaultRowHeight="14.25"/>
  <cols>
    <col min="2" max="2" width="28.25" customWidth="1"/>
    <col min="3" max="3" width="24.375" customWidth="1"/>
    <col min="5" max="5" width="10.5" customWidth="1"/>
    <col min="6" max="9" width="0.875" customWidth="1"/>
    <col min="10" max="10" width="12.25" customWidth="1"/>
    <col min="12" max="12" width="25.125" bestFit="1" customWidth="1"/>
    <col min="13" max="13" width="30.75" bestFit="1" customWidth="1"/>
  </cols>
  <sheetData>
    <row r="1" spans="1:17" ht="28.5">
      <c r="A1" s="18" t="s">
        <v>7346</v>
      </c>
      <c r="B1" s="225" t="s">
        <v>3577</v>
      </c>
      <c r="C1" s="225" t="s">
        <v>3912</v>
      </c>
      <c r="D1" s="18" t="s">
        <v>3578</v>
      </c>
      <c r="E1" s="18" t="s">
        <v>7343</v>
      </c>
      <c r="F1" s="18" t="s">
        <v>3911</v>
      </c>
      <c r="G1" s="18" t="s">
        <v>3911</v>
      </c>
      <c r="H1" s="18" t="s">
        <v>3911</v>
      </c>
      <c r="I1" s="18" t="s">
        <v>3911</v>
      </c>
      <c r="J1" s="18" t="s">
        <v>3579</v>
      </c>
      <c r="K1" s="18" t="s">
        <v>3581</v>
      </c>
      <c r="L1" s="18" t="s">
        <v>3580</v>
      </c>
      <c r="N1" s="18" t="s">
        <v>7348</v>
      </c>
      <c r="O1" s="18" t="s">
        <v>7349</v>
      </c>
      <c r="Q1">
        <v>0</v>
      </c>
    </row>
    <row r="2" spans="1:17">
      <c r="A2" s="18" t="str">
        <f>Charms!K2</f>
        <v>Other</v>
      </c>
      <c r="B2" t="str">
        <f>Charms!B2</f>
        <v>Hallowed Bond of Night and Flame (Hallowed Soul and Flesh Merging)</v>
      </c>
      <c r="C2" t="b">
        <f ca="1">OR(Values!$S$98&gt;=Charms!M2,IFERROR(Charms!J2=OFFSET(Values!$A$24,MATCH("S",Values!$T$25:$T$50,0),0),FALSE))</f>
        <v>0</v>
      </c>
      <c r="D2" t="b">
        <f>VLOOKUP(Charms!J2,Values!$A$11:$S$59,19,0)&gt;=Charms!L2</f>
        <v>1</v>
      </c>
      <c r="E2" t="e">
        <f>OR(ISBLANK(Charms!I2),(VLOOKUP(Values!$S$6,Castes!$B$2:$F$25,4,0)=Charms!I2))</f>
        <v>#N/A</v>
      </c>
      <c r="J2" t="e">
        <f ca="1">(C2+D2+E2+F2+G2+H2+I2)=3</f>
        <v>#N/A</v>
      </c>
      <c r="K2" s="18" t="e">
        <f t="shared" ref="K2:K65" ca="1" si="0">IF(L2="","",COUNTIF(INDIRECT("J"&amp;MATCH(A2,A:A,0)&amp;":J"&amp;ROW()),J2))</f>
        <v>#N/A</v>
      </c>
      <c r="L2" t="e">
        <f ca="1">IF(J2,Charms!B2,"")</f>
        <v>#N/A</v>
      </c>
      <c r="M2" t="str">
        <f ca="1">IFERROR(VLOOKUP(COUNTIF(INDIRECT(O2),A2),INDIRECT(N2),2,0),"-")</f>
        <v>-</v>
      </c>
      <c r="N2" s="18" t="str">
        <f>"K"&amp;MATCH(A2,A:A,0)&amp;":L"&amp;(MATCH(A2,A:A,0)+COUNTIF(A:A,A2)-1)</f>
        <v>K2:L2</v>
      </c>
      <c r="O2" t="str">
        <f>"A"&amp;MATCH(A2,A:A,0)&amp;":A"&amp;ROW()</f>
        <v>A2:A2</v>
      </c>
    </row>
    <row r="3" spans="1:17">
      <c r="A3" s="18" t="str">
        <f>Charms!K3</f>
        <v>Archery</v>
      </c>
      <c r="B3" t="str">
        <f>Charms!B3</f>
        <v>Wise Arrow</v>
      </c>
      <c r="C3" t="b">
        <f ca="1">OR(Values!$S$98&gt;=Charms!M3,IFERROR(Charms!J3=OFFSET(Values!$A$24,MATCH("S",Values!$T$25:$T$50,0),0),FALSE))</f>
        <v>1</v>
      </c>
      <c r="D3" t="b">
        <f>VLOOKUP(Charms!J3,Values!$A$11:$S$59,19,0)&gt;=Charms!L3</f>
        <v>0</v>
      </c>
      <c r="E3" t="e">
        <f>OR(ISBLANK(Charms!I3),(VLOOKUP(Values!$S$6,Castes!$B$2:$F$25,4,0)=Charms!I3))</f>
        <v>#N/A</v>
      </c>
      <c r="J3" t="e">
        <f t="shared" ref="J3:J66" ca="1" si="1">(C3+D3+E3+F3+G3+H3+I3)=3</f>
        <v>#N/A</v>
      </c>
      <c r="K3" s="18" t="e">
        <f t="shared" ca="1" si="0"/>
        <v>#N/A</v>
      </c>
      <c r="L3" t="e">
        <f ca="1">IF(J3,Charms!B3,"")</f>
        <v>#N/A</v>
      </c>
      <c r="M3" t="str">
        <f t="shared" ref="M3:M66" ca="1" si="2">IFERROR(VLOOKUP(COUNTIF(INDIRECT(O3),A3),INDIRECT(N3),2,0),"-")</f>
        <v>-</v>
      </c>
      <c r="N3" s="18" t="str">
        <f t="shared" ref="N3:N66" si="3">"K"&amp;MATCH(A3,A:A,0)&amp;":L"&amp;(MATCH(A3,A:A,0)+COUNTIF(A:A,A3)-1)</f>
        <v>K3:L53</v>
      </c>
      <c r="O3" t="str">
        <f t="shared" ref="O3:O66" si="4">"A"&amp;MATCH(A3,A:A,0)&amp;":A"&amp;ROW()</f>
        <v>A3:A3</v>
      </c>
    </row>
    <row r="4" spans="1:17">
      <c r="A4" s="18" t="str">
        <f>Charms!K4</f>
        <v>Archery</v>
      </c>
      <c r="B4" t="str">
        <f>Charms!B4</f>
        <v>Sight Without Eyes</v>
      </c>
      <c r="C4" t="b">
        <f ca="1">OR(Values!$S$98&gt;=Charms!M4,IFERROR(Charms!J4=OFFSET(Values!$A$24,MATCH("S",Values!$T$25:$T$50,0),0),FALSE))</f>
        <v>1</v>
      </c>
      <c r="D4" t="b">
        <f>VLOOKUP(Charms!J4,Values!$A$11:$S$59,19,0)&gt;=Charms!L4</f>
        <v>0</v>
      </c>
      <c r="E4" t="e">
        <f>OR(ISBLANK(Charms!I4),(VLOOKUP(Values!$S$6,Castes!$B$2:$F$25,4,0)=Charms!I4))</f>
        <v>#N/A</v>
      </c>
      <c r="J4" t="e">
        <f t="shared" ca="1" si="1"/>
        <v>#N/A</v>
      </c>
      <c r="K4" s="18" t="e">
        <f t="shared" ca="1" si="0"/>
        <v>#N/A</v>
      </c>
      <c r="L4" t="e">
        <f ca="1">IF(J4,Charms!B4,"")</f>
        <v>#N/A</v>
      </c>
      <c r="M4" t="str">
        <f t="shared" ca="1" si="2"/>
        <v>-</v>
      </c>
      <c r="N4" s="18" t="str">
        <f t="shared" si="3"/>
        <v>K3:L53</v>
      </c>
      <c r="O4" t="str">
        <f t="shared" si="4"/>
        <v>A3:A4</v>
      </c>
    </row>
    <row r="5" spans="1:17">
      <c r="A5" s="18" t="str">
        <f>Charms!K5</f>
        <v>Archery</v>
      </c>
      <c r="B5" t="str">
        <f>Charms!B5</f>
        <v>Trance of Unhesitating Speed</v>
      </c>
      <c r="C5" t="b">
        <f ca="1">OR(Values!$S$98&gt;=Charms!M5,IFERROR(Charms!J5=OFFSET(Values!$A$24,MATCH("S",Values!$T$25:$T$50,0),0),FALSE))</f>
        <v>1</v>
      </c>
      <c r="D5" t="b">
        <f>VLOOKUP(Charms!J5,Values!$A$11:$S$59,19,0)&gt;=Charms!L5</f>
        <v>0</v>
      </c>
      <c r="E5" t="e">
        <f>OR(ISBLANK(Charms!I5),(VLOOKUP(Values!$S$6,Castes!$B$2:$F$25,4,0)=Charms!I5))</f>
        <v>#N/A</v>
      </c>
      <c r="J5" t="e">
        <f t="shared" ca="1" si="1"/>
        <v>#N/A</v>
      </c>
      <c r="K5" s="18" t="e">
        <f t="shared" ca="1" si="0"/>
        <v>#N/A</v>
      </c>
      <c r="L5" t="e">
        <f ca="1">IF(J5,Charms!B5,"")</f>
        <v>#N/A</v>
      </c>
      <c r="M5" t="str">
        <f t="shared" ca="1" si="2"/>
        <v>-</v>
      </c>
      <c r="N5" s="18" t="str">
        <f t="shared" si="3"/>
        <v>K3:L53</v>
      </c>
      <c r="O5" t="str">
        <f t="shared" si="4"/>
        <v>A3:A5</v>
      </c>
    </row>
    <row r="6" spans="1:17">
      <c r="A6" s="18" t="str">
        <f>Charms!K6</f>
        <v>Archery</v>
      </c>
      <c r="B6" t="str">
        <f>Charms!B6</f>
        <v>Phantom Arrow Technique</v>
      </c>
      <c r="C6" t="b">
        <f ca="1">OR(Values!$S$98&gt;=Charms!M6,IFERROR(Charms!J6=OFFSET(Values!$A$24,MATCH("S",Values!$T$25:$T$50,0),0),FALSE))</f>
        <v>1</v>
      </c>
      <c r="D6" t="b">
        <f>VLOOKUP(Charms!J6,Values!$A$11:$S$59,19,0)&gt;=Charms!L6</f>
        <v>0</v>
      </c>
      <c r="E6" t="e">
        <f>OR(ISBLANK(Charms!I6),(VLOOKUP(Values!$S$6,Castes!$B$2:$F$25,4,0)=Charms!I6))</f>
        <v>#N/A</v>
      </c>
      <c r="J6" t="e">
        <f t="shared" ca="1" si="1"/>
        <v>#N/A</v>
      </c>
      <c r="K6" s="18" t="e">
        <f t="shared" ca="1" si="0"/>
        <v>#N/A</v>
      </c>
      <c r="L6" t="e">
        <f ca="1">IF(J6,Charms!B6,"")</f>
        <v>#N/A</v>
      </c>
      <c r="M6" t="str">
        <f t="shared" ca="1" si="2"/>
        <v>-</v>
      </c>
      <c r="N6" s="18" t="str">
        <f t="shared" si="3"/>
        <v>K3:L53</v>
      </c>
      <c r="O6" t="str">
        <f t="shared" si="4"/>
        <v>A3:A6</v>
      </c>
    </row>
    <row r="7" spans="1:17">
      <c r="A7" s="18" t="str">
        <f>Charms!K7</f>
        <v>Archery</v>
      </c>
      <c r="B7" t="str">
        <f>Charms!B7</f>
        <v>Blood Without Balance</v>
      </c>
      <c r="C7" t="b">
        <f ca="1">OR(Values!$S$98&gt;=Charms!M7,IFERROR(Charms!J7=OFFSET(Values!$A$24,MATCH("S",Values!$T$25:$T$50,0),0),FALSE))</f>
        <v>1</v>
      </c>
      <c r="D7" t="b">
        <f>VLOOKUP(Charms!J7,Values!$A$11:$S$59,19,0)&gt;=Charms!L7</f>
        <v>0</v>
      </c>
      <c r="E7" t="e">
        <f>OR(ISBLANK(Charms!I7),(VLOOKUP(Values!$S$6,Castes!$B$2:$F$25,4,0)=Charms!I7))</f>
        <v>#N/A</v>
      </c>
      <c r="J7" t="e">
        <f t="shared" ca="1" si="1"/>
        <v>#N/A</v>
      </c>
      <c r="K7" s="18" t="e">
        <f t="shared" ca="1" si="0"/>
        <v>#N/A</v>
      </c>
      <c r="L7" t="e">
        <f ca="1">IF(J7,Charms!B7,"")</f>
        <v>#N/A</v>
      </c>
      <c r="M7" t="str">
        <f t="shared" ca="1" si="2"/>
        <v>-</v>
      </c>
      <c r="N7" s="18" t="str">
        <f t="shared" si="3"/>
        <v>K3:L53</v>
      </c>
      <c r="O7" t="str">
        <f t="shared" si="4"/>
        <v>A3:A7</v>
      </c>
    </row>
    <row r="8" spans="1:17">
      <c r="A8" s="18" t="str">
        <f>Charms!K8</f>
        <v>Archery</v>
      </c>
      <c r="B8" t="str">
        <f>Charms!B8</f>
        <v>Force Without Fire</v>
      </c>
      <c r="C8" t="b">
        <f ca="1">OR(Values!$S$98&gt;=Charms!M8,IFERROR(Charms!J8=OFFSET(Values!$A$24,MATCH("S",Values!$T$25:$T$50,0),0),FALSE))</f>
        <v>1</v>
      </c>
      <c r="D8" t="b">
        <f>VLOOKUP(Charms!J8,Values!$A$11:$S$59,19,0)&gt;=Charms!L8</f>
        <v>0</v>
      </c>
      <c r="E8" t="e">
        <f>OR(ISBLANK(Charms!I8),(VLOOKUP(Values!$S$6,Castes!$B$2:$F$25,4,0)=Charms!I8))</f>
        <v>#N/A</v>
      </c>
      <c r="J8" t="e">
        <f t="shared" ca="1" si="1"/>
        <v>#N/A</v>
      </c>
      <c r="K8" s="18" t="e">
        <f t="shared" ca="1" si="0"/>
        <v>#N/A</v>
      </c>
      <c r="L8" t="e">
        <f ca="1">IF(J8,Charms!B8,"")</f>
        <v>#N/A</v>
      </c>
      <c r="M8" t="str">
        <f t="shared" ca="1" si="2"/>
        <v>-</v>
      </c>
      <c r="N8" s="18" t="str">
        <f t="shared" si="3"/>
        <v>K3:L53</v>
      </c>
      <c r="O8" t="str">
        <f t="shared" si="4"/>
        <v>A3:A8</v>
      </c>
    </row>
    <row r="9" spans="1:17">
      <c r="A9" s="18" t="str">
        <f>Charms!K9</f>
        <v>Archery</v>
      </c>
      <c r="B9" t="str">
        <f>Charms!B9</f>
        <v>Fiery Arrow Attack</v>
      </c>
      <c r="C9" t="b">
        <f ca="1">OR(Values!$S$98&gt;=Charms!M9,IFERROR(Charms!J9=OFFSET(Values!$A$24,MATCH("S",Values!$T$25:$T$50,0),0),FALSE))</f>
        <v>1</v>
      </c>
      <c r="D9" t="b">
        <f>VLOOKUP(Charms!J9,Values!$A$11:$S$59,19,0)&gt;=Charms!L9</f>
        <v>0</v>
      </c>
      <c r="E9" t="e">
        <f>OR(ISBLANK(Charms!I9),(VLOOKUP(Values!$S$6,Castes!$B$2:$F$25,4,0)=Charms!I9))</f>
        <v>#N/A</v>
      </c>
      <c r="J9" t="e">
        <f t="shared" ca="1" si="1"/>
        <v>#N/A</v>
      </c>
      <c r="K9" s="18" t="e">
        <f t="shared" ca="1" si="0"/>
        <v>#N/A</v>
      </c>
      <c r="L9" t="e">
        <f ca="1">IF(J9,Charms!B9,"")</f>
        <v>#N/A</v>
      </c>
      <c r="M9" t="str">
        <f t="shared" ca="1" si="2"/>
        <v>-</v>
      </c>
      <c r="N9" s="18" t="str">
        <f t="shared" si="3"/>
        <v>K3:L53</v>
      </c>
      <c r="O9" t="str">
        <f t="shared" si="4"/>
        <v>A3:A9</v>
      </c>
    </row>
    <row r="10" spans="1:17">
      <c r="A10" s="18" t="str">
        <f>Charms!K10</f>
        <v>Archery</v>
      </c>
      <c r="B10" t="str">
        <f>Charms!B10</f>
        <v>Immaculate Golden Bow</v>
      </c>
      <c r="C10" t="b">
        <f ca="1">OR(Values!$S$98&gt;=Charms!M10,IFERROR(Charms!J10=OFFSET(Values!$A$24,MATCH("S",Values!$T$25:$T$50,0),0),FALSE))</f>
        <v>0</v>
      </c>
      <c r="D10" t="b">
        <f>VLOOKUP(Charms!J10,Values!$A$11:$S$59,19,0)&gt;=Charms!L10</f>
        <v>0</v>
      </c>
      <c r="E10" t="e">
        <f>OR(ISBLANK(Charms!I10),(VLOOKUP(Values!$S$6,Castes!$B$2:$F$25,4,0)=Charms!I10))</f>
        <v>#N/A</v>
      </c>
      <c r="J10" t="e">
        <f t="shared" ca="1" si="1"/>
        <v>#N/A</v>
      </c>
      <c r="K10" s="18" t="e">
        <f t="shared" ca="1" si="0"/>
        <v>#N/A</v>
      </c>
      <c r="L10" t="e">
        <f ca="1">IF(J10,Charms!B10,"")</f>
        <v>#N/A</v>
      </c>
      <c r="M10" t="str">
        <f t="shared" ca="1" si="2"/>
        <v>-</v>
      </c>
      <c r="N10" s="18" t="str">
        <f t="shared" si="3"/>
        <v>K3:L53</v>
      </c>
      <c r="O10" t="str">
        <f t="shared" si="4"/>
        <v>A3:A10</v>
      </c>
    </row>
    <row r="11" spans="1:17">
      <c r="A11" s="18" t="str">
        <f>Charms!K11</f>
        <v>Archery</v>
      </c>
      <c r="B11" t="str">
        <f>Charms!B11</f>
        <v>Hanging Judgment Arc</v>
      </c>
      <c r="C11" t="b">
        <f ca="1">OR(Values!$S$98&gt;=Charms!M11,IFERROR(Charms!J11=OFFSET(Values!$A$24,MATCH("S",Values!$T$25:$T$50,0),0),FALSE))</f>
        <v>0</v>
      </c>
      <c r="D11" t="b">
        <f>VLOOKUP(Charms!J11,Values!$A$11:$S$59,19,0)&gt;=Charms!L11</f>
        <v>0</v>
      </c>
      <c r="E11" t="e">
        <f>OR(ISBLANK(Charms!I11),(VLOOKUP(Values!$S$6,Castes!$B$2:$F$25,4,0)=Charms!I11))</f>
        <v>#N/A</v>
      </c>
      <c r="J11" t="e">
        <f t="shared" ca="1" si="1"/>
        <v>#N/A</v>
      </c>
      <c r="K11" s="18" t="e">
        <f t="shared" ca="1" si="0"/>
        <v>#N/A</v>
      </c>
      <c r="L11" t="e">
        <f ca="1">IF(J11,Charms!B11,"")</f>
        <v>#N/A</v>
      </c>
      <c r="M11" t="str">
        <f t="shared" ca="1" si="2"/>
        <v>-</v>
      </c>
      <c r="N11" s="18" t="str">
        <f t="shared" si="3"/>
        <v>K3:L53</v>
      </c>
      <c r="O11" t="str">
        <f t="shared" si="4"/>
        <v>A3:A11</v>
      </c>
    </row>
    <row r="12" spans="1:17">
      <c r="A12" s="18" t="str">
        <f>Charms!K12</f>
        <v>Archery</v>
      </c>
      <c r="B12" t="str">
        <f>Charms!B12</f>
        <v>There Is No Wind</v>
      </c>
      <c r="C12" t="b">
        <f ca="1">OR(Values!$S$98&gt;=Charms!M12,IFERROR(Charms!J12=OFFSET(Values!$A$24,MATCH("S",Values!$T$25:$T$50,0),0),FALSE))</f>
        <v>0</v>
      </c>
      <c r="D12" t="b">
        <f>VLOOKUP(Charms!J12,Values!$A$11:$S$59,19,0)&gt;=Charms!L12</f>
        <v>0</v>
      </c>
      <c r="E12" t="e">
        <f>OR(ISBLANK(Charms!I12),(VLOOKUP(Values!$S$6,Castes!$B$2:$F$25,4,0)=Charms!I12))</f>
        <v>#N/A</v>
      </c>
      <c r="J12" t="e">
        <f t="shared" ca="1" si="1"/>
        <v>#N/A</v>
      </c>
      <c r="K12" s="18" t="e">
        <f t="shared" ca="1" si="0"/>
        <v>#N/A</v>
      </c>
      <c r="L12" t="e">
        <f ca="1">IF(J12,Charms!B12,"")</f>
        <v>#N/A</v>
      </c>
      <c r="M12" t="str">
        <f t="shared" ca="1" si="2"/>
        <v>-</v>
      </c>
      <c r="N12" s="18" t="str">
        <f t="shared" si="3"/>
        <v>K3:L53</v>
      </c>
      <c r="O12" t="str">
        <f t="shared" si="4"/>
        <v>A3:A12</v>
      </c>
    </row>
    <row r="13" spans="1:17">
      <c r="A13" s="18" t="str">
        <f>Charms!K13</f>
        <v>Archery</v>
      </c>
      <c r="B13" t="str">
        <f>Charms!B13</f>
        <v>Accuracy Without Distance</v>
      </c>
      <c r="C13" t="b">
        <f ca="1">OR(Values!$S$98&gt;=Charms!M13,IFERROR(Charms!J13=OFFSET(Values!$A$24,MATCH("S",Values!$T$25:$T$50,0),0),FALSE))</f>
        <v>0</v>
      </c>
      <c r="D13" t="b">
        <f>VLOOKUP(Charms!J13,Values!$A$11:$S$59,19,0)&gt;=Charms!L13</f>
        <v>0</v>
      </c>
      <c r="E13" t="e">
        <f>OR(ISBLANK(Charms!I13),(VLOOKUP(Values!$S$6,Castes!$B$2:$F$25,4,0)=Charms!I13))</f>
        <v>#N/A</v>
      </c>
      <c r="J13" t="e">
        <f t="shared" ca="1" si="1"/>
        <v>#N/A</v>
      </c>
      <c r="K13" s="18" t="e">
        <f t="shared" ca="1" si="0"/>
        <v>#N/A</v>
      </c>
      <c r="L13" t="e">
        <f ca="1">IF(J13,Charms!B13,"")</f>
        <v>#N/A</v>
      </c>
      <c r="M13" t="str">
        <f t="shared" ca="1" si="2"/>
        <v>-</v>
      </c>
      <c r="N13" s="18" t="str">
        <f t="shared" si="3"/>
        <v>K3:L53</v>
      </c>
      <c r="O13" t="str">
        <f t="shared" si="4"/>
        <v>A3:A13</v>
      </c>
    </row>
    <row r="14" spans="1:17">
      <c r="A14" s="18" t="str">
        <f>Charms!K14</f>
        <v>Archery</v>
      </c>
      <c r="B14" t="str">
        <f>Charms!B14</f>
        <v>Arrow Storm Technique</v>
      </c>
      <c r="C14" t="b">
        <f ca="1">OR(Values!$S$98&gt;=Charms!M14,IFERROR(Charms!J14=OFFSET(Values!$A$24,MATCH("S",Values!$T$25:$T$50,0),0),FALSE))</f>
        <v>0</v>
      </c>
      <c r="D14" t="b">
        <f>VLOOKUP(Charms!J14,Values!$A$11:$S$59,19,0)&gt;=Charms!L14</f>
        <v>0</v>
      </c>
      <c r="E14" t="e">
        <f>OR(ISBLANK(Charms!I14),(VLOOKUP(Values!$S$6,Castes!$B$2:$F$25,4,0)=Charms!I14))</f>
        <v>#N/A</v>
      </c>
      <c r="J14" t="e">
        <f t="shared" ca="1" si="1"/>
        <v>#N/A</v>
      </c>
      <c r="K14" s="18" t="e">
        <f t="shared" ca="1" si="0"/>
        <v>#N/A</v>
      </c>
      <c r="L14" t="e">
        <f ca="1">IF(J14,Charms!B14,"")</f>
        <v>#N/A</v>
      </c>
      <c r="M14" t="str">
        <f t="shared" ca="1" si="2"/>
        <v>-</v>
      </c>
      <c r="N14" s="18" t="str">
        <f t="shared" si="3"/>
        <v>K3:L53</v>
      </c>
      <c r="O14" t="str">
        <f t="shared" si="4"/>
        <v>A3:A14</v>
      </c>
    </row>
    <row r="15" spans="1:17">
      <c r="A15" s="18" t="str">
        <f>Charms!K15</f>
        <v>Archery</v>
      </c>
      <c r="B15" t="str">
        <f>Charms!B15</f>
        <v>Flashing Vengeance Draw</v>
      </c>
      <c r="C15" t="b">
        <f ca="1">OR(Values!$S$98&gt;=Charms!M15,IFERROR(Charms!J15=OFFSET(Values!$A$24,MATCH("S",Values!$T$25:$T$50,0),0),FALSE))</f>
        <v>0</v>
      </c>
      <c r="D15" t="b">
        <f>VLOOKUP(Charms!J15,Values!$A$11:$S$59,19,0)&gt;=Charms!L15</f>
        <v>0</v>
      </c>
      <c r="E15" t="e">
        <f>OR(ISBLANK(Charms!I15),(VLOOKUP(Values!$S$6,Castes!$B$2:$F$25,4,0)=Charms!I15))</f>
        <v>#N/A</v>
      </c>
      <c r="J15" t="e">
        <f t="shared" ca="1" si="1"/>
        <v>#N/A</v>
      </c>
      <c r="K15" s="18" t="e">
        <f t="shared" ca="1" si="0"/>
        <v>#N/A</v>
      </c>
      <c r="L15" t="e">
        <f ca="1">IF(J15,Charms!B15,"")</f>
        <v>#N/A</v>
      </c>
      <c r="M15" t="str">
        <f t="shared" ca="1" si="2"/>
        <v>-</v>
      </c>
      <c r="N15" s="18" t="str">
        <f t="shared" si="3"/>
        <v>K3:L53</v>
      </c>
      <c r="O15" t="str">
        <f t="shared" si="4"/>
        <v>A3:A15</v>
      </c>
    </row>
    <row r="16" spans="1:17">
      <c r="A16" s="18" t="str">
        <f>Charms!K16</f>
        <v>Archery</v>
      </c>
      <c r="B16" t="str">
        <f>Charms!B16</f>
        <v>Hunter's Swift Answer</v>
      </c>
      <c r="C16" t="b">
        <f ca="1">OR(Values!$S$98&gt;=Charms!M16,IFERROR(Charms!J16=OFFSET(Values!$A$24,MATCH("S",Values!$T$25:$T$50,0),0),FALSE))</f>
        <v>0</v>
      </c>
      <c r="D16" t="b">
        <f>VLOOKUP(Charms!J16,Values!$A$11:$S$59,19,0)&gt;=Charms!L16</f>
        <v>0</v>
      </c>
      <c r="E16" t="e">
        <f>OR(ISBLANK(Charms!I16),(VLOOKUP(Values!$S$6,Castes!$B$2:$F$25,4,0)=Charms!I16))</f>
        <v>#N/A</v>
      </c>
      <c r="J16" t="e">
        <f t="shared" ca="1" si="1"/>
        <v>#N/A</v>
      </c>
      <c r="K16" s="18" t="e">
        <f t="shared" ca="1" si="0"/>
        <v>#N/A</v>
      </c>
      <c r="L16" t="e">
        <f ca="1">IF(J16,Charms!B16,"")</f>
        <v>#N/A</v>
      </c>
      <c r="M16" t="str">
        <f t="shared" ca="1" si="2"/>
        <v>-</v>
      </c>
      <c r="N16" s="18" t="str">
        <f t="shared" si="3"/>
        <v>K3:L53</v>
      </c>
      <c r="O16" t="str">
        <f t="shared" si="4"/>
        <v>A3:A16</v>
      </c>
    </row>
    <row r="17" spans="1:15">
      <c r="A17" s="18" t="str">
        <f>Charms!K17</f>
        <v>Archery</v>
      </c>
      <c r="B17" t="str">
        <f>Charms!B17</f>
        <v>Dazzling Flare Attack</v>
      </c>
      <c r="C17" t="b">
        <f ca="1">OR(Values!$S$98&gt;=Charms!M17,IFERROR(Charms!J17=OFFSET(Values!$A$24,MATCH("S",Values!$T$25:$T$50,0),0),FALSE))</f>
        <v>0</v>
      </c>
      <c r="D17" t="b">
        <f>VLOOKUP(Charms!J17,Values!$A$11:$S$59,19,0)&gt;=Charms!L17</f>
        <v>0</v>
      </c>
      <c r="E17" t="e">
        <f>OR(ISBLANK(Charms!I17),(VLOOKUP(Values!$S$6,Castes!$B$2:$F$25,4,0)=Charms!I17))</f>
        <v>#N/A</v>
      </c>
      <c r="J17" t="e">
        <f t="shared" ca="1" si="1"/>
        <v>#N/A</v>
      </c>
      <c r="K17" s="18" t="e">
        <f t="shared" ca="1" si="0"/>
        <v>#N/A</v>
      </c>
      <c r="L17" t="e">
        <f ca="1">IF(J17,Charms!B17,"")</f>
        <v>#N/A</v>
      </c>
      <c r="M17" t="str">
        <f t="shared" ca="1" si="2"/>
        <v>-</v>
      </c>
      <c r="N17" s="18" t="str">
        <f t="shared" si="3"/>
        <v>K3:L53</v>
      </c>
      <c r="O17" t="str">
        <f t="shared" si="4"/>
        <v>A3:A17</v>
      </c>
    </row>
    <row r="18" spans="1:15">
      <c r="A18" s="18" t="str">
        <f>Charms!K18</f>
        <v>Archery</v>
      </c>
      <c r="B18" t="str">
        <f>Charms!B18</f>
        <v>Seven Omens Shot</v>
      </c>
      <c r="C18" t="b">
        <f ca="1">OR(Values!$S$98&gt;=Charms!M18,IFERROR(Charms!J18=OFFSET(Values!$A$24,MATCH("S",Values!$T$25:$T$50,0),0),FALSE))</f>
        <v>0</v>
      </c>
      <c r="D18" t="b">
        <f>VLOOKUP(Charms!J18,Values!$A$11:$S$59,19,0)&gt;=Charms!L18</f>
        <v>0</v>
      </c>
      <c r="E18" t="e">
        <f>OR(ISBLANK(Charms!I18),(VLOOKUP(Values!$S$6,Castes!$B$2:$F$25,4,0)=Charms!I18))</f>
        <v>#N/A</v>
      </c>
      <c r="J18" t="e">
        <f t="shared" ca="1" si="1"/>
        <v>#N/A</v>
      </c>
      <c r="K18" s="18" t="e">
        <f t="shared" ca="1" si="0"/>
        <v>#N/A</v>
      </c>
      <c r="L18" t="e">
        <f ca="1">IF(J18,Charms!B18,"")</f>
        <v>#N/A</v>
      </c>
      <c r="M18" t="str">
        <f t="shared" ca="1" si="2"/>
        <v>-</v>
      </c>
      <c r="N18" s="18" t="str">
        <f t="shared" si="3"/>
        <v>K3:L53</v>
      </c>
      <c r="O18" t="str">
        <f t="shared" si="4"/>
        <v>A3:A18</v>
      </c>
    </row>
    <row r="19" spans="1:15">
      <c r="A19" s="18" t="str">
        <f>Charms!K19</f>
        <v>Archery</v>
      </c>
      <c r="B19" t="str">
        <f>Charms!B19</f>
        <v>Revolving Bow Discipline</v>
      </c>
      <c r="C19" t="b">
        <f ca="1">OR(Values!$S$98&gt;=Charms!M19,IFERROR(Charms!J19=OFFSET(Values!$A$24,MATCH("S",Values!$T$25:$T$50,0),0),FALSE))</f>
        <v>0</v>
      </c>
      <c r="D19" t="b">
        <f>VLOOKUP(Charms!J19,Values!$A$11:$S$59,19,0)&gt;=Charms!L19</f>
        <v>0</v>
      </c>
      <c r="E19" t="e">
        <f>OR(ISBLANK(Charms!I19),(VLOOKUP(Values!$S$6,Castes!$B$2:$F$25,4,0)=Charms!I19))</f>
        <v>#N/A</v>
      </c>
      <c r="J19" t="e">
        <f t="shared" ca="1" si="1"/>
        <v>#N/A</v>
      </c>
      <c r="K19" s="18" t="e">
        <f t="shared" ca="1" si="0"/>
        <v>#N/A</v>
      </c>
      <c r="L19" t="e">
        <f ca="1">IF(J19,Charms!B19,"")</f>
        <v>#N/A</v>
      </c>
      <c r="M19" t="str">
        <f t="shared" ca="1" si="2"/>
        <v>-</v>
      </c>
      <c r="N19" s="18" t="str">
        <f t="shared" si="3"/>
        <v>K3:L53</v>
      </c>
      <c r="O19" t="str">
        <f t="shared" si="4"/>
        <v>A3:A19</v>
      </c>
    </row>
    <row r="20" spans="1:15">
      <c r="A20" s="18" t="str">
        <f>Charms!K20</f>
        <v>Archery</v>
      </c>
      <c r="B20" t="str">
        <f>Charms!B20</f>
        <v>Finishing Snipe</v>
      </c>
      <c r="C20" t="b">
        <f ca="1">OR(Values!$S$98&gt;=Charms!M20,IFERROR(Charms!J20=OFFSET(Values!$A$24,MATCH("S",Values!$T$25:$T$50,0),0),FALSE))</f>
        <v>0</v>
      </c>
      <c r="D20" t="b">
        <f>VLOOKUP(Charms!J20,Values!$A$11:$S$59,19,0)&gt;=Charms!L20</f>
        <v>0</v>
      </c>
      <c r="E20" t="e">
        <f>OR(ISBLANK(Charms!I20),(VLOOKUP(Values!$S$6,Castes!$B$2:$F$25,4,0)=Charms!I20))</f>
        <v>#N/A</v>
      </c>
      <c r="J20" t="e">
        <f t="shared" ca="1" si="1"/>
        <v>#N/A</v>
      </c>
      <c r="K20" s="18" t="e">
        <f t="shared" ca="1" si="0"/>
        <v>#N/A</v>
      </c>
      <c r="L20" t="e">
        <f ca="1">IF(J20,Charms!B20,"")</f>
        <v>#N/A</v>
      </c>
      <c r="M20" t="str">
        <f t="shared" ca="1" si="2"/>
        <v>-</v>
      </c>
      <c r="N20" s="18" t="str">
        <f t="shared" si="3"/>
        <v>K3:L53</v>
      </c>
      <c r="O20" t="str">
        <f t="shared" si="4"/>
        <v>A3:A20</v>
      </c>
    </row>
    <row r="21" spans="1:15">
      <c r="A21" s="18" t="str">
        <f>Charms!K21</f>
        <v>Archery</v>
      </c>
      <c r="B21" t="str">
        <f>Charms!B21</f>
        <v>Rain of Feathered Death</v>
      </c>
      <c r="C21" t="b">
        <f ca="1">OR(Values!$S$98&gt;=Charms!M21,IFERROR(Charms!J21=OFFSET(Values!$A$24,MATCH("S",Values!$T$25:$T$50,0),0),FALSE))</f>
        <v>0</v>
      </c>
      <c r="D21" t="b">
        <f>VLOOKUP(Charms!J21,Values!$A$11:$S$59,19,0)&gt;=Charms!L21</f>
        <v>0</v>
      </c>
      <c r="E21" t="e">
        <f>OR(ISBLANK(Charms!I21),(VLOOKUP(Values!$S$6,Castes!$B$2:$F$25,4,0)=Charms!I21))</f>
        <v>#N/A</v>
      </c>
      <c r="J21" t="e">
        <f t="shared" ca="1" si="1"/>
        <v>#N/A</v>
      </c>
      <c r="K21" s="18" t="e">
        <f t="shared" ca="1" si="0"/>
        <v>#N/A</v>
      </c>
      <c r="L21" t="e">
        <f ca="1">IF(J21,Charms!B21,"")</f>
        <v>#N/A</v>
      </c>
      <c r="M21" t="str">
        <f t="shared" ca="1" si="2"/>
        <v>-</v>
      </c>
      <c r="N21" s="18" t="str">
        <f t="shared" si="3"/>
        <v>K3:L53</v>
      </c>
      <c r="O21" t="str">
        <f t="shared" si="4"/>
        <v>A3:A21</v>
      </c>
    </row>
    <row r="22" spans="1:15">
      <c r="A22" s="18" t="str">
        <f>Charms!K22</f>
        <v>Archery</v>
      </c>
      <c r="B22" t="str">
        <f>Charms!B22</f>
        <v>Shadow-Seeking Arrow</v>
      </c>
      <c r="C22" t="b">
        <f ca="1">OR(Values!$S$98&gt;=Charms!M22,IFERROR(Charms!J22=OFFSET(Values!$A$24,MATCH("S",Values!$T$25:$T$50,0),0),FALSE))</f>
        <v>0</v>
      </c>
      <c r="D22" t="b">
        <f>VLOOKUP(Charms!J22,Values!$A$11:$S$59,19,0)&gt;=Charms!L22</f>
        <v>0</v>
      </c>
      <c r="E22" t="e">
        <f>OR(ISBLANK(Charms!I22),(VLOOKUP(Values!$S$6,Castes!$B$2:$F$25,4,0)=Charms!I22))</f>
        <v>#N/A</v>
      </c>
      <c r="J22" t="e">
        <f t="shared" ca="1" si="1"/>
        <v>#N/A</v>
      </c>
      <c r="K22" s="18" t="e">
        <f t="shared" ca="1" si="0"/>
        <v>#N/A</v>
      </c>
      <c r="L22" t="e">
        <f ca="1">IF(J22,Charms!B22,"")</f>
        <v>#N/A</v>
      </c>
      <c r="M22" t="str">
        <f t="shared" ca="1" si="2"/>
        <v>-</v>
      </c>
      <c r="N22" s="18" t="str">
        <f t="shared" si="3"/>
        <v>K3:L53</v>
      </c>
      <c r="O22" t="str">
        <f t="shared" si="4"/>
        <v>A3:A22</v>
      </c>
    </row>
    <row r="23" spans="1:15">
      <c r="A23" s="18" t="str">
        <f>Charms!K23</f>
        <v>Archery</v>
      </c>
      <c r="B23" t="str">
        <f>Charms!B23</f>
        <v>Searing Sunfire Interdiction</v>
      </c>
      <c r="C23" t="b">
        <f ca="1">OR(Values!$S$98&gt;=Charms!M23,IFERROR(Charms!J23=OFFSET(Values!$A$24,MATCH("S",Values!$T$25:$T$50,0),0),FALSE))</f>
        <v>0</v>
      </c>
      <c r="D23" t="b">
        <f>VLOOKUP(Charms!J23,Values!$A$11:$S$59,19,0)&gt;=Charms!L23</f>
        <v>0</v>
      </c>
      <c r="E23" t="e">
        <f>OR(ISBLANK(Charms!I23),(VLOOKUP(Values!$S$6,Castes!$B$2:$F$25,4,0)=Charms!I23))</f>
        <v>#N/A</v>
      </c>
      <c r="J23" t="e">
        <f t="shared" ca="1" si="1"/>
        <v>#N/A</v>
      </c>
      <c r="K23" s="18" t="e">
        <f t="shared" ca="1" si="0"/>
        <v>#N/A</v>
      </c>
      <c r="L23" t="e">
        <f ca="1">IF(J23,Charms!B23,"")</f>
        <v>#N/A</v>
      </c>
      <c r="M23" t="str">
        <f t="shared" ca="1" si="2"/>
        <v>-</v>
      </c>
      <c r="N23" s="18" t="str">
        <f t="shared" si="3"/>
        <v>K3:L53</v>
      </c>
      <c r="O23" t="str">
        <f t="shared" si="4"/>
        <v>A3:A23</v>
      </c>
    </row>
    <row r="24" spans="1:15">
      <c r="A24" s="18" t="str">
        <f>Charms!K24</f>
        <v>Archery</v>
      </c>
      <c r="B24" t="str">
        <f>Charms!B24</f>
        <v>Solar Spike</v>
      </c>
      <c r="C24" t="b">
        <f ca="1">OR(Values!$S$98&gt;=Charms!M24,IFERROR(Charms!J24=OFFSET(Values!$A$24,MATCH("S",Values!$T$25:$T$50,0),0),FALSE))</f>
        <v>0</v>
      </c>
      <c r="D24" t="b">
        <f>VLOOKUP(Charms!J24,Values!$A$11:$S$59,19,0)&gt;=Charms!L24</f>
        <v>0</v>
      </c>
      <c r="E24" t="e">
        <f>OR(ISBLANK(Charms!I24),(VLOOKUP(Values!$S$6,Castes!$B$2:$F$25,4,0)=Charms!I24))</f>
        <v>#N/A</v>
      </c>
      <c r="J24" t="e">
        <f t="shared" ca="1" si="1"/>
        <v>#N/A</v>
      </c>
      <c r="K24" s="18" t="e">
        <f t="shared" ca="1" si="0"/>
        <v>#N/A</v>
      </c>
      <c r="L24" t="e">
        <f ca="1">IF(J24,Charms!B24,"")</f>
        <v>#N/A</v>
      </c>
      <c r="M24" t="str">
        <f t="shared" ca="1" si="2"/>
        <v>-</v>
      </c>
      <c r="N24" s="18" t="str">
        <f t="shared" si="3"/>
        <v>K3:L53</v>
      </c>
      <c r="O24" t="str">
        <f t="shared" si="4"/>
        <v>A3:A24</v>
      </c>
    </row>
    <row r="25" spans="1:15">
      <c r="A25" s="18" t="str">
        <f>Charms!K25</f>
        <v>Archery</v>
      </c>
      <c r="B25" t="str">
        <f>Charms!B25</f>
        <v>Heart-Eating Incineration</v>
      </c>
      <c r="C25" t="b">
        <f ca="1">OR(Values!$S$98&gt;=Charms!M25,IFERROR(Charms!J25=OFFSET(Values!$A$24,MATCH("S",Values!$T$25:$T$50,0),0),FALSE))</f>
        <v>0</v>
      </c>
      <c r="D25" t="b">
        <f>VLOOKUP(Charms!J25,Values!$A$11:$S$59,19,0)&gt;=Charms!L25</f>
        <v>0</v>
      </c>
      <c r="E25" t="e">
        <f>OR(ISBLANK(Charms!I25),(VLOOKUP(Values!$S$6,Castes!$B$2:$F$25,4,0)=Charms!I25))</f>
        <v>#N/A</v>
      </c>
      <c r="J25" t="e">
        <f t="shared" ca="1" si="1"/>
        <v>#N/A</v>
      </c>
      <c r="K25" s="18" t="e">
        <f t="shared" ca="1" si="0"/>
        <v>#N/A</v>
      </c>
      <c r="L25" t="e">
        <f ca="1">IF(J25,Charms!B25,"")</f>
        <v>#N/A</v>
      </c>
      <c r="M25" t="str">
        <f t="shared" ca="1" si="2"/>
        <v>-</v>
      </c>
      <c r="N25" s="18" t="str">
        <f t="shared" si="3"/>
        <v>K3:L53</v>
      </c>
      <c r="O25" t="str">
        <f t="shared" si="4"/>
        <v>A3:A25</v>
      </c>
    </row>
    <row r="26" spans="1:15">
      <c r="A26" s="18" t="str">
        <f>Charms!K26</f>
        <v>Archery</v>
      </c>
      <c r="B26" t="str">
        <f>Charms!B26</f>
        <v>Dust and Ash Sleight</v>
      </c>
      <c r="C26" t="b">
        <f ca="1">OR(Values!$S$98&gt;=Charms!M26,IFERROR(Charms!J26=OFFSET(Values!$A$24,MATCH("S",Values!$T$25:$T$50,0),0),FALSE))</f>
        <v>0</v>
      </c>
      <c r="D26" t="b">
        <f>VLOOKUP(Charms!J26,Values!$A$11:$S$59,19,0)&gt;=Charms!L26</f>
        <v>0</v>
      </c>
      <c r="E26" t="e">
        <f>OR(ISBLANK(Charms!I26),(VLOOKUP(Values!$S$6,Castes!$B$2:$F$25,4,0)=Charms!I26))</f>
        <v>#N/A</v>
      </c>
      <c r="J26" t="e">
        <f t="shared" ca="1" si="1"/>
        <v>#N/A</v>
      </c>
      <c r="K26" s="18" t="e">
        <f t="shared" ca="1" si="0"/>
        <v>#N/A</v>
      </c>
      <c r="L26" t="e">
        <f ca="1">IF(J26,Charms!B26,"")</f>
        <v>#N/A</v>
      </c>
      <c r="M26" t="str">
        <f t="shared" ca="1" si="2"/>
        <v>-</v>
      </c>
      <c r="N26" s="18" t="str">
        <f t="shared" si="3"/>
        <v>K3:L53</v>
      </c>
      <c r="O26" t="str">
        <f t="shared" si="4"/>
        <v>A3:A26</v>
      </c>
    </row>
    <row r="27" spans="1:15">
      <c r="A27" s="18" t="str">
        <f>Charms!K27</f>
        <v>Archery</v>
      </c>
      <c r="B27" t="str">
        <f>Charms!B27</f>
        <v>Heavens Crash Down</v>
      </c>
      <c r="C27" t="b">
        <f ca="1">OR(Values!$S$98&gt;=Charms!M27,IFERROR(Charms!J27=OFFSET(Values!$A$24,MATCH("S",Values!$T$25:$T$50,0),0),FALSE))</f>
        <v>0</v>
      </c>
      <c r="D27" t="b">
        <f>VLOOKUP(Charms!J27,Values!$A$11:$S$59,19,0)&gt;=Charms!L27</f>
        <v>0</v>
      </c>
      <c r="E27" t="e">
        <f>OR(ISBLANK(Charms!I27),(VLOOKUP(Values!$S$6,Castes!$B$2:$F$25,4,0)=Charms!I27))</f>
        <v>#N/A</v>
      </c>
      <c r="J27" t="e">
        <f t="shared" ca="1" si="1"/>
        <v>#N/A</v>
      </c>
      <c r="K27" s="18" t="e">
        <f t="shared" ca="1" si="0"/>
        <v>#N/A</v>
      </c>
      <c r="L27" t="e">
        <f ca="1">IF(J27,Charms!B27,"")</f>
        <v>#N/A</v>
      </c>
      <c r="M27" t="str">
        <f t="shared" ca="1" si="2"/>
        <v>-</v>
      </c>
      <c r="N27" s="18" t="str">
        <f t="shared" si="3"/>
        <v>K3:L53</v>
      </c>
      <c r="O27" t="str">
        <f t="shared" si="4"/>
        <v>A3:A27</v>
      </c>
    </row>
    <row r="28" spans="1:15">
      <c r="A28" s="18" t="str">
        <f>Charms!K28</f>
        <v>Archery</v>
      </c>
      <c r="B28" t="str">
        <f>Charms!B28</f>
        <v>Streaming Arrow Stance</v>
      </c>
      <c r="C28" t="b">
        <f ca="1">OR(Values!$S$98&gt;=Charms!M28,IFERROR(Charms!J28=OFFSET(Values!$A$24,MATCH("S",Values!$T$25:$T$50,0),0),FALSE))</f>
        <v>0</v>
      </c>
      <c r="D28" t="b">
        <f>VLOOKUP(Charms!J28,Values!$A$11:$S$59,19,0)&gt;=Charms!L28</f>
        <v>0</v>
      </c>
      <c r="E28" t="e">
        <f>OR(ISBLANK(Charms!I28),(VLOOKUP(Values!$S$6,Castes!$B$2:$F$25,4,0)=Charms!I28))</f>
        <v>#N/A</v>
      </c>
      <c r="J28" t="e">
        <f t="shared" ca="1" si="1"/>
        <v>#N/A</v>
      </c>
      <c r="K28" s="18" t="e">
        <f t="shared" ca="1" si="0"/>
        <v>#N/A</v>
      </c>
      <c r="L28" t="e">
        <f ca="1">IF(J28,Charms!B28,"")</f>
        <v>#N/A</v>
      </c>
      <c r="M28" t="str">
        <f t="shared" ca="1" si="2"/>
        <v>-</v>
      </c>
      <c r="N28" s="18" t="str">
        <f t="shared" si="3"/>
        <v>K3:L53</v>
      </c>
      <c r="O28" t="str">
        <f t="shared" si="4"/>
        <v>A3:A28</v>
      </c>
    </row>
    <row r="29" spans="1:15">
      <c r="A29" s="18" t="str">
        <f>Charms!K29</f>
        <v>Archery</v>
      </c>
      <c r="B29" t="str">
        <f>Charms!B29</f>
        <v>Whispered Prayer of Judgment</v>
      </c>
      <c r="C29" t="b">
        <f ca="1">OR(Values!$S$98&gt;=Charms!M29,IFERROR(Charms!J29=OFFSET(Values!$A$24,MATCH("S",Values!$T$25:$T$50,0),0),FALSE))</f>
        <v>0</v>
      </c>
      <c r="D29" t="b">
        <f>VLOOKUP(Charms!J29,Values!$A$11:$S$59,19,0)&gt;=Charms!L29</f>
        <v>0</v>
      </c>
      <c r="E29" t="e">
        <f>OR(ISBLANK(Charms!I29),(VLOOKUP(Values!$S$6,Castes!$B$2:$F$25,4,0)=Charms!I29))</f>
        <v>#N/A</v>
      </c>
      <c r="J29" t="e">
        <f t="shared" ca="1" si="1"/>
        <v>#N/A</v>
      </c>
      <c r="K29" s="18" t="e">
        <f t="shared" ca="1" si="0"/>
        <v>#N/A</v>
      </c>
      <c r="L29" t="e">
        <f ca="1">IF(J29,Charms!B29,"")</f>
        <v>#N/A</v>
      </c>
      <c r="M29" t="str">
        <f t="shared" ca="1" si="2"/>
        <v>-</v>
      </c>
      <c r="N29" s="18" t="str">
        <f t="shared" si="3"/>
        <v>K3:L53</v>
      </c>
      <c r="O29" t="str">
        <f t="shared" si="4"/>
        <v>A3:A29</v>
      </c>
    </row>
    <row r="30" spans="1:15">
      <c r="A30" s="18" t="str">
        <f>Charms!K30</f>
        <v>Archery</v>
      </c>
      <c r="B30" t="str">
        <f>Charms!B30</f>
        <v>Nova Arrow Attack</v>
      </c>
      <c r="C30" t="b">
        <f ca="1">OR(Values!$S$98&gt;=Charms!M30,IFERROR(Charms!J30=OFFSET(Values!$A$24,MATCH("S",Values!$T$25:$T$50,0),0),FALSE))</f>
        <v>0</v>
      </c>
      <c r="D30" t="b">
        <f>VLOOKUP(Charms!J30,Values!$A$11:$S$59,19,0)&gt;=Charms!L30</f>
        <v>0</v>
      </c>
      <c r="E30" t="e">
        <f>OR(ISBLANK(Charms!I30),(VLOOKUP(Values!$S$6,Castes!$B$2:$F$25,4,0)=Charms!I30))</f>
        <v>#N/A</v>
      </c>
      <c r="J30" t="e">
        <f t="shared" ca="1" si="1"/>
        <v>#N/A</v>
      </c>
      <c r="K30" s="18" t="e">
        <f t="shared" ca="1" si="0"/>
        <v>#N/A</v>
      </c>
      <c r="L30" t="e">
        <f ca="1">IF(J30,Charms!B30,"")</f>
        <v>#N/A</v>
      </c>
      <c r="M30" t="str">
        <f t="shared" ca="1" si="2"/>
        <v>-</v>
      </c>
      <c r="N30" s="18" t="str">
        <f t="shared" si="3"/>
        <v>K3:L53</v>
      </c>
      <c r="O30" t="str">
        <f t="shared" si="4"/>
        <v>A3:A30</v>
      </c>
    </row>
    <row r="31" spans="1:15">
      <c r="A31" s="18" t="str">
        <f>Charms!K31</f>
        <v>Archery</v>
      </c>
      <c r="B31" t="str">
        <f>Charms!B31</f>
        <v>Hell-Heeling Arrow</v>
      </c>
      <c r="C31" t="b">
        <f ca="1">OR(Values!$S$98&gt;=Charms!M31,IFERROR(Charms!J31=OFFSET(Values!$A$24,MATCH("S",Values!$T$25:$T$50,0),0),FALSE))</f>
        <v>0</v>
      </c>
      <c r="D31" t="b">
        <f>VLOOKUP(Charms!J31,Values!$A$11:$S$59,19,0)&gt;=Charms!L31</f>
        <v>0</v>
      </c>
      <c r="E31" t="e">
        <f>OR(ISBLANK(Charms!I31),(VLOOKUP(Values!$S$6,Castes!$B$2:$F$25,4,0)=Charms!I31))</f>
        <v>#N/A</v>
      </c>
      <c r="J31" t="e">
        <f t="shared" ca="1" si="1"/>
        <v>#N/A</v>
      </c>
      <c r="K31" s="18" t="e">
        <f t="shared" ca="1" si="0"/>
        <v>#N/A</v>
      </c>
      <c r="L31" t="e">
        <f ca="1">IF(J31,Charms!B31,"")</f>
        <v>#N/A</v>
      </c>
      <c r="M31" t="str">
        <f t="shared" ca="1" si="2"/>
        <v>-</v>
      </c>
      <c r="N31" s="18" t="str">
        <f t="shared" si="3"/>
        <v>K3:L53</v>
      </c>
      <c r="O31" t="str">
        <f t="shared" si="4"/>
        <v>A3:A31</v>
      </c>
    </row>
    <row r="32" spans="1:15">
      <c r="A32" s="18" t="str">
        <f>Charms!K32</f>
        <v>Archery</v>
      </c>
      <c r="B32" t="str">
        <f>Charms!B32</f>
        <v>Solar Judgment Flare</v>
      </c>
      <c r="C32" t="b">
        <f ca="1">OR(Values!$S$98&gt;=Charms!M32,IFERROR(Charms!J32=OFFSET(Values!$A$24,MATCH("S",Values!$T$25:$T$50,0),0),FALSE))</f>
        <v>0</v>
      </c>
      <c r="D32" t="b">
        <f>VLOOKUP(Charms!J32,Values!$A$11:$S$59,19,0)&gt;=Charms!L32</f>
        <v>0</v>
      </c>
      <c r="E32" t="e">
        <f>OR(ISBLANK(Charms!I32),(VLOOKUP(Values!$S$6,Castes!$B$2:$F$25,4,0)=Charms!I32))</f>
        <v>#N/A</v>
      </c>
      <c r="J32" t="e">
        <f t="shared" ca="1" si="1"/>
        <v>#N/A</v>
      </c>
      <c r="K32" s="18" t="e">
        <f t="shared" ca="1" si="0"/>
        <v>#N/A</v>
      </c>
      <c r="L32" t="e">
        <f ca="1">IF(J32,Charms!B32,"")</f>
        <v>#N/A</v>
      </c>
      <c r="M32" t="str">
        <f t="shared" ca="1" si="2"/>
        <v>-</v>
      </c>
      <c r="N32" s="18" t="str">
        <f t="shared" si="3"/>
        <v>K3:L53</v>
      </c>
      <c r="O32" t="str">
        <f t="shared" si="4"/>
        <v>A3:A32</v>
      </c>
    </row>
    <row r="33" spans="1:15">
      <c r="A33" s="18" t="str">
        <f>Charms!K33</f>
        <v>Archery</v>
      </c>
      <c r="B33" t="str">
        <f>Charms!B33</f>
        <v>Unobstructed Hunter’s Aim</v>
      </c>
      <c r="C33" t="b">
        <f ca="1">OR(Values!$S$98&gt;=Charms!M33,IFERROR(Charms!J33=OFFSET(Values!$A$24,MATCH("S",Values!$T$25:$T$50,0),0),FALSE))</f>
        <v>1</v>
      </c>
      <c r="D33" t="b">
        <f>VLOOKUP(Charms!J33,Values!$A$11:$S$59,19,0)&gt;=Charms!L33</f>
        <v>0</v>
      </c>
      <c r="E33" t="e">
        <f>OR(ISBLANK(Charms!I33),(VLOOKUP(Values!$S$6,Castes!$B$2:$F$25,4,0)=Charms!I33))</f>
        <v>#N/A</v>
      </c>
      <c r="J33" t="e">
        <f t="shared" ca="1" si="1"/>
        <v>#N/A</v>
      </c>
      <c r="K33" s="18" t="e">
        <f t="shared" ca="1" si="0"/>
        <v>#N/A</v>
      </c>
      <c r="L33" t="e">
        <f ca="1">IF(J33,Charms!B33,"")</f>
        <v>#N/A</v>
      </c>
      <c r="M33" t="str">
        <f t="shared" ca="1" si="2"/>
        <v>-</v>
      </c>
      <c r="N33" s="18" t="str">
        <f t="shared" si="3"/>
        <v>K3:L53</v>
      </c>
      <c r="O33" t="str">
        <f t="shared" si="4"/>
        <v>A3:A33</v>
      </c>
    </row>
    <row r="34" spans="1:15">
      <c r="A34" s="18" t="str">
        <f>Charms!K34</f>
        <v>Archery</v>
      </c>
      <c r="B34" t="str">
        <f>Charms!B34</f>
        <v>Sky-Calming Draw</v>
      </c>
      <c r="C34" t="b">
        <f ca="1">OR(Values!$S$98&gt;=Charms!M34,IFERROR(Charms!J34=OFFSET(Values!$A$24,MATCH("S",Values!$T$25:$T$50,0),0),FALSE))</f>
        <v>1</v>
      </c>
      <c r="D34" t="b">
        <f>VLOOKUP(Charms!J34,Values!$A$11:$S$59,19,0)&gt;=Charms!L34</f>
        <v>0</v>
      </c>
      <c r="E34" t="e">
        <f>OR(ISBLANK(Charms!I34),(VLOOKUP(Values!$S$6,Castes!$B$2:$F$25,4,0)=Charms!I34))</f>
        <v>#N/A</v>
      </c>
      <c r="J34" t="e">
        <f t="shared" ca="1" si="1"/>
        <v>#N/A</v>
      </c>
      <c r="K34" s="18" t="e">
        <f t="shared" ca="1" si="0"/>
        <v>#N/A</v>
      </c>
      <c r="L34" t="e">
        <f ca="1">IF(J34,Charms!B34,"")</f>
        <v>#N/A</v>
      </c>
      <c r="M34" t="str">
        <f t="shared" ca="1" si="2"/>
        <v>-</v>
      </c>
      <c r="N34" s="18" t="str">
        <f t="shared" si="3"/>
        <v>K3:L53</v>
      </c>
      <c r="O34" t="str">
        <f t="shared" si="4"/>
        <v>A3:A34</v>
      </c>
    </row>
    <row r="35" spans="1:15">
      <c r="A35" s="18" t="str">
        <f>Charms!K35</f>
        <v>Archery</v>
      </c>
      <c r="B35" t="str">
        <f>Charms!B35</f>
        <v>Harvest of the Hunter</v>
      </c>
      <c r="C35" t="b">
        <f ca="1">OR(Values!$S$98&gt;=Charms!M35,IFERROR(Charms!J35=OFFSET(Values!$A$24,MATCH("S",Values!$T$25:$T$50,0),0),FALSE))</f>
        <v>1</v>
      </c>
      <c r="D35" t="b">
        <f>VLOOKUP(Charms!J35,Values!$A$11:$S$59,19,0)&gt;=Charms!L35</f>
        <v>0</v>
      </c>
      <c r="E35" t="e">
        <f>OR(ISBLANK(Charms!I35),(VLOOKUP(Values!$S$6,Castes!$B$2:$F$25,4,0)=Charms!I35))</f>
        <v>#N/A</v>
      </c>
      <c r="J35" t="e">
        <f t="shared" ca="1" si="1"/>
        <v>#N/A</v>
      </c>
      <c r="K35" s="18" t="e">
        <f t="shared" ca="1" si="0"/>
        <v>#N/A</v>
      </c>
      <c r="L35" t="e">
        <f ca="1">IF(J35,Charms!B35,"")</f>
        <v>#N/A</v>
      </c>
      <c r="M35" t="str">
        <f t="shared" ca="1" si="2"/>
        <v>-</v>
      </c>
      <c r="N35" s="18" t="str">
        <f t="shared" si="3"/>
        <v>K3:L53</v>
      </c>
      <c r="O35" t="str">
        <f t="shared" si="4"/>
        <v>A3:A35</v>
      </c>
    </row>
    <row r="36" spans="1:15">
      <c r="A36" s="18" t="str">
        <f>Charms!K36</f>
        <v>Archery</v>
      </c>
      <c r="B36" t="str">
        <f>Charms!B36</f>
        <v>Death From Nowhere</v>
      </c>
      <c r="C36" t="b">
        <f ca="1">OR(Values!$S$98&gt;=Charms!M36,IFERROR(Charms!J36=OFFSET(Values!$A$24,MATCH("S",Values!$T$25:$T$50,0),0),FALSE))</f>
        <v>1</v>
      </c>
      <c r="D36" t="b">
        <f>VLOOKUP(Charms!J36,Values!$A$11:$S$59,19,0)&gt;=Charms!L36</f>
        <v>0</v>
      </c>
      <c r="E36" t="e">
        <f>OR(ISBLANK(Charms!I36),(VLOOKUP(Values!$S$6,Castes!$B$2:$F$25,4,0)=Charms!I36))</f>
        <v>#N/A</v>
      </c>
      <c r="J36" t="e">
        <f t="shared" ca="1" si="1"/>
        <v>#N/A</v>
      </c>
      <c r="K36" s="18" t="e">
        <f t="shared" ca="1" si="0"/>
        <v>#N/A</v>
      </c>
      <c r="L36" t="e">
        <f ca="1">IF(J36,Charms!B36,"")</f>
        <v>#N/A</v>
      </c>
      <c r="M36" t="str">
        <f t="shared" ca="1" si="2"/>
        <v>-</v>
      </c>
      <c r="N36" s="18" t="str">
        <f t="shared" si="3"/>
        <v>K3:L53</v>
      </c>
      <c r="O36" t="str">
        <f t="shared" si="4"/>
        <v>A3:A36</v>
      </c>
    </row>
    <row r="37" spans="1:15">
      <c r="A37" s="18" t="str">
        <f>Charms!K37</f>
        <v>Archery</v>
      </c>
      <c r="B37" t="str">
        <f>Charms!B37</f>
        <v>Arrow Thorn Technique</v>
      </c>
      <c r="C37" t="b">
        <f ca="1">OR(Values!$S$98&gt;=Charms!M37,IFERROR(Charms!J37=OFFSET(Values!$A$24,MATCH("S",Values!$T$25:$T$50,0),0),FALSE))</f>
        <v>1</v>
      </c>
      <c r="D37" t="b">
        <f>VLOOKUP(Charms!J37,Values!$A$11:$S$59,19,0)&gt;=Charms!L37</f>
        <v>0</v>
      </c>
      <c r="E37" t="e">
        <f>OR(ISBLANK(Charms!I37),(VLOOKUP(Values!$S$6,Castes!$B$2:$F$25,4,0)=Charms!I37))</f>
        <v>#N/A</v>
      </c>
      <c r="J37" t="e">
        <f t="shared" ca="1" si="1"/>
        <v>#N/A</v>
      </c>
      <c r="K37" s="18" t="e">
        <f t="shared" ca="1" si="0"/>
        <v>#N/A</v>
      </c>
      <c r="L37" t="e">
        <f ca="1">IF(J37,Charms!B37,"")</f>
        <v>#N/A</v>
      </c>
      <c r="M37" t="str">
        <f t="shared" ca="1" si="2"/>
        <v>-</v>
      </c>
      <c r="N37" s="18" t="str">
        <f t="shared" si="3"/>
        <v>K3:L53</v>
      </c>
      <c r="O37" t="str">
        <f t="shared" si="4"/>
        <v>A3:A37</v>
      </c>
    </row>
    <row r="38" spans="1:15">
      <c r="A38" s="18" t="str">
        <f>Charms!K38</f>
        <v>Archery</v>
      </c>
      <c r="B38" t="str">
        <f>Charms!B38</f>
        <v>Life-Swelling Sap Strike</v>
      </c>
      <c r="C38" t="b">
        <f ca="1">OR(Values!$S$98&gt;=Charms!M38,IFERROR(Charms!J38=OFFSET(Values!$A$24,MATCH("S",Values!$T$25:$T$50,0),0),FALSE))</f>
        <v>0</v>
      </c>
      <c r="D38" t="b">
        <f>VLOOKUP(Charms!J38,Values!$A$11:$S$59,19,0)&gt;=Charms!L38</f>
        <v>0</v>
      </c>
      <c r="E38" t="e">
        <f>OR(ISBLANK(Charms!I38),(VLOOKUP(Values!$S$6,Castes!$B$2:$F$25,4,0)=Charms!I38))</f>
        <v>#N/A</v>
      </c>
      <c r="J38" t="e">
        <f t="shared" ca="1" si="1"/>
        <v>#N/A</v>
      </c>
      <c r="K38" s="18" t="e">
        <f t="shared" ca="1" si="0"/>
        <v>#N/A</v>
      </c>
      <c r="L38" t="e">
        <f ca="1">IF(J38,Charms!B38,"")</f>
        <v>#N/A</v>
      </c>
      <c r="M38" t="str">
        <f t="shared" ca="1" si="2"/>
        <v>-</v>
      </c>
      <c r="N38" s="18" t="str">
        <f t="shared" si="3"/>
        <v>K3:L53</v>
      </c>
      <c r="O38" t="str">
        <f t="shared" si="4"/>
        <v>A3:A38</v>
      </c>
    </row>
    <row r="39" spans="1:15">
      <c r="A39" s="18" t="str">
        <f>Charms!K39</f>
        <v>Archery</v>
      </c>
      <c r="B39" t="str">
        <f>Charms!B39</f>
        <v>Boughs of Burning Autumn</v>
      </c>
      <c r="C39" t="b">
        <f ca="1">OR(Values!$S$98&gt;=Charms!M39,IFERROR(Charms!J39=OFFSET(Values!$A$24,MATCH("S",Values!$T$25:$T$50,0),0),FALSE))</f>
        <v>1</v>
      </c>
      <c r="D39" t="b">
        <f>VLOOKUP(Charms!J39,Values!$A$11:$S$59,19,0)&gt;=Charms!L39</f>
        <v>0</v>
      </c>
      <c r="E39" t="e">
        <f>OR(ISBLANK(Charms!I39),(VLOOKUP(Values!$S$6,Castes!$B$2:$F$25,4,0)=Charms!I39))</f>
        <v>#N/A</v>
      </c>
      <c r="J39" t="e">
        <f t="shared" ca="1" si="1"/>
        <v>#N/A</v>
      </c>
      <c r="K39" s="18" t="e">
        <f t="shared" ca="1" si="0"/>
        <v>#N/A</v>
      </c>
      <c r="L39" t="e">
        <f ca="1">IF(J39,Charms!B39,"")</f>
        <v>#N/A</v>
      </c>
      <c r="M39" t="str">
        <f t="shared" ca="1" si="2"/>
        <v>-</v>
      </c>
      <c r="N39" s="18" t="str">
        <f t="shared" si="3"/>
        <v>K3:L53</v>
      </c>
      <c r="O39" t="str">
        <f t="shared" si="4"/>
        <v>A3:A39</v>
      </c>
    </row>
    <row r="40" spans="1:15">
      <c r="A40" s="18" t="str">
        <f>Charms!K40</f>
        <v>Archery</v>
      </c>
      <c r="B40" t="str">
        <f>Charms!B40</f>
        <v>Arbor Sentinel Technique</v>
      </c>
      <c r="C40" t="b">
        <f ca="1">OR(Values!$S$98&gt;=Charms!M40,IFERROR(Charms!J40=OFFSET(Values!$A$24,MATCH("S",Values!$T$25:$T$50,0),0),FALSE))</f>
        <v>0</v>
      </c>
      <c r="D40" t="b">
        <f>VLOOKUP(Charms!J40,Values!$A$11:$S$59,19,0)&gt;=Charms!L40</f>
        <v>0</v>
      </c>
      <c r="E40" t="e">
        <f>OR(ISBLANK(Charms!I40),(VLOOKUP(Values!$S$6,Castes!$B$2:$F$25,4,0)=Charms!I40))</f>
        <v>#N/A</v>
      </c>
      <c r="J40" t="e">
        <f t="shared" ca="1" si="1"/>
        <v>#N/A</v>
      </c>
      <c r="K40" s="18" t="e">
        <f t="shared" ca="1" si="0"/>
        <v>#N/A</v>
      </c>
      <c r="L40" t="e">
        <f ca="1">IF(J40,Charms!B40,"")</f>
        <v>#N/A</v>
      </c>
      <c r="M40" t="str">
        <f t="shared" ca="1" si="2"/>
        <v>-</v>
      </c>
      <c r="N40" s="18" t="str">
        <f t="shared" si="3"/>
        <v>K3:L53</v>
      </c>
      <c r="O40" t="str">
        <f t="shared" si="4"/>
        <v>A3:A40</v>
      </c>
    </row>
    <row r="41" spans="1:15">
      <c r="A41" s="18" t="str">
        <f>Charms!K41</f>
        <v>Archery</v>
      </c>
      <c r="B41" t="str">
        <f>Charms!B41</f>
        <v>Drawing Lightning Style</v>
      </c>
      <c r="C41" t="b">
        <f ca="1">OR(Values!$S$98&gt;=Charms!M41,IFERROR(Charms!J41=OFFSET(Values!$A$24,MATCH("S",Values!$T$25:$T$50,0),0),FALSE))</f>
        <v>0</v>
      </c>
      <c r="D41" t="b">
        <f>VLOOKUP(Charms!J41,Values!$A$11:$S$59,19,0)&gt;=Charms!L41</f>
        <v>0</v>
      </c>
      <c r="E41" t="e">
        <f>OR(ISBLANK(Charms!I41),(VLOOKUP(Values!$S$6,Castes!$B$2:$F$25,4,0)=Charms!I41))</f>
        <v>#N/A</v>
      </c>
      <c r="J41" t="e">
        <f t="shared" ca="1" si="1"/>
        <v>#N/A</v>
      </c>
      <c r="K41" s="18" t="e">
        <f t="shared" ca="1" si="0"/>
        <v>#N/A</v>
      </c>
      <c r="L41" t="e">
        <f ca="1">IF(J41,Charms!B41,"")</f>
        <v>#N/A</v>
      </c>
      <c r="M41" t="str">
        <f t="shared" ca="1" si="2"/>
        <v>-</v>
      </c>
      <c r="N41" s="18" t="str">
        <f t="shared" si="3"/>
        <v>K3:L53</v>
      </c>
      <c r="O41" t="str">
        <f t="shared" si="4"/>
        <v>A3:A41</v>
      </c>
    </row>
    <row r="42" spans="1:15">
      <c r="A42" s="18" t="str">
        <f>Charms!K42</f>
        <v>Archery</v>
      </c>
      <c r="B42" t="str">
        <f>Charms!B42</f>
        <v>Spring Follows Winter</v>
      </c>
      <c r="C42" t="b">
        <f ca="1">OR(Values!$S$98&gt;=Charms!M42,IFERROR(Charms!J42=OFFSET(Values!$A$24,MATCH("S",Values!$T$25:$T$50,0),0),FALSE))</f>
        <v>0</v>
      </c>
      <c r="D42" t="b">
        <f>VLOOKUP(Charms!J42,Values!$A$11:$S$59,19,0)&gt;=Charms!L42</f>
        <v>0</v>
      </c>
      <c r="E42" t="e">
        <f>OR(ISBLANK(Charms!I42),(VLOOKUP(Values!$S$6,Castes!$B$2:$F$25,4,0)=Charms!I42))</f>
        <v>#N/A</v>
      </c>
      <c r="J42" t="e">
        <f t="shared" ca="1" si="1"/>
        <v>#N/A</v>
      </c>
      <c r="K42" s="18" t="e">
        <f t="shared" ca="1" si="0"/>
        <v>#N/A</v>
      </c>
      <c r="L42" t="e">
        <f ca="1">IF(J42,Charms!B42,"")</f>
        <v>#N/A</v>
      </c>
      <c r="M42" t="str">
        <f t="shared" ca="1" si="2"/>
        <v>-</v>
      </c>
      <c r="N42" s="18" t="str">
        <f t="shared" si="3"/>
        <v>K3:L53</v>
      </c>
      <c r="O42" t="str">
        <f t="shared" si="4"/>
        <v>A3:A42</v>
      </c>
    </row>
    <row r="43" spans="1:15">
      <c r="A43" s="18" t="str">
        <f>Charms!K43</f>
        <v>Archery</v>
      </c>
      <c r="B43" t="str">
        <f>Charms!B43</f>
        <v>Dragonfly Finds Mate</v>
      </c>
      <c r="C43" t="b">
        <f ca="1">OR(Values!$S$98&gt;=Charms!M43,IFERROR(Charms!J43=OFFSET(Values!$A$24,MATCH("S",Values!$T$25:$T$50,0),0),FALSE))</f>
        <v>0</v>
      </c>
      <c r="D43" t="b">
        <f>VLOOKUP(Charms!J43,Values!$A$11:$S$59,19,0)&gt;=Charms!L43</f>
        <v>0</v>
      </c>
      <c r="E43" t="e">
        <f>OR(ISBLANK(Charms!I43),(VLOOKUP(Values!$S$6,Castes!$B$2:$F$25,4,0)=Charms!I43))</f>
        <v>#N/A</v>
      </c>
      <c r="J43" t="e">
        <f t="shared" ca="1" si="1"/>
        <v>#N/A</v>
      </c>
      <c r="K43" s="18" t="e">
        <f t="shared" ca="1" si="0"/>
        <v>#N/A</v>
      </c>
      <c r="L43" t="e">
        <f ca="1">IF(J43,Charms!B43,"")</f>
        <v>#N/A</v>
      </c>
      <c r="M43" t="str">
        <f t="shared" ca="1" si="2"/>
        <v>-</v>
      </c>
      <c r="N43" s="18" t="str">
        <f t="shared" si="3"/>
        <v>K3:L53</v>
      </c>
      <c r="O43" t="str">
        <f t="shared" si="4"/>
        <v>A3:A43</v>
      </c>
    </row>
    <row r="44" spans="1:15">
      <c r="A44" s="18" t="str">
        <f>Charms!K44</f>
        <v>Archery</v>
      </c>
      <c r="B44" t="str">
        <f>Charms!B44</f>
        <v>Salamander Swallows Flames</v>
      </c>
      <c r="C44" t="b">
        <f ca="1">OR(Values!$S$98&gt;=Charms!M44,IFERROR(Charms!J44=OFFSET(Values!$A$24,MATCH("S",Values!$T$25:$T$50,0),0),FALSE))</f>
        <v>0</v>
      </c>
      <c r="D44" t="b">
        <f>VLOOKUP(Charms!J44,Values!$A$11:$S$59,19,0)&gt;=Charms!L44</f>
        <v>0</v>
      </c>
      <c r="E44" t="e">
        <f>OR(ISBLANK(Charms!I44),(VLOOKUP(Values!$S$6,Castes!$B$2:$F$25,4,0)=Charms!I44))</f>
        <v>#N/A</v>
      </c>
      <c r="J44" t="e">
        <f t="shared" ca="1" si="1"/>
        <v>#N/A</v>
      </c>
      <c r="K44" s="18" t="e">
        <f t="shared" ca="1" si="0"/>
        <v>#N/A</v>
      </c>
      <c r="L44" t="e">
        <f ca="1">IF(J44,Charms!B44,"")</f>
        <v>#N/A</v>
      </c>
      <c r="M44" t="str">
        <f t="shared" ca="1" si="2"/>
        <v>-</v>
      </c>
      <c r="N44" s="18" t="str">
        <f t="shared" si="3"/>
        <v>K3:L53</v>
      </c>
      <c r="O44" t="str">
        <f t="shared" si="4"/>
        <v>A3:A44</v>
      </c>
    </row>
    <row r="45" spans="1:15">
      <c r="A45" s="18" t="str">
        <f>Charms!K45</f>
        <v>Archery</v>
      </c>
      <c r="B45" t="str">
        <f>Charms!B45</f>
        <v>Horizon-Spanning Arc</v>
      </c>
      <c r="C45" t="b">
        <f ca="1">OR(Values!$S$98&gt;=Charms!M45,IFERROR(Charms!J45=OFFSET(Values!$A$24,MATCH("S",Values!$T$25:$T$50,0),0),FALSE))</f>
        <v>0</v>
      </c>
      <c r="D45" t="b">
        <f>VLOOKUP(Charms!J45,Values!$A$11:$S$59,19,0)&gt;=Charms!L45</f>
        <v>0</v>
      </c>
      <c r="E45" t="e">
        <f>OR(ISBLANK(Charms!I45),(VLOOKUP(Values!$S$6,Castes!$B$2:$F$25,4,0)=Charms!I45))</f>
        <v>#N/A</v>
      </c>
      <c r="J45" t="e">
        <f t="shared" ca="1" si="1"/>
        <v>#N/A</v>
      </c>
      <c r="K45" s="18" t="e">
        <f t="shared" ca="1" si="0"/>
        <v>#N/A</v>
      </c>
      <c r="L45" t="e">
        <f ca="1">IF(J45,Charms!B45,"")</f>
        <v>#N/A</v>
      </c>
      <c r="M45" t="str">
        <f t="shared" ca="1" si="2"/>
        <v>-</v>
      </c>
      <c r="N45" s="18" t="str">
        <f t="shared" si="3"/>
        <v>K3:L53</v>
      </c>
      <c r="O45" t="str">
        <f t="shared" si="4"/>
        <v>A3:A45</v>
      </c>
    </row>
    <row r="46" spans="1:15">
      <c r="A46" s="18" t="str">
        <f>Charms!K46</f>
        <v>Archery</v>
      </c>
      <c r="B46" t="str">
        <f>Charms!B46</f>
        <v>Earth’s Judgment Awakened</v>
      </c>
      <c r="C46" t="b">
        <f ca="1">OR(Values!$S$98&gt;=Charms!M46,IFERROR(Charms!J46=OFFSET(Values!$A$24,MATCH("S",Values!$T$25:$T$50,0),0),FALSE))</f>
        <v>0</v>
      </c>
      <c r="D46" t="b">
        <f>VLOOKUP(Charms!J46,Values!$A$11:$S$59,19,0)&gt;=Charms!L46</f>
        <v>0</v>
      </c>
      <c r="E46" t="e">
        <f>OR(ISBLANK(Charms!I46),(VLOOKUP(Values!$S$6,Castes!$B$2:$F$25,4,0)=Charms!I46))</f>
        <v>#N/A</v>
      </c>
      <c r="J46" t="e">
        <f t="shared" ca="1" si="1"/>
        <v>#N/A</v>
      </c>
      <c r="K46" s="18" t="e">
        <f t="shared" ca="1" si="0"/>
        <v>#N/A</v>
      </c>
      <c r="L46" t="e">
        <f ca="1">IF(J46,Charms!B46,"")</f>
        <v>#N/A</v>
      </c>
      <c r="M46" t="str">
        <f t="shared" ca="1" si="2"/>
        <v>-</v>
      </c>
      <c r="N46" s="18" t="str">
        <f t="shared" si="3"/>
        <v>K3:L53</v>
      </c>
      <c r="O46" t="str">
        <f t="shared" si="4"/>
        <v>A3:A46</v>
      </c>
    </row>
    <row r="47" spans="1:15">
      <c r="A47" s="18" t="str">
        <f>Charms!K47</f>
        <v>Archery</v>
      </c>
      <c r="B47" t="str">
        <f>Charms!B47</f>
        <v>Blazing Phoenix Pinion</v>
      </c>
      <c r="C47" t="b">
        <f ca="1">OR(Values!$S$98&gt;=Charms!M47,IFERROR(Charms!J47=OFFSET(Values!$A$24,MATCH("S",Values!$T$25:$T$50,0),0),FALSE))</f>
        <v>0</v>
      </c>
      <c r="D47" t="b">
        <f>VLOOKUP(Charms!J47,Values!$A$11:$S$59,19,0)&gt;=Charms!L47</f>
        <v>0</v>
      </c>
      <c r="E47" t="e">
        <f>OR(ISBLANK(Charms!I47),(VLOOKUP(Values!$S$6,Castes!$B$2:$F$25,4,0)=Charms!I47))</f>
        <v>#N/A</v>
      </c>
      <c r="J47" t="e">
        <f t="shared" ca="1" si="1"/>
        <v>#N/A</v>
      </c>
      <c r="K47" s="18" t="e">
        <f t="shared" ca="1" si="0"/>
        <v>#N/A</v>
      </c>
      <c r="L47" t="e">
        <f ca="1">IF(J47,Charms!B47,"")</f>
        <v>#N/A</v>
      </c>
      <c r="M47" t="str">
        <f t="shared" ca="1" si="2"/>
        <v>-</v>
      </c>
      <c r="N47" s="18" t="str">
        <f t="shared" si="3"/>
        <v>K3:L53</v>
      </c>
      <c r="O47" t="str">
        <f t="shared" si="4"/>
        <v>A3:A47</v>
      </c>
    </row>
    <row r="48" spans="1:15">
      <c r="A48" s="18" t="str">
        <f>Charms!K48</f>
        <v>Archery</v>
      </c>
      <c r="B48" t="str">
        <f>Charms!B48</f>
        <v>Fang-of-the-Depths Draw</v>
      </c>
      <c r="C48" t="b">
        <f ca="1">OR(Values!$S$98&gt;=Charms!M48,IFERROR(Charms!J48=OFFSET(Values!$A$24,MATCH("S",Values!$T$25:$T$50,0),0),FALSE))</f>
        <v>0</v>
      </c>
      <c r="D48" t="b">
        <f>VLOOKUP(Charms!J48,Values!$A$11:$S$59,19,0)&gt;=Charms!L48</f>
        <v>0</v>
      </c>
      <c r="E48" t="e">
        <f>OR(ISBLANK(Charms!I48),(VLOOKUP(Values!$S$6,Castes!$B$2:$F$25,4,0)=Charms!I48))</f>
        <v>#N/A</v>
      </c>
      <c r="J48" t="e">
        <f t="shared" ca="1" si="1"/>
        <v>#N/A</v>
      </c>
      <c r="K48" s="18" t="e">
        <f t="shared" ca="1" si="0"/>
        <v>#N/A</v>
      </c>
      <c r="L48" t="e">
        <f ca="1">IF(J48,Charms!B48,"")</f>
        <v>#N/A</v>
      </c>
      <c r="M48" t="str">
        <f t="shared" ca="1" si="2"/>
        <v>-</v>
      </c>
      <c r="N48" s="18" t="str">
        <f t="shared" si="3"/>
        <v>K3:L53</v>
      </c>
      <c r="O48" t="str">
        <f t="shared" si="4"/>
        <v>A3:A48</v>
      </c>
    </row>
    <row r="49" spans="1:15">
      <c r="A49" s="18" t="str">
        <f>Charms!K49</f>
        <v>Archery</v>
      </c>
      <c r="B49" t="str">
        <f>Charms!B49</f>
        <v>Heartbeats Before Death</v>
      </c>
      <c r="C49" t="b">
        <f ca="1">OR(Values!$S$98&gt;=Charms!M49,IFERROR(Charms!J49=OFFSET(Values!$A$24,MATCH("S",Values!$T$25:$T$50,0),0),FALSE))</f>
        <v>0</v>
      </c>
      <c r="D49" t="b">
        <f>VLOOKUP(Charms!J49,Values!$A$11:$S$59,19,0)&gt;=Charms!L49</f>
        <v>0</v>
      </c>
      <c r="E49" t="e">
        <f>OR(ISBLANK(Charms!I49),(VLOOKUP(Values!$S$6,Castes!$B$2:$F$25,4,0)=Charms!I49))</f>
        <v>#N/A</v>
      </c>
      <c r="J49" t="e">
        <f t="shared" ca="1" si="1"/>
        <v>#N/A</v>
      </c>
      <c r="K49" s="18" t="e">
        <f t="shared" ca="1" si="0"/>
        <v>#N/A</v>
      </c>
      <c r="L49" t="e">
        <f ca="1">IF(J49,Charms!B49,"")</f>
        <v>#N/A</v>
      </c>
      <c r="M49" t="str">
        <f t="shared" ca="1" si="2"/>
        <v>-</v>
      </c>
      <c r="N49" s="18" t="str">
        <f t="shared" si="3"/>
        <v>K3:L53</v>
      </c>
      <c r="O49" t="str">
        <f t="shared" si="4"/>
        <v>A3:A49</v>
      </c>
    </row>
    <row r="50" spans="1:15">
      <c r="A50" s="18" t="str">
        <f>Charms!K50</f>
        <v>Archery</v>
      </c>
      <c r="B50" t="str">
        <f>Charms!B50</f>
        <v>Seven-Year Swarm Volley</v>
      </c>
      <c r="C50" t="b">
        <f ca="1">OR(Values!$S$98&gt;=Charms!M50,IFERROR(Charms!J50=OFFSET(Values!$A$24,MATCH("S",Values!$T$25:$T$50,0),0),FALSE))</f>
        <v>0</v>
      </c>
      <c r="D50" t="b">
        <f>VLOOKUP(Charms!J50,Values!$A$11:$S$59,19,0)&gt;=Charms!L50</f>
        <v>0</v>
      </c>
      <c r="E50" t="e">
        <f>OR(ISBLANK(Charms!I50),(VLOOKUP(Values!$S$6,Castes!$B$2:$F$25,4,0)=Charms!I50))</f>
        <v>#N/A</v>
      </c>
      <c r="J50" t="e">
        <f t="shared" ca="1" si="1"/>
        <v>#N/A</v>
      </c>
      <c r="K50" s="18" t="e">
        <f t="shared" ca="1" si="0"/>
        <v>#N/A</v>
      </c>
      <c r="L50" t="e">
        <f ca="1">IF(J50,Charms!B50,"")</f>
        <v>#N/A</v>
      </c>
      <c r="M50" t="str">
        <f t="shared" ca="1" si="2"/>
        <v>-</v>
      </c>
      <c r="N50" s="18" t="str">
        <f t="shared" si="3"/>
        <v>K3:L53</v>
      </c>
      <c r="O50" t="str">
        <f t="shared" si="4"/>
        <v>A3:A50</v>
      </c>
    </row>
    <row r="51" spans="1:15">
      <c r="A51" s="18" t="str">
        <f>Charms!K51</f>
        <v>Archery</v>
      </c>
      <c r="B51" t="str">
        <f>Charms!B51</f>
        <v>Sparrow Dives at Hawk</v>
      </c>
      <c r="C51" t="b">
        <f ca="1">OR(Values!$S$98&gt;=Charms!M51,IFERROR(Charms!J51=OFFSET(Values!$A$24,MATCH("S",Values!$T$25:$T$50,0),0),FALSE))</f>
        <v>0</v>
      </c>
      <c r="D51" t="b">
        <f>VLOOKUP(Charms!J51,Values!$A$11:$S$59,19,0)&gt;=Charms!L51</f>
        <v>0</v>
      </c>
      <c r="E51" t="e">
        <f>OR(ISBLANK(Charms!I51),(VLOOKUP(Values!$S$6,Castes!$B$2:$F$25,4,0)=Charms!I51))</f>
        <v>#N/A</v>
      </c>
      <c r="J51" t="e">
        <f t="shared" ca="1" si="1"/>
        <v>#N/A</v>
      </c>
      <c r="K51" s="18" t="e">
        <f t="shared" ca="1" si="0"/>
        <v>#N/A</v>
      </c>
      <c r="L51" t="e">
        <f ca="1">IF(J51,Charms!B51,"")</f>
        <v>#N/A</v>
      </c>
      <c r="M51" t="str">
        <f t="shared" ca="1" si="2"/>
        <v>-</v>
      </c>
      <c r="N51" s="18" t="str">
        <f t="shared" si="3"/>
        <v>K3:L53</v>
      </c>
      <c r="O51" t="str">
        <f t="shared" si="4"/>
        <v>A3:A51</v>
      </c>
    </row>
    <row r="52" spans="1:15">
      <c r="A52" s="18" t="str">
        <f>Charms!K52</f>
        <v>Archery</v>
      </c>
      <c r="B52" t="str">
        <f>Charms!B52</f>
        <v>Swallows Defend the Nest</v>
      </c>
      <c r="C52" t="b">
        <f ca="1">OR(Values!$S$98&gt;=Charms!M52,IFERROR(Charms!J52=OFFSET(Values!$A$24,MATCH("S",Values!$T$25:$T$50,0),0),FALSE))</f>
        <v>0</v>
      </c>
      <c r="D52" t="b">
        <f>VLOOKUP(Charms!J52,Values!$A$11:$S$59,19,0)&gt;=Charms!L52</f>
        <v>0</v>
      </c>
      <c r="E52" t="e">
        <f>OR(ISBLANK(Charms!I52),(VLOOKUP(Values!$S$6,Castes!$B$2:$F$25,4,0)=Charms!I52))</f>
        <v>#N/A</v>
      </c>
      <c r="J52" t="e">
        <f t="shared" ca="1" si="1"/>
        <v>#N/A</v>
      </c>
      <c r="K52" s="18" t="e">
        <f t="shared" ca="1" si="0"/>
        <v>#N/A</v>
      </c>
      <c r="L52" t="e">
        <f ca="1">IF(J52,Charms!B52,"")</f>
        <v>#N/A</v>
      </c>
      <c r="M52" t="str">
        <f t="shared" ca="1" si="2"/>
        <v>-</v>
      </c>
      <c r="N52" s="18" t="str">
        <f t="shared" si="3"/>
        <v>K3:L53</v>
      </c>
      <c r="O52" t="str">
        <f t="shared" si="4"/>
        <v>A3:A52</v>
      </c>
    </row>
    <row r="53" spans="1:15">
      <c r="A53" s="18" t="str">
        <f>Charms!K53</f>
        <v>Archery</v>
      </c>
      <c r="B53" t="str">
        <f>Charms!B53</f>
        <v>Arrow Rain Tempest</v>
      </c>
      <c r="C53" t="b">
        <f ca="1">OR(Values!$S$98&gt;=Charms!M53,IFERROR(Charms!J53=OFFSET(Values!$A$24,MATCH("S",Values!$T$25:$T$50,0),0),FALSE))</f>
        <v>0</v>
      </c>
      <c r="D53" t="b">
        <f>VLOOKUP(Charms!J53,Values!$A$11:$S$59,19,0)&gt;=Charms!L53</f>
        <v>0</v>
      </c>
      <c r="E53" t="e">
        <f>OR(ISBLANK(Charms!I53),(VLOOKUP(Values!$S$6,Castes!$B$2:$F$25,4,0)=Charms!I53))</f>
        <v>#N/A</v>
      </c>
      <c r="J53" t="e">
        <f t="shared" ca="1" si="1"/>
        <v>#N/A</v>
      </c>
      <c r="K53" s="18" t="e">
        <f t="shared" ca="1" si="0"/>
        <v>#N/A</v>
      </c>
      <c r="L53" t="e">
        <f ca="1">IF(J53,Charms!B53,"")</f>
        <v>#N/A</v>
      </c>
      <c r="M53" t="str">
        <f t="shared" ca="1" si="2"/>
        <v>-</v>
      </c>
      <c r="N53" s="18" t="str">
        <f t="shared" si="3"/>
        <v>K3:L53</v>
      </c>
      <c r="O53" t="str">
        <f t="shared" si="4"/>
        <v>A3:A53</v>
      </c>
    </row>
    <row r="54" spans="1:15">
      <c r="A54" s="18" t="str">
        <f>Charms!K54</f>
        <v>Athletics</v>
      </c>
      <c r="B54" t="str">
        <f>Charms!B54</f>
        <v>Graceful Crane Stance</v>
      </c>
      <c r="C54" t="b">
        <f ca="1">OR(Values!$S$98&gt;=Charms!M54,IFERROR(Charms!J54=OFFSET(Values!$A$24,MATCH("S",Values!$T$25:$T$50,0),0),FALSE))</f>
        <v>1</v>
      </c>
      <c r="D54" t="b">
        <f>VLOOKUP(Charms!J54,Values!$A$11:$S$59,19,0)&gt;=Charms!L54</f>
        <v>0</v>
      </c>
      <c r="E54" t="e">
        <f>OR(ISBLANK(Charms!I54),(VLOOKUP(Values!$S$6,Castes!$B$2:$F$25,4,0)=Charms!I54))</f>
        <v>#N/A</v>
      </c>
      <c r="J54" t="e">
        <f t="shared" ca="1" si="1"/>
        <v>#N/A</v>
      </c>
      <c r="K54" s="18" t="e">
        <f t="shared" ca="1" si="0"/>
        <v>#N/A</v>
      </c>
      <c r="L54" t="e">
        <f ca="1">IF(J54,Charms!B54,"")</f>
        <v>#N/A</v>
      </c>
      <c r="M54" t="str">
        <f t="shared" ca="1" si="2"/>
        <v>-</v>
      </c>
      <c r="N54" s="18" t="str">
        <f t="shared" si="3"/>
        <v>K54:L103</v>
      </c>
      <c r="O54" t="str">
        <f t="shared" si="4"/>
        <v>A54:A54</v>
      </c>
    </row>
    <row r="55" spans="1:15">
      <c r="A55" s="18" t="str">
        <f>Charms!K55</f>
        <v>Athletics</v>
      </c>
      <c r="B55" t="str">
        <f>Charms!B55</f>
        <v>Monkey Leap Technique</v>
      </c>
      <c r="C55" t="b">
        <f ca="1">OR(Values!$S$98&gt;=Charms!M55,IFERROR(Charms!J55=OFFSET(Values!$A$24,MATCH("S",Values!$T$25:$T$50,0),0),FALSE))</f>
        <v>1</v>
      </c>
      <c r="D55" t="b">
        <f>VLOOKUP(Charms!J55,Values!$A$11:$S$59,19,0)&gt;=Charms!L55</f>
        <v>0</v>
      </c>
      <c r="E55" t="e">
        <f>OR(ISBLANK(Charms!I55),(VLOOKUP(Values!$S$6,Castes!$B$2:$F$25,4,0)=Charms!I55))</f>
        <v>#N/A</v>
      </c>
      <c r="J55" t="e">
        <f t="shared" ca="1" si="1"/>
        <v>#N/A</v>
      </c>
      <c r="K55" s="18" t="e">
        <f t="shared" ca="1" si="0"/>
        <v>#N/A</v>
      </c>
      <c r="L55" t="e">
        <f ca="1">IF(J55,Charms!B55,"")</f>
        <v>#N/A</v>
      </c>
      <c r="M55" t="str">
        <f t="shared" ca="1" si="2"/>
        <v>-</v>
      </c>
      <c r="N55" s="18" t="str">
        <f t="shared" si="3"/>
        <v>K54:L103</v>
      </c>
      <c r="O55" t="str">
        <f t="shared" si="4"/>
        <v>A54:A55</v>
      </c>
    </row>
    <row r="56" spans="1:15">
      <c r="A56" s="18" t="str">
        <f>Charms!K56</f>
        <v>Athletics</v>
      </c>
      <c r="B56" t="str">
        <f>Charms!B56</f>
        <v>Foe-Vaulting Method</v>
      </c>
      <c r="C56" t="b">
        <f ca="1">OR(Values!$S$98&gt;=Charms!M56,IFERROR(Charms!J56=OFFSET(Values!$A$24,MATCH("S",Values!$T$25:$T$50,0),0),FALSE))</f>
        <v>1</v>
      </c>
      <c r="D56" t="b">
        <f>VLOOKUP(Charms!J56,Values!$A$11:$S$59,19,0)&gt;=Charms!L56</f>
        <v>0</v>
      </c>
      <c r="E56" t="e">
        <f>OR(ISBLANK(Charms!I56),(VLOOKUP(Values!$S$6,Castes!$B$2:$F$25,4,0)=Charms!I56))</f>
        <v>#N/A</v>
      </c>
      <c r="J56" t="e">
        <f t="shared" ca="1" si="1"/>
        <v>#N/A</v>
      </c>
      <c r="K56" s="18" t="e">
        <f t="shared" ca="1" si="0"/>
        <v>#N/A</v>
      </c>
      <c r="L56" t="e">
        <f ca="1">IF(J56,Charms!B56,"")</f>
        <v>#N/A</v>
      </c>
      <c r="M56" t="str">
        <f t="shared" ca="1" si="2"/>
        <v>-</v>
      </c>
      <c r="N56" s="18" t="str">
        <f t="shared" si="3"/>
        <v>K54:L103</v>
      </c>
      <c r="O56" t="str">
        <f t="shared" si="4"/>
        <v>A54:A56</v>
      </c>
    </row>
    <row r="57" spans="1:15">
      <c r="A57" s="18" t="str">
        <f>Charms!K57</f>
        <v>Athletics</v>
      </c>
      <c r="B57" t="str">
        <f>Charms!B57</f>
        <v>Soaring Crane Leap</v>
      </c>
      <c r="C57" t="b">
        <f ca="1">OR(Values!$S$98&gt;=Charms!M57,IFERROR(Charms!J57=OFFSET(Values!$A$24,MATCH("S",Values!$T$25:$T$50,0),0),FALSE))</f>
        <v>1</v>
      </c>
      <c r="D57" t="b">
        <f>VLOOKUP(Charms!J57,Values!$A$11:$S$59,19,0)&gt;=Charms!L57</f>
        <v>0</v>
      </c>
      <c r="E57" t="e">
        <f>OR(ISBLANK(Charms!I57),(VLOOKUP(Values!$S$6,Castes!$B$2:$F$25,4,0)=Charms!I57))</f>
        <v>#N/A</v>
      </c>
      <c r="J57" t="e">
        <f t="shared" ca="1" si="1"/>
        <v>#N/A</v>
      </c>
      <c r="K57" s="18" t="e">
        <f t="shared" ca="1" si="0"/>
        <v>#N/A</v>
      </c>
      <c r="L57" t="e">
        <f ca="1">IF(J57,Charms!B57,"")</f>
        <v>#N/A</v>
      </c>
      <c r="M57" t="str">
        <f t="shared" ca="1" si="2"/>
        <v>-</v>
      </c>
      <c r="N57" s="18" t="str">
        <f t="shared" si="3"/>
        <v>K54:L103</v>
      </c>
      <c r="O57" t="str">
        <f t="shared" si="4"/>
        <v>A54:A57</v>
      </c>
    </row>
    <row r="58" spans="1:15">
      <c r="A58" s="18" t="str">
        <f>Charms!K58</f>
        <v>Athletics</v>
      </c>
      <c r="B58" t="str">
        <f>Charms!B58</f>
        <v>Lightning Speed</v>
      </c>
      <c r="C58" t="b">
        <f ca="1">OR(Values!$S$98&gt;=Charms!M58,IFERROR(Charms!J58=OFFSET(Values!$A$24,MATCH("S",Values!$T$25:$T$50,0),0),FALSE))</f>
        <v>1</v>
      </c>
      <c r="D58" t="b">
        <f>VLOOKUP(Charms!J58,Values!$A$11:$S$59,19,0)&gt;=Charms!L58</f>
        <v>0</v>
      </c>
      <c r="E58" t="e">
        <f>OR(ISBLANK(Charms!I58),(VLOOKUP(Values!$S$6,Castes!$B$2:$F$25,4,0)=Charms!I58))</f>
        <v>#N/A</v>
      </c>
      <c r="J58" t="e">
        <f t="shared" ca="1" si="1"/>
        <v>#N/A</v>
      </c>
      <c r="K58" s="18" t="e">
        <f t="shared" ca="1" si="0"/>
        <v>#N/A</v>
      </c>
      <c r="L58" t="e">
        <f ca="1">IF(J58,Charms!B58,"")</f>
        <v>#N/A</v>
      </c>
      <c r="M58" t="str">
        <f t="shared" ca="1" si="2"/>
        <v>-</v>
      </c>
      <c r="N58" s="18" t="str">
        <f t="shared" si="3"/>
        <v>K54:L103</v>
      </c>
      <c r="O58" t="str">
        <f t="shared" si="4"/>
        <v>A54:A58</v>
      </c>
    </row>
    <row r="59" spans="1:15">
      <c r="A59" s="18" t="str">
        <f>Charms!K59</f>
        <v>Athletics</v>
      </c>
      <c r="B59" t="str">
        <f>Charms!B59</f>
        <v>Increasing Strength Exercise</v>
      </c>
      <c r="C59" t="b">
        <f ca="1">OR(Values!$S$98&gt;=Charms!M59,IFERROR(Charms!J59=OFFSET(Values!$A$24,MATCH("S",Values!$T$25:$T$50,0),0),FALSE))</f>
        <v>1</v>
      </c>
      <c r="D59" t="b">
        <f>VLOOKUP(Charms!J59,Values!$A$11:$S$59,19,0)&gt;=Charms!L59</f>
        <v>0</v>
      </c>
      <c r="E59" t="e">
        <f>OR(ISBLANK(Charms!I59),(VLOOKUP(Values!$S$6,Castes!$B$2:$F$25,4,0)=Charms!I59))</f>
        <v>#N/A</v>
      </c>
      <c r="J59" t="e">
        <f t="shared" ca="1" si="1"/>
        <v>#N/A</v>
      </c>
      <c r="K59" s="18" t="e">
        <f t="shared" ca="1" si="0"/>
        <v>#N/A</v>
      </c>
      <c r="L59" t="e">
        <f ca="1">IF(J59,Charms!B59,"")</f>
        <v>#N/A</v>
      </c>
      <c r="M59" t="str">
        <f t="shared" ca="1" si="2"/>
        <v>-</v>
      </c>
      <c r="N59" s="18" t="str">
        <f t="shared" si="3"/>
        <v>K54:L103</v>
      </c>
      <c r="O59" t="str">
        <f t="shared" si="4"/>
        <v>A54:A59</v>
      </c>
    </row>
    <row r="60" spans="1:15">
      <c r="A60" s="18" t="str">
        <f>Charms!K60</f>
        <v>Athletics</v>
      </c>
      <c r="B60" t="str">
        <f>Charms!B60</f>
        <v>Thunderbolt Attack Prana</v>
      </c>
      <c r="C60" t="b">
        <f ca="1">OR(Values!$S$98&gt;=Charms!M60,IFERROR(Charms!J60=OFFSET(Values!$A$24,MATCH("S",Values!$T$25:$T$50,0),0),FALSE))</f>
        <v>1</v>
      </c>
      <c r="D60" t="b">
        <f>VLOOKUP(Charms!J60,Values!$A$11:$S$59,19,0)&gt;=Charms!L60</f>
        <v>0</v>
      </c>
      <c r="E60" t="e">
        <f>OR(ISBLANK(Charms!I60),(VLOOKUP(Values!$S$6,Castes!$B$2:$F$25,4,0)=Charms!I60))</f>
        <v>#N/A</v>
      </c>
      <c r="J60" t="e">
        <f t="shared" ca="1" si="1"/>
        <v>#N/A</v>
      </c>
      <c r="K60" s="18" t="e">
        <f t="shared" ca="1" si="0"/>
        <v>#N/A</v>
      </c>
      <c r="L60" t="e">
        <f ca="1">IF(J60,Charms!B60,"")</f>
        <v>#N/A</v>
      </c>
      <c r="M60" t="str">
        <f t="shared" ca="1" si="2"/>
        <v>-</v>
      </c>
      <c r="N60" s="18" t="str">
        <f t="shared" si="3"/>
        <v>K54:L103</v>
      </c>
      <c r="O60" t="str">
        <f t="shared" si="4"/>
        <v>A54:A60</v>
      </c>
    </row>
    <row r="61" spans="1:15">
      <c r="A61" s="18" t="str">
        <f>Charms!K61</f>
        <v>Athletics</v>
      </c>
      <c r="B61" t="str">
        <f>Charms!B61</f>
        <v>Feather Foot Style</v>
      </c>
      <c r="C61" t="b">
        <f ca="1">OR(Values!$S$98&gt;=Charms!M61,IFERROR(Charms!J61=OFFSET(Values!$A$24,MATCH("S",Values!$T$25:$T$50,0),0),FALSE))</f>
        <v>1</v>
      </c>
      <c r="D61" t="b">
        <f>VLOOKUP(Charms!J61,Values!$A$11:$S$59,19,0)&gt;=Charms!L61</f>
        <v>0</v>
      </c>
      <c r="E61" t="e">
        <f>OR(ISBLANK(Charms!I61),(VLOOKUP(Values!$S$6,Castes!$B$2:$F$25,4,0)=Charms!I61))</f>
        <v>#N/A</v>
      </c>
      <c r="J61" t="e">
        <f t="shared" ca="1" si="1"/>
        <v>#N/A</v>
      </c>
      <c r="K61" s="18" t="e">
        <f t="shared" ca="1" si="0"/>
        <v>#N/A</v>
      </c>
      <c r="L61" t="e">
        <f ca="1">IF(J61,Charms!B61,"")</f>
        <v>#N/A</v>
      </c>
      <c r="M61" t="str">
        <f t="shared" ca="1" si="2"/>
        <v>-</v>
      </c>
      <c r="N61" s="18" t="str">
        <f t="shared" si="3"/>
        <v>K54:L103</v>
      </c>
      <c r="O61" t="str">
        <f t="shared" si="4"/>
        <v>A54:A61</v>
      </c>
    </row>
    <row r="62" spans="1:15">
      <c r="A62" s="18" t="str">
        <f>Charms!K62</f>
        <v>Athletics</v>
      </c>
      <c r="B62" t="str">
        <f>Charms!B62</f>
        <v>Onrush Burst Method</v>
      </c>
      <c r="C62" t="b">
        <f ca="1">OR(Values!$S$98&gt;=Charms!M62,IFERROR(Charms!J62=OFFSET(Values!$A$24,MATCH("S",Values!$T$25:$T$50,0),0),FALSE))</f>
        <v>0</v>
      </c>
      <c r="D62" t="b">
        <f>VLOOKUP(Charms!J62,Values!$A$11:$S$59,19,0)&gt;=Charms!L62</f>
        <v>0</v>
      </c>
      <c r="E62" t="e">
        <f>OR(ISBLANK(Charms!I62),(VLOOKUP(Values!$S$6,Castes!$B$2:$F$25,4,0)=Charms!I62))</f>
        <v>#N/A</v>
      </c>
      <c r="J62" t="e">
        <f t="shared" ca="1" si="1"/>
        <v>#N/A</v>
      </c>
      <c r="K62" s="18" t="e">
        <f t="shared" ca="1" si="0"/>
        <v>#N/A</v>
      </c>
      <c r="L62" t="e">
        <f ca="1">IF(J62,Charms!B62,"")</f>
        <v>#N/A</v>
      </c>
      <c r="M62" t="str">
        <f t="shared" ca="1" si="2"/>
        <v>-</v>
      </c>
      <c r="N62" s="18" t="str">
        <f t="shared" si="3"/>
        <v>K54:L103</v>
      </c>
      <c r="O62" t="str">
        <f t="shared" si="4"/>
        <v>A54:A62</v>
      </c>
    </row>
    <row r="63" spans="1:15">
      <c r="A63" s="18" t="str">
        <f>Charms!K63</f>
        <v>Athletics</v>
      </c>
      <c r="B63" t="str">
        <f>Charms!B63</f>
        <v>Armor-Eating Strike</v>
      </c>
      <c r="C63" t="b">
        <f ca="1">OR(Values!$S$98&gt;=Charms!M63,IFERROR(Charms!J63=OFFSET(Values!$A$24,MATCH("S",Values!$T$25:$T$50,0),0),FALSE))</f>
        <v>0</v>
      </c>
      <c r="D63" t="b">
        <f>VLOOKUP(Charms!J63,Values!$A$11:$S$59,19,0)&gt;=Charms!L63</f>
        <v>0</v>
      </c>
      <c r="E63" t="e">
        <f>OR(ISBLANK(Charms!I63),(VLOOKUP(Values!$S$6,Castes!$B$2:$F$25,4,0)=Charms!I63))</f>
        <v>#N/A</v>
      </c>
      <c r="J63" t="e">
        <f t="shared" ca="1" si="1"/>
        <v>#N/A</v>
      </c>
      <c r="K63" s="18" t="e">
        <f t="shared" ca="1" si="0"/>
        <v>#N/A</v>
      </c>
      <c r="L63" t="e">
        <f ca="1">IF(J63,Charms!B63,"")</f>
        <v>#N/A</v>
      </c>
      <c r="M63" t="str">
        <f t="shared" ca="1" si="2"/>
        <v>-</v>
      </c>
      <c r="N63" s="18" t="str">
        <f t="shared" si="3"/>
        <v>K54:L103</v>
      </c>
      <c r="O63" t="str">
        <f t="shared" si="4"/>
        <v>A54:A63</v>
      </c>
    </row>
    <row r="64" spans="1:15">
      <c r="A64" s="18" t="str">
        <f>Charms!K64</f>
        <v>Athletics</v>
      </c>
      <c r="B64" t="str">
        <f>Charms!B64</f>
        <v>Winning Stride Discipline</v>
      </c>
      <c r="C64" t="b">
        <f ca="1">OR(Values!$S$98&gt;=Charms!M64,IFERROR(Charms!J64=OFFSET(Values!$A$24,MATCH("S",Values!$T$25:$T$50,0),0),FALSE))</f>
        <v>1</v>
      </c>
      <c r="D64" t="b">
        <f>VLOOKUP(Charms!J64,Values!$A$11:$S$59,19,0)&gt;=Charms!L64</f>
        <v>0</v>
      </c>
      <c r="E64" t="e">
        <f>OR(ISBLANK(Charms!I64),(VLOOKUP(Values!$S$6,Castes!$B$2:$F$25,4,0)=Charms!I64))</f>
        <v>#N/A</v>
      </c>
      <c r="J64" t="e">
        <f t="shared" ca="1" si="1"/>
        <v>#N/A</v>
      </c>
      <c r="K64" s="18" t="e">
        <f t="shared" ca="1" si="0"/>
        <v>#N/A</v>
      </c>
      <c r="L64" t="e">
        <f ca="1">IF(J64,Charms!B64,"")</f>
        <v>#N/A</v>
      </c>
      <c r="M64" t="str">
        <f t="shared" ca="1" si="2"/>
        <v>-</v>
      </c>
      <c r="N64" s="18" t="str">
        <f t="shared" si="3"/>
        <v>K54:L103</v>
      </c>
      <c r="O64" t="str">
        <f t="shared" si="4"/>
        <v>A54:A64</v>
      </c>
    </row>
    <row r="65" spans="1:15">
      <c r="A65" s="18" t="str">
        <f>Charms!K65</f>
        <v>Athletics</v>
      </c>
      <c r="B65" t="str">
        <f>Charms!B65</f>
        <v>Spider Foot Style</v>
      </c>
      <c r="C65" t="b">
        <f ca="1">OR(Values!$S$98&gt;=Charms!M65,IFERROR(Charms!J65=OFFSET(Values!$A$24,MATCH("S",Values!$T$25:$T$50,0),0),FALSE))</f>
        <v>1</v>
      </c>
      <c r="D65" t="b">
        <f>VLOOKUP(Charms!J65,Values!$A$11:$S$59,19,0)&gt;=Charms!L65</f>
        <v>0</v>
      </c>
      <c r="E65" t="e">
        <f>OR(ISBLANK(Charms!I65),(VLOOKUP(Values!$S$6,Castes!$B$2:$F$25,4,0)=Charms!I65))</f>
        <v>#N/A</v>
      </c>
      <c r="J65" t="e">
        <f t="shared" ca="1" si="1"/>
        <v>#N/A</v>
      </c>
      <c r="K65" s="18" t="e">
        <f t="shared" ca="1" si="0"/>
        <v>#N/A</v>
      </c>
      <c r="L65" t="e">
        <f ca="1">IF(J65,Charms!B65,"")</f>
        <v>#N/A</v>
      </c>
      <c r="M65" t="str">
        <f t="shared" ca="1" si="2"/>
        <v>-</v>
      </c>
      <c r="N65" s="18" t="str">
        <f t="shared" si="3"/>
        <v>K54:L103</v>
      </c>
      <c r="O65" t="str">
        <f t="shared" si="4"/>
        <v>A54:A65</v>
      </c>
    </row>
    <row r="66" spans="1:15">
      <c r="A66" s="18" t="str">
        <f>Charms!K66</f>
        <v>Athletics</v>
      </c>
      <c r="B66" t="str">
        <f>Charms!B66</f>
        <v>Unbound Eagle Approach</v>
      </c>
      <c r="C66" t="b">
        <f ca="1">OR(Values!$S$98&gt;=Charms!M66,IFERROR(Charms!J66=OFFSET(Values!$A$24,MATCH("S",Values!$T$25:$T$50,0),0),FALSE))</f>
        <v>0</v>
      </c>
      <c r="D66" t="b">
        <f>VLOOKUP(Charms!J66,Values!$A$11:$S$59,19,0)&gt;=Charms!L66</f>
        <v>0</v>
      </c>
      <c r="E66" t="e">
        <f>OR(ISBLANK(Charms!I66),(VLOOKUP(Values!$S$6,Castes!$B$2:$F$25,4,0)=Charms!I66))</f>
        <v>#N/A</v>
      </c>
      <c r="J66" t="e">
        <f t="shared" ca="1" si="1"/>
        <v>#N/A</v>
      </c>
      <c r="K66" s="18" t="e">
        <f t="shared" ref="K66:K129" ca="1" si="5">IF(L66="","",COUNTIF(INDIRECT("J"&amp;MATCH(A66,A:A,0)&amp;":J"&amp;ROW()),J66))</f>
        <v>#N/A</v>
      </c>
      <c r="L66" t="e">
        <f ca="1">IF(J66,Charms!B66,"")</f>
        <v>#N/A</v>
      </c>
      <c r="M66" t="str">
        <f t="shared" ca="1" si="2"/>
        <v>-</v>
      </c>
      <c r="N66" s="18" t="str">
        <f t="shared" si="3"/>
        <v>K54:L103</v>
      </c>
      <c r="O66" t="str">
        <f t="shared" si="4"/>
        <v>A54:A66</v>
      </c>
    </row>
    <row r="67" spans="1:15">
      <c r="A67" s="18" t="str">
        <f>Charms!K67</f>
        <v>Athletics</v>
      </c>
      <c r="B67" t="str">
        <f>Charms!B67</f>
        <v>Racing Hare Method</v>
      </c>
      <c r="C67" t="b">
        <f ca="1">OR(Values!$S$98&gt;=Charms!M67,IFERROR(Charms!J67=OFFSET(Values!$A$24,MATCH("S",Values!$T$25:$T$50,0),0),FALSE))</f>
        <v>0</v>
      </c>
      <c r="D67" t="b">
        <f>VLOOKUP(Charms!J67,Values!$A$11:$S$59,19,0)&gt;=Charms!L67</f>
        <v>0</v>
      </c>
      <c r="E67" t="e">
        <f>OR(ISBLANK(Charms!I67),(VLOOKUP(Values!$S$6,Castes!$B$2:$F$25,4,0)=Charms!I67))</f>
        <v>#N/A</v>
      </c>
      <c r="J67" t="e">
        <f t="shared" ref="J67:J130" ca="1" si="6">(C67+D67+E67+F67+G67+H67+I67)=3</f>
        <v>#N/A</v>
      </c>
      <c r="K67" s="18" t="e">
        <f t="shared" ca="1" si="5"/>
        <v>#N/A</v>
      </c>
      <c r="L67" t="e">
        <f ca="1">IF(J67,Charms!B67,"")</f>
        <v>#N/A</v>
      </c>
      <c r="M67" t="str">
        <f t="shared" ref="M67:M130" ca="1" si="7">IFERROR(VLOOKUP(COUNTIF(INDIRECT(O67),A67),INDIRECT(N67),2,0),"-")</f>
        <v>-</v>
      </c>
      <c r="N67" s="18" t="str">
        <f t="shared" ref="N67:N130" si="8">"K"&amp;MATCH(A67,A:A,0)&amp;":L"&amp;(MATCH(A67,A:A,0)+COUNTIF(A:A,A67)-1)</f>
        <v>K54:L103</v>
      </c>
      <c r="O67" t="str">
        <f t="shared" ref="O67:O130" si="9">"A"&amp;MATCH(A67,A:A,0)&amp;":A"&amp;ROW()</f>
        <v>A54:A67</v>
      </c>
    </row>
    <row r="68" spans="1:15">
      <c r="A68" s="18" t="str">
        <f>Charms!K68</f>
        <v>Athletics</v>
      </c>
      <c r="B68" t="str">
        <f>Charms!B68</f>
        <v>Strength-Hying Heave</v>
      </c>
      <c r="C68" t="b">
        <f ca="1">OR(Values!$S$98&gt;=Charms!M68,IFERROR(Charms!J68=OFFSET(Values!$A$24,MATCH("S",Values!$T$25:$T$50,0),0),FALSE))</f>
        <v>1</v>
      </c>
      <c r="D68" t="b">
        <f>VLOOKUP(Charms!J68,Values!$A$11:$S$59,19,0)&gt;=Charms!L68</f>
        <v>0</v>
      </c>
      <c r="E68" t="e">
        <f>OR(ISBLANK(Charms!I68),(VLOOKUP(Values!$S$6,Castes!$B$2:$F$25,4,0)=Charms!I68))</f>
        <v>#N/A</v>
      </c>
      <c r="J68" t="e">
        <f t="shared" ca="1" si="6"/>
        <v>#N/A</v>
      </c>
      <c r="K68" s="18" t="e">
        <f t="shared" ca="1" si="5"/>
        <v>#N/A</v>
      </c>
      <c r="L68" t="e">
        <f ca="1">IF(J68,Charms!B68,"")</f>
        <v>#N/A</v>
      </c>
      <c r="M68" t="str">
        <f t="shared" ca="1" si="7"/>
        <v>-</v>
      </c>
      <c r="N68" s="18" t="str">
        <f t="shared" si="8"/>
        <v>K54:L103</v>
      </c>
      <c r="O68" t="str">
        <f t="shared" si="9"/>
        <v>A54:A68</v>
      </c>
    </row>
    <row r="69" spans="1:15">
      <c r="A69" s="18" t="str">
        <f>Charms!K69</f>
        <v>Athletics</v>
      </c>
      <c r="B69" t="str">
        <f>Charms!B69</f>
        <v>Ten Ox Meditation</v>
      </c>
      <c r="C69" t="b">
        <f ca="1">OR(Values!$S$98&gt;=Charms!M69,IFERROR(Charms!J69=OFFSET(Values!$A$24,MATCH("S",Values!$T$25:$T$50,0),0),FALSE))</f>
        <v>1</v>
      </c>
      <c r="D69" t="b">
        <f>VLOOKUP(Charms!J69,Values!$A$11:$S$59,19,0)&gt;=Charms!L69</f>
        <v>0</v>
      </c>
      <c r="E69" t="e">
        <f>OR(ISBLANK(Charms!I69),(VLOOKUP(Values!$S$6,Castes!$B$2:$F$25,4,0)=Charms!I69))</f>
        <v>#N/A</v>
      </c>
      <c r="J69" t="e">
        <f t="shared" ca="1" si="6"/>
        <v>#N/A</v>
      </c>
      <c r="K69" s="18" t="e">
        <f t="shared" ca="1" si="5"/>
        <v>#N/A</v>
      </c>
      <c r="L69" t="e">
        <f ca="1">IF(J69,Charms!B69,"")</f>
        <v>#N/A</v>
      </c>
      <c r="M69" t="str">
        <f t="shared" ca="1" si="7"/>
        <v>-</v>
      </c>
      <c r="N69" s="18" t="str">
        <f t="shared" si="8"/>
        <v>K54:L103</v>
      </c>
      <c r="O69" t="str">
        <f t="shared" si="9"/>
        <v>A54:A69</v>
      </c>
    </row>
    <row r="70" spans="1:15">
      <c r="A70" s="18" t="str">
        <f>Charms!K70</f>
        <v>Athletics</v>
      </c>
      <c r="B70" t="str">
        <f>Charms!B70</f>
        <v>Leaping Tiger Attack</v>
      </c>
      <c r="C70" t="b">
        <f ca="1">OR(Values!$S$98&gt;=Charms!M70,IFERROR(Charms!J70=OFFSET(Values!$A$24,MATCH("S",Values!$T$25:$T$50,0),0),FALSE))</f>
        <v>0</v>
      </c>
      <c r="D70" t="b">
        <f>VLOOKUP(Charms!J70,Values!$A$11:$S$59,19,0)&gt;=Charms!L70</f>
        <v>0</v>
      </c>
      <c r="E70" t="e">
        <f>OR(ISBLANK(Charms!I70),(VLOOKUP(Values!$S$6,Castes!$B$2:$F$25,4,0)=Charms!I70))</f>
        <v>#N/A</v>
      </c>
      <c r="J70" t="e">
        <f t="shared" ca="1" si="6"/>
        <v>#N/A</v>
      </c>
      <c r="K70" s="18" t="e">
        <f t="shared" ca="1" si="5"/>
        <v>#N/A</v>
      </c>
      <c r="L70" t="e">
        <f ca="1">IF(J70,Charms!B70,"")</f>
        <v>#N/A</v>
      </c>
      <c r="M70" t="str">
        <f t="shared" ca="1" si="7"/>
        <v>-</v>
      </c>
      <c r="N70" s="18" t="str">
        <f t="shared" si="8"/>
        <v>K54:L103</v>
      </c>
      <c r="O70" t="str">
        <f t="shared" si="9"/>
        <v>A54:A70</v>
      </c>
    </row>
    <row r="71" spans="1:15">
      <c r="A71" s="18" t="str">
        <f>Charms!K71</f>
        <v>Athletics</v>
      </c>
      <c r="B71" t="str">
        <f>Charms!B71</f>
        <v>Arete-Driven Marathon Stride</v>
      </c>
      <c r="C71" t="b">
        <f ca="1">OR(Values!$S$98&gt;=Charms!M71,IFERROR(Charms!J71=OFFSET(Values!$A$24,MATCH("S",Values!$T$25:$T$50,0),0),FALSE))</f>
        <v>0</v>
      </c>
      <c r="D71" t="b">
        <f>VLOOKUP(Charms!J71,Values!$A$11:$S$59,19,0)&gt;=Charms!L71</f>
        <v>0</v>
      </c>
      <c r="E71" t="e">
        <f>OR(ISBLANK(Charms!I71),(VLOOKUP(Values!$S$6,Castes!$B$2:$F$25,4,0)=Charms!I71))</f>
        <v>#N/A</v>
      </c>
      <c r="J71" t="e">
        <f t="shared" ca="1" si="6"/>
        <v>#N/A</v>
      </c>
      <c r="K71" s="18" t="e">
        <f t="shared" ca="1" si="5"/>
        <v>#N/A</v>
      </c>
      <c r="L71" t="e">
        <f ca="1">IF(J71,Charms!B71,"")</f>
        <v>#N/A</v>
      </c>
      <c r="M71" t="str">
        <f t="shared" ca="1" si="7"/>
        <v>-</v>
      </c>
      <c r="N71" s="18" t="str">
        <f t="shared" si="8"/>
        <v>K54:L103</v>
      </c>
      <c r="O71" t="str">
        <f t="shared" si="9"/>
        <v>A54:A71</v>
      </c>
    </row>
    <row r="72" spans="1:15">
      <c r="A72" s="18" t="str">
        <f>Charms!K72</f>
        <v>Athletics</v>
      </c>
      <c r="B72" t="str">
        <f>Charms!B72</f>
        <v>Thunder's Might</v>
      </c>
      <c r="C72" t="b">
        <f ca="1">OR(Values!$S$98&gt;=Charms!M72,IFERROR(Charms!J72=OFFSET(Values!$A$24,MATCH("S",Values!$T$25:$T$50,0),0),FALSE))</f>
        <v>0</v>
      </c>
      <c r="D72" t="b">
        <f>VLOOKUP(Charms!J72,Values!$A$11:$S$59,19,0)&gt;=Charms!L72</f>
        <v>0</v>
      </c>
      <c r="E72" t="e">
        <f>OR(ISBLANK(Charms!I72),(VLOOKUP(Values!$S$6,Castes!$B$2:$F$25,4,0)=Charms!I72))</f>
        <v>#N/A</v>
      </c>
      <c r="J72" t="e">
        <f t="shared" ca="1" si="6"/>
        <v>#N/A</v>
      </c>
      <c r="K72" s="18" t="e">
        <f t="shared" ca="1" si="5"/>
        <v>#N/A</v>
      </c>
      <c r="L72" t="e">
        <f ca="1">IF(J72,Charms!B72,"")</f>
        <v>#N/A</v>
      </c>
      <c r="M72" t="str">
        <f t="shared" ca="1" si="7"/>
        <v>-</v>
      </c>
      <c r="N72" s="18" t="str">
        <f t="shared" si="8"/>
        <v>K54:L103</v>
      </c>
      <c r="O72" t="str">
        <f t="shared" si="9"/>
        <v>A54:A72</v>
      </c>
    </row>
    <row r="73" spans="1:15">
      <c r="A73" s="18" t="str">
        <f>Charms!K73</f>
        <v>Athletics</v>
      </c>
      <c r="B73" t="str">
        <f>Charms!B73</f>
        <v>Mountain-Crossing Leap Technique</v>
      </c>
      <c r="C73" t="b">
        <f ca="1">OR(Values!$S$98&gt;=Charms!M73,IFERROR(Charms!J73=OFFSET(Values!$A$24,MATCH("S",Values!$T$25:$T$50,0),0),FALSE))</f>
        <v>0</v>
      </c>
      <c r="D73" t="b">
        <f>VLOOKUP(Charms!J73,Values!$A$11:$S$59,19,0)&gt;=Charms!L73</f>
        <v>0</v>
      </c>
      <c r="E73" t="e">
        <f>OR(ISBLANK(Charms!I73),(VLOOKUP(Values!$S$6,Castes!$B$2:$F$25,4,0)=Charms!I73))</f>
        <v>#N/A</v>
      </c>
      <c r="J73" t="e">
        <f t="shared" ca="1" si="6"/>
        <v>#N/A</v>
      </c>
      <c r="K73" s="18" t="e">
        <f t="shared" ca="1" si="5"/>
        <v>#N/A</v>
      </c>
      <c r="L73" t="e">
        <f ca="1">IF(J73,Charms!B73,"")</f>
        <v>#N/A</v>
      </c>
      <c r="M73" t="str">
        <f t="shared" ca="1" si="7"/>
        <v>-</v>
      </c>
      <c r="N73" s="18" t="str">
        <f t="shared" si="8"/>
        <v>K54:L103</v>
      </c>
      <c r="O73" t="str">
        <f t="shared" si="9"/>
        <v>A54:A73</v>
      </c>
    </row>
    <row r="74" spans="1:15">
      <c r="A74" s="18" t="str">
        <f>Charms!K74</f>
        <v>Athletics</v>
      </c>
      <c r="B74" t="str">
        <f>Charms!B74</f>
        <v>Eagle-Wing Style</v>
      </c>
      <c r="C74" t="b">
        <f ca="1">OR(Values!$S$98&gt;=Charms!M74,IFERROR(Charms!J74=OFFSET(Values!$A$24,MATCH("S",Values!$T$25:$T$50,0),0),FALSE))</f>
        <v>0</v>
      </c>
      <c r="D74" t="b">
        <f>VLOOKUP(Charms!J74,Values!$A$11:$S$59,19,0)&gt;=Charms!L74</f>
        <v>0</v>
      </c>
      <c r="E74" t="e">
        <f>OR(ISBLANK(Charms!I74),(VLOOKUP(Values!$S$6,Castes!$B$2:$F$25,4,0)=Charms!I74))</f>
        <v>#N/A</v>
      </c>
      <c r="J74" t="e">
        <f t="shared" ca="1" si="6"/>
        <v>#N/A</v>
      </c>
      <c r="K74" s="18" t="e">
        <f t="shared" ca="1" si="5"/>
        <v>#N/A</v>
      </c>
      <c r="L74" t="e">
        <f ca="1">IF(J74,Charms!B74,"")</f>
        <v>#N/A</v>
      </c>
      <c r="M74" t="str">
        <f t="shared" ca="1" si="7"/>
        <v>-</v>
      </c>
      <c r="N74" s="18" t="str">
        <f t="shared" si="8"/>
        <v>K54:L103</v>
      </c>
      <c r="O74" t="str">
        <f t="shared" si="9"/>
        <v>A54:A74</v>
      </c>
    </row>
    <row r="75" spans="1:15">
      <c r="A75" s="18" t="str">
        <f>Charms!K75</f>
        <v>Athletics</v>
      </c>
      <c r="B75" t="str">
        <f>Charms!B75</f>
        <v>Demon-Wasting Rush</v>
      </c>
      <c r="C75" t="b">
        <f ca="1">OR(Values!$S$98&gt;=Charms!M75,IFERROR(Charms!J75=OFFSET(Values!$A$24,MATCH("S",Values!$T$25:$T$50,0),0),FALSE))</f>
        <v>0</v>
      </c>
      <c r="D75" t="b">
        <f>VLOOKUP(Charms!J75,Values!$A$11:$S$59,19,0)&gt;=Charms!L75</f>
        <v>0</v>
      </c>
      <c r="E75" t="e">
        <f>OR(ISBLANK(Charms!I75),(VLOOKUP(Values!$S$6,Castes!$B$2:$F$25,4,0)=Charms!I75))</f>
        <v>#N/A</v>
      </c>
      <c r="J75" t="e">
        <f t="shared" ca="1" si="6"/>
        <v>#N/A</v>
      </c>
      <c r="K75" s="18" t="e">
        <f t="shared" ca="1" si="5"/>
        <v>#N/A</v>
      </c>
      <c r="L75" t="e">
        <f ca="1">IF(J75,Charms!B75,"")</f>
        <v>#N/A</v>
      </c>
      <c r="M75" t="str">
        <f t="shared" ca="1" si="7"/>
        <v>-</v>
      </c>
      <c r="N75" s="18" t="str">
        <f t="shared" si="8"/>
        <v>K54:L103</v>
      </c>
      <c r="O75" t="str">
        <f t="shared" si="9"/>
        <v>A54:A75</v>
      </c>
    </row>
    <row r="76" spans="1:15">
      <c r="A76" s="18" t="str">
        <f>Charms!K76</f>
        <v>Athletics</v>
      </c>
      <c r="B76" t="str">
        <f>Charms!B76</f>
        <v>Hurricane Spirit Speed</v>
      </c>
      <c r="C76" t="b">
        <f ca="1">OR(Values!$S$98&gt;=Charms!M76,IFERROR(Charms!J76=OFFSET(Values!$A$24,MATCH("S",Values!$T$25:$T$50,0),0),FALSE))</f>
        <v>0</v>
      </c>
      <c r="D76" t="b">
        <f>VLOOKUP(Charms!J76,Values!$A$11:$S$59,19,0)&gt;=Charms!L76</f>
        <v>0</v>
      </c>
      <c r="E76" t="e">
        <f>OR(ISBLANK(Charms!I76),(VLOOKUP(Values!$S$6,Castes!$B$2:$F$25,4,0)=Charms!I76))</f>
        <v>#N/A</v>
      </c>
      <c r="J76" t="e">
        <f t="shared" ca="1" si="6"/>
        <v>#N/A</v>
      </c>
      <c r="K76" s="18" t="e">
        <f t="shared" ca="1" si="5"/>
        <v>#N/A</v>
      </c>
      <c r="L76" t="e">
        <f ca="1">IF(J76,Charms!B76,"")</f>
        <v>#N/A</v>
      </c>
      <c r="M76" t="str">
        <f t="shared" ca="1" si="7"/>
        <v>-</v>
      </c>
      <c r="N76" s="18" t="str">
        <f t="shared" si="8"/>
        <v>K54:L103</v>
      </c>
      <c r="O76" t="str">
        <f t="shared" si="9"/>
        <v>A54:A76</v>
      </c>
    </row>
    <row r="77" spans="1:15">
      <c r="A77" s="18" t="str">
        <f>Charms!K77</f>
        <v>Athletics</v>
      </c>
      <c r="B77" t="str">
        <f>Charms!B77</f>
        <v>Godspeed Steps</v>
      </c>
      <c r="C77" t="b">
        <f ca="1">OR(Values!$S$98&gt;=Charms!M77,IFERROR(Charms!J77=OFFSET(Values!$A$24,MATCH("S",Values!$T$25:$T$50,0),0),FALSE))</f>
        <v>0</v>
      </c>
      <c r="D77" t="b">
        <f>VLOOKUP(Charms!J77,Values!$A$11:$S$59,19,0)&gt;=Charms!L77</f>
        <v>0</v>
      </c>
      <c r="E77" t="e">
        <f>OR(ISBLANK(Charms!I77),(VLOOKUP(Values!$S$6,Castes!$B$2:$F$25,4,0)=Charms!I77))</f>
        <v>#N/A</v>
      </c>
      <c r="J77" t="e">
        <f t="shared" ca="1" si="6"/>
        <v>#N/A</v>
      </c>
      <c r="K77" s="18" t="e">
        <f t="shared" ca="1" si="5"/>
        <v>#N/A</v>
      </c>
      <c r="L77" t="e">
        <f ca="1">IF(J77,Charms!B77,"")</f>
        <v>#N/A</v>
      </c>
      <c r="M77" t="str">
        <f t="shared" ca="1" si="7"/>
        <v>-</v>
      </c>
      <c r="N77" s="18" t="str">
        <f t="shared" si="8"/>
        <v>K54:L103</v>
      </c>
      <c r="O77" t="str">
        <f t="shared" si="9"/>
        <v>A54:A77</v>
      </c>
    </row>
    <row r="78" spans="1:15">
      <c r="A78" s="18" t="str">
        <f>Charms!K78</f>
        <v>Athletics</v>
      </c>
      <c r="B78" t="str">
        <f>Charms!B78</f>
        <v>Power Suffusing Form Technique</v>
      </c>
      <c r="C78" t="b">
        <f ca="1">OR(Values!$S$98&gt;=Charms!M78,IFERROR(Charms!J78=OFFSET(Values!$A$24,MATCH("S",Values!$T$25:$T$50,0),0),FALSE))</f>
        <v>0</v>
      </c>
      <c r="D78" t="b">
        <f>VLOOKUP(Charms!J78,Values!$A$11:$S$59,19,0)&gt;=Charms!L78</f>
        <v>0</v>
      </c>
      <c r="E78" t="e">
        <f>OR(ISBLANK(Charms!I78),(VLOOKUP(Values!$S$6,Castes!$B$2:$F$25,4,0)=Charms!I78))</f>
        <v>#N/A</v>
      </c>
      <c r="J78" t="e">
        <f t="shared" ca="1" si="6"/>
        <v>#N/A</v>
      </c>
      <c r="K78" s="18" t="e">
        <f t="shared" ca="1" si="5"/>
        <v>#N/A</v>
      </c>
      <c r="L78" t="e">
        <f ca="1">IF(J78,Charms!B78,"")</f>
        <v>#N/A</v>
      </c>
      <c r="M78" t="str">
        <f t="shared" ca="1" si="7"/>
        <v>-</v>
      </c>
      <c r="N78" s="18" t="str">
        <f t="shared" si="8"/>
        <v>K54:L103</v>
      </c>
      <c r="O78" t="str">
        <f t="shared" si="9"/>
        <v>A54:A78</v>
      </c>
    </row>
    <row r="79" spans="1:15">
      <c r="A79" s="18" t="str">
        <f>Charms!K79</f>
        <v>Athletics</v>
      </c>
      <c r="B79" t="str">
        <f>Charms!B79</f>
        <v>Legion Aurochs Method</v>
      </c>
      <c r="C79" t="b">
        <f ca="1">OR(Values!$S$98&gt;=Charms!M79,IFERROR(Charms!J79=OFFSET(Values!$A$24,MATCH("S",Values!$T$25:$T$50,0),0),FALSE))</f>
        <v>0</v>
      </c>
      <c r="D79" t="b">
        <f>VLOOKUP(Charms!J79,Values!$A$11:$S$59,19,0)&gt;=Charms!L79</f>
        <v>0</v>
      </c>
      <c r="E79" t="e">
        <f>OR(ISBLANK(Charms!I79),(VLOOKUP(Values!$S$6,Castes!$B$2:$F$25,4,0)=Charms!I79))</f>
        <v>#N/A</v>
      </c>
      <c r="J79" t="e">
        <f t="shared" ca="1" si="6"/>
        <v>#N/A</v>
      </c>
      <c r="K79" s="18" t="e">
        <f t="shared" ca="1" si="5"/>
        <v>#N/A</v>
      </c>
      <c r="L79" t="e">
        <f ca="1">IF(J79,Charms!B79,"")</f>
        <v>#N/A</v>
      </c>
      <c r="M79" t="str">
        <f t="shared" ca="1" si="7"/>
        <v>-</v>
      </c>
      <c r="N79" s="18" t="str">
        <f t="shared" si="8"/>
        <v>K54:L103</v>
      </c>
      <c r="O79" t="str">
        <f t="shared" si="9"/>
        <v>A54:A79</v>
      </c>
    </row>
    <row r="80" spans="1:15">
      <c r="A80" s="18" t="str">
        <f>Charms!K80</f>
        <v>Athletics</v>
      </c>
      <c r="B80" t="str">
        <f>Charms!B80</f>
        <v>Triumph-Forged God-Body</v>
      </c>
      <c r="C80" t="b">
        <f ca="1">OR(Values!$S$98&gt;=Charms!M80,IFERROR(Charms!J80=OFFSET(Values!$A$24,MATCH("S",Values!$T$25:$T$50,0),0),FALSE))</f>
        <v>0</v>
      </c>
      <c r="D80" t="b">
        <f>VLOOKUP(Charms!J80,Values!$A$11:$S$59,19,0)&gt;=Charms!L80</f>
        <v>0</v>
      </c>
      <c r="E80" t="e">
        <f>OR(ISBLANK(Charms!I80),(VLOOKUP(Values!$S$6,Castes!$B$2:$F$25,4,0)=Charms!I80))</f>
        <v>#N/A</v>
      </c>
      <c r="J80" t="e">
        <f t="shared" ca="1" si="6"/>
        <v>#N/A</v>
      </c>
      <c r="K80" s="18" t="e">
        <f t="shared" ca="1" si="5"/>
        <v>#N/A</v>
      </c>
      <c r="L80" t="e">
        <f ca="1">IF(J80,Charms!B80,"")</f>
        <v>#N/A</v>
      </c>
      <c r="M80" t="str">
        <f t="shared" ca="1" si="7"/>
        <v>-</v>
      </c>
      <c r="N80" s="18" t="str">
        <f t="shared" si="8"/>
        <v>K54:L103</v>
      </c>
      <c r="O80" t="str">
        <f t="shared" si="9"/>
        <v>A54:A80</v>
      </c>
    </row>
    <row r="81" spans="1:15">
      <c r="A81" s="18" t="str">
        <f>Charms!K81</f>
        <v>Athletics</v>
      </c>
      <c r="B81" t="str">
        <f>Charms!B81</f>
        <v>One Extra Step</v>
      </c>
      <c r="C81" t="b">
        <f ca="1">OR(Values!$S$98&gt;=Charms!M81,IFERROR(Charms!J81=OFFSET(Values!$A$24,MATCH("S",Values!$T$25:$T$50,0),0),FALSE))</f>
        <v>0</v>
      </c>
      <c r="D81" t="b">
        <f>VLOOKUP(Charms!J81,Values!$A$11:$S$59,19,0)&gt;=Charms!L81</f>
        <v>0</v>
      </c>
      <c r="E81" t="e">
        <f>OR(ISBLANK(Charms!I81),(VLOOKUP(Values!$S$6,Castes!$B$2:$F$25,4,0)=Charms!I81))</f>
        <v>#N/A</v>
      </c>
      <c r="J81" t="e">
        <f t="shared" ca="1" si="6"/>
        <v>#N/A</v>
      </c>
      <c r="K81" s="18" t="e">
        <f t="shared" ca="1" si="5"/>
        <v>#N/A</v>
      </c>
      <c r="L81" t="e">
        <f ca="1">IF(J81,Charms!B81,"")</f>
        <v>#N/A</v>
      </c>
      <c r="M81" t="str">
        <f t="shared" ca="1" si="7"/>
        <v>-</v>
      </c>
      <c r="N81" s="18" t="str">
        <f t="shared" si="8"/>
        <v>K54:L103</v>
      </c>
      <c r="O81" t="str">
        <f t="shared" si="9"/>
        <v>A54:A81</v>
      </c>
    </row>
    <row r="82" spans="1:15">
      <c r="A82" s="18" t="str">
        <f>Charms!K82</f>
        <v>Athletics</v>
      </c>
      <c r="B82" t="str">
        <f>Charms!B82</f>
        <v>Bonfire Anima Wings</v>
      </c>
      <c r="C82" t="b">
        <f ca="1">OR(Values!$S$98&gt;=Charms!M82,IFERROR(Charms!J82=OFFSET(Values!$A$24,MATCH("S",Values!$T$25:$T$50,0),0),FALSE))</f>
        <v>0</v>
      </c>
      <c r="D82" t="b">
        <f>VLOOKUP(Charms!J82,Values!$A$11:$S$59,19,0)&gt;=Charms!L82</f>
        <v>0</v>
      </c>
      <c r="E82" t="e">
        <f>OR(ISBLANK(Charms!I82),(VLOOKUP(Values!$S$6,Castes!$B$2:$F$25,4,0)=Charms!I82))</f>
        <v>#N/A</v>
      </c>
      <c r="J82" t="e">
        <f t="shared" ca="1" si="6"/>
        <v>#N/A</v>
      </c>
      <c r="K82" s="18" t="e">
        <f t="shared" ca="1" si="5"/>
        <v>#N/A</v>
      </c>
      <c r="L82" t="e">
        <f ca="1">IF(J82,Charms!B82,"")</f>
        <v>#N/A</v>
      </c>
      <c r="M82" t="str">
        <f t="shared" ca="1" si="7"/>
        <v>-</v>
      </c>
      <c r="N82" s="18" t="str">
        <f t="shared" si="8"/>
        <v>K54:L103</v>
      </c>
      <c r="O82" t="str">
        <f t="shared" si="9"/>
        <v>A54:A82</v>
      </c>
    </row>
    <row r="83" spans="1:15">
      <c r="A83" s="18" t="str">
        <f>Charms!K83</f>
        <v>Athletics</v>
      </c>
      <c r="B83" t="str">
        <f>Charms!B83</f>
        <v>Aegis of Unstoppable Force</v>
      </c>
      <c r="C83" t="b">
        <f ca="1">OR(Values!$S$98&gt;=Charms!M83,IFERROR(Charms!J83=OFFSET(Values!$A$24,MATCH("S",Values!$T$25:$T$50,0),0),FALSE))</f>
        <v>0</v>
      </c>
      <c r="D83" t="b">
        <f>VLOOKUP(Charms!J83,Values!$A$11:$S$59,19,0)&gt;=Charms!L83</f>
        <v>0</v>
      </c>
      <c r="E83" t="e">
        <f>OR(ISBLANK(Charms!I83),(VLOOKUP(Values!$S$6,Castes!$B$2:$F$25,4,0)=Charms!I83))</f>
        <v>#N/A</v>
      </c>
      <c r="J83" t="e">
        <f t="shared" ca="1" si="6"/>
        <v>#N/A</v>
      </c>
      <c r="K83" s="18" t="e">
        <f t="shared" ca="1" si="5"/>
        <v>#N/A</v>
      </c>
      <c r="L83" t="e">
        <f ca="1">IF(J83,Charms!B83,"")</f>
        <v>#N/A</v>
      </c>
      <c r="M83" t="str">
        <f t="shared" ca="1" si="7"/>
        <v>-</v>
      </c>
      <c r="N83" s="18" t="str">
        <f t="shared" si="8"/>
        <v>K54:L103</v>
      </c>
      <c r="O83" t="str">
        <f t="shared" si="9"/>
        <v>A54:A83</v>
      </c>
    </row>
    <row r="84" spans="1:15">
      <c r="A84" s="18" t="str">
        <f>Charms!K84</f>
        <v>Athletics</v>
      </c>
      <c r="B84" t="str">
        <f>Charms!B84</f>
        <v>Living Wind Approach</v>
      </c>
      <c r="C84" t="b">
        <f ca="1">OR(Values!$S$98&gt;=Charms!M84,IFERROR(Charms!J84=OFFSET(Values!$A$24,MATCH("S",Values!$T$25:$T$50,0),0),FALSE))</f>
        <v>0</v>
      </c>
      <c r="D84" t="b">
        <f>VLOOKUP(Charms!J84,Values!$A$11:$S$59,19,0)&gt;=Charms!L84</f>
        <v>0</v>
      </c>
      <c r="E84" t="e">
        <f>OR(ISBLANK(Charms!I84),(VLOOKUP(Values!$S$6,Castes!$B$2:$F$25,4,0)=Charms!I84))</f>
        <v>#N/A</v>
      </c>
      <c r="J84" t="e">
        <f t="shared" ca="1" si="6"/>
        <v>#N/A</v>
      </c>
      <c r="K84" s="18" t="e">
        <f t="shared" ca="1" si="5"/>
        <v>#N/A</v>
      </c>
      <c r="L84" t="e">
        <f ca="1">IF(J84,Charms!B84,"")</f>
        <v>#N/A</v>
      </c>
      <c r="M84" t="str">
        <f t="shared" ca="1" si="7"/>
        <v>-</v>
      </c>
      <c r="N84" s="18" t="str">
        <f t="shared" si="8"/>
        <v>K54:L103</v>
      </c>
      <c r="O84" t="str">
        <f t="shared" si="9"/>
        <v>A54:A84</v>
      </c>
    </row>
    <row r="85" spans="1:15">
      <c r="A85" s="18" t="str">
        <f>Charms!K85</f>
        <v>Athletics</v>
      </c>
      <c r="B85" t="str">
        <f>Charms!B85</f>
        <v>Nine Aeons Thew</v>
      </c>
      <c r="C85" t="b">
        <f ca="1">OR(Values!$S$98&gt;=Charms!M85,IFERROR(Charms!J85=OFFSET(Values!$A$24,MATCH("S",Values!$T$25:$T$50,0),0),FALSE))</f>
        <v>0</v>
      </c>
      <c r="D85" t="b">
        <f>VLOOKUP(Charms!J85,Values!$A$11:$S$59,19,0)&gt;=Charms!L85</f>
        <v>0</v>
      </c>
      <c r="E85" t="e">
        <f>OR(ISBLANK(Charms!I85),(VLOOKUP(Values!$S$6,Castes!$B$2:$F$25,4,0)=Charms!I85))</f>
        <v>#N/A</v>
      </c>
      <c r="J85" t="e">
        <f t="shared" ca="1" si="6"/>
        <v>#N/A</v>
      </c>
      <c r="K85" s="18" t="e">
        <f t="shared" ca="1" si="5"/>
        <v>#N/A</v>
      </c>
      <c r="L85" t="e">
        <f ca="1">IF(J85,Charms!B85,"")</f>
        <v>#N/A</v>
      </c>
      <c r="M85" t="str">
        <f t="shared" ca="1" si="7"/>
        <v>-</v>
      </c>
      <c r="N85" s="18" t="str">
        <f t="shared" si="8"/>
        <v>K54:L103</v>
      </c>
      <c r="O85" t="str">
        <f t="shared" si="9"/>
        <v>A54:A85</v>
      </c>
    </row>
    <row r="86" spans="1:15">
      <c r="A86" s="18" t="str">
        <f>Charms!K86</f>
        <v>Athletics</v>
      </c>
      <c r="B86" t="str">
        <f>Charms!B86</f>
        <v>Faster than Self Technique</v>
      </c>
      <c r="C86" t="b">
        <f ca="1">OR(Values!$S$98&gt;=Charms!M86,IFERROR(Charms!J86=OFFSET(Values!$A$24,MATCH("S",Values!$T$25:$T$50,0),0),FALSE))</f>
        <v>0</v>
      </c>
      <c r="D86" t="b">
        <f>VLOOKUP(Charms!J86,Values!$A$11:$S$59,19,0)&gt;=Charms!L86</f>
        <v>0</v>
      </c>
      <c r="E86" t="e">
        <f>OR(ISBLANK(Charms!I86),(VLOOKUP(Values!$S$6,Castes!$B$2:$F$25,4,0)=Charms!I86))</f>
        <v>#N/A</v>
      </c>
      <c r="J86" t="e">
        <f t="shared" ca="1" si="6"/>
        <v>#N/A</v>
      </c>
      <c r="K86" s="18" t="e">
        <f t="shared" ca="1" si="5"/>
        <v>#N/A</v>
      </c>
      <c r="L86" t="e">
        <f ca="1">IF(J86,Charms!B86,"")</f>
        <v>#N/A</v>
      </c>
      <c r="M86" t="str">
        <f t="shared" ca="1" si="7"/>
        <v>-</v>
      </c>
      <c r="N86" s="18" t="str">
        <f t="shared" si="8"/>
        <v>K54:L103</v>
      </c>
      <c r="O86" t="str">
        <f t="shared" si="9"/>
        <v>A54:A86</v>
      </c>
    </row>
    <row r="87" spans="1:15">
      <c r="A87" s="18" t="str">
        <f>Charms!K87</f>
        <v>Athletics</v>
      </c>
      <c r="B87" t="str">
        <f>Charms!B87</f>
        <v>Effortlessly Rising Flame</v>
      </c>
      <c r="C87" t="b">
        <f ca="1">OR(Values!$S$98&gt;=Charms!M87,IFERROR(Charms!J87=OFFSET(Values!$A$24,MATCH("S",Values!$T$25:$T$50,0),0),FALSE))</f>
        <v>1</v>
      </c>
      <c r="D87" t="b">
        <f>VLOOKUP(Charms!J87,Values!$A$11:$S$59,19,0)&gt;=Charms!L87</f>
        <v>0</v>
      </c>
      <c r="E87" t="e">
        <f>OR(ISBLANK(Charms!I87),(VLOOKUP(Values!$S$6,Castes!$B$2:$F$25,4,0)=Charms!I87))</f>
        <v>#N/A</v>
      </c>
      <c r="J87" t="e">
        <f t="shared" ca="1" si="6"/>
        <v>#N/A</v>
      </c>
      <c r="K87" s="18" t="e">
        <f t="shared" ca="1" si="5"/>
        <v>#N/A</v>
      </c>
      <c r="L87" t="e">
        <f ca="1">IF(J87,Charms!B87,"")</f>
        <v>#N/A</v>
      </c>
      <c r="M87" t="str">
        <f t="shared" ca="1" si="7"/>
        <v>-</v>
      </c>
      <c r="N87" s="18" t="str">
        <f t="shared" si="8"/>
        <v>K54:L103</v>
      </c>
      <c r="O87" t="str">
        <f t="shared" si="9"/>
        <v>A54:A87</v>
      </c>
    </row>
    <row r="88" spans="1:15">
      <c r="A88" s="18" t="str">
        <f>Charms!K88</f>
        <v>Athletics</v>
      </c>
      <c r="B88" t="str">
        <f>Charms!B88</f>
        <v>Perfect Climbing Attitude</v>
      </c>
      <c r="C88" t="b">
        <f ca="1">OR(Values!$S$98&gt;=Charms!M88,IFERROR(Charms!J88=OFFSET(Values!$A$24,MATCH("S",Values!$T$25:$T$50,0),0),FALSE))</f>
        <v>1</v>
      </c>
      <c r="D88" t="b">
        <f>VLOOKUP(Charms!J88,Values!$A$11:$S$59,19,0)&gt;=Charms!L88</f>
        <v>0</v>
      </c>
      <c r="E88" t="e">
        <f>OR(ISBLANK(Charms!I88),(VLOOKUP(Values!$S$6,Castes!$B$2:$F$25,4,0)=Charms!I88))</f>
        <v>#N/A</v>
      </c>
      <c r="J88" t="e">
        <f t="shared" ca="1" si="6"/>
        <v>#N/A</v>
      </c>
      <c r="K88" s="18" t="e">
        <f t="shared" ca="1" si="5"/>
        <v>#N/A</v>
      </c>
      <c r="L88" t="e">
        <f ca="1">IF(J88,Charms!B88,"")</f>
        <v>#N/A</v>
      </c>
      <c r="M88" t="str">
        <f t="shared" ca="1" si="7"/>
        <v>-</v>
      </c>
      <c r="N88" s="18" t="str">
        <f t="shared" si="8"/>
        <v>K54:L103</v>
      </c>
      <c r="O88" t="str">
        <f t="shared" si="9"/>
        <v>A54:A88</v>
      </c>
    </row>
    <row r="89" spans="1:15">
      <c r="A89" s="18" t="str">
        <f>Charms!K89</f>
        <v>Athletics</v>
      </c>
      <c r="B89" t="str">
        <f>Charms!B89</f>
        <v>Bellows-Pumping Stride</v>
      </c>
      <c r="C89" t="b">
        <f ca="1">OR(Values!$S$98&gt;=Charms!M89,IFERROR(Charms!J89=OFFSET(Values!$A$24,MATCH("S",Values!$T$25:$T$50,0),0),FALSE))</f>
        <v>1</v>
      </c>
      <c r="D89" t="b">
        <f>VLOOKUP(Charms!J89,Values!$A$11:$S$59,19,0)&gt;=Charms!L89</f>
        <v>0</v>
      </c>
      <c r="E89" t="e">
        <f>OR(ISBLANK(Charms!I89),(VLOOKUP(Values!$S$6,Castes!$B$2:$F$25,4,0)=Charms!I89))</f>
        <v>#N/A</v>
      </c>
      <c r="J89" t="e">
        <f t="shared" ca="1" si="6"/>
        <v>#N/A</v>
      </c>
      <c r="K89" s="18" t="e">
        <f t="shared" ca="1" si="5"/>
        <v>#N/A</v>
      </c>
      <c r="L89" t="e">
        <f ca="1">IF(J89,Charms!B89,"")</f>
        <v>#N/A</v>
      </c>
      <c r="M89" t="str">
        <f t="shared" ca="1" si="7"/>
        <v>-</v>
      </c>
      <c r="N89" s="18" t="str">
        <f t="shared" si="8"/>
        <v>K54:L103</v>
      </c>
      <c r="O89" t="str">
        <f t="shared" si="9"/>
        <v>A54:A89</v>
      </c>
    </row>
    <row r="90" spans="1:15">
      <c r="A90" s="18" t="str">
        <f>Charms!K90</f>
        <v>Athletics</v>
      </c>
      <c r="B90" t="str">
        <f>Charms!B90</f>
        <v>Verdant Dragon’s Footsteps</v>
      </c>
      <c r="C90" t="b">
        <f ca="1">OR(Values!$S$98&gt;=Charms!M90,IFERROR(Charms!J90=OFFSET(Values!$A$24,MATCH("S",Values!$T$25:$T$50,0),0),FALSE))</f>
        <v>1</v>
      </c>
      <c r="D90" t="b">
        <f>VLOOKUP(Charms!J90,Values!$A$11:$S$59,19,0)&gt;=Charms!L90</f>
        <v>0</v>
      </c>
      <c r="E90" t="e">
        <f>OR(ISBLANK(Charms!I90),(VLOOKUP(Values!$S$6,Castes!$B$2:$F$25,4,0)=Charms!I90))</f>
        <v>#N/A</v>
      </c>
      <c r="J90" t="e">
        <f t="shared" ca="1" si="6"/>
        <v>#N/A</v>
      </c>
      <c r="K90" s="18" t="e">
        <f t="shared" ca="1" si="5"/>
        <v>#N/A</v>
      </c>
      <c r="L90" t="e">
        <f ca="1">IF(J90,Charms!B90,"")</f>
        <v>#N/A</v>
      </c>
      <c r="M90" t="str">
        <f t="shared" ca="1" si="7"/>
        <v>-</v>
      </c>
      <c r="N90" s="18" t="str">
        <f t="shared" si="8"/>
        <v>K54:L103</v>
      </c>
      <c r="O90" t="str">
        <f t="shared" si="9"/>
        <v>A54:A90</v>
      </c>
    </row>
    <row r="91" spans="1:15">
      <c r="A91" s="18" t="str">
        <f>Charms!K91</f>
        <v>Athletics</v>
      </c>
      <c r="B91" t="str">
        <f>Charms!B91</f>
        <v>Soaring Leap Technique</v>
      </c>
      <c r="C91" t="b">
        <f ca="1">OR(Values!$S$98&gt;=Charms!M91,IFERROR(Charms!J91=OFFSET(Values!$A$24,MATCH("S",Values!$T$25:$T$50,0),0),FALSE))</f>
        <v>1</v>
      </c>
      <c r="D91" t="b">
        <f>VLOOKUP(Charms!J91,Values!$A$11:$S$59,19,0)&gt;=Charms!L91</f>
        <v>0</v>
      </c>
      <c r="E91" t="e">
        <f>OR(ISBLANK(Charms!I91),(VLOOKUP(Values!$S$6,Castes!$B$2:$F$25,4,0)=Charms!I91))</f>
        <v>#N/A</v>
      </c>
      <c r="J91" t="e">
        <f t="shared" ca="1" si="6"/>
        <v>#N/A</v>
      </c>
      <c r="K91" s="18" t="e">
        <f t="shared" ca="1" si="5"/>
        <v>#N/A</v>
      </c>
      <c r="L91" t="e">
        <f ca="1">IF(J91,Charms!B91,"")</f>
        <v>#N/A</v>
      </c>
      <c r="M91" t="str">
        <f t="shared" ca="1" si="7"/>
        <v>-</v>
      </c>
      <c r="N91" s="18" t="str">
        <f t="shared" si="8"/>
        <v>K54:L103</v>
      </c>
      <c r="O91" t="str">
        <f t="shared" si="9"/>
        <v>A54:A91</v>
      </c>
    </row>
    <row r="92" spans="1:15">
      <c r="A92" s="18" t="str">
        <f>Charms!K92</f>
        <v>Athletics</v>
      </c>
      <c r="B92" t="str">
        <f>Charms!B92</f>
        <v>Strength of Stone Technique</v>
      </c>
      <c r="C92" t="b">
        <f ca="1">OR(Values!$S$98&gt;=Charms!M92,IFERROR(Charms!J92=OFFSET(Values!$A$24,MATCH("S",Values!$T$25:$T$50,0),0),FALSE))</f>
        <v>1</v>
      </c>
      <c r="D92" t="b">
        <f>VLOOKUP(Charms!J92,Values!$A$11:$S$59,19,0)&gt;=Charms!L92</f>
        <v>0</v>
      </c>
      <c r="E92" t="e">
        <f>OR(ISBLANK(Charms!I92),(VLOOKUP(Values!$S$6,Castes!$B$2:$F$25,4,0)=Charms!I92))</f>
        <v>#N/A</v>
      </c>
      <c r="J92" t="e">
        <f t="shared" ca="1" si="6"/>
        <v>#N/A</v>
      </c>
      <c r="K92" s="18" t="e">
        <f t="shared" ca="1" si="5"/>
        <v>#N/A</v>
      </c>
      <c r="L92" t="e">
        <f ca="1">IF(J92,Charms!B92,"")</f>
        <v>#N/A</v>
      </c>
      <c r="M92" t="str">
        <f t="shared" ca="1" si="7"/>
        <v>-</v>
      </c>
      <c r="N92" s="18" t="str">
        <f t="shared" si="8"/>
        <v>K54:L103</v>
      </c>
      <c r="O92" t="str">
        <f t="shared" si="9"/>
        <v>A54:A92</v>
      </c>
    </row>
    <row r="93" spans="1:15">
      <c r="A93" s="18" t="str">
        <f>Charms!K93</f>
        <v>Athletics</v>
      </c>
      <c r="B93" t="str">
        <f>Charms!B93</f>
        <v>Incense Smoke Ladder</v>
      </c>
      <c r="C93" t="b">
        <f ca="1">OR(Values!$S$98&gt;=Charms!M93,IFERROR(Charms!J93=OFFSET(Values!$A$24,MATCH("S",Values!$T$25:$T$50,0),0),FALSE))</f>
        <v>0</v>
      </c>
      <c r="D93" t="b">
        <f>VLOOKUP(Charms!J93,Values!$A$11:$S$59,19,0)&gt;=Charms!L93</f>
        <v>0</v>
      </c>
      <c r="E93" t="e">
        <f>OR(ISBLANK(Charms!I93),(VLOOKUP(Values!$S$6,Castes!$B$2:$F$25,4,0)=Charms!I93))</f>
        <v>#N/A</v>
      </c>
      <c r="J93" t="e">
        <f t="shared" ca="1" si="6"/>
        <v>#N/A</v>
      </c>
      <c r="K93" s="18" t="e">
        <f t="shared" ca="1" si="5"/>
        <v>#N/A</v>
      </c>
      <c r="L93" t="e">
        <f ca="1">IF(J93,Charms!B93,"")</f>
        <v>#N/A</v>
      </c>
      <c r="M93" t="str">
        <f t="shared" ca="1" si="7"/>
        <v>-</v>
      </c>
      <c r="N93" s="18" t="str">
        <f t="shared" si="8"/>
        <v>K54:L103</v>
      </c>
      <c r="O93" t="str">
        <f t="shared" si="9"/>
        <v>A54:A93</v>
      </c>
    </row>
    <row r="94" spans="1:15">
      <c r="A94" s="18" t="str">
        <f>Charms!K94</f>
        <v>Athletics</v>
      </c>
      <c r="B94" t="str">
        <f>Charms!B94</f>
        <v>Grandmother Oak Exertion</v>
      </c>
      <c r="C94" t="b">
        <f ca="1">OR(Values!$S$98&gt;=Charms!M94,IFERROR(Charms!J94=OFFSET(Values!$A$24,MATCH("S",Values!$T$25:$T$50,0),0),FALSE))</f>
        <v>1</v>
      </c>
      <c r="D94" t="b">
        <f>VLOOKUP(Charms!J94,Values!$A$11:$S$59,19,0)&gt;=Charms!L94</f>
        <v>0</v>
      </c>
      <c r="E94" t="e">
        <f>OR(ISBLANK(Charms!I94),(VLOOKUP(Values!$S$6,Castes!$B$2:$F$25,4,0)=Charms!I94))</f>
        <v>#N/A</v>
      </c>
      <c r="J94" t="e">
        <f t="shared" ca="1" si="6"/>
        <v>#N/A</v>
      </c>
      <c r="K94" s="18" t="e">
        <f t="shared" ca="1" si="5"/>
        <v>#N/A</v>
      </c>
      <c r="L94" t="e">
        <f ca="1">IF(J94,Charms!B94,"")</f>
        <v>#N/A</v>
      </c>
      <c r="M94" t="str">
        <f t="shared" ca="1" si="7"/>
        <v>-</v>
      </c>
      <c r="N94" s="18" t="str">
        <f t="shared" si="8"/>
        <v>K54:L103</v>
      </c>
      <c r="O94" t="str">
        <f t="shared" si="9"/>
        <v>A54:A94</v>
      </c>
    </row>
    <row r="95" spans="1:15">
      <c r="A95" s="18" t="str">
        <f>Charms!K95</f>
        <v>Athletics</v>
      </c>
      <c r="B95" t="str">
        <f>Charms!B95</f>
        <v>Mountain-Toppling Might</v>
      </c>
      <c r="C95" t="b">
        <f ca="1">OR(Values!$S$98&gt;=Charms!M95,IFERROR(Charms!J95=OFFSET(Values!$A$24,MATCH("S",Values!$T$25:$T$50,0),0),FALSE))</f>
        <v>0</v>
      </c>
      <c r="D95" t="b">
        <f>VLOOKUP(Charms!J95,Values!$A$11:$S$59,19,0)&gt;=Charms!L95</f>
        <v>0</v>
      </c>
      <c r="E95" t="e">
        <f>OR(ISBLANK(Charms!I95),(VLOOKUP(Values!$S$6,Castes!$B$2:$F$25,4,0)=Charms!I95))</f>
        <v>#N/A</v>
      </c>
      <c r="J95" t="e">
        <f t="shared" ca="1" si="6"/>
        <v>#N/A</v>
      </c>
      <c r="K95" s="18" t="e">
        <f t="shared" ca="1" si="5"/>
        <v>#N/A</v>
      </c>
      <c r="L95" t="e">
        <f ca="1">IF(J95,Charms!B95,"")</f>
        <v>#N/A</v>
      </c>
      <c r="M95" t="str">
        <f t="shared" ca="1" si="7"/>
        <v>-</v>
      </c>
      <c r="N95" s="18" t="str">
        <f t="shared" si="8"/>
        <v>K54:L103</v>
      </c>
      <c r="O95" t="str">
        <f t="shared" si="9"/>
        <v>A54:A95</v>
      </c>
    </row>
    <row r="96" spans="1:15">
      <c r="A96" s="18" t="str">
        <f>Charms!K96</f>
        <v>Athletics</v>
      </c>
      <c r="B96" t="str">
        <f>Charms!B96</f>
        <v>Soaring Zephyr Flight</v>
      </c>
      <c r="C96" t="b">
        <f ca="1">OR(Values!$S$98&gt;=Charms!M96,IFERROR(Charms!J96=OFFSET(Values!$A$24,MATCH("S",Values!$T$25:$T$50,0),0),FALSE))</f>
        <v>0</v>
      </c>
      <c r="D96" t="b">
        <f>VLOOKUP(Charms!J96,Values!$A$11:$S$59,19,0)&gt;=Charms!L96</f>
        <v>0</v>
      </c>
      <c r="E96" t="e">
        <f>OR(ISBLANK(Charms!I96),(VLOOKUP(Values!$S$6,Castes!$B$2:$F$25,4,0)=Charms!I96))</f>
        <v>#N/A</v>
      </c>
      <c r="J96" t="e">
        <f t="shared" ca="1" si="6"/>
        <v>#N/A</v>
      </c>
      <c r="K96" s="18" t="e">
        <f t="shared" ca="1" si="5"/>
        <v>#N/A</v>
      </c>
      <c r="L96" t="e">
        <f ca="1">IF(J96,Charms!B96,"")</f>
        <v>#N/A</v>
      </c>
      <c r="M96" t="str">
        <f t="shared" ca="1" si="7"/>
        <v>-</v>
      </c>
      <c r="N96" s="18" t="str">
        <f t="shared" si="8"/>
        <v>K54:L103</v>
      </c>
      <c r="O96" t="str">
        <f t="shared" si="9"/>
        <v>A54:A96</v>
      </c>
    </row>
    <row r="97" spans="1:15">
      <c r="A97" s="18" t="str">
        <f>Charms!K97</f>
        <v>Athletics</v>
      </c>
      <c r="B97" t="str">
        <f>Charms!B97</f>
        <v>Unshakable Mountain Spine</v>
      </c>
      <c r="C97" t="b">
        <f ca="1">OR(Values!$S$98&gt;=Charms!M97,IFERROR(Charms!J97=OFFSET(Values!$A$24,MATCH("S",Values!$T$25:$T$50,0),0),FALSE))</f>
        <v>0</v>
      </c>
      <c r="D97" t="b">
        <f>VLOOKUP(Charms!J97,Values!$A$11:$S$59,19,0)&gt;=Charms!L97</f>
        <v>0</v>
      </c>
      <c r="E97" t="e">
        <f>OR(ISBLANK(Charms!I97),(VLOOKUP(Values!$S$6,Castes!$B$2:$F$25,4,0)=Charms!I97))</f>
        <v>#N/A</v>
      </c>
      <c r="J97" t="e">
        <f t="shared" ca="1" si="6"/>
        <v>#N/A</v>
      </c>
      <c r="K97" s="18" t="e">
        <f t="shared" ca="1" si="5"/>
        <v>#N/A</v>
      </c>
      <c r="L97" t="e">
        <f ca="1">IF(J97,Charms!B97,"")</f>
        <v>#N/A</v>
      </c>
      <c r="M97" t="str">
        <f t="shared" ca="1" si="7"/>
        <v>-</v>
      </c>
      <c r="N97" s="18" t="str">
        <f t="shared" si="8"/>
        <v>K54:L103</v>
      </c>
      <c r="O97" t="str">
        <f t="shared" si="9"/>
        <v>A54:A97</v>
      </c>
    </row>
    <row r="98" spans="1:15">
      <c r="A98" s="18" t="str">
        <f>Charms!K98</f>
        <v>Athletics</v>
      </c>
      <c r="B98" t="str">
        <f>Charms!B98</f>
        <v>Inescapable Blazing Advance</v>
      </c>
      <c r="C98" t="b">
        <f ca="1">OR(Values!$S$98&gt;=Charms!M98,IFERROR(Charms!J98=OFFSET(Values!$A$24,MATCH("S",Values!$T$25:$T$50,0),0),FALSE))</f>
        <v>0</v>
      </c>
      <c r="D98" t="b">
        <f>VLOOKUP(Charms!J98,Values!$A$11:$S$59,19,0)&gt;=Charms!L98</f>
        <v>0</v>
      </c>
      <c r="E98" t="e">
        <f>OR(ISBLANK(Charms!I98),(VLOOKUP(Values!$S$6,Castes!$B$2:$F$25,4,0)=Charms!I98))</f>
        <v>#N/A</v>
      </c>
      <c r="J98" t="e">
        <f t="shared" ca="1" si="6"/>
        <v>#N/A</v>
      </c>
      <c r="K98" s="18" t="e">
        <f t="shared" ca="1" si="5"/>
        <v>#N/A</v>
      </c>
      <c r="L98" t="e">
        <f ca="1">IF(J98,Charms!B98,"")</f>
        <v>#N/A</v>
      </c>
      <c r="M98" t="str">
        <f t="shared" ca="1" si="7"/>
        <v>-</v>
      </c>
      <c r="N98" s="18" t="str">
        <f t="shared" si="8"/>
        <v>K54:L103</v>
      </c>
      <c r="O98" t="str">
        <f t="shared" si="9"/>
        <v>A54:A98</v>
      </c>
    </row>
    <row r="99" spans="1:15">
      <c r="A99" s="18" t="str">
        <f>Charms!K99</f>
        <v>Athletics</v>
      </c>
      <c r="B99" t="str">
        <f>Charms!B99</f>
        <v>Dragon Surmounts the Waterfall</v>
      </c>
      <c r="C99" t="b">
        <f ca="1">OR(Values!$S$98&gt;=Charms!M99,IFERROR(Charms!J99=OFFSET(Values!$A$24,MATCH("S",Values!$T$25:$T$50,0),0),FALSE))</f>
        <v>0</v>
      </c>
      <c r="D99" t="b">
        <f>VLOOKUP(Charms!J99,Values!$A$11:$S$59,19,0)&gt;=Charms!L99</f>
        <v>0</v>
      </c>
      <c r="E99" t="e">
        <f>OR(ISBLANK(Charms!I99),(VLOOKUP(Values!$S$6,Castes!$B$2:$F$25,4,0)=Charms!I99))</f>
        <v>#N/A</v>
      </c>
      <c r="J99" t="e">
        <f t="shared" ca="1" si="6"/>
        <v>#N/A</v>
      </c>
      <c r="K99" s="18" t="e">
        <f t="shared" ca="1" si="5"/>
        <v>#N/A</v>
      </c>
      <c r="L99" t="e">
        <f ca="1">IF(J99,Charms!B99,"")</f>
        <v>#N/A</v>
      </c>
      <c r="M99" t="str">
        <f t="shared" ca="1" si="7"/>
        <v>-</v>
      </c>
      <c r="N99" s="18" t="str">
        <f t="shared" si="8"/>
        <v>K54:L103</v>
      </c>
      <c r="O99" t="str">
        <f t="shared" si="9"/>
        <v>A54:A99</v>
      </c>
    </row>
    <row r="100" spans="1:15">
      <c r="A100" s="18" t="str">
        <f>Charms!K100</f>
        <v>Athletics</v>
      </c>
      <c r="B100" t="str">
        <f>Charms!B100</f>
        <v>Graceful Dryad Dance</v>
      </c>
      <c r="C100" t="b">
        <f ca="1">OR(Values!$S$98&gt;=Charms!M100,IFERROR(Charms!J100=OFFSET(Values!$A$24,MATCH("S",Values!$T$25:$T$50,0),0),FALSE))</f>
        <v>0</v>
      </c>
      <c r="D100" t="b">
        <f>VLOOKUP(Charms!J100,Values!$A$11:$S$59,19,0)&gt;=Charms!L100</f>
        <v>0</v>
      </c>
      <c r="E100" t="e">
        <f>OR(ISBLANK(Charms!I100),(VLOOKUP(Values!$S$6,Castes!$B$2:$F$25,4,0)=Charms!I100))</f>
        <v>#N/A</v>
      </c>
      <c r="J100" t="e">
        <f t="shared" ca="1" si="6"/>
        <v>#N/A</v>
      </c>
      <c r="K100" s="18" t="e">
        <f t="shared" ca="1" si="5"/>
        <v>#N/A</v>
      </c>
      <c r="L100" t="e">
        <f ca="1">IF(J100,Charms!B100,"")</f>
        <v>#N/A</v>
      </c>
      <c r="M100" t="str">
        <f t="shared" ca="1" si="7"/>
        <v>-</v>
      </c>
      <c r="N100" s="18" t="str">
        <f t="shared" si="8"/>
        <v>K54:L103</v>
      </c>
      <c r="O100" t="str">
        <f t="shared" si="9"/>
        <v>A54:A100</v>
      </c>
    </row>
    <row r="101" spans="1:15">
      <c r="A101" s="18" t="str">
        <f>Charms!K101</f>
        <v>Athletics</v>
      </c>
      <c r="B101" t="str">
        <f>Charms!B101</f>
        <v>Dancing Ember Stride</v>
      </c>
      <c r="C101" t="b">
        <f ca="1">OR(Values!$S$98&gt;=Charms!M101,IFERROR(Charms!J101=OFFSET(Values!$A$24,MATCH("S",Values!$T$25:$T$50,0),0),FALSE))</f>
        <v>0</v>
      </c>
      <c r="D101" t="b">
        <f>VLOOKUP(Charms!J101,Values!$A$11:$S$59,19,0)&gt;=Charms!L101</f>
        <v>0</v>
      </c>
      <c r="E101" t="e">
        <f>OR(ISBLANK(Charms!I101),(VLOOKUP(Values!$S$6,Castes!$B$2:$F$25,4,0)=Charms!I101))</f>
        <v>#N/A</v>
      </c>
      <c r="J101" t="e">
        <f t="shared" ca="1" si="6"/>
        <v>#N/A</v>
      </c>
      <c r="K101" s="18" t="e">
        <f t="shared" ca="1" si="5"/>
        <v>#N/A</v>
      </c>
      <c r="L101" t="e">
        <f ca="1">IF(J101,Charms!B101,"")</f>
        <v>#N/A</v>
      </c>
      <c r="M101" t="str">
        <f t="shared" ca="1" si="7"/>
        <v>-</v>
      </c>
      <c r="N101" s="18" t="str">
        <f t="shared" si="8"/>
        <v>K54:L103</v>
      </c>
      <c r="O101" t="str">
        <f t="shared" si="9"/>
        <v>A54:A101</v>
      </c>
    </row>
    <row r="102" spans="1:15">
      <c r="A102" s="18" t="str">
        <f>Charms!K102</f>
        <v>Athletics</v>
      </c>
      <c r="B102" t="str">
        <f>Charms!B102</f>
        <v>Seething Dragon Footprint</v>
      </c>
      <c r="C102" t="b">
        <f ca="1">OR(Values!$S$98&gt;=Charms!M102,IFERROR(Charms!J102=OFFSET(Values!$A$24,MATCH("S",Values!$T$25:$T$50,0),0),FALSE))</f>
        <v>0</v>
      </c>
      <c r="D102" t="b">
        <f>VLOOKUP(Charms!J102,Values!$A$11:$S$59,19,0)&gt;=Charms!L102</f>
        <v>0</v>
      </c>
      <c r="E102" t="e">
        <f>OR(ISBLANK(Charms!I102),(VLOOKUP(Values!$S$6,Castes!$B$2:$F$25,4,0)=Charms!I102))</f>
        <v>#N/A</v>
      </c>
      <c r="J102" t="e">
        <f t="shared" ca="1" si="6"/>
        <v>#N/A</v>
      </c>
      <c r="K102" s="18" t="e">
        <f t="shared" ca="1" si="5"/>
        <v>#N/A</v>
      </c>
      <c r="L102" t="e">
        <f ca="1">IF(J102,Charms!B102,"")</f>
        <v>#N/A</v>
      </c>
      <c r="M102" t="str">
        <f t="shared" ca="1" si="7"/>
        <v>-</v>
      </c>
      <c r="N102" s="18" t="str">
        <f t="shared" si="8"/>
        <v>K54:L103</v>
      </c>
      <c r="O102" t="str">
        <f t="shared" si="9"/>
        <v>A54:A102</v>
      </c>
    </row>
    <row r="103" spans="1:15">
      <c r="A103" s="18" t="str">
        <f>Charms!K103</f>
        <v>Athletics</v>
      </c>
      <c r="B103" t="str">
        <f>Charms!B103</f>
        <v>Falling Star Maneuver</v>
      </c>
      <c r="C103" t="b">
        <f ca="1">OR(Values!$S$98&gt;=Charms!M103,IFERROR(Charms!J103=OFFSET(Values!$A$24,MATCH("S",Values!$T$25:$T$50,0),0),FALSE))</f>
        <v>0</v>
      </c>
      <c r="D103" t="b">
        <f>VLOOKUP(Charms!J103,Values!$A$11:$S$59,19,0)&gt;=Charms!L103</f>
        <v>0</v>
      </c>
      <c r="E103" t="e">
        <f>OR(ISBLANK(Charms!I103),(VLOOKUP(Values!$S$6,Castes!$B$2:$F$25,4,0)=Charms!I103))</f>
        <v>#N/A</v>
      </c>
      <c r="J103" t="e">
        <f t="shared" ca="1" si="6"/>
        <v>#N/A</v>
      </c>
      <c r="K103" s="18" t="e">
        <f t="shared" ca="1" si="5"/>
        <v>#N/A</v>
      </c>
      <c r="L103" t="e">
        <f ca="1">IF(J103,Charms!B103,"")</f>
        <v>#N/A</v>
      </c>
      <c r="M103" t="str">
        <f t="shared" ca="1" si="7"/>
        <v>-</v>
      </c>
      <c r="N103" s="18" t="str">
        <f t="shared" si="8"/>
        <v>K54:L103</v>
      </c>
      <c r="O103" t="str">
        <f t="shared" si="9"/>
        <v>A54:A103</v>
      </c>
    </row>
    <row r="104" spans="1:15">
      <c r="A104" s="18" t="str">
        <f>Charms!K104</f>
        <v>Awareness</v>
      </c>
      <c r="B104" t="str">
        <f>Charms!B104</f>
        <v>Sensory Acuity Prana</v>
      </c>
      <c r="C104" t="b">
        <f ca="1">OR(Values!$S$98&gt;=Charms!M104,IFERROR(Charms!J104=OFFSET(Values!$A$24,MATCH("S",Values!$T$25:$T$50,0),0),FALSE))</f>
        <v>1</v>
      </c>
      <c r="D104" t="b">
        <f>VLOOKUP(Charms!J104,Values!$A$11:$S$59,19,0)&gt;=Charms!L104</f>
        <v>0</v>
      </c>
      <c r="E104" t="e">
        <f>OR(ISBLANK(Charms!I104),(VLOOKUP(Values!$S$6,Castes!$B$2:$F$25,4,0)=Charms!I104))</f>
        <v>#N/A</v>
      </c>
      <c r="J104" t="e">
        <f t="shared" ca="1" si="6"/>
        <v>#N/A</v>
      </c>
      <c r="K104" s="18" t="e">
        <f t="shared" ca="1" si="5"/>
        <v>#N/A</v>
      </c>
      <c r="L104" t="e">
        <f ca="1">IF(J104,Charms!B104,"")</f>
        <v>#N/A</v>
      </c>
      <c r="M104" t="str">
        <f t="shared" ca="1" si="7"/>
        <v>-</v>
      </c>
      <c r="N104" s="18" t="str">
        <f t="shared" si="8"/>
        <v>K104:L142</v>
      </c>
      <c r="O104" t="str">
        <f t="shared" si="9"/>
        <v>A104:A104</v>
      </c>
    </row>
    <row r="105" spans="1:15">
      <c r="A105" s="18" t="str">
        <f>Charms!K105</f>
        <v>Awareness</v>
      </c>
      <c r="B105" t="str">
        <f>Charms!B105</f>
        <v>Surprise Anticipation Method</v>
      </c>
      <c r="C105" t="b">
        <f ca="1">OR(Values!$S$98&gt;=Charms!M105,IFERROR(Charms!J105=OFFSET(Values!$A$24,MATCH("S",Values!$T$25:$T$50,0),0),FALSE))</f>
        <v>1</v>
      </c>
      <c r="D105" t="b">
        <f>VLOOKUP(Charms!J105,Values!$A$11:$S$59,19,0)&gt;=Charms!L105</f>
        <v>0</v>
      </c>
      <c r="E105" t="e">
        <f>OR(ISBLANK(Charms!I105),(VLOOKUP(Values!$S$6,Castes!$B$2:$F$25,4,0)=Charms!I105))</f>
        <v>#N/A</v>
      </c>
      <c r="J105" t="e">
        <f t="shared" ca="1" si="6"/>
        <v>#N/A</v>
      </c>
      <c r="K105" s="18" t="e">
        <f t="shared" ca="1" si="5"/>
        <v>#N/A</v>
      </c>
      <c r="L105" t="e">
        <f ca="1">IF(J105,Charms!B105,"")</f>
        <v>#N/A</v>
      </c>
      <c r="M105" t="str">
        <f t="shared" ca="1" si="7"/>
        <v>-</v>
      </c>
      <c r="N105" s="18" t="str">
        <f t="shared" si="8"/>
        <v>K104:L142</v>
      </c>
      <c r="O105" t="str">
        <f t="shared" si="9"/>
        <v>A104:A105</v>
      </c>
    </row>
    <row r="106" spans="1:15">
      <c r="A106" s="18" t="str">
        <f>Charms!K106</f>
        <v>Awareness</v>
      </c>
      <c r="B106" t="str">
        <f>Charms!B106</f>
        <v>Keen Sight Technique</v>
      </c>
      <c r="C106" t="b">
        <f ca="1">OR(Values!$S$98&gt;=Charms!M106,IFERROR(Charms!J106=OFFSET(Values!$A$24,MATCH("S",Values!$T$25:$T$50,0),0),FALSE))</f>
        <v>1</v>
      </c>
      <c r="D106" t="b">
        <f>VLOOKUP(Charms!J106,Values!$A$11:$S$59,19,0)&gt;=Charms!L106</f>
        <v>0</v>
      </c>
      <c r="E106" t="e">
        <f>OR(ISBLANK(Charms!I106),(VLOOKUP(Values!$S$6,Castes!$B$2:$F$25,4,0)=Charms!I106))</f>
        <v>#N/A</v>
      </c>
      <c r="J106" t="e">
        <f t="shared" ca="1" si="6"/>
        <v>#N/A</v>
      </c>
      <c r="K106" s="18" t="e">
        <f t="shared" ca="1" si="5"/>
        <v>#N/A</v>
      </c>
      <c r="L106" t="e">
        <f ca="1">IF(J106,Charms!B106,"")</f>
        <v>#N/A</v>
      </c>
      <c r="M106" t="str">
        <f t="shared" ca="1" si="7"/>
        <v>-</v>
      </c>
      <c r="N106" s="18" t="str">
        <f t="shared" si="8"/>
        <v>K104:L142</v>
      </c>
      <c r="O106" t="str">
        <f t="shared" si="9"/>
        <v>A104:A106</v>
      </c>
    </row>
    <row r="107" spans="1:15">
      <c r="A107" s="18" t="str">
        <f>Charms!K107</f>
        <v>Awareness</v>
      </c>
      <c r="B107" t="str">
        <f>Charms!B107</f>
        <v>Keen Taste and Smell Technique</v>
      </c>
      <c r="C107" t="b">
        <f ca="1">OR(Values!$S$98&gt;=Charms!M107,IFERROR(Charms!J107=OFFSET(Values!$A$24,MATCH("S",Values!$T$25:$T$50,0),0),FALSE))</f>
        <v>1</v>
      </c>
      <c r="D107" t="b">
        <f>VLOOKUP(Charms!J107,Values!$A$11:$S$59,19,0)&gt;=Charms!L107</f>
        <v>0</v>
      </c>
      <c r="E107" t="e">
        <f>OR(ISBLANK(Charms!I107),(VLOOKUP(Values!$S$6,Castes!$B$2:$F$25,4,0)=Charms!I107))</f>
        <v>#N/A</v>
      </c>
      <c r="J107" t="e">
        <f t="shared" ca="1" si="6"/>
        <v>#N/A</v>
      </c>
      <c r="K107" s="18" t="e">
        <f t="shared" ca="1" si="5"/>
        <v>#N/A</v>
      </c>
      <c r="L107" t="e">
        <f ca="1">IF(J107,Charms!B107,"")</f>
        <v>#N/A</v>
      </c>
      <c r="M107" t="str">
        <f t="shared" ca="1" si="7"/>
        <v>-</v>
      </c>
      <c r="N107" s="18" t="str">
        <f t="shared" si="8"/>
        <v>K104:L142</v>
      </c>
      <c r="O107" t="str">
        <f t="shared" si="9"/>
        <v>A104:A107</v>
      </c>
    </row>
    <row r="108" spans="1:15">
      <c r="A108" s="18" t="str">
        <f>Charms!K108</f>
        <v>Awareness</v>
      </c>
      <c r="B108" t="str">
        <f>Charms!B108</f>
        <v>Genius Palate Summation</v>
      </c>
      <c r="C108" t="b">
        <f ca="1">OR(Values!$S$98&gt;=Charms!M108,IFERROR(Charms!J108=OFFSET(Values!$A$24,MATCH("S",Values!$T$25:$T$50,0),0),FALSE))</f>
        <v>1</v>
      </c>
      <c r="D108" t="b">
        <f>VLOOKUP(Charms!J108,Values!$A$11:$S$59,19,0)&gt;=Charms!L108</f>
        <v>0</v>
      </c>
      <c r="E108" t="e">
        <f>OR(ISBLANK(Charms!I108),(VLOOKUP(Values!$S$6,Castes!$B$2:$F$25,4,0)=Charms!I108))</f>
        <v>#N/A</v>
      </c>
      <c r="J108" t="e">
        <f t="shared" ca="1" si="6"/>
        <v>#N/A</v>
      </c>
      <c r="K108" s="18" t="e">
        <f t="shared" ca="1" si="5"/>
        <v>#N/A</v>
      </c>
      <c r="L108" t="e">
        <f ca="1">IF(J108,Charms!B108,"")</f>
        <v>#N/A</v>
      </c>
      <c r="M108" t="str">
        <f t="shared" ca="1" si="7"/>
        <v>-</v>
      </c>
      <c r="N108" s="18" t="str">
        <f t="shared" si="8"/>
        <v>K104:L142</v>
      </c>
      <c r="O108" t="str">
        <f t="shared" si="9"/>
        <v>A104:A108</v>
      </c>
    </row>
    <row r="109" spans="1:15">
      <c r="A109" s="18" t="str">
        <f>Charms!K109</f>
        <v>Awareness</v>
      </c>
      <c r="B109" t="str">
        <f>Charms!B109</f>
        <v>Keen Hearing and Touch Technique</v>
      </c>
      <c r="C109" t="b">
        <f ca="1">OR(Values!$S$98&gt;=Charms!M109,IFERROR(Charms!J109=OFFSET(Values!$A$24,MATCH("S",Values!$T$25:$T$50,0),0),FALSE))</f>
        <v>1</v>
      </c>
      <c r="D109" t="b">
        <f>VLOOKUP(Charms!J109,Values!$A$11:$S$59,19,0)&gt;=Charms!L109</f>
        <v>0</v>
      </c>
      <c r="E109" t="e">
        <f>OR(ISBLANK(Charms!I109),(VLOOKUP(Values!$S$6,Castes!$B$2:$F$25,4,0)=Charms!I109))</f>
        <v>#N/A</v>
      </c>
      <c r="J109" t="e">
        <f t="shared" ca="1" si="6"/>
        <v>#N/A</v>
      </c>
      <c r="K109" s="18" t="e">
        <f t="shared" ca="1" si="5"/>
        <v>#N/A</v>
      </c>
      <c r="L109" t="e">
        <f ca="1">IF(J109,Charms!B109,"")</f>
        <v>#N/A</v>
      </c>
      <c r="M109" t="str">
        <f t="shared" ca="1" si="7"/>
        <v>-</v>
      </c>
      <c r="N109" s="18" t="str">
        <f t="shared" si="8"/>
        <v>K104:L142</v>
      </c>
      <c r="O109" t="str">
        <f t="shared" si="9"/>
        <v>A104:A109</v>
      </c>
    </row>
    <row r="110" spans="1:15">
      <c r="A110" s="18" t="str">
        <f>Charms!K110</f>
        <v>Awareness</v>
      </c>
      <c r="B110" t="str">
        <f>Charms!B110</f>
        <v>Studied Ear Espial</v>
      </c>
      <c r="C110" t="b">
        <f ca="1">OR(Values!$S$98&gt;=Charms!M110,IFERROR(Charms!J110=OFFSET(Values!$A$24,MATCH("S",Values!$T$25:$T$50,0),0),FALSE))</f>
        <v>1</v>
      </c>
      <c r="D110" t="b">
        <f>VLOOKUP(Charms!J110,Values!$A$11:$S$59,19,0)&gt;=Charms!L110</f>
        <v>0</v>
      </c>
      <c r="E110" t="e">
        <f>OR(ISBLANK(Charms!I110),(VLOOKUP(Values!$S$6,Castes!$B$2:$F$25,4,0)=Charms!I110))</f>
        <v>#N/A</v>
      </c>
      <c r="J110" t="e">
        <f t="shared" ca="1" si="6"/>
        <v>#N/A</v>
      </c>
      <c r="K110" s="18" t="e">
        <f t="shared" ca="1" si="5"/>
        <v>#N/A</v>
      </c>
      <c r="L110" t="e">
        <f ca="1">IF(J110,Charms!B110,"")</f>
        <v>#N/A</v>
      </c>
      <c r="M110" t="str">
        <f t="shared" ca="1" si="7"/>
        <v>-</v>
      </c>
      <c r="N110" s="18" t="str">
        <f t="shared" si="8"/>
        <v>K104:L142</v>
      </c>
      <c r="O110" t="str">
        <f t="shared" si="9"/>
        <v>A104:A110</v>
      </c>
    </row>
    <row r="111" spans="1:15">
      <c r="A111" s="18" t="str">
        <f>Charms!K111</f>
        <v>Awareness</v>
      </c>
      <c r="B111" t="str">
        <f>Charms!B111</f>
        <v>Eyeless Harbinger Awareness</v>
      </c>
      <c r="C111" t="b">
        <f ca="1">OR(Values!$S$98&gt;=Charms!M111,IFERROR(Charms!J111=OFFSET(Values!$A$24,MATCH("S",Values!$T$25:$T$50,0),0),FALSE))</f>
        <v>1</v>
      </c>
      <c r="D111" t="b">
        <f>VLOOKUP(Charms!J111,Values!$A$11:$S$59,19,0)&gt;=Charms!L111</f>
        <v>0</v>
      </c>
      <c r="E111" t="e">
        <f>OR(ISBLANK(Charms!I111),(VLOOKUP(Values!$S$6,Castes!$B$2:$F$25,4,0)=Charms!I111))</f>
        <v>#N/A</v>
      </c>
      <c r="J111" t="e">
        <f t="shared" ca="1" si="6"/>
        <v>#N/A</v>
      </c>
      <c r="K111" s="18" t="e">
        <f t="shared" ca="1" si="5"/>
        <v>#N/A</v>
      </c>
      <c r="L111" t="e">
        <f ca="1">IF(J111,Charms!B111,"")</f>
        <v>#N/A</v>
      </c>
      <c r="M111" t="str">
        <f t="shared" ca="1" si="7"/>
        <v>-</v>
      </c>
      <c r="N111" s="18" t="str">
        <f t="shared" si="8"/>
        <v>K104:L142</v>
      </c>
      <c r="O111" t="str">
        <f t="shared" si="9"/>
        <v>A104:A111</v>
      </c>
    </row>
    <row r="112" spans="1:15">
      <c r="A112" s="18" t="str">
        <f>Charms!K112</f>
        <v>Awareness</v>
      </c>
      <c r="B112" t="str">
        <f>Charms!B112</f>
        <v>Unswerving Eye Method</v>
      </c>
      <c r="C112" t="b">
        <f ca="1">OR(Values!$S$98&gt;=Charms!M112,IFERROR(Charms!J112=OFFSET(Values!$A$24,MATCH("S",Values!$T$25:$T$50,0),0),FALSE))</f>
        <v>1</v>
      </c>
      <c r="D112" t="b">
        <f>VLOOKUP(Charms!J112,Values!$A$11:$S$59,19,0)&gt;=Charms!L112</f>
        <v>0</v>
      </c>
      <c r="E112" t="e">
        <f>OR(ISBLANK(Charms!I112),(VLOOKUP(Values!$S$6,Castes!$B$2:$F$25,4,0)=Charms!I112))</f>
        <v>#N/A</v>
      </c>
      <c r="J112" t="e">
        <f t="shared" ca="1" si="6"/>
        <v>#N/A</v>
      </c>
      <c r="K112" s="18" t="e">
        <f t="shared" ca="1" si="5"/>
        <v>#N/A</v>
      </c>
      <c r="L112" t="e">
        <f ca="1">IF(J112,Charms!B112,"")</f>
        <v>#N/A</v>
      </c>
      <c r="M112" t="str">
        <f t="shared" ca="1" si="7"/>
        <v>-</v>
      </c>
      <c r="N112" s="18" t="str">
        <f t="shared" si="8"/>
        <v>K104:L142</v>
      </c>
      <c r="O112" t="str">
        <f t="shared" si="9"/>
        <v>A104:A112</v>
      </c>
    </row>
    <row r="113" spans="1:15">
      <c r="A113" s="18" t="str">
        <f>Charms!K113</f>
        <v>Awareness</v>
      </c>
      <c r="B113" t="str">
        <f>Charms!B113</f>
        <v>Foe-Scenting Method</v>
      </c>
      <c r="C113" t="b">
        <f ca="1">OR(Values!$S$98&gt;=Charms!M113,IFERROR(Charms!J113=OFFSET(Values!$A$24,MATCH("S",Values!$T$25:$T$50,0),0),FALSE))</f>
        <v>1</v>
      </c>
      <c r="D113" t="b">
        <f>VLOOKUP(Charms!J113,Values!$A$11:$S$59,19,0)&gt;=Charms!L113</f>
        <v>0</v>
      </c>
      <c r="E113" t="e">
        <f>OR(ISBLANK(Charms!I113),(VLOOKUP(Values!$S$6,Castes!$B$2:$F$25,4,0)=Charms!I113))</f>
        <v>#N/A</v>
      </c>
      <c r="J113" t="e">
        <f t="shared" ca="1" si="6"/>
        <v>#N/A</v>
      </c>
      <c r="K113" s="18" t="e">
        <f t="shared" ca="1" si="5"/>
        <v>#N/A</v>
      </c>
      <c r="L113" t="e">
        <f ca="1">IF(J113,Charms!B113,"")</f>
        <v>#N/A</v>
      </c>
      <c r="M113" t="str">
        <f t="shared" ca="1" si="7"/>
        <v>-</v>
      </c>
      <c r="N113" s="18" t="str">
        <f t="shared" si="8"/>
        <v>K104:L142</v>
      </c>
      <c r="O113" t="str">
        <f t="shared" si="9"/>
        <v>A104:A113</v>
      </c>
    </row>
    <row r="114" spans="1:15">
      <c r="A114" s="18" t="str">
        <f>Charms!K114</f>
        <v>Awareness</v>
      </c>
      <c r="B114" t="str">
        <f>Charms!B114</f>
        <v>Awakening Eye</v>
      </c>
      <c r="C114" t="b">
        <f ca="1">OR(Values!$S$98&gt;=Charms!M114,IFERROR(Charms!J114=OFFSET(Values!$A$24,MATCH("S",Values!$T$25:$T$50,0),0),FALSE))</f>
        <v>1</v>
      </c>
      <c r="D114" t="b">
        <f>VLOOKUP(Charms!J114,Values!$A$11:$S$59,19,0)&gt;=Charms!L114</f>
        <v>0</v>
      </c>
      <c r="E114" t="e">
        <f>OR(ISBLANK(Charms!I114),(VLOOKUP(Values!$S$6,Castes!$B$2:$F$25,4,0)=Charms!I114))</f>
        <v>#N/A</v>
      </c>
      <c r="J114" t="e">
        <f t="shared" ca="1" si="6"/>
        <v>#N/A</v>
      </c>
      <c r="K114" s="18" t="e">
        <f t="shared" ca="1" si="5"/>
        <v>#N/A</v>
      </c>
      <c r="L114" t="e">
        <f ca="1">IF(J114,Charms!B114,"")</f>
        <v>#N/A</v>
      </c>
      <c r="M114" t="str">
        <f t="shared" ca="1" si="7"/>
        <v>-</v>
      </c>
      <c r="N114" s="18" t="str">
        <f t="shared" si="8"/>
        <v>K104:L142</v>
      </c>
      <c r="O114" t="str">
        <f t="shared" si="9"/>
        <v>A104:A114</v>
      </c>
    </row>
    <row r="115" spans="1:15">
      <c r="A115" s="18" t="str">
        <f>Charms!K115</f>
        <v>Awareness</v>
      </c>
      <c r="B115" t="str">
        <f>Charms!B115</f>
        <v>Knowing Beyond Silence</v>
      </c>
      <c r="C115" t="b">
        <f ca="1">OR(Values!$S$98&gt;=Charms!M115,IFERROR(Charms!J115=OFFSET(Values!$A$24,MATCH("S",Values!$T$25:$T$50,0),0),FALSE))</f>
        <v>0</v>
      </c>
      <c r="D115" t="b">
        <f>VLOOKUP(Charms!J115,Values!$A$11:$S$59,19,0)&gt;=Charms!L115</f>
        <v>0</v>
      </c>
      <c r="E115" t="e">
        <f>OR(ISBLANK(Charms!I115),(VLOOKUP(Values!$S$6,Castes!$B$2:$F$25,4,0)=Charms!I115))</f>
        <v>#N/A</v>
      </c>
      <c r="J115" t="e">
        <f t="shared" ca="1" si="6"/>
        <v>#N/A</v>
      </c>
      <c r="K115" s="18" t="e">
        <f t="shared" ca="1" si="5"/>
        <v>#N/A</v>
      </c>
      <c r="L115" t="e">
        <f ca="1">IF(J115,Charms!B115,"")</f>
        <v>#N/A</v>
      </c>
      <c r="M115" t="str">
        <f t="shared" ca="1" si="7"/>
        <v>-</v>
      </c>
      <c r="N115" s="18" t="str">
        <f t="shared" si="8"/>
        <v>K104:L142</v>
      </c>
      <c r="O115" t="str">
        <f t="shared" si="9"/>
        <v>A104:A115</v>
      </c>
    </row>
    <row r="116" spans="1:15">
      <c r="A116" s="18" t="str">
        <f>Charms!K116</f>
        <v>Awareness</v>
      </c>
      <c r="B116" t="str">
        <f>Charms!B116</f>
        <v>Living Pulse Perception</v>
      </c>
      <c r="C116" t="b">
        <f ca="1">OR(Values!$S$98&gt;=Charms!M116,IFERROR(Charms!J116=OFFSET(Values!$A$24,MATCH("S",Values!$T$25:$T$50,0),0),FALSE))</f>
        <v>0</v>
      </c>
      <c r="D116" t="b">
        <f>VLOOKUP(Charms!J116,Values!$A$11:$S$59,19,0)&gt;=Charms!L116</f>
        <v>0</v>
      </c>
      <c r="E116" t="e">
        <f>OR(ISBLANK(Charms!I116),(VLOOKUP(Values!$S$6,Castes!$B$2:$F$25,4,0)=Charms!I116))</f>
        <v>#N/A</v>
      </c>
      <c r="J116" t="e">
        <f t="shared" ca="1" si="6"/>
        <v>#N/A</v>
      </c>
      <c r="K116" s="18" t="e">
        <f t="shared" ca="1" si="5"/>
        <v>#N/A</v>
      </c>
      <c r="L116" t="e">
        <f ca="1">IF(J116,Charms!B116,"")</f>
        <v>#N/A</v>
      </c>
      <c r="M116" t="str">
        <f t="shared" ca="1" si="7"/>
        <v>-</v>
      </c>
      <c r="N116" s="18" t="str">
        <f t="shared" si="8"/>
        <v>K104:L142</v>
      </c>
      <c r="O116" t="str">
        <f t="shared" si="9"/>
        <v>A104:A116</v>
      </c>
    </row>
    <row r="117" spans="1:15">
      <c r="A117" s="18" t="str">
        <f>Charms!K117</f>
        <v>Awareness</v>
      </c>
      <c r="B117" t="str">
        <f>Charms!B117</f>
        <v>Inner Eye Focus</v>
      </c>
      <c r="C117" t="b">
        <f ca="1">OR(Values!$S$98&gt;=Charms!M117,IFERROR(Charms!J117=OFFSET(Values!$A$24,MATCH("S",Values!$T$25:$T$50,0),0),FALSE))</f>
        <v>0</v>
      </c>
      <c r="D117" t="b">
        <f>VLOOKUP(Charms!J117,Values!$A$11:$S$59,19,0)&gt;=Charms!L117</f>
        <v>0</v>
      </c>
      <c r="E117" t="e">
        <f>OR(ISBLANK(Charms!I117),(VLOOKUP(Values!$S$6,Castes!$B$2:$F$25,4,0)=Charms!I117))</f>
        <v>#N/A</v>
      </c>
      <c r="J117" t="e">
        <f t="shared" ca="1" si="6"/>
        <v>#N/A</v>
      </c>
      <c r="K117" s="18" t="e">
        <f t="shared" ca="1" si="5"/>
        <v>#N/A</v>
      </c>
      <c r="L117" t="e">
        <f ca="1">IF(J117,Charms!B117,"")</f>
        <v>#N/A</v>
      </c>
      <c r="M117" t="str">
        <f t="shared" ca="1" si="7"/>
        <v>-</v>
      </c>
      <c r="N117" s="18" t="str">
        <f t="shared" si="8"/>
        <v>K104:L142</v>
      </c>
      <c r="O117" t="str">
        <f t="shared" si="9"/>
        <v>A104:A117</v>
      </c>
    </row>
    <row r="118" spans="1:15">
      <c r="A118" s="18" t="str">
        <f>Charms!K118</f>
        <v>Awareness</v>
      </c>
      <c r="B118" t="str">
        <f>Charms!B118</f>
        <v>Scent-Honing Prana</v>
      </c>
      <c r="C118" t="b">
        <f ca="1">OR(Values!$S$98&gt;=Charms!M118,IFERROR(Charms!J118=OFFSET(Values!$A$24,MATCH("S",Values!$T$25:$T$50,0),0),FALSE))</f>
        <v>0</v>
      </c>
      <c r="D118" t="b">
        <f>VLOOKUP(Charms!J118,Values!$A$11:$S$59,19,0)&gt;=Charms!L118</f>
        <v>0</v>
      </c>
      <c r="E118" t="e">
        <f>OR(ISBLANK(Charms!I118),(VLOOKUP(Values!$S$6,Castes!$B$2:$F$25,4,0)=Charms!I118))</f>
        <v>#N/A</v>
      </c>
      <c r="J118" t="e">
        <f t="shared" ca="1" si="6"/>
        <v>#N/A</v>
      </c>
      <c r="K118" s="18" t="e">
        <f t="shared" ca="1" si="5"/>
        <v>#N/A</v>
      </c>
      <c r="L118" t="e">
        <f ca="1">IF(J118,Charms!B118,"")</f>
        <v>#N/A</v>
      </c>
      <c r="M118" t="str">
        <f t="shared" ca="1" si="7"/>
        <v>-</v>
      </c>
      <c r="N118" s="18" t="str">
        <f t="shared" si="8"/>
        <v>K104:L142</v>
      </c>
      <c r="O118" t="str">
        <f t="shared" si="9"/>
        <v>A104:A118</v>
      </c>
    </row>
    <row r="119" spans="1:15">
      <c r="A119" s="18" t="str">
        <f>Charms!K119</f>
        <v>Awareness</v>
      </c>
      <c r="B119" t="str">
        <f>Charms!B119</f>
        <v>Roused Dragon Detection</v>
      </c>
      <c r="C119" t="b">
        <f ca="1">OR(Values!$S$98&gt;=Charms!M119,IFERROR(Charms!J119=OFFSET(Values!$A$24,MATCH("S",Values!$T$25:$T$50,0),0),FALSE))</f>
        <v>0</v>
      </c>
      <c r="D119" t="b">
        <f>VLOOKUP(Charms!J119,Values!$A$11:$S$59,19,0)&gt;=Charms!L119</f>
        <v>0</v>
      </c>
      <c r="E119" t="e">
        <f>OR(ISBLANK(Charms!I119),(VLOOKUP(Values!$S$6,Castes!$B$2:$F$25,4,0)=Charms!I119))</f>
        <v>#N/A</v>
      </c>
      <c r="J119" t="e">
        <f t="shared" ca="1" si="6"/>
        <v>#N/A</v>
      </c>
      <c r="K119" s="18" t="e">
        <f t="shared" ca="1" si="5"/>
        <v>#N/A</v>
      </c>
      <c r="L119" t="e">
        <f ca="1">IF(J119,Charms!B119,"")</f>
        <v>#N/A</v>
      </c>
      <c r="M119" t="str">
        <f t="shared" ca="1" si="7"/>
        <v>-</v>
      </c>
      <c r="N119" s="18" t="str">
        <f t="shared" si="8"/>
        <v>K104:L142</v>
      </c>
      <c r="O119" t="str">
        <f t="shared" si="9"/>
        <v>A104:A119</v>
      </c>
    </row>
    <row r="120" spans="1:15">
      <c r="A120" s="18" t="str">
        <f>Charms!K120</f>
        <v>Awareness</v>
      </c>
      <c r="B120" t="str">
        <f>Charms!B120</f>
        <v>Unsurpassed Sight Discipline</v>
      </c>
      <c r="C120" t="b">
        <f ca="1">OR(Values!$S$98&gt;=Charms!M120,IFERROR(Charms!J120=OFFSET(Values!$A$24,MATCH("S",Values!$T$25:$T$50,0),0),FALSE))</f>
        <v>0</v>
      </c>
      <c r="D120" t="b">
        <f>VLOOKUP(Charms!J120,Values!$A$11:$S$59,19,0)&gt;=Charms!L120</f>
        <v>0</v>
      </c>
      <c r="E120" t="e">
        <f>OR(ISBLANK(Charms!I120),(VLOOKUP(Values!$S$6,Castes!$B$2:$F$25,4,0)=Charms!I120))</f>
        <v>#N/A</v>
      </c>
      <c r="J120" t="e">
        <f t="shared" ca="1" si="6"/>
        <v>#N/A</v>
      </c>
      <c r="K120" s="18" t="e">
        <f t="shared" ca="1" si="5"/>
        <v>#N/A</v>
      </c>
      <c r="L120" t="e">
        <f ca="1">IF(J120,Charms!B120,"")</f>
        <v>#N/A</v>
      </c>
      <c r="M120" t="str">
        <f t="shared" ca="1" si="7"/>
        <v>-</v>
      </c>
      <c r="N120" s="18" t="str">
        <f t="shared" si="8"/>
        <v>K104:L142</v>
      </c>
      <c r="O120" t="str">
        <f t="shared" si="9"/>
        <v>A104:A120</v>
      </c>
    </row>
    <row r="121" spans="1:15">
      <c r="A121" s="18" t="str">
        <f>Charms!K121</f>
        <v>Awareness</v>
      </c>
      <c r="B121" t="str">
        <f>Charms!B121</f>
        <v>Blink</v>
      </c>
      <c r="C121" t="b">
        <f ca="1">OR(Values!$S$98&gt;=Charms!M121,IFERROR(Charms!J121=OFFSET(Values!$A$24,MATCH("S",Values!$T$25:$T$50,0),0),FALSE))</f>
        <v>0</v>
      </c>
      <c r="D121" t="b">
        <f>VLOOKUP(Charms!J121,Values!$A$11:$S$59,19,0)&gt;=Charms!L121</f>
        <v>0</v>
      </c>
      <c r="E121" t="e">
        <f>OR(ISBLANK(Charms!I121),(VLOOKUP(Values!$S$6,Castes!$B$2:$F$25,4,0)=Charms!I121))</f>
        <v>#N/A</v>
      </c>
      <c r="J121" t="e">
        <f t="shared" ca="1" si="6"/>
        <v>#N/A</v>
      </c>
      <c r="K121" s="18" t="e">
        <f t="shared" ca="1" si="5"/>
        <v>#N/A</v>
      </c>
      <c r="L121" t="e">
        <f ca="1">IF(J121,Charms!B121,"")</f>
        <v>#N/A</v>
      </c>
      <c r="M121" t="str">
        <f t="shared" ca="1" si="7"/>
        <v>-</v>
      </c>
      <c r="N121" s="18" t="str">
        <f t="shared" si="8"/>
        <v>K104:L142</v>
      </c>
      <c r="O121" t="str">
        <f t="shared" si="9"/>
        <v>A104:A121</v>
      </c>
    </row>
    <row r="122" spans="1:15">
      <c r="A122" s="18" t="str">
        <f>Charms!K122</f>
        <v>Awareness</v>
      </c>
      <c r="B122" t="str">
        <f>Charms!B122</f>
        <v>Unsurpassed Taste and Smell Discipline</v>
      </c>
      <c r="C122" t="b">
        <f ca="1">OR(Values!$S$98&gt;=Charms!M122,IFERROR(Charms!J122=OFFSET(Values!$A$24,MATCH("S",Values!$T$25:$T$50,0),0),FALSE))</f>
        <v>0</v>
      </c>
      <c r="D122" t="b">
        <f>VLOOKUP(Charms!J122,Values!$A$11:$S$59,19,0)&gt;=Charms!L122</f>
        <v>0</v>
      </c>
      <c r="E122" t="e">
        <f>OR(ISBLANK(Charms!I122),(VLOOKUP(Values!$S$6,Castes!$B$2:$F$25,4,0)=Charms!I122))</f>
        <v>#N/A</v>
      </c>
      <c r="J122" t="e">
        <f t="shared" ca="1" si="6"/>
        <v>#N/A</v>
      </c>
      <c r="K122" s="18" t="e">
        <f t="shared" ca="1" si="5"/>
        <v>#N/A</v>
      </c>
      <c r="L122" t="e">
        <f ca="1">IF(J122,Charms!B122,"")</f>
        <v>#N/A</v>
      </c>
      <c r="M122" t="str">
        <f t="shared" ca="1" si="7"/>
        <v>-</v>
      </c>
      <c r="N122" s="18" t="str">
        <f t="shared" si="8"/>
        <v>K104:L142</v>
      </c>
      <c r="O122" t="str">
        <f t="shared" si="9"/>
        <v>A104:A122</v>
      </c>
    </row>
    <row r="123" spans="1:15">
      <c r="A123" s="18" t="str">
        <f>Charms!K123</f>
        <v>Awareness</v>
      </c>
      <c r="B123" t="str">
        <f>Charms!B123</f>
        <v>Unsurpassed Hearing and Touch Discipline</v>
      </c>
      <c r="C123" t="b">
        <f ca="1">OR(Values!$S$98&gt;=Charms!M123,IFERROR(Charms!J123=OFFSET(Values!$A$24,MATCH("S",Values!$T$25:$T$50,0),0),FALSE))</f>
        <v>0</v>
      </c>
      <c r="D123" t="b">
        <f>VLOOKUP(Charms!J123,Values!$A$11:$S$59,19,0)&gt;=Charms!L123</f>
        <v>0</v>
      </c>
      <c r="E123" t="e">
        <f>OR(ISBLANK(Charms!I123),(VLOOKUP(Values!$S$6,Castes!$B$2:$F$25,4,0)=Charms!I123))</f>
        <v>#N/A</v>
      </c>
      <c r="J123" t="e">
        <f t="shared" ca="1" si="6"/>
        <v>#N/A</v>
      </c>
      <c r="K123" s="18" t="e">
        <f t="shared" ca="1" si="5"/>
        <v>#N/A</v>
      </c>
      <c r="L123" t="e">
        <f ca="1">IF(J123,Charms!B123,"")</f>
        <v>#N/A</v>
      </c>
      <c r="M123" t="str">
        <f t="shared" ca="1" si="7"/>
        <v>-</v>
      </c>
      <c r="N123" s="18" t="str">
        <f t="shared" si="8"/>
        <v>K104:L142</v>
      </c>
      <c r="O123" t="str">
        <f t="shared" si="9"/>
        <v>A104:A123</v>
      </c>
    </row>
    <row r="124" spans="1:15">
      <c r="A124" s="18" t="str">
        <f>Charms!K124</f>
        <v>Awareness</v>
      </c>
      <c r="B124" t="str">
        <f>Charms!B124</f>
        <v>Dedicated Unerring Ear</v>
      </c>
      <c r="C124" t="b">
        <f ca="1">OR(Values!$S$98&gt;=Charms!M124,IFERROR(Charms!J124=OFFSET(Values!$A$24,MATCH("S",Values!$T$25:$T$50,0),0),FALSE))</f>
        <v>0</v>
      </c>
      <c r="D124" t="b">
        <f>VLOOKUP(Charms!J124,Values!$A$11:$S$59,19,0)&gt;=Charms!L124</f>
        <v>0</v>
      </c>
      <c r="E124" t="e">
        <f>OR(ISBLANK(Charms!I124),(VLOOKUP(Values!$S$6,Castes!$B$2:$F$25,4,0)=Charms!I124))</f>
        <v>#N/A</v>
      </c>
      <c r="J124" t="e">
        <f t="shared" ca="1" si="6"/>
        <v>#N/A</v>
      </c>
      <c r="K124" s="18" t="e">
        <f t="shared" ca="1" si="5"/>
        <v>#N/A</v>
      </c>
      <c r="L124" t="e">
        <f ca="1">IF(J124,Charms!B124,"")</f>
        <v>#N/A</v>
      </c>
      <c r="M124" t="str">
        <f t="shared" ca="1" si="7"/>
        <v>-</v>
      </c>
      <c r="N124" s="18" t="str">
        <f t="shared" si="8"/>
        <v>K104:L142</v>
      </c>
      <c r="O124" t="str">
        <f t="shared" si="9"/>
        <v>A104:A124</v>
      </c>
    </row>
    <row r="125" spans="1:15">
      <c r="A125" s="18" t="str">
        <f>Charms!K125</f>
        <v>Awareness</v>
      </c>
      <c r="B125" t="str">
        <f>Charms!B125</f>
        <v>Eye of the Unconquered Sun</v>
      </c>
      <c r="C125" t="b">
        <f ca="1">OR(Values!$S$98&gt;=Charms!M125,IFERROR(Charms!J125=OFFSET(Values!$A$24,MATCH("S",Values!$T$25:$T$50,0),0),FALSE))</f>
        <v>0</v>
      </c>
      <c r="D125" t="b">
        <f>VLOOKUP(Charms!J125,Values!$A$11:$S$59,19,0)&gt;=Charms!L125</f>
        <v>0</v>
      </c>
      <c r="E125" t="e">
        <f>OR(ISBLANK(Charms!I125),(VLOOKUP(Values!$S$6,Castes!$B$2:$F$25,4,0)=Charms!I125))</f>
        <v>#N/A</v>
      </c>
      <c r="J125" t="e">
        <f t="shared" ca="1" si="6"/>
        <v>#N/A</v>
      </c>
      <c r="K125" s="18" t="e">
        <f t="shared" ca="1" si="5"/>
        <v>#N/A</v>
      </c>
      <c r="L125" t="e">
        <f ca="1">IF(J125,Charms!B125,"")</f>
        <v>#N/A</v>
      </c>
      <c r="M125" t="str">
        <f t="shared" ca="1" si="7"/>
        <v>-</v>
      </c>
      <c r="N125" s="18" t="str">
        <f t="shared" si="8"/>
        <v>K104:L142</v>
      </c>
      <c r="O125" t="str">
        <f t="shared" si="9"/>
        <v>A104:A125</v>
      </c>
    </row>
    <row r="126" spans="1:15">
      <c r="A126" s="18" t="str">
        <f>Charms!K126</f>
        <v>Awareness</v>
      </c>
      <c r="B126" t="str">
        <f>Charms!B126</f>
        <v>Precision Observation Method</v>
      </c>
      <c r="C126" t="b">
        <f ca="1">OR(Values!$S$98&gt;=Charms!M126,IFERROR(Charms!J126=OFFSET(Values!$A$24,MATCH("S",Values!$T$25:$T$50,0),0),FALSE))</f>
        <v>1</v>
      </c>
      <c r="D126" t="b">
        <f>VLOOKUP(Charms!J126,Values!$A$11:$S$59,19,0)&gt;=Charms!L126</f>
        <v>0</v>
      </c>
      <c r="E126" t="e">
        <f>OR(ISBLANK(Charms!I126),(VLOOKUP(Values!$S$6,Castes!$B$2:$F$25,4,0)=Charms!I126))</f>
        <v>#N/A</v>
      </c>
      <c r="J126" t="e">
        <f t="shared" ca="1" si="6"/>
        <v>#N/A</v>
      </c>
      <c r="K126" s="18" t="e">
        <f t="shared" ca="1" si="5"/>
        <v>#N/A</v>
      </c>
      <c r="L126" t="e">
        <f ca="1">IF(J126,Charms!B126,"")</f>
        <v>#N/A</v>
      </c>
      <c r="M126" t="str">
        <f t="shared" ca="1" si="7"/>
        <v>-</v>
      </c>
      <c r="N126" s="18" t="str">
        <f t="shared" si="8"/>
        <v>K104:L142</v>
      </c>
      <c r="O126" t="str">
        <f t="shared" si="9"/>
        <v>A104:A126</v>
      </c>
    </row>
    <row r="127" spans="1:15">
      <c r="A127" s="18" t="str">
        <f>Charms!K127</f>
        <v>Awareness</v>
      </c>
      <c r="B127" t="str">
        <f>Charms!B127</f>
        <v>Cloud-Piercing Focus</v>
      </c>
      <c r="C127" t="b">
        <f ca="1">OR(Values!$S$98&gt;=Charms!M127,IFERROR(Charms!J127=OFFSET(Values!$A$24,MATCH("S",Values!$T$25:$T$50,0),0),FALSE))</f>
        <v>1</v>
      </c>
      <c r="D127" t="b">
        <f>VLOOKUP(Charms!J127,Values!$A$11:$S$59,19,0)&gt;=Charms!L127</f>
        <v>0</v>
      </c>
      <c r="E127" t="e">
        <f>OR(ISBLANK(Charms!I127),(VLOOKUP(Values!$S$6,Castes!$B$2:$F$25,4,0)=Charms!I127))</f>
        <v>#N/A</v>
      </c>
      <c r="J127" t="e">
        <f t="shared" ca="1" si="6"/>
        <v>#N/A</v>
      </c>
      <c r="K127" s="18" t="e">
        <f t="shared" ca="1" si="5"/>
        <v>#N/A</v>
      </c>
      <c r="L127" t="e">
        <f ca="1">IF(J127,Charms!B127,"")</f>
        <v>#N/A</v>
      </c>
      <c r="M127" t="str">
        <f t="shared" ca="1" si="7"/>
        <v>-</v>
      </c>
      <c r="N127" s="18" t="str">
        <f t="shared" si="8"/>
        <v>K104:L142</v>
      </c>
      <c r="O127" t="str">
        <f t="shared" si="9"/>
        <v>A104:A127</v>
      </c>
    </row>
    <row r="128" spans="1:15">
      <c r="A128" s="18" t="str">
        <f>Charms!K128</f>
        <v>Awareness</v>
      </c>
      <c r="B128" t="str">
        <f>Charms!B128</f>
        <v>Deep-Listening Palm</v>
      </c>
      <c r="C128" t="b">
        <f ca="1">OR(Values!$S$98&gt;=Charms!M128,IFERROR(Charms!J128=OFFSET(Values!$A$24,MATCH("S",Values!$T$25:$T$50,0),0),FALSE))</f>
        <v>1</v>
      </c>
      <c r="D128" t="b">
        <f>VLOOKUP(Charms!J128,Values!$A$11:$S$59,19,0)&gt;=Charms!L128</f>
        <v>0</v>
      </c>
      <c r="E128" t="e">
        <f>OR(ISBLANK(Charms!I128),(VLOOKUP(Values!$S$6,Castes!$B$2:$F$25,4,0)=Charms!I128))</f>
        <v>#N/A</v>
      </c>
      <c r="J128" t="e">
        <f t="shared" ca="1" si="6"/>
        <v>#N/A</v>
      </c>
      <c r="K128" s="18" t="e">
        <f t="shared" ca="1" si="5"/>
        <v>#N/A</v>
      </c>
      <c r="L128" t="e">
        <f ca="1">IF(J128,Charms!B128,"")</f>
        <v>#N/A</v>
      </c>
      <c r="M128" t="str">
        <f t="shared" ca="1" si="7"/>
        <v>-</v>
      </c>
      <c r="N128" s="18" t="str">
        <f t="shared" si="8"/>
        <v>K104:L142</v>
      </c>
      <c r="O128" t="str">
        <f t="shared" si="9"/>
        <v>A104:A128</v>
      </c>
    </row>
    <row r="129" spans="1:15">
      <c r="A129" s="18" t="str">
        <f>Charms!K129</f>
        <v>Awareness</v>
      </c>
      <c r="B129" t="str">
        <f>Charms!B129</f>
        <v>All-Encompassing Earth Sense</v>
      </c>
      <c r="C129" t="b">
        <f ca="1">OR(Values!$S$98&gt;=Charms!M129,IFERROR(Charms!J129=OFFSET(Values!$A$24,MATCH("S",Values!$T$25:$T$50,0),0),FALSE))</f>
        <v>1</v>
      </c>
      <c r="D129" t="b">
        <f>VLOOKUP(Charms!J129,Values!$A$11:$S$59,19,0)&gt;=Charms!L129</f>
        <v>0</v>
      </c>
      <c r="E129" t="e">
        <f>OR(ISBLANK(Charms!I129),(VLOOKUP(Values!$S$6,Castes!$B$2:$F$25,4,0)=Charms!I129))</f>
        <v>#N/A</v>
      </c>
      <c r="J129" t="e">
        <f t="shared" ca="1" si="6"/>
        <v>#N/A</v>
      </c>
      <c r="K129" s="18" t="e">
        <f t="shared" ca="1" si="5"/>
        <v>#N/A</v>
      </c>
      <c r="L129" t="e">
        <f ca="1">IF(J129,Charms!B129,"")</f>
        <v>#N/A</v>
      </c>
      <c r="M129" t="str">
        <f t="shared" ca="1" si="7"/>
        <v>-</v>
      </c>
      <c r="N129" s="18" t="str">
        <f t="shared" si="8"/>
        <v>K104:L142</v>
      </c>
      <c r="O129" t="str">
        <f t="shared" si="9"/>
        <v>A104:A129</v>
      </c>
    </row>
    <row r="130" spans="1:15">
      <c r="A130" s="18" t="str">
        <f>Charms!K130</f>
        <v>Awareness</v>
      </c>
      <c r="B130" t="str">
        <f>Charms!B130</f>
        <v>Dragon’s Crushing Gaze</v>
      </c>
      <c r="C130" t="b">
        <f ca="1">OR(Values!$S$98&gt;=Charms!M130,IFERROR(Charms!J130=OFFSET(Values!$A$24,MATCH("S",Values!$T$25:$T$50,0),0),FALSE))</f>
        <v>0</v>
      </c>
      <c r="D130" t="b">
        <f>VLOOKUP(Charms!J130,Values!$A$11:$S$59,19,0)&gt;=Charms!L130</f>
        <v>0</v>
      </c>
      <c r="E130" t="e">
        <f>OR(ISBLANK(Charms!I130),(VLOOKUP(Values!$S$6,Castes!$B$2:$F$25,4,0)=Charms!I130))</f>
        <v>#N/A</v>
      </c>
      <c r="J130" t="e">
        <f t="shared" ca="1" si="6"/>
        <v>#N/A</v>
      </c>
      <c r="K130" s="18" t="e">
        <f t="shared" ref="K130:K193" ca="1" si="10">IF(L130="","",COUNTIF(INDIRECT("J"&amp;MATCH(A130,A:A,0)&amp;":J"&amp;ROW()),J130))</f>
        <v>#N/A</v>
      </c>
      <c r="L130" t="e">
        <f ca="1">IF(J130,Charms!B130,"")</f>
        <v>#N/A</v>
      </c>
      <c r="M130" t="str">
        <f t="shared" ca="1" si="7"/>
        <v>-</v>
      </c>
      <c r="N130" s="18" t="str">
        <f t="shared" si="8"/>
        <v>K104:L142</v>
      </c>
      <c r="O130" t="str">
        <f t="shared" si="9"/>
        <v>A104:A130</v>
      </c>
    </row>
    <row r="131" spans="1:15">
      <c r="A131" s="18" t="str">
        <f>Charms!K131</f>
        <v>Awareness</v>
      </c>
      <c r="B131" t="str">
        <f>Charms!B131</f>
        <v>Hesiesh’s Discerning Tongue</v>
      </c>
      <c r="C131" t="b">
        <f ca="1">OR(Values!$S$98&gt;=Charms!M131,IFERROR(Charms!J131=OFFSET(Values!$A$24,MATCH("S",Values!$T$25:$T$50,0),0),FALSE))</f>
        <v>0</v>
      </c>
      <c r="D131" t="b">
        <f>VLOOKUP(Charms!J131,Values!$A$11:$S$59,19,0)&gt;=Charms!L131</f>
        <v>0</v>
      </c>
      <c r="E131" t="e">
        <f>OR(ISBLANK(Charms!I131),(VLOOKUP(Values!$S$6,Castes!$B$2:$F$25,4,0)=Charms!I131))</f>
        <v>#N/A</v>
      </c>
      <c r="J131" t="e">
        <f t="shared" ref="J131:J194" ca="1" si="11">(C131+D131+E131+F131+G131+H131+I131)=3</f>
        <v>#N/A</v>
      </c>
      <c r="K131" s="18" t="e">
        <f t="shared" ca="1" si="10"/>
        <v>#N/A</v>
      </c>
      <c r="L131" t="e">
        <f ca="1">IF(J131,Charms!B131,"")</f>
        <v>#N/A</v>
      </c>
      <c r="M131" t="str">
        <f t="shared" ref="M131:M194" ca="1" si="12">IFERROR(VLOOKUP(COUNTIF(INDIRECT(O131),A131),INDIRECT(N131),2,0),"-")</f>
        <v>-</v>
      </c>
      <c r="N131" s="18" t="str">
        <f t="shared" ref="N131:N194" si="13">"K"&amp;MATCH(A131,A:A,0)&amp;":L"&amp;(MATCH(A131,A:A,0)+COUNTIF(A:A,A131)-1)</f>
        <v>K104:L142</v>
      </c>
      <c r="O131" t="str">
        <f t="shared" ref="O131:O194" si="14">"A"&amp;MATCH(A131,A:A,0)&amp;":A"&amp;ROW()</f>
        <v>A104:A131</v>
      </c>
    </row>
    <row r="132" spans="1:15">
      <c r="A132" s="18" t="str">
        <f>Charms!K132</f>
        <v>Awareness</v>
      </c>
      <c r="B132" t="str">
        <f>Charms!B132</f>
        <v>Feeling the Dragon’s Bones</v>
      </c>
      <c r="C132" t="b">
        <f ca="1">OR(Values!$S$98&gt;=Charms!M132,IFERROR(Charms!J132=OFFSET(Values!$A$24,MATCH("S",Values!$T$25:$T$50,0),0),FALSE))</f>
        <v>0</v>
      </c>
      <c r="D132" t="b">
        <f>VLOOKUP(Charms!J132,Values!$A$11:$S$59,19,0)&gt;=Charms!L132</f>
        <v>0</v>
      </c>
      <c r="E132" t="e">
        <f>OR(ISBLANK(Charms!I132),(VLOOKUP(Values!$S$6,Castes!$B$2:$F$25,4,0)=Charms!I132))</f>
        <v>#N/A</v>
      </c>
      <c r="J132" t="e">
        <f t="shared" ca="1" si="11"/>
        <v>#N/A</v>
      </c>
      <c r="K132" s="18" t="e">
        <f t="shared" ca="1" si="10"/>
        <v>#N/A</v>
      </c>
      <c r="L132" t="e">
        <f ca="1">IF(J132,Charms!B132,"")</f>
        <v>#N/A</v>
      </c>
      <c r="M132" t="str">
        <f t="shared" ca="1" si="12"/>
        <v>-</v>
      </c>
      <c r="N132" s="18" t="str">
        <f t="shared" si="13"/>
        <v>K104:L142</v>
      </c>
      <c r="O132" t="str">
        <f t="shared" si="14"/>
        <v>A104:A132</v>
      </c>
    </row>
    <row r="133" spans="1:15">
      <c r="A133" s="18" t="str">
        <f>Charms!K133</f>
        <v>Awareness</v>
      </c>
      <c r="B133" t="str">
        <f>Charms!B133</f>
        <v>Dragon’s Twitching Whisker</v>
      </c>
      <c r="C133" t="b">
        <f ca="1">OR(Values!$S$98&gt;=Charms!M133,IFERROR(Charms!J133=OFFSET(Values!$A$24,MATCH("S",Values!$T$25:$T$50,0),0),FALSE))</f>
        <v>0</v>
      </c>
      <c r="D133" t="b">
        <f>VLOOKUP(Charms!J133,Values!$A$11:$S$59,19,0)&gt;=Charms!L133</f>
        <v>0</v>
      </c>
      <c r="E133" t="e">
        <f>OR(ISBLANK(Charms!I133),(VLOOKUP(Values!$S$6,Castes!$B$2:$F$25,4,0)=Charms!I133))</f>
        <v>#N/A</v>
      </c>
      <c r="J133" t="e">
        <f t="shared" ca="1" si="11"/>
        <v>#N/A</v>
      </c>
      <c r="K133" s="18" t="e">
        <f t="shared" ca="1" si="10"/>
        <v>#N/A</v>
      </c>
      <c r="L133" t="e">
        <f ca="1">IF(J133,Charms!B133,"")</f>
        <v>#N/A</v>
      </c>
      <c r="M133" t="str">
        <f t="shared" ca="1" si="12"/>
        <v>-</v>
      </c>
      <c r="N133" s="18" t="str">
        <f t="shared" si="13"/>
        <v>K104:L142</v>
      </c>
      <c r="O133" t="str">
        <f t="shared" si="14"/>
        <v>A104:A133</v>
      </c>
    </row>
    <row r="134" spans="1:15">
      <c r="A134" s="18" t="str">
        <f>Charms!K134</f>
        <v>Awareness</v>
      </c>
      <c r="B134" t="str">
        <f>Charms!B134</f>
        <v>Sense the Hidden Ember</v>
      </c>
      <c r="C134" t="b">
        <f ca="1">OR(Values!$S$98&gt;=Charms!M134,IFERROR(Charms!J134=OFFSET(Values!$A$24,MATCH("S",Values!$T$25:$T$50,0),0),FALSE))</f>
        <v>0</v>
      </c>
      <c r="D134" t="b">
        <f>VLOOKUP(Charms!J134,Values!$A$11:$S$59,19,0)&gt;=Charms!L134</f>
        <v>0</v>
      </c>
      <c r="E134" t="e">
        <f>OR(ISBLANK(Charms!I134),(VLOOKUP(Values!$S$6,Castes!$B$2:$F$25,4,0)=Charms!I134))</f>
        <v>#N/A</v>
      </c>
      <c r="J134" t="e">
        <f t="shared" ca="1" si="11"/>
        <v>#N/A</v>
      </c>
      <c r="K134" s="18" t="e">
        <f t="shared" ca="1" si="10"/>
        <v>#N/A</v>
      </c>
      <c r="L134" t="e">
        <f ca="1">IF(J134,Charms!B134,"")</f>
        <v>#N/A</v>
      </c>
      <c r="M134" t="str">
        <f t="shared" ca="1" si="12"/>
        <v>-</v>
      </c>
      <c r="N134" s="18" t="str">
        <f t="shared" si="13"/>
        <v>K104:L142</v>
      </c>
      <c r="O134" t="str">
        <f t="shared" si="14"/>
        <v>A104:A134</v>
      </c>
    </row>
    <row r="135" spans="1:15">
      <c r="A135" s="18" t="str">
        <f>Charms!K135</f>
        <v>Awareness</v>
      </c>
      <c r="B135" t="str">
        <f>Charms!B135</f>
        <v>Horizon-Spanning Echoes</v>
      </c>
      <c r="C135" t="b">
        <f ca="1">OR(Values!$S$98&gt;=Charms!M135,IFERROR(Charms!J135=OFFSET(Values!$A$24,MATCH("S",Values!$T$25:$T$50,0),0),FALSE))</f>
        <v>0</v>
      </c>
      <c r="D135" t="b">
        <f>VLOOKUP(Charms!J135,Values!$A$11:$S$59,19,0)&gt;=Charms!L135</f>
        <v>0</v>
      </c>
      <c r="E135" t="e">
        <f>OR(ISBLANK(Charms!I135),(VLOOKUP(Values!$S$6,Castes!$B$2:$F$25,4,0)=Charms!I135))</f>
        <v>#N/A</v>
      </c>
      <c r="J135" t="e">
        <f t="shared" ca="1" si="11"/>
        <v>#N/A</v>
      </c>
      <c r="K135" s="18" t="e">
        <f t="shared" ca="1" si="10"/>
        <v>#N/A</v>
      </c>
      <c r="L135" t="e">
        <f ca="1">IF(J135,Charms!B135,"")</f>
        <v>#N/A</v>
      </c>
      <c r="M135" t="str">
        <f t="shared" ca="1" si="12"/>
        <v>-</v>
      </c>
      <c r="N135" s="18" t="str">
        <f t="shared" si="13"/>
        <v>K104:L142</v>
      </c>
      <c r="O135" t="str">
        <f t="shared" si="14"/>
        <v>A104:A135</v>
      </c>
    </row>
    <row r="136" spans="1:15">
      <c r="A136" s="18" t="str">
        <f>Charms!K136</f>
        <v>Awareness</v>
      </c>
      <c r="B136" t="str">
        <f>Charms!B136</f>
        <v>One-With-Earth Embodiment</v>
      </c>
      <c r="C136" t="b">
        <f ca="1">OR(Values!$S$98&gt;=Charms!M136,IFERROR(Charms!J136=OFFSET(Values!$A$24,MATCH("S",Values!$T$25:$T$50,0),0),FALSE))</f>
        <v>0</v>
      </c>
      <c r="D136" t="b">
        <f>VLOOKUP(Charms!J136,Values!$A$11:$S$59,19,0)&gt;=Charms!L136</f>
        <v>0</v>
      </c>
      <c r="E136" t="e">
        <f>OR(ISBLANK(Charms!I136),(VLOOKUP(Values!$S$6,Castes!$B$2:$F$25,4,0)=Charms!I136))</f>
        <v>#N/A</v>
      </c>
      <c r="J136" t="e">
        <f t="shared" ca="1" si="11"/>
        <v>#N/A</v>
      </c>
      <c r="K136" s="18" t="e">
        <f t="shared" ca="1" si="10"/>
        <v>#N/A</v>
      </c>
      <c r="L136" t="e">
        <f ca="1">IF(J136,Charms!B136,"")</f>
        <v>#N/A</v>
      </c>
      <c r="M136" t="str">
        <f t="shared" ca="1" si="12"/>
        <v>-</v>
      </c>
      <c r="N136" s="18" t="str">
        <f t="shared" si="13"/>
        <v>K104:L142</v>
      </c>
      <c r="O136" t="str">
        <f t="shared" si="14"/>
        <v>A104:A136</v>
      </c>
    </row>
    <row r="137" spans="1:15">
      <c r="A137" s="18" t="str">
        <f>Charms!K137</f>
        <v>Awareness</v>
      </c>
      <c r="B137" t="str">
        <f>Charms!B137</f>
        <v>Serpent-of-the-Depths Discernment</v>
      </c>
      <c r="C137" t="b">
        <f ca="1">OR(Values!$S$98&gt;=Charms!M137,IFERROR(Charms!J137=OFFSET(Values!$A$24,MATCH("S",Values!$T$25:$T$50,0),0),FALSE))</f>
        <v>0</v>
      </c>
      <c r="D137" t="b">
        <f>VLOOKUP(Charms!J137,Values!$A$11:$S$59,19,0)&gt;=Charms!L137</f>
        <v>0</v>
      </c>
      <c r="E137" t="e">
        <f>OR(ISBLANK(Charms!I137),(VLOOKUP(Values!$S$6,Castes!$B$2:$F$25,4,0)=Charms!I137))</f>
        <v>#N/A</v>
      </c>
      <c r="J137" t="e">
        <f t="shared" ca="1" si="11"/>
        <v>#N/A</v>
      </c>
      <c r="K137" s="18" t="e">
        <f t="shared" ca="1" si="10"/>
        <v>#N/A</v>
      </c>
      <c r="L137" t="e">
        <f ca="1">IF(J137,Charms!B137,"")</f>
        <v>#N/A</v>
      </c>
      <c r="M137" t="str">
        <f t="shared" ca="1" si="12"/>
        <v>-</v>
      </c>
      <c r="N137" s="18" t="str">
        <f t="shared" si="13"/>
        <v>K104:L142</v>
      </c>
      <c r="O137" t="str">
        <f t="shared" si="14"/>
        <v>A104:A137</v>
      </c>
    </row>
    <row r="138" spans="1:15">
      <c r="A138" s="18" t="str">
        <f>Charms!K138</f>
        <v>Awareness</v>
      </c>
      <c r="B138" t="str">
        <f>Charms!B138</f>
        <v>Eye of Blazing Truth</v>
      </c>
      <c r="C138" t="b">
        <f ca="1">OR(Values!$S$98&gt;=Charms!M138,IFERROR(Charms!J138=OFFSET(Values!$A$24,MATCH("S",Values!$T$25:$T$50,0),0),FALSE))</f>
        <v>0</v>
      </c>
      <c r="D138" t="b">
        <f>VLOOKUP(Charms!J138,Values!$A$11:$S$59,19,0)&gt;=Charms!L138</f>
        <v>0</v>
      </c>
      <c r="E138" t="e">
        <f>OR(ISBLANK(Charms!I138),(VLOOKUP(Values!$S$6,Castes!$B$2:$F$25,4,0)=Charms!I138))</f>
        <v>#N/A</v>
      </c>
      <c r="J138" t="e">
        <f t="shared" ca="1" si="11"/>
        <v>#N/A</v>
      </c>
      <c r="K138" s="18" t="e">
        <f t="shared" ca="1" si="10"/>
        <v>#N/A</v>
      </c>
      <c r="L138" t="e">
        <f ca="1">IF(J138,Charms!B138,"")</f>
        <v>#N/A</v>
      </c>
      <c r="M138" t="str">
        <f t="shared" ca="1" si="12"/>
        <v>-</v>
      </c>
      <c r="N138" s="18" t="str">
        <f t="shared" si="13"/>
        <v>K104:L142</v>
      </c>
      <c r="O138" t="str">
        <f t="shared" si="14"/>
        <v>A104:A138</v>
      </c>
    </row>
    <row r="139" spans="1:15">
      <c r="A139" s="18" t="str">
        <f>Charms!K139</f>
        <v>Awareness</v>
      </c>
      <c r="B139" t="str">
        <f>Charms!B139</f>
        <v>Dragon’s Flaring Nostrils</v>
      </c>
      <c r="C139" t="b">
        <f ca="1">OR(Values!$S$98&gt;=Charms!M139,IFERROR(Charms!J139=OFFSET(Values!$A$24,MATCH("S",Values!$T$25:$T$50,0),0),FALSE))</f>
        <v>0</v>
      </c>
      <c r="D139" t="b">
        <f>VLOOKUP(Charms!J139,Values!$A$11:$S$59,19,0)&gt;=Charms!L139</f>
        <v>0</v>
      </c>
      <c r="E139" t="e">
        <f>OR(ISBLANK(Charms!I139),(VLOOKUP(Values!$S$6,Castes!$B$2:$F$25,4,0)=Charms!I139))</f>
        <v>#N/A</v>
      </c>
      <c r="J139" t="e">
        <f t="shared" ca="1" si="11"/>
        <v>#N/A</v>
      </c>
      <c r="K139" s="18" t="e">
        <f t="shared" ca="1" si="10"/>
        <v>#N/A</v>
      </c>
      <c r="L139" t="e">
        <f ca="1">IF(J139,Charms!B139,"")</f>
        <v>#N/A</v>
      </c>
      <c r="M139" t="str">
        <f t="shared" ca="1" si="12"/>
        <v>-</v>
      </c>
      <c r="N139" s="18" t="str">
        <f t="shared" si="13"/>
        <v>K104:L142</v>
      </c>
      <c r="O139" t="str">
        <f t="shared" si="14"/>
        <v>A104:A139</v>
      </c>
    </row>
    <row r="140" spans="1:15">
      <c r="A140" s="18" t="str">
        <f>Charms!K140</f>
        <v>Awareness</v>
      </c>
      <c r="B140" t="str">
        <f>Charms!B140</f>
        <v>Sense-Riding Technique</v>
      </c>
      <c r="C140" t="b">
        <f ca="1">OR(Values!$S$98&gt;=Charms!M140,IFERROR(Charms!J140=OFFSET(Values!$A$24,MATCH("S",Values!$T$25:$T$50,0),0),FALSE))</f>
        <v>0</v>
      </c>
      <c r="D140" t="b">
        <f>VLOOKUP(Charms!J140,Values!$A$11:$S$59,19,0)&gt;=Charms!L140</f>
        <v>0</v>
      </c>
      <c r="E140" t="e">
        <f>OR(ISBLANK(Charms!I140),(VLOOKUP(Values!$S$6,Castes!$B$2:$F$25,4,0)=Charms!I140))</f>
        <v>#N/A</v>
      </c>
      <c r="J140" t="e">
        <f t="shared" ca="1" si="11"/>
        <v>#N/A</v>
      </c>
      <c r="K140" s="18" t="e">
        <f t="shared" ca="1" si="10"/>
        <v>#N/A</v>
      </c>
      <c r="L140" t="e">
        <f ca="1">IF(J140,Charms!B140,"")</f>
        <v>#N/A</v>
      </c>
      <c r="M140" t="str">
        <f t="shared" ca="1" si="12"/>
        <v>-</v>
      </c>
      <c r="N140" s="18" t="str">
        <f t="shared" si="13"/>
        <v>K104:L142</v>
      </c>
      <c r="O140" t="str">
        <f t="shared" si="14"/>
        <v>A104:A140</v>
      </c>
    </row>
    <row r="141" spans="1:15">
      <c r="A141" s="18" t="str">
        <f>Charms!K141</f>
        <v>Awareness</v>
      </c>
      <c r="B141" t="str">
        <f>Charms!B141</f>
        <v>Sense-Destroying Method</v>
      </c>
      <c r="C141" t="b">
        <f ca="1">OR(Values!$S$98&gt;=Charms!M141,IFERROR(Charms!J141=OFFSET(Values!$A$24,MATCH("S",Values!$T$25:$T$50,0),0),FALSE))</f>
        <v>0</v>
      </c>
      <c r="D141" t="b">
        <f>VLOOKUP(Charms!J141,Values!$A$11:$S$59,19,0)&gt;=Charms!L141</f>
        <v>0</v>
      </c>
      <c r="E141" t="e">
        <f>OR(ISBLANK(Charms!I141),(VLOOKUP(Values!$S$6,Castes!$B$2:$F$25,4,0)=Charms!I141))</f>
        <v>#N/A</v>
      </c>
      <c r="J141" t="e">
        <f t="shared" ca="1" si="11"/>
        <v>#N/A</v>
      </c>
      <c r="K141" s="18" t="e">
        <f t="shared" ca="1" si="10"/>
        <v>#N/A</v>
      </c>
      <c r="L141" t="e">
        <f ca="1">IF(J141,Charms!B141,"")</f>
        <v>#N/A</v>
      </c>
      <c r="M141" t="str">
        <f t="shared" ca="1" si="12"/>
        <v>-</v>
      </c>
      <c r="N141" s="18" t="str">
        <f t="shared" si="13"/>
        <v>K104:L142</v>
      </c>
      <c r="O141" t="str">
        <f t="shared" si="14"/>
        <v>A104:A141</v>
      </c>
    </row>
    <row r="142" spans="1:15">
      <c r="A142" s="18" t="str">
        <f>Charms!K142</f>
        <v>Awareness</v>
      </c>
      <c r="B142" t="str">
        <f>Charms!B142</f>
        <v>Essence Disruption Attack</v>
      </c>
      <c r="C142" t="b">
        <f ca="1">OR(Values!$S$98&gt;=Charms!M142,IFERROR(Charms!J142=OFFSET(Values!$A$24,MATCH("S",Values!$T$25:$T$50,0),0),FALSE))</f>
        <v>0</v>
      </c>
      <c r="D142" t="b">
        <f>VLOOKUP(Charms!J142,Values!$A$11:$S$59,19,0)&gt;=Charms!L142</f>
        <v>0</v>
      </c>
      <c r="E142" t="e">
        <f>OR(ISBLANK(Charms!I142),(VLOOKUP(Values!$S$6,Castes!$B$2:$F$25,4,0)=Charms!I142))</f>
        <v>#N/A</v>
      </c>
      <c r="J142" t="e">
        <f t="shared" ca="1" si="11"/>
        <v>#N/A</v>
      </c>
      <c r="K142" s="18" t="e">
        <f t="shared" ca="1" si="10"/>
        <v>#N/A</v>
      </c>
      <c r="L142" t="e">
        <f ca="1">IF(J142,Charms!B142,"")</f>
        <v>#N/A</v>
      </c>
      <c r="M142" t="str">
        <f t="shared" ca="1" si="12"/>
        <v>-</v>
      </c>
      <c r="N142" s="18" t="str">
        <f t="shared" si="13"/>
        <v>K104:L142</v>
      </c>
      <c r="O142" t="str">
        <f t="shared" si="14"/>
        <v>A104:A142</v>
      </c>
    </row>
    <row r="143" spans="1:15">
      <c r="A143" s="18" t="str">
        <f>Charms!K143</f>
        <v>Brawl</v>
      </c>
      <c r="B143" t="str">
        <f>Charms!B143</f>
        <v>Fists of Iron Technique</v>
      </c>
      <c r="C143" t="b">
        <f ca="1">OR(Values!$S$98&gt;=Charms!M143,IFERROR(Charms!J143=OFFSET(Values!$A$24,MATCH("S",Values!$T$25:$T$50,0),0),FALSE))</f>
        <v>1</v>
      </c>
      <c r="D143" t="b">
        <f>VLOOKUP(Charms!J143,Values!$A$11:$S$59,19,0)&gt;=Charms!L143</f>
        <v>0</v>
      </c>
      <c r="E143" t="e">
        <f>OR(ISBLANK(Charms!I143),(VLOOKUP(Values!$S$6,Castes!$B$2:$F$25,4,0)=Charms!I143))</f>
        <v>#N/A</v>
      </c>
      <c r="J143" t="e">
        <f t="shared" ca="1" si="11"/>
        <v>#N/A</v>
      </c>
      <c r="K143" s="18" t="e">
        <f t="shared" ca="1" si="10"/>
        <v>#N/A</v>
      </c>
      <c r="L143" t="e">
        <f ca="1">IF(J143,Charms!B143,"")</f>
        <v>#N/A</v>
      </c>
      <c r="M143" t="str">
        <f t="shared" ca="1" si="12"/>
        <v>-</v>
      </c>
      <c r="N143" s="18" t="str">
        <f t="shared" si="13"/>
        <v>K143:L217</v>
      </c>
      <c r="O143" t="str">
        <f t="shared" si="14"/>
        <v>A143:A143</v>
      </c>
    </row>
    <row r="144" spans="1:15">
      <c r="A144" s="18" t="str">
        <f>Charms!K144</f>
        <v>Brawl</v>
      </c>
      <c r="B144" t="str">
        <f>Charms!B144</f>
        <v>Iron Battle Focus</v>
      </c>
      <c r="C144" t="b">
        <f ca="1">OR(Values!$S$98&gt;=Charms!M144,IFERROR(Charms!J144=OFFSET(Values!$A$24,MATCH("S",Values!$T$25:$T$50,0),0),FALSE))</f>
        <v>1</v>
      </c>
      <c r="D144" t="b">
        <f>VLOOKUP(Charms!J144,Values!$A$11:$S$59,19,0)&gt;=Charms!L144</f>
        <v>0</v>
      </c>
      <c r="E144" t="e">
        <f>OR(ISBLANK(Charms!I144),(VLOOKUP(Values!$S$6,Castes!$B$2:$F$25,4,0)=Charms!I144))</f>
        <v>#N/A</v>
      </c>
      <c r="J144" t="e">
        <f t="shared" ca="1" si="11"/>
        <v>#N/A</v>
      </c>
      <c r="K144" s="18" t="e">
        <f t="shared" ca="1" si="10"/>
        <v>#N/A</v>
      </c>
      <c r="L144" t="e">
        <f ca="1">IF(J144,Charms!B144,"")</f>
        <v>#N/A</v>
      </c>
      <c r="M144" t="str">
        <f t="shared" ca="1" si="12"/>
        <v>-</v>
      </c>
      <c r="N144" s="18" t="str">
        <f t="shared" si="13"/>
        <v>K143:L217</v>
      </c>
      <c r="O144" t="str">
        <f t="shared" si="14"/>
        <v>A143:A144</v>
      </c>
    </row>
    <row r="145" spans="1:15">
      <c r="A145" s="18" t="str">
        <f>Charms!K145</f>
        <v>Brawl</v>
      </c>
      <c r="B145" t="str">
        <f>Charms!B145</f>
        <v>Ferocious Jab</v>
      </c>
      <c r="C145" t="b">
        <f ca="1">OR(Values!$S$98&gt;=Charms!M145,IFERROR(Charms!J145=OFFSET(Values!$A$24,MATCH("S",Values!$T$25:$T$50,0),0),FALSE))</f>
        <v>1</v>
      </c>
      <c r="D145" t="b">
        <f>VLOOKUP(Charms!J145,Values!$A$11:$S$59,19,0)&gt;=Charms!L145</f>
        <v>0</v>
      </c>
      <c r="E145" t="e">
        <f>OR(ISBLANK(Charms!I145),(VLOOKUP(Values!$S$6,Castes!$B$2:$F$25,4,0)=Charms!I145))</f>
        <v>#N/A</v>
      </c>
      <c r="J145" t="e">
        <f t="shared" ca="1" si="11"/>
        <v>#N/A</v>
      </c>
      <c r="K145" s="18" t="e">
        <f t="shared" ca="1" si="10"/>
        <v>#N/A</v>
      </c>
      <c r="L145" t="e">
        <f ca="1">IF(J145,Charms!B145,"")</f>
        <v>#N/A</v>
      </c>
      <c r="M145" t="str">
        <f t="shared" ca="1" si="12"/>
        <v>-</v>
      </c>
      <c r="N145" s="18" t="str">
        <f t="shared" si="13"/>
        <v>K143:L217</v>
      </c>
      <c r="O145" t="str">
        <f t="shared" si="14"/>
        <v>A143:A145</v>
      </c>
    </row>
    <row r="146" spans="1:15">
      <c r="A146" s="18" t="str">
        <f>Charms!K146</f>
        <v>Brawl</v>
      </c>
      <c r="B146" t="str">
        <f>Charms!B146</f>
        <v>Heaven Thunder Hammer</v>
      </c>
      <c r="C146" t="b">
        <f ca="1">OR(Values!$S$98&gt;=Charms!M146,IFERROR(Charms!J146=OFFSET(Values!$A$24,MATCH("S",Values!$T$25:$T$50,0),0),FALSE))</f>
        <v>1</v>
      </c>
      <c r="D146" t="b">
        <f>VLOOKUP(Charms!J146,Values!$A$11:$S$59,19,0)&gt;=Charms!L146</f>
        <v>0</v>
      </c>
      <c r="E146" t="e">
        <f>OR(ISBLANK(Charms!I146),(VLOOKUP(Values!$S$6,Castes!$B$2:$F$25,4,0)=Charms!I146))</f>
        <v>#N/A</v>
      </c>
      <c r="J146" t="e">
        <f t="shared" ca="1" si="11"/>
        <v>#N/A</v>
      </c>
      <c r="K146" s="18" t="e">
        <f t="shared" ca="1" si="10"/>
        <v>#N/A</v>
      </c>
      <c r="L146" t="e">
        <f ca="1">IF(J146,Charms!B146,"")</f>
        <v>#N/A</v>
      </c>
      <c r="M146" t="str">
        <f t="shared" ca="1" si="12"/>
        <v>-</v>
      </c>
      <c r="N146" s="18" t="str">
        <f t="shared" si="13"/>
        <v>K143:L217</v>
      </c>
      <c r="O146" t="str">
        <f t="shared" si="14"/>
        <v>A143:A146</v>
      </c>
    </row>
    <row r="147" spans="1:15">
      <c r="A147" s="18" t="str">
        <f>Charms!K147</f>
        <v>Brawl</v>
      </c>
      <c r="B147" t="str">
        <f>Charms!B147</f>
        <v>Vicious Lunge</v>
      </c>
      <c r="C147" t="b">
        <f ca="1">OR(Values!$S$98&gt;=Charms!M147,IFERROR(Charms!J147=OFFSET(Values!$A$24,MATCH("S",Values!$T$25:$T$50,0),0),FALSE))</f>
        <v>1</v>
      </c>
      <c r="D147" t="b">
        <f>VLOOKUP(Charms!J147,Values!$A$11:$S$59,19,0)&gt;=Charms!L147</f>
        <v>0</v>
      </c>
      <c r="E147" t="e">
        <f>OR(ISBLANK(Charms!I147),(VLOOKUP(Values!$S$6,Castes!$B$2:$F$25,4,0)=Charms!I147))</f>
        <v>#N/A</v>
      </c>
      <c r="J147" t="e">
        <f t="shared" ca="1" si="11"/>
        <v>#N/A</v>
      </c>
      <c r="K147" s="18" t="e">
        <f t="shared" ca="1" si="10"/>
        <v>#N/A</v>
      </c>
      <c r="L147" t="e">
        <f ca="1">IF(J147,Charms!B147,"")</f>
        <v>#N/A</v>
      </c>
      <c r="M147" t="str">
        <f t="shared" ca="1" si="12"/>
        <v>-</v>
      </c>
      <c r="N147" s="18" t="str">
        <f t="shared" si="13"/>
        <v>K143:L217</v>
      </c>
      <c r="O147" t="str">
        <f t="shared" si="14"/>
        <v>A143:A147</v>
      </c>
    </row>
    <row r="148" spans="1:15">
      <c r="A148" s="18" t="str">
        <f>Charms!K148</f>
        <v>Brawl</v>
      </c>
      <c r="B148" t="str">
        <f>Charms!B148</f>
        <v>Unbreakable Grasp</v>
      </c>
      <c r="C148" t="b">
        <f ca="1">OR(Values!$S$98&gt;=Charms!M148,IFERROR(Charms!J148=OFFSET(Values!$A$24,MATCH("S",Values!$T$25:$T$50,0),0),FALSE))</f>
        <v>1</v>
      </c>
      <c r="D148" t="b">
        <f>VLOOKUP(Charms!J148,Values!$A$11:$S$59,19,0)&gt;=Charms!L148</f>
        <v>0</v>
      </c>
      <c r="E148" t="e">
        <f>OR(ISBLANK(Charms!I148),(VLOOKUP(Values!$S$6,Castes!$B$2:$F$25,4,0)=Charms!I148))</f>
        <v>#N/A</v>
      </c>
      <c r="J148" t="e">
        <f t="shared" ca="1" si="11"/>
        <v>#N/A</v>
      </c>
      <c r="K148" s="18" t="e">
        <f t="shared" ca="1" si="10"/>
        <v>#N/A</v>
      </c>
      <c r="L148" t="e">
        <f ca="1">IF(J148,Charms!B148,"")</f>
        <v>#N/A</v>
      </c>
      <c r="M148" t="str">
        <f t="shared" ca="1" si="12"/>
        <v>-</v>
      </c>
      <c r="N148" s="18" t="str">
        <f t="shared" si="13"/>
        <v>K143:L217</v>
      </c>
      <c r="O148" t="str">
        <f t="shared" si="14"/>
        <v>A143:A148</v>
      </c>
    </row>
    <row r="149" spans="1:15">
      <c r="A149" s="18" t="str">
        <f>Charms!K149</f>
        <v>Brawl</v>
      </c>
      <c r="B149" t="str">
        <f>Charms!B149</f>
        <v>Thunderclap Rush Attack</v>
      </c>
      <c r="C149" t="b">
        <f ca="1">OR(Values!$S$98&gt;=Charms!M149,IFERROR(Charms!J149=OFFSET(Values!$A$24,MATCH("S",Values!$T$25:$T$50,0),0),FALSE))</f>
        <v>1</v>
      </c>
      <c r="D149" t="b">
        <f>VLOOKUP(Charms!J149,Values!$A$11:$S$59,19,0)&gt;=Charms!L149</f>
        <v>0</v>
      </c>
      <c r="E149" t="e">
        <f>OR(ISBLANK(Charms!I149),(VLOOKUP(Values!$S$6,Castes!$B$2:$F$25,4,0)=Charms!I149))</f>
        <v>#N/A</v>
      </c>
      <c r="J149" t="e">
        <f t="shared" ca="1" si="11"/>
        <v>#N/A</v>
      </c>
      <c r="K149" s="18" t="e">
        <f t="shared" ca="1" si="10"/>
        <v>#N/A</v>
      </c>
      <c r="L149" t="e">
        <f ca="1">IF(J149,Charms!B149,"")</f>
        <v>#N/A</v>
      </c>
      <c r="M149" t="str">
        <f t="shared" ca="1" si="12"/>
        <v>-</v>
      </c>
      <c r="N149" s="18" t="str">
        <f t="shared" si="13"/>
        <v>K143:L217</v>
      </c>
      <c r="O149" t="str">
        <f t="shared" si="14"/>
        <v>A143:A149</v>
      </c>
    </row>
    <row r="150" spans="1:15">
      <c r="A150" s="18" t="str">
        <f>Charms!K150</f>
        <v>Brawl</v>
      </c>
      <c r="B150" t="str">
        <f>Charms!B150</f>
        <v>Ox-Stunning Blow</v>
      </c>
      <c r="C150" t="b">
        <f ca="1">OR(Values!$S$98&gt;=Charms!M150,IFERROR(Charms!J150=OFFSET(Values!$A$24,MATCH("S",Values!$T$25:$T$50,0),0),FALSE))</f>
        <v>0</v>
      </c>
      <c r="D150" t="b">
        <f>VLOOKUP(Charms!J150,Values!$A$11:$S$59,19,0)&gt;=Charms!L150</f>
        <v>0</v>
      </c>
      <c r="E150" t="e">
        <f>OR(ISBLANK(Charms!I150),(VLOOKUP(Values!$S$6,Castes!$B$2:$F$25,4,0)=Charms!I150))</f>
        <v>#N/A</v>
      </c>
      <c r="J150" t="e">
        <f t="shared" ca="1" si="11"/>
        <v>#N/A</v>
      </c>
      <c r="K150" s="18" t="e">
        <f t="shared" ca="1" si="10"/>
        <v>#N/A</v>
      </c>
      <c r="L150" t="e">
        <f ca="1">IF(J150,Charms!B150,"")</f>
        <v>#N/A</v>
      </c>
      <c r="M150" t="str">
        <f t="shared" ca="1" si="12"/>
        <v>-</v>
      </c>
      <c r="N150" s="18" t="str">
        <f t="shared" si="13"/>
        <v>K143:L217</v>
      </c>
      <c r="O150" t="str">
        <f t="shared" si="14"/>
        <v>A143:A150</v>
      </c>
    </row>
    <row r="151" spans="1:15">
      <c r="A151" s="18" t="str">
        <f>Charms!K151</f>
        <v>Brawl</v>
      </c>
      <c r="B151" t="str">
        <f>Charms!B151</f>
        <v>Wind and Stones Defense</v>
      </c>
      <c r="C151" t="b">
        <f ca="1">OR(Values!$S$98&gt;=Charms!M151,IFERROR(Charms!J151=OFFSET(Values!$A$24,MATCH("S",Values!$T$25:$T$50,0),0),FALSE))</f>
        <v>1</v>
      </c>
      <c r="D151" t="b">
        <f>VLOOKUP(Charms!J151,Values!$A$11:$S$59,19,0)&gt;=Charms!L151</f>
        <v>0</v>
      </c>
      <c r="E151" t="e">
        <f>OR(ISBLANK(Charms!I151),(VLOOKUP(Values!$S$6,Castes!$B$2:$F$25,4,0)=Charms!I151))</f>
        <v>#N/A</v>
      </c>
      <c r="J151" t="e">
        <f t="shared" ca="1" si="11"/>
        <v>#N/A</v>
      </c>
      <c r="K151" s="18" t="e">
        <f t="shared" ca="1" si="10"/>
        <v>#N/A</v>
      </c>
      <c r="L151" t="e">
        <f ca="1">IF(J151,Charms!B151,"")</f>
        <v>#N/A</v>
      </c>
      <c r="M151" t="str">
        <f t="shared" ca="1" si="12"/>
        <v>-</v>
      </c>
      <c r="N151" s="18" t="str">
        <f t="shared" si="13"/>
        <v>K143:L217</v>
      </c>
      <c r="O151" t="str">
        <f t="shared" si="14"/>
        <v>A143:A151</v>
      </c>
    </row>
    <row r="152" spans="1:15">
      <c r="A152" s="18" t="str">
        <f>Charms!K152</f>
        <v>Brawl</v>
      </c>
      <c r="B152" t="str">
        <f>Charms!B152</f>
        <v>Crashing Wave Throw</v>
      </c>
      <c r="C152" t="b">
        <f ca="1">OR(Values!$S$98&gt;=Charms!M152,IFERROR(Charms!J152=OFFSET(Values!$A$24,MATCH("S",Values!$T$25:$T$50,0),0),FALSE))</f>
        <v>1</v>
      </c>
      <c r="D152" t="b">
        <f>VLOOKUP(Charms!J152,Values!$A$11:$S$59,19,0)&gt;=Charms!L152</f>
        <v>0</v>
      </c>
      <c r="E152" t="e">
        <f>OR(ISBLANK(Charms!I152),(VLOOKUP(Values!$S$6,Castes!$B$2:$F$25,4,0)=Charms!I152))</f>
        <v>#N/A</v>
      </c>
      <c r="J152" t="e">
        <f t="shared" ca="1" si="11"/>
        <v>#N/A</v>
      </c>
      <c r="K152" s="18" t="e">
        <f t="shared" ca="1" si="10"/>
        <v>#N/A</v>
      </c>
      <c r="L152" t="e">
        <f ca="1">IF(J152,Charms!B152,"")</f>
        <v>#N/A</v>
      </c>
      <c r="M152" t="str">
        <f t="shared" ca="1" si="12"/>
        <v>-</v>
      </c>
      <c r="N152" s="18" t="str">
        <f t="shared" si="13"/>
        <v>K143:L217</v>
      </c>
      <c r="O152" t="str">
        <f t="shared" si="14"/>
        <v>A143:A152</v>
      </c>
    </row>
    <row r="153" spans="1:15">
      <c r="A153" s="18" t="str">
        <f>Charms!K153</f>
        <v>Brawl</v>
      </c>
      <c r="B153" t="str">
        <f>Charms!B153</f>
        <v>Falling Hammer Strike</v>
      </c>
      <c r="C153" t="b">
        <f ca="1">OR(Values!$S$98&gt;=Charms!M153,IFERROR(Charms!J153=OFFSET(Values!$A$24,MATCH("S",Values!$T$25:$T$50,0),0),FALSE))</f>
        <v>1</v>
      </c>
      <c r="D153" t="b">
        <f>VLOOKUP(Charms!J153,Values!$A$11:$S$59,19,0)&gt;=Charms!L153</f>
        <v>0</v>
      </c>
      <c r="E153" t="e">
        <f>OR(ISBLANK(Charms!I153),(VLOOKUP(Values!$S$6,Castes!$B$2:$F$25,4,0)=Charms!I153))</f>
        <v>#N/A</v>
      </c>
      <c r="J153" t="e">
        <f t="shared" ca="1" si="11"/>
        <v>#N/A</v>
      </c>
      <c r="K153" s="18" t="e">
        <f t="shared" ca="1" si="10"/>
        <v>#N/A</v>
      </c>
      <c r="L153" t="e">
        <f ca="1">IF(J153,Charms!B153,"")</f>
        <v>#N/A</v>
      </c>
      <c r="M153" t="str">
        <f t="shared" ca="1" si="12"/>
        <v>-</v>
      </c>
      <c r="N153" s="18" t="str">
        <f t="shared" si="13"/>
        <v>K143:L217</v>
      </c>
      <c r="O153" t="str">
        <f t="shared" si="14"/>
        <v>A143:A153</v>
      </c>
    </row>
    <row r="154" spans="1:15">
      <c r="A154" s="18" t="str">
        <f>Charms!K154</f>
        <v>Brawl</v>
      </c>
      <c r="B154" t="str">
        <f>Charms!B154</f>
        <v>Reckless Fury Discard</v>
      </c>
      <c r="C154" t="b">
        <f ca="1">OR(Values!$S$98&gt;=Charms!M154,IFERROR(Charms!J154=OFFSET(Values!$A$24,MATCH("S",Values!$T$25:$T$50,0),0),FALSE))</f>
        <v>0</v>
      </c>
      <c r="D154" t="b">
        <f>VLOOKUP(Charms!J154,Values!$A$11:$S$59,19,0)&gt;=Charms!L154</f>
        <v>0</v>
      </c>
      <c r="E154" t="e">
        <f>OR(ISBLANK(Charms!I154),(VLOOKUP(Values!$S$6,Castes!$B$2:$F$25,4,0)=Charms!I154))</f>
        <v>#N/A</v>
      </c>
      <c r="J154" t="e">
        <f t="shared" ca="1" si="11"/>
        <v>#N/A</v>
      </c>
      <c r="K154" s="18" t="e">
        <f t="shared" ca="1" si="10"/>
        <v>#N/A</v>
      </c>
      <c r="L154" t="e">
        <f ca="1">IF(J154,Charms!B154,"")</f>
        <v>#N/A</v>
      </c>
      <c r="M154" t="str">
        <f t="shared" ca="1" si="12"/>
        <v>-</v>
      </c>
      <c r="N154" s="18" t="str">
        <f t="shared" si="13"/>
        <v>K143:L217</v>
      </c>
      <c r="O154" t="str">
        <f t="shared" si="14"/>
        <v>A143:A154</v>
      </c>
    </row>
    <row r="155" spans="1:15">
      <c r="A155" s="18" t="str">
        <f>Charms!K155</f>
        <v>Brawl</v>
      </c>
      <c r="B155" t="str">
        <f>Charms!B155</f>
        <v>Burning Fist Burial</v>
      </c>
      <c r="C155" t="b">
        <f ca="1">OR(Values!$S$98&gt;=Charms!M155,IFERROR(Charms!J155=OFFSET(Values!$A$24,MATCH("S",Values!$T$25:$T$50,0),0),FALSE))</f>
        <v>0</v>
      </c>
      <c r="D155" t="b">
        <f>VLOOKUP(Charms!J155,Values!$A$11:$S$59,19,0)&gt;=Charms!L155</f>
        <v>0</v>
      </c>
      <c r="E155" t="e">
        <f>OR(ISBLANK(Charms!I155),(VLOOKUP(Values!$S$6,Castes!$B$2:$F$25,4,0)=Charms!I155))</f>
        <v>#N/A</v>
      </c>
      <c r="J155" t="e">
        <f t="shared" ca="1" si="11"/>
        <v>#N/A</v>
      </c>
      <c r="K155" s="18" t="e">
        <f t="shared" ca="1" si="10"/>
        <v>#N/A</v>
      </c>
      <c r="L155" t="e">
        <f ca="1">IF(J155,Charms!B155,"")</f>
        <v>#N/A</v>
      </c>
      <c r="M155" t="str">
        <f t="shared" ca="1" si="12"/>
        <v>-</v>
      </c>
      <c r="N155" s="18" t="str">
        <f t="shared" si="13"/>
        <v>K143:L217</v>
      </c>
      <c r="O155" t="str">
        <f t="shared" si="14"/>
        <v>A143:A155</v>
      </c>
    </row>
    <row r="156" spans="1:15">
      <c r="A156" s="18" t="str">
        <f>Charms!K156</f>
        <v>Brawl</v>
      </c>
      <c r="B156" t="str">
        <f>Charms!B156</f>
        <v>Force-Rending Strike</v>
      </c>
      <c r="C156" t="b">
        <f ca="1">OR(Values!$S$98&gt;=Charms!M156,IFERROR(Charms!J156=OFFSET(Values!$A$24,MATCH("S",Values!$T$25:$T$50,0),0),FALSE))</f>
        <v>0</v>
      </c>
      <c r="D156" t="b">
        <f>VLOOKUP(Charms!J156,Values!$A$11:$S$59,19,0)&gt;=Charms!L156</f>
        <v>0</v>
      </c>
      <c r="E156" t="e">
        <f>OR(ISBLANK(Charms!I156),(VLOOKUP(Values!$S$6,Castes!$B$2:$F$25,4,0)=Charms!I156))</f>
        <v>#N/A</v>
      </c>
      <c r="J156" t="e">
        <f t="shared" ca="1" si="11"/>
        <v>#N/A</v>
      </c>
      <c r="K156" s="18" t="e">
        <f t="shared" ca="1" si="10"/>
        <v>#N/A</v>
      </c>
      <c r="L156" t="e">
        <f ca="1">IF(J156,Charms!B156,"")</f>
        <v>#N/A</v>
      </c>
      <c r="M156" t="str">
        <f t="shared" ca="1" si="12"/>
        <v>-</v>
      </c>
      <c r="N156" s="18" t="str">
        <f t="shared" si="13"/>
        <v>K143:L217</v>
      </c>
      <c r="O156" t="str">
        <f t="shared" si="14"/>
        <v>A143:A156</v>
      </c>
    </row>
    <row r="157" spans="1:15">
      <c r="A157" s="18" t="str">
        <f>Charms!K157</f>
        <v>Brawl</v>
      </c>
      <c r="B157" t="str">
        <f>Charms!B157</f>
        <v>Sledgehammer Fist Punch</v>
      </c>
      <c r="C157" t="b">
        <f ca="1">OR(Values!$S$98&gt;=Charms!M157,IFERROR(Charms!J157=OFFSET(Values!$A$24,MATCH("S",Values!$T$25:$T$50,0),0),FALSE))</f>
        <v>0</v>
      </c>
      <c r="D157" t="b">
        <f>VLOOKUP(Charms!J157,Values!$A$11:$S$59,19,0)&gt;=Charms!L157</f>
        <v>0</v>
      </c>
      <c r="E157" t="e">
        <f>OR(ISBLANK(Charms!I157),(VLOOKUP(Values!$S$6,Castes!$B$2:$F$25,4,0)=Charms!I157))</f>
        <v>#N/A</v>
      </c>
      <c r="J157" t="e">
        <f t="shared" ca="1" si="11"/>
        <v>#N/A</v>
      </c>
      <c r="K157" s="18" t="e">
        <f t="shared" ca="1" si="10"/>
        <v>#N/A</v>
      </c>
      <c r="L157" t="e">
        <f ca="1">IF(J157,Charms!B157,"")</f>
        <v>#N/A</v>
      </c>
      <c r="M157" t="str">
        <f t="shared" ca="1" si="12"/>
        <v>-</v>
      </c>
      <c r="N157" s="18" t="str">
        <f t="shared" si="13"/>
        <v>K143:L217</v>
      </c>
      <c r="O157" t="str">
        <f t="shared" si="14"/>
        <v>A143:A157</v>
      </c>
    </row>
    <row r="158" spans="1:15">
      <c r="A158" s="18" t="str">
        <f>Charms!K158</f>
        <v>Brawl</v>
      </c>
      <c r="B158" t="str">
        <f>Charms!B158</f>
        <v>Oak-Curling Clinch</v>
      </c>
      <c r="C158" t="b">
        <f ca="1">OR(Values!$S$98&gt;=Charms!M158,IFERROR(Charms!J158=OFFSET(Values!$A$24,MATCH("S",Values!$T$25:$T$50,0),0),FALSE))</f>
        <v>0</v>
      </c>
      <c r="D158" t="b">
        <f>VLOOKUP(Charms!J158,Values!$A$11:$S$59,19,0)&gt;=Charms!L158</f>
        <v>0</v>
      </c>
      <c r="E158" t="e">
        <f>OR(ISBLANK(Charms!I158),(VLOOKUP(Values!$S$6,Castes!$B$2:$F$25,4,0)=Charms!I158))</f>
        <v>#N/A</v>
      </c>
      <c r="J158" t="e">
        <f t="shared" ca="1" si="11"/>
        <v>#N/A</v>
      </c>
      <c r="K158" s="18" t="e">
        <f t="shared" ca="1" si="10"/>
        <v>#N/A</v>
      </c>
      <c r="L158" t="e">
        <f ca="1">IF(J158,Charms!B158,"")</f>
        <v>#N/A</v>
      </c>
      <c r="M158" t="str">
        <f t="shared" ca="1" si="12"/>
        <v>-</v>
      </c>
      <c r="N158" s="18" t="str">
        <f t="shared" si="13"/>
        <v>K143:L217</v>
      </c>
      <c r="O158" t="str">
        <f t="shared" si="14"/>
        <v>A143:A158</v>
      </c>
    </row>
    <row r="159" spans="1:15">
      <c r="A159" s="18" t="str">
        <f>Charms!K159</f>
        <v>Brawl</v>
      </c>
      <c r="B159" t="str">
        <f>Charms!B159</f>
        <v>Burning Proof of Authority</v>
      </c>
      <c r="C159" t="b">
        <f ca="1">OR(Values!$S$98&gt;=Charms!M159,IFERROR(Charms!J159=OFFSET(Values!$A$24,MATCH("S",Values!$T$25:$T$50,0),0),FALSE))</f>
        <v>0</v>
      </c>
      <c r="D159" t="b">
        <f>VLOOKUP(Charms!J159,Values!$A$11:$S$59,19,0)&gt;=Charms!L159</f>
        <v>0</v>
      </c>
      <c r="E159" t="e">
        <f>OR(ISBLANK(Charms!I159),(VLOOKUP(Values!$S$6,Castes!$B$2:$F$25,4,0)=Charms!I159))</f>
        <v>#N/A</v>
      </c>
      <c r="J159" t="e">
        <f t="shared" ca="1" si="11"/>
        <v>#N/A</v>
      </c>
      <c r="K159" s="18" t="e">
        <f t="shared" ca="1" si="10"/>
        <v>#N/A</v>
      </c>
      <c r="L159" t="e">
        <f ca="1">IF(J159,Charms!B159,"")</f>
        <v>#N/A</v>
      </c>
      <c r="M159" t="str">
        <f t="shared" ca="1" si="12"/>
        <v>-</v>
      </c>
      <c r="N159" s="18" t="str">
        <f t="shared" si="13"/>
        <v>K143:L217</v>
      </c>
      <c r="O159" t="str">
        <f t="shared" si="14"/>
        <v>A143:A159</v>
      </c>
    </row>
    <row r="160" spans="1:15">
      <c r="A160" s="18" t="str">
        <f>Charms!K160</f>
        <v>Brawl</v>
      </c>
      <c r="B160" t="str">
        <f>Charms!B160</f>
        <v>Swift Strike Prana</v>
      </c>
      <c r="C160" t="b">
        <f ca="1">OR(Values!$S$98&gt;=Charms!M160,IFERROR(Charms!J160=OFFSET(Values!$A$24,MATCH("S",Values!$T$25:$T$50,0),0),FALSE))</f>
        <v>1</v>
      </c>
      <c r="D160" t="b">
        <f>VLOOKUP(Charms!J160,Values!$A$11:$S$59,19,0)&gt;=Charms!L160</f>
        <v>0</v>
      </c>
      <c r="E160" t="e">
        <f>OR(ISBLANK(Charms!I160),(VLOOKUP(Values!$S$6,Castes!$B$2:$F$25,4,0)=Charms!I160))</f>
        <v>#N/A</v>
      </c>
      <c r="J160" t="e">
        <f t="shared" ca="1" si="11"/>
        <v>#N/A</v>
      </c>
      <c r="K160" s="18" t="e">
        <f t="shared" ca="1" si="10"/>
        <v>#N/A</v>
      </c>
      <c r="L160" t="e">
        <f ca="1">IF(J160,Charms!B160,"")</f>
        <v>#N/A</v>
      </c>
      <c r="M160" t="str">
        <f t="shared" ca="1" si="12"/>
        <v>-</v>
      </c>
      <c r="N160" s="18" t="str">
        <f t="shared" si="13"/>
        <v>K143:L217</v>
      </c>
      <c r="O160" t="str">
        <f t="shared" si="14"/>
        <v>A143:A160</v>
      </c>
    </row>
    <row r="161" spans="1:15">
      <c r="A161" s="18" t="str">
        <f>Charms!K161</f>
        <v>Brawl</v>
      </c>
      <c r="B161" t="str">
        <f>Charms!B161</f>
        <v>Devil-Strangling Attitude</v>
      </c>
      <c r="C161" t="b">
        <f ca="1">OR(Values!$S$98&gt;=Charms!M161,IFERROR(Charms!J161=OFFSET(Values!$A$24,MATCH("S",Values!$T$25:$T$50,0),0),FALSE))</f>
        <v>1</v>
      </c>
      <c r="D161" t="b">
        <f>VLOOKUP(Charms!J161,Values!$A$11:$S$59,19,0)&gt;=Charms!L161</f>
        <v>0</v>
      </c>
      <c r="E161" t="e">
        <f>OR(ISBLANK(Charms!I161),(VLOOKUP(Values!$S$6,Castes!$B$2:$F$25,4,0)=Charms!I161))</f>
        <v>#N/A</v>
      </c>
      <c r="J161" t="e">
        <f t="shared" ca="1" si="11"/>
        <v>#N/A</v>
      </c>
      <c r="K161" s="18" t="e">
        <f t="shared" ca="1" si="10"/>
        <v>#N/A</v>
      </c>
      <c r="L161" t="e">
        <f ca="1">IF(J161,Charms!B161,"")</f>
        <v>#N/A</v>
      </c>
      <c r="M161" t="str">
        <f t="shared" ca="1" si="12"/>
        <v>-</v>
      </c>
      <c r="N161" s="18" t="str">
        <f t="shared" si="13"/>
        <v>K143:L217</v>
      </c>
      <c r="O161" t="str">
        <f t="shared" si="14"/>
        <v>A143:A161</v>
      </c>
    </row>
    <row r="162" spans="1:15">
      <c r="A162" s="18" t="str">
        <f>Charms!K162</f>
        <v>Brawl</v>
      </c>
      <c r="B162" t="str">
        <f>Charms!B162</f>
        <v>Solar Cross-Counter</v>
      </c>
      <c r="C162" t="b">
        <f ca="1">OR(Values!$S$98&gt;=Charms!M162,IFERROR(Charms!J162=OFFSET(Values!$A$24,MATCH("S",Values!$T$25:$T$50,0),0),FALSE))</f>
        <v>0</v>
      </c>
      <c r="D162" t="b">
        <f>VLOOKUP(Charms!J162,Values!$A$11:$S$59,19,0)&gt;=Charms!L162</f>
        <v>0</v>
      </c>
      <c r="E162" t="e">
        <f>OR(ISBLANK(Charms!I162),(VLOOKUP(Values!$S$6,Castes!$B$2:$F$25,4,0)=Charms!I162))</f>
        <v>#N/A</v>
      </c>
      <c r="J162" t="e">
        <f t="shared" ca="1" si="11"/>
        <v>#N/A</v>
      </c>
      <c r="K162" s="18" t="e">
        <f t="shared" ca="1" si="10"/>
        <v>#N/A</v>
      </c>
      <c r="L162" t="e">
        <f ca="1">IF(J162,Charms!B162,"")</f>
        <v>#N/A</v>
      </c>
      <c r="M162" t="str">
        <f t="shared" ca="1" si="12"/>
        <v>-</v>
      </c>
      <c r="N162" s="18" t="str">
        <f t="shared" si="13"/>
        <v>K143:L217</v>
      </c>
      <c r="O162" t="str">
        <f t="shared" si="14"/>
        <v>A143:A162</v>
      </c>
    </row>
    <row r="163" spans="1:15">
      <c r="A163" s="18" t="str">
        <f>Charms!K163</f>
        <v>Brawl</v>
      </c>
      <c r="B163" t="str">
        <f>Charms!B163</f>
        <v>Blade-Rebuking Wrath</v>
      </c>
      <c r="C163" t="b">
        <f ca="1">OR(Values!$S$98&gt;=Charms!M163,IFERROR(Charms!J163=OFFSET(Values!$A$24,MATCH("S",Values!$T$25:$T$50,0),0),FALSE))</f>
        <v>0</v>
      </c>
      <c r="D163" t="b">
        <f>VLOOKUP(Charms!J163,Values!$A$11:$S$59,19,0)&gt;=Charms!L163</f>
        <v>0</v>
      </c>
      <c r="E163" t="e">
        <f>OR(ISBLANK(Charms!I163),(VLOOKUP(Values!$S$6,Castes!$B$2:$F$25,4,0)=Charms!I163))</f>
        <v>#N/A</v>
      </c>
      <c r="J163" t="e">
        <f t="shared" ca="1" si="11"/>
        <v>#N/A</v>
      </c>
      <c r="K163" s="18" t="e">
        <f t="shared" ca="1" si="10"/>
        <v>#N/A</v>
      </c>
      <c r="L163" t="e">
        <f ca="1">IF(J163,Charms!B163,"")</f>
        <v>#N/A</v>
      </c>
      <c r="M163" t="str">
        <f t="shared" ca="1" si="12"/>
        <v>-</v>
      </c>
      <c r="N163" s="18" t="str">
        <f t="shared" si="13"/>
        <v>K143:L217</v>
      </c>
      <c r="O163" t="str">
        <f t="shared" si="14"/>
        <v>A143:A163</v>
      </c>
    </row>
    <row r="164" spans="1:15">
      <c r="A164" s="18" t="str">
        <f>Charms!K164</f>
        <v>Brawl</v>
      </c>
      <c r="B164" t="str">
        <f>Charms!B164</f>
        <v>Hammer on Iron Technique</v>
      </c>
      <c r="C164" t="b">
        <f ca="1">OR(Values!$S$98&gt;=Charms!M164,IFERROR(Charms!J164=OFFSET(Values!$A$24,MATCH("S",Values!$T$25:$T$50,0),0),FALSE))</f>
        <v>0</v>
      </c>
      <c r="D164" t="b">
        <f>VLOOKUP(Charms!J164,Values!$A$11:$S$59,19,0)&gt;=Charms!L164</f>
        <v>0</v>
      </c>
      <c r="E164" t="e">
        <f>OR(ISBLANK(Charms!I164),(VLOOKUP(Values!$S$6,Castes!$B$2:$F$25,4,0)=Charms!I164))</f>
        <v>#N/A</v>
      </c>
      <c r="J164" t="e">
        <f t="shared" ca="1" si="11"/>
        <v>#N/A</v>
      </c>
      <c r="K164" s="18" t="e">
        <f t="shared" ca="1" si="10"/>
        <v>#N/A</v>
      </c>
      <c r="L164" t="e">
        <f ca="1">IF(J164,Charms!B164,"")</f>
        <v>#N/A</v>
      </c>
      <c r="M164" t="str">
        <f t="shared" ca="1" si="12"/>
        <v>-</v>
      </c>
      <c r="N164" s="18" t="str">
        <f t="shared" si="13"/>
        <v>K143:L217</v>
      </c>
      <c r="O164" t="str">
        <f t="shared" si="14"/>
        <v>A143:A164</v>
      </c>
    </row>
    <row r="165" spans="1:15">
      <c r="A165" s="18" t="str">
        <f>Charms!K165</f>
        <v>Brawl</v>
      </c>
      <c r="B165" t="str">
        <f>Charms!B165</f>
        <v>One With Violence</v>
      </c>
      <c r="C165" t="b">
        <f ca="1">OR(Values!$S$98&gt;=Charms!M165,IFERROR(Charms!J165=OFFSET(Values!$A$24,MATCH("S",Values!$T$25:$T$50,0),0),FALSE))</f>
        <v>0</v>
      </c>
      <c r="D165" t="b">
        <f>VLOOKUP(Charms!J165,Values!$A$11:$S$59,19,0)&gt;=Charms!L165</f>
        <v>0</v>
      </c>
      <c r="E165" t="e">
        <f>OR(ISBLANK(Charms!I165),(VLOOKUP(Values!$S$6,Castes!$B$2:$F$25,4,0)=Charms!I165))</f>
        <v>#N/A</v>
      </c>
      <c r="J165" t="e">
        <f t="shared" ca="1" si="11"/>
        <v>#N/A</v>
      </c>
      <c r="K165" s="18" t="e">
        <f t="shared" ca="1" si="10"/>
        <v>#N/A</v>
      </c>
      <c r="L165" t="e">
        <f ca="1">IF(J165,Charms!B165,"")</f>
        <v>#N/A</v>
      </c>
      <c r="M165" t="str">
        <f t="shared" ca="1" si="12"/>
        <v>-</v>
      </c>
      <c r="N165" s="18" t="str">
        <f t="shared" si="13"/>
        <v>K143:L217</v>
      </c>
      <c r="O165" t="str">
        <f t="shared" si="14"/>
        <v>A143:A165</v>
      </c>
    </row>
    <row r="166" spans="1:15">
      <c r="A166" s="18" t="str">
        <f>Charms!K166</f>
        <v>Brawl</v>
      </c>
      <c r="B166" t="str">
        <f>Charms!B166</f>
        <v>Dancing With Strife Technique</v>
      </c>
      <c r="C166" t="b">
        <f ca="1">OR(Values!$S$98&gt;=Charms!M166,IFERROR(Charms!J166=OFFSET(Values!$A$24,MATCH("S",Values!$T$25:$T$50,0),0),FALSE))</f>
        <v>0</v>
      </c>
      <c r="D166" t="b">
        <f>VLOOKUP(Charms!J166,Values!$A$11:$S$59,19,0)&gt;=Charms!L166</f>
        <v>0</v>
      </c>
      <c r="E166" t="e">
        <f>OR(ISBLANK(Charms!I166),(VLOOKUP(Values!$S$6,Castes!$B$2:$F$25,4,0)=Charms!I166))</f>
        <v>#N/A</v>
      </c>
      <c r="J166" t="e">
        <f t="shared" ca="1" si="11"/>
        <v>#N/A</v>
      </c>
      <c r="K166" s="18" t="e">
        <f t="shared" ca="1" si="10"/>
        <v>#N/A</v>
      </c>
      <c r="L166" t="e">
        <f ca="1">IF(J166,Charms!B166,"")</f>
        <v>#N/A</v>
      </c>
      <c r="M166" t="str">
        <f t="shared" ca="1" si="12"/>
        <v>-</v>
      </c>
      <c r="N166" s="18" t="str">
        <f t="shared" si="13"/>
        <v>K143:L217</v>
      </c>
      <c r="O166" t="str">
        <f t="shared" si="14"/>
        <v>A143:A166</v>
      </c>
    </row>
    <row r="167" spans="1:15">
      <c r="A167" s="18" t="str">
        <f>Charms!K167</f>
        <v>Brawl</v>
      </c>
      <c r="B167" t="str">
        <f>Charms!B167</f>
        <v>Knockout Blow</v>
      </c>
      <c r="C167" t="b">
        <f ca="1">OR(Values!$S$98&gt;=Charms!M167,IFERROR(Charms!J167=OFFSET(Values!$A$24,MATCH("S",Values!$T$25:$T$50,0),0),FALSE))</f>
        <v>0</v>
      </c>
      <c r="D167" t="b">
        <f>VLOOKUP(Charms!J167,Values!$A$11:$S$59,19,0)&gt;=Charms!L167</f>
        <v>0</v>
      </c>
      <c r="E167" t="e">
        <f>OR(ISBLANK(Charms!I167),(VLOOKUP(Values!$S$6,Castes!$B$2:$F$25,4,0)=Charms!I167))</f>
        <v>#N/A</v>
      </c>
      <c r="J167" t="e">
        <f t="shared" ca="1" si="11"/>
        <v>#N/A</v>
      </c>
      <c r="K167" s="18" t="e">
        <f t="shared" ca="1" si="10"/>
        <v>#N/A</v>
      </c>
      <c r="L167" t="e">
        <f ca="1">IF(J167,Charms!B167,"")</f>
        <v>#N/A</v>
      </c>
      <c r="M167" t="str">
        <f t="shared" ca="1" si="12"/>
        <v>-</v>
      </c>
      <c r="N167" s="18" t="str">
        <f t="shared" si="13"/>
        <v>K143:L217</v>
      </c>
      <c r="O167" t="str">
        <f t="shared" si="14"/>
        <v>A143:A167</v>
      </c>
    </row>
    <row r="168" spans="1:15">
      <c r="A168" s="18" t="str">
        <f>Charms!K168</f>
        <v>Brawl</v>
      </c>
      <c r="B168" t="str">
        <f>Charms!B168</f>
        <v>Cancel the Apocalypse</v>
      </c>
      <c r="C168" t="b">
        <f ca="1">OR(Values!$S$98&gt;=Charms!M168,IFERROR(Charms!J168=OFFSET(Values!$A$24,MATCH("S",Values!$T$25:$T$50,0),0),FALSE))</f>
        <v>0</v>
      </c>
      <c r="D168" t="b">
        <f>VLOOKUP(Charms!J168,Values!$A$11:$S$59,19,0)&gt;=Charms!L168</f>
        <v>0</v>
      </c>
      <c r="E168" t="e">
        <f>OR(ISBLANK(Charms!I168),(VLOOKUP(Values!$S$6,Castes!$B$2:$F$25,4,0)=Charms!I168))</f>
        <v>#N/A</v>
      </c>
      <c r="J168" t="e">
        <f t="shared" ca="1" si="11"/>
        <v>#N/A</v>
      </c>
      <c r="K168" s="18" t="e">
        <f t="shared" ca="1" si="10"/>
        <v>#N/A</v>
      </c>
      <c r="L168" t="e">
        <f ca="1">IF(J168,Charms!B168,"")</f>
        <v>#N/A</v>
      </c>
      <c r="M168" t="str">
        <f t="shared" ca="1" si="12"/>
        <v>-</v>
      </c>
      <c r="N168" s="18" t="str">
        <f t="shared" si="13"/>
        <v>K143:L217</v>
      </c>
      <c r="O168" t="str">
        <f t="shared" si="14"/>
        <v>A143:A168</v>
      </c>
    </row>
    <row r="169" spans="1:15">
      <c r="A169" s="18" t="str">
        <f>Charms!K169</f>
        <v>Brawl</v>
      </c>
      <c r="B169" t="str">
        <f>Charms!B169</f>
        <v>Adamantine Fists of Battle</v>
      </c>
      <c r="C169" t="b">
        <f ca="1">OR(Values!$S$98&gt;=Charms!M169,IFERROR(Charms!J169=OFFSET(Values!$A$24,MATCH("S",Values!$T$25:$T$50,0),0),FALSE))</f>
        <v>0</v>
      </c>
      <c r="D169" t="b">
        <f>VLOOKUP(Charms!J169,Values!$A$11:$S$59,19,0)&gt;=Charms!L169</f>
        <v>0</v>
      </c>
      <c r="E169" t="e">
        <f>OR(ISBLANK(Charms!I169),(VLOOKUP(Values!$S$6,Castes!$B$2:$F$25,4,0)=Charms!I169))</f>
        <v>#N/A</v>
      </c>
      <c r="J169" t="e">
        <f t="shared" ca="1" si="11"/>
        <v>#N/A</v>
      </c>
      <c r="K169" s="18" t="e">
        <f t="shared" ca="1" si="10"/>
        <v>#N/A</v>
      </c>
      <c r="L169" t="e">
        <f ca="1">IF(J169,Charms!B169,"")</f>
        <v>#N/A</v>
      </c>
      <c r="M169" t="str">
        <f t="shared" ca="1" si="12"/>
        <v>-</v>
      </c>
      <c r="N169" s="18" t="str">
        <f t="shared" si="13"/>
        <v>K143:L217</v>
      </c>
      <c r="O169" t="str">
        <f t="shared" si="14"/>
        <v>A143:A169</v>
      </c>
    </row>
    <row r="170" spans="1:15">
      <c r="A170" s="18" t="str">
        <f>Charms!K170</f>
        <v>Brawl</v>
      </c>
      <c r="B170" t="str">
        <f>Charms!B170</f>
        <v>Intercepting Fury Smite</v>
      </c>
      <c r="C170" t="b">
        <f ca="1">OR(Values!$S$98&gt;=Charms!M170,IFERROR(Charms!J170=OFFSET(Values!$A$24,MATCH("S",Values!$T$25:$T$50,0),0),FALSE))</f>
        <v>0</v>
      </c>
      <c r="D170" t="b">
        <f>VLOOKUP(Charms!J170,Values!$A$11:$S$59,19,0)&gt;=Charms!L170</f>
        <v>0</v>
      </c>
      <c r="E170" t="e">
        <f>OR(ISBLANK(Charms!I170),(VLOOKUP(Values!$S$6,Castes!$B$2:$F$25,4,0)=Charms!I170))</f>
        <v>#N/A</v>
      </c>
      <c r="J170" t="e">
        <f t="shared" ca="1" si="11"/>
        <v>#N/A</v>
      </c>
      <c r="K170" s="18" t="e">
        <f t="shared" ca="1" si="10"/>
        <v>#N/A</v>
      </c>
      <c r="L170" t="e">
        <f ca="1">IF(J170,Charms!B170,"")</f>
        <v>#N/A</v>
      </c>
      <c r="M170" t="str">
        <f t="shared" ca="1" si="12"/>
        <v>-</v>
      </c>
      <c r="N170" s="18" t="str">
        <f t="shared" si="13"/>
        <v>K143:L217</v>
      </c>
      <c r="O170" t="str">
        <f t="shared" si="14"/>
        <v>A143:A170</v>
      </c>
    </row>
    <row r="171" spans="1:15">
      <c r="A171" s="18" t="str">
        <f>Charms!K171</f>
        <v>Brawl</v>
      </c>
      <c r="B171" t="str">
        <f>Charms!B171</f>
        <v>Fire-Eating Fist</v>
      </c>
      <c r="C171" t="b">
        <f ca="1">OR(Values!$S$98&gt;=Charms!M171,IFERROR(Charms!J171=OFFSET(Values!$A$24,MATCH("S",Values!$T$25:$T$50,0),0),FALSE))</f>
        <v>0</v>
      </c>
      <c r="D171" t="b">
        <f>VLOOKUP(Charms!J171,Values!$A$11:$S$59,19,0)&gt;=Charms!L171</f>
        <v>0</v>
      </c>
      <c r="E171" t="e">
        <f>OR(ISBLANK(Charms!I171),(VLOOKUP(Values!$S$6,Castes!$B$2:$F$25,4,0)=Charms!I171))</f>
        <v>#N/A</v>
      </c>
      <c r="J171" t="e">
        <f t="shared" ca="1" si="11"/>
        <v>#N/A</v>
      </c>
      <c r="K171" s="18" t="e">
        <f t="shared" ca="1" si="10"/>
        <v>#N/A</v>
      </c>
      <c r="L171" t="e">
        <f ca="1">IF(J171,Charms!B171,"")</f>
        <v>#N/A</v>
      </c>
      <c r="M171" t="str">
        <f t="shared" ca="1" si="12"/>
        <v>-</v>
      </c>
      <c r="N171" s="18" t="str">
        <f t="shared" si="13"/>
        <v>K143:L217</v>
      </c>
      <c r="O171" t="str">
        <f t="shared" si="14"/>
        <v>A143:A171</v>
      </c>
    </row>
    <row r="172" spans="1:15">
      <c r="A172" s="18" t="str">
        <f>Charms!K172</f>
        <v>Brawl</v>
      </c>
      <c r="B172" t="str">
        <f>Charms!B172</f>
        <v>River-Binding Wrath</v>
      </c>
      <c r="C172" t="b">
        <f ca="1">OR(Values!$S$98&gt;=Charms!M172,IFERROR(Charms!J172=OFFSET(Values!$A$24,MATCH("S",Values!$T$25:$T$50,0),0),FALSE))</f>
        <v>0</v>
      </c>
      <c r="D172" t="b">
        <f>VLOOKUP(Charms!J172,Values!$A$11:$S$59,19,0)&gt;=Charms!L172</f>
        <v>0</v>
      </c>
      <c r="E172" t="e">
        <f>OR(ISBLANK(Charms!I172),(VLOOKUP(Values!$S$6,Castes!$B$2:$F$25,4,0)=Charms!I172))</f>
        <v>#N/A</v>
      </c>
      <c r="J172" t="e">
        <f t="shared" ca="1" si="11"/>
        <v>#N/A</v>
      </c>
      <c r="K172" s="18" t="e">
        <f t="shared" ca="1" si="10"/>
        <v>#N/A</v>
      </c>
      <c r="L172" t="e">
        <f ca="1">IF(J172,Charms!B172,"")</f>
        <v>#N/A</v>
      </c>
      <c r="M172" t="str">
        <f t="shared" ca="1" si="12"/>
        <v>-</v>
      </c>
      <c r="N172" s="18" t="str">
        <f t="shared" si="13"/>
        <v>K143:L217</v>
      </c>
      <c r="O172" t="str">
        <f t="shared" si="14"/>
        <v>A143:A172</v>
      </c>
    </row>
    <row r="173" spans="1:15">
      <c r="A173" s="18" t="str">
        <f>Charms!K173</f>
        <v>Brawl</v>
      </c>
      <c r="B173" t="str">
        <f>Charms!B173</f>
        <v>Wicked Dissolve Dust</v>
      </c>
      <c r="C173" t="b">
        <f ca="1">OR(Values!$S$98&gt;=Charms!M173,IFERROR(Charms!J173=OFFSET(Values!$A$24,MATCH("S",Values!$T$25:$T$50,0),0),FALSE))</f>
        <v>0</v>
      </c>
      <c r="D173" t="b">
        <f>VLOOKUP(Charms!J173,Values!$A$11:$S$59,19,0)&gt;=Charms!L173</f>
        <v>0</v>
      </c>
      <c r="E173" t="e">
        <f>OR(ISBLANK(Charms!I173),(VLOOKUP(Values!$S$6,Castes!$B$2:$F$25,4,0)=Charms!I173))</f>
        <v>#N/A</v>
      </c>
      <c r="J173" t="e">
        <f t="shared" ca="1" si="11"/>
        <v>#N/A</v>
      </c>
      <c r="K173" s="18" t="e">
        <f t="shared" ca="1" si="10"/>
        <v>#N/A</v>
      </c>
      <c r="L173" t="e">
        <f ca="1">IF(J173,Charms!B173,"")</f>
        <v>#N/A</v>
      </c>
      <c r="M173" t="str">
        <f t="shared" ca="1" si="12"/>
        <v>-</v>
      </c>
      <c r="N173" s="18" t="str">
        <f t="shared" si="13"/>
        <v>K143:L217</v>
      </c>
      <c r="O173" t="str">
        <f t="shared" si="14"/>
        <v>A143:A173</v>
      </c>
    </row>
    <row r="174" spans="1:15">
      <c r="A174" s="18" t="str">
        <f>Charms!K174</f>
        <v>Brawl</v>
      </c>
      <c r="B174" t="str">
        <f>Charms!B174</f>
        <v>Rapturous Cradle</v>
      </c>
      <c r="C174" t="b">
        <f ca="1">OR(Values!$S$98&gt;=Charms!M174,IFERROR(Charms!J174=OFFSET(Values!$A$24,MATCH("S",Values!$T$25:$T$50,0),0),FALSE))</f>
        <v>0</v>
      </c>
      <c r="D174" t="b">
        <f>VLOOKUP(Charms!J174,Values!$A$11:$S$59,19,0)&gt;=Charms!L174</f>
        <v>0</v>
      </c>
      <c r="E174" t="e">
        <f>OR(ISBLANK(Charms!I174),(VLOOKUP(Values!$S$6,Castes!$B$2:$F$25,4,0)=Charms!I174))</f>
        <v>#N/A</v>
      </c>
      <c r="J174" t="e">
        <f t="shared" ca="1" si="11"/>
        <v>#N/A</v>
      </c>
      <c r="K174" s="18" t="e">
        <f t="shared" ca="1" si="10"/>
        <v>#N/A</v>
      </c>
      <c r="L174" t="e">
        <f ca="1">IF(J174,Charms!B174,"")</f>
        <v>#N/A</v>
      </c>
      <c r="M174" t="str">
        <f t="shared" ca="1" si="12"/>
        <v>-</v>
      </c>
      <c r="N174" s="18" t="str">
        <f t="shared" si="13"/>
        <v>K143:L217</v>
      </c>
      <c r="O174" t="str">
        <f t="shared" si="14"/>
        <v>A143:A174</v>
      </c>
    </row>
    <row r="175" spans="1:15">
      <c r="A175" s="18" t="str">
        <f>Charms!K175</f>
        <v>Brawl</v>
      </c>
      <c r="B175" t="str">
        <f>Charms!B175</f>
        <v>Dragon Coil Technique</v>
      </c>
      <c r="C175" t="b">
        <f ca="1">OR(Values!$S$98&gt;=Charms!M175,IFERROR(Charms!J175=OFFSET(Values!$A$24,MATCH("S",Values!$T$25:$T$50,0),0),FALSE))</f>
        <v>0</v>
      </c>
      <c r="D175" t="b">
        <f>VLOOKUP(Charms!J175,Values!$A$11:$S$59,19,0)&gt;=Charms!L175</f>
        <v>0</v>
      </c>
      <c r="E175" t="e">
        <f>OR(ISBLANK(Charms!I175),(VLOOKUP(Values!$S$6,Castes!$B$2:$F$25,4,0)=Charms!I175))</f>
        <v>#N/A</v>
      </c>
      <c r="J175" t="e">
        <f t="shared" ca="1" si="11"/>
        <v>#N/A</v>
      </c>
      <c r="K175" s="18" t="e">
        <f t="shared" ca="1" si="10"/>
        <v>#N/A</v>
      </c>
      <c r="L175" t="e">
        <f ca="1">IF(J175,Charms!B175,"")</f>
        <v>#N/A</v>
      </c>
      <c r="M175" t="str">
        <f t="shared" ca="1" si="12"/>
        <v>-</v>
      </c>
      <c r="N175" s="18" t="str">
        <f t="shared" si="13"/>
        <v>K143:L217</v>
      </c>
      <c r="O175" t="str">
        <f t="shared" si="14"/>
        <v>A143:A175</v>
      </c>
    </row>
    <row r="176" spans="1:15">
      <c r="A176" s="18" t="str">
        <f>Charms!K176</f>
        <v>Brawl</v>
      </c>
      <c r="B176" t="str">
        <f>Charms!B176</f>
        <v>Ten Calamities Technique</v>
      </c>
      <c r="C176" t="b">
        <f ca="1">OR(Values!$S$98&gt;=Charms!M176,IFERROR(Charms!J176=OFFSET(Values!$A$24,MATCH("S",Values!$T$25:$T$50,0),0),FALSE))</f>
        <v>0</v>
      </c>
      <c r="D176" t="b">
        <f>VLOOKUP(Charms!J176,Values!$A$11:$S$59,19,0)&gt;=Charms!L176</f>
        <v>0</v>
      </c>
      <c r="E176" t="e">
        <f>OR(ISBLANK(Charms!I176),(VLOOKUP(Values!$S$6,Castes!$B$2:$F$25,4,0)=Charms!I176))</f>
        <v>#N/A</v>
      </c>
      <c r="J176" t="e">
        <f t="shared" ca="1" si="11"/>
        <v>#N/A</v>
      </c>
      <c r="K176" s="18" t="e">
        <f t="shared" ca="1" si="10"/>
        <v>#N/A</v>
      </c>
      <c r="L176" t="e">
        <f ca="1">IF(J176,Charms!B176,"")</f>
        <v>#N/A</v>
      </c>
      <c r="M176" t="str">
        <f t="shared" ca="1" si="12"/>
        <v>-</v>
      </c>
      <c r="N176" s="18" t="str">
        <f t="shared" si="13"/>
        <v>K143:L217</v>
      </c>
      <c r="O176" t="str">
        <f t="shared" si="14"/>
        <v>A143:A176</v>
      </c>
    </row>
    <row r="177" spans="1:15">
      <c r="A177" s="18" t="str">
        <f>Charms!K177</f>
        <v>Brawl</v>
      </c>
      <c r="B177" t="str">
        <f>Charms!B177</f>
        <v>Titan-Straightening Method</v>
      </c>
      <c r="C177" t="b">
        <f ca="1">OR(Values!$S$98&gt;=Charms!M177,IFERROR(Charms!J177=OFFSET(Values!$A$24,MATCH("S",Values!$T$25:$T$50,0),0),FALSE))</f>
        <v>0</v>
      </c>
      <c r="D177" t="b">
        <f>VLOOKUP(Charms!J177,Values!$A$11:$S$59,19,0)&gt;=Charms!L177</f>
        <v>0</v>
      </c>
      <c r="E177" t="e">
        <f>OR(ISBLANK(Charms!I177),(VLOOKUP(Values!$S$6,Castes!$B$2:$F$25,4,0)=Charms!I177))</f>
        <v>#N/A</v>
      </c>
      <c r="J177" t="e">
        <f t="shared" ca="1" si="11"/>
        <v>#N/A</v>
      </c>
      <c r="K177" s="18" t="e">
        <f t="shared" ca="1" si="10"/>
        <v>#N/A</v>
      </c>
      <c r="L177" t="e">
        <f ca="1">IF(J177,Charms!B177,"")</f>
        <v>#N/A</v>
      </c>
      <c r="M177" t="str">
        <f t="shared" ca="1" si="12"/>
        <v>-</v>
      </c>
      <c r="N177" s="18" t="str">
        <f t="shared" si="13"/>
        <v>K143:L217</v>
      </c>
      <c r="O177" t="str">
        <f t="shared" si="14"/>
        <v>A143:A177</v>
      </c>
    </row>
    <row r="178" spans="1:15">
      <c r="A178" s="18" t="str">
        <f>Charms!K178</f>
        <v>Brawl</v>
      </c>
      <c r="B178" t="str">
        <f>Charms!B178</f>
        <v>Shockwave Technique</v>
      </c>
      <c r="C178" t="b">
        <f ca="1">OR(Values!$S$98&gt;=Charms!M178,IFERROR(Charms!J178=OFFSET(Values!$A$24,MATCH("S",Values!$T$25:$T$50,0),0),FALSE))</f>
        <v>0</v>
      </c>
      <c r="D178" t="b">
        <f>VLOOKUP(Charms!J178,Values!$A$11:$S$59,19,0)&gt;=Charms!L178</f>
        <v>0</v>
      </c>
      <c r="E178" t="e">
        <f>OR(ISBLANK(Charms!I178),(VLOOKUP(Values!$S$6,Castes!$B$2:$F$25,4,0)=Charms!I178))</f>
        <v>#N/A</v>
      </c>
      <c r="J178" t="e">
        <f t="shared" ca="1" si="11"/>
        <v>#N/A</v>
      </c>
      <c r="K178" s="18" t="e">
        <f t="shared" ca="1" si="10"/>
        <v>#N/A</v>
      </c>
      <c r="L178" t="e">
        <f ca="1">IF(J178,Charms!B178,"")</f>
        <v>#N/A</v>
      </c>
      <c r="M178" t="str">
        <f t="shared" ca="1" si="12"/>
        <v>-</v>
      </c>
      <c r="N178" s="18" t="str">
        <f t="shared" si="13"/>
        <v>K143:L217</v>
      </c>
      <c r="O178" t="str">
        <f t="shared" si="14"/>
        <v>A143:A178</v>
      </c>
    </row>
    <row r="179" spans="1:15">
      <c r="A179" s="18" t="str">
        <f>Charms!K179</f>
        <v>Brawl</v>
      </c>
      <c r="B179" t="str">
        <f>Charms!B179</f>
        <v>Lightning Strikes Twice</v>
      </c>
      <c r="C179" t="b">
        <f ca="1">OR(Values!$S$98&gt;=Charms!M179,IFERROR(Charms!J179=OFFSET(Values!$A$24,MATCH("S",Values!$T$25:$T$50,0),0),FALSE))</f>
        <v>0</v>
      </c>
      <c r="D179" t="b">
        <f>VLOOKUP(Charms!J179,Values!$A$11:$S$59,19,0)&gt;=Charms!L179</f>
        <v>0</v>
      </c>
      <c r="E179" t="e">
        <f>OR(ISBLANK(Charms!I179),(VLOOKUP(Values!$S$6,Castes!$B$2:$F$25,4,0)=Charms!I179))</f>
        <v>#N/A</v>
      </c>
      <c r="J179" t="e">
        <f t="shared" ca="1" si="11"/>
        <v>#N/A</v>
      </c>
      <c r="K179" s="18" t="e">
        <f t="shared" ca="1" si="10"/>
        <v>#N/A</v>
      </c>
      <c r="L179" t="e">
        <f ca="1">IF(J179,Charms!B179,"")</f>
        <v>#N/A</v>
      </c>
      <c r="M179" t="str">
        <f t="shared" ca="1" si="12"/>
        <v>-</v>
      </c>
      <c r="N179" s="18" t="str">
        <f t="shared" si="13"/>
        <v>K143:L217</v>
      </c>
      <c r="O179" t="str">
        <f t="shared" si="14"/>
        <v>A143:A179</v>
      </c>
    </row>
    <row r="180" spans="1:15">
      <c r="A180" s="18" t="str">
        <f>Charms!K180</f>
        <v>Brawl</v>
      </c>
      <c r="B180" t="str">
        <f>Charms!B180</f>
        <v>Fivefold Fury Onslaught</v>
      </c>
      <c r="C180" t="b">
        <f ca="1">OR(Values!$S$98&gt;=Charms!M180,IFERROR(Charms!J180=OFFSET(Values!$A$24,MATCH("S",Values!$T$25:$T$50,0),0),FALSE))</f>
        <v>0</v>
      </c>
      <c r="D180" t="b">
        <f>VLOOKUP(Charms!J180,Values!$A$11:$S$59,19,0)&gt;=Charms!L180</f>
        <v>0</v>
      </c>
      <c r="E180" t="e">
        <f>OR(ISBLANK(Charms!I180),(VLOOKUP(Values!$S$6,Castes!$B$2:$F$25,4,0)=Charms!I180))</f>
        <v>#N/A</v>
      </c>
      <c r="J180" t="e">
        <f t="shared" ca="1" si="11"/>
        <v>#N/A</v>
      </c>
      <c r="K180" s="18" t="e">
        <f t="shared" ca="1" si="10"/>
        <v>#N/A</v>
      </c>
      <c r="L180" t="e">
        <f ca="1">IF(J180,Charms!B180,"")</f>
        <v>#N/A</v>
      </c>
      <c r="M180" t="str">
        <f t="shared" ca="1" si="12"/>
        <v>-</v>
      </c>
      <c r="N180" s="18" t="str">
        <f t="shared" si="13"/>
        <v>K143:L217</v>
      </c>
      <c r="O180" t="str">
        <f t="shared" si="14"/>
        <v>A143:A180</v>
      </c>
    </row>
    <row r="181" spans="1:15">
      <c r="A181" s="18" t="str">
        <f>Charms!K181</f>
        <v>Brawl</v>
      </c>
      <c r="B181" t="str">
        <f>Charms!B181</f>
        <v>Striving Aftershock Method</v>
      </c>
      <c r="C181" t="b">
        <f ca="1">OR(Values!$S$98&gt;=Charms!M181,IFERROR(Charms!J181=OFFSET(Values!$A$24,MATCH("S",Values!$T$25:$T$50,0),0),FALSE))</f>
        <v>0</v>
      </c>
      <c r="D181" t="b">
        <f>VLOOKUP(Charms!J181,Values!$A$11:$S$59,19,0)&gt;=Charms!L181</f>
        <v>0</v>
      </c>
      <c r="E181" t="e">
        <f>OR(ISBLANK(Charms!I181),(VLOOKUP(Values!$S$6,Castes!$B$2:$F$25,4,0)=Charms!I181))</f>
        <v>#N/A</v>
      </c>
      <c r="J181" t="e">
        <f t="shared" ca="1" si="11"/>
        <v>#N/A</v>
      </c>
      <c r="K181" s="18" t="e">
        <f t="shared" ca="1" si="10"/>
        <v>#N/A</v>
      </c>
      <c r="L181" t="e">
        <f ca="1">IF(J181,Charms!B181,"")</f>
        <v>#N/A</v>
      </c>
      <c r="M181" t="str">
        <f t="shared" ca="1" si="12"/>
        <v>-</v>
      </c>
      <c r="N181" s="18" t="str">
        <f t="shared" si="13"/>
        <v>K143:L217</v>
      </c>
      <c r="O181" t="str">
        <f t="shared" si="14"/>
        <v>A143:A181</v>
      </c>
    </row>
    <row r="182" spans="1:15">
      <c r="A182" s="18" t="str">
        <f>Charms!K182</f>
        <v>Brawl</v>
      </c>
      <c r="B182" t="str">
        <f>Charms!B182</f>
        <v>Superior Violent Knowledge</v>
      </c>
      <c r="C182" t="b">
        <f ca="1">OR(Values!$S$98&gt;=Charms!M182,IFERROR(Charms!J182=OFFSET(Values!$A$24,MATCH("S",Values!$T$25:$T$50,0),0),FALSE))</f>
        <v>0</v>
      </c>
      <c r="D182" t="b">
        <f>VLOOKUP(Charms!J182,Values!$A$11:$S$59,19,0)&gt;=Charms!L182</f>
        <v>0</v>
      </c>
      <c r="E182" t="e">
        <f>OR(ISBLANK(Charms!I182),(VLOOKUP(Values!$S$6,Castes!$B$2:$F$25,4,0)=Charms!I182))</f>
        <v>#N/A</v>
      </c>
      <c r="J182" t="e">
        <f t="shared" ca="1" si="11"/>
        <v>#N/A</v>
      </c>
      <c r="K182" s="18" t="e">
        <f t="shared" ca="1" si="10"/>
        <v>#N/A</v>
      </c>
      <c r="L182" t="e">
        <f ca="1">IF(J182,Charms!B182,"")</f>
        <v>#N/A</v>
      </c>
      <c r="M182" t="str">
        <f t="shared" ca="1" si="12"/>
        <v>-</v>
      </c>
      <c r="N182" s="18" t="str">
        <f t="shared" si="13"/>
        <v>K143:L217</v>
      </c>
      <c r="O182" t="str">
        <f t="shared" si="14"/>
        <v>A143:A182</v>
      </c>
    </row>
    <row r="183" spans="1:15">
      <c r="A183" s="18" t="str">
        <f>Charms!K183</f>
        <v>Brawl</v>
      </c>
      <c r="B183" t="str">
        <f>Charms!B183</f>
        <v>Inevitable Victory Meditation</v>
      </c>
      <c r="C183" t="b">
        <f ca="1">OR(Values!$S$98&gt;=Charms!M183,IFERROR(Charms!J183=OFFSET(Values!$A$24,MATCH("S",Values!$T$25:$T$50,0),0),FALSE))</f>
        <v>0</v>
      </c>
      <c r="D183" t="b">
        <f>VLOOKUP(Charms!J183,Values!$A$11:$S$59,19,0)&gt;=Charms!L183</f>
        <v>0</v>
      </c>
      <c r="E183" t="e">
        <f>OR(ISBLANK(Charms!I183),(VLOOKUP(Values!$S$6,Castes!$B$2:$F$25,4,0)=Charms!I183))</f>
        <v>#N/A</v>
      </c>
      <c r="J183" t="e">
        <f t="shared" ca="1" si="11"/>
        <v>#N/A</v>
      </c>
      <c r="K183" s="18" t="e">
        <f t="shared" ca="1" si="10"/>
        <v>#N/A</v>
      </c>
      <c r="L183" t="e">
        <f ca="1">IF(J183,Charms!B183,"")</f>
        <v>#N/A</v>
      </c>
      <c r="M183" t="str">
        <f t="shared" ca="1" si="12"/>
        <v>-</v>
      </c>
      <c r="N183" s="18" t="str">
        <f t="shared" si="13"/>
        <v>K143:L217</v>
      </c>
      <c r="O183" t="str">
        <f t="shared" si="14"/>
        <v>A143:A183</v>
      </c>
    </row>
    <row r="184" spans="1:15">
      <c r="A184" s="18" t="str">
        <f>Charms!K184</f>
        <v>Brawl</v>
      </c>
      <c r="B184" t="str">
        <f>Charms!B184</f>
        <v>Incarnated Fury Attack</v>
      </c>
      <c r="C184" t="b">
        <f ca="1">OR(Values!$S$98&gt;=Charms!M184,IFERROR(Charms!J184=OFFSET(Values!$A$24,MATCH("S",Values!$T$25:$T$50,0),0),FALSE))</f>
        <v>0</v>
      </c>
      <c r="D184" t="b">
        <f>VLOOKUP(Charms!J184,Values!$A$11:$S$59,19,0)&gt;=Charms!L184</f>
        <v>0</v>
      </c>
      <c r="E184" t="e">
        <f>OR(ISBLANK(Charms!I184),(VLOOKUP(Values!$S$6,Castes!$B$2:$F$25,4,0)=Charms!I184))</f>
        <v>#N/A</v>
      </c>
      <c r="J184" t="e">
        <f t="shared" ca="1" si="11"/>
        <v>#N/A</v>
      </c>
      <c r="K184" s="18" t="e">
        <f t="shared" ca="1" si="10"/>
        <v>#N/A</v>
      </c>
      <c r="L184" t="e">
        <f ca="1">IF(J184,Charms!B184,"")</f>
        <v>#N/A</v>
      </c>
      <c r="M184" t="str">
        <f t="shared" ca="1" si="12"/>
        <v>-</v>
      </c>
      <c r="N184" s="18" t="str">
        <f t="shared" si="13"/>
        <v>K143:L217</v>
      </c>
      <c r="O184" t="str">
        <f t="shared" si="14"/>
        <v>A143:A184</v>
      </c>
    </row>
    <row r="185" spans="1:15">
      <c r="A185" s="18" t="str">
        <f>Charms!K185</f>
        <v>Brawl</v>
      </c>
      <c r="B185" t="str">
        <f>Charms!B185</f>
        <v>Orichalcum Fists of Battle</v>
      </c>
      <c r="C185" t="b">
        <f ca="1">OR(Values!$S$98&gt;=Charms!M185,IFERROR(Charms!J185=OFFSET(Values!$A$24,MATCH("S",Values!$T$25:$T$50,0),0),FALSE))</f>
        <v>0</v>
      </c>
      <c r="D185" t="b">
        <f>VLOOKUP(Charms!J185,Values!$A$11:$S$59,19,0)&gt;=Charms!L185</f>
        <v>0</v>
      </c>
      <c r="E185" t="e">
        <f>OR(ISBLANK(Charms!I185),(VLOOKUP(Values!$S$6,Castes!$B$2:$F$25,4,0)=Charms!I185))</f>
        <v>#N/A</v>
      </c>
      <c r="J185" t="e">
        <f t="shared" ca="1" si="11"/>
        <v>#N/A</v>
      </c>
      <c r="K185" s="18" t="e">
        <f t="shared" ca="1" si="10"/>
        <v>#N/A</v>
      </c>
      <c r="L185" t="e">
        <f ca="1">IF(J185,Charms!B185,"")</f>
        <v>#N/A</v>
      </c>
      <c r="M185" t="str">
        <f t="shared" ca="1" si="12"/>
        <v>-</v>
      </c>
      <c r="N185" s="18" t="str">
        <f t="shared" si="13"/>
        <v>K143:L217</v>
      </c>
      <c r="O185" t="str">
        <f t="shared" si="14"/>
        <v>A143:A185</v>
      </c>
    </row>
    <row r="186" spans="1:15">
      <c r="A186" s="18" t="str">
        <f>Charms!K186</f>
        <v>Brawl</v>
      </c>
      <c r="B186" t="str">
        <f>Charms!B186</f>
        <v>Raging Wrath Repeated</v>
      </c>
      <c r="C186" t="b">
        <f ca="1">OR(Values!$S$98&gt;=Charms!M186,IFERROR(Charms!J186=OFFSET(Values!$A$24,MATCH("S",Values!$T$25:$T$50,0),0),FALSE))</f>
        <v>0</v>
      </c>
      <c r="D186" t="b">
        <f>VLOOKUP(Charms!J186,Values!$A$11:$S$59,19,0)&gt;=Charms!L186</f>
        <v>0</v>
      </c>
      <c r="E186" t="e">
        <f>OR(ISBLANK(Charms!I186),(VLOOKUP(Values!$S$6,Castes!$B$2:$F$25,4,0)=Charms!I186))</f>
        <v>#N/A</v>
      </c>
      <c r="J186" t="e">
        <f t="shared" ca="1" si="11"/>
        <v>#N/A</v>
      </c>
      <c r="K186" s="18" t="e">
        <f t="shared" ca="1" si="10"/>
        <v>#N/A</v>
      </c>
      <c r="L186" t="e">
        <f ca="1">IF(J186,Charms!B186,"")</f>
        <v>#N/A</v>
      </c>
      <c r="M186" t="str">
        <f t="shared" ca="1" si="12"/>
        <v>-</v>
      </c>
      <c r="N186" s="18" t="str">
        <f t="shared" si="13"/>
        <v>K143:L217</v>
      </c>
      <c r="O186" t="str">
        <f t="shared" si="14"/>
        <v>A143:A186</v>
      </c>
    </row>
    <row r="187" spans="1:15">
      <c r="A187" s="18" t="str">
        <f>Charms!K187</f>
        <v>Brawl</v>
      </c>
      <c r="B187" t="str">
        <f>Charms!B187</f>
        <v>Rampage-Berserker Attack</v>
      </c>
      <c r="C187" t="b">
        <f ca="1">OR(Values!$S$98&gt;=Charms!M187,IFERROR(Charms!J187=OFFSET(Values!$A$24,MATCH("S",Values!$T$25:$T$50,0),0),FALSE))</f>
        <v>0</v>
      </c>
      <c r="D187" t="b">
        <f>VLOOKUP(Charms!J187,Values!$A$11:$S$59,19,0)&gt;=Charms!L187</f>
        <v>0</v>
      </c>
      <c r="E187" t="e">
        <f>OR(ISBLANK(Charms!I187),(VLOOKUP(Values!$S$6,Castes!$B$2:$F$25,4,0)=Charms!I187))</f>
        <v>#N/A</v>
      </c>
      <c r="J187" t="e">
        <f t="shared" ca="1" si="11"/>
        <v>#N/A</v>
      </c>
      <c r="K187" s="18" t="e">
        <f t="shared" ca="1" si="10"/>
        <v>#N/A</v>
      </c>
      <c r="L187" t="e">
        <f ca="1">IF(J187,Charms!B187,"")</f>
        <v>#N/A</v>
      </c>
      <c r="M187" t="str">
        <f t="shared" ca="1" si="12"/>
        <v>-</v>
      </c>
      <c r="N187" s="18" t="str">
        <f t="shared" si="13"/>
        <v>K143:L217</v>
      </c>
      <c r="O187" t="str">
        <f t="shared" si="14"/>
        <v>A143:A187</v>
      </c>
    </row>
    <row r="188" spans="1:15">
      <c r="A188" s="18" t="str">
        <f>Charms!K188</f>
        <v>Brawl</v>
      </c>
      <c r="B188" t="str">
        <f>Charms!B188</f>
        <v>Supremacy of War Meditation</v>
      </c>
      <c r="C188" t="b">
        <f ca="1">OR(Values!$S$98&gt;=Charms!M188,IFERROR(Charms!J188=OFFSET(Values!$A$24,MATCH("S",Values!$T$25:$T$50,0),0),FALSE))</f>
        <v>0</v>
      </c>
      <c r="D188" t="b">
        <f>VLOOKUP(Charms!J188,Values!$A$11:$S$59,19,0)&gt;=Charms!L188</f>
        <v>0</v>
      </c>
      <c r="E188" t="e">
        <f>OR(ISBLANK(Charms!I188),(VLOOKUP(Values!$S$6,Castes!$B$2:$F$25,4,0)=Charms!I188))</f>
        <v>#N/A</v>
      </c>
      <c r="J188" t="e">
        <f t="shared" ca="1" si="11"/>
        <v>#N/A</v>
      </c>
      <c r="K188" s="18" t="e">
        <f t="shared" ca="1" si="10"/>
        <v>#N/A</v>
      </c>
      <c r="L188" t="e">
        <f ca="1">IF(J188,Charms!B188,"")</f>
        <v>#N/A</v>
      </c>
      <c r="M188" t="str">
        <f t="shared" ca="1" si="12"/>
        <v>-</v>
      </c>
      <c r="N188" s="18" t="str">
        <f t="shared" si="13"/>
        <v>K143:L217</v>
      </c>
      <c r="O188" t="str">
        <f t="shared" si="14"/>
        <v>A143:A188</v>
      </c>
    </row>
    <row r="189" spans="1:15">
      <c r="A189" s="18" t="str">
        <f>Charms!K189</f>
        <v>Brawl</v>
      </c>
      <c r="B189" t="str">
        <f>Charms!B189</f>
        <v>Apocalypse Flare Attack</v>
      </c>
      <c r="C189" t="b">
        <f ca="1">OR(Values!$S$98&gt;=Charms!M189,IFERROR(Charms!J189=OFFSET(Values!$A$24,MATCH("S",Values!$T$25:$T$50,0),0),FALSE))</f>
        <v>0</v>
      </c>
      <c r="D189" t="b">
        <f>VLOOKUP(Charms!J189,Values!$A$11:$S$59,19,0)&gt;=Charms!L189</f>
        <v>0</v>
      </c>
      <c r="E189" t="e">
        <f>OR(ISBLANK(Charms!I189),(VLOOKUP(Values!$S$6,Castes!$B$2:$F$25,4,0)=Charms!I189))</f>
        <v>#N/A</v>
      </c>
      <c r="J189" t="e">
        <f t="shared" ca="1" si="11"/>
        <v>#N/A</v>
      </c>
      <c r="K189" s="18" t="e">
        <f t="shared" ca="1" si="10"/>
        <v>#N/A</v>
      </c>
      <c r="L189" t="e">
        <f ca="1">IF(J189,Charms!B189,"")</f>
        <v>#N/A</v>
      </c>
      <c r="M189" t="str">
        <f t="shared" ca="1" si="12"/>
        <v>-</v>
      </c>
      <c r="N189" s="18" t="str">
        <f t="shared" si="13"/>
        <v>K143:L217</v>
      </c>
      <c r="O189" t="str">
        <f t="shared" si="14"/>
        <v>A143:A189</v>
      </c>
    </row>
    <row r="190" spans="1:15">
      <c r="A190" s="18" t="str">
        <f>Charms!K190</f>
        <v>Brawl</v>
      </c>
      <c r="B190" t="str">
        <f>Charms!B190</f>
        <v>Heaven Fury Smite</v>
      </c>
      <c r="C190" t="b">
        <f ca="1">OR(Values!$S$98&gt;=Charms!M190,IFERROR(Charms!J190=OFFSET(Values!$A$24,MATCH("S",Values!$T$25:$T$50,0),0),FALSE))</f>
        <v>0</v>
      </c>
      <c r="D190" t="b">
        <f>VLOOKUP(Charms!J190,Values!$A$11:$S$59,19,0)&gt;=Charms!L190</f>
        <v>0</v>
      </c>
      <c r="E190" t="e">
        <f>OR(ISBLANK(Charms!I190),(VLOOKUP(Values!$S$6,Castes!$B$2:$F$25,4,0)=Charms!I190))</f>
        <v>#N/A</v>
      </c>
      <c r="J190" t="e">
        <f t="shared" ca="1" si="11"/>
        <v>#N/A</v>
      </c>
      <c r="K190" s="18" t="e">
        <f t="shared" ca="1" si="10"/>
        <v>#N/A</v>
      </c>
      <c r="L190" t="e">
        <f ca="1">IF(J190,Charms!B190,"")</f>
        <v>#N/A</v>
      </c>
      <c r="M190" t="str">
        <f t="shared" ca="1" si="12"/>
        <v>-</v>
      </c>
      <c r="N190" s="18" t="str">
        <f t="shared" si="13"/>
        <v>K143:L217</v>
      </c>
      <c r="O190" t="str">
        <f t="shared" si="14"/>
        <v>A143:A190</v>
      </c>
    </row>
    <row r="191" spans="1:15">
      <c r="A191" s="18" t="str">
        <f>Charms!K191</f>
        <v>Brawl</v>
      </c>
      <c r="B191" t="str">
        <f>Charms!B191</f>
        <v>Ascendant Battle Visage</v>
      </c>
      <c r="C191" t="b">
        <f ca="1">OR(Values!$S$98&gt;=Charms!M191,IFERROR(Charms!J191=OFFSET(Values!$A$24,MATCH("S",Values!$T$25:$T$50,0),0),FALSE))</f>
        <v>0</v>
      </c>
      <c r="D191" t="b">
        <f>VLOOKUP(Charms!J191,Values!$A$11:$S$59,19,0)&gt;=Charms!L191</f>
        <v>0</v>
      </c>
      <c r="E191" t="e">
        <f>OR(ISBLANK(Charms!I191),(VLOOKUP(Values!$S$6,Castes!$B$2:$F$25,4,0)=Charms!I191))</f>
        <v>#N/A</v>
      </c>
      <c r="J191" t="e">
        <f t="shared" ca="1" si="11"/>
        <v>#N/A</v>
      </c>
      <c r="K191" s="18" t="e">
        <f t="shared" ca="1" si="10"/>
        <v>#N/A</v>
      </c>
      <c r="L191" t="e">
        <f ca="1">IF(J191,Charms!B191,"")</f>
        <v>#N/A</v>
      </c>
      <c r="M191" t="str">
        <f t="shared" ca="1" si="12"/>
        <v>-</v>
      </c>
      <c r="N191" s="18" t="str">
        <f t="shared" si="13"/>
        <v>K143:L217</v>
      </c>
      <c r="O191" t="str">
        <f t="shared" si="14"/>
        <v>A143:A191</v>
      </c>
    </row>
    <row r="192" spans="1:15">
      <c r="A192" s="18" t="str">
        <f>Charms!K192</f>
        <v>Brawl</v>
      </c>
      <c r="B192" t="str">
        <f>Charms!B192</f>
        <v>Heart-Eating Fist</v>
      </c>
      <c r="C192" t="b">
        <f ca="1">OR(Values!$S$98&gt;=Charms!M192,IFERROR(Charms!J192=OFFSET(Values!$A$24,MATCH("S",Values!$T$25:$T$50,0),0),FALSE))</f>
        <v>0</v>
      </c>
      <c r="D192" t="b">
        <f>VLOOKUP(Charms!J192,Values!$A$11:$S$59,19,0)&gt;=Charms!L192</f>
        <v>0</v>
      </c>
      <c r="E192" t="e">
        <f>OR(ISBLANK(Charms!I192),(VLOOKUP(Values!$S$6,Castes!$B$2:$F$25,4,0)=Charms!I192))</f>
        <v>#N/A</v>
      </c>
      <c r="J192" t="e">
        <f t="shared" ca="1" si="11"/>
        <v>#N/A</v>
      </c>
      <c r="K192" s="18" t="e">
        <f t="shared" ca="1" si="10"/>
        <v>#N/A</v>
      </c>
      <c r="L192" t="e">
        <f ca="1">IF(J192,Charms!B192,"")</f>
        <v>#N/A</v>
      </c>
      <c r="M192" t="str">
        <f t="shared" ca="1" si="12"/>
        <v>-</v>
      </c>
      <c r="N192" s="18" t="str">
        <f t="shared" si="13"/>
        <v>K143:L217</v>
      </c>
      <c r="O192" t="str">
        <f t="shared" si="14"/>
        <v>A143:A192</v>
      </c>
    </row>
    <row r="193" spans="1:15">
      <c r="A193" s="18" t="str">
        <f>Charms!K193</f>
        <v>Brawl</v>
      </c>
      <c r="B193" t="str">
        <f>Charms!B193</f>
        <v>Burning Sky Apocalypse Strike</v>
      </c>
      <c r="C193" t="b">
        <f ca="1">OR(Values!$S$98&gt;=Charms!M193,IFERROR(Charms!J193=OFFSET(Values!$A$24,MATCH("S",Values!$T$25:$T$50,0),0),FALSE))</f>
        <v>0</v>
      </c>
      <c r="D193" t="b">
        <f>VLOOKUP(Charms!J193,Values!$A$11:$S$59,19,0)&gt;=Charms!L193</f>
        <v>0</v>
      </c>
      <c r="E193" t="e">
        <f>OR(ISBLANK(Charms!I193),(VLOOKUP(Values!$S$6,Castes!$B$2:$F$25,4,0)=Charms!I193))</f>
        <v>#N/A</v>
      </c>
      <c r="J193" t="e">
        <f t="shared" ca="1" si="11"/>
        <v>#N/A</v>
      </c>
      <c r="K193" s="18" t="e">
        <f t="shared" ca="1" si="10"/>
        <v>#N/A</v>
      </c>
      <c r="L193" t="e">
        <f ca="1">IF(J193,Charms!B193,"")</f>
        <v>#N/A</v>
      </c>
      <c r="M193" t="str">
        <f t="shared" ca="1" si="12"/>
        <v>-</v>
      </c>
      <c r="N193" s="18" t="str">
        <f t="shared" si="13"/>
        <v>K143:L217</v>
      </c>
      <c r="O193" t="str">
        <f t="shared" si="14"/>
        <v>A143:A193</v>
      </c>
    </row>
    <row r="194" spans="1:15">
      <c r="A194" s="18" t="str">
        <f>Charms!K194</f>
        <v>Brawl</v>
      </c>
      <c r="B194" t="str">
        <f>Charms!B194</f>
        <v>Become the Hammer</v>
      </c>
      <c r="C194" t="b">
        <f ca="1">OR(Values!$S$98&gt;=Charms!M194,IFERROR(Charms!J194=OFFSET(Values!$A$24,MATCH("S",Values!$T$25:$T$50,0),0),FALSE))</f>
        <v>1</v>
      </c>
      <c r="D194" t="b">
        <f>VLOOKUP(Charms!J194,Values!$A$11:$S$59,19,0)&gt;=Charms!L194</f>
        <v>0</v>
      </c>
      <c r="E194" t="e">
        <f>OR(ISBLANK(Charms!I194),(VLOOKUP(Values!$S$6,Castes!$B$2:$F$25,4,0)=Charms!I194))</f>
        <v>#N/A</v>
      </c>
      <c r="J194" t="e">
        <f t="shared" ca="1" si="11"/>
        <v>#N/A</v>
      </c>
      <c r="K194" s="18" t="e">
        <f t="shared" ref="K194:K257" ca="1" si="15">IF(L194="","",COUNTIF(INDIRECT("J"&amp;MATCH(A194,A:A,0)&amp;":J"&amp;ROW()),J194))</f>
        <v>#N/A</v>
      </c>
      <c r="L194" t="e">
        <f ca="1">IF(J194,Charms!B194,"")</f>
        <v>#N/A</v>
      </c>
      <c r="M194" t="str">
        <f t="shared" ca="1" si="12"/>
        <v>-</v>
      </c>
      <c r="N194" s="18" t="str">
        <f t="shared" si="13"/>
        <v>K143:L217</v>
      </c>
      <c r="O194" t="str">
        <f t="shared" si="14"/>
        <v>A143:A194</v>
      </c>
    </row>
    <row r="195" spans="1:15">
      <c r="A195" s="18" t="str">
        <f>Charms!K195</f>
        <v>Brawl</v>
      </c>
      <c r="B195" t="str">
        <f>Charms!B195</f>
        <v>Pounding Surf Style</v>
      </c>
      <c r="C195" t="b">
        <f ca="1">OR(Values!$S$98&gt;=Charms!M195,IFERROR(Charms!J195=OFFSET(Values!$A$24,MATCH("S",Values!$T$25:$T$50,0),0),FALSE))</f>
        <v>1</v>
      </c>
      <c r="D195" t="b">
        <f>VLOOKUP(Charms!J195,Values!$A$11:$S$59,19,0)&gt;=Charms!L195</f>
        <v>0</v>
      </c>
      <c r="E195" t="e">
        <f>OR(ISBLANK(Charms!I195),(VLOOKUP(Values!$S$6,Castes!$B$2:$F$25,4,0)=Charms!I195))</f>
        <v>#N/A</v>
      </c>
      <c r="J195" t="e">
        <f t="shared" ref="J195:J258" ca="1" si="16">(C195+D195+E195+F195+G195+H195+I195)=3</f>
        <v>#N/A</v>
      </c>
      <c r="K195" s="18" t="e">
        <f t="shared" ca="1" si="15"/>
        <v>#N/A</v>
      </c>
      <c r="L195" t="e">
        <f ca="1">IF(J195,Charms!B195,"")</f>
        <v>#N/A</v>
      </c>
      <c r="M195" t="str">
        <f t="shared" ref="M195:M258" ca="1" si="17">IFERROR(VLOOKUP(COUNTIF(INDIRECT(O195),A195),INDIRECT(N195),2,0),"-")</f>
        <v>-</v>
      </c>
      <c r="N195" s="18" t="str">
        <f t="shared" ref="N195:N258" si="18">"K"&amp;MATCH(A195,A:A,0)&amp;":L"&amp;(MATCH(A195,A:A,0)+COUNTIF(A:A,A195)-1)</f>
        <v>K143:L217</v>
      </c>
      <c r="O195" t="str">
        <f t="shared" ref="O195:O258" si="19">"A"&amp;MATCH(A195,A:A,0)&amp;":A"&amp;ROW()</f>
        <v>A143:A195</v>
      </c>
    </row>
    <row r="196" spans="1:15">
      <c r="A196" s="18" t="str">
        <f>Charms!K196</f>
        <v>Brawl</v>
      </c>
      <c r="B196" t="str">
        <f>Charms!B196</f>
        <v>Water Dragon’s Coils</v>
      </c>
      <c r="C196" t="b">
        <f ca="1">OR(Values!$S$98&gt;=Charms!M196,IFERROR(Charms!J196=OFFSET(Values!$A$24,MATCH("S",Values!$T$25:$T$50,0),0),FALSE))</f>
        <v>1</v>
      </c>
      <c r="D196" t="b">
        <f>VLOOKUP(Charms!J196,Values!$A$11:$S$59,19,0)&gt;=Charms!L196</f>
        <v>0</v>
      </c>
      <c r="E196" t="e">
        <f>OR(ISBLANK(Charms!I196),(VLOOKUP(Values!$S$6,Castes!$B$2:$F$25,4,0)=Charms!I196))</f>
        <v>#N/A</v>
      </c>
      <c r="J196" t="e">
        <f t="shared" ca="1" si="16"/>
        <v>#N/A</v>
      </c>
      <c r="K196" s="18" t="e">
        <f t="shared" ca="1" si="15"/>
        <v>#N/A</v>
      </c>
      <c r="L196" t="e">
        <f ca="1">IF(J196,Charms!B196,"")</f>
        <v>#N/A</v>
      </c>
      <c r="M196" t="str">
        <f t="shared" ca="1" si="17"/>
        <v>-</v>
      </c>
      <c r="N196" s="18" t="str">
        <f t="shared" si="18"/>
        <v>K143:L217</v>
      </c>
      <c r="O196" t="str">
        <f t="shared" si="19"/>
        <v>A143:A196</v>
      </c>
    </row>
    <row r="197" spans="1:15">
      <c r="A197" s="18" t="str">
        <f>Charms!K197</f>
        <v>Brawl</v>
      </c>
      <c r="B197" t="str">
        <f>Charms!B197</f>
        <v>Inescapable Whirlpool Hold</v>
      </c>
      <c r="C197" t="b">
        <f ca="1">OR(Values!$S$98&gt;=Charms!M197,IFERROR(Charms!J197=OFFSET(Values!$A$24,MATCH("S",Values!$T$25:$T$50,0),0),FALSE))</f>
        <v>1</v>
      </c>
      <c r="D197" t="b">
        <f>VLOOKUP(Charms!J197,Values!$A$11:$S$59,19,0)&gt;=Charms!L197</f>
        <v>0</v>
      </c>
      <c r="E197" t="e">
        <f>OR(ISBLANK(Charms!I197),(VLOOKUP(Values!$S$6,Castes!$B$2:$F$25,4,0)=Charms!I197))</f>
        <v>#N/A</v>
      </c>
      <c r="J197" t="e">
        <f t="shared" ca="1" si="16"/>
        <v>#N/A</v>
      </c>
      <c r="K197" s="18" t="e">
        <f t="shared" ca="1" si="15"/>
        <v>#N/A</v>
      </c>
      <c r="L197" t="e">
        <f ca="1">IF(J197,Charms!B197,"")</f>
        <v>#N/A</v>
      </c>
      <c r="M197" t="str">
        <f t="shared" ca="1" si="17"/>
        <v>-</v>
      </c>
      <c r="N197" s="18" t="str">
        <f t="shared" si="18"/>
        <v>K143:L217</v>
      </c>
      <c r="O197" t="str">
        <f t="shared" si="19"/>
        <v>A143:A197</v>
      </c>
    </row>
    <row r="198" spans="1:15">
      <c r="A198" s="18" t="str">
        <f>Charms!K198</f>
        <v>Brawl</v>
      </c>
      <c r="B198" t="str">
        <f>Charms!B198</f>
        <v>Oaken Thew Exertion</v>
      </c>
      <c r="C198" t="b">
        <f ca="1">OR(Values!$S$98&gt;=Charms!M198,IFERROR(Charms!J198=OFFSET(Values!$A$24,MATCH("S",Values!$T$25:$T$50,0),0),FALSE))</f>
        <v>1</v>
      </c>
      <c r="D198" t="b">
        <f>VLOOKUP(Charms!J198,Values!$A$11:$S$59,19,0)&gt;=Charms!L198</f>
        <v>0</v>
      </c>
      <c r="E198" t="e">
        <f>OR(ISBLANK(Charms!I198),(VLOOKUP(Values!$S$6,Castes!$B$2:$F$25,4,0)=Charms!I198))</f>
        <v>#N/A</v>
      </c>
      <c r="J198" t="e">
        <f t="shared" ca="1" si="16"/>
        <v>#N/A</v>
      </c>
      <c r="K198" s="18" t="e">
        <f t="shared" ca="1" si="15"/>
        <v>#N/A</v>
      </c>
      <c r="L198" t="e">
        <f ca="1">IF(J198,Charms!B198,"")</f>
        <v>#N/A</v>
      </c>
      <c r="M198" t="str">
        <f t="shared" ca="1" si="17"/>
        <v>-</v>
      </c>
      <c r="N198" s="18" t="str">
        <f t="shared" si="18"/>
        <v>K143:L217</v>
      </c>
      <c r="O198" t="str">
        <f t="shared" si="19"/>
        <v>A143:A198</v>
      </c>
    </row>
    <row r="199" spans="1:15">
      <c r="A199" s="18" t="str">
        <f>Charms!K199</f>
        <v>Brawl</v>
      </c>
      <c r="B199" t="str">
        <f>Charms!B199</f>
        <v>Blade-Deflecting Palm</v>
      </c>
      <c r="C199" t="b">
        <f ca="1">OR(Values!$S$98&gt;=Charms!M199,IFERROR(Charms!J199=OFFSET(Values!$A$24,MATCH("S",Values!$T$25:$T$50,0),0),FALSE))</f>
        <v>0</v>
      </c>
      <c r="D199" t="b">
        <f>VLOOKUP(Charms!J199,Values!$A$11:$S$59,19,0)&gt;=Charms!L199</f>
        <v>0</v>
      </c>
      <c r="E199" t="e">
        <f>OR(ISBLANK(Charms!I199),(VLOOKUP(Values!$S$6,Castes!$B$2:$F$25,4,0)=Charms!I199))</f>
        <v>#N/A</v>
      </c>
      <c r="J199" t="e">
        <f t="shared" ca="1" si="16"/>
        <v>#N/A</v>
      </c>
      <c r="K199" s="18" t="e">
        <f t="shared" ca="1" si="15"/>
        <v>#N/A</v>
      </c>
      <c r="L199" t="e">
        <f ca="1">IF(J199,Charms!B199,"")</f>
        <v>#N/A</v>
      </c>
      <c r="M199" t="str">
        <f t="shared" ca="1" si="17"/>
        <v>-</v>
      </c>
      <c r="N199" s="18" t="str">
        <f t="shared" si="18"/>
        <v>K143:L217</v>
      </c>
      <c r="O199" t="str">
        <f t="shared" si="19"/>
        <v>A143:A199</v>
      </c>
    </row>
    <row r="200" spans="1:15">
      <c r="A200" s="18" t="str">
        <f>Charms!K200</f>
        <v>Brawl</v>
      </c>
      <c r="B200" t="str">
        <f>Charms!B200</f>
        <v>Crushing Avalanche Grasp</v>
      </c>
      <c r="C200" t="b">
        <f ca="1">OR(Values!$S$98&gt;=Charms!M200,IFERROR(Charms!J200=OFFSET(Values!$A$24,MATCH("S",Values!$T$25:$T$50,0),0),FALSE))</f>
        <v>0</v>
      </c>
      <c r="D200" t="b">
        <f>VLOOKUP(Charms!J200,Values!$A$11:$S$59,19,0)&gt;=Charms!L200</f>
        <v>0</v>
      </c>
      <c r="E200" t="e">
        <f>OR(ISBLANK(Charms!I200),(VLOOKUP(Values!$S$6,Castes!$B$2:$F$25,4,0)=Charms!I200))</f>
        <v>#N/A</v>
      </c>
      <c r="J200" t="e">
        <f t="shared" ca="1" si="16"/>
        <v>#N/A</v>
      </c>
      <c r="K200" s="18" t="e">
        <f t="shared" ca="1" si="15"/>
        <v>#N/A</v>
      </c>
      <c r="L200" t="e">
        <f ca="1">IF(J200,Charms!B200,"")</f>
        <v>#N/A</v>
      </c>
      <c r="M200" t="str">
        <f t="shared" ca="1" si="17"/>
        <v>-</v>
      </c>
      <c r="N200" s="18" t="str">
        <f t="shared" si="18"/>
        <v>K143:L217</v>
      </c>
      <c r="O200" t="str">
        <f t="shared" si="19"/>
        <v>A143:A200</v>
      </c>
    </row>
    <row r="201" spans="1:15">
      <c r="A201" s="18" t="str">
        <f>Charms!K201</f>
        <v>Brawl</v>
      </c>
      <c r="B201" t="str">
        <f>Charms!B201</f>
        <v>Currents Sweep to Sea</v>
      </c>
      <c r="C201" t="b">
        <f ca="1">OR(Values!$S$98&gt;=Charms!M201,IFERROR(Charms!J201=OFFSET(Values!$A$24,MATCH("S",Values!$T$25:$T$50,0),0),FALSE))</f>
        <v>0</v>
      </c>
      <c r="D201" t="b">
        <f>VLOOKUP(Charms!J201,Values!$A$11:$S$59,19,0)&gt;=Charms!L201</f>
        <v>0</v>
      </c>
      <c r="E201" t="e">
        <f>OR(ISBLANK(Charms!I201),(VLOOKUP(Values!$S$6,Castes!$B$2:$F$25,4,0)=Charms!I201))</f>
        <v>#N/A</v>
      </c>
      <c r="J201" t="e">
        <f t="shared" ca="1" si="16"/>
        <v>#N/A</v>
      </c>
      <c r="K201" s="18" t="e">
        <f t="shared" ca="1" si="15"/>
        <v>#N/A</v>
      </c>
      <c r="L201" t="e">
        <f ca="1">IF(J201,Charms!B201,"")</f>
        <v>#N/A</v>
      </c>
      <c r="M201" t="str">
        <f t="shared" ca="1" si="17"/>
        <v>-</v>
      </c>
      <c r="N201" s="18" t="str">
        <f t="shared" si="18"/>
        <v>K143:L217</v>
      </c>
      <c r="O201" t="str">
        <f t="shared" si="19"/>
        <v>A143:A201</v>
      </c>
    </row>
    <row r="202" spans="1:15">
      <c r="A202" s="18" t="str">
        <f>Charms!K202</f>
        <v>Brawl</v>
      </c>
      <c r="B202" t="str">
        <f>Charms!B202</f>
        <v>Entangling Roots Embrace</v>
      </c>
      <c r="C202" t="b">
        <f ca="1">OR(Values!$S$98&gt;=Charms!M202,IFERROR(Charms!J202=OFFSET(Values!$A$24,MATCH("S",Values!$T$25:$T$50,0),0),FALSE))</f>
        <v>0</v>
      </c>
      <c r="D202" t="b">
        <f>VLOOKUP(Charms!J202,Values!$A$11:$S$59,19,0)&gt;=Charms!L202</f>
        <v>0</v>
      </c>
      <c r="E202" t="e">
        <f>OR(ISBLANK(Charms!I202),(VLOOKUP(Values!$S$6,Castes!$B$2:$F$25,4,0)=Charms!I202))</f>
        <v>#N/A</v>
      </c>
      <c r="J202" t="e">
        <f t="shared" ca="1" si="16"/>
        <v>#N/A</v>
      </c>
      <c r="K202" s="18" t="e">
        <f t="shared" ca="1" si="15"/>
        <v>#N/A</v>
      </c>
      <c r="L202" t="e">
        <f ca="1">IF(J202,Charms!B202,"")</f>
        <v>#N/A</v>
      </c>
      <c r="M202" t="str">
        <f t="shared" ca="1" si="17"/>
        <v>-</v>
      </c>
      <c r="N202" s="18" t="str">
        <f t="shared" si="18"/>
        <v>K143:L217</v>
      </c>
      <c r="O202" t="str">
        <f t="shared" si="19"/>
        <v>A143:A202</v>
      </c>
    </row>
    <row r="203" spans="1:15">
      <c r="A203" s="18" t="str">
        <f>Charms!K203</f>
        <v>Brawl</v>
      </c>
      <c r="B203" t="str">
        <f>Charms!B203</f>
        <v>Hammering Wave Technique</v>
      </c>
      <c r="C203" t="b">
        <f ca="1">OR(Values!$S$98&gt;=Charms!M203,IFERROR(Charms!J203=OFFSET(Values!$A$24,MATCH("S",Values!$T$25:$T$50,0),0),FALSE))</f>
        <v>0</v>
      </c>
      <c r="D203" t="b">
        <f>VLOOKUP(Charms!J203,Values!$A$11:$S$59,19,0)&gt;=Charms!L203</f>
        <v>0</v>
      </c>
      <c r="E203" t="e">
        <f>OR(ISBLANK(Charms!I203),(VLOOKUP(Values!$S$6,Castes!$B$2:$F$25,4,0)=Charms!I203))</f>
        <v>#N/A</v>
      </c>
      <c r="J203" t="e">
        <f t="shared" ca="1" si="16"/>
        <v>#N/A</v>
      </c>
      <c r="K203" s="18" t="e">
        <f t="shared" ca="1" si="15"/>
        <v>#N/A</v>
      </c>
      <c r="L203" t="e">
        <f ca="1">IF(J203,Charms!B203,"")</f>
        <v>#N/A</v>
      </c>
      <c r="M203" t="str">
        <f t="shared" ca="1" si="17"/>
        <v>-</v>
      </c>
      <c r="N203" s="18" t="str">
        <f t="shared" si="18"/>
        <v>K143:L217</v>
      </c>
      <c r="O203" t="str">
        <f t="shared" si="19"/>
        <v>A143:A203</v>
      </c>
    </row>
    <row r="204" spans="1:15">
      <c r="A204" s="18" t="str">
        <f>Charms!K204</f>
        <v>Brawl</v>
      </c>
      <c r="B204" t="str">
        <f>Charms!B204</f>
        <v>Stone Fist Strike</v>
      </c>
      <c r="C204" t="b">
        <f ca="1">OR(Values!$S$98&gt;=Charms!M204,IFERROR(Charms!J204=OFFSET(Values!$A$24,MATCH("S",Values!$T$25:$T$50,0),0),FALSE))</f>
        <v>0</v>
      </c>
      <c r="D204" t="b">
        <f>VLOOKUP(Charms!J204,Values!$A$11:$S$59,19,0)&gt;=Charms!L204</f>
        <v>0</v>
      </c>
      <c r="E204" t="e">
        <f>OR(ISBLANK(Charms!I204),(VLOOKUP(Values!$S$6,Castes!$B$2:$F$25,4,0)=Charms!I204))</f>
        <v>#N/A</v>
      </c>
      <c r="J204" t="e">
        <f t="shared" ca="1" si="16"/>
        <v>#N/A</v>
      </c>
      <c r="K204" s="18" t="e">
        <f t="shared" ca="1" si="15"/>
        <v>#N/A</v>
      </c>
      <c r="L204" t="e">
        <f ca="1">IF(J204,Charms!B204,"")</f>
        <v>#N/A</v>
      </c>
      <c r="M204" t="str">
        <f t="shared" ca="1" si="17"/>
        <v>-</v>
      </c>
      <c r="N204" s="18" t="str">
        <f t="shared" si="18"/>
        <v>K143:L217</v>
      </c>
      <c r="O204" t="str">
        <f t="shared" si="19"/>
        <v>A143:A204</v>
      </c>
    </row>
    <row r="205" spans="1:15">
      <c r="A205" s="18" t="str">
        <f>Charms!K205</f>
        <v>Brawl</v>
      </c>
      <c r="B205" t="str">
        <f>Charms!B205</f>
        <v>Rolling Boulder Blow</v>
      </c>
      <c r="C205" t="b">
        <f ca="1">OR(Values!$S$98&gt;=Charms!M205,IFERROR(Charms!J205=OFFSET(Values!$A$24,MATCH("S",Values!$T$25:$T$50,0),0),FALSE))</f>
        <v>0</v>
      </c>
      <c r="D205" t="b">
        <f>VLOOKUP(Charms!J205,Values!$A$11:$S$59,19,0)&gt;=Charms!L205</f>
        <v>0</v>
      </c>
      <c r="E205" t="e">
        <f>OR(ISBLANK(Charms!I205),(VLOOKUP(Values!$S$6,Castes!$B$2:$F$25,4,0)=Charms!I205))</f>
        <v>#N/A</v>
      </c>
      <c r="J205" t="e">
        <f t="shared" ca="1" si="16"/>
        <v>#N/A</v>
      </c>
      <c r="K205" s="18" t="e">
        <f t="shared" ca="1" si="15"/>
        <v>#N/A</v>
      </c>
      <c r="L205" t="e">
        <f ca="1">IF(J205,Charms!B205,"")</f>
        <v>#N/A</v>
      </c>
      <c r="M205" t="str">
        <f t="shared" ca="1" si="17"/>
        <v>-</v>
      </c>
      <c r="N205" s="18" t="str">
        <f t="shared" si="18"/>
        <v>K143:L217</v>
      </c>
      <c r="O205" t="str">
        <f t="shared" si="19"/>
        <v>A143:A205</v>
      </c>
    </row>
    <row r="206" spans="1:15">
      <c r="A206" s="18" t="str">
        <f>Charms!K206</f>
        <v>Brawl</v>
      </c>
      <c r="B206" t="str">
        <f>Charms!B206</f>
        <v>Become the Wave</v>
      </c>
      <c r="C206" t="b">
        <f ca="1">OR(Values!$S$98&gt;=Charms!M206,IFERROR(Charms!J206=OFFSET(Values!$A$24,MATCH("S",Values!$T$25:$T$50,0),0),FALSE))</f>
        <v>0</v>
      </c>
      <c r="D206" t="b">
        <f>VLOOKUP(Charms!J206,Values!$A$11:$S$59,19,0)&gt;=Charms!L206</f>
        <v>0</v>
      </c>
      <c r="E206" t="e">
        <f>OR(ISBLANK(Charms!I206),(VLOOKUP(Values!$S$6,Castes!$B$2:$F$25,4,0)=Charms!I206))</f>
        <v>#N/A</v>
      </c>
      <c r="J206" t="e">
        <f t="shared" ca="1" si="16"/>
        <v>#N/A</v>
      </c>
      <c r="K206" s="18" t="e">
        <f t="shared" ca="1" si="15"/>
        <v>#N/A</v>
      </c>
      <c r="L206" t="e">
        <f ca="1">IF(J206,Charms!B206,"")</f>
        <v>#N/A</v>
      </c>
      <c r="M206" t="str">
        <f t="shared" ca="1" si="17"/>
        <v>-</v>
      </c>
      <c r="N206" s="18" t="str">
        <f t="shared" si="18"/>
        <v>K143:L217</v>
      </c>
      <c r="O206" t="str">
        <f t="shared" si="19"/>
        <v>A143:A206</v>
      </c>
    </row>
    <row r="207" spans="1:15">
      <c r="A207" s="18" t="str">
        <f>Charms!K207</f>
        <v>Brawl</v>
      </c>
      <c r="B207" t="str">
        <f>Charms!B207</f>
        <v>Waves Swallow the Mountain</v>
      </c>
      <c r="C207" t="b">
        <f ca="1">OR(Values!$S$98&gt;=Charms!M207,IFERROR(Charms!J207=OFFSET(Values!$A$24,MATCH("S",Values!$T$25:$T$50,0),0),FALSE))</f>
        <v>0</v>
      </c>
      <c r="D207" t="b">
        <f>VLOOKUP(Charms!J207,Values!$A$11:$S$59,19,0)&gt;=Charms!L207</f>
        <v>0</v>
      </c>
      <c r="E207" t="e">
        <f>OR(ISBLANK(Charms!I207),(VLOOKUP(Values!$S$6,Castes!$B$2:$F$25,4,0)=Charms!I207))</f>
        <v>#N/A</v>
      </c>
      <c r="J207" t="e">
        <f t="shared" ca="1" si="16"/>
        <v>#N/A</v>
      </c>
      <c r="K207" s="18" t="e">
        <f t="shared" ca="1" si="15"/>
        <v>#N/A</v>
      </c>
      <c r="L207" t="e">
        <f ca="1">IF(J207,Charms!B207,"")</f>
        <v>#N/A</v>
      </c>
      <c r="M207" t="str">
        <f t="shared" ca="1" si="17"/>
        <v>-</v>
      </c>
      <c r="N207" s="18" t="str">
        <f t="shared" si="18"/>
        <v>K143:L217</v>
      </c>
      <c r="O207" t="str">
        <f t="shared" si="19"/>
        <v>A143:A207</v>
      </c>
    </row>
    <row r="208" spans="1:15">
      <c r="A208" s="18" t="str">
        <f>Charms!K208</f>
        <v>Brawl</v>
      </c>
      <c r="B208" t="str">
        <f>Charms!B208</f>
        <v>Flying Whirlwind Razor</v>
      </c>
      <c r="C208" t="b">
        <f ca="1">OR(Values!$S$98&gt;=Charms!M208,IFERROR(Charms!J208=OFFSET(Values!$A$24,MATCH("S",Values!$T$25:$T$50,0),0),FALSE))</f>
        <v>0</v>
      </c>
      <c r="D208" t="b">
        <f>VLOOKUP(Charms!J208,Values!$A$11:$S$59,19,0)&gt;=Charms!L208</f>
        <v>0</v>
      </c>
      <c r="E208" t="e">
        <f>OR(ISBLANK(Charms!I208),(VLOOKUP(Values!$S$6,Castes!$B$2:$F$25,4,0)=Charms!I208))</f>
        <v>#N/A</v>
      </c>
      <c r="J208" t="e">
        <f t="shared" ca="1" si="16"/>
        <v>#N/A</v>
      </c>
      <c r="K208" s="18" t="e">
        <f t="shared" ca="1" si="15"/>
        <v>#N/A</v>
      </c>
      <c r="L208" t="e">
        <f ca="1">IF(J208,Charms!B208,"")</f>
        <v>#N/A</v>
      </c>
      <c r="M208" t="str">
        <f t="shared" ca="1" si="17"/>
        <v>-</v>
      </c>
      <c r="N208" s="18" t="str">
        <f t="shared" si="18"/>
        <v>K143:L217</v>
      </c>
      <c r="O208" t="str">
        <f t="shared" si="19"/>
        <v>A143:A208</v>
      </c>
    </row>
    <row r="209" spans="1:15">
      <c r="A209" s="18" t="str">
        <f>Charms!K209</f>
        <v>Brawl</v>
      </c>
      <c r="B209" t="str">
        <f>Charms!B209</f>
        <v>Crater-Making Impact</v>
      </c>
      <c r="C209" t="b">
        <f ca="1">OR(Values!$S$98&gt;=Charms!M209,IFERROR(Charms!J209=OFFSET(Values!$A$24,MATCH("S",Values!$T$25:$T$50,0),0),FALSE))</f>
        <v>0</v>
      </c>
      <c r="D209" t="b">
        <f>VLOOKUP(Charms!J209,Values!$A$11:$S$59,19,0)&gt;=Charms!L209</f>
        <v>0</v>
      </c>
      <c r="E209" t="e">
        <f>OR(ISBLANK(Charms!I209),(VLOOKUP(Values!$S$6,Castes!$B$2:$F$25,4,0)=Charms!I209))</f>
        <v>#N/A</v>
      </c>
      <c r="J209" t="e">
        <f t="shared" ca="1" si="16"/>
        <v>#N/A</v>
      </c>
      <c r="K209" s="18" t="e">
        <f t="shared" ca="1" si="15"/>
        <v>#N/A</v>
      </c>
      <c r="L209" t="e">
        <f ca="1">IF(J209,Charms!B209,"")</f>
        <v>#N/A</v>
      </c>
      <c r="M209" t="str">
        <f t="shared" ca="1" si="17"/>
        <v>-</v>
      </c>
      <c r="N209" s="18" t="str">
        <f t="shared" si="18"/>
        <v>K143:L217</v>
      </c>
      <c r="O209" t="str">
        <f t="shared" si="19"/>
        <v>A143:A209</v>
      </c>
    </row>
    <row r="210" spans="1:15">
      <c r="A210" s="18" t="str">
        <f>Charms!K210</f>
        <v>Brawl</v>
      </c>
      <c r="B210" t="str">
        <f>Charms!B210</f>
        <v>Erupting Fury Barrage</v>
      </c>
      <c r="C210" t="b">
        <f ca="1">OR(Values!$S$98&gt;=Charms!M210,IFERROR(Charms!J210=OFFSET(Values!$A$24,MATCH("S",Values!$T$25:$T$50,0),0),FALSE))</f>
        <v>0</v>
      </c>
      <c r="D210" t="b">
        <f>VLOOKUP(Charms!J210,Values!$A$11:$S$59,19,0)&gt;=Charms!L210</f>
        <v>0</v>
      </c>
      <c r="E210" t="e">
        <f>OR(ISBLANK(Charms!I210),(VLOOKUP(Values!$S$6,Castes!$B$2:$F$25,4,0)=Charms!I210))</f>
        <v>#N/A</v>
      </c>
      <c r="J210" t="e">
        <f t="shared" ca="1" si="16"/>
        <v>#N/A</v>
      </c>
      <c r="K210" s="18" t="e">
        <f t="shared" ca="1" si="15"/>
        <v>#N/A</v>
      </c>
      <c r="L210" t="e">
        <f ca="1">IF(J210,Charms!B210,"")</f>
        <v>#N/A</v>
      </c>
      <c r="M210" t="str">
        <f t="shared" ca="1" si="17"/>
        <v>-</v>
      </c>
      <c r="N210" s="18" t="str">
        <f t="shared" si="18"/>
        <v>K143:L217</v>
      </c>
      <c r="O210" t="str">
        <f t="shared" si="19"/>
        <v>A143:A210</v>
      </c>
    </row>
    <row r="211" spans="1:15">
      <c r="A211" s="18" t="str">
        <f>Charms!K211</f>
        <v>Brawl</v>
      </c>
      <c r="B211" t="str">
        <f>Charms!B211</f>
        <v>Embracing the Violent Flow</v>
      </c>
      <c r="C211" t="b">
        <f ca="1">OR(Values!$S$98&gt;=Charms!M211,IFERROR(Charms!J211=OFFSET(Values!$A$24,MATCH("S",Values!$T$25:$T$50,0),0),FALSE))</f>
        <v>0</v>
      </c>
      <c r="D211" t="b">
        <f>VLOOKUP(Charms!J211,Values!$A$11:$S$59,19,0)&gt;=Charms!L211</f>
        <v>0</v>
      </c>
      <c r="E211" t="e">
        <f>OR(ISBLANK(Charms!I211),(VLOOKUP(Values!$S$6,Castes!$B$2:$F$25,4,0)=Charms!I211))</f>
        <v>#N/A</v>
      </c>
      <c r="J211" t="e">
        <f t="shared" ca="1" si="16"/>
        <v>#N/A</v>
      </c>
      <c r="K211" s="18" t="e">
        <f t="shared" ca="1" si="15"/>
        <v>#N/A</v>
      </c>
      <c r="L211" t="e">
        <f ca="1">IF(J211,Charms!B211,"")</f>
        <v>#N/A</v>
      </c>
      <c r="M211" t="str">
        <f t="shared" ca="1" si="17"/>
        <v>-</v>
      </c>
      <c r="N211" s="18" t="str">
        <f t="shared" si="18"/>
        <v>K143:L217</v>
      </c>
      <c r="O211" t="str">
        <f t="shared" si="19"/>
        <v>A143:A211</v>
      </c>
    </row>
    <row r="212" spans="1:15">
      <c r="A212" s="18" t="str">
        <f>Charms!K212</f>
        <v>Brawl</v>
      </c>
      <c r="B212" t="str">
        <f>Charms!B212</f>
        <v>Body of Deadly Thorns</v>
      </c>
      <c r="C212" t="b">
        <f ca="1">OR(Values!$S$98&gt;=Charms!M212,IFERROR(Charms!J212=OFFSET(Values!$A$24,MATCH("S",Values!$T$25:$T$50,0),0),FALSE))</f>
        <v>0</v>
      </c>
      <c r="D212" t="b">
        <f>VLOOKUP(Charms!J212,Values!$A$11:$S$59,19,0)&gt;=Charms!L212</f>
        <v>0</v>
      </c>
      <c r="E212" t="e">
        <f>OR(ISBLANK(Charms!I212),(VLOOKUP(Values!$S$6,Castes!$B$2:$F$25,4,0)=Charms!I212))</f>
        <v>#N/A</v>
      </c>
      <c r="J212" t="e">
        <f t="shared" ca="1" si="16"/>
        <v>#N/A</v>
      </c>
      <c r="K212" s="18" t="e">
        <f t="shared" ca="1" si="15"/>
        <v>#N/A</v>
      </c>
      <c r="L212" t="e">
        <f ca="1">IF(J212,Charms!B212,"")</f>
        <v>#N/A</v>
      </c>
      <c r="M212" t="str">
        <f t="shared" ca="1" si="17"/>
        <v>-</v>
      </c>
      <c r="N212" s="18" t="str">
        <f t="shared" si="18"/>
        <v>K143:L217</v>
      </c>
      <c r="O212" t="str">
        <f t="shared" si="19"/>
        <v>A143:A212</v>
      </c>
    </row>
    <row r="213" spans="1:15">
      <c r="A213" s="18" t="str">
        <f>Charms!K213</f>
        <v>Brawl</v>
      </c>
      <c r="B213" t="str">
        <f>Charms!B213</f>
        <v>Swift-Striking Tide</v>
      </c>
      <c r="C213" t="b">
        <f ca="1">OR(Values!$S$98&gt;=Charms!M213,IFERROR(Charms!J213=OFFSET(Values!$A$24,MATCH("S",Values!$T$25:$T$50,0),0),FALSE))</f>
        <v>0</v>
      </c>
      <c r="D213" t="b">
        <f>VLOOKUP(Charms!J213,Values!$A$11:$S$59,19,0)&gt;=Charms!L213</f>
        <v>0</v>
      </c>
      <c r="E213" t="e">
        <f>OR(ISBLANK(Charms!I213),(VLOOKUP(Values!$S$6,Castes!$B$2:$F$25,4,0)=Charms!I213))</f>
        <v>#N/A</v>
      </c>
      <c r="J213" t="e">
        <f t="shared" ca="1" si="16"/>
        <v>#N/A</v>
      </c>
      <c r="K213" s="18" t="e">
        <f t="shared" ca="1" si="15"/>
        <v>#N/A</v>
      </c>
      <c r="L213" t="e">
        <f ca="1">IF(J213,Charms!B213,"")</f>
        <v>#N/A</v>
      </c>
      <c r="M213" t="str">
        <f t="shared" ca="1" si="17"/>
        <v>-</v>
      </c>
      <c r="N213" s="18" t="str">
        <f t="shared" si="18"/>
        <v>K143:L217</v>
      </c>
      <c r="O213" t="str">
        <f t="shared" si="19"/>
        <v>A143:A213</v>
      </c>
    </row>
    <row r="214" spans="1:15">
      <c r="A214" s="18" t="str">
        <f>Charms!K214</f>
        <v>Brawl</v>
      </c>
      <c r="B214" t="str">
        <f>Charms!B214</f>
        <v>Fist-Spinning Maelstrom</v>
      </c>
      <c r="C214" t="b">
        <f ca="1">OR(Values!$S$98&gt;=Charms!M214,IFERROR(Charms!J214=OFFSET(Values!$A$24,MATCH("S",Values!$T$25:$T$50,0),0),FALSE))</f>
        <v>0</v>
      </c>
      <c r="D214" t="b">
        <f>VLOOKUP(Charms!J214,Values!$A$11:$S$59,19,0)&gt;=Charms!L214</f>
        <v>0</v>
      </c>
      <c r="E214" t="e">
        <f>OR(ISBLANK(Charms!I214),(VLOOKUP(Values!$S$6,Castes!$B$2:$F$25,4,0)=Charms!I214))</f>
        <v>#N/A</v>
      </c>
      <c r="J214" t="e">
        <f t="shared" ca="1" si="16"/>
        <v>#N/A</v>
      </c>
      <c r="K214" s="18" t="e">
        <f t="shared" ca="1" si="15"/>
        <v>#N/A</v>
      </c>
      <c r="L214" t="e">
        <f ca="1">IF(J214,Charms!B214,"")</f>
        <v>#N/A</v>
      </c>
      <c r="M214" t="str">
        <f t="shared" ca="1" si="17"/>
        <v>-</v>
      </c>
      <c r="N214" s="18" t="str">
        <f t="shared" si="18"/>
        <v>K143:L217</v>
      </c>
      <c r="O214" t="str">
        <f t="shared" si="19"/>
        <v>A143:A214</v>
      </c>
    </row>
    <row r="215" spans="1:15">
      <c r="A215" s="18" t="str">
        <f>Charms!K215</f>
        <v>Brawl</v>
      </c>
      <c r="B215" t="str">
        <f>Charms!B215</f>
        <v>Drowning Embrace</v>
      </c>
      <c r="C215" t="b">
        <f ca="1">OR(Values!$S$98&gt;=Charms!M215,IFERROR(Charms!J215=OFFSET(Values!$A$24,MATCH("S",Values!$T$25:$T$50,0),0),FALSE))</f>
        <v>0</v>
      </c>
      <c r="D215" t="b">
        <f>VLOOKUP(Charms!J215,Values!$A$11:$S$59,19,0)&gt;=Charms!L215</f>
        <v>0</v>
      </c>
      <c r="E215" t="e">
        <f>OR(ISBLANK(Charms!I215),(VLOOKUP(Values!$S$6,Castes!$B$2:$F$25,4,0)=Charms!I215))</f>
        <v>#N/A</v>
      </c>
      <c r="J215" t="e">
        <f t="shared" ca="1" si="16"/>
        <v>#N/A</v>
      </c>
      <c r="K215" s="18" t="e">
        <f t="shared" ca="1" si="15"/>
        <v>#N/A</v>
      </c>
      <c r="L215" t="e">
        <f ca="1">IF(J215,Charms!B215,"")</f>
        <v>#N/A</v>
      </c>
      <c r="M215" t="str">
        <f t="shared" ca="1" si="17"/>
        <v>-</v>
      </c>
      <c r="N215" s="18" t="str">
        <f t="shared" si="18"/>
        <v>K143:L217</v>
      </c>
      <c r="O215" t="str">
        <f t="shared" si="19"/>
        <v>A143:A215</v>
      </c>
    </row>
    <row r="216" spans="1:15">
      <c r="A216" s="18" t="str">
        <f>Charms!K216</f>
        <v>Brawl</v>
      </c>
      <c r="B216" t="str">
        <f>Charms!B216</f>
        <v>Hanging Tree Technique</v>
      </c>
      <c r="C216" t="b">
        <f ca="1">OR(Values!$S$98&gt;=Charms!M216,IFERROR(Charms!J216=OFFSET(Values!$A$24,MATCH("S",Values!$T$25:$T$50,0),0),FALSE))</f>
        <v>0</v>
      </c>
      <c r="D216" t="b">
        <f>VLOOKUP(Charms!J216,Values!$A$11:$S$59,19,0)&gt;=Charms!L216</f>
        <v>0</v>
      </c>
      <c r="E216" t="e">
        <f>OR(ISBLANK(Charms!I216),(VLOOKUP(Values!$S$6,Castes!$B$2:$F$25,4,0)=Charms!I216))</f>
        <v>#N/A</v>
      </c>
      <c r="J216" t="e">
        <f t="shared" ca="1" si="16"/>
        <v>#N/A</v>
      </c>
      <c r="K216" s="18" t="e">
        <f t="shared" ca="1" si="15"/>
        <v>#N/A</v>
      </c>
      <c r="L216" t="e">
        <f ca="1">IF(J216,Charms!B216,"")</f>
        <v>#N/A</v>
      </c>
      <c r="M216" t="str">
        <f t="shared" ca="1" si="17"/>
        <v>-</v>
      </c>
      <c r="N216" s="18" t="str">
        <f t="shared" si="18"/>
        <v>K143:L217</v>
      </c>
      <c r="O216" t="str">
        <f t="shared" si="19"/>
        <v>A143:A216</v>
      </c>
    </row>
    <row r="217" spans="1:15">
      <c r="A217" s="18" t="str">
        <f>Charms!K217</f>
        <v>Brawl</v>
      </c>
      <c r="B217" t="str">
        <f>Charms!B217</f>
        <v>Smashing Tidal Wave Technique</v>
      </c>
      <c r="C217" t="b">
        <f ca="1">OR(Values!$S$98&gt;=Charms!M217,IFERROR(Charms!J217=OFFSET(Values!$A$24,MATCH("S",Values!$T$25:$T$50,0),0),FALSE))</f>
        <v>0</v>
      </c>
      <c r="D217" t="b">
        <f>VLOOKUP(Charms!J217,Values!$A$11:$S$59,19,0)&gt;=Charms!L217</f>
        <v>0</v>
      </c>
      <c r="E217" t="e">
        <f>OR(ISBLANK(Charms!I217),(VLOOKUP(Values!$S$6,Castes!$B$2:$F$25,4,0)=Charms!I217))</f>
        <v>#N/A</v>
      </c>
      <c r="J217" t="e">
        <f t="shared" ca="1" si="16"/>
        <v>#N/A</v>
      </c>
      <c r="K217" s="18" t="e">
        <f t="shared" ca="1" si="15"/>
        <v>#N/A</v>
      </c>
      <c r="L217" t="e">
        <f ca="1">IF(J217,Charms!B217,"")</f>
        <v>#N/A</v>
      </c>
      <c r="M217" t="str">
        <f t="shared" ca="1" si="17"/>
        <v>-</v>
      </c>
      <c r="N217" s="18" t="str">
        <f t="shared" si="18"/>
        <v>K143:L217</v>
      </c>
      <c r="O217" t="str">
        <f t="shared" si="19"/>
        <v>A143:A217</v>
      </c>
    </row>
    <row r="218" spans="1:15">
      <c r="A218" s="18" t="str">
        <f>Charms!K218</f>
        <v>Bureaucracy</v>
      </c>
      <c r="B218" t="str">
        <f>Charms!B218</f>
        <v>Frugal Merchant Method</v>
      </c>
      <c r="C218" t="b">
        <f ca="1">OR(Values!$S$98&gt;=Charms!M218,IFERROR(Charms!J218=OFFSET(Values!$A$24,MATCH("S",Values!$T$25:$T$50,0),0),FALSE))</f>
        <v>1</v>
      </c>
      <c r="D218" t="b">
        <f>VLOOKUP(Charms!J218,Values!$A$11:$S$59,19,0)&gt;=Charms!L218</f>
        <v>0</v>
      </c>
      <c r="E218" t="e">
        <f>OR(ISBLANK(Charms!I218),(VLOOKUP(Values!$S$6,Castes!$B$2:$F$25,4,0)=Charms!I218))</f>
        <v>#N/A</v>
      </c>
      <c r="J218" t="e">
        <f t="shared" ca="1" si="16"/>
        <v>#N/A</v>
      </c>
      <c r="K218" s="18" t="e">
        <f t="shared" ca="1" si="15"/>
        <v>#N/A</v>
      </c>
      <c r="L218" t="e">
        <f ca="1">IF(J218,Charms!B218,"")</f>
        <v>#N/A</v>
      </c>
      <c r="M218" t="str">
        <f t="shared" ca="1" si="17"/>
        <v>-</v>
      </c>
      <c r="N218" s="18" t="str">
        <f t="shared" si="18"/>
        <v>K218:L271</v>
      </c>
      <c r="O218" t="str">
        <f t="shared" si="19"/>
        <v>A218:A218</v>
      </c>
    </row>
    <row r="219" spans="1:15">
      <c r="A219" s="18" t="str">
        <f>Charms!K219</f>
        <v>Bureaucracy</v>
      </c>
      <c r="B219" t="str">
        <f>Charms!B219</f>
        <v>Deft Official's Way</v>
      </c>
      <c r="C219" t="b">
        <f ca="1">OR(Values!$S$98&gt;=Charms!M219,IFERROR(Charms!J219=OFFSET(Values!$A$24,MATCH("S",Values!$T$25:$T$50,0),0),FALSE))</f>
        <v>1</v>
      </c>
      <c r="D219" t="b">
        <f>VLOOKUP(Charms!J219,Values!$A$11:$S$59,19,0)&gt;=Charms!L219</f>
        <v>0</v>
      </c>
      <c r="E219" t="e">
        <f>OR(ISBLANK(Charms!I219),(VLOOKUP(Values!$S$6,Castes!$B$2:$F$25,4,0)=Charms!I219))</f>
        <v>#N/A</v>
      </c>
      <c r="J219" t="e">
        <f t="shared" ca="1" si="16"/>
        <v>#N/A</v>
      </c>
      <c r="K219" s="18" t="e">
        <f t="shared" ca="1" si="15"/>
        <v>#N/A</v>
      </c>
      <c r="L219" t="e">
        <f ca="1">IF(J219,Charms!B219,"")</f>
        <v>#N/A</v>
      </c>
      <c r="M219" t="str">
        <f t="shared" ca="1" si="17"/>
        <v>-</v>
      </c>
      <c r="N219" s="18" t="str">
        <f t="shared" si="18"/>
        <v>K218:L271</v>
      </c>
      <c r="O219" t="str">
        <f t="shared" si="19"/>
        <v>A218:A219</v>
      </c>
    </row>
    <row r="220" spans="1:15">
      <c r="A220" s="18" t="str">
        <f>Charms!K220</f>
        <v>Bureaucracy</v>
      </c>
      <c r="B220" t="str">
        <f>Charms!B220</f>
        <v>Measuring Glance</v>
      </c>
      <c r="C220" t="b">
        <f ca="1">OR(Values!$S$98&gt;=Charms!M220,IFERROR(Charms!J220=OFFSET(Values!$A$24,MATCH("S",Values!$T$25:$T$50,0),0),FALSE))</f>
        <v>1</v>
      </c>
      <c r="D220" t="b">
        <f>VLOOKUP(Charms!J220,Values!$A$11:$S$59,19,0)&gt;=Charms!L220</f>
        <v>0</v>
      </c>
      <c r="E220" t="e">
        <f>OR(ISBLANK(Charms!I220),(VLOOKUP(Values!$S$6,Castes!$B$2:$F$25,4,0)=Charms!I220))</f>
        <v>#N/A</v>
      </c>
      <c r="J220" t="e">
        <f t="shared" ca="1" si="16"/>
        <v>#N/A</v>
      </c>
      <c r="K220" s="18" t="e">
        <f t="shared" ca="1" si="15"/>
        <v>#N/A</v>
      </c>
      <c r="L220" t="e">
        <f ca="1">IF(J220,Charms!B220,"")</f>
        <v>#N/A</v>
      </c>
      <c r="M220" t="str">
        <f t="shared" ca="1" si="17"/>
        <v>-</v>
      </c>
      <c r="N220" s="18" t="str">
        <f t="shared" si="18"/>
        <v>K218:L271</v>
      </c>
      <c r="O220" t="str">
        <f t="shared" si="19"/>
        <v>A218:A220</v>
      </c>
    </row>
    <row r="221" spans="1:15">
      <c r="A221" s="18" t="str">
        <f>Charms!K221</f>
        <v>Bureaucracy</v>
      </c>
      <c r="B221" t="str">
        <f>Charms!B221</f>
        <v>Insightful Buyer Technique</v>
      </c>
      <c r="C221" t="b">
        <f ca="1">OR(Values!$S$98&gt;=Charms!M221,IFERROR(Charms!J221=OFFSET(Values!$A$24,MATCH("S",Values!$T$25:$T$50,0),0),FALSE))</f>
        <v>1</v>
      </c>
      <c r="D221" t="b">
        <f>VLOOKUP(Charms!J221,Values!$A$11:$S$59,19,0)&gt;=Charms!L221</f>
        <v>0</v>
      </c>
      <c r="E221" t="e">
        <f>OR(ISBLANK(Charms!I221),(VLOOKUP(Values!$S$6,Castes!$B$2:$F$25,4,0)=Charms!I221))</f>
        <v>#N/A</v>
      </c>
      <c r="J221" t="e">
        <f t="shared" ca="1" si="16"/>
        <v>#N/A</v>
      </c>
      <c r="K221" s="18" t="e">
        <f t="shared" ca="1" si="15"/>
        <v>#N/A</v>
      </c>
      <c r="L221" t="e">
        <f ca="1">IF(J221,Charms!B221,"")</f>
        <v>#N/A</v>
      </c>
      <c r="M221" t="str">
        <f t="shared" ca="1" si="17"/>
        <v>-</v>
      </c>
      <c r="N221" s="18" t="str">
        <f t="shared" si="18"/>
        <v>K218:L271</v>
      </c>
      <c r="O221" t="str">
        <f t="shared" si="19"/>
        <v>A218:A221</v>
      </c>
    </row>
    <row r="222" spans="1:15">
      <c r="A222" s="18" t="str">
        <f>Charms!K222</f>
        <v>Bureaucracy</v>
      </c>
      <c r="B222" t="str">
        <f>Charms!B222</f>
        <v>Consumer-Evaluating Glance</v>
      </c>
      <c r="C222" t="b">
        <f ca="1">OR(Values!$S$98&gt;=Charms!M222,IFERROR(Charms!J222=OFFSET(Values!$A$24,MATCH("S",Values!$T$25:$T$50,0),0),FALSE))</f>
        <v>1</v>
      </c>
      <c r="D222" t="b">
        <f>VLOOKUP(Charms!J222,Values!$A$11:$S$59,19,0)&gt;=Charms!L222</f>
        <v>0</v>
      </c>
      <c r="E222" t="e">
        <f>OR(ISBLANK(Charms!I222),(VLOOKUP(Values!$S$6,Castes!$B$2:$F$25,4,0)=Charms!I222))</f>
        <v>#N/A</v>
      </c>
      <c r="J222" t="e">
        <f t="shared" ca="1" si="16"/>
        <v>#N/A</v>
      </c>
      <c r="K222" s="18" t="e">
        <f t="shared" ca="1" si="15"/>
        <v>#N/A</v>
      </c>
      <c r="L222" t="e">
        <f ca="1">IF(J222,Charms!B222,"")</f>
        <v>#N/A</v>
      </c>
      <c r="M222" t="str">
        <f t="shared" ca="1" si="17"/>
        <v>-</v>
      </c>
      <c r="N222" s="18" t="str">
        <f t="shared" si="18"/>
        <v>K218:L271</v>
      </c>
      <c r="O222" t="str">
        <f t="shared" si="19"/>
        <v>A218:A222</v>
      </c>
    </row>
    <row r="223" spans="1:15">
      <c r="A223" s="18" t="str">
        <f>Charms!K223</f>
        <v>Bureaucracy</v>
      </c>
      <c r="B223" t="str">
        <f>Charms!B223</f>
        <v>Enlightened Discourse Method</v>
      </c>
      <c r="C223" t="b">
        <f ca="1">OR(Values!$S$98&gt;=Charms!M223,IFERROR(Charms!J223=OFFSET(Values!$A$24,MATCH("S",Values!$T$25:$T$50,0),0),FALSE))</f>
        <v>1</v>
      </c>
      <c r="D223" t="b">
        <f>VLOOKUP(Charms!J223,Values!$A$11:$S$59,19,0)&gt;=Charms!L223</f>
        <v>0</v>
      </c>
      <c r="E223" t="e">
        <f>OR(ISBLANK(Charms!I223),(VLOOKUP(Values!$S$6,Castes!$B$2:$F$25,4,0)=Charms!I223))</f>
        <v>#N/A</v>
      </c>
      <c r="J223" t="e">
        <f t="shared" ca="1" si="16"/>
        <v>#N/A</v>
      </c>
      <c r="K223" s="18" t="e">
        <f t="shared" ca="1" si="15"/>
        <v>#N/A</v>
      </c>
      <c r="L223" t="e">
        <f ca="1">IF(J223,Charms!B223,"")</f>
        <v>#N/A</v>
      </c>
      <c r="M223" t="str">
        <f t="shared" ca="1" si="17"/>
        <v>-</v>
      </c>
      <c r="N223" s="18" t="str">
        <f t="shared" si="18"/>
        <v>K218:L271</v>
      </c>
      <c r="O223" t="str">
        <f t="shared" si="19"/>
        <v>A218:A223</v>
      </c>
    </row>
    <row r="224" spans="1:15">
      <c r="A224" s="18" t="str">
        <f>Charms!K224</f>
        <v>Bureaucracy</v>
      </c>
      <c r="B224" t="str">
        <f>Charms!B224</f>
        <v>All-Seeing Master Procurer</v>
      </c>
      <c r="C224" t="b">
        <f ca="1">OR(Values!$S$98&gt;=Charms!M224,IFERROR(Charms!J224=OFFSET(Values!$A$24,MATCH("S",Values!$T$25:$T$50,0),0),FALSE))</f>
        <v>1</v>
      </c>
      <c r="D224" t="b">
        <f>VLOOKUP(Charms!J224,Values!$A$11:$S$59,19,0)&gt;=Charms!L224</f>
        <v>0</v>
      </c>
      <c r="E224" t="e">
        <f>OR(ISBLANK(Charms!I224),(VLOOKUP(Values!$S$6,Castes!$B$2:$F$25,4,0)=Charms!I224))</f>
        <v>#N/A</v>
      </c>
      <c r="J224" t="e">
        <f t="shared" ca="1" si="16"/>
        <v>#N/A</v>
      </c>
      <c r="K224" s="18" t="e">
        <f t="shared" ca="1" si="15"/>
        <v>#N/A</v>
      </c>
      <c r="L224" t="e">
        <f ca="1">IF(J224,Charms!B224,"")</f>
        <v>#N/A</v>
      </c>
      <c r="M224" t="str">
        <f t="shared" ca="1" si="17"/>
        <v>-</v>
      </c>
      <c r="N224" s="18" t="str">
        <f t="shared" si="18"/>
        <v>K218:L271</v>
      </c>
      <c r="O224" t="str">
        <f t="shared" si="19"/>
        <v>A218:A224</v>
      </c>
    </row>
    <row r="225" spans="1:15">
      <c r="A225" s="18" t="str">
        <f>Charms!K225</f>
        <v>Bureaucracy</v>
      </c>
      <c r="B225" t="str">
        <f>Charms!B225</f>
        <v>Enigmatic Bureau Understanding</v>
      </c>
      <c r="C225" t="b">
        <f ca="1">OR(Values!$S$98&gt;=Charms!M225,IFERROR(Charms!J225=OFFSET(Values!$A$24,MATCH("S",Values!$T$25:$T$50,0),0),FALSE))</f>
        <v>1</v>
      </c>
      <c r="D225" t="b">
        <f>VLOOKUP(Charms!J225,Values!$A$11:$S$59,19,0)&gt;=Charms!L225</f>
        <v>0</v>
      </c>
      <c r="E225" t="e">
        <f>OR(ISBLANK(Charms!I225),(VLOOKUP(Values!$S$6,Castes!$B$2:$F$25,4,0)=Charms!I225))</f>
        <v>#N/A</v>
      </c>
      <c r="J225" t="e">
        <f t="shared" ca="1" si="16"/>
        <v>#N/A</v>
      </c>
      <c r="K225" s="18" t="e">
        <f t="shared" ca="1" si="15"/>
        <v>#N/A</v>
      </c>
      <c r="L225" t="e">
        <f ca="1">IF(J225,Charms!B225,"")</f>
        <v>#N/A</v>
      </c>
      <c r="M225" t="str">
        <f t="shared" ca="1" si="17"/>
        <v>-</v>
      </c>
      <c r="N225" s="18" t="str">
        <f t="shared" si="18"/>
        <v>K218:L271</v>
      </c>
      <c r="O225" t="str">
        <f t="shared" si="19"/>
        <v>A218:A225</v>
      </c>
    </row>
    <row r="226" spans="1:15">
      <c r="A226" s="18" t="str">
        <f>Charms!K226</f>
        <v>Bureaucracy</v>
      </c>
      <c r="B226" t="str">
        <f>Charms!B226</f>
        <v>Illimitable Master Fence</v>
      </c>
      <c r="C226" t="b">
        <f ca="1">OR(Values!$S$98&gt;=Charms!M226,IFERROR(Charms!J226=OFFSET(Values!$A$24,MATCH("S",Values!$T$25:$T$50,0),0),FALSE))</f>
        <v>1</v>
      </c>
      <c r="D226" t="b">
        <f>VLOOKUP(Charms!J226,Values!$A$11:$S$59,19,0)&gt;=Charms!L226</f>
        <v>0</v>
      </c>
      <c r="E226" t="e">
        <f>OR(ISBLANK(Charms!I226),(VLOOKUP(Values!$S$6,Castes!$B$2:$F$25,4,0)=Charms!I226))</f>
        <v>#N/A</v>
      </c>
      <c r="J226" t="e">
        <f t="shared" ca="1" si="16"/>
        <v>#N/A</v>
      </c>
      <c r="K226" s="18" t="e">
        <f t="shared" ca="1" si="15"/>
        <v>#N/A</v>
      </c>
      <c r="L226" t="e">
        <f ca="1">IF(J226,Charms!B226,"")</f>
        <v>#N/A</v>
      </c>
      <c r="M226" t="str">
        <f t="shared" ca="1" si="17"/>
        <v>-</v>
      </c>
      <c r="N226" s="18" t="str">
        <f t="shared" si="18"/>
        <v>K218:L271</v>
      </c>
      <c r="O226" t="str">
        <f t="shared" si="19"/>
        <v>A218:A226</v>
      </c>
    </row>
    <row r="227" spans="1:15">
      <c r="A227" s="18" t="str">
        <f>Charms!K227</f>
        <v>Bureaucracy</v>
      </c>
      <c r="B227" t="str">
        <f>Charms!B227</f>
        <v>Speed the Wheels</v>
      </c>
      <c r="C227" t="b">
        <f ca="1">OR(Values!$S$98&gt;=Charms!M227,IFERROR(Charms!J227=OFFSET(Values!$A$24,MATCH("S",Values!$T$25:$T$50,0),0),FALSE))</f>
        <v>1</v>
      </c>
      <c r="D227" t="b">
        <f>VLOOKUP(Charms!J227,Values!$A$11:$S$59,19,0)&gt;=Charms!L227</f>
        <v>0</v>
      </c>
      <c r="E227" t="e">
        <f>OR(ISBLANK(Charms!I227),(VLOOKUP(Values!$S$6,Castes!$B$2:$F$25,4,0)=Charms!I227))</f>
        <v>#N/A</v>
      </c>
      <c r="J227" t="e">
        <f t="shared" ca="1" si="16"/>
        <v>#N/A</v>
      </c>
      <c r="K227" s="18" t="e">
        <f t="shared" ca="1" si="15"/>
        <v>#N/A</v>
      </c>
      <c r="L227" t="e">
        <f ca="1">IF(J227,Charms!B227,"")</f>
        <v>#N/A</v>
      </c>
      <c r="M227" t="str">
        <f t="shared" ca="1" si="17"/>
        <v>-</v>
      </c>
      <c r="N227" s="18" t="str">
        <f t="shared" si="18"/>
        <v>K218:L271</v>
      </c>
      <c r="O227" t="str">
        <f t="shared" si="19"/>
        <v>A218:A227</v>
      </c>
    </row>
    <row r="228" spans="1:15">
      <c r="A228" s="18" t="str">
        <f>Charms!K228</f>
        <v>Bureaucracy</v>
      </c>
      <c r="B228" t="str">
        <f>Charms!B228</f>
        <v>Bureau-Rectifying Method</v>
      </c>
      <c r="C228" t="b">
        <f ca="1">OR(Values!$S$98&gt;=Charms!M228,IFERROR(Charms!J228=OFFSET(Values!$A$24,MATCH("S",Values!$T$25:$T$50,0),0),FALSE))</f>
        <v>1</v>
      </c>
      <c r="D228" t="b">
        <f>VLOOKUP(Charms!J228,Values!$A$11:$S$59,19,0)&gt;=Charms!L228</f>
        <v>0</v>
      </c>
      <c r="E228" t="e">
        <f>OR(ISBLANK(Charms!I228),(VLOOKUP(Values!$S$6,Castes!$B$2:$F$25,4,0)=Charms!I228))</f>
        <v>#N/A</v>
      </c>
      <c r="J228" t="e">
        <f t="shared" ca="1" si="16"/>
        <v>#N/A</v>
      </c>
      <c r="K228" s="18" t="e">
        <f t="shared" ca="1" si="15"/>
        <v>#N/A</v>
      </c>
      <c r="L228" t="e">
        <f ca="1">IF(J228,Charms!B228,"")</f>
        <v>#N/A</v>
      </c>
      <c r="M228" t="str">
        <f t="shared" ca="1" si="17"/>
        <v>-</v>
      </c>
      <c r="N228" s="18" t="str">
        <f t="shared" si="18"/>
        <v>K218:L271</v>
      </c>
      <c r="O228" t="str">
        <f t="shared" si="19"/>
        <v>A218:A228</v>
      </c>
    </row>
    <row r="229" spans="1:15">
      <c r="A229" s="18" t="str">
        <f>Charms!K229</f>
        <v>Bureaucracy</v>
      </c>
      <c r="B229" t="str">
        <f>Charms!B229</f>
        <v>Irresistible Salesman Spirit</v>
      </c>
      <c r="C229" t="b">
        <f ca="1">OR(Values!$S$98&gt;=Charms!M229,IFERROR(Charms!J229=OFFSET(Values!$A$24,MATCH("S",Values!$T$25:$T$50,0),0),FALSE))</f>
        <v>0</v>
      </c>
      <c r="D229" t="b">
        <f>VLOOKUP(Charms!J229,Values!$A$11:$S$59,19,0)&gt;=Charms!L229</f>
        <v>0</v>
      </c>
      <c r="E229" t="e">
        <f>OR(ISBLANK(Charms!I229),(VLOOKUP(Values!$S$6,Castes!$B$2:$F$25,4,0)=Charms!I229))</f>
        <v>#N/A</v>
      </c>
      <c r="J229" t="e">
        <f t="shared" ca="1" si="16"/>
        <v>#N/A</v>
      </c>
      <c r="K229" s="18" t="e">
        <f t="shared" ca="1" si="15"/>
        <v>#N/A</v>
      </c>
      <c r="L229" t="e">
        <f ca="1">IF(J229,Charms!B229,"")</f>
        <v>#N/A</v>
      </c>
      <c r="M229" t="str">
        <f t="shared" ca="1" si="17"/>
        <v>-</v>
      </c>
      <c r="N229" s="18" t="str">
        <f t="shared" si="18"/>
        <v>K218:L271</v>
      </c>
      <c r="O229" t="str">
        <f t="shared" si="19"/>
        <v>A218:A229</v>
      </c>
    </row>
    <row r="230" spans="1:15">
      <c r="A230" s="18" t="str">
        <f>Charms!K230</f>
        <v>Bureaucracy</v>
      </c>
      <c r="B230" t="str">
        <f>Charms!B230</f>
        <v>Ungoverned Market Awareness</v>
      </c>
      <c r="C230" t="b">
        <f ca="1">OR(Values!$S$98&gt;=Charms!M230,IFERROR(Charms!J230=OFFSET(Values!$A$24,MATCH("S",Values!$T$25:$T$50,0),0),FALSE))</f>
        <v>0</v>
      </c>
      <c r="D230" t="b">
        <f>VLOOKUP(Charms!J230,Values!$A$11:$S$59,19,0)&gt;=Charms!L230</f>
        <v>0</v>
      </c>
      <c r="E230" t="e">
        <f>OR(ISBLANK(Charms!I230),(VLOOKUP(Values!$S$6,Castes!$B$2:$F$25,4,0)=Charms!I230))</f>
        <v>#N/A</v>
      </c>
      <c r="J230" t="e">
        <f t="shared" ca="1" si="16"/>
        <v>#N/A</v>
      </c>
      <c r="K230" s="18" t="e">
        <f t="shared" ca="1" si="15"/>
        <v>#N/A</v>
      </c>
      <c r="L230" t="e">
        <f ca="1">IF(J230,Charms!B230,"")</f>
        <v>#N/A</v>
      </c>
      <c r="M230" t="str">
        <f t="shared" ca="1" si="17"/>
        <v>-</v>
      </c>
      <c r="N230" s="18" t="str">
        <f t="shared" si="18"/>
        <v>K218:L271</v>
      </c>
      <c r="O230" t="str">
        <f t="shared" si="19"/>
        <v>A218:A230</v>
      </c>
    </row>
    <row r="231" spans="1:15">
      <c r="A231" s="18" t="str">
        <f>Charms!K231</f>
        <v>Bureaucracy</v>
      </c>
      <c r="B231" t="str">
        <f>Charms!B231</f>
        <v>Bureau-Reforming Kata</v>
      </c>
      <c r="C231" t="b">
        <f ca="1">OR(Values!$S$98&gt;=Charms!M231,IFERROR(Charms!J231=OFFSET(Values!$A$24,MATCH("S",Values!$T$25:$T$50,0),0),FALSE))</f>
        <v>0</v>
      </c>
      <c r="D231" t="b">
        <f>VLOOKUP(Charms!J231,Values!$A$11:$S$59,19,0)&gt;=Charms!L231</f>
        <v>0</v>
      </c>
      <c r="E231" t="e">
        <f>OR(ISBLANK(Charms!I231),(VLOOKUP(Values!$S$6,Castes!$B$2:$F$25,4,0)=Charms!I231))</f>
        <v>#N/A</v>
      </c>
      <c r="J231" t="e">
        <f t="shared" ca="1" si="16"/>
        <v>#N/A</v>
      </c>
      <c r="K231" s="18" t="e">
        <f t="shared" ca="1" si="15"/>
        <v>#N/A</v>
      </c>
      <c r="L231" t="e">
        <f ca="1">IF(J231,Charms!B231,"")</f>
        <v>#N/A</v>
      </c>
      <c r="M231" t="str">
        <f t="shared" ca="1" si="17"/>
        <v>-</v>
      </c>
      <c r="N231" s="18" t="str">
        <f t="shared" si="18"/>
        <v>K218:L271</v>
      </c>
      <c r="O231" t="str">
        <f t="shared" si="19"/>
        <v>A218:A231</v>
      </c>
    </row>
    <row r="232" spans="1:15">
      <c r="A232" s="18" t="str">
        <f>Charms!K232</f>
        <v>Bureaucracy</v>
      </c>
      <c r="B232" t="str">
        <f>Charms!B232</f>
        <v>Indolent Official Charm</v>
      </c>
      <c r="C232" t="b">
        <f ca="1">OR(Values!$S$98&gt;=Charms!M232,IFERROR(Charms!J232=OFFSET(Values!$A$24,MATCH("S",Values!$T$25:$T$50,0),0),FALSE))</f>
        <v>0</v>
      </c>
      <c r="D232" t="b">
        <f>VLOOKUP(Charms!J232,Values!$A$11:$S$59,19,0)&gt;=Charms!L232</f>
        <v>0</v>
      </c>
      <c r="E232" t="e">
        <f>OR(ISBLANK(Charms!I232),(VLOOKUP(Values!$S$6,Castes!$B$2:$F$25,4,0)=Charms!I232))</f>
        <v>#N/A</v>
      </c>
      <c r="J232" t="e">
        <f t="shared" ca="1" si="16"/>
        <v>#N/A</v>
      </c>
      <c r="K232" s="18" t="e">
        <f t="shared" ca="1" si="15"/>
        <v>#N/A</v>
      </c>
      <c r="L232" t="e">
        <f ca="1">IF(J232,Charms!B232,"")</f>
        <v>#N/A</v>
      </c>
      <c r="M232" t="str">
        <f t="shared" ca="1" si="17"/>
        <v>-</v>
      </c>
      <c r="N232" s="18" t="str">
        <f t="shared" si="18"/>
        <v>K218:L271</v>
      </c>
      <c r="O232" t="str">
        <f t="shared" si="19"/>
        <v>A218:A232</v>
      </c>
    </row>
    <row r="233" spans="1:15">
      <c r="A233" s="18" t="str">
        <f>Charms!K233</f>
        <v>Bureaucracy</v>
      </c>
      <c r="B233" t="str">
        <f>Charms!B233</f>
        <v>Semantic Argument Technique</v>
      </c>
      <c r="C233" t="b">
        <f ca="1">OR(Values!$S$98&gt;=Charms!M233,IFERROR(Charms!J233=OFFSET(Values!$A$24,MATCH("S",Values!$T$25:$T$50,0),0),FALSE))</f>
        <v>0</v>
      </c>
      <c r="D233" t="b">
        <f>VLOOKUP(Charms!J233,Values!$A$11:$S$59,19,0)&gt;=Charms!L233</f>
        <v>0</v>
      </c>
      <c r="E233" t="e">
        <f>OR(ISBLANK(Charms!I233),(VLOOKUP(Values!$S$6,Castes!$B$2:$F$25,4,0)=Charms!I233))</f>
        <v>#N/A</v>
      </c>
      <c r="J233" t="e">
        <f t="shared" ca="1" si="16"/>
        <v>#N/A</v>
      </c>
      <c r="K233" s="18" t="e">
        <f t="shared" ca="1" si="15"/>
        <v>#N/A</v>
      </c>
      <c r="L233" t="e">
        <f ca="1">IF(J233,Charms!B233,"")</f>
        <v>#N/A</v>
      </c>
      <c r="M233" t="str">
        <f t="shared" ca="1" si="17"/>
        <v>-</v>
      </c>
      <c r="N233" s="18" t="str">
        <f t="shared" si="18"/>
        <v>K218:L271</v>
      </c>
      <c r="O233" t="str">
        <f t="shared" si="19"/>
        <v>A218:A233</v>
      </c>
    </row>
    <row r="234" spans="1:15">
      <c r="A234" s="18" t="str">
        <f>Charms!K234</f>
        <v>Bureaucracy</v>
      </c>
      <c r="B234" t="str">
        <f>Charms!B234</f>
        <v>Empowered Barter Stance</v>
      </c>
      <c r="C234" t="b">
        <f ca="1">OR(Values!$S$98&gt;=Charms!M234,IFERROR(Charms!J234=OFFSET(Values!$A$24,MATCH("S",Values!$T$25:$T$50,0),0),FALSE))</f>
        <v>0</v>
      </c>
      <c r="D234" t="b">
        <f>VLOOKUP(Charms!J234,Values!$A$11:$S$59,19,0)&gt;=Charms!L234</f>
        <v>0</v>
      </c>
      <c r="E234" t="e">
        <f>OR(ISBLANK(Charms!I234),(VLOOKUP(Values!$S$6,Castes!$B$2:$F$25,4,0)=Charms!I234))</f>
        <v>#N/A</v>
      </c>
      <c r="J234" t="e">
        <f t="shared" ca="1" si="16"/>
        <v>#N/A</v>
      </c>
      <c r="K234" s="18" t="e">
        <f t="shared" ca="1" si="15"/>
        <v>#N/A</v>
      </c>
      <c r="L234" t="e">
        <f ca="1">IF(J234,Charms!B234,"")</f>
        <v>#N/A</v>
      </c>
      <c r="M234" t="str">
        <f t="shared" ca="1" si="17"/>
        <v>-</v>
      </c>
      <c r="N234" s="18" t="str">
        <f t="shared" si="18"/>
        <v>K218:L271</v>
      </c>
      <c r="O234" t="str">
        <f t="shared" si="19"/>
        <v>A218:A234</v>
      </c>
    </row>
    <row r="235" spans="1:15">
      <c r="A235" s="18" t="str">
        <f>Charms!K235</f>
        <v>Bureaucracy</v>
      </c>
      <c r="B235" t="str">
        <f>Charms!B235</f>
        <v>Soul-Snaring Pitch</v>
      </c>
      <c r="C235" t="b">
        <f ca="1">OR(Values!$S$98&gt;=Charms!M235,IFERROR(Charms!J235=OFFSET(Values!$A$24,MATCH("S",Values!$T$25:$T$50,0),0),FALSE))</f>
        <v>0</v>
      </c>
      <c r="D235" t="b">
        <f>VLOOKUP(Charms!J235,Values!$A$11:$S$59,19,0)&gt;=Charms!L235</f>
        <v>0</v>
      </c>
      <c r="E235" t="e">
        <f>OR(ISBLANK(Charms!I235),(VLOOKUP(Values!$S$6,Castes!$B$2:$F$25,4,0)=Charms!I235))</f>
        <v>#N/A</v>
      </c>
      <c r="J235" t="e">
        <f t="shared" ca="1" si="16"/>
        <v>#N/A</v>
      </c>
      <c r="K235" s="18" t="e">
        <f t="shared" ca="1" si="15"/>
        <v>#N/A</v>
      </c>
      <c r="L235" t="e">
        <f ca="1">IF(J235,Charms!B235,"")</f>
        <v>#N/A</v>
      </c>
      <c r="M235" t="str">
        <f t="shared" ca="1" si="17"/>
        <v>-</v>
      </c>
      <c r="N235" s="18" t="str">
        <f t="shared" si="18"/>
        <v>K218:L271</v>
      </c>
      <c r="O235" t="str">
        <f t="shared" si="19"/>
        <v>A218:A235</v>
      </c>
    </row>
    <row r="236" spans="1:15">
      <c r="A236" s="18" t="str">
        <f>Charms!K236</f>
        <v>Bureaucracy</v>
      </c>
      <c r="B236" t="str">
        <f>Charms!B236</f>
        <v>Woe-Capturing Web</v>
      </c>
      <c r="C236" t="b">
        <f ca="1">OR(Values!$S$98&gt;=Charms!M236,IFERROR(Charms!J236=OFFSET(Values!$A$24,MATCH("S",Values!$T$25:$T$50,0),0),FALSE))</f>
        <v>0</v>
      </c>
      <c r="D236" t="b">
        <f>VLOOKUP(Charms!J236,Values!$A$11:$S$59,19,0)&gt;=Charms!L236</f>
        <v>0</v>
      </c>
      <c r="E236" t="e">
        <f>OR(ISBLANK(Charms!I236),(VLOOKUP(Values!$S$6,Castes!$B$2:$F$25,4,0)=Charms!I236))</f>
        <v>#N/A</v>
      </c>
      <c r="J236" t="e">
        <f t="shared" ca="1" si="16"/>
        <v>#N/A</v>
      </c>
      <c r="K236" s="18" t="e">
        <f t="shared" ca="1" si="15"/>
        <v>#N/A</v>
      </c>
      <c r="L236" t="e">
        <f ca="1">IF(J236,Charms!B236,"")</f>
        <v>#N/A</v>
      </c>
      <c r="M236" t="str">
        <f t="shared" ca="1" si="17"/>
        <v>-</v>
      </c>
      <c r="N236" s="18" t="str">
        <f t="shared" si="18"/>
        <v>K218:L271</v>
      </c>
      <c r="O236" t="str">
        <f t="shared" si="19"/>
        <v>A218:A236</v>
      </c>
    </row>
    <row r="237" spans="1:15">
      <c r="A237" s="18" t="str">
        <f>Charms!K237</f>
        <v>Bureaucracy</v>
      </c>
      <c r="B237" t="str">
        <f>Charms!B237</f>
        <v>Omen-Spawning Beast</v>
      </c>
      <c r="C237" t="b">
        <f ca="1">OR(Values!$S$98&gt;=Charms!M237,IFERROR(Charms!J237=OFFSET(Values!$A$24,MATCH("S",Values!$T$25:$T$50,0),0),FALSE))</f>
        <v>0</v>
      </c>
      <c r="D237" t="b">
        <f>VLOOKUP(Charms!J237,Values!$A$11:$S$59,19,0)&gt;=Charms!L237</f>
        <v>0</v>
      </c>
      <c r="E237" t="e">
        <f>OR(ISBLANK(Charms!I237),(VLOOKUP(Values!$S$6,Castes!$B$2:$F$25,4,0)=Charms!I237))</f>
        <v>#N/A</v>
      </c>
      <c r="J237" t="e">
        <f t="shared" ca="1" si="16"/>
        <v>#N/A</v>
      </c>
      <c r="K237" s="18" t="e">
        <f t="shared" ca="1" si="15"/>
        <v>#N/A</v>
      </c>
      <c r="L237" t="e">
        <f ca="1">IF(J237,Charms!B237,"")</f>
        <v>#N/A</v>
      </c>
      <c r="M237" t="str">
        <f t="shared" ca="1" si="17"/>
        <v>-</v>
      </c>
      <c r="N237" s="18" t="str">
        <f t="shared" si="18"/>
        <v>K218:L271</v>
      </c>
      <c r="O237" t="str">
        <f t="shared" si="19"/>
        <v>A218:A237</v>
      </c>
    </row>
    <row r="238" spans="1:15">
      <c r="A238" s="18" t="str">
        <f>Charms!K238</f>
        <v>Bureaucracy</v>
      </c>
      <c r="B238" t="str">
        <f>Charms!B238</f>
        <v>Foul Air of Argument Technique</v>
      </c>
      <c r="C238" t="b">
        <f ca="1">OR(Values!$S$98&gt;=Charms!M238,IFERROR(Charms!J238=OFFSET(Values!$A$24,MATCH("S",Values!$T$25:$T$50,0),0),FALSE))</f>
        <v>0</v>
      </c>
      <c r="D238" t="b">
        <f>VLOOKUP(Charms!J238,Values!$A$11:$S$59,19,0)&gt;=Charms!L238</f>
        <v>0</v>
      </c>
      <c r="E238" t="e">
        <f>OR(ISBLANK(Charms!I238),(VLOOKUP(Values!$S$6,Castes!$B$2:$F$25,4,0)=Charms!I238))</f>
        <v>#N/A</v>
      </c>
      <c r="J238" t="e">
        <f t="shared" ca="1" si="16"/>
        <v>#N/A</v>
      </c>
      <c r="K238" s="18" t="e">
        <f t="shared" ca="1" si="15"/>
        <v>#N/A</v>
      </c>
      <c r="L238" t="e">
        <f ca="1">IF(J238,Charms!B238,"")</f>
        <v>#N/A</v>
      </c>
      <c r="M238" t="str">
        <f t="shared" ca="1" si="17"/>
        <v>-</v>
      </c>
      <c r="N238" s="18" t="str">
        <f t="shared" si="18"/>
        <v>K218:L271</v>
      </c>
      <c r="O238" t="str">
        <f t="shared" si="19"/>
        <v>A218:A238</v>
      </c>
    </row>
    <row r="239" spans="1:15">
      <c r="A239" s="18" t="str">
        <f>Charms!K239</f>
        <v>Bureaucracy</v>
      </c>
      <c r="B239" t="str">
        <f>Charms!B239</f>
        <v>Eclectic Verbiage of Law</v>
      </c>
      <c r="C239" t="b">
        <f ca="1">OR(Values!$S$98&gt;=Charms!M239,IFERROR(Charms!J239=OFFSET(Values!$A$24,MATCH("S",Values!$T$25:$T$50,0),0),FALSE))</f>
        <v>0</v>
      </c>
      <c r="D239" t="b">
        <f>VLOOKUP(Charms!J239,Values!$A$11:$S$59,19,0)&gt;=Charms!L239</f>
        <v>0</v>
      </c>
      <c r="E239" t="e">
        <f>OR(ISBLANK(Charms!I239),(VLOOKUP(Values!$S$6,Castes!$B$2:$F$25,4,0)=Charms!I239))</f>
        <v>#N/A</v>
      </c>
      <c r="J239" t="e">
        <f t="shared" ca="1" si="16"/>
        <v>#N/A</v>
      </c>
      <c r="K239" s="18" t="e">
        <f t="shared" ca="1" si="15"/>
        <v>#N/A</v>
      </c>
      <c r="L239" t="e">
        <f ca="1">IF(J239,Charms!B239,"")</f>
        <v>#N/A</v>
      </c>
      <c r="M239" t="str">
        <f t="shared" ca="1" si="17"/>
        <v>-</v>
      </c>
      <c r="N239" s="18" t="str">
        <f t="shared" si="18"/>
        <v>K218:L271</v>
      </c>
      <c r="O239" t="str">
        <f t="shared" si="19"/>
        <v>A218:A239</v>
      </c>
    </row>
    <row r="240" spans="1:15">
      <c r="A240" s="18" t="str">
        <f>Charms!K240</f>
        <v>Bureaucracy</v>
      </c>
      <c r="B240" t="str">
        <f>Charms!B240</f>
        <v>Infinitely-Efficient Register</v>
      </c>
      <c r="C240" t="b">
        <f ca="1">OR(Values!$S$98&gt;=Charms!M240,IFERROR(Charms!J240=OFFSET(Values!$A$24,MATCH("S",Values!$T$25:$T$50,0),0),FALSE))</f>
        <v>0</v>
      </c>
      <c r="D240" t="b">
        <f>VLOOKUP(Charms!J240,Values!$A$11:$S$59,19,0)&gt;=Charms!L240</f>
        <v>0</v>
      </c>
      <c r="E240" t="e">
        <f>OR(ISBLANK(Charms!I240),(VLOOKUP(Values!$S$6,Castes!$B$2:$F$25,4,0)=Charms!I240))</f>
        <v>#N/A</v>
      </c>
      <c r="J240" t="e">
        <f t="shared" ca="1" si="16"/>
        <v>#N/A</v>
      </c>
      <c r="K240" s="18" t="e">
        <f t="shared" ca="1" si="15"/>
        <v>#N/A</v>
      </c>
      <c r="L240" t="e">
        <f ca="1">IF(J240,Charms!B240,"")</f>
        <v>#N/A</v>
      </c>
      <c r="M240" t="str">
        <f t="shared" ca="1" si="17"/>
        <v>-</v>
      </c>
      <c r="N240" s="18" t="str">
        <f t="shared" si="18"/>
        <v>K218:L271</v>
      </c>
      <c r="O240" t="str">
        <f t="shared" si="19"/>
        <v>A218:A240</v>
      </c>
    </row>
    <row r="241" spans="1:15">
      <c r="A241" s="18" t="str">
        <f>Charms!K241</f>
        <v>Bureaucracy</v>
      </c>
      <c r="B241" t="str">
        <f>Charms!B241</f>
        <v>Taboo-Inflicting Diatribe</v>
      </c>
      <c r="C241" t="b">
        <f ca="1">OR(Values!$S$98&gt;=Charms!M241,IFERROR(Charms!J241=OFFSET(Values!$A$24,MATCH("S",Values!$T$25:$T$50,0),0),FALSE))</f>
        <v>0</v>
      </c>
      <c r="D241" t="b">
        <f>VLOOKUP(Charms!J241,Values!$A$11:$S$59,19,0)&gt;=Charms!L241</f>
        <v>0</v>
      </c>
      <c r="E241" t="e">
        <f>OR(ISBLANK(Charms!I241),(VLOOKUP(Values!$S$6,Castes!$B$2:$F$25,4,0)=Charms!I241))</f>
        <v>#N/A</v>
      </c>
      <c r="J241" t="e">
        <f t="shared" ca="1" si="16"/>
        <v>#N/A</v>
      </c>
      <c r="K241" s="18" t="e">
        <f t="shared" ca="1" si="15"/>
        <v>#N/A</v>
      </c>
      <c r="L241" t="e">
        <f ca="1">IF(J241,Charms!B241,"")</f>
        <v>#N/A</v>
      </c>
      <c r="M241" t="str">
        <f t="shared" ca="1" si="17"/>
        <v>-</v>
      </c>
      <c r="N241" s="18" t="str">
        <f t="shared" si="18"/>
        <v>K218:L271</v>
      </c>
      <c r="O241" t="str">
        <f t="shared" si="19"/>
        <v>A218:A241</v>
      </c>
    </row>
    <row r="242" spans="1:15">
      <c r="A242" s="18" t="str">
        <f>Charms!K242</f>
        <v>Bureaucracy</v>
      </c>
      <c r="B242" t="str">
        <f>Charms!B242</f>
        <v>Subject-Hailing Ideology</v>
      </c>
      <c r="C242" t="b">
        <f ca="1">OR(Values!$S$98&gt;=Charms!M242,IFERROR(Charms!J242=OFFSET(Values!$A$24,MATCH("S",Values!$T$25:$T$50,0),0),FALSE))</f>
        <v>0</v>
      </c>
      <c r="D242" t="b">
        <f>VLOOKUP(Charms!J242,Values!$A$11:$S$59,19,0)&gt;=Charms!L242</f>
        <v>0</v>
      </c>
      <c r="E242" t="e">
        <f>OR(ISBLANK(Charms!I242),(VLOOKUP(Values!$S$6,Castes!$B$2:$F$25,4,0)=Charms!I242))</f>
        <v>#N/A</v>
      </c>
      <c r="J242" t="e">
        <f t="shared" ca="1" si="16"/>
        <v>#N/A</v>
      </c>
      <c r="K242" s="18" t="e">
        <f t="shared" ca="1" si="15"/>
        <v>#N/A</v>
      </c>
      <c r="L242" t="e">
        <f ca="1">IF(J242,Charms!B242,"")</f>
        <v>#N/A</v>
      </c>
      <c r="M242" t="str">
        <f t="shared" ca="1" si="17"/>
        <v>-</v>
      </c>
      <c r="N242" s="18" t="str">
        <f t="shared" si="18"/>
        <v>K218:L271</v>
      </c>
      <c r="O242" t="str">
        <f t="shared" si="19"/>
        <v>A218:A242</v>
      </c>
    </row>
    <row r="243" spans="1:15">
      <c r="A243" s="18" t="str">
        <f>Charms!K243</f>
        <v>Bureaucracy</v>
      </c>
      <c r="B243" t="str">
        <f>Charms!B243</f>
        <v>Order-Conferring Action</v>
      </c>
      <c r="C243" t="b">
        <f ca="1">OR(Values!$S$98&gt;=Charms!M243,IFERROR(Charms!J243=OFFSET(Values!$A$24,MATCH("S",Values!$T$25:$T$50,0),0),FALSE))</f>
        <v>0</v>
      </c>
      <c r="D243" t="b">
        <f>VLOOKUP(Charms!J243,Values!$A$11:$S$59,19,0)&gt;=Charms!L243</f>
        <v>0</v>
      </c>
      <c r="E243" t="e">
        <f>OR(ISBLANK(Charms!I243),(VLOOKUP(Values!$S$6,Castes!$B$2:$F$25,4,0)=Charms!I243))</f>
        <v>#N/A</v>
      </c>
      <c r="J243" t="e">
        <f t="shared" ca="1" si="16"/>
        <v>#N/A</v>
      </c>
      <c r="K243" s="18" t="e">
        <f t="shared" ca="1" si="15"/>
        <v>#N/A</v>
      </c>
      <c r="L243" t="e">
        <f ca="1">IF(J243,Charms!B243,"")</f>
        <v>#N/A</v>
      </c>
      <c r="M243" t="str">
        <f t="shared" ca="1" si="17"/>
        <v>-</v>
      </c>
      <c r="N243" s="18" t="str">
        <f t="shared" si="18"/>
        <v>K218:L271</v>
      </c>
      <c r="O243" t="str">
        <f t="shared" si="19"/>
        <v>A218:A243</v>
      </c>
    </row>
    <row r="244" spans="1:15">
      <c r="A244" s="18" t="str">
        <f>Charms!K244</f>
        <v>Bureaucracy</v>
      </c>
      <c r="B244" t="str">
        <f>Charms!B244</f>
        <v>Honor-Instilling Mantra</v>
      </c>
      <c r="C244" t="b">
        <f ca="1">OR(Values!$S$98&gt;=Charms!M244,IFERROR(Charms!J244=OFFSET(Values!$A$24,MATCH("S",Values!$T$25:$T$50,0),0),FALSE))</f>
        <v>0</v>
      </c>
      <c r="D244" t="b">
        <f>VLOOKUP(Charms!J244,Values!$A$11:$S$59,19,0)&gt;=Charms!L244</f>
        <v>0</v>
      </c>
      <c r="E244" t="e">
        <f>OR(ISBLANK(Charms!I244),(VLOOKUP(Values!$S$6,Castes!$B$2:$F$25,4,0)=Charms!I244))</f>
        <v>#N/A</v>
      </c>
      <c r="J244" t="e">
        <f t="shared" ca="1" si="16"/>
        <v>#N/A</v>
      </c>
      <c r="K244" s="18" t="e">
        <f t="shared" ca="1" si="15"/>
        <v>#N/A</v>
      </c>
      <c r="L244" t="e">
        <f ca="1">IF(J244,Charms!B244,"")</f>
        <v>#N/A</v>
      </c>
      <c r="M244" t="str">
        <f t="shared" ca="1" si="17"/>
        <v>-</v>
      </c>
      <c r="N244" s="18" t="str">
        <f t="shared" si="18"/>
        <v>K218:L271</v>
      </c>
      <c r="O244" t="str">
        <f t="shared" si="19"/>
        <v>A218:A244</v>
      </c>
    </row>
    <row r="245" spans="1:15">
      <c r="A245" s="18" t="str">
        <f>Charms!K245</f>
        <v>Bureaucracy</v>
      </c>
      <c r="B245" t="str">
        <f>Charms!B245</f>
        <v>Pattern-Exploiting Commerce Spirit</v>
      </c>
      <c r="C245" t="b">
        <f ca="1">OR(Values!$S$98&gt;=Charms!M245,IFERROR(Charms!J245=OFFSET(Values!$A$24,MATCH("S",Values!$T$25:$T$50,0),0),FALSE))</f>
        <v>0</v>
      </c>
      <c r="D245" t="b">
        <f>VLOOKUP(Charms!J245,Values!$A$11:$S$59,19,0)&gt;=Charms!L245</f>
        <v>0</v>
      </c>
      <c r="E245" t="e">
        <f>OR(ISBLANK(Charms!I245),(VLOOKUP(Values!$S$6,Castes!$B$2:$F$25,4,0)=Charms!I245))</f>
        <v>#N/A</v>
      </c>
      <c r="J245" t="e">
        <f t="shared" ca="1" si="16"/>
        <v>#N/A</v>
      </c>
      <c r="K245" s="18" t="e">
        <f t="shared" ca="1" si="15"/>
        <v>#N/A</v>
      </c>
      <c r="L245" t="e">
        <f ca="1">IF(J245,Charms!B245,"")</f>
        <v>#N/A</v>
      </c>
      <c r="M245" t="str">
        <f t="shared" ca="1" si="17"/>
        <v>-</v>
      </c>
      <c r="N245" s="18" t="str">
        <f t="shared" si="18"/>
        <v>K218:L271</v>
      </c>
      <c r="O245" t="str">
        <f t="shared" si="19"/>
        <v>A218:A245</v>
      </c>
    </row>
    <row r="246" spans="1:15">
      <c r="A246" s="18" t="str">
        <f>Charms!K246</f>
        <v>Bureaucracy</v>
      </c>
      <c r="B246" t="str">
        <f>Charms!B246</f>
        <v>Creation of Adamant Specie</v>
      </c>
      <c r="C246" t="b">
        <f ca="1">OR(Values!$S$98&gt;=Charms!M246,IFERROR(Charms!J246=OFFSET(Values!$A$24,MATCH("S",Values!$T$25:$T$50,0),0),FALSE))</f>
        <v>0</v>
      </c>
      <c r="D246" t="b">
        <f>VLOOKUP(Charms!J246,Values!$A$11:$S$59,19,0)&gt;=Charms!L246</f>
        <v>0</v>
      </c>
      <c r="E246" t="e">
        <f>OR(ISBLANK(Charms!I246),(VLOOKUP(Values!$S$6,Castes!$B$2:$F$25,4,0)=Charms!I246))</f>
        <v>#N/A</v>
      </c>
      <c r="J246" t="e">
        <f t="shared" ca="1" si="16"/>
        <v>#N/A</v>
      </c>
      <c r="K246" s="18" t="e">
        <f t="shared" ca="1" si="15"/>
        <v>#N/A</v>
      </c>
      <c r="L246" t="e">
        <f ca="1">IF(J246,Charms!B246,"")</f>
        <v>#N/A</v>
      </c>
      <c r="M246" t="str">
        <f t="shared" ca="1" si="17"/>
        <v>-</v>
      </c>
      <c r="N246" s="18" t="str">
        <f t="shared" si="18"/>
        <v>K218:L271</v>
      </c>
      <c r="O246" t="str">
        <f t="shared" si="19"/>
        <v>A218:A246</v>
      </c>
    </row>
    <row r="247" spans="1:15">
      <c r="A247" s="18" t="str">
        <f>Charms!K247</f>
        <v>Bureaucracy</v>
      </c>
      <c r="B247" t="str">
        <f>Charms!B247</f>
        <v>Spectacle-Inciting Order</v>
      </c>
      <c r="C247" t="b">
        <f ca="1">OR(Values!$S$98&gt;=Charms!M247,IFERROR(Charms!J247=OFFSET(Values!$A$24,MATCH("S",Values!$T$25:$T$50,0),0),FALSE))</f>
        <v>0</v>
      </c>
      <c r="D247" t="b">
        <f>VLOOKUP(Charms!J247,Values!$A$11:$S$59,19,0)&gt;=Charms!L247</f>
        <v>0</v>
      </c>
      <c r="E247" t="e">
        <f>OR(ISBLANK(Charms!I247),(VLOOKUP(Values!$S$6,Castes!$B$2:$F$25,4,0)=Charms!I247))</f>
        <v>#N/A</v>
      </c>
      <c r="J247" t="e">
        <f t="shared" ca="1" si="16"/>
        <v>#N/A</v>
      </c>
      <c r="K247" s="18" t="e">
        <f t="shared" ca="1" si="15"/>
        <v>#N/A</v>
      </c>
      <c r="L247" t="e">
        <f ca="1">IF(J247,Charms!B247,"")</f>
        <v>#N/A</v>
      </c>
      <c r="M247" t="str">
        <f t="shared" ca="1" si="17"/>
        <v>-</v>
      </c>
      <c r="N247" s="18" t="str">
        <f t="shared" si="18"/>
        <v>K218:L271</v>
      </c>
      <c r="O247" t="str">
        <f t="shared" si="19"/>
        <v>A218:A247</v>
      </c>
    </row>
    <row r="248" spans="1:15">
      <c r="A248" s="18" t="str">
        <f>Charms!K248</f>
        <v>Bureaucracy</v>
      </c>
      <c r="B248" t="str">
        <f>Charms!B248</f>
        <v>Geese-Flying-South Administration</v>
      </c>
      <c r="C248" t="b">
        <f ca="1">OR(Values!$S$98&gt;=Charms!M248,IFERROR(Charms!J248=OFFSET(Values!$A$24,MATCH("S",Values!$T$25:$T$50,0),0),FALSE))</f>
        <v>1</v>
      </c>
      <c r="D248" t="b">
        <f>VLOOKUP(Charms!J248,Values!$A$11:$S$59,19,0)&gt;=Charms!L248</f>
        <v>0</v>
      </c>
      <c r="E248" t="e">
        <f>OR(ISBLANK(Charms!I248),(VLOOKUP(Values!$S$6,Castes!$B$2:$F$25,4,0)=Charms!I248))</f>
        <v>#N/A</v>
      </c>
      <c r="J248" t="e">
        <f t="shared" ca="1" si="16"/>
        <v>#N/A</v>
      </c>
      <c r="K248" s="18" t="e">
        <f t="shared" ca="1" si="15"/>
        <v>#N/A</v>
      </c>
      <c r="L248" t="e">
        <f ca="1">IF(J248,Charms!B248,"")</f>
        <v>#N/A</v>
      </c>
      <c r="M248" t="str">
        <f t="shared" ca="1" si="17"/>
        <v>-</v>
      </c>
      <c r="N248" s="18" t="str">
        <f t="shared" si="18"/>
        <v>K218:L271</v>
      </c>
      <c r="O248" t="str">
        <f t="shared" si="19"/>
        <v>A218:A248</v>
      </c>
    </row>
    <row r="249" spans="1:15">
      <c r="A249" s="18" t="str">
        <f>Charms!K249</f>
        <v>Bureaucracy</v>
      </c>
      <c r="B249" t="str">
        <f>Charms!B249</f>
        <v>Confluence of Savant Thought</v>
      </c>
      <c r="C249" t="b">
        <f ca="1">OR(Values!$S$98&gt;=Charms!M249,IFERROR(Charms!J249=OFFSET(Values!$A$24,MATCH("S",Values!$T$25:$T$50,0),0),FALSE))</f>
        <v>1</v>
      </c>
      <c r="D249" t="b">
        <f>VLOOKUP(Charms!J249,Values!$A$11:$S$59,19,0)&gt;=Charms!L249</f>
        <v>0</v>
      </c>
      <c r="E249" t="e">
        <f>OR(ISBLANK(Charms!I249),(VLOOKUP(Values!$S$6,Castes!$B$2:$F$25,4,0)=Charms!I249))</f>
        <v>#N/A</v>
      </c>
      <c r="J249" t="e">
        <f t="shared" ca="1" si="16"/>
        <v>#N/A</v>
      </c>
      <c r="K249" s="18" t="e">
        <f t="shared" ca="1" si="15"/>
        <v>#N/A</v>
      </c>
      <c r="L249" t="e">
        <f ca="1">IF(J249,Charms!B249,"")</f>
        <v>#N/A</v>
      </c>
      <c r="M249" t="str">
        <f t="shared" ca="1" si="17"/>
        <v>-</v>
      </c>
      <c r="N249" s="18" t="str">
        <f t="shared" si="18"/>
        <v>K218:L271</v>
      </c>
      <c r="O249" t="str">
        <f t="shared" si="19"/>
        <v>A218:A249</v>
      </c>
    </row>
    <row r="250" spans="1:15">
      <c r="A250" s="18" t="str">
        <f>Charms!K250</f>
        <v>Bureaucracy</v>
      </c>
      <c r="B250" t="str">
        <f>Charms!B250</f>
        <v>Finding The Water’s Depths</v>
      </c>
      <c r="C250" t="b">
        <f ca="1">OR(Values!$S$98&gt;=Charms!M250,IFERROR(Charms!J250=OFFSET(Values!$A$24,MATCH("S",Values!$T$25:$T$50,0),0),FALSE))</f>
        <v>1</v>
      </c>
      <c r="D250" t="b">
        <f>VLOOKUP(Charms!J250,Values!$A$11:$S$59,19,0)&gt;=Charms!L250</f>
        <v>0</v>
      </c>
      <c r="E250" t="e">
        <f>OR(ISBLANK(Charms!I250),(VLOOKUP(Values!$S$6,Castes!$B$2:$F$25,4,0)=Charms!I250))</f>
        <v>#N/A</v>
      </c>
      <c r="J250" t="e">
        <f t="shared" ca="1" si="16"/>
        <v>#N/A</v>
      </c>
      <c r="K250" s="18" t="e">
        <f t="shared" ca="1" si="15"/>
        <v>#N/A</v>
      </c>
      <c r="L250" t="e">
        <f ca="1">IF(J250,Charms!B250,"")</f>
        <v>#N/A</v>
      </c>
      <c r="M250" t="str">
        <f t="shared" ca="1" si="17"/>
        <v>-</v>
      </c>
      <c r="N250" s="18" t="str">
        <f t="shared" si="18"/>
        <v>K218:L271</v>
      </c>
      <c r="O250" t="str">
        <f t="shared" si="19"/>
        <v>A218:A250</v>
      </c>
    </row>
    <row r="251" spans="1:15">
      <c r="A251" s="18" t="str">
        <f>Charms!K251</f>
        <v>Bureaucracy</v>
      </c>
      <c r="B251" t="str">
        <f>Charms!B251</f>
        <v>Testing the Waters</v>
      </c>
      <c r="C251" t="b">
        <f ca="1">OR(Values!$S$98&gt;=Charms!M251,IFERROR(Charms!J251=OFFSET(Values!$A$24,MATCH("S",Values!$T$25:$T$50,0),0),FALSE))</f>
        <v>1</v>
      </c>
      <c r="D251" t="b">
        <f>VLOOKUP(Charms!J251,Values!$A$11:$S$59,19,0)&gt;=Charms!L251</f>
        <v>0</v>
      </c>
      <c r="E251" t="e">
        <f>OR(ISBLANK(Charms!I251),(VLOOKUP(Values!$S$6,Castes!$B$2:$F$25,4,0)=Charms!I251))</f>
        <v>#N/A</v>
      </c>
      <c r="J251" t="e">
        <f t="shared" ca="1" si="16"/>
        <v>#N/A</v>
      </c>
      <c r="K251" s="18" t="e">
        <f t="shared" ca="1" si="15"/>
        <v>#N/A</v>
      </c>
      <c r="L251" t="e">
        <f ca="1">IF(J251,Charms!B251,"")</f>
        <v>#N/A</v>
      </c>
      <c r="M251" t="str">
        <f t="shared" ca="1" si="17"/>
        <v>-</v>
      </c>
      <c r="N251" s="18" t="str">
        <f t="shared" si="18"/>
        <v>K218:L271</v>
      </c>
      <c r="O251" t="str">
        <f t="shared" si="19"/>
        <v>A218:A251</v>
      </c>
    </row>
    <row r="252" spans="1:15">
      <c r="A252" s="18" t="str">
        <f>Charms!K252</f>
        <v>Bureaucracy</v>
      </c>
      <c r="B252" t="str">
        <f>Charms!B252</f>
        <v>Benevolent Master’s Blessing</v>
      </c>
      <c r="C252" t="b">
        <f ca="1">OR(Values!$S$98&gt;=Charms!M252,IFERROR(Charms!J252=OFFSET(Values!$A$24,MATCH("S",Values!$T$25:$T$50,0),0),FALSE))</f>
        <v>0</v>
      </c>
      <c r="D252" t="b">
        <f>VLOOKUP(Charms!J252,Values!$A$11:$S$59,19,0)&gt;=Charms!L252</f>
        <v>0</v>
      </c>
      <c r="E252" t="e">
        <f>OR(ISBLANK(Charms!I252),(VLOOKUP(Values!$S$6,Castes!$B$2:$F$25,4,0)=Charms!I252))</f>
        <v>#N/A</v>
      </c>
      <c r="J252" t="e">
        <f t="shared" ca="1" si="16"/>
        <v>#N/A</v>
      </c>
      <c r="K252" s="18" t="e">
        <f t="shared" ca="1" si="15"/>
        <v>#N/A</v>
      </c>
      <c r="L252" t="e">
        <f ca="1">IF(J252,Charms!B252,"")</f>
        <v>#N/A</v>
      </c>
      <c r="M252" t="str">
        <f t="shared" ca="1" si="17"/>
        <v>-</v>
      </c>
      <c r="N252" s="18" t="str">
        <f t="shared" si="18"/>
        <v>K218:L271</v>
      </c>
      <c r="O252" t="str">
        <f t="shared" si="19"/>
        <v>A218:A252</v>
      </c>
    </row>
    <row r="253" spans="1:15">
      <c r="A253" s="18" t="str">
        <f>Charms!K253</f>
        <v>Bureaucracy</v>
      </c>
      <c r="B253" t="str">
        <f>Charms!B253</f>
        <v>Unshakable Mountain Management</v>
      </c>
      <c r="C253" t="b">
        <f ca="1">OR(Values!$S$98&gt;=Charms!M253,IFERROR(Charms!J253=OFFSET(Values!$A$24,MATCH("S",Values!$T$25:$T$50,0),0),FALSE))</f>
        <v>0</v>
      </c>
      <c r="D253" t="b">
        <f>VLOOKUP(Charms!J253,Values!$A$11:$S$59,19,0)&gt;=Charms!L253</f>
        <v>0</v>
      </c>
      <c r="E253" t="e">
        <f>OR(ISBLANK(Charms!I253),(VLOOKUP(Values!$S$6,Castes!$B$2:$F$25,4,0)=Charms!I253))</f>
        <v>#N/A</v>
      </c>
      <c r="J253" t="e">
        <f t="shared" ca="1" si="16"/>
        <v>#N/A</v>
      </c>
      <c r="K253" s="18" t="e">
        <f t="shared" ca="1" si="15"/>
        <v>#N/A</v>
      </c>
      <c r="L253" t="e">
        <f ca="1">IF(J253,Charms!B253,"")</f>
        <v>#N/A</v>
      </c>
      <c r="M253" t="str">
        <f t="shared" ca="1" si="17"/>
        <v>-</v>
      </c>
      <c r="N253" s="18" t="str">
        <f t="shared" si="18"/>
        <v>K218:L271</v>
      </c>
      <c r="O253" t="str">
        <f t="shared" si="19"/>
        <v>A218:A253</v>
      </c>
    </row>
    <row r="254" spans="1:15">
      <c r="A254" s="18" t="str">
        <f>Charms!K254</f>
        <v>Bureaucracy</v>
      </c>
      <c r="B254" t="str">
        <f>Charms!B254</f>
        <v>Water-Stained Ledger</v>
      </c>
      <c r="C254" t="b">
        <f ca="1">OR(Values!$S$98&gt;=Charms!M254,IFERROR(Charms!J254=OFFSET(Values!$A$24,MATCH("S",Values!$T$25:$T$50,0),0),FALSE))</f>
        <v>0</v>
      </c>
      <c r="D254" t="b">
        <f>VLOOKUP(Charms!J254,Values!$A$11:$S$59,19,0)&gt;=Charms!L254</f>
        <v>0</v>
      </c>
      <c r="E254" t="e">
        <f>OR(ISBLANK(Charms!I254),(VLOOKUP(Values!$S$6,Castes!$B$2:$F$25,4,0)=Charms!I254))</f>
        <v>#N/A</v>
      </c>
      <c r="J254" t="e">
        <f t="shared" ca="1" si="16"/>
        <v>#N/A</v>
      </c>
      <c r="K254" s="18" t="e">
        <f t="shared" ca="1" si="15"/>
        <v>#N/A</v>
      </c>
      <c r="L254" t="e">
        <f ca="1">IF(J254,Charms!B254,"")</f>
        <v>#N/A</v>
      </c>
      <c r="M254" t="str">
        <f t="shared" ca="1" si="17"/>
        <v>-</v>
      </c>
      <c r="N254" s="18" t="str">
        <f t="shared" si="18"/>
        <v>K218:L271</v>
      </c>
      <c r="O254" t="str">
        <f t="shared" si="19"/>
        <v>A218:A254</v>
      </c>
    </row>
    <row r="255" spans="1:15">
      <c r="A255" s="18" t="str">
        <f>Charms!K255</f>
        <v>Bureaucracy</v>
      </c>
      <c r="B255" t="str">
        <f>Charms!B255</f>
        <v>Dashing Brook Method</v>
      </c>
      <c r="C255" t="b">
        <f ca="1">OR(Values!$S$98&gt;=Charms!M255,IFERROR(Charms!J255=OFFSET(Values!$A$24,MATCH("S",Values!$T$25:$T$50,0),0),FALSE))</f>
        <v>0</v>
      </c>
      <c r="D255" t="b">
        <f>VLOOKUP(Charms!J255,Values!$A$11:$S$59,19,0)&gt;=Charms!L255</f>
        <v>0</v>
      </c>
      <c r="E255" t="e">
        <f>OR(ISBLANK(Charms!I255),(VLOOKUP(Values!$S$6,Castes!$B$2:$F$25,4,0)=Charms!I255))</f>
        <v>#N/A</v>
      </c>
      <c r="J255" t="e">
        <f t="shared" ca="1" si="16"/>
        <v>#N/A</v>
      </c>
      <c r="K255" s="18" t="e">
        <f t="shared" ca="1" si="15"/>
        <v>#N/A</v>
      </c>
      <c r="L255" t="e">
        <f ca="1">IF(J255,Charms!B255,"")</f>
        <v>#N/A</v>
      </c>
      <c r="M255" t="str">
        <f t="shared" ca="1" si="17"/>
        <v>-</v>
      </c>
      <c r="N255" s="18" t="str">
        <f t="shared" si="18"/>
        <v>K218:L271</v>
      </c>
      <c r="O255" t="str">
        <f t="shared" si="19"/>
        <v>A218:A255</v>
      </c>
    </row>
    <row r="256" spans="1:15">
      <c r="A256" s="18" t="str">
        <f>Charms!K256</f>
        <v>Bureaucracy</v>
      </c>
      <c r="B256" t="str">
        <f>Charms!B256</f>
        <v>Shells-for-Silver Ruse</v>
      </c>
      <c r="C256" t="b">
        <f ca="1">OR(Values!$S$98&gt;=Charms!M256,IFERROR(Charms!J256=OFFSET(Values!$A$24,MATCH("S",Values!$T$25:$T$50,0),0),FALSE))</f>
        <v>0</v>
      </c>
      <c r="D256" t="b">
        <f>VLOOKUP(Charms!J256,Values!$A$11:$S$59,19,0)&gt;=Charms!L256</f>
        <v>0</v>
      </c>
      <c r="E256" t="e">
        <f>OR(ISBLANK(Charms!I256),(VLOOKUP(Values!$S$6,Castes!$B$2:$F$25,4,0)=Charms!I256))</f>
        <v>#N/A</v>
      </c>
      <c r="J256" t="e">
        <f t="shared" ca="1" si="16"/>
        <v>#N/A</v>
      </c>
      <c r="K256" s="18" t="e">
        <f t="shared" ca="1" si="15"/>
        <v>#N/A</v>
      </c>
      <c r="L256" t="e">
        <f ca="1">IF(J256,Charms!B256,"")</f>
        <v>#N/A</v>
      </c>
      <c r="M256" t="str">
        <f t="shared" ca="1" si="17"/>
        <v>-</v>
      </c>
      <c r="N256" s="18" t="str">
        <f t="shared" si="18"/>
        <v>K218:L271</v>
      </c>
      <c r="O256" t="str">
        <f t="shared" si="19"/>
        <v>A218:A256</v>
      </c>
    </row>
    <row r="257" spans="1:15">
      <c r="A257" s="18" t="str">
        <f>Charms!K257</f>
        <v>Bureaucracy</v>
      </c>
      <c r="B257" t="str">
        <f>Charms!B257</f>
        <v>Thoughtful Gift Technique</v>
      </c>
      <c r="C257" t="b">
        <f ca="1">OR(Values!$S$98&gt;=Charms!M257,IFERROR(Charms!J257=OFFSET(Values!$A$24,MATCH("S",Values!$T$25:$T$50,0),0),FALSE))</f>
        <v>0</v>
      </c>
      <c r="D257" t="b">
        <f>VLOOKUP(Charms!J257,Values!$A$11:$S$59,19,0)&gt;=Charms!L257</f>
        <v>0</v>
      </c>
      <c r="E257" t="e">
        <f>OR(ISBLANK(Charms!I257),(VLOOKUP(Values!$S$6,Castes!$B$2:$F$25,4,0)=Charms!I257))</f>
        <v>#N/A</v>
      </c>
      <c r="J257" t="e">
        <f t="shared" ca="1" si="16"/>
        <v>#N/A</v>
      </c>
      <c r="K257" s="18" t="e">
        <f t="shared" ca="1" si="15"/>
        <v>#N/A</v>
      </c>
      <c r="L257" t="e">
        <f ca="1">IF(J257,Charms!B257,"")</f>
        <v>#N/A</v>
      </c>
      <c r="M257" t="str">
        <f t="shared" ca="1" si="17"/>
        <v>-</v>
      </c>
      <c r="N257" s="18" t="str">
        <f t="shared" si="18"/>
        <v>K218:L271</v>
      </c>
      <c r="O257" t="str">
        <f t="shared" si="19"/>
        <v>A218:A257</v>
      </c>
    </row>
    <row r="258" spans="1:15">
      <c r="A258" s="18" t="str">
        <f>Charms!K258</f>
        <v>Bureaucracy</v>
      </c>
      <c r="B258" t="str">
        <f>Charms!B258</f>
        <v>Bestow the Saffron Mantle</v>
      </c>
      <c r="C258" t="b">
        <f ca="1">OR(Values!$S$98&gt;=Charms!M258,IFERROR(Charms!J258=OFFSET(Values!$A$24,MATCH("S",Values!$T$25:$T$50,0),0),FALSE))</f>
        <v>0</v>
      </c>
      <c r="D258" t="b">
        <f>VLOOKUP(Charms!J258,Values!$A$11:$S$59,19,0)&gt;=Charms!L258</f>
        <v>0</v>
      </c>
      <c r="E258" t="e">
        <f>OR(ISBLANK(Charms!I258),(VLOOKUP(Values!$S$6,Castes!$B$2:$F$25,4,0)=Charms!I258))</f>
        <v>#N/A</v>
      </c>
      <c r="J258" t="e">
        <f t="shared" ca="1" si="16"/>
        <v>#N/A</v>
      </c>
      <c r="K258" s="18" t="e">
        <f t="shared" ref="K258:K321" ca="1" si="20">IF(L258="","",COUNTIF(INDIRECT("J"&amp;MATCH(A258,A:A,0)&amp;":J"&amp;ROW()),J258))</f>
        <v>#N/A</v>
      </c>
      <c r="L258" t="e">
        <f ca="1">IF(J258,Charms!B258,"")</f>
        <v>#N/A</v>
      </c>
      <c r="M258" t="str">
        <f t="shared" ca="1" si="17"/>
        <v>-</v>
      </c>
      <c r="N258" s="18" t="str">
        <f t="shared" si="18"/>
        <v>K218:L271</v>
      </c>
      <c r="O258" t="str">
        <f t="shared" si="19"/>
        <v>A218:A258</v>
      </c>
    </row>
    <row r="259" spans="1:15">
      <c r="A259" s="18" t="str">
        <f>Charms!K259</f>
        <v>Bureaucracy</v>
      </c>
      <c r="B259" t="str">
        <f>Charms!B259</f>
        <v>Blazing Hoard of Hesiesh</v>
      </c>
      <c r="C259" t="b">
        <f ca="1">OR(Values!$S$98&gt;=Charms!M259,IFERROR(Charms!J259=OFFSET(Values!$A$24,MATCH("S",Values!$T$25:$T$50,0),0),FALSE))</f>
        <v>0</v>
      </c>
      <c r="D259" t="b">
        <f>VLOOKUP(Charms!J259,Values!$A$11:$S$59,19,0)&gt;=Charms!L259</f>
        <v>0</v>
      </c>
      <c r="E259" t="e">
        <f>OR(ISBLANK(Charms!I259),(VLOOKUP(Values!$S$6,Castes!$B$2:$F$25,4,0)=Charms!I259))</f>
        <v>#N/A</v>
      </c>
      <c r="J259" t="e">
        <f t="shared" ref="J259:J322" ca="1" si="21">(C259+D259+E259+F259+G259+H259+I259)=3</f>
        <v>#N/A</v>
      </c>
      <c r="K259" s="18" t="e">
        <f t="shared" ca="1" si="20"/>
        <v>#N/A</v>
      </c>
      <c r="L259" t="e">
        <f ca="1">IF(J259,Charms!B259,"")</f>
        <v>#N/A</v>
      </c>
      <c r="M259" t="str">
        <f t="shared" ref="M259:M322" ca="1" si="22">IFERROR(VLOOKUP(COUNTIF(INDIRECT(O259),A259),INDIRECT(N259),2,0),"-")</f>
        <v>-</v>
      </c>
      <c r="N259" s="18" t="str">
        <f t="shared" ref="N259:N322" si="23">"K"&amp;MATCH(A259,A:A,0)&amp;":L"&amp;(MATCH(A259,A:A,0)+COUNTIF(A:A,A259)-1)</f>
        <v>K218:L271</v>
      </c>
      <c r="O259" t="str">
        <f t="shared" ref="O259:O322" si="24">"A"&amp;MATCH(A259,A:A,0)&amp;":A"&amp;ROW()</f>
        <v>A218:A259</v>
      </c>
    </row>
    <row r="260" spans="1:15">
      <c r="A260" s="18" t="str">
        <f>Charms!K260</f>
        <v>Bureaucracy</v>
      </c>
      <c r="B260" t="str">
        <f>Charms!B260</f>
        <v>Following the River’s Course</v>
      </c>
      <c r="C260" t="b">
        <f ca="1">OR(Values!$S$98&gt;=Charms!M260,IFERROR(Charms!J260=OFFSET(Values!$A$24,MATCH("S",Values!$T$25:$T$50,0),0),FALSE))</f>
        <v>0</v>
      </c>
      <c r="D260" t="b">
        <f>VLOOKUP(Charms!J260,Values!$A$11:$S$59,19,0)&gt;=Charms!L260</f>
        <v>0</v>
      </c>
      <c r="E260" t="e">
        <f>OR(ISBLANK(Charms!I260),(VLOOKUP(Values!$S$6,Castes!$B$2:$F$25,4,0)=Charms!I260))</f>
        <v>#N/A</v>
      </c>
      <c r="J260" t="e">
        <f t="shared" ca="1" si="21"/>
        <v>#N/A</v>
      </c>
      <c r="K260" s="18" t="e">
        <f t="shared" ca="1" si="20"/>
        <v>#N/A</v>
      </c>
      <c r="L260" t="e">
        <f ca="1">IF(J260,Charms!B260,"")</f>
        <v>#N/A</v>
      </c>
      <c r="M260" t="str">
        <f t="shared" ca="1" si="22"/>
        <v>-</v>
      </c>
      <c r="N260" s="18" t="str">
        <f t="shared" si="23"/>
        <v>K218:L271</v>
      </c>
      <c r="O260" t="str">
        <f t="shared" si="24"/>
        <v>A218:A260</v>
      </c>
    </row>
    <row r="261" spans="1:15">
      <c r="A261" s="18" t="str">
        <f>Charms!K261</f>
        <v>Bureaucracy</v>
      </c>
      <c r="B261" t="str">
        <f>Charms!B261</f>
        <v>Thrashing Carp Serenade</v>
      </c>
      <c r="C261" t="b">
        <f ca="1">OR(Values!$S$98&gt;=Charms!M261,IFERROR(Charms!J261=OFFSET(Values!$A$24,MATCH("S",Values!$T$25:$T$50,0),0),FALSE))</f>
        <v>0</v>
      </c>
      <c r="D261" t="b">
        <f>VLOOKUP(Charms!J261,Values!$A$11:$S$59,19,0)&gt;=Charms!L261</f>
        <v>0</v>
      </c>
      <c r="E261" t="e">
        <f>OR(ISBLANK(Charms!I261),(VLOOKUP(Values!$S$6,Castes!$B$2:$F$25,4,0)=Charms!I261))</f>
        <v>#N/A</v>
      </c>
      <c r="J261" t="e">
        <f t="shared" ca="1" si="21"/>
        <v>#N/A</v>
      </c>
      <c r="K261" s="18" t="e">
        <f t="shared" ca="1" si="20"/>
        <v>#N/A</v>
      </c>
      <c r="L261" t="e">
        <f ca="1">IF(J261,Charms!B261,"")</f>
        <v>#N/A</v>
      </c>
      <c r="M261" t="str">
        <f t="shared" ca="1" si="22"/>
        <v>-</v>
      </c>
      <c r="N261" s="18" t="str">
        <f t="shared" si="23"/>
        <v>K218:L271</v>
      </c>
      <c r="O261" t="str">
        <f t="shared" si="24"/>
        <v>A218:A261</v>
      </c>
    </row>
    <row r="262" spans="1:15">
      <c r="A262" s="18" t="str">
        <f>Charms!K262</f>
        <v>Bureaucracy</v>
      </c>
      <c r="B262" t="str">
        <f>Charms!B262</f>
        <v>Humble Exemplar Attitude</v>
      </c>
      <c r="C262" t="b">
        <f ca="1">OR(Values!$S$98&gt;=Charms!M262,IFERROR(Charms!J262=OFFSET(Values!$A$24,MATCH("S",Values!$T$25:$T$50,0),0),FALSE))</f>
        <v>0</v>
      </c>
      <c r="D262" t="b">
        <f>VLOOKUP(Charms!J262,Values!$A$11:$S$59,19,0)&gt;=Charms!L262</f>
        <v>0</v>
      </c>
      <c r="E262" t="e">
        <f>OR(ISBLANK(Charms!I262),(VLOOKUP(Values!$S$6,Castes!$B$2:$F$25,4,0)=Charms!I262))</f>
        <v>#N/A</v>
      </c>
      <c r="J262" t="e">
        <f t="shared" ca="1" si="21"/>
        <v>#N/A</v>
      </c>
      <c r="K262" s="18" t="e">
        <f t="shared" ca="1" si="20"/>
        <v>#N/A</v>
      </c>
      <c r="L262" t="e">
        <f ca="1">IF(J262,Charms!B262,"")</f>
        <v>#N/A</v>
      </c>
      <c r="M262" t="str">
        <f t="shared" ca="1" si="22"/>
        <v>-</v>
      </c>
      <c r="N262" s="18" t="str">
        <f t="shared" si="23"/>
        <v>K218:L271</v>
      </c>
      <c r="O262" t="str">
        <f t="shared" si="24"/>
        <v>A218:A262</v>
      </c>
    </row>
    <row r="263" spans="1:15">
      <c r="A263" s="18" t="str">
        <f>Charms!K263</f>
        <v>Bureaucracy</v>
      </c>
      <c r="B263" t="str">
        <f>Charms!B263</f>
        <v>Graven Stone Edict</v>
      </c>
      <c r="C263" t="b">
        <f ca="1">OR(Values!$S$98&gt;=Charms!M263,IFERROR(Charms!J263=OFFSET(Values!$A$24,MATCH("S",Values!$T$25:$T$50,0),0),FALSE))</f>
        <v>0</v>
      </c>
      <c r="D263" t="b">
        <f>VLOOKUP(Charms!J263,Values!$A$11:$S$59,19,0)&gt;=Charms!L263</f>
        <v>0</v>
      </c>
      <c r="E263" t="e">
        <f>OR(ISBLANK(Charms!I263),(VLOOKUP(Values!$S$6,Castes!$B$2:$F$25,4,0)=Charms!I263))</f>
        <v>#N/A</v>
      </c>
      <c r="J263" t="e">
        <f t="shared" ca="1" si="21"/>
        <v>#N/A</v>
      </c>
      <c r="K263" s="18" t="e">
        <f t="shared" ca="1" si="20"/>
        <v>#N/A</v>
      </c>
      <c r="L263" t="e">
        <f ca="1">IF(J263,Charms!B263,"")</f>
        <v>#N/A</v>
      </c>
      <c r="M263" t="str">
        <f t="shared" ca="1" si="22"/>
        <v>-</v>
      </c>
      <c r="N263" s="18" t="str">
        <f t="shared" si="23"/>
        <v>K218:L271</v>
      </c>
      <c r="O263" t="str">
        <f t="shared" si="24"/>
        <v>A218:A263</v>
      </c>
    </row>
    <row r="264" spans="1:15">
      <c r="A264" s="18" t="str">
        <f>Charms!K264</f>
        <v>Bureaucracy</v>
      </c>
      <c r="B264" t="str">
        <f>Charms!B264</f>
        <v>Seething Firebreak Technique</v>
      </c>
      <c r="C264" t="b">
        <f ca="1">OR(Values!$S$98&gt;=Charms!M264,IFERROR(Charms!J264=OFFSET(Values!$A$24,MATCH("S",Values!$T$25:$T$50,0),0),FALSE))</f>
        <v>0</v>
      </c>
      <c r="D264" t="b">
        <f>VLOOKUP(Charms!J264,Values!$A$11:$S$59,19,0)&gt;=Charms!L264</f>
        <v>0</v>
      </c>
      <c r="E264" t="e">
        <f>OR(ISBLANK(Charms!I264),(VLOOKUP(Values!$S$6,Castes!$B$2:$F$25,4,0)=Charms!I264))</f>
        <v>#N/A</v>
      </c>
      <c r="J264" t="e">
        <f t="shared" ca="1" si="21"/>
        <v>#N/A</v>
      </c>
      <c r="K264" s="18" t="e">
        <f t="shared" ca="1" si="20"/>
        <v>#N/A</v>
      </c>
      <c r="L264" t="e">
        <f ca="1">IF(J264,Charms!B264,"")</f>
        <v>#N/A</v>
      </c>
      <c r="M264" t="str">
        <f t="shared" ca="1" si="22"/>
        <v>-</v>
      </c>
      <c r="N264" s="18" t="str">
        <f t="shared" si="23"/>
        <v>K218:L271</v>
      </c>
      <c r="O264" t="str">
        <f t="shared" si="24"/>
        <v>A218:A264</v>
      </c>
    </row>
    <row r="265" spans="1:15">
      <c r="A265" s="18" t="str">
        <f>Charms!K265</f>
        <v>Bureaucracy</v>
      </c>
      <c r="B265" t="str">
        <f>Charms!B265</f>
        <v>Distraction of the Babbling Brook</v>
      </c>
      <c r="C265" t="b">
        <f ca="1">OR(Values!$S$98&gt;=Charms!M265,IFERROR(Charms!J265=OFFSET(Values!$A$24,MATCH("S",Values!$T$25:$T$50,0),0),FALSE))</f>
        <v>0</v>
      </c>
      <c r="D265" t="b">
        <f>VLOOKUP(Charms!J265,Values!$A$11:$S$59,19,0)&gt;=Charms!L265</f>
        <v>0</v>
      </c>
      <c r="E265" t="e">
        <f>OR(ISBLANK(Charms!I265),(VLOOKUP(Values!$S$6,Castes!$B$2:$F$25,4,0)=Charms!I265))</f>
        <v>#N/A</v>
      </c>
      <c r="J265" t="e">
        <f t="shared" ca="1" si="21"/>
        <v>#N/A</v>
      </c>
      <c r="K265" s="18" t="e">
        <f t="shared" ca="1" si="20"/>
        <v>#N/A</v>
      </c>
      <c r="L265" t="e">
        <f ca="1">IF(J265,Charms!B265,"")</f>
        <v>#N/A</v>
      </c>
      <c r="M265" t="str">
        <f t="shared" ca="1" si="22"/>
        <v>-</v>
      </c>
      <c r="N265" s="18" t="str">
        <f t="shared" si="23"/>
        <v>K218:L271</v>
      </c>
      <c r="O265" t="str">
        <f t="shared" si="24"/>
        <v>A218:A265</v>
      </c>
    </row>
    <row r="266" spans="1:15">
      <c r="A266" s="18" t="str">
        <f>Charms!K266</f>
        <v>Bureaucracy</v>
      </c>
      <c r="B266" t="str">
        <f>Charms!B266</f>
        <v>One Forest, Many Trees</v>
      </c>
      <c r="C266" t="b">
        <f ca="1">OR(Values!$S$98&gt;=Charms!M266,IFERROR(Charms!J266=OFFSET(Values!$A$24,MATCH("S",Values!$T$25:$T$50,0),0),FALSE))</f>
        <v>0</v>
      </c>
      <c r="D266" t="b">
        <f>VLOOKUP(Charms!J266,Values!$A$11:$S$59,19,0)&gt;=Charms!L266</f>
        <v>0</v>
      </c>
      <c r="E266" t="e">
        <f>OR(ISBLANK(Charms!I266),(VLOOKUP(Values!$S$6,Castes!$B$2:$F$25,4,0)=Charms!I266))</f>
        <v>#N/A</v>
      </c>
      <c r="J266" t="e">
        <f t="shared" ca="1" si="21"/>
        <v>#N/A</v>
      </c>
      <c r="K266" s="18" t="e">
        <f t="shared" ca="1" si="20"/>
        <v>#N/A</v>
      </c>
      <c r="L266" t="e">
        <f ca="1">IF(J266,Charms!B266,"")</f>
        <v>#N/A</v>
      </c>
      <c r="M266" t="str">
        <f t="shared" ca="1" si="22"/>
        <v>-</v>
      </c>
      <c r="N266" s="18" t="str">
        <f t="shared" si="23"/>
        <v>K218:L271</v>
      </c>
      <c r="O266" t="str">
        <f t="shared" si="24"/>
        <v>A218:A266</v>
      </c>
    </row>
    <row r="267" spans="1:15">
      <c r="A267" s="18" t="str">
        <f>Charms!K267</f>
        <v>Bureaucracy</v>
      </c>
      <c r="B267" t="str">
        <f>Charms!B267</f>
        <v>Sea-Changed Secrets</v>
      </c>
      <c r="C267" t="b">
        <f ca="1">OR(Values!$S$98&gt;=Charms!M267,IFERROR(Charms!J267=OFFSET(Values!$A$24,MATCH("S",Values!$T$25:$T$50,0),0),FALSE))</f>
        <v>0</v>
      </c>
      <c r="D267" t="b">
        <f>VLOOKUP(Charms!J267,Values!$A$11:$S$59,19,0)&gt;=Charms!L267</f>
        <v>0</v>
      </c>
      <c r="E267" t="e">
        <f>OR(ISBLANK(Charms!I267),(VLOOKUP(Values!$S$6,Castes!$B$2:$F$25,4,0)=Charms!I267))</f>
        <v>#N/A</v>
      </c>
      <c r="J267" t="e">
        <f t="shared" ca="1" si="21"/>
        <v>#N/A</v>
      </c>
      <c r="K267" s="18" t="e">
        <f t="shared" ca="1" si="20"/>
        <v>#N/A</v>
      </c>
      <c r="L267" t="e">
        <f ca="1">IF(J267,Charms!B267,"")</f>
        <v>#N/A</v>
      </c>
      <c r="M267" t="str">
        <f t="shared" ca="1" si="22"/>
        <v>-</v>
      </c>
      <c r="N267" s="18" t="str">
        <f t="shared" si="23"/>
        <v>K218:L271</v>
      </c>
      <c r="O267" t="str">
        <f t="shared" si="24"/>
        <v>A218:A267</v>
      </c>
    </row>
    <row r="268" spans="1:15">
      <c r="A268" s="18" t="str">
        <f>Charms!K268</f>
        <v>Bureaucracy</v>
      </c>
      <c r="B268" t="str">
        <f>Charms!B268</f>
        <v>Sprouting Bamboo Cultivation</v>
      </c>
      <c r="C268" t="b">
        <f ca="1">OR(Values!$S$98&gt;=Charms!M268,IFERROR(Charms!J268=OFFSET(Values!$A$24,MATCH("S",Values!$T$25:$T$50,0),0),FALSE))</f>
        <v>0</v>
      </c>
      <c r="D268" t="b">
        <f>VLOOKUP(Charms!J268,Values!$A$11:$S$59,19,0)&gt;=Charms!L268</f>
        <v>0</v>
      </c>
      <c r="E268" t="e">
        <f>OR(ISBLANK(Charms!I268),(VLOOKUP(Values!$S$6,Castes!$B$2:$F$25,4,0)=Charms!I268))</f>
        <v>#N/A</v>
      </c>
      <c r="J268" t="e">
        <f t="shared" ca="1" si="21"/>
        <v>#N/A</v>
      </c>
      <c r="K268" s="18" t="e">
        <f t="shared" ca="1" si="20"/>
        <v>#N/A</v>
      </c>
      <c r="L268" t="e">
        <f ca="1">IF(J268,Charms!B268,"")</f>
        <v>#N/A</v>
      </c>
      <c r="M268" t="str">
        <f t="shared" ca="1" si="22"/>
        <v>-</v>
      </c>
      <c r="N268" s="18" t="str">
        <f t="shared" si="23"/>
        <v>K218:L271</v>
      </c>
      <c r="O268" t="str">
        <f t="shared" si="24"/>
        <v>A218:A268</v>
      </c>
    </row>
    <row r="269" spans="1:15">
      <c r="A269" s="18" t="str">
        <f>Charms!K269</f>
        <v>Bureaucracy</v>
      </c>
      <c r="B269" t="str">
        <f>Charms!B269</f>
        <v>Drowning in Negotiation Style</v>
      </c>
      <c r="C269" t="b">
        <f ca="1">OR(Values!$S$98&gt;=Charms!M269,IFERROR(Charms!J269=OFFSET(Values!$A$24,MATCH("S",Values!$T$25:$T$50,0),0),FALSE))</f>
        <v>0</v>
      </c>
      <c r="D269" t="b">
        <f>VLOOKUP(Charms!J269,Values!$A$11:$S$59,19,0)&gt;=Charms!L269</f>
        <v>0</v>
      </c>
      <c r="E269" t="e">
        <f>OR(ISBLANK(Charms!I269),(VLOOKUP(Values!$S$6,Castes!$B$2:$F$25,4,0)=Charms!I269))</f>
        <v>#N/A</v>
      </c>
      <c r="J269" t="e">
        <f t="shared" ca="1" si="21"/>
        <v>#N/A</v>
      </c>
      <c r="K269" s="18" t="e">
        <f t="shared" ca="1" si="20"/>
        <v>#N/A</v>
      </c>
      <c r="L269" t="e">
        <f ca="1">IF(J269,Charms!B269,"")</f>
        <v>#N/A</v>
      </c>
      <c r="M269" t="str">
        <f t="shared" ca="1" si="22"/>
        <v>-</v>
      </c>
      <c r="N269" s="18" t="str">
        <f t="shared" si="23"/>
        <v>K218:L271</v>
      </c>
      <c r="O269" t="str">
        <f t="shared" si="24"/>
        <v>A218:A269</v>
      </c>
    </row>
    <row r="270" spans="1:15">
      <c r="A270" s="18" t="str">
        <f>Charms!K270</f>
        <v>Bureaucracy</v>
      </c>
      <c r="B270" t="str">
        <f>Charms!B270</f>
        <v>Flowing Authority Insinuation</v>
      </c>
      <c r="C270" t="b">
        <f ca="1">OR(Values!$S$98&gt;=Charms!M270,IFERROR(Charms!J270=OFFSET(Values!$A$24,MATCH("S",Values!$T$25:$T$50,0),0),FALSE))</f>
        <v>0</v>
      </c>
      <c r="D270" t="b">
        <f>VLOOKUP(Charms!J270,Values!$A$11:$S$59,19,0)&gt;=Charms!L270</f>
        <v>0</v>
      </c>
      <c r="E270" t="e">
        <f>OR(ISBLANK(Charms!I270),(VLOOKUP(Values!$S$6,Castes!$B$2:$F$25,4,0)=Charms!I270))</f>
        <v>#N/A</v>
      </c>
      <c r="J270" t="e">
        <f t="shared" ca="1" si="21"/>
        <v>#N/A</v>
      </c>
      <c r="K270" s="18" t="e">
        <f t="shared" ca="1" si="20"/>
        <v>#N/A</v>
      </c>
      <c r="L270" t="e">
        <f ca="1">IF(J270,Charms!B270,"")</f>
        <v>#N/A</v>
      </c>
      <c r="M270" t="str">
        <f t="shared" ca="1" si="22"/>
        <v>-</v>
      </c>
      <c r="N270" s="18" t="str">
        <f t="shared" si="23"/>
        <v>K218:L271</v>
      </c>
      <c r="O270" t="str">
        <f t="shared" si="24"/>
        <v>A218:A270</v>
      </c>
    </row>
    <row r="271" spans="1:15">
      <c r="A271" s="18" t="str">
        <f>Charms!K271</f>
        <v>Bureaucracy</v>
      </c>
      <c r="B271" t="str">
        <f>Charms!B271</f>
        <v>Sowing the Dragon’s Teeth</v>
      </c>
      <c r="C271" t="b">
        <f ca="1">OR(Values!$S$98&gt;=Charms!M271,IFERROR(Charms!J271=OFFSET(Values!$A$24,MATCH("S",Values!$T$25:$T$50,0),0),FALSE))</f>
        <v>0</v>
      </c>
      <c r="D271" t="b">
        <f>VLOOKUP(Charms!J271,Values!$A$11:$S$59,19,0)&gt;=Charms!L271</f>
        <v>0</v>
      </c>
      <c r="E271" t="e">
        <f>OR(ISBLANK(Charms!I271),(VLOOKUP(Values!$S$6,Castes!$B$2:$F$25,4,0)=Charms!I271))</f>
        <v>#N/A</v>
      </c>
      <c r="J271" t="e">
        <f t="shared" ca="1" si="21"/>
        <v>#N/A</v>
      </c>
      <c r="K271" s="18" t="e">
        <f t="shared" ca="1" si="20"/>
        <v>#N/A</v>
      </c>
      <c r="L271" t="e">
        <f ca="1">IF(J271,Charms!B271,"")</f>
        <v>#N/A</v>
      </c>
      <c r="M271" t="str">
        <f t="shared" ca="1" si="22"/>
        <v>-</v>
      </c>
      <c r="N271" s="18" t="str">
        <f t="shared" si="23"/>
        <v>K218:L271</v>
      </c>
      <c r="O271" t="str">
        <f t="shared" si="24"/>
        <v>A218:A271</v>
      </c>
    </row>
    <row r="272" spans="1:15">
      <c r="A272" s="18" t="str">
        <f>Charms!K272</f>
        <v>Craft</v>
      </c>
      <c r="B272" t="str">
        <f>Charms!B272</f>
        <v>Flawless Handiwork Method</v>
      </c>
      <c r="C272" t="b">
        <f ca="1">OR(Values!$S$98&gt;=Charms!M272,IFERROR(Charms!J272=OFFSET(Values!$A$24,MATCH("S",Values!$T$25:$T$50,0),0),FALSE))</f>
        <v>1</v>
      </c>
      <c r="D272" t="b">
        <f>VLOOKUP(Charms!J272,Values!$A$11:$S$59,19,0)&gt;=Charms!L272</f>
        <v>0</v>
      </c>
      <c r="E272" t="e">
        <f>OR(ISBLANK(Charms!I272),(VLOOKUP(Values!$S$6,Castes!$B$2:$F$25,4,0)=Charms!I272))</f>
        <v>#N/A</v>
      </c>
      <c r="J272" t="e">
        <f t="shared" ca="1" si="21"/>
        <v>#N/A</v>
      </c>
      <c r="K272" s="18" t="e">
        <f t="shared" ca="1" si="20"/>
        <v>#N/A</v>
      </c>
      <c r="L272" t="e">
        <f ca="1">IF(J272,Charms!B272,"")</f>
        <v>#N/A</v>
      </c>
      <c r="M272" t="str">
        <f t="shared" ca="1" si="22"/>
        <v>-</v>
      </c>
      <c r="N272" s="18" t="str">
        <f t="shared" si="23"/>
        <v>K272:L342</v>
      </c>
      <c r="O272" t="str">
        <f t="shared" si="24"/>
        <v>A272:A272</v>
      </c>
    </row>
    <row r="273" spans="1:15">
      <c r="A273" s="18" t="str">
        <f>Charms!K273</f>
        <v>Craft</v>
      </c>
      <c r="B273" t="str">
        <f>Charms!B273</f>
        <v>Tireless Workhorse Method</v>
      </c>
      <c r="C273" t="b">
        <f ca="1">OR(Values!$S$98&gt;=Charms!M273,IFERROR(Charms!J273=OFFSET(Values!$A$24,MATCH("S",Values!$T$25:$T$50,0),0),FALSE))</f>
        <v>1</v>
      </c>
      <c r="D273" t="b">
        <f>VLOOKUP(Charms!J273,Values!$A$11:$S$59,19,0)&gt;=Charms!L273</f>
        <v>0</v>
      </c>
      <c r="E273" t="e">
        <f>OR(ISBLANK(Charms!I273),(VLOOKUP(Values!$S$6,Castes!$B$2:$F$25,4,0)=Charms!I273))</f>
        <v>#N/A</v>
      </c>
      <c r="J273" t="e">
        <f t="shared" ca="1" si="21"/>
        <v>#N/A</v>
      </c>
      <c r="K273" s="18" t="e">
        <f t="shared" ca="1" si="20"/>
        <v>#N/A</v>
      </c>
      <c r="L273" t="e">
        <f ca="1">IF(J273,Charms!B273,"")</f>
        <v>#N/A</v>
      </c>
      <c r="M273" t="str">
        <f t="shared" ca="1" si="22"/>
        <v>-</v>
      </c>
      <c r="N273" s="18" t="str">
        <f t="shared" si="23"/>
        <v>K272:L342</v>
      </c>
      <c r="O273" t="str">
        <f t="shared" si="24"/>
        <v>A272:A273</v>
      </c>
    </row>
    <row r="274" spans="1:15">
      <c r="A274" s="18" t="str">
        <f>Charms!K274</f>
        <v>Craft</v>
      </c>
      <c r="B274" t="str">
        <f>Charms!B274</f>
        <v>Triumph-Forging Eye</v>
      </c>
      <c r="C274" t="b">
        <f ca="1">OR(Values!$S$98&gt;=Charms!M274,IFERROR(Charms!J274=OFFSET(Values!$A$24,MATCH("S",Values!$T$25:$T$50,0),0),FALSE))</f>
        <v>1</v>
      </c>
      <c r="D274" t="b">
        <f>VLOOKUP(Charms!J274,Values!$A$11:$S$59,19,0)&gt;=Charms!L274</f>
        <v>0</v>
      </c>
      <c r="E274" t="e">
        <f>OR(ISBLANK(Charms!I274),(VLOOKUP(Values!$S$6,Castes!$B$2:$F$25,4,0)=Charms!I274))</f>
        <v>#N/A</v>
      </c>
      <c r="J274" t="e">
        <f t="shared" ca="1" si="21"/>
        <v>#N/A</v>
      </c>
      <c r="K274" s="18" t="e">
        <f t="shared" ca="1" si="20"/>
        <v>#N/A</v>
      </c>
      <c r="L274" t="e">
        <f ca="1">IF(J274,Charms!B274,"")</f>
        <v>#N/A</v>
      </c>
      <c r="M274" t="str">
        <f t="shared" ca="1" si="22"/>
        <v>-</v>
      </c>
      <c r="N274" s="18" t="str">
        <f t="shared" si="23"/>
        <v>K272:L342</v>
      </c>
      <c r="O274" t="str">
        <f t="shared" si="24"/>
        <v>A272:A274</v>
      </c>
    </row>
    <row r="275" spans="1:15">
      <c r="A275" s="18" t="str">
        <f>Charms!K275</f>
        <v>Craft</v>
      </c>
      <c r="B275" t="str">
        <f>Charms!B275</f>
        <v>Efficient Craftsman Technique</v>
      </c>
      <c r="C275" t="b">
        <f ca="1">OR(Values!$S$98&gt;=Charms!M275,IFERROR(Charms!J275=OFFSET(Values!$A$24,MATCH("S",Values!$T$25:$T$50,0),0),FALSE))</f>
        <v>1</v>
      </c>
      <c r="D275" t="b">
        <f>VLOOKUP(Charms!J275,Values!$A$11:$S$59,19,0)&gt;=Charms!L275</f>
        <v>0</v>
      </c>
      <c r="E275" t="e">
        <f>OR(ISBLANK(Charms!I275),(VLOOKUP(Values!$S$6,Castes!$B$2:$F$25,4,0)=Charms!I275))</f>
        <v>#N/A</v>
      </c>
      <c r="J275" t="e">
        <f t="shared" ca="1" si="21"/>
        <v>#N/A</v>
      </c>
      <c r="K275" s="18" t="e">
        <f t="shared" ca="1" si="20"/>
        <v>#N/A</v>
      </c>
      <c r="L275" t="e">
        <f ca="1">IF(J275,Charms!B275,"")</f>
        <v>#N/A</v>
      </c>
      <c r="M275" t="str">
        <f t="shared" ca="1" si="22"/>
        <v>-</v>
      </c>
      <c r="N275" s="18" t="str">
        <f t="shared" si="23"/>
        <v>K272:L342</v>
      </c>
      <c r="O275" t="str">
        <f t="shared" si="24"/>
        <v>A272:A275</v>
      </c>
    </row>
    <row r="276" spans="1:15">
      <c r="A276" s="18" t="str">
        <f>Charms!K276</f>
        <v>Craft</v>
      </c>
      <c r="B276" t="str">
        <f>Charms!B276</f>
        <v>Brass Scales Falling</v>
      </c>
      <c r="C276" t="b">
        <f ca="1">OR(Values!$S$98&gt;=Charms!M276,IFERROR(Charms!J276=OFFSET(Values!$A$24,MATCH("S",Values!$T$25:$T$50,0),0),FALSE))</f>
        <v>1</v>
      </c>
      <c r="D276" t="b">
        <f>VLOOKUP(Charms!J276,Values!$A$11:$S$59,19,0)&gt;=Charms!L276</f>
        <v>0</v>
      </c>
      <c r="E276" t="e">
        <f>OR(ISBLANK(Charms!I276),(VLOOKUP(Values!$S$6,Castes!$B$2:$F$25,4,0)=Charms!I276))</f>
        <v>#N/A</v>
      </c>
      <c r="J276" t="e">
        <f t="shared" ca="1" si="21"/>
        <v>#N/A</v>
      </c>
      <c r="K276" s="18" t="e">
        <f t="shared" ca="1" si="20"/>
        <v>#N/A</v>
      </c>
      <c r="L276" t="e">
        <f ca="1">IF(J276,Charms!B276,"")</f>
        <v>#N/A</v>
      </c>
      <c r="M276" t="str">
        <f t="shared" ca="1" si="22"/>
        <v>-</v>
      </c>
      <c r="N276" s="18" t="str">
        <f t="shared" si="23"/>
        <v>K272:L342</v>
      </c>
      <c r="O276" t="str">
        <f t="shared" si="24"/>
        <v>A272:A276</v>
      </c>
    </row>
    <row r="277" spans="1:15">
      <c r="A277" s="18" t="str">
        <f>Charms!K277</f>
        <v>Craft</v>
      </c>
      <c r="B277" t="str">
        <f>Charms!B277</f>
        <v>Craftsman Needs No Tools</v>
      </c>
      <c r="C277" t="b">
        <f ca="1">OR(Values!$S$98&gt;=Charms!M277,IFERROR(Charms!J277=OFFSET(Values!$A$24,MATCH("S",Values!$T$25:$T$50,0),0),FALSE))</f>
        <v>1</v>
      </c>
      <c r="D277" t="b">
        <f>VLOOKUP(Charms!J277,Values!$A$11:$S$59,19,0)&gt;=Charms!L277</f>
        <v>0</v>
      </c>
      <c r="E277" t="e">
        <f>OR(ISBLANK(Charms!I277),(VLOOKUP(Values!$S$6,Castes!$B$2:$F$25,4,0)=Charms!I277))</f>
        <v>#N/A</v>
      </c>
      <c r="J277" t="e">
        <f t="shared" ca="1" si="21"/>
        <v>#N/A</v>
      </c>
      <c r="K277" s="18" t="e">
        <f t="shared" ca="1" si="20"/>
        <v>#N/A</v>
      </c>
      <c r="L277" t="e">
        <f ca="1">IF(J277,Charms!B277,"")</f>
        <v>#N/A</v>
      </c>
      <c r="M277" t="str">
        <f t="shared" ca="1" si="22"/>
        <v>-</v>
      </c>
      <c r="N277" s="18" t="str">
        <f t="shared" si="23"/>
        <v>K272:L342</v>
      </c>
      <c r="O277" t="str">
        <f t="shared" si="24"/>
        <v>A272:A277</v>
      </c>
    </row>
    <row r="278" spans="1:15">
      <c r="A278" s="18" t="str">
        <f>Charms!K278</f>
        <v>Craft</v>
      </c>
      <c r="B278" t="str">
        <f>Charms!B278</f>
        <v>Crack-Mending Technique</v>
      </c>
      <c r="C278" t="b">
        <f ca="1">OR(Values!$S$98&gt;=Charms!M278,IFERROR(Charms!J278=OFFSET(Values!$A$24,MATCH("S",Values!$T$25:$T$50,0),0),FALSE))</f>
        <v>1</v>
      </c>
      <c r="D278" t="b">
        <f>VLOOKUP(Charms!J278,Values!$A$11:$S$59,19,0)&gt;=Charms!L278</f>
        <v>0</v>
      </c>
      <c r="E278" t="e">
        <f>OR(ISBLANK(Charms!I278),(VLOOKUP(Values!$S$6,Castes!$B$2:$F$25,4,0)=Charms!I278))</f>
        <v>#N/A</v>
      </c>
      <c r="J278" t="e">
        <f t="shared" ca="1" si="21"/>
        <v>#N/A</v>
      </c>
      <c r="K278" s="18" t="e">
        <f t="shared" ca="1" si="20"/>
        <v>#N/A</v>
      </c>
      <c r="L278" t="e">
        <f ca="1">IF(J278,Charms!B278,"")</f>
        <v>#N/A</v>
      </c>
      <c r="M278" t="str">
        <f t="shared" ca="1" si="22"/>
        <v>-</v>
      </c>
      <c r="N278" s="18" t="str">
        <f t="shared" si="23"/>
        <v>K272:L342</v>
      </c>
      <c r="O278" t="str">
        <f t="shared" si="24"/>
        <v>A272:A278</v>
      </c>
    </row>
    <row r="279" spans="1:15">
      <c r="A279" s="18" t="str">
        <f>Charms!K279</f>
        <v>Craft</v>
      </c>
      <c r="B279" t="str">
        <f>Charms!B279</f>
        <v>Supreme Masterwork Focus</v>
      </c>
      <c r="C279" t="b">
        <f ca="1">OR(Values!$S$98&gt;=Charms!M279,IFERROR(Charms!J279=OFFSET(Values!$A$24,MATCH("S",Values!$T$25:$T$50,0),0),FALSE))</f>
        <v>1</v>
      </c>
      <c r="D279" t="b">
        <f>VLOOKUP(Charms!J279,Values!$A$11:$S$59,19,0)&gt;=Charms!L279</f>
        <v>0</v>
      </c>
      <c r="E279" t="e">
        <f>OR(ISBLANK(Charms!I279),(VLOOKUP(Values!$S$6,Castes!$B$2:$F$25,4,0)=Charms!I279))</f>
        <v>#N/A</v>
      </c>
      <c r="J279" t="e">
        <f t="shared" ca="1" si="21"/>
        <v>#N/A</v>
      </c>
      <c r="K279" s="18" t="e">
        <f t="shared" ca="1" si="20"/>
        <v>#N/A</v>
      </c>
      <c r="L279" t="e">
        <f ca="1">IF(J279,Charms!B279,"")</f>
        <v>#N/A</v>
      </c>
      <c r="M279" t="str">
        <f t="shared" ca="1" si="22"/>
        <v>-</v>
      </c>
      <c r="N279" s="18" t="str">
        <f t="shared" si="23"/>
        <v>K272:L342</v>
      </c>
      <c r="O279" t="str">
        <f t="shared" si="24"/>
        <v>A272:A279</v>
      </c>
    </row>
    <row r="280" spans="1:15">
      <c r="A280" s="18" t="str">
        <f>Charms!K280</f>
        <v>Craft</v>
      </c>
      <c r="B280" t="str">
        <f>Charms!B280</f>
        <v>Bright-Forging Prana</v>
      </c>
      <c r="C280" t="b">
        <f ca="1">OR(Values!$S$98&gt;=Charms!M280,IFERROR(Charms!J280=OFFSET(Values!$A$24,MATCH("S",Values!$T$25:$T$50,0),0),FALSE))</f>
        <v>0</v>
      </c>
      <c r="D280" t="b">
        <f>VLOOKUP(Charms!J280,Values!$A$11:$S$59,19,0)&gt;=Charms!L280</f>
        <v>0</v>
      </c>
      <c r="E280" t="e">
        <f>OR(ISBLANK(Charms!I280),(VLOOKUP(Values!$S$6,Castes!$B$2:$F$25,4,0)=Charms!I280))</f>
        <v>#N/A</v>
      </c>
      <c r="J280" t="e">
        <f t="shared" ca="1" si="21"/>
        <v>#N/A</v>
      </c>
      <c r="K280" s="18" t="e">
        <f t="shared" ca="1" si="20"/>
        <v>#N/A</v>
      </c>
      <c r="L280" t="e">
        <f ca="1">IF(J280,Charms!B280,"")</f>
        <v>#N/A</v>
      </c>
      <c r="M280" t="str">
        <f t="shared" ca="1" si="22"/>
        <v>-</v>
      </c>
      <c r="N280" s="18" t="str">
        <f t="shared" si="23"/>
        <v>K272:L342</v>
      </c>
      <c r="O280" t="str">
        <f t="shared" si="24"/>
        <v>A272:A280</v>
      </c>
    </row>
    <row r="281" spans="1:15">
      <c r="A281" s="18" t="str">
        <f>Charms!K281</f>
        <v>Craft</v>
      </c>
      <c r="B281" t="str">
        <f>Charms!B281</f>
        <v>Experiential Conjuring of True Void</v>
      </c>
      <c r="C281" t="b">
        <f ca="1">OR(Values!$S$98&gt;=Charms!M281,IFERROR(Charms!J281=OFFSET(Values!$A$24,MATCH("S",Values!$T$25:$T$50,0),0),FALSE))</f>
        <v>0</v>
      </c>
      <c r="D281" t="b">
        <f>VLOOKUP(Charms!J281,Values!$A$11:$S$59,19,0)&gt;=Charms!L281</f>
        <v>0</v>
      </c>
      <c r="E281" t="e">
        <f>OR(ISBLANK(Charms!I281),(VLOOKUP(Values!$S$6,Castes!$B$2:$F$25,4,0)=Charms!I281))</f>
        <v>#N/A</v>
      </c>
      <c r="J281" t="e">
        <f t="shared" ca="1" si="21"/>
        <v>#N/A</v>
      </c>
      <c r="K281" s="18" t="e">
        <f t="shared" ca="1" si="20"/>
        <v>#N/A</v>
      </c>
      <c r="L281" t="e">
        <f ca="1">IF(J281,Charms!B281,"")</f>
        <v>#N/A</v>
      </c>
      <c r="M281" t="str">
        <f t="shared" ca="1" si="22"/>
        <v>-</v>
      </c>
      <c r="N281" s="18" t="str">
        <f t="shared" si="23"/>
        <v>K272:L342</v>
      </c>
      <c r="O281" t="str">
        <f t="shared" si="24"/>
        <v>A272:A281</v>
      </c>
    </row>
    <row r="282" spans="1:15">
      <c r="A282" s="18" t="str">
        <f>Charms!K282</f>
        <v>Craft</v>
      </c>
      <c r="B282" t="str">
        <f>Charms!B282</f>
        <v>Arete-Shifting Prana</v>
      </c>
      <c r="C282" t="b">
        <f ca="1">OR(Values!$S$98&gt;=Charms!M282,IFERROR(Charms!J282=OFFSET(Values!$A$24,MATCH("S",Values!$T$25:$T$50,0),0),FALSE))</f>
        <v>1</v>
      </c>
      <c r="D282" t="b">
        <f>VLOOKUP(Charms!J282,Values!$A$11:$S$59,19,0)&gt;=Charms!L282</f>
        <v>0</v>
      </c>
      <c r="E282" t="e">
        <f>OR(ISBLANK(Charms!I282),(VLOOKUP(Values!$S$6,Castes!$B$2:$F$25,4,0)=Charms!I282))</f>
        <v>#N/A</v>
      </c>
      <c r="J282" t="e">
        <f t="shared" ca="1" si="21"/>
        <v>#N/A</v>
      </c>
      <c r="K282" s="18" t="e">
        <f t="shared" ca="1" si="20"/>
        <v>#N/A</v>
      </c>
      <c r="L282" t="e">
        <f ca="1">IF(J282,Charms!B282,"")</f>
        <v>#N/A</v>
      </c>
      <c r="M282" t="str">
        <f t="shared" ca="1" si="22"/>
        <v>-</v>
      </c>
      <c r="N282" s="18" t="str">
        <f t="shared" si="23"/>
        <v>K272:L342</v>
      </c>
      <c r="O282" t="str">
        <f t="shared" si="24"/>
        <v>A272:A282</v>
      </c>
    </row>
    <row r="283" spans="1:15">
      <c r="A283" s="18" t="str">
        <f>Charms!K283</f>
        <v>Craft</v>
      </c>
      <c r="B283" t="str">
        <f>Charms!B283</f>
        <v>Red Anvils Ringing</v>
      </c>
      <c r="C283" t="b">
        <f ca="1">OR(Values!$S$98&gt;=Charms!M283,IFERROR(Charms!J283=OFFSET(Values!$A$24,MATCH("S",Values!$T$25:$T$50,0),0),FALSE))</f>
        <v>1</v>
      </c>
      <c r="D283" t="b">
        <f>VLOOKUP(Charms!J283,Values!$A$11:$S$59,19,0)&gt;=Charms!L283</f>
        <v>0</v>
      </c>
      <c r="E283" t="e">
        <f>OR(ISBLANK(Charms!I283),(VLOOKUP(Values!$S$6,Castes!$B$2:$F$25,4,0)=Charms!I283))</f>
        <v>#N/A</v>
      </c>
      <c r="J283" t="e">
        <f t="shared" ca="1" si="21"/>
        <v>#N/A</v>
      </c>
      <c r="K283" s="18" t="e">
        <f t="shared" ca="1" si="20"/>
        <v>#N/A</v>
      </c>
      <c r="L283" t="e">
        <f ca="1">IF(J283,Charms!B283,"")</f>
        <v>#N/A</v>
      </c>
      <c r="M283" t="str">
        <f t="shared" ca="1" si="22"/>
        <v>-</v>
      </c>
      <c r="N283" s="18" t="str">
        <f t="shared" si="23"/>
        <v>K272:L342</v>
      </c>
      <c r="O283" t="str">
        <f t="shared" si="24"/>
        <v>A272:A283</v>
      </c>
    </row>
    <row r="284" spans="1:15">
      <c r="A284" s="18" t="str">
        <f>Charms!K284</f>
        <v>Craft</v>
      </c>
      <c r="B284" t="str">
        <f>Charms!B284</f>
        <v>Design Beyond Limit</v>
      </c>
      <c r="C284" t="b">
        <f ca="1">OR(Values!$S$98&gt;=Charms!M284,IFERROR(Charms!J284=OFFSET(Values!$A$24,MATCH("S",Values!$T$25:$T$50,0),0),FALSE))</f>
        <v>0</v>
      </c>
      <c r="D284" t="b">
        <f>VLOOKUP(Charms!J284,Values!$A$11:$S$59,19,0)&gt;=Charms!L284</f>
        <v>0</v>
      </c>
      <c r="E284" t="e">
        <f>OR(ISBLANK(Charms!I284),(VLOOKUP(Values!$S$6,Castes!$B$2:$F$25,4,0)=Charms!I284))</f>
        <v>#N/A</v>
      </c>
      <c r="J284" t="e">
        <f t="shared" ca="1" si="21"/>
        <v>#N/A</v>
      </c>
      <c r="K284" s="18" t="e">
        <f t="shared" ca="1" si="20"/>
        <v>#N/A</v>
      </c>
      <c r="L284" t="e">
        <f ca="1">IF(J284,Charms!B284,"")</f>
        <v>#N/A</v>
      </c>
      <c r="M284" t="str">
        <f t="shared" ca="1" si="22"/>
        <v>-</v>
      </c>
      <c r="N284" s="18" t="str">
        <f t="shared" si="23"/>
        <v>K272:L342</v>
      </c>
      <c r="O284" t="str">
        <f t="shared" si="24"/>
        <v>A272:A284</v>
      </c>
    </row>
    <row r="285" spans="1:15">
      <c r="A285" s="18" t="str">
        <f>Charms!K285</f>
        <v>Craft</v>
      </c>
      <c r="B285" t="str">
        <f>Charms!B285</f>
        <v>Unbroken Image Focus</v>
      </c>
      <c r="C285" t="b">
        <f ca="1">OR(Values!$S$98&gt;=Charms!M285,IFERROR(Charms!J285=OFFSET(Values!$A$24,MATCH("S",Values!$T$25:$T$50,0),0),FALSE))</f>
        <v>0</v>
      </c>
      <c r="D285" t="b">
        <f>VLOOKUP(Charms!J285,Values!$A$11:$S$59,19,0)&gt;=Charms!L285</f>
        <v>0</v>
      </c>
      <c r="E285" t="e">
        <f>OR(ISBLANK(Charms!I285),(VLOOKUP(Values!$S$6,Castes!$B$2:$F$25,4,0)=Charms!I285))</f>
        <v>#N/A</v>
      </c>
      <c r="J285" t="e">
        <f t="shared" ca="1" si="21"/>
        <v>#N/A</v>
      </c>
      <c r="K285" s="18" t="e">
        <f t="shared" ca="1" si="20"/>
        <v>#N/A</v>
      </c>
      <c r="L285" t="e">
        <f ca="1">IF(J285,Charms!B285,"")</f>
        <v>#N/A</v>
      </c>
      <c r="M285" t="str">
        <f t="shared" ca="1" si="22"/>
        <v>-</v>
      </c>
      <c r="N285" s="18" t="str">
        <f t="shared" si="23"/>
        <v>K272:L342</v>
      </c>
      <c r="O285" t="str">
        <f t="shared" si="24"/>
        <v>A272:A285</v>
      </c>
    </row>
    <row r="286" spans="1:15">
      <c r="A286" s="18" t="str">
        <f>Charms!K286</f>
        <v>Craft</v>
      </c>
      <c r="B286" t="str">
        <f>Charms!B286</f>
        <v>First Movement of the Demiurge</v>
      </c>
      <c r="C286" t="b">
        <f ca="1">OR(Values!$S$98&gt;=Charms!M286,IFERROR(Charms!J286=OFFSET(Values!$A$24,MATCH("S",Values!$T$25:$T$50,0),0),FALSE))</f>
        <v>0</v>
      </c>
      <c r="D286" t="b">
        <f>VLOOKUP(Charms!J286,Values!$A$11:$S$59,19,0)&gt;=Charms!L286</f>
        <v>0</v>
      </c>
      <c r="E286" t="e">
        <f>OR(ISBLANK(Charms!I286),(VLOOKUP(Values!$S$6,Castes!$B$2:$F$25,4,0)=Charms!I286))</f>
        <v>#N/A</v>
      </c>
      <c r="J286" t="e">
        <f t="shared" ca="1" si="21"/>
        <v>#N/A</v>
      </c>
      <c r="K286" s="18" t="e">
        <f t="shared" ca="1" si="20"/>
        <v>#N/A</v>
      </c>
      <c r="L286" t="e">
        <f ca="1">IF(J286,Charms!B286,"")</f>
        <v>#N/A</v>
      </c>
      <c r="M286" t="str">
        <f t="shared" ca="1" si="22"/>
        <v>-</v>
      </c>
      <c r="N286" s="18" t="str">
        <f t="shared" si="23"/>
        <v>K272:L342</v>
      </c>
      <c r="O286" t="str">
        <f t="shared" si="24"/>
        <v>A272:A286</v>
      </c>
    </row>
    <row r="287" spans="1:15">
      <c r="A287" s="18" t="str">
        <f>Charms!K287</f>
        <v>Craft</v>
      </c>
      <c r="B287" t="str">
        <f>Charms!B287</f>
        <v>Supreme Celestial Focus</v>
      </c>
      <c r="C287" t="b">
        <f ca="1">OR(Values!$S$98&gt;=Charms!M287,IFERROR(Charms!J287=OFFSET(Values!$A$24,MATCH("S",Values!$T$25:$T$50,0),0),FALSE))</f>
        <v>0</v>
      </c>
      <c r="D287" t="b">
        <f>VLOOKUP(Charms!J287,Values!$A$11:$S$59,19,0)&gt;=Charms!L287</f>
        <v>0</v>
      </c>
      <c r="E287" t="e">
        <f>OR(ISBLANK(Charms!I287),(VLOOKUP(Values!$S$6,Castes!$B$2:$F$25,4,0)=Charms!I287))</f>
        <v>#N/A</v>
      </c>
      <c r="J287" t="e">
        <f t="shared" ca="1" si="21"/>
        <v>#N/A</v>
      </c>
      <c r="K287" s="18" t="e">
        <f t="shared" ca="1" si="20"/>
        <v>#N/A</v>
      </c>
      <c r="L287" t="e">
        <f ca="1">IF(J287,Charms!B287,"")</f>
        <v>#N/A</v>
      </c>
      <c r="M287" t="str">
        <f t="shared" ca="1" si="22"/>
        <v>-</v>
      </c>
      <c r="N287" s="18" t="str">
        <f t="shared" si="23"/>
        <v>K272:L342</v>
      </c>
      <c r="O287" t="str">
        <f t="shared" si="24"/>
        <v>A272:A287</v>
      </c>
    </row>
    <row r="288" spans="1:15">
      <c r="A288" s="18" t="str">
        <f>Charms!K288</f>
        <v>Craft</v>
      </c>
      <c r="B288" t="str">
        <f>Charms!B288</f>
        <v>Sublime Transference</v>
      </c>
      <c r="C288" t="b">
        <f ca="1">OR(Values!$S$98&gt;=Charms!M288,IFERROR(Charms!J288=OFFSET(Values!$A$24,MATCH("S",Values!$T$25:$T$50,0),0),FALSE))</f>
        <v>0</v>
      </c>
      <c r="D288" t="b">
        <f>VLOOKUP(Charms!J288,Values!$A$11:$S$59,19,0)&gt;=Charms!L288</f>
        <v>0</v>
      </c>
      <c r="E288" t="e">
        <f>OR(ISBLANK(Charms!I288),(VLOOKUP(Values!$S$6,Castes!$B$2:$F$25,4,0)=Charms!I288))</f>
        <v>#N/A</v>
      </c>
      <c r="J288" t="e">
        <f t="shared" ca="1" si="21"/>
        <v>#N/A</v>
      </c>
      <c r="K288" s="18" t="e">
        <f t="shared" ca="1" si="20"/>
        <v>#N/A</v>
      </c>
      <c r="L288" t="e">
        <f ca="1">IF(J288,Charms!B288,"")</f>
        <v>#N/A</v>
      </c>
      <c r="M288" t="str">
        <f t="shared" ca="1" si="22"/>
        <v>-</v>
      </c>
      <c r="N288" s="18" t="str">
        <f t="shared" si="23"/>
        <v>K272:L342</v>
      </c>
      <c r="O288" t="str">
        <f t="shared" si="24"/>
        <v>A272:A288</v>
      </c>
    </row>
    <row r="289" spans="1:15">
      <c r="A289" s="18" t="str">
        <f>Charms!K289</f>
        <v>Craft</v>
      </c>
      <c r="B289" t="str">
        <f>Charms!B289</f>
        <v>Ages-Echoing Wisdom</v>
      </c>
      <c r="C289" t="b">
        <f ca="1">OR(Values!$S$98&gt;=Charms!M289,IFERROR(Charms!J289=OFFSET(Values!$A$24,MATCH("S",Values!$T$25:$T$50,0),0),FALSE))</f>
        <v>0</v>
      </c>
      <c r="D289" t="b">
        <f>VLOOKUP(Charms!J289,Values!$A$11:$S$59,19,0)&gt;=Charms!L289</f>
        <v>0</v>
      </c>
      <c r="E289" t="e">
        <f>OR(ISBLANK(Charms!I289),(VLOOKUP(Values!$S$6,Castes!$B$2:$F$25,4,0)=Charms!I289))</f>
        <v>#N/A</v>
      </c>
      <c r="J289" t="e">
        <f t="shared" ca="1" si="21"/>
        <v>#N/A</v>
      </c>
      <c r="K289" s="18" t="e">
        <f t="shared" ca="1" si="20"/>
        <v>#N/A</v>
      </c>
      <c r="L289" t="e">
        <f ca="1">IF(J289,Charms!B289,"")</f>
        <v>#N/A</v>
      </c>
      <c r="M289" t="str">
        <f t="shared" ca="1" si="22"/>
        <v>-</v>
      </c>
      <c r="N289" s="18" t="str">
        <f t="shared" si="23"/>
        <v>K272:L342</v>
      </c>
      <c r="O289" t="str">
        <f t="shared" si="24"/>
        <v>A272:A289</v>
      </c>
    </row>
    <row r="290" spans="1:15">
      <c r="A290" s="18" t="str">
        <f>Charms!K290</f>
        <v>Craft</v>
      </c>
      <c r="B290" t="str">
        <f>Charms!B290</f>
        <v>Dragon Soul Emergence</v>
      </c>
      <c r="C290" t="b">
        <f ca="1">OR(Values!$S$98&gt;=Charms!M290,IFERROR(Charms!J290=OFFSET(Values!$A$24,MATCH("S",Values!$T$25:$T$50,0),0),FALSE))</f>
        <v>0</v>
      </c>
      <c r="D290" t="b">
        <f>VLOOKUP(Charms!J290,Values!$A$11:$S$59,19,0)&gt;=Charms!L290</f>
        <v>0</v>
      </c>
      <c r="E290" t="e">
        <f>OR(ISBLANK(Charms!I290),(VLOOKUP(Values!$S$6,Castes!$B$2:$F$25,4,0)=Charms!I290))</f>
        <v>#N/A</v>
      </c>
      <c r="J290" t="e">
        <f t="shared" ca="1" si="21"/>
        <v>#N/A</v>
      </c>
      <c r="K290" s="18" t="e">
        <f t="shared" ca="1" si="20"/>
        <v>#N/A</v>
      </c>
      <c r="L290" t="e">
        <f ca="1">IF(J290,Charms!B290,"")</f>
        <v>#N/A</v>
      </c>
      <c r="M290" t="str">
        <f t="shared" ca="1" si="22"/>
        <v>-</v>
      </c>
      <c r="N290" s="18" t="str">
        <f t="shared" si="23"/>
        <v>K272:L342</v>
      </c>
      <c r="O290" t="str">
        <f t="shared" si="24"/>
        <v>A272:A290</v>
      </c>
    </row>
    <row r="291" spans="1:15">
      <c r="A291" s="18" t="str">
        <f>Charms!K291</f>
        <v>Craft</v>
      </c>
      <c r="B291" t="str">
        <f>Charms!B291</f>
        <v>Copper Spider Conception</v>
      </c>
      <c r="C291" t="b">
        <f ca="1">OR(Values!$S$98&gt;=Charms!M291,IFERROR(Charms!J291=OFFSET(Values!$A$24,MATCH("S",Values!$T$25:$T$50,0),0),FALSE))</f>
        <v>0</v>
      </c>
      <c r="D291" t="b">
        <f>VLOOKUP(Charms!J291,Values!$A$11:$S$59,19,0)&gt;=Charms!L291</f>
        <v>0</v>
      </c>
      <c r="E291" t="e">
        <f>OR(ISBLANK(Charms!I291),(VLOOKUP(Values!$S$6,Castes!$B$2:$F$25,4,0)=Charms!I291))</f>
        <v>#N/A</v>
      </c>
      <c r="J291" t="e">
        <f t="shared" ca="1" si="21"/>
        <v>#N/A</v>
      </c>
      <c r="K291" s="18" t="e">
        <f t="shared" ca="1" si="20"/>
        <v>#N/A</v>
      </c>
      <c r="L291" t="e">
        <f ca="1">IF(J291,Charms!B291,"")</f>
        <v>#N/A</v>
      </c>
      <c r="M291" t="str">
        <f t="shared" ca="1" si="22"/>
        <v>-</v>
      </c>
      <c r="N291" s="18" t="str">
        <f t="shared" si="23"/>
        <v>K272:L342</v>
      </c>
      <c r="O291" t="str">
        <f t="shared" si="24"/>
        <v>A272:A291</v>
      </c>
    </row>
    <row r="292" spans="1:15">
      <c r="A292" s="18" t="str">
        <f>Charms!K292</f>
        <v>Craft</v>
      </c>
      <c r="B292" t="str">
        <f>Charms!B292</f>
        <v>Clay and Breath Practice</v>
      </c>
      <c r="C292" t="b">
        <f ca="1">OR(Values!$S$98&gt;=Charms!M292,IFERROR(Charms!J292=OFFSET(Values!$A$24,MATCH("S",Values!$T$25:$T$50,0),0),FALSE))</f>
        <v>0</v>
      </c>
      <c r="D292" t="b">
        <f>VLOOKUP(Charms!J292,Values!$A$11:$S$59,19,0)&gt;=Charms!L292</f>
        <v>0</v>
      </c>
      <c r="E292" t="e">
        <f>OR(ISBLANK(Charms!I292),(VLOOKUP(Values!$S$6,Castes!$B$2:$F$25,4,0)=Charms!I292))</f>
        <v>#N/A</v>
      </c>
      <c r="J292" t="e">
        <f t="shared" ca="1" si="21"/>
        <v>#N/A</v>
      </c>
      <c r="K292" s="18" t="e">
        <f t="shared" ca="1" si="20"/>
        <v>#N/A</v>
      </c>
      <c r="L292" t="e">
        <f ca="1">IF(J292,Charms!B292,"")</f>
        <v>#N/A</v>
      </c>
      <c r="M292" t="str">
        <f t="shared" ca="1" si="22"/>
        <v>-</v>
      </c>
      <c r="N292" s="18" t="str">
        <f t="shared" si="23"/>
        <v>K272:L342</v>
      </c>
      <c r="O292" t="str">
        <f t="shared" si="24"/>
        <v>A272:A292</v>
      </c>
    </row>
    <row r="293" spans="1:15">
      <c r="A293" s="18" t="str">
        <f>Charms!K293</f>
        <v>Craft</v>
      </c>
      <c r="B293" t="str">
        <f>Charms!B293</f>
        <v>Spirit-Gathering Industry</v>
      </c>
      <c r="C293" t="b">
        <f ca="1">OR(Values!$S$98&gt;=Charms!M293,IFERROR(Charms!J293=OFFSET(Values!$A$24,MATCH("S",Values!$T$25:$T$50,0),0),FALSE))</f>
        <v>0</v>
      </c>
      <c r="D293" t="b">
        <f>VLOOKUP(Charms!J293,Values!$A$11:$S$59,19,0)&gt;=Charms!L293</f>
        <v>0</v>
      </c>
      <c r="E293" t="e">
        <f>OR(ISBLANK(Charms!I293),(VLOOKUP(Values!$S$6,Castes!$B$2:$F$25,4,0)=Charms!I293))</f>
        <v>#N/A</v>
      </c>
      <c r="J293" t="e">
        <f t="shared" ca="1" si="21"/>
        <v>#N/A</v>
      </c>
      <c r="K293" s="18" t="e">
        <f t="shared" ca="1" si="20"/>
        <v>#N/A</v>
      </c>
      <c r="L293" t="e">
        <f ca="1">IF(J293,Charms!B293,"")</f>
        <v>#N/A</v>
      </c>
      <c r="M293" t="str">
        <f t="shared" ca="1" si="22"/>
        <v>-</v>
      </c>
      <c r="N293" s="18" t="str">
        <f t="shared" si="23"/>
        <v>K272:L342</v>
      </c>
      <c r="O293" t="str">
        <f t="shared" si="24"/>
        <v>A272:A293</v>
      </c>
    </row>
    <row r="294" spans="1:15">
      <c r="A294" s="18" t="str">
        <f>Charms!K294</f>
        <v>Craft</v>
      </c>
      <c r="B294" t="str">
        <f>Charms!B294</f>
        <v>Summit-Piercing Touch</v>
      </c>
      <c r="C294" t="b">
        <f ca="1">OR(Values!$S$98&gt;=Charms!M294,IFERROR(Charms!J294=OFFSET(Values!$A$24,MATCH("S",Values!$T$25:$T$50,0),0),FALSE))</f>
        <v>0</v>
      </c>
      <c r="D294" t="b">
        <f>VLOOKUP(Charms!J294,Values!$A$11:$S$59,19,0)&gt;=Charms!L294</f>
        <v>0</v>
      </c>
      <c r="E294" t="e">
        <f>OR(ISBLANK(Charms!I294),(VLOOKUP(Values!$S$6,Castes!$B$2:$F$25,4,0)=Charms!I294))</f>
        <v>#N/A</v>
      </c>
      <c r="J294" t="e">
        <f t="shared" ca="1" si="21"/>
        <v>#N/A</v>
      </c>
      <c r="K294" s="18" t="e">
        <f t="shared" ca="1" si="20"/>
        <v>#N/A</v>
      </c>
      <c r="L294" t="e">
        <f ca="1">IF(J294,Charms!B294,"")</f>
        <v>#N/A</v>
      </c>
      <c r="M294" t="str">
        <f t="shared" ca="1" si="22"/>
        <v>-</v>
      </c>
      <c r="N294" s="18" t="str">
        <f t="shared" si="23"/>
        <v>K272:L342</v>
      </c>
      <c r="O294" t="str">
        <f t="shared" si="24"/>
        <v>A272:A294</v>
      </c>
    </row>
    <row r="295" spans="1:15">
      <c r="A295" s="18" t="str">
        <f>Charms!K295</f>
        <v>Craft</v>
      </c>
      <c r="B295" t="str">
        <f>Charms!B295</f>
        <v>Vice-Miracle Technique</v>
      </c>
      <c r="C295" t="b">
        <f ca="1">OR(Values!$S$98&gt;=Charms!M295,IFERROR(Charms!J295=OFFSET(Values!$A$24,MATCH("S",Values!$T$25:$T$50,0),0),FALSE))</f>
        <v>0</v>
      </c>
      <c r="D295" t="b">
        <f>VLOOKUP(Charms!J295,Values!$A$11:$S$59,19,0)&gt;=Charms!L295</f>
        <v>0</v>
      </c>
      <c r="E295" t="e">
        <f>OR(ISBLANK(Charms!I295),(VLOOKUP(Values!$S$6,Castes!$B$2:$F$25,4,0)=Charms!I295))</f>
        <v>#N/A</v>
      </c>
      <c r="J295" t="e">
        <f t="shared" ca="1" si="21"/>
        <v>#N/A</v>
      </c>
      <c r="K295" s="18" t="e">
        <f t="shared" ca="1" si="20"/>
        <v>#N/A</v>
      </c>
      <c r="L295" t="e">
        <f ca="1">IF(J295,Charms!B295,"")</f>
        <v>#N/A</v>
      </c>
      <c r="M295" t="str">
        <f t="shared" ca="1" si="22"/>
        <v>-</v>
      </c>
      <c r="N295" s="18" t="str">
        <f t="shared" si="23"/>
        <v>K272:L342</v>
      </c>
      <c r="O295" t="str">
        <f t="shared" si="24"/>
        <v>A272:A295</v>
      </c>
    </row>
    <row r="296" spans="1:15">
      <c r="A296" s="18" t="str">
        <f>Charms!K296</f>
        <v>Craft</v>
      </c>
      <c r="B296" t="str">
        <f>Charms!B296</f>
        <v>Unwinding Gyre Meditation</v>
      </c>
      <c r="C296" t="b">
        <f ca="1">OR(Values!$S$98&gt;=Charms!M296,IFERROR(Charms!J296=OFFSET(Values!$A$24,MATCH("S",Values!$T$25:$T$50,0),0),FALSE))</f>
        <v>0</v>
      </c>
      <c r="D296" t="b">
        <f>VLOOKUP(Charms!J296,Values!$A$11:$S$59,19,0)&gt;=Charms!L296</f>
        <v>0</v>
      </c>
      <c r="E296" t="e">
        <f>OR(ISBLANK(Charms!I296),(VLOOKUP(Values!$S$6,Castes!$B$2:$F$25,4,0)=Charms!I296))</f>
        <v>#N/A</v>
      </c>
      <c r="J296" t="e">
        <f t="shared" ca="1" si="21"/>
        <v>#N/A</v>
      </c>
      <c r="K296" s="18" t="e">
        <f t="shared" ca="1" si="20"/>
        <v>#N/A</v>
      </c>
      <c r="L296" t="e">
        <f ca="1">IF(J296,Charms!B296,"")</f>
        <v>#N/A</v>
      </c>
      <c r="M296" t="str">
        <f t="shared" ca="1" si="22"/>
        <v>-</v>
      </c>
      <c r="N296" s="18" t="str">
        <f t="shared" si="23"/>
        <v>K272:L342</v>
      </c>
      <c r="O296" t="str">
        <f t="shared" si="24"/>
        <v>A272:A296</v>
      </c>
    </row>
    <row r="297" spans="1:15">
      <c r="A297" s="18" t="str">
        <f>Charms!K297</f>
        <v>Craft</v>
      </c>
      <c r="B297" t="str">
        <f>Charms!B297</f>
        <v>God-Forge Within</v>
      </c>
      <c r="C297" t="b">
        <f ca="1">OR(Values!$S$98&gt;=Charms!M297,IFERROR(Charms!J297=OFFSET(Values!$A$24,MATCH("S",Values!$T$25:$T$50,0),0),FALSE))</f>
        <v>0</v>
      </c>
      <c r="D297" t="b">
        <f>VLOOKUP(Charms!J297,Values!$A$11:$S$59,19,0)&gt;=Charms!L297</f>
        <v>0</v>
      </c>
      <c r="E297" t="e">
        <f>OR(ISBLANK(Charms!I297),(VLOOKUP(Values!$S$6,Castes!$B$2:$F$25,4,0)=Charms!I297))</f>
        <v>#N/A</v>
      </c>
      <c r="J297" t="e">
        <f t="shared" ca="1" si="21"/>
        <v>#N/A</v>
      </c>
      <c r="K297" s="18" t="e">
        <f t="shared" ca="1" si="20"/>
        <v>#N/A</v>
      </c>
      <c r="L297" t="e">
        <f ca="1">IF(J297,Charms!B297,"")</f>
        <v>#N/A</v>
      </c>
      <c r="M297" t="str">
        <f t="shared" ca="1" si="22"/>
        <v>-</v>
      </c>
      <c r="N297" s="18" t="str">
        <f t="shared" si="23"/>
        <v>K272:L342</v>
      </c>
      <c r="O297" t="str">
        <f t="shared" si="24"/>
        <v>A272:A297</v>
      </c>
    </row>
    <row r="298" spans="1:15">
      <c r="A298" s="18" t="str">
        <f>Charms!K298</f>
        <v>Craft</v>
      </c>
      <c r="B298" t="str">
        <f>Charms!B298</f>
        <v>Exegesis of the Distilled Form</v>
      </c>
      <c r="C298" t="b">
        <f ca="1">OR(Values!$S$98&gt;=Charms!M298,IFERROR(Charms!J298=OFFSET(Values!$A$24,MATCH("S",Values!$T$25:$T$50,0),0),FALSE))</f>
        <v>0</v>
      </c>
      <c r="D298" t="b">
        <f>VLOOKUP(Charms!J298,Values!$A$11:$S$59,19,0)&gt;=Charms!L298</f>
        <v>0</v>
      </c>
      <c r="E298" t="e">
        <f>OR(ISBLANK(Charms!I298),(VLOOKUP(Values!$S$6,Castes!$B$2:$F$25,4,0)=Charms!I298))</f>
        <v>#N/A</v>
      </c>
      <c r="J298" t="e">
        <f t="shared" ca="1" si="21"/>
        <v>#N/A</v>
      </c>
      <c r="K298" s="18" t="e">
        <f t="shared" ca="1" si="20"/>
        <v>#N/A</v>
      </c>
      <c r="L298" t="e">
        <f ca="1">IF(J298,Charms!B298,"")</f>
        <v>#N/A</v>
      </c>
      <c r="M298" t="str">
        <f t="shared" ca="1" si="22"/>
        <v>-</v>
      </c>
      <c r="N298" s="18" t="str">
        <f t="shared" si="23"/>
        <v>K272:L342</v>
      </c>
      <c r="O298" t="str">
        <f t="shared" si="24"/>
        <v>A272:A298</v>
      </c>
    </row>
    <row r="299" spans="1:15">
      <c r="A299" s="18" t="str">
        <f>Charms!K299</f>
        <v>Craft</v>
      </c>
      <c r="B299" t="str">
        <f>Charms!B299</f>
        <v>Spirit-Stoking Elevation</v>
      </c>
      <c r="C299" t="b">
        <f ca="1">OR(Values!$S$98&gt;=Charms!M299,IFERROR(Charms!J299=OFFSET(Values!$A$24,MATCH("S",Values!$T$25:$T$50,0),0),FALSE))</f>
        <v>0</v>
      </c>
      <c r="D299" t="b">
        <f>VLOOKUP(Charms!J299,Values!$A$11:$S$59,19,0)&gt;=Charms!L299</f>
        <v>0</v>
      </c>
      <c r="E299" t="e">
        <f>OR(ISBLANK(Charms!I299),(VLOOKUP(Values!$S$6,Castes!$B$2:$F$25,4,0)=Charms!I299))</f>
        <v>#N/A</v>
      </c>
      <c r="J299" t="e">
        <f t="shared" ca="1" si="21"/>
        <v>#N/A</v>
      </c>
      <c r="K299" s="18" t="e">
        <f t="shared" ca="1" si="20"/>
        <v>#N/A</v>
      </c>
      <c r="L299" t="e">
        <f ca="1">IF(J299,Charms!B299,"")</f>
        <v>#N/A</v>
      </c>
      <c r="M299" t="str">
        <f t="shared" ca="1" si="22"/>
        <v>-</v>
      </c>
      <c r="N299" s="18" t="str">
        <f t="shared" si="23"/>
        <v>K272:L342</v>
      </c>
      <c r="O299" t="str">
        <f t="shared" si="24"/>
        <v>A272:A299</v>
      </c>
    </row>
    <row r="300" spans="1:15">
      <c r="A300" s="18" t="str">
        <f>Charms!K300</f>
        <v>Craft</v>
      </c>
      <c r="B300" t="str">
        <f>Charms!B300</f>
        <v>Sun-Heart Tenacity</v>
      </c>
      <c r="C300" t="b">
        <f ca="1">OR(Values!$S$98&gt;=Charms!M300,IFERROR(Charms!J300=OFFSET(Values!$A$24,MATCH("S",Values!$T$25:$T$50,0),0),FALSE))</f>
        <v>0</v>
      </c>
      <c r="D300" t="b">
        <f>VLOOKUP(Charms!J300,Values!$A$11:$S$59,19,0)&gt;=Charms!L300</f>
        <v>0</v>
      </c>
      <c r="E300" t="e">
        <f>OR(ISBLANK(Charms!I300),(VLOOKUP(Values!$S$6,Castes!$B$2:$F$25,4,0)=Charms!I300))</f>
        <v>#N/A</v>
      </c>
      <c r="J300" t="e">
        <f t="shared" ca="1" si="21"/>
        <v>#N/A</v>
      </c>
      <c r="K300" s="18" t="e">
        <f t="shared" ca="1" si="20"/>
        <v>#N/A</v>
      </c>
      <c r="L300" t="e">
        <f ca="1">IF(J300,Charms!B300,"")</f>
        <v>#N/A</v>
      </c>
      <c r="M300" t="str">
        <f t="shared" ca="1" si="22"/>
        <v>-</v>
      </c>
      <c r="N300" s="18" t="str">
        <f t="shared" si="23"/>
        <v>K272:L342</v>
      </c>
      <c r="O300" t="str">
        <f t="shared" si="24"/>
        <v>A272:A300</v>
      </c>
    </row>
    <row r="301" spans="1:15">
      <c r="A301" s="18" t="str">
        <f>Charms!K301</f>
        <v>Craft</v>
      </c>
      <c r="B301" t="str">
        <f>Charms!B301</f>
        <v>Wonder-Forging Genius</v>
      </c>
      <c r="C301" t="b">
        <f ca="1">OR(Values!$S$98&gt;=Charms!M301,IFERROR(Charms!J301=OFFSET(Values!$A$24,MATCH("S",Values!$T$25:$T$50,0),0),FALSE))</f>
        <v>0</v>
      </c>
      <c r="D301" t="b">
        <f>VLOOKUP(Charms!J301,Values!$A$11:$S$59,19,0)&gt;=Charms!L301</f>
        <v>0</v>
      </c>
      <c r="E301" t="e">
        <f>OR(ISBLANK(Charms!I301),(VLOOKUP(Values!$S$6,Castes!$B$2:$F$25,4,0)=Charms!I301))</f>
        <v>#N/A</v>
      </c>
      <c r="J301" t="e">
        <f t="shared" ca="1" si="21"/>
        <v>#N/A</v>
      </c>
      <c r="K301" s="18" t="e">
        <f t="shared" ca="1" si="20"/>
        <v>#N/A</v>
      </c>
      <c r="L301" t="e">
        <f ca="1">IF(J301,Charms!B301,"")</f>
        <v>#N/A</v>
      </c>
      <c r="M301" t="str">
        <f t="shared" ca="1" si="22"/>
        <v>-</v>
      </c>
      <c r="N301" s="18" t="str">
        <f t="shared" si="23"/>
        <v>K272:L342</v>
      </c>
      <c r="O301" t="str">
        <f t="shared" si="24"/>
        <v>A272:A301</v>
      </c>
    </row>
    <row r="302" spans="1:15">
      <c r="A302" s="18" t="str">
        <f>Charms!K302</f>
        <v>Craft</v>
      </c>
      <c r="B302" t="str">
        <f>Charms!B302</f>
        <v>Dual Magnus Prana</v>
      </c>
      <c r="C302" t="b">
        <f ca="1">OR(Values!$S$98&gt;=Charms!M302,IFERROR(Charms!J302=OFFSET(Values!$A$24,MATCH("S",Values!$T$25:$T$50,0),0),FALSE))</f>
        <v>0</v>
      </c>
      <c r="D302" t="b">
        <f>VLOOKUP(Charms!J302,Values!$A$11:$S$59,19,0)&gt;=Charms!L302</f>
        <v>0</v>
      </c>
      <c r="E302" t="e">
        <f>OR(ISBLANK(Charms!I302),(VLOOKUP(Values!$S$6,Castes!$B$2:$F$25,4,0)=Charms!I302))</f>
        <v>#N/A</v>
      </c>
      <c r="J302" t="e">
        <f t="shared" ca="1" si="21"/>
        <v>#N/A</v>
      </c>
      <c r="K302" s="18" t="e">
        <f t="shared" ca="1" si="20"/>
        <v>#N/A</v>
      </c>
      <c r="L302" t="e">
        <f ca="1">IF(J302,Charms!B302,"")</f>
        <v>#N/A</v>
      </c>
      <c r="M302" t="str">
        <f t="shared" ca="1" si="22"/>
        <v>-</v>
      </c>
      <c r="N302" s="18" t="str">
        <f t="shared" si="23"/>
        <v>K272:L342</v>
      </c>
      <c r="O302" t="str">
        <f t="shared" si="24"/>
        <v>A272:A302</v>
      </c>
    </row>
    <row r="303" spans="1:15">
      <c r="A303" s="18" t="str">
        <f>Charms!K303</f>
        <v>Craft</v>
      </c>
      <c r="B303" t="str">
        <f>Charms!B303</f>
        <v>Chains Fall Away</v>
      </c>
      <c r="C303" t="b">
        <f ca="1">OR(Values!$S$98&gt;=Charms!M303,IFERROR(Charms!J303=OFFSET(Values!$A$24,MATCH("S",Values!$T$25:$T$50,0),0),FALSE))</f>
        <v>1</v>
      </c>
      <c r="D303" t="b">
        <f>VLOOKUP(Charms!J303,Values!$A$11:$S$59,19,0)&gt;=Charms!L303</f>
        <v>0</v>
      </c>
      <c r="E303" t="e">
        <f>OR(ISBLANK(Charms!I303),(VLOOKUP(Values!$S$6,Castes!$B$2:$F$25,4,0)=Charms!I303))</f>
        <v>#N/A</v>
      </c>
      <c r="J303" t="e">
        <f t="shared" ca="1" si="21"/>
        <v>#N/A</v>
      </c>
      <c r="K303" s="18" t="e">
        <f t="shared" ca="1" si="20"/>
        <v>#N/A</v>
      </c>
      <c r="L303" t="e">
        <f ca="1">IF(J303,Charms!B303,"")</f>
        <v>#N/A</v>
      </c>
      <c r="M303" t="str">
        <f t="shared" ca="1" si="22"/>
        <v>-</v>
      </c>
      <c r="N303" s="18" t="str">
        <f t="shared" si="23"/>
        <v>K272:L342</v>
      </c>
      <c r="O303" t="str">
        <f t="shared" si="24"/>
        <v>A272:A303</v>
      </c>
    </row>
    <row r="304" spans="1:15">
      <c r="A304" s="18" t="str">
        <f>Charms!K304</f>
        <v>Craft</v>
      </c>
      <c r="B304" t="str">
        <f>Charms!B304</f>
        <v>Peerless Paragon of Craft</v>
      </c>
      <c r="C304" t="b">
        <f ca="1">OR(Values!$S$98&gt;=Charms!M304,IFERROR(Charms!J304=OFFSET(Values!$A$24,MATCH("S",Values!$T$25:$T$50,0),0),FALSE))</f>
        <v>1</v>
      </c>
      <c r="D304" t="b">
        <f>VLOOKUP(Charms!J304,Values!$A$11:$S$59,19,0)&gt;=Charms!L304</f>
        <v>0</v>
      </c>
      <c r="E304" t="e">
        <f>OR(ISBLANK(Charms!I304),(VLOOKUP(Values!$S$6,Castes!$B$2:$F$25,4,0)=Charms!I304))</f>
        <v>#N/A</v>
      </c>
      <c r="J304" t="e">
        <f t="shared" ca="1" si="21"/>
        <v>#N/A</v>
      </c>
      <c r="K304" s="18" t="e">
        <f t="shared" ca="1" si="20"/>
        <v>#N/A</v>
      </c>
      <c r="L304" t="e">
        <f ca="1">IF(J304,Charms!B304,"")</f>
        <v>#N/A</v>
      </c>
      <c r="M304" t="str">
        <f t="shared" ca="1" si="22"/>
        <v>-</v>
      </c>
      <c r="N304" s="18" t="str">
        <f t="shared" si="23"/>
        <v>K272:L342</v>
      </c>
      <c r="O304" t="str">
        <f t="shared" si="24"/>
        <v>A272:A304</v>
      </c>
    </row>
    <row r="305" spans="1:15">
      <c r="A305" s="18" t="str">
        <f>Charms!K305</f>
        <v>Craft</v>
      </c>
      <c r="B305" t="str">
        <f>Charms!B305</f>
        <v>Supreme Perfection of Craft</v>
      </c>
      <c r="C305" t="b">
        <f ca="1">OR(Values!$S$98&gt;=Charms!M305,IFERROR(Charms!J305=OFFSET(Values!$A$24,MATCH("S",Values!$T$25:$T$50,0),0),FALSE))</f>
        <v>0</v>
      </c>
      <c r="D305" t="b">
        <f>VLOOKUP(Charms!J305,Values!$A$11:$S$59,19,0)&gt;=Charms!L305</f>
        <v>0</v>
      </c>
      <c r="E305" t="e">
        <f>OR(ISBLANK(Charms!I305),(VLOOKUP(Values!$S$6,Castes!$B$2:$F$25,4,0)=Charms!I305))</f>
        <v>#N/A</v>
      </c>
      <c r="J305" t="e">
        <f t="shared" ca="1" si="21"/>
        <v>#N/A</v>
      </c>
      <c r="K305" s="18" t="e">
        <f t="shared" ca="1" si="20"/>
        <v>#N/A</v>
      </c>
      <c r="L305" t="e">
        <f ca="1">IF(J305,Charms!B305,"")</f>
        <v>#N/A</v>
      </c>
      <c r="M305" t="str">
        <f t="shared" ca="1" si="22"/>
        <v>-</v>
      </c>
      <c r="N305" s="18" t="str">
        <f t="shared" si="23"/>
        <v>K272:L342</v>
      </c>
      <c r="O305" t="str">
        <f t="shared" si="24"/>
        <v>A272:A305</v>
      </c>
    </row>
    <row r="306" spans="1:15">
      <c r="A306" s="18" t="str">
        <f>Charms!K306</f>
        <v>Craft</v>
      </c>
      <c r="B306" t="str">
        <f>Charms!B306</f>
        <v>Thousand-Forge Hands</v>
      </c>
      <c r="C306" t="b">
        <f ca="1">OR(Values!$S$98&gt;=Charms!M306,IFERROR(Charms!J306=OFFSET(Values!$A$24,MATCH("S",Values!$T$25:$T$50,0),0),FALSE))</f>
        <v>0</v>
      </c>
      <c r="D306" t="b">
        <f>VLOOKUP(Charms!J306,Values!$A$11:$S$59,19,0)&gt;=Charms!L306</f>
        <v>0</v>
      </c>
      <c r="E306" t="e">
        <f>OR(ISBLANK(Charms!I306),(VLOOKUP(Values!$S$6,Castes!$B$2:$F$25,4,0)=Charms!I306))</f>
        <v>#N/A</v>
      </c>
      <c r="J306" t="e">
        <f t="shared" ca="1" si="21"/>
        <v>#N/A</v>
      </c>
      <c r="K306" s="18" t="e">
        <f t="shared" ca="1" si="20"/>
        <v>#N/A</v>
      </c>
      <c r="L306" t="e">
        <f ca="1">IF(J306,Charms!B306,"")</f>
        <v>#N/A</v>
      </c>
      <c r="M306" t="str">
        <f t="shared" ca="1" si="22"/>
        <v>-</v>
      </c>
      <c r="N306" s="18" t="str">
        <f t="shared" si="23"/>
        <v>K272:L342</v>
      </c>
      <c r="O306" t="str">
        <f t="shared" si="24"/>
        <v>A272:A306</v>
      </c>
    </row>
    <row r="307" spans="1:15">
      <c r="A307" s="18" t="str">
        <f>Charms!K307</f>
        <v>Craft</v>
      </c>
      <c r="B307" t="str">
        <f>Charms!B307</f>
        <v>Divine Transcendence of Craft</v>
      </c>
      <c r="C307" t="b">
        <f ca="1">OR(Values!$S$98&gt;=Charms!M307,IFERROR(Charms!J307=OFFSET(Values!$A$24,MATCH("S",Values!$T$25:$T$50,0),0),FALSE))</f>
        <v>0</v>
      </c>
      <c r="D307" t="b">
        <f>VLOOKUP(Charms!J307,Values!$A$11:$S$59,19,0)&gt;=Charms!L307</f>
        <v>0</v>
      </c>
      <c r="E307" t="e">
        <f>OR(ISBLANK(Charms!I307),(VLOOKUP(Values!$S$6,Castes!$B$2:$F$25,4,0)=Charms!I307))</f>
        <v>#N/A</v>
      </c>
      <c r="J307" t="e">
        <f t="shared" ca="1" si="21"/>
        <v>#N/A</v>
      </c>
      <c r="K307" s="18" t="e">
        <f t="shared" ca="1" si="20"/>
        <v>#N/A</v>
      </c>
      <c r="L307" t="e">
        <f ca="1">IF(J307,Charms!B307,"")</f>
        <v>#N/A</v>
      </c>
      <c r="M307" t="str">
        <f t="shared" ca="1" si="22"/>
        <v>-</v>
      </c>
      <c r="N307" s="18" t="str">
        <f t="shared" si="23"/>
        <v>K272:L342</v>
      </c>
      <c r="O307" t="str">
        <f t="shared" si="24"/>
        <v>A272:A307</v>
      </c>
    </row>
    <row r="308" spans="1:15">
      <c r="A308" s="18" t="str">
        <f>Charms!K308</f>
        <v>Craft</v>
      </c>
      <c r="B308" t="str">
        <f>Charms!B308</f>
        <v>Words-as-Workshop Method</v>
      </c>
      <c r="C308" t="b">
        <f ca="1">OR(Values!$S$98&gt;=Charms!M308,IFERROR(Charms!J308=OFFSET(Values!$A$24,MATCH("S",Values!$T$25:$T$50,0),0),FALSE))</f>
        <v>0</v>
      </c>
      <c r="D308" t="b">
        <f>VLOOKUP(Charms!J308,Values!$A$11:$S$59,19,0)&gt;=Charms!L308</f>
        <v>0</v>
      </c>
      <c r="E308" t="e">
        <f>OR(ISBLANK(Charms!I308),(VLOOKUP(Values!$S$6,Castes!$B$2:$F$25,4,0)=Charms!I308))</f>
        <v>#N/A</v>
      </c>
      <c r="J308" t="e">
        <f t="shared" ca="1" si="21"/>
        <v>#N/A</v>
      </c>
      <c r="K308" s="18" t="e">
        <f t="shared" ca="1" si="20"/>
        <v>#N/A</v>
      </c>
      <c r="L308" t="e">
        <f ca="1">IF(J308,Charms!B308,"")</f>
        <v>#N/A</v>
      </c>
      <c r="M308" t="str">
        <f t="shared" ca="1" si="22"/>
        <v>-</v>
      </c>
      <c r="N308" s="18" t="str">
        <f t="shared" si="23"/>
        <v>K272:L342</v>
      </c>
      <c r="O308" t="str">
        <f t="shared" si="24"/>
        <v>A272:A308</v>
      </c>
    </row>
    <row r="309" spans="1:15">
      <c r="A309" s="18" t="str">
        <f>Charms!K309</f>
        <v>Craft</v>
      </c>
      <c r="B309" t="str">
        <f>Charms!B309</f>
        <v>Shattering Grasp</v>
      </c>
      <c r="C309" t="b">
        <f ca="1">OR(Values!$S$98&gt;=Charms!M309,IFERROR(Charms!J309=OFFSET(Values!$A$24,MATCH("S",Values!$T$25:$T$50,0),0),FALSE))</f>
        <v>1</v>
      </c>
      <c r="D309" t="b">
        <f>VLOOKUP(Charms!J309,Values!$A$11:$S$59,19,0)&gt;=Charms!L309</f>
        <v>0</v>
      </c>
      <c r="E309" t="e">
        <f>OR(ISBLANK(Charms!I309),(VLOOKUP(Values!$S$6,Castes!$B$2:$F$25,4,0)=Charms!I309))</f>
        <v>#N/A</v>
      </c>
      <c r="J309" t="e">
        <f t="shared" ca="1" si="21"/>
        <v>#N/A</v>
      </c>
      <c r="K309" s="18" t="e">
        <f t="shared" ca="1" si="20"/>
        <v>#N/A</v>
      </c>
      <c r="L309" t="e">
        <f ca="1">IF(J309,Charms!B309,"")</f>
        <v>#N/A</v>
      </c>
      <c r="M309" t="str">
        <f t="shared" ca="1" si="22"/>
        <v>-</v>
      </c>
      <c r="N309" s="18" t="str">
        <f t="shared" si="23"/>
        <v>K272:L342</v>
      </c>
      <c r="O309" t="str">
        <f t="shared" si="24"/>
        <v>A272:A309</v>
      </c>
    </row>
    <row r="310" spans="1:15">
      <c r="A310" s="18" t="str">
        <f>Charms!K310</f>
        <v>Craft</v>
      </c>
      <c r="B310" t="str">
        <f>Charms!B310</f>
        <v>Durability-Enhancing Technique</v>
      </c>
      <c r="C310" t="b">
        <f ca="1">OR(Values!$S$98&gt;=Charms!M310,IFERROR(Charms!J310=OFFSET(Values!$A$24,MATCH("S",Values!$T$25:$T$50,0),0),FALSE))</f>
        <v>1</v>
      </c>
      <c r="D310" t="b">
        <f>VLOOKUP(Charms!J310,Values!$A$11:$S$59,19,0)&gt;=Charms!L310</f>
        <v>0</v>
      </c>
      <c r="E310" t="e">
        <f>OR(ISBLANK(Charms!I310),(VLOOKUP(Values!$S$6,Castes!$B$2:$F$25,4,0)=Charms!I310))</f>
        <v>#N/A</v>
      </c>
      <c r="J310" t="e">
        <f t="shared" ca="1" si="21"/>
        <v>#N/A</v>
      </c>
      <c r="K310" s="18" t="e">
        <f t="shared" ca="1" si="20"/>
        <v>#N/A</v>
      </c>
      <c r="L310" t="e">
        <f ca="1">IF(J310,Charms!B310,"")</f>
        <v>#N/A</v>
      </c>
      <c r="M310" t="str">
        <f t="shared" ca="1" si="22"/>
        <v>-</v>
      </c>
      <c r="N310" s="18" t="str">
        <f t="shared" si="23"/>
        <v>K272:L342</v>
      </c>
      <c r="O310" t="str">
        <f t="shared" si="24"/>
        <v>A272:A310</v>
      </c>
    </row>
    <row r="311" spans="1:15">
      <c r="A311" s="18" t="str">
        <f>Charms!K311</f>
        <v>Craft</v>
      </c>
      <c r="B311" t="str">
        <f>Charms!B311</f>
        <v>Time Heals Nothing</v>
      </c>
      <c r="C311" t="b">
        <f ca="1">OR(Values!$S$98&gt;=Charms!M311,IFERROR(Charms!J311=OFFSET(Values!$A$24,MATCH("S",Values!$T$25:$T$50,0),0),FALSE))</f>
        <v>1</v>
      </c>
      <c r="D311" t="b">
        <f>VLOOKUP(Charms!J311,Values!$A$11:$S$59,19,0)&gt;=Charms!L311</f>
        <v>0</v>
      </c>
      <c r="E311" t="e">
        <f>OR(ISBLANK(Charms!I311),(VLOOKUP(Values!$S$6,Castes!$B$2:$F$25,4,0)=Charms!I311))</f>
        <v>#N/A</v>
      </c>
      <c r="J311" t="e">
        <f t="shared" ca="1" si="21"/>
        <v>#N/A</v>
      </c>
      <c r="K311" s="18" t="e">
        <f t="shared" ca="1" si="20"/>
        <v>#N/A</v>
      </c>
      <c r="L311" t="e">
        <f ca="1">IF(J311,Charms!B311,"")</f>
        <v>#N/A</v>
      </c>
      <c r="M311" t="str">
        <f t="shared" ca="1" si="22"/>
        <v>-</v>
      </c>
      <c r="N311" s="18" t="str">
        <f t="shared" si="23"/>
        <v>K272:L342</v>
      </c>
      <c r="O311" t="str">
        <f t="shared" si="24"/>
        <v>A272:A311</v>
      </c>
    </row>
    <row r="312" spans="1:15">
      <c r="A312" s="18" t="str">
        <f>Charms!K312</f>
        <v>Craft</v>
      </c>
      <c r="B312" t="str">
        <f>Charms!B312</f>
        <v>Blood Diamond Sweat</v>
      </c>
      <c r="C312" t="b">
        <f ca="1">OR(Values!$S$98&gt;=Charms!M312,IFERROR(Charms!J312=OFFSET(Values!$A$24,MATCH("S",Values!$T$25:$T$50,0),0),FALSE))</f>
        <v>1</v>
      </c>
      <c r="D312" t="b">
        <f>VLOOKUP(Charms!J312,Values!$A$11:$S$59,19,0)&gt;=Charms!L312</f>
        <v>0</v>
      </c>
      <c r="E312" t="e">
        <f>OR(ISBLANK(Charms!I312),(VLOOKUP(Values!$S$6,Castes!$B$2:$F$25,4,0)=Charms!I312))</f>
        <v>#N/A</v>
      </c>
      <c r="J312" t="e">
        <f t="shared" ca="1" si="21"/>
        <v>#N/A</v>
      </c>
      <c r="K312" s="18" t="e">
        <f t="shared" ca="1" si="20"/>
        <v>#N/A</v>
      </c>
      <c r="L312" t="e">
        <f ca="1">IF(J312,Charms!B312,"")</f>
        <v>#N/A</v>
      </c>
      <c r="M312" t="str">
        <f t="shared" ca="1" si="22"/>
        <v>-</v>
      </c>
      <c r="N312" s="18" t="str">
        <f t="shared" si="23"/>
        <v>K272:L342</v>
      </c>
      <c r="O312" t="str">
        <f t="shared" si="24"/>
        <v>A272:A312</v>
      </c>
    </row>
    <row r="313" spans="1:15">
      <c r="A313" s="18" t="str">
        <f>Charms!K313</f>
        <v>Craft</v>
      </c>
      <c r="B313" t="str">
        <f>Charms!B313</f>
        <v>Object-Strengthening Touch</v>
      </c>
      <c r="C313" t="b">
        <f ca="1">OR(Values!$S$98&gt;=Charms!M313,IFERROR(Charms!J313=OFFSET(Values!$A$24,MATCH("S",Values!$T$25:$T$50,0),0),FALSE))</f>
        <v>0</v>
      </c>
      <c r="D313" t="b">
        <f>VLOOKUP(Charms!J313,Values!$A$11:$S$59,19,0)&gt;=Charms!L313</f>
        <v>0</v>
      </c>
      <c r="E313" t="e">
        <f>OR(ISBLANK(Charms!I313),(VLOOKUP(Values!$S$6,Castes!$B$2:$F$25,4,0)=Charms!I313))</f>
        <v>#N/A</v>
      </c>
      <c r="J313" t="e">
        <f t="shared" ca="1" si="21"/>
        <v>#N/A</v>
      </c>
      <c r="K313" s="18" t="e">
        <f t="shared" ca="1" si="20"/>
        <v>#N/A</v>
      </c>
      <c r="L313" t="e">
        <f ca="1">IF(J313,Charms!B313,"")</f>
        <v>#N/A</v>
      </c>
      <c r="M313" t="str">
        <f t="shared" ca="1" si="22"/>
        <v>-</v>
      </c>
      <c r="N313" s="18" t="str">
        <f t="shared" si="23"/>
        <v>K272:L342</v>
      </c>
      <c r="O313" t="str">
        <f t="shared" si="24"/>
        <v>A272:A313</v>
      </c>
    </row>
    <row r="314" spans="1:15">
      <c r="A314" s="18" t="str">
        <f>Charms!K314</f>
        <v>Craft</v>
      </c>
      <c r="B314" t="str">
        <f>Charms!B314</f>
        <v>Chaos-Resistance Preparation</v>
      </c>
      <c r="C314" t="b">
        <f ca="1">OR(Values!$S$98&gt;=Charms!M314,IFERROR(Charms!J314=OFFSET(Values!$A$24,MATCH("S",Values!$T$25:$T$50,0),0),FALSE))</f>
        <v>0</v>
      </c>
      <c r="D314" t="b">
        <f>VLOOKUP(Charms!J314,Values!$A$11:$S$59,19,0)&gt;=Charms!L314</f>
        <v>0</v>
      </c>
      <c r="E314" t="e">
        <f>OR(ISBLANK(Charms!I314),(VLOOKUP(Values!$S$6,Castes!$B$2:$F$25,4,0)=Charms!I314))</f>
        <v>#N/A</v>
      </c>
      <c r="J314" t="e">
        <f t="shared" ca="1" si="21"/>
        <v>#N/A</v>
      </c>
      <c r="K314" s="18" t="e">
        <f t="shared" ca="1" si="20"/>
        <v>#N/A</v>
      </c>
      <c r="L314" t="e">
        <f ca="1">IF(J314,Charms!B314,"")</f>
        <v>#N/A</v>
      </c>
      <c r="M314" t="str">
        <f t="shared" ca="1" si="22"/>
        <v>-</v>
      </c>
      <c r="N314" s="18" t="str">
        <f t="shared" si="23"/>
        <v>K272:L342</v>
      </c>
      <c r="O314" t="str">
        <f t="shared" si="24"/>
        <v>A272:A314</v>
      </c>
    </row>
    <row r="315" spans="1:15">
      <c r="A315" s="18" t="str">
        <f>Charms!K315</f>
        <v>Craft</v>
      </c>
      <c r="B315" t="str">
        <f>Charms!B315</f>
        <v>Breach-Healing Method</v>
      </c>
      <c r="C315" t="b">
        <f ca="1">OR(Values!$S$98&gt;=Charms!M315,IFERROR(Charms!J315=OFFSET(Values!$A$24,MATCH("S",Values!$T$25:$T$50,0),0),FALSE))</f>
        <v>0</v>
      </c>
      <c r="D315" t="b">
        <f>VLOOKUP(Charms!J315,Values!$A$11:$S$59,19,0)&gt;=Charms!L315</f>
        <v>0</v>
      </c>
      <c r="E315" t="e">
        <f>OR(ISBLANK(Charms!I315),(VLOOKUP(Values!$S$6,Castes!$B$2:$F$25,4,0)=Charms!I315))</f>
        <v>#N/A</v>
      </c>
      <c r="J315" t="e">
        <f t="shared" ca="1" si="21"/>
        <v>#N/A</v>
      </c>
      <c r="K315" s="18" t="e">
        <f t="shared" ca="1" si="20"/>
        <v>#N/A</v>
      </c>
      <c r="L315" t="e">
        <f ca="1">IF(J315,Charms!B315,"")</f>
        <v>#N/A</v>
      </c>
      <c r="M315" t="str">
        <f t="shared" ca="1" si="22"/>
        <v>-</v>
      </c>
      <c r="N315" s="18" t="str">
        <f t="shared" si="23"/>
        <v>K272:L342</v>
      </c>
      <c r="O315" t="str">
        <f t="shared" si="24"/>
        <v>A272:A315</v>
      </c>
    </row>
    <row r="316" spans="1:15">
      <c r="A316" s="18" t="str">
        <f>Charms!K316</f>
        <v>Craft</v>
      </c>
      <c r="B316" t="str">
        <f>Charms!B316</f>
        <v>The Art of Permanence</v>
      </c>
      <c r="C316" t="b">
        <f ca="1">OR(Values!$S$98&gt;=Charms!M316,IFERROR(Charms!J316=OFFSET(Values!$A$24,MATCH("S",Values!$T$25:$T$50,0),0),FALSE))</f>
        <v>0</v>
      </c>
      <c r="D316" t="b">
        <f>VLOOKUP(Charms!J316,Values!$A$11:$S$59,19,0)&gt;=Charms!L316</f>
        <v>0</v>
      </c>
      <c r="E316" t="e">
        <f>OR(ISBLANK(Charms!I316),(VLOOKUP(Values!$S$6,Castes!$B$2:$F$25,4,0)=Charms!I316))</f>
        <v>#N/A</v>
      </c>
      <c r="J316" t="e">
        <f t="shared" ca="1" si="21"/>
        <v>#N/A</v>
      </c>
      <c r="K316" s="18" t="e">
        <f t="shared" ca="1" si="20"/>
        <v>#N/A</v>
      </c>
      <c r="L316" t="e">
        <f ca="1">IF(J316,Charms!B316,"")</f>
        <v>#N/A</v>
      </c>
      <c r="M316" t="str">
        <f t="shared" ca="1" si="22"/>
        <v>-</v>
      </c>
      <c r="N316" s="18" t="str">
        <f t="shared" si="23"/>
        <v>K272:L342</v>
      </c>
      <c r="O316" t="str">
        <f t="shared" si="24"/>
        <v>A272:A316</v>
      </c>
    </row>
    <row r="317" spans="1:15">
      <c r="A317" s="18" t="str">
        <f>Charms!K317</f>
        <v>Craft</v>
      </c>
      <c r="B317" t="str">
        <f>Charms!B317</f>
        <v>Realizing the Form Supernal</v>
      </c>
      <c r="C317" t="b">
        <f ca="1">OR(Values!$S$98&gt;=Charms!M317,IFERROR(Charms!J317=OFFSET(Values!$A$24,MATCH("S",Values!$T$25:$T$50,0),0),FALSE))</f>
        <v>0</v>
      </c>
      <c r="D317" t="b">
        <f>VLOOKUP(Charms!J317,Values!$A$11:$S$59,19,0)&gt;=Charms!L317</f>
        <v>0</v>
      </c>
      <c r="E317" t="e">
        <f>OR(ISBLANK(Charms!I317),(VLOOKUP(Values!$S$6,Castes!$B$2:$F$25,4,0)=Charms!I317))</f>
        <v>#N/A</v>
      </c>
      <c r="J317" t="e">
        <f t="shared" ca="1" si="21"/>
        <v>#N/A</v>
      </c>
      <c r="K317" s="18" t="e">
        <f t="shared" ca="1" si="20"/>
        <v>#N/A</v>
      </c>
      <c r="L317" t="e">
        <f ca="1">IF(J317,Charms!B317,"")</f>
        <v>#N/A</v>
      </c>
      <c r="M317" t="str">
        <f t="shared" ca="1" si="22"/>
        <v>-</v>
      </c>
      <c r="N317" s="18" t="str">
        <f t="shared" si="23"/>
        <v>K272:L342</v>
      </c>
      <c r="O317" t="str">
        <f t="shared" si="24"/>
        <v>A272:A317</v>
      </c>
    </row>
    <row r="318" spans="1:15">
      <c r="A318" s="18" t="str">
        <f>Charms!K318</f>
        <v>Craft</v>
      </c>
      <c r="B318" t="str">
        <f>Charms!B318</f>
        <v>Celestial Reforging Technique</v>
      </c>
      <c r="C318" t="b">
        <f ca="1">OR(Values!$S$98&gt;=Charms!M318,IFERROR(Charms!J318=OFFSET(Values!$A$24,MATCH("S",Values!$T$25:$T$50,0),0),FALSE))</f>
        <v>0</v>
      </c>
      <c r="D318" t="b">
        <f>VLOOKUP(Charms!J318,Values!$A$11:$S$59,19,0)&gt;=Charms!L318</f>
        <v>0</v>
      </c>
      <c r="E318" t="e">
        <f>OR(ISBLANK(Charms!I318),(VLOOKUP(Values!$S$6,Castes!$B$2:$F$25,4,0)=Charms!I318))</f>
        <v>#N/A</v>
      </c>
      <c r="J318" t="e">
        <f t="shared" ca="1" si="21"/>
        <v>#N/A</v>
      </c>
      <c r="K318" s="18" t="e">
        <f t="shared" ca="1" si="20"/>
        <v>#N/A</v>
      </c>
      <c r="L318" t="e">
        <f ca="1">IF(J318,Charms!B318,"")</f>
        <v>#N/A</v>
      </c>
      <c r="M318" t="str">
        <f t="shared" ca="1" si="22"/>
        <v>-</v>
      </c>
      <c r="N318" s="18" t="str">
        <f t="shared" si="23"/>
        <v>K272:L342</v>
      </c>
      <c r="O318" t="str">
        <f t="shared" si="24"/>
        <v>A272:A318</v>
      </c>
    </row>
    <row r="319" spans="1:15">
      <c r="A319" s="18" t="str">
        <f>Charms!K319</f>
        <v>Craft</v>
      </c>
      <c r="B319" t="str">
        <f>Charms!B319</f>
        <v>Essence-Forging Kata</v>
      </c>
      <c r="C319" t="b">
        <f ca="1">OR(Values!$S$98&gt;=Charms!M319,IFERROR(Charms!J319=OFFSET(Values!$A$24,MATCH("S",Values!$T$25:$T$50,0),0),FALSE))</f>
        <v>0</v>
      </c>
      <c r="D319" t="b">
        <f>VLOOKUP(Charms!J319,Values!$A$11:$S$59,19,0)&gt;=Charms!L319</f>
        <v>0</v>
      </c>
      <c r="E319" t="e">
        <f>OR(ISBLANK(Charms!I319),(VLOOKUP(Values!$S$6,Castes!$B$2:$F$25,4,0)=Charms!I319))</f>
        <v>#N/A</v>
      </c>
      <c r="J319" t="e">
        <f t="shared" ca="1" si="21"/>
        <v>#N/A</v>
      </c>
      <c r="K319" s="18" t="e">
        <f t="shared" ca="1" si="20"/>
        <v>#N/A</v>
      </c>
      <c r="L319" t="e">
        <f ca="1">IF(J319,Charms!B319,"")</f>
        <v>#N/A</v>
      </c>
      <c r="M319" t="str">
        <f t="shared" ca="1" si="22"/>
        <v>-</v>
      </c>
      <c r="N319" s="18" t="str">
        <f t="shared" si="23"/>
        <v>K272:L342</v>
      </c>
      <c r="O319" t="str">
        <f t="shared" si="24"/>
        <v>A272:A319</v>
      </c>
    </row>
    <row r="320" spans="1:15">
      <c r="A320" s="18" t="str">
        <f>Charms!K320</f>
        <v>Craft</v>
      </c>
      <c r="B320" t="str">
        <f>Charms!B320</f>
        <v>Mind-Expanding Meditation</v>
      </c>
      <c r="C320" t="b">
        <f ca="1">OR(Values!$S$98&gt;=Charms!M320,IFERROR(Charms!J320=OFFSET(Values!$A$24,MATCH("S",Values!$T$25:$T$50,0),0),FALSE))</f>
        <v>0</v>
      </c>
      <c r="D320" t="b">
        <f>VLOOKUP(Charms!J320,Values!$A$11:$S$59,19,0)&gt;=Charms!L320</f>
        <v>0</v>
      </c>
      <c r="E320" t="e">
        <f>OR(ISBLANK(Charms!I320),(VLOOKUP(Values!$S$6,Castes!$B$2:$F$25,4,0)=Charms!I320))</f>
        <v>#N/A</v>
      </c>
      <c r="J320" t="e">
        <f t="shared" ca="1" si="21"/>
        <v>#N/A</v>
      </c>
      <c r="K320" s="18" t="e">
        <f t="shared" ca="1" si="20"/>
        <v>#N/A</v>
      </c>
      <c r="L320" t="e">
        <f ca="1">IF(J320,Charms!B320,"")</f>
        <v>#N/A</v>
      </c>
      <c r="M320" t="str">
        <f t="shared" ca="1" si="22"/>
        <v>-</v>
      </c>
      <c r="N320" s="18" t="str">
        <f t="shared" si="23"/>
        <v>K272:L342</v>
      </c>
      <c r="O320" t="str">
        <f t="shared" si="24"/>
        <v>A272:A320</v>
      </c>
    </row>
    <row r="321" spans="1:15">
      <c r="A321" s="18" t="str">
        <f>Charms!K321</f>
        <v>Craft</v>
      </c>
      <c r="B321" t="str">
        <f>Charms!B321</f>
        <v>Inspiration-Renewing Vision</v>
      </c>
      <c r="C321" t="b">
        <f ca="1">OR(Values!$S$98&gt;=Charms!M321,IFERROR(Charms!J321=OFFSET(Values!$A$24,MATCH("S",Values!$T$25:$T$50,0),0),FALSE))</f>
        <v>0</v>
      </c>
      <c r="D321" t="b">
        <f>VLOOKUP(Charms!J321,Values!$A$11:$S$59,19,0)&gt;=Charms!L321</f>
        <v>0</v>
      </c>
      <c r="E321" t="e">
        <f>OR(ISBLANK(Charms!I321),(VLOOKUP(Values!$S$6,Castes!$B$2:$F$25,4,0)=Charms!I321))</f>
        <v>#N/A</v>
      </c>
      <c r="J321" t="e">
        <f t="shared" ca="1" si="21"/>
        <v>#N/A</v>
      </c>
      <c r="K321" s="18" t="e">
        <f t="shared" ca="1" si="20"/>
        <v>#N/A</v>
      </c>
      <c r="L321" t="e">
        <f ca="1">IF(J321,Charms!B321,"")</f>
        <v>#N/A</v>
      </c>
      <c r="M321" t="str">
        <f t="shared" ca="1" si="22"/>
        <v>-</v>
      </c>
      <c r="N321" s="18" t="str">
        <f t="shared" si="23"/>
        <v>K272:L342</v>
      </c>
      <c r="O321" t="str">
        <f t="shared" si="24"/>
        <v>A272:A321</v>
      </c>
    </row>
    <row r="322" spans="1:15">
      <c r="A322" s="18" t="str">
        <f>Charms!K322</f>
        <v>Craft</v>
      </c>
      <c r="B322" t="str">
        <f>Charms!B322</f>
        <v>Divine Inspiration Technique</v>
      </c>
      <c r="C322" t="b">
        <f ca="1">OR(Values!$S$98&gt;=Charms!M322,IFERROR(Charms!J322=OFFSET(Values!$A$24,MATCH("S",Values!$T$25:$T$50,0),0),FALSE))</f>
        <v>0</v>
      </c>
      <c r="D322" t="b">
        <f>VLOOKUP(Charms!J322,Values!$A$11:$S$59,19,0)&gt;=Charms!L322</f>
        <v>0</v>
      </c>
      <c r="E322" t="e">
        <f>OR(ISBLANK(Charms!I322),(VLOOKUP(Values!$S$6,Castes!$B$2:$F$25,4,0)=Charms!I322))</f>
        <v>#N/A</v>
      </c>
      <c r="J322" t="e">
        <f t="shared" ca="1" si="21"/>
        <v>#N/A</v>
      </c>
      <c r="K322" s="18" t="e">
        <f t="shared" ref="K322:K385" ca="1" si="25">IF(L322="","",COUNTIF(INDIRECT("J"&amp;MATCH(A322,A:A,0)&amp;":J"&amp;ROW()),J322))</f>
        <v>#N/A</v>
      </c>
      <c r="L322" t="e">
        <f ca="1">IF(J322,Charms!B322,"")</f>
        <v>#N/A</v>
      </c>
      <c r="M322" t="str">
        <f t="shared" ca="1" si="22"/>
        <v>-</v>
      </c>
      <c r="N322" s="18" t="str">
        <f t="shared" si="23"/>
        <v>K272:L342</v>
      </c>
      <c r="O322" t="str">
        <f t="shared" si="24"/>
        <v>A272:A322</v>
      </c>
    </row>
    <row r="323" spans="1:15">
      <c r="A323" s="18" t="str">
        <f>Charms!K323</f>
        <v>Craft</v>
      </c>
      <c r="B323" t="str">
        <f>Charms!B323</f>
        <v>Horizon-Unveiling Insight</v>
      </c>
      <c r="C323" t="b">
        <f ca="1">OR(Values!$S$98&gt;=Charms!M323,IFERROR(Charms!J323=OFFSET(Values!$A$24,MATCH("S",Values!$T$25:$T$50,0),0),FALSE))</f>
        <v>0</v>
      </c>
      <c r="D323" t="b">
        <f>VLOOKUP(Charms!J323,Values!$A$11:$S$59,19,0)&gt;=Charms!L323</f>
        <v>0</v>
      </c>
      <c r="E323" t="e">
        <f>OR(ISBLANK(Charms!I323),(VLOOKUP(Values!$S$6,Castes!$B$2:$F$25,4,0)=Charms!I323))</f>
        <v>#N/A</v>
      </c>
      <c r="J323" t="e">
        <f t="shared" ref="J323:J386" ca="1" si="26">(C323+D323+E323+F323+G323+H323+I323)=3</f>
        <v>#N/A</v>
      </c>
      <c r="K323" s="18" t="e">
        <f t="shared" ca="1" si="25"/>
        <v>#N/A</v>
      </c>
      <c r="L323" t="e">
        <f ca="1">IF(J323,Charms!B323,"")</f>
        <v>#N/A</v>
      </c>
      <c r="M323" t="str">
        <f t="shared" ref="M323:M386" ca="1" si="27">IFERROR(VLOOKUP(COUNTIF(INDIRECT(O323),A323),INDIRECT(N323),2,0),"-")</f>
        <v>-</v>
      </c>
      <c r="N323" s="18" t="str">
        <f t="shared" ref="N323:N386" si="28">"K"&amp;MATCH(A323,A:A,0)&amp;":L"&amp;(MATCH(A323,A:A,0)+COUNTIF(A:A,A323)-1)</f>
        <v>K272:L342</v>
      </c>
      <c r="O323" t="str">
        <f t="shared" ref="O323:O386" si="29">"A"&amp;MATCH(A323,A:A,0)&amp;":A"&amp;ROW()</f>
        <v>A272:A323</v>
      </c>
    </row>
    <row r="324" spans="1:15">
      <c r="A324" s="18" t="str">
        <f>Charms!K324</f>
        <v>Craft</v>
      </c>
      <c r="B324" t="str">
        <f>Charms!B324</f>
        <v>Holistic Miracle Understanding</v>
      </c>
      <c r="C324" t="b">
        <f ca="1">OR(Values!$S$98&gt;=Charms!M324,IFERROR(Charms!J324=OFFSET(Values!$A$24,MATCH("S",Values!$T$25:$T$50,0),0),FALSE))</f>
        <v>0</v>
      </c>
      <c r="D324" t="b">
        <f>VLOOKUP(Charms!J324,Values!$A$11:$S$59,19,0)&gt;=Charms!L324</f>
        <v>0</v>
      </c>
      <c r="E324" t="e">
        <f>OR(ISBLANK(Charms!I324),(VLOOKUP(Values!$S$6,Castes!$B$2:$F$25,4,0)=Charms!I324))</f>
        <v>#N/A</v>
      </c>
      <c r="J324" t="e">
        <f t="shared" ca="1" si="26"/>
        <v>#N/A</v>
      </c>
      <c r="K324" s="18" t="e">
        <f t="shared" ca="1" si="25"/>
        <v>#N/A</v>
      </c>
      <c r="L324" t="e">
        <f ca="1">IF(J324,Charms!B324,"")</f>
        <v>#N/A</v>
      </c>
      <c r="M324" t="str">
        <f t="shared" ca="1" si="27"/>
        <v>-</v>
      </c>
      <c r="N324" s="18" t="str">
        <f t="shared" si="28"/>
        <v>K272:L342</v>
      </c>
      <c r="O324" t="str">
        <f t="shared" si="29"/>
        <v>A272:A324</v>
      </c>
    </row>
    <row r="325" spans="1:15">
      <c r="A325" s="18" t="str">
        <f>Charms!K325</f>
        <v>Craft</v>
      </c>
      <c r="B325" t="str">
        <f>Charms!B325</f>
        <v>Ever-Ready Innovation Discipline</v>
      </c>
      <c r="C325" t="b">
        <f ca="1">OR(Values!$S$98&gt;=Charms!M325,IFERROR(Charms!J325=OFFSET(Values!$A$24,MATCH("S",Values!$T$25:$T$50,0),0),FALSE))</f>
        <v>0</v>
      </c>
      <c r="D325" t="b">
        <f>VLOOKUP(Charms!J325,Values!$A$11:$S$59,19,0)&gt;=Charms!L325</f>
        <v>0</v>
      </c>
      <c r="E325" t="e">
        <f>OR(ISBLANK(Charms!I325),(VLOOKUP(Values!$S$6,Castes!$B$2:$F$25,4,0)=Charms!I325))</f>
        <v>#N/A</v>
      </c>
      <c r="J325" t="e">
        <f t="shared" ca="1" si="26"/>
        <v>#N/A</v>
      </c>
      <c r="K325" s="18" t="e">
        <f t="shared" ca="1" si="25"/>
        <v>#N/A</v>
      </c>
      <c r="L325" t="e">
        <f ca="1">IF(J325,Charms!B325,"")</f>
        <v>#N/A</v>
      </c>
      <c r="M325" t="str">
        <f t="shared" ca="1" si="27"/>
        <v>-</v>
      </c>
      <c r="N325" s="18" t="str">
        <f t="shared" si="28"/>
        <v>K272:L342</v>
      </c>
      <c r="O325" t="str">
        <f t="shared" si="29"/>
        <v>A272:A325</v>
      </c>
    </row>
    <row r="326" spans="1:15">
      <c r="A326" s="18" t="str">
        <f>Charms!K326</f>
        <v>Craft</v>
      </c>
      <c r="B326" t="str">
        <f>Charms!B326</f>
        <v>Masterful Dragon-Artisan Expertise</v>
      </c>
      <c r="C326" t="b">
        <f ca="1">OR(Values!$S$98&gt;=Charms!M326,IFERROR(Charms!J326=OFFSET(Values!$A$24,MATCH("S",Values!$T$25:$T$50,0),0),FALSE))</f>
        <v>1</v>
      </c>
      <c r="D326" t="b">
        <f>VLOOKUP(Charms!J326,Values!$A$11:$S$59,19,0)&gt;=Charms!L326</f>
        <v>0</v>
      </c>
      <c r="E326" t="e">
        <f>OR(ISBLANK(Charms!I326),(VLOOKUP(Values!$S$6,Castes!$B$2:$F$25,4,0)=Charms!I326))</f>
        <v>#N/A</v>
      </c>
      <c r="J326" t="e">
        <f t="shared" ca="1" si="26"/>
        <v>#N/A</v>
      </c>
      <c r="K326" s="18" t="e">
        <f t="shared" ca="1" si="25"/>
        <v>#N/A</v>
      </c>
      <c r="L326" t="e">
        <f ca="1">IF(J326,Charms!B326,"")</f>
        <v>#N/A</v>
      </c>
      <c r="M326" t="str">
        <f t="shared" ca="1" si="27"/>
        <v>-</v>
      </c>
      <c r="N326" s="18" t="str">
        <f t="shared" si="28"/>
        <v>K272:L342</v>
      </c>
      <c r="O326" t="str">
        <f t="shared" si="29"/>
        <v>A272:A326</v>
      </c>
    </row>
    <row r="327" spans="1:15">
      <c r="A327" s="18" t="str">
        <f>Charms!K327</f>
        <v>Craft</v>
      </c>
      <c r="B327" t="str">
        <f>Charms!B327</f>
        <v>Stone-Carving Fingers</v>
      </c>
      <c r="C327" t="b">
        <f ca="1">OR(Values!$S$98&gt;=Charms!M327,IFERROR(Charms!J327=OFFSET(Values!$A$24,MATCH("S",Values!$T$25:$T$50,0),0),FALSE))</f>
        <v>1</v>
      </c>
      <c r="D327" t="b">
        <f>VLOOKUP(Charms!J327,Values!$A$11:$S$59,19,0)&gt;=Charms!L327</f>
        <v>0</v>
      </c>
      <c r="E327" t="e">
        <f>OR(ISBLANK(Charms!I327),(VLOOKUP(Values!$S$6,Castes!$B$2:$F$25,4,0)=Charms!I327))</f>
        <v>#N/A</v>
      </c>
      <c r="J327" t="e">
        <f t="shared" ca="1" si="26"/>
        <v>#N/A</v>
      </c>
      <c r="K327" s="18" t="e">
        <f t="shared" ca="1" si="25"/>
        <v>#N/A</v>
      </c>
      <c r="L327" t="e">
        <f ca="1">IF(J327,Charms!B327,"")</f>
        <v>#N/A</v>
      </c>
      <c r="M327" t="str">
        <f t="shared" ca="1" si="27"/>
        <v>-</v>
      </c>
      <c r="N327" s="18" t="str">
        <f t="shared" si="28"/>
        <v>K272:L342</v>
      </c>
      <c r="O327" t="str">
        <f t="shared" si="29"/>
        <v>A272:A327</v>
      </c>
    </row>
    <row r="328" spans="1:15">
      <c r="A328" s="18" t="str">
        <f>Charms!K328</f>
        <v>Craft</v>
      </c>
      <c r="B328" t="str">
        <f>Charms!B328</f>
        <v>Flaw-Finding Examination</v>
      </c>
      <c r="C328" t="b">
        <f ca="1">OR(Values!$S$98&gt;=Charms!M328,IFERROR(Charms!J328=OFFSET(Values!$A$24,MATCH("S",Values!$T$25:$T$50,0),0),FALSE))</f>
        <v>1</v>
      </c>
      <c r="D328" t="b">
        <f>VLOOKUP(Charms!J328,Values!$A$11:$S$59,19,0)&gt;=Charms!L328</f>
        <v>0</v>
      </c>
      <c r="E328" t="e">
        <f>OR(ISBLANK(Charms!I328),(VLOOKUP(Values!$S$6,Castes!$B$2:$F$25,4,0)=Charms!I328))</f>
        <v>#N/A</v>
      </c>
      <c r="J328" t="e">
        <f t="shared" ca="1" si="26"/>
        <v>#N/A</v>
      </c>
      <c r="K328" s="18" t="e">
        <f t="shared" ca="1" si="25"/>
        <v>#N/A</v>
      </c>
      <c r="L328" t="e">
        <f ca="1">IF(J328,Charms!B328,"")</f>
        <v>#N/A</v>
      </c>
      <c r="M328" t="str">
        <f t="shared" ca="1" si="27"/>
        <v>-</v>
      </c>
      <c r="N328" s="18" t="str">
        <f t="shared" si="28"/>
        <v>K272:L342</v>
      </c>
      <c r="O328" t="str">
        <f t="shared" si="29"/>
        <v>A272:A328</v>
      </c>
    </row>
    <row r="329" spans="1:15">
      <c r="A329" s="18" t="str">
        <f>Charms!K329</f>
        <v>Craft</v>
      </c>
      <c r="B329" t="str">
        <f>Charms!B329</f>
        <v>Shaping Hand Style</v>
      </c>
      <c r="C329" t="b">
        <f ca="1">OR(Values!$S$98&gt;=Charms!M329,IFERROR(Charms!J329=OFFSET(Values!$A$24,MATCH("S",Values!$T$25:$T$50,0),0),FALSE))</f>
        <v>0</v>
      </c>
      <c r="D329" t="b">
        <f>VLOOKUP(Charms!J329,Values!$A$11:$S$59,19,0)&gt;=Charms!L329</f>
        <v>0</v>
      </c>
      <c r="E329" t="e">
        <f>OR(ISBLANK(Charms!I329),(VLOOKUP(Values!$S$6,Castes!$B$2:$F$25,4,0)=Charms!I329))</f>
        <v>#N/A</v>
      </c>
      <c r="J329" t="e">
        <f t="shared" ca="1" si="26"/>
        <v>#N/A</v>
      </c>
      <c r="K329" s="18" t="e">
        <f t="shared" ca="1" si="25"/>
        <v>#N/A</v>
      </c>
      <c r="L329" t="e">
        <f ca="1">IF(J329,Charms!B329,"")</f>
        <v>#N/A</v>
      </c>
      <c r="M329" t="str">
        <f t="shared" ca="1" si="27"/>
        <v>-</v>
      </c>
      <c r="N329" s="18" t="str">
        <f t="shared" si="28"/>
        <v>K272:L342</v>
      </c>
      <c r="O329" t="str">
        <f t="shared" si="29"/>
        <v>A272:A329</v>
      </c>
    </row>
    <row r="330" spans="1:15">
      <c r="A330" s="18" t="str">
        <f>Charms!K330</f>
        <v>Craft</v>
      </c>
      <c r="B330" t="str">
        <f>Charms!B330</f>
        <v>Stones-from-Rubble Restoration</v>
      </c>
      <c r="C330" t="b">
        <f ca="1">OR(Values!$S$98&gt;=Charms!M330,IFERROR(Charms!J330=OFFSET(Values!$A$24,MATCH("S",Values!$T$25:$T$50,0),0),FALSE))</f>
        <v>0</v>
      </c>
      <c r="D330" t="b">
        <f>VLOOKUP(Charms!J330,Values!$A$11:$S$59,19,0)&gt;=Charms!L330</f>
        <v>0</v>
      </c>
      <c r="E330" t="e">
        <f>OR(ISBLANK(Charms!I330),(VLOOKUP(Values!$S$6,Castes!$B$2:$F$25,4,0)=Charms!I330))</f>
        <v>#N/A</v>
      </c>
      <c r="J330" t="e">
        <f t="shared" ca="1" si="26"/>
        <v>#N/A</v>
      </c>
      <c r="K330" s="18" t="e">
        <f t="shared" ca="1" si="25"/>
        <v>#N/A</v>
      </c>
      <c r="L330" t="e">
        <f ca="1">IF(J330,Charms!B330,"")</f>
        <v>#N/A</v>
      </c>
      <c r="M330" t="str">
        <f t="shared" ca="1" si="27"/>
        <v>-</v>
      </c>
      <c r="N330" s="18" t="str">
        <f t="shared" si="28"/>
        <v>K272:L342</v>
      </c>
      <c r="O330" t="str">
        <f t="shared" si="29"/>
        <v>A272:A330</v>
      </c>
    </row>
    <row r="331" spans="1:15">
      <c r="A331" s="18" t="str">
        <f>Charms!K331</f>
        <v>Craft</v>
      </c>
      <c r="B331" t="str">
        <f>Charms!B331</f>
        <v>Passion-Inflaming Artistry</v>
      </c>
      <c r="C331" t="b">
        <f ca="1">OR(Values!$S$98&gt;=Charms!M331,IFERROR(Charms!J331=OFFSET(Values!$A$24,MATCH("S",Values!$T$25:$T$50,0),0),FALSE))</f>
        <v>0</v>
      </c>
      <c r="D331" t="b">
        <f>VLOOKUP(Charms!J331,Values!$A$11:$S$59,19,0)&gt;=Charms!L331</f>
        <v>0</v>
      </c>
      <c r="E331" t="e">
        <f>OR(ISBLANK(Charms!I331),(VLOOKUP(Values!$S$6,Castes!$B$2:$F$25,4,0)=Charms!I331))</f>
        <v>#N/A</v>
      </c>
      <c r="J331" t="e">
        <f t="shared" ca="1" si="26"/>
        <v>#N/A</v>
      </c>
      <c r="K331" s="18" t="e">
        <f t="shared" ca="1" si="25"/>
        <v>#N/A</v>
      </c>
      <c r="L331" t="e">
        <f ca="1">IF(J331,Charms!B331,"")</f>
        <v>#N/A</v>
      </c>
      <c r="M331" t="str">
        <f t="shared" ca="1" si="27"/>
        <v>-</v>
      </c>
      <c r="N331" s="18" t="str">
        <f t="shared" si="28"/>
        <v>K272:L342</v>
      </c>
      <c r="O331" t="str">
        <f t="shared" si="29"/>
        <v>A272:A331</v>
      </c>
    </row>
    <row r="332" spans="1:15">
      <c r="A332" s="18" t="str">
        <f>Charms!K332</f>
        <v>Craft</v>
      </c>
      <c r="B332" t="str">
        <f>Charms!B332</f>
        <v>Talents-to-Obols Refinement</v>
      </c>
      <c r="C332" t="b">
        <f ca="1">OR(Values!$S$98&gt;=Charms!M332,IFERROR(Charms!J332=OFFSET(Values!$A$24,MATCH("S",Values!$T$25:$T$50,0),0),FALSE))</f>
        <v>0</v>
      </c>
      <c r="D332" t="b">
        <f>VLOOKUP(Charms!J332,Values!$A$11:$S$59,19,0)&gt;=Charms!L332</f>
        <v>0</v>
      </c>
      <c r="E332" t="e">
        <f>OR(ISBLANK(Charms!I332),(VLOOKUP(Values!$S$6,Castes!$B$2:$F$25,4,0)=Charms!I332))</f>
        <v>#N/A</v>
      </c>
      <c r="J332" t="e">
        <f t="shared" ca="1" si="26"/>
        <v>#N/A</v>
      </c>
      <c r="K332" s="18" t="e">
        <f t="shared" ca="1" si="25"/>
        <v>#N/A</v>
      </c>
      <c r="L332" t="e">
        <f ca="1">IF(J332,Charms!B332,"")</f>
        <v>#N/A</v>
      </c>
      <c r="M332" t="str">
        <f t="shared" ca="1" si="27"/>
        <v>-</v>
      </c>
      <c r="N332" s="18" t="str">
        <f t="shared" si="28"/>
        <v>K272:L342</v>
      </c>
      <c r="O332" t="str">
        <f t="shared" si="29"/>
        <v>A272:A332</v>
      </c>
    </row>
    <row r="333" spans="1:15">
      <c r="A333" s="18" t="str">
        <f>Charms!K333</f>
        <v>Craft</v>
      </c>
      <c r="B333" t="str">
        <f>Charms!B333</f>
        <v>Touch of Unmaking</v>
      </c>
      <c r="C333" t="b">
        <f ca="1">OR(Values!$S$98&gt;=Charms!M333,IFERROR(Charms!J333=OFFSET(Values!$A$24,MATCH("S",Values!$T$25:$T$50,0),0),FALSE))</f>
        <v>0</v>
      </c>
      <c r="D333" t="b">
        <f>VLOOKUP(Charms!J333,Values!$A$11:$S$59,19,0)&gt;=Charms!L333</f>
        <v>0</v>
      </c>
      <c r="E333" t="e">
        <f>OR(ISBLANK(Charms!I333),(VLOOKUP(Values!$S$6,Castes!$B$2:$F$25,4,0)=Charms!I333))</f>
        <v>#N/A</v>
      </c>
      <c r="J333" t="e">
        <f t="shared" ca="1" si="26"/>
        <v>#N/A</v>
      </c>
      <c r="K333" s="18" t="e">
        <f t="shared" ca="1" si="25"/>
        <v>#N/A</v>
      </c>
      <c r="L333" t="e">
        <f ca="1">IF(J333,Charms!B333,"")</f>
        <v>#N/A</v>
      </c>
      <c r="M333" t="str">
        <f t="shared" ca="1" si="27"/>
        <v>-</v>
      </c>
      <c r="N333" s="18" t="str">
        <f t="shared" si="28"/>
        <v>K272:L342</v>
      </c>
      <c r="O333" t="str">
        <f t="shared" si="29"/>
        <v>A272:A333</v>
      </c>
    </row>
    <row r="334" spans="1:15">
      <c r="A334" s="18" t="str">
        <f>Charms!K334</f>
        <v>Craft</v>
      </c>
      <c r="B334" t="str">
        <f>Charms!B334</f>
        <v>Flawless Facet Realization</v>
      </c>
      <c r="C334" t="b">
        <f ca="1">OR(Values!$S$98&gt;=Charms!M334,IFERROR(Charms!J334=OFFSET(Values!$A$24,MATCH("S",Values!$T$25:$T$50,0),0),FALSE))</f>
        <v>0</v>
      </c>
      <c r="D334" t="b">
        <f>VLOOKUP(Charms!J334,Values!$A$11:$S$59,19,0)&gt;=Charms!L334</f>
        <v>0</v>
      </c>
      <c r="E334" t="e">
        <f>OR(ISBLANK(Charms!I334),(VLOOKUP(Values!$S$6,Castes!$B$2:$F$25,4,0)=Charms!I334))</f>
        <v>#N/A</v>
      </c>
      <c r="J334" t="e">
        <f t="shared" ca="1" si="26"/>
        <v>#N/A</v>
      </c>
      <c r="K334" s="18" t="e">
        <f t="shared" ca="1" si="25"/>
        <v>#N/A</v>
      </c>
      <c r="L334" t="e">
        <f ca="1">IF(J334,Charms!B334,"")</f>
        <v>#N/A</v>
      </c>
      <c r="M334" t="str">
        <f t="shared" ca="1" si="27"/>
        <v>-</v>
      </c>
      <c r="N334" s="18" t="str">
        <f t="shared" si="28"/>
        <v>K272:L342</v>
      </c>
      <c r="O334" t="str">
        <f t="shared" si="29"/>
        <v>A272:A334</v>
      </c>
    </row>
    <row r="335" spans="1:15">
      <c r="A335" s="18" t="str">
        <f>Charms!K335</f>
        <v>Craft</v>
      </c>
      <c r="B335" t="str">
        <f>Charms!B335</f>
        <v>Strike the Dragon-Anvil</v>
      </c>
      <c r="C335" t="b">
        <f ca="1">OR(Values!$S$98&gt;=Charms!M335,IFERROR(Charms!J335=OFFSET(Values!$A$24,MATCH("S",Values!$T$25:$T$50,0),0),FALSE))</f>
        <v>0</v>
      </c>
      <c r="D335" t="b">
        <f>VLOOKUP(Charms!J335,Values!$A$11:$S$59,19,0)&gt;=Charms!L335</f>
        <v>0</v>
      </c>
      <c r="E335" t="e">
        <f>OR(ISBLANK(Charms!I335),(VLOOKUP(Values!$S$6,Castes!$B$2:$F$25,4,0)=Charms!I335))</f>
        <v>#N/A</v>
      </c>
      <c r="J335" t="e">
        <f t="shared" ca="1" si="26"/>
        <v>#N/A</v>
      </c>
      <c r="K335" s="18" t="e">
        <f t="shared" ca="1" si="25"/>
        <v>#N/A</v>
      </c>
      <c r="L335" t="e">
        <f ca="1">IF(J335,Charms!B335,"")</f>
        <v>#N/A</v>
      </c>
      <c r="M335" t="str">
        <f t="shared" ca="1" si="27"/>
        <v>-</v>
      </c>
      <c r="N335" s="18" t="str">
        <f t="shared" si="28"/>
        <v>K272:L342</v>
      </c>
      <c r="O335" t="str">
        <f t="shared" si="29"/>
        <v>A272:A335</v>
      </c>
    </row>
    <row r="336" spans="1:15">
      <c r="A336" s="18" t="str">
        <f>Charms!K336</f>
        <v>Craft</v>
      </c>
      <c r="B336" t="str">
        <f>Charms!B336</f>
        <v>Ephemeral Form Composition</v>
      </c>
      <c r="C336" t="b">
        <f ca="1">OR(Values!$S$98&gt;=Charms!M336,IFERROR(Charms!J336=OFFSET(Values!$A$24,MATCH("S",Values!$T$25:$T$50,0),0),FALSE))</f>
        <v>0</v>
      </c>
      <c r="D336" t="b">
        <f>VLOOKUP(Charms!J336,Values!$A$11:$S$59,19,0)&gt;=Charms!L336</f>
        <v>0</v>
      </c>
      <c r="E336" t="e">
        <f>OR(ISBLANK(Charms!I336),(VLOOKUP(Values!$S$6,Castes!$B$2:$F$25,4,0)=Charms!I336))</f>
        <v>#N/A</v>
      </c>
      <c r="J336" t="e">
        <f t="shared" ca="1" si="26"/>
        <v>#N/A</v>
      </c>
      <c r="K336" s="18" t="e">
        <f t="shared" ca="1" si="25"/>
        <v>#N/A</v>
      </c>
      <c r="L336" t="e">
        <f ca="1">IF(J336,Charms!B336,"")</f>
        <v>#N/A</v>
      </c>
      <c r="M336" t="str">
        <f t="shared" ca="1" si="27"/>
        <v>-</v>
      </c>
      <c r="N336" s="18" t="str">
        <f t="shared" si="28"/>
        <v>K272:L342</v>
      </c>
      <c r="O336" t="str">
        <f t="shared" si="29"/>
        <v>A272:A336</v>
      </c>
    </row>
    <row r="337" spans="1:15">
      <c r="A337" s="18" t="str">
        <f>Charms!K337</f>
        <v>Craft</v>
      </c>
      <c r="B337" t="str">
        <f>Charms!B337</f>
        <v>Eternal Omphalos Forge</v>
      </c>
      <c r="C337" t="b">
        <f ca="1">OR(Values!$S$98&gt;=Charms!M337,IFERROR(Charms!J337=OFFSET(Values!$A$24,MATCH("S",Values!$T$25:$T$50,0),0),FALSE))</f>
        <v>0</v>
      </c>
      <c r="D337" t="b">
        <f>VLOOKUP(Charms!J337,Values!$A$11:$S$59,19,0)&gt;=Charms!L337</f>
        <v>0</v>
      </c>
      <c r="E337" t="e">
        <f>OR(ISBLANK(Charms!I337),(VLOOKUP(Values!$S$6,Castes!$B$2:$F$25,4,0)=Charms!I337))</f>
        <v>#N/A</v>
      </c>
      <c r="J337" t="e">
        <f t="shared" ca="1" si="26"/>
        <v>#N/A</v>
      </c>
      <c r="K337" s="18" t="e">
        <f t="shared" ca="1" si="25"/>
        <v>#N/A</v>
      </c>
      <c r="L337" t="e">
        <f ca="1">IF(J337,Charms!B337,"")</f>
        <v>#N/A</v>
      </c>
      <c r="M337" t="str">
        <f t="shared" ca="1" si="27"/>
        <v>-</v>
      </c>
      <c r="N337" s="18" t="str">
        <f t="shared" si="28"/>
        <v>K272:L342</v>
      </c>
      <c r="O337" t="str">
        <f t="shared" si="29"/>
        <v>A272:A337</v>
      </c>
    </row>
    <row r="338" spans="1:15">
      <c r="A338" s="18" t="str">
        <f>Charms!K338</f>
        <v>Craft</v>
      </c>
      <c r="B338" t="str">
        <f>Charms!B338</f>
        <v>Blazing Dragon-Smith Arete</v>
      </c>
      <c r="C338" t="b">
        <f ca="1">OR(Values!$S$98&gt;=Charms!M338,IFERROR(Charms!J338=OFFSET(Values!$A$24,MATCH("S",Values!$T$25:$T$50,0),0),FALSE))</f>
        <v>0</v>
      </c>
      <c r="D338" t="b">
        <f>VLOOKUP(Charms!J338,Values!$A$11:$S$59,19,0)&gt;=Charms!L338</f>
        <v>0</v>
      </c>
      <c r="E338" t="e">
        <f>OR(ISBLANK(Charms!I338),(VLOOKUP(Values!$S$6,Castes!$B$2:$F$25,4,0)=Charms!I338))</f>
        <v>#N/A</v>
      </c>
      <c r="J338" t="e">
        <f t="shared" ca="1" si="26"/>
        <v>#N/A</v>
      </c>
      <c r="K338" s="18" t="e">
        <f t="shared" ca="1" si="25"/>
        <v>#N/A</v>
      </c>
      <c r="L338" t="e">
        <f ca="1">IF(J338,Charms!B338,"")</f>
        <v>#N/A</v>
      </c>
      <c r="M338" t="str">
        <f t="shared" ca="1" si="27"/>
        <v>-</v>
      </c>
      <c r="N338" s="18" t="str">
        <f t="shared" si="28"/>
        <v>K272:L342</v>
      </c>
      <c r="O338" t="str">
        <f t="shared" si="29"/>
        <v>A272:A338</v>
      </c>
    </row>
    <row r="339" spans="1:15">
      <c r="A339" s="18" t="str">
        <f>Charms!K339</f>
        <v>Craft</v>
      </c>
      <c r="B339" t="str">
        <f>Charms!B339</f>
        <v>Fortune-from-Flotsam Ingenuity</v>
      </c>
      <c r="C339" t="b">
        <f ca="1">OR(Values!$S$98&gt;=Charms!M339,IFERROR(Charms!J339=OFFSET(Values!$A$24,MATCH("S",Values!$T$25:$T$50,0),0),FALSE))</f>
        <v>0</v>
      </c>
      <c r="D339" t="b">
        <f>VLOOKUP(Charms!J339,Values!$A$11:$S$59,19,0)&gt;=Charms!L339</f>
        <v>0</v>
      </c>
      <c r="E339" t="e">
        <f>OR(ISBLANK(Charms!I339),(VLOOKUP(Values!$S$6,Castes!$B$2:$F$25,4,0)=Charms!I339))</f>
        <v>#N/A</v>
      </c>
      <c r="J339" t="e">
        <f t="shared" ca="1" si="26"/>
        <v>#N/A</v>
      </c>
      <c r="K339" s="18" t="e">
        <f t="shared" ca="1" si="25"/>
        <v>#N/A</v>
      </c>
      <c r="L339" t="e">
        <f ca="1">IF(J339,Charms!B339,"")</f>
        <v>#N/A</v>
      </c>
      <c r="M339" t="str">
        <f t="shared" ca="1" si="27"/>
        <v>-</v>
      </c>
      <c r="N339" s="18" t="str">
        <f t="shared" si="28"/>
        <v>K272:L342</v>
      </c>
      <c r="O339" t="str">
        <f t="shared" si="29"/>
        <v>A272:A339</v>
      </c>
    </row>
    <row r="340" spans="1:15">
      <c r="A340" s="18" t="str">
        <f>Charms!K340</f>
        <v>Craft</v>
      </c>
      <c r="B340" t="str">
        <f>Charms!B340</f>
        <v>Imago-Hatching Realization</v>
      </c>
      <c r="C340" t="b">
        <f ca="1">OR(Values!$S$98&gt;=Charms!M340,IFERROR(Charms!J340=OFFSET(Values!$A$24,MATCH("S",Values!$T$25:$T$50,0),0),FALSE))</f>
        <v>0</v>
      </c>
      <c r="D340" t="b">
        <f>VLOOKUP(Charms!J340,Values!$A$11:$S$59,19,0)&gt;=Charms!L340</f>
        <v>0</v>
      </c>
      <c r="E340" t="e">
        <f>OR(ISBLANK(Charms!I340),(VLOOKUP(Values!$S$6,Castes!$B$2:$F$25,4,0)=Charms!I340))</f>
        <v>#N/A</v>
      </c>
      <c r="J340" t="e">
        <f t="shared" ca="1" si="26"/>
        <v>#N/A</v>
      </c>
      <c r="K340" s="18" t="e">
        <f t="shared" ca="1" si="25"/>
        <v>#N/A</v>
      </c>
      <c r="L340" t="e">
        <f ca="1">IF(J340,Charms!B340,"")</f>
        <v>#N/A</v>
      </c>
      <c r="M340" t="str">
        <f t="shared" ca="1" si="27"/>
        <v>-</v>
      </c>
      <c r="N340" s="18" t="str">
        <f t="shared" si="28"/>
        <v>K272:L342</v>
      </c>
      <c r="O340" t="str">
        <f t="shared" si="29"/>
        <v>A272:A340</v>
      </c>
    </row>
    <row r="341" spans="1:15">
      <c r="A341" s="18" t="str">
        <f>Charms!K341</f>
        <v>Craft</v>
      </c>
      <c r="B341" t="str">
        <f>Charms!B341</f>
        <v>Forge-Hand Prana</v>
      </c>
      <c r="C341" t="b">
        <f ca="1">OR(Values!$S$98&gt;=Charms!M341,IFERROR(Charms!J341=OFFSET(Values!$A$24,MATCH("S",Values!$T$25:$T$50,0),0),FALSE))</f>
        <v>0</v>
      </c>
      <c r="D341" t="b">
        <f>VLOOKUP(Charms!J341,Values!$A$11:$S$59,19,0)&gt;=Charms!L341</f>
        <v>0</v>
      </c>
      <c r="E341" t="e">
        <f>OR(ISBLANK(Charms!I341),(VLOOKUP(Values!$S$6,Castes!$B$2:$F$25,4,0)=Charms!I341))</f>
        <v>#N/A</v>
      </c>
      <c r="J341" t="e">
        <f t="shared" ca="1" si="26"/>
        <v>#N/A</v>
      </c>
      <c r="K341" s="18" t="e">
        <f t="shared" ca="1" si="25"/>
        <v>#N/A</v>
      </c>
      <c r="L341" t="e">
        <f ca="1">IF(J341,Charms!B341,"")</f>
        <v>#N/A</v>
      </c>
      <c r="M341" t="str">
        <f t="shared" ca="1" si="27"/>
        <v>-</v>
      </c>
      <c r="N341" s="18" t="str">
        <f t="shared" si="28"/>
        <v>K272:L342</v>
      </c>
      <c r="O341" t="str">
        <f t="shared" si="29"/>
        <v>A272:A341</v>
      </c>
    </row>
    <row r="342" spans="1:15">
      <c r="A342" s="18" t="str">
        <f>Charms!K342</f>
        <v>Craft</v>
      </c>
      <c r="B342" t="str">
        <f>Charms!B342</f>
        <v>Stoking Inspiration’s Forge</v>
      </c>
      <c r="C342" t="b">
        <f ca="1">OR(Values!$S$98&gt;=Charms!M342,IFERROR(Charms!J342=OFFSET(Values!$A$24,MATCH("S",Values!$T$25:$T$50,0),0),FALSE))</f>
        <v>0</v>
      </c>
      <c r="D342" t="b">
        <f>VLOOKUP(Charms!J342,Values!$A$11:$S$59,19,0)&gt;=Charms!L342</f>
        <v>0</v>
      </c>
      <c r="E342" t="e">
        <f>OR(ISBLANK(Charms!I342),(VLOOKUP(Values!$S$6,Castes!$B$2:$F$25,4,0)=Charms!I342))</f>
        <v>#N/A</v>
      </c>
      <c r="J342" t="e">
        <f t="shared" ca="1" si="26"/>
        <v>#N/A</v>
      </c>
      <c r="K342" s="18" t="e">
        <f t="shared" ca="1" si="25"/>
        <v>#N/A</v>
      </c>
      <c r="L342" t="e">
        <f ca="1">IF(J342,Charms!B342,"")</f>
        <v>#N/A</v>
      </c>
      <c r="M342" t="str">
        <f t="shared" ca="1" si="27"/>
        <v>-</v>
      </c>
      <c r="N342" s="18" t="str">
        <f t="shared" si="28"/>
        <v>K272:L342</v>
      </c>
      <c r="O342" t="str">
        <f t="shared" si="29"/>
        <v>A272:A342</v>
      </c>
    </row>
    <row r="343" spans="1:15">
      <c r="A343" s="18" t="str">
        <f>Charms!K343</f>
        <v>Dodge</v>
      </c>
      <c r="B343" t="str">
        <f>Charms!B343</f>
        <v>Drifting Leaf Elusion</v>
      </c>
      <c r="C343" t="b">
        <f ca="1">OR(Values!$S$98&gt;=Charms!M343,IFERROR(Charms!J343=OFFSET(Values!$A$24,MATCH("S",Values!$T$25:$T$50,0),0),FALSE))</f>
        <v>1</v>
      </c>
      <c r="D343" t="b">
        <f>VLOOKUP(Charms!J343,Values!$A$11:$S$59,19,0)&gt;=Charms!L343</f>
        <v>0</v>
      </c>
      <c r="E343" t="e">
        <f>OR(ISBLANK(Charms!I343),(VLOOKUP(Values!$S$6,Castes!$B$2:$F$25,4,0)=Charms!I343))</f>
        <v>#N/A</v>
      </c>
      <c r="J343" t="e">
        <f t="shared" ca="1" si="26"/>
        <v>#N/A</v>
      </c>
      <c r="K343" s="18" t="e">
        <f t="shared" ca="1" si="25"/>
        <v>#N/A</v>
      </c>
      <c r="L343" t="e">
        <f ca="1">IF(J343,Charms!B343,"")</f>
        <v>#N/A</v>
      </c>
      <c r="M343" t="str">
        <f t="shared" ca="1" si="27"/>
        <v>-</v>
      </c>
      <c r="N343" s="18" t="str">
        <f t="shared" si="28"/>
        <v>K343:L384</v>
      </c>
      <c r="O343" t="str">
        <f t="shared" si="29"/>
        <v>A343:A343</v>
      </c>
    </row>
    <row r="344" spans="1:15">
      <c r="A344" s="18" t="str">
        <f>Charms!K344</f>
        <v>Dodge</v>
      </c>
      <c r="B344" t="str">
        <f>Charms!B344</f>
        <v>Reed in the Wind</v>
      </c>
      <c r="C344" t="b">
        <f ca="1">OR(Values!$S$98&gt;=Charms!M344,IFERROR(Charms!J344=OFFSET(Values!$A$24,MATCH("S",Values!$T$25:$T$50,0),0),FALSE))</f>
        <v>1</v>
      </c>
      <c r="D344" t="b">
        <f>VLOOKUP(Charms!J344,Values!$A$11:$S$59,19,0)&gt;=Charms!L344</f>
        <v>0</v>
      </c>
      <c r="E344" t="e">
        <f>OR(ISBLANK(Charms!I344),(VLOOKUP(Values!$S$6,Castes!$B$2:$F$25,4,0)=Charms!I344))</f>
        <v>#N/A</v>
      </c>
      <c r="J344" t="e">
        <f t="shared" ca="1" si="26"/>
        <v>#N/A</v>
      </c>
      <c r="K344" s="18" t="e">
        <f t="shared" ca="1" si="25"/>
        <v>#N/A</v>
      </c>
      <c r="L344" t="e">
        <f ca="1">IF(J344,Charms!B344,"")</f>
        <v>#N/A</v>
      </c>
      <c r="M344" t="str">
        <f t="shared" ca="1" si="27"/>
        <v>-</v>
      </c>
      <c r="N344" s="18" t="str">
        <f t="shared" si="28"/>
        <v>K343:L384</v>
      </c>
      <c r="O344" t="str">
        <f t="shared" si="29"/>
        <v>A343:A344</v>
      </c>
    </row>
    <row r="345" spans="1:15">
      <c r="A345" s="18" t="str">
        <f>Charms!K345</f>
        <v>Dodge</v>
      </c>
      <c r="B345" t="str">
        <f>Charms!B345</f>
        <v>Reflex Sidestep Technique</v>
      </c>
      <c r="C345" t="b">
        <f ca="1">OR(Values!$S$98&gt;=Charms!M345,IFERROR(Charms!J345=OFFSET(Values!$A$24,MATCH("S",Values!$T$25:$T$50,0),0),FALSE))</f>
        <v>1</v>
      </c>
      <c r="D345" t="b">
        <f>VLOOKUP(Charms!J345,Values!$A$11:$S$59,19,0)&gt;=Charms!L345</f>
        <v>0</v>
      </c>
      <c r="E345" t="e">
        <f>OR(ISBLANK(Charms!I345),(VLOOKUP(Values!$S$6,Castes!$B$2:$F$25,4,0)=Charms!I345))</f>
        <v>#N/A</v>
      </c>
      <c r="J345" t="e">
        <f t="shared" ca="1" si="26"/>
        <v>#N/A</v>
      </c>
      <c r="K345" s="18" t="e">
        <f t="shared" ca="1" si="25"/>
        <v>#N/A</v>
      </c>
      <c r="L345" t="e">
        <f ca="1">IF(J345,Charms!B345,"")</f>
        <v>#N/A</v>
      </c>
      <c r="M345" t="str">
        <f t="shared" ca="1" si="27"/>
        <v>-</v>
      </c>
      <c r="N345" s="18" t="str">
        <f t="shared" si="28"/>
        <v>K343:L384</v>
      </c>
      <c r="O345" t="str">
        <f t="shared" si="29"/>
        <v>A343:A345</v>
      </c>
    </row>
    <row r="346" spans="1:15">
      <c r="A346" s="18" t="str">
        <f>Charms!K346</f>
        <v>Dodge</v>
      </c>
      <c r="B346" t="str">
        <f>Charms!B346</f>
        <v>Leaping Dodge Method</v>
      </c>
      <c r="C346" t="b">
        <f ca="1">OR(Values!$S$98&gt;=Charms!M346,IFERROR(Charms!J346=OFFSET(Values!$A$24,MATCH("S",Values!$T$25:$T$50,0),0),FALSE))</f>
        <v>1</v>
      </c>
      <c r="D346" t="b">
        <f>VLOOKUP(Charms!J346,Values!$A$11:$S$59,19,0)&gt;=Charms!L346</f>
        <v>0</v>
      </c>
      <c r="E346" t="e">
        <f>OR(ISBLANK(Charms!I346),(VLOOKUP(Values!$S$6,Castes!$B$2:$F$25,4,0)=Charms!I346))</f>
        <v>#N/A</v>
      </c>
      <c r="J346" t="e">
        <f t="shared" ca="1" si="26"/>
        <v>#N/A</v>
      </c>
      <c r="K346" s="18" t="e">
        <f t="shared" ca="1" si="25"/>
        <v>#N/A</v>
      </c>
      <c r="L346" t="e">
        <f ca="1">IF(J346,Charms!B346,"")</f>
        <v>#N/A</v>
      </c>
      <c r="M346" t="str">
        <f t="shared" ca="1" si="27"/>
        <v>-</v>
      </c>
      <c r="N346" s="18" t="str">
        <f t="shared" si="28"/>
        <v>K343:L384</v>
      </c>
      <c r="O346" t="str">
        <f t="shared" si="29"/>
        <v>A343:A346</v>
      </c>
    </row>
    <row r="347" spans="1:15">
      <c r="A347" s="18" t="str">
        <f>Charms!K347</f>
        <v>Dodge</v>
      </c>
      <c r="B347" t="str">
        <f>Charms!B347</f>
        <v>Shadow Over Water</v>
      </c>
      <c r="C347" t="b">
        <f ca="1">OR(Values!$S$98&gt;=Charms!M347,IFERROR(Charms!J347=OFFSET(Values!$A$24,MATCH("S",Values!$T$25:$T$50,0),0),FALSE))</f>
        <v>1</v>
      </c>
      <c r="D347" t="b">
        <f>VLOOKUP(Charms!J347,Values!$A$11:$S$59,19,0)&gt;=Charms!L347</f>
        <v>0</v>
      </c>
      <c r="E347" t="e">
        <f>OR(ISBLANK(Charms!I347),(VLOOKUP(Values!$S$6,Castes!$B$2:$F$25,4,0)=Charms!I347))</f>
        <v>#N/A</v>
      </c>
      <c r="J347" t="e">
        <f t="shared" ca="1" si="26"/>
        <v>#N/A</v>
      </c>
      <c r="K347" s="18" t="e">
        <f t="shared" ca="1" si="25"/>
        <v>#N/A</v>
      </c>
      <c r="L347" t="e">
        <f ca="1">IF(J347,Charms!B347,"")</f>
        <v>#N/A</v>
      </c>
      <c r="M347" t="str">
        <f t="shared" ca="1" si="27"/>
        <v>-</v>
      </c>
      <c r="N347" s="18" t="str">
        <f t="shared" si="28"/>
        <v>K343:L384</v>
      </c>
      <c r="O347" t="str">
        <f t="shared" si="29"/>
        <v>A343:A347</v>
      </c>
    </row>
    <row r="348" spans="1:15">
      <c r="A348" s="18" t="str">
        <f>Charms!K348</f>
        <v>Dodge</v>
      </c>
      <c r="B348" t="str">
        <f>Charms!B348</f>
        <v>Dust Motes Whirling</v>
      </c>
      <c r="C348" t="b">
        <f ca="1">OR(Values!$S$98&gt;=Charms!M348,IFERROR(Charms!J348=OFFSET(Values!$A$24,MATCH("S",Values!$T$25:$T$50,0),0),FALSE))</f>
        <v>1</v>
      </c>
      <c r="D348" t="b">
        <f>VLOOKUP(Charms!J348,Values!$A$11:$S$59,19,0)&gt;=Charms!L348</f>
        <v>0</v>
      </c>
      <c r="E348" t="e">
        <f>OR(ISBLANK(Charms!I348),(VLOOKUP(Values!$S$6,Castes!$B$2:$F$25,4,0)=Charms!I348))</f>
        <v>#N/A</v>
      </c>
      <c r="J348" t="e">
        <f t="shared" ca="1" si="26"/>
        <v>#N/A</v>
      </c>
      <c r="K348" s="18" t="e">
        <f t="shared" ca="1" si="25"/>
        <v>#N/A</v>
      </c>
      <c r="L348" t="e">
        <f ca="1">IF(J348,Charms!B348,"")</f>
        <v>#N/A</v>
      </c>
      <c r="M348" t="str">
        <f t="shared" ca="1" si="27"/>
        <v>-</v>
      </c>
      <c r="N348" s="18" t="str">
        <f t="shared" si="28"/>
        <v>K343:L384</v>
      </c>
      <c r="O348" t="str">
        <f t="shared" si="29"/>
        <v>A343:A348</v>
      </c>
    </row>
    <row r="349" spans="1:15">
      <c r="A349" s="18" t="str">
        <f>Charms!K349</f>
        <v>Dodge</v>
      </c>
      <c r="B349" t="str">
        <f>Charms!B349</f>
        <v>Searing Quicksilver Flight</v>
      </c>
      <c r="C349" t="b">
        <f ca="1">OR(Values!$S$98&gt;=Charms!M349,IFERROR(Charms!J349=OFFSET(Values!$A$24,MATCH("S",Values!$T$25:$T$50,0),0),FALSE))</f>
        <v>1</v>
      </c>
      <c r="D349" t="b">
        <f>VLOOKUP(Charms!J349,Values!$A$11:$S$59,19,0)&gt;=Charms!L349</f>
        <v>0</v>
      </c>
      <c r="E349" t="e">
        <f>OR(ISBLANK(Charms!I349),(VLOOKUP(Values!$S$6,Castes!$B$2:$F$25,4,0)=Charms!I349))</f>
        <v>#N/A</v>
      </c>
      <c r="J349" t="e">
        <f t="shared" ca="1" si="26"/>
        <v>#N/A</v>
      </c>
      <c r="K349" s="18" t="e">
        <f t="shared" ca="1" si="25"/>
        <v>#N/A</v>
      </c>
      <c r="L349" t="e">
        <f ca="1">IF(J349,Charms!B349,"")</f>
        <v>#N/A</v>
      </c>
      <c r="M349" t="str">
        <f t="shared" ca="1" si="27"/>
        <v>-</v>
      </c>
      <c r="N349" s="18" t="str">
        <f t="shared" si="28"/>
        <v>K343:L384</v>
      </c>
      <c r="O349" t="str">
        <f t="shared" si="29"/>
        <v>A343:A349</v>
      </c>
    </row>
    <row r="350" spans="1:15">
      <c r="A350" s="18" t="str">
        <f>Charms!K350</f>
        <v>Dodge</v>
      </c>
      <c r="B350" t="str">
        <f>Charms!B350</f>
        <v>Drifting Shadow Focus</v>
      </c>
      <c r="C350" t="b">
        <f ca="1">OR(Values!$S$98&gt;=Charms!M350,IFERROR(Charms!J350=OFFSET(Values!$A$24,MATCH("S",Values!$T$25:$T$50,0),0),FALSE))</f>
        <v>0</v>
      </c>
      <c r="D350" t="b">
        <f>VLOOKUP(Charms!J350,Values!$A$11:$S$59,19,0)&gt;=Charms!L350</f>
        <v>0</v>
      </c>
      <c r="E350" t="e">
        <f>OR(ISBLANK(Charms!I350),(VLOOKUP(Values!$S$6,Castes!$B$2:$F$25,4,0)=Charms!I350))</f>
        <v>#N/A</v>
      </c>
      <c r="J350" t="e">
        <f t="shared" ca="1" si="26"/>
        <v>#N/A</v>
      </c>
      <c r="K350" s="18" t="e">
        <f t="shared" ca="1" si="25"/>
        <v>#N/A</v>
      </c>
      <c r="L350" t="e">
        <f ca="1">IF(J350,Charms!B350,"")</f>
        <v>#N/A</v>
      </c>
      <c r="M350" t="str">
        <f t="shared" ca="1" si="27"/>
        <v>-</v>
      </c>
      <c r="N350" s="18" t="str">
        <f t="shared" si="28"/>
        <v>K343:L384</v>
      </c>
      <c r="O350" t="str">
        <f t="shared" si="29"/>
        <v>A343:A350</v>
      </c>
    </row>
    <row r="351" spans="1:15">
      <c r="A351" s="18" t="str">
        <f>Charms!K351</f>
        <v>Dodge</v>
      </c>
      <c r="B351" t="str">
        <f>Charms!B351</f>
        <v>Fourfold Shiver Binding</v>
      </c>
      <c r="C351" t="b">
        <f ca="1">OR(Values!$S$98&gt;=Charms!M351,IFERROR(Charms!J351=OFFSET(Values!$A$24,MATCH("S",Values!$T$25:$T$50,0),0),FALSE))</f>
        <v>0</v>
      </c>
      <c r="D351" t="b">
        <f>VLOOKUP(Charms!J351,Values!$A$11:$S$59,19,0)&gt;=Charms!L351</f>
        <v>0</v>
      </c>
      <c r="E351" t="e">
        <f>OR(ISBLANK(Charms!I351),(VLOOKUP(Values!$S$6,Castes!$B$2:$F$25,4,0)=Charms!I351))</f>
        <v>#N/A</v>
      </c>
      <c r="J351" t="e">
        <f t="shared" ca="1" si="26"/>
        <v>#N/A</v>
      </c>
      <c r="K351" s="18" t="e">
        <f t="shared" ca="1" si="25"/>
        <v>#N/A</v>
      </c>
      <c r="L351" t="e">
        <f ca="1">IF(J351,Charms!B351,"")</f>
        <v>#N/A</v>
      </c>
      <c r="M351" t="str">
        <f t="shared" ca="1" si="27"/>
        <v>-</v>
      </c>
      <c r="N351" s="18" t="str">
        <f t="shared" si="28"/>
        <v>K343:L384</v>
      </c>
      <c r="O351" t="str">
        <f t="shared" si="29"/>
        <v>A343:A351</v>
      </c>
    </row>
    <row r="352" spans="1:15">
      <c r="A352" s="18" t="str">
        <f>Charms!K352</f>
        <v>Dodge</v>
      </c>
      <c r="B352" t="str">
        <f>Charms!B352</f>
        <v>Flow Like Blood</v>
      </c>
      <c r="C352" t="b">
        <f ca="1">OR(Values!$S$98&gt;=Charms!M352,IFERROR(Charms!J352=OFFSET(Values!$A$24,MATCH("S",Values!$T$25:$T$50,0),0),FALSE))</f>
        <v>0</v>
      </c>
      <c r="D352" t="b">
        <f>VLOOKUP(Charms!J352,Values!$A$11:$S$59,19,0)&gt;=Charms!L352</f>
        <v>0</v>
      </c>
      <c r="E352" t="e">
        <f>OR(ISBLANK(Charms!I352),(VLOOKUP(Values!$S$6,Castes!$B$2:$F$25,4,0)=Charms!I352))</f>
        <v>#N/A</v>
      </c>
      <c r="J352" t="e">
        <f t="shared" ca="1" si="26"/>
        <v>#N/A</v>
      </c>
      <c r="K352" s="18" t="e">
        <f t="shared" ca="1" si="25"/>
        <v>#N/A</v>
      </c>
      <c r="L352" t="e">
        <f ca="1">IF(J352,Charms!B352,"")</f>
        <v>#N/A</v>
      </c>
      <c r="M352" t="str">
        <f t="shared" ca="1" si="27"/>
        <v>-</v>
      </c>
      <c r="N352" s="18" t="str">
        <f t="shared" si="28"/>
        <v>K343:L384</v>
      </c>
      <c r="O352" t="str">
        <f t="shared" si="29"/>
        <v>A343:A352</v>
      </c>
    </row>
    <row r="353" spans="1:15">
      <c r="A353" s="18" t="str">
        <f>Charms!K353</f>
        <v>Dodge</v>
      </c>
      <c r="B353" t="str">
        <f>Charms!B353</f>
        <v>Shadow Dancer Method</v>
      </c>
      <c r="C353" t="b">
        <f ca="1">OR(Values!$S$98&gt;=Charms!M353,IFERROR(Charms!J353=OFFSET(Values!$A$24,MATCH("S",Values!$T$25:$T$50,0),0),FALSE))</f>
        <v>1</v>
      </c>
      <c r="D353" t="b">
        <f>VLOOKUP(Charms!J353,Values!$A$11:$S$59,19,0)&gt;=Charms!L353</f>
        <v>0</v>
      </c>
      <c r="E353" t="e">
        <f>OR(ISBLANK(Charms!I353),(VLOOKUP(Values!$S$6,Castes!$B$2:$F$25,4,0)=Charms!I353))</f>
        <v>#N/A</v>
      </c>
      <c r="J353" t="e">
        <f t="shared" ca="1" si="26"/>
        <v>#N/A</v>
      </c>
      <c r="K353" s="18" t="e">
        <f t="shared" ca="1" si="25"/>
        <v>#N/A</v>
      </c>
      <c r="L353" t="e">
        <f ca="1">IF(J353,Charms!B353,"")</f>
        <v>#N/A</v>
      </c>
      <c r="M353" t="str">
        <f t="shared" ca="1" si="27"/>
        <v>-</v>
      </c>
      <c r="N353" s="18" t="str">
        <f t="shared" si="28"/>
        <v>K343:L384</v>
      </c>
      <c r="O353" t="str">
        <f t="shared" si="29"/>
        <v>A343:A353</v>
      </c>
    </row>
    <row r="354" spans="1:15">
      <c r="A354" s="18" t="str">
        <f>Charms!K354</f>
        <v>Dodge</v>
      </c>
      <c r="B354" t="str">
        <f>Charms!B354</f>
        <v>Fleet Dreaming Image</v>
      </c>
      <c r="C354" t="b">
        <f ca="1">OR(Values!$S$98&gt;=Charms!M354,IFERROR(Charms!J354=OFFSET(Values!$A$24,MATCH("S",Values!$T$25:$T$50,0),0),FALSE))</f>
        <v>0</v>
      </c>
      <c r="D354" t="b">
        <f>VLOOKUP(Charms!J354,Values!$A$11:$S$59,19,0)&gt;=Charms!L354</f>
        <v>0</v>
      </c>
      <c r="E354" t="e">
        <f>OR(ISBLANK(Charms!I354),(VLOOKUP(Values!$S$6,Castes!$B$2:$F$25,4,0)=Charms!I354))</f>
        <v>#N/A</v>
      </c>
      <c r="J354" t="e">
        <f t="shared" ca="1" si="26"/>
        <v>#N/A</v>
      </c>
      <c r="K354" s="18" t="e">
        <f t="shared" ca="1" si="25"/>
        <v>#N/A</v>
      </c>
      <c r="L354" t="e">
        <f ca="1">IF(J354,Charms!B354,"")</f>
        <v>#N/A</v>
      </c>
      <c r="M354" t="str">
        <f t="shared" ca="1" si="27"/>
        <v>-</v>
      </c>
      <c r="N354" s="18" t="str">
        <f t="shared" si="28"/>
        <v>K343:L384</v>
      </c>
      <c r="O354" t="str">
        <f t="shared" si="29"/>
        <v>A343:A354</v>
      </c>
    </row>
    <row r="355" spans="1:15">
      <c r="A355" s="18" t="str">
        <f>Charms!K355</f>
        <v>Dodge</v>
      </c>
      <c r="B355" t="str">
        <f>Charms!B355</f>
        <v>Force-Stealing Feint</v>
      </c>
      <c r="C355" t="b">
        <f ca="1">OR(Values!$S$98&gt;=Charms!M355,IFERROR(Charms!J355=OFFSET(Values!$A$24,MATCH("S",Values!$T$25:$T$50,0),0),FALSE))</f>
        <v>0</v>
      </c>
      <c r="D355" t="b">
        <f>VLOOKUP(Charms!J355,Values!$A$11:$S$59,19,0)&gt;=Charms!L355</f>
        <v>0</v>
      </c>
      <c r="E355" t="e">
        <f>OR(ISBLANK(Charms!I355),(VLOOKUP(Values!$S$6,Castes!$B$2:$F$25,4,0)=Charms!I355))</f>
        <v>#N/A</v>
      </c>
      <c r="J355" t="e">
        <f t="shared" ca="1" si="26"/>
        <v>#N/A</v>
      </c>
      <c r="K355" s="18" t="e">
        <f t="shared" ca="1" si="25"/>
        <v>#N/A</v>
      </c>
      <c r="L355" t="e">
        <f ca="1">IF(J355,Charms!B355,"")</f>
        <v>#N/A</v>
      </c>
      <c r="M355" t="str">
        <f t="shared" ca="1" si="27"/>
        <v>-</v>
      </c>
      <c r="N355" s="18" t="str">
        <f t="shared" si="28"/>
        <v>K343:L384</v>
      </c>
      <c r="O355" t="str">
        <f t="shared" si="29"/>
        <v>A343:A355</v>
      </c>
    </row>
    <row r="356" spans="1:15">
      <c r="A356" s="18" t="str">
        <f>Charms!K356</f>
        <v>Dodge</v>
      </c>
      <c r="B356" t="str">
        <f>Charms!B356</f>
        <v>Seven Shadow Evasion</v>
      </c>
      <c r="C356" t="b">
        <f ca="1">OR(Values!$S$98&gt;=Charms!M356,IFERROR(Charms!J356=OFFSET(Values!$A$24,MATCH("S",Values!$T$25:$T$50,0),0),FALSE))</f>
        <v>0</v>
      </c>
      <c r="D356" t="b">
        <f>VLOOKUP(Charms!J356,Values!$A$11:$S$59,19,0)&gt;=Charms!L356</f>
        <v>0</v>
      </c>
      <c r="E356" t="e">
        <f>OR(ISBLANK(Charms!I356),(VLOOKUP(Values!$S$6,Castes!$B$2:$F$25,4,0)=Charms!I356))</f>
        <v>#N/A</v>
      </c>
      <c r="J356" t="e">
        <f t="shared" ca="1" si="26"/>
        <v>#N/A</v>
      </c>
      <c r="K356" s="18" t="e">
        <f t="shared" ca="1" si="25"/>
        <v>#N/A</v>
      </c>
      <c r="L356" t="e">
        <f ca="1">IF(J356,Charms!B356,"")</f>
        <v>#N/A</v>
      </c>
      <c r="M356" t="str">
        <f t="shared" ca="1" si="27"/>
        <v>-</v>
      </c>
      <c r="N356" s="18" t="str">
        <f t="shared" si="28"/>
        <v>K343:L384</v>
      </c>
      <c r="O356" t="str">
        <f t="shared" si="29"/>
        <v>A343:A356</v>
      </c>
    </row>
    <row r="357" spans="1:15">
      <c r="A357" s="18" t="str">
        <f>Charms!K357</f>
        <v>Dodge</v>
      </c>
      <c r="B357" t="str">
        <f>Charms!B357</f>
        <v>Safety Between Heartbeats</v>
      </c>
      <c r="C357" t="b">
        <f ca="1">OR(Values!$S$98&gt;=Charms!M357,IFERROR(Charms!J357=OFFSET(Values!$A$24,MATCH("S",Values!$T$25:$T$50,0),0),FALSE))</f>
        <v>0</v>
      </c>
      <c r="D357" t="b">
        <f>VLOOKUP(Charms!J357,Values!$A$11:$S$59,19,0)&gt;=Charms!L357</f>
        <v>0</v>
      </c>
      <c r="E357" t="e">
        <f>OR(ISBLANK(Charms!I357),(VLOOKUP(Values!$S$6,Castes!$B$2:$F$25,4,0)=Charms!I357))</f>
        <v>#N/A</v>
      </c>
      <c r="J357" t="e">
        <f t="shared" ca="1" si="26"/>
        <v>#N/A</v>
      </c>
      <c r="K357" s="18" t="e">
        <f t="shared" ca="1" si="25"/>
        <v>#N/A</v>
      </c>
      <c r="L357" t="e">
        <f ca="1">IF(J357,Charms!B357,"")</f>
        <v>#N/A</v>
      </c>
      <c r="M357" t="str">
        <f t="shared" ca="1" si="27"/>
        <v>-</v>
      </c>
      <c r="N357" s="18" t="str">
        <f t="shared" si="28"/>
        <v>K343:L384</v>
      </c>
      <c r="O357" t="str">
        <f t="shared" si="29"/>
        <v>A343:A357</v>
      </c>
    </row>
    <row r="358" spans="1:15">
      <c r="A358" s="18" t="str">
        <f>Charms!K358</f>
        <v>Dodge</v>
      </c>
      <c r="B358" t="str">
        <f>Charms!B358</f>
        <v>Rumor of Form</v>
      </c>
      <c r="C358" t="b">
        <f ca="1">OR(Values!$S$98&gt;=Charms!M358,IFERROR(Charms!J358=OFFSET(Values!$A$24,MATCH("S",Values!$T$25:$T$50,0),0),FALSE))</f>
        <v>0</v>
      </c>
      <c r="D358" t="b">
        <f>VLOOKUP(Charms!J358,Values!$A$11:$S$59,19,0)&gt;=Charms!L358</f>
        <v>0</v>
      </c>
      <c r="E358" t="e">
        <f>OR(ISBLANK(Charms!I358),(VLOOKUP(Values!$S$6,Castes!$B$2:$F$25,4,0)=Charms!I358))</f>
        <v>#N/A</v>
      </c>
      <c r="J358" t="e">
        <f t="shared" ca="1" si="26"/>
        <v>#N/A</v>
      </c>
      <c r="K358" s="18" t="e">
        <f t="shared" ca="1" si="25"/>
        <v>#N/A</v>
      </c>
      <c r="L358" t="e">
        <f ca="1">IF(J358,Charms!B358,"")</f>
        <v>#N/A</v>
      </c>
      <c r="M358" t="str">
        <f t="shared" ca="1" si="27"/>
        <v>-</v>
      </c>
      <c r="N358" s="18" t="str">
        <f t="shared" si="28"/>
        <v>K343:L384</v>
      </c>
      <c r="O358" t="str">
        <f t="shared" si="29"/>
        <v>A343:A358</v>
      </c>
    </row>
    <row r="359" spans="1:15">
      <c r="A359" s="18" t="str">
        <f>Charms!K359</f>
        <v>Dodge</v>
      </c>
      <c r="B359" t="str">
        <f>Charms!B359</f>
        <v>Way of Whispers Technique</v>
      </c>
      <c r="C359" t="b">
        <f ca="1">OR(Values!$S$98&gt;=Charms!M359,IFERROR(Charms!J359=OFFSET(Values!$A$24,MATCH("S",Values!$T$25:$T$50,0),0),FALSE))</f>
        <v>0</v>
      </c>
      <c r="D359" t="b">
        <f>VLOOKUP(Charms!J359,Values!$A$11:$S$59,19,0)&gt;=Charms!L359</f>
        <v>0</v>
      </c>
      <c r="E359" t="e">
        <f>OR(ISBLANK(Charms!I359),(VLOOKUP(Values!$S$6,Castes!$B$2:$F$25,4,0)=Charms!I359))</f>
        <v>#N/A</v>
      </c>
      <c r="J359" t="e">
        <f t="shared" ca="1" si="26"/>
        <v>#N/A</v>
      </c>
      <c r="K359" s="18" t="e">
        <f t="shared" ca="1" si="25"/>
        <v>#N/A</v>
      </c>
      <c r="L359" t="e">
        <f ca="1">IF(J359,Charms!B359,"")</f>
        <v>#N/A</v>
      </c>
      <c r="M359" t="str">
        <f t="shared" ca="1" si="27"/>
        <v>-</v>
      </c>
      <c r="N359" s="18" t="str">
        <f t="shared" si="28"/>
        <v>K343:L384</v>
      </c>
      <c r="O359" t="str">
        <f t="shared" si="29"/>
        <v>A343:A359</v>
      </c>
    </row>
    <row r="360" spans="1:15">
      <c r="A360" s="18" t="str">
        <f>Charms!K360</f>
        <v>Dodge</v>
      </c>
      <c r="B360" t="str">
        <f>Charms!B360</f>
        <v>Vaporous Division</v>
      </c>
      <c r="C360" t="b">
        <f ca="1">OR(Values!$S$98&gt;=Charms!M360,IFERROR(Charms!J360=OFFSET(Values!$A$24,MATCH("S",Values!$T$25:$T$50,0),0),FALSE))</f>
        <v>0</v>
      </c>
      <c r="D360" t="b">
        <f>VLOOKUP(Charms!J360,Values!$A$11:$S$59,19,0)&gt;=Charms!L360</f>
        <v>0</v>
      </c>
      <c r="E360" t="e">
        <f>OR(ISBLANK(Charms!I360),(VLOOKUP(Values!$S$6,Castes!$B$2:$F$25,4,0)=Charms!I360))</f>
        <v>#N/A</v>
      </c>
      <c r="J360" t="e">
        <f t="shared" ca="1" si="26"/>
        <v>#N/A</v>
      </c>
      <c r="K360" s="18" t="e">
        <f t="shared" ca="1" si="25"/>
        <v>#N/A</v>
      </c>
      <c r="L360" t="e">
        <f ca="1">IF(J360,Charms!B360,"")</f>
        <v>#N/A</v>
      </c>
      <c r="M360" t="str">
        <f t="shared" ca="1" si="27"/>
        <v>-</v>
      </c>
      <c r="N360" s="18" t="str">
        <f t="shared" si="28"/>
        <v>K343:L384</v>
      </c>
      <c r="O360" t="str">
        <f t="shared" si="29"/>
        <v>A343:A360</v>
      </c>
    </row>
    <row r="361" spans="1:15">
      <c r="A361" s="18" t="str">
        <f>Charms!K361</f>
        <v>Dodge</v>
      </c>
      <c r="B361" t="str">
        <f>Charms!B361</f>
        <v>Sunlight Bleeding Away</v>
      </c>
      <c r="C361" t="b">
        <f ca="1">OR(Values!$S$98&gt;=Charms!M361,IFERROR(Charms!J361=OFFSET(Values!$A$24,MATCH("S",Values!$T$25:$T$50,0),0),FALSE))</f>
        <v>0</v>
      </c>
      <c r="D361" t="b">
        <f>VLOOKUP(Charms!J361,Values!$A$11:$S$59,19,0)&gt;=Charms!L361</f>
        <v>0</v>
      </c>
      <c r="E361" t="e">
        <f>OR(ISBLANK(Charms!I361),(VLOOKUP(Values!$S$6,Castes!$B$2:$F$25,4,0)=Charms!I361))</f>
        <v>#N/A</v>
      </c>
      <c r="J361" t="e">
        <f t="shared" ca="1" si="26"/>
        <v>#N/A</v>
      </c>
      <c r="K361" s="18" t="e">
        <f t="shared" ca="1" si="25"/>
        <v>#N/A</v>
      </c>
      <c r="L361" t="e">
        <f ca="1">IF(J361,Charms!B361,"")</f>
        <v>#N/A</v>
      </c>
      <c r="M361" t="str">
        <f t="shared" ca="1" si="27"/>
        <v>-</v>
      </c>
      <c r="N361" s="18" t="str">
        <f t="shared" si="28"/>
        <v>K343:L384</v>
      </c>
      <c r="O361" t="str">
        <f t="shared" si="29"/>
        <v>A343:A361</v>
      </c>
    </row>
    <row r="362" spans="1:15">
      <c r="A362" s="18" t="str">
        <f>Charms!K362</f>
        <v>Dodge</v>
      </c>
      <c r="B362" t="str">
        <f>Charms!B362</f>
        <v>Thousand Steps' Stillness</v>
      </c>
      <c r="C362" t="b">
        <f ca="1">OR(Values!$S$98&gt;=Charms!M362,IFERROR(Charms!J362=OFFSET(Values!$A$24,MATCH("S",Values!$T$25:$T$50,0),0),FALSE))</f>
        <v>0</v>
      </c>
      <c r="D362" t="b">
        <f>VLOOKUP(Charms!J362,Values!$A$11:$S$59,19,0)&gt;=Charms!L362</f>
        <v>0</v>
      </c>
      <c r="E362" t="e">
        <f>OR(ISBLANK(Charms!I362),(VLOOKUP(Values!$S$6,Castes!$B$2:$F$25,4,0)=Charms!I362))</f>
        <v>#N/A</v>
      </c>
      <c r="J362" t="e">
        <f t="shared" ca="1" si="26"/>
        <v>#N/A</v>
      </c>
      <c r="K362" s="18" t="e">
        <f t="shared" ca="1" si="25"/>
        <v>#N/A</v>
      </c>
      <c r="L362" t="e">
        <f ca="1">IF(J362,Charms!B362,"")</f>
        <v>#N/A</v>
      </c>
      <c r="M362" t="str">
        <f t="shared" ca="1" si="27"/>
        <v>-</v>
      </c>
      <c r="N362" s="18" t="str">
        <f t="shared" si="28"/>
        <v>K343:L384</v>
      </c>
      <c r="O362" t="str">
        <f t="shared" si="29"/>
        <v>A343:A362</v>
      </c>
    </row>
    <row r="363" spans="1:15">
      <c r="A363" s="18" t="str">
        <f>Charms!K363</f>
        <v>Dodge</v>
      </c>
      <c r="B363" t="str">
        <f>Charms!B363</f>
        <v>Unbowed Willow Meditation</v>
      </c>
      <c r="C363" t="b">
        <f ca="1">OR(Values!$S$98&gt;=Charms!M363,IFERROR(Charms!J363=OFFSET(Values!$A$24,MATCH("S",Values!$T$25:$T$50,0),0),FALSE))</f>
        <v>0</v>
      </c>
      <c r="D363" t="b">
        <f>VLOOKUP(Charms!J363,Values!$A$11:$S$59,19,0)&gt;=Charms!L363</f>
        <v>0</v>
      </c>
      <c r="E363" t="e">
        <f>OR(ISBLANK(Charms!I363),(VLOOKUP(Values!$S$6,Castes!$B$2:$F$25,4,0)=Charms!I363))</f>
        <v>#N/A</v>
      </c>
      <c r="J363" t="e">
        <f t="shared" ca="1" si="26"/>
        <v>#N/A</v>
      </c>
      <c r="K363" s="18" t="e">
        <f t="shared" ca="1" si="25"/>
        <v>#N/A</v>
      </c>
      <c r="L363" t="e">
        <f ca="1">IF(J363,Charms!B363,"")</f>
        <v>#N/A</v>
      </c>
      <c r="M363" t="str">
        <f t="shared" ca="1" si="27"/>
        <v>-</v>
      </c>
      <c r="N363" s="18" t="str">
        <f t="shared" si="28"/>
        <v>K343:L384</v>
      </c>
      <c r="O363" t="str">
        <f t="shared" si="29"/>
        <v>A343:A363</v>
      </c>
    </row>
    <row r="364" spans="1:15">
      <c r="A364" s="18" t="str">
        <f>Charms!K364</f>
        <v>Dodge</v>
      </c>
      <c r="B364" t="str">
        <f>Charms!B364</f>
        <v>Hundred Shadow Ways</v>
      </c>
      <c r="C364" t="b">
        <f ca="1">OR(Values!$S$98&gt;=Charms!M364,IFERROR(Charms!J364=OFFSET(Values!$A$24,MATCH("S",Values!$T$25:$T$50,0),0),FALSE))</f>
        <v>0</v>
      </c>
      <c r="D364" t="b">
        <f>VLOOKUP(Charms!J364,Values!$A$11:$S$59,19,0)&gt;=Charms!L364</f>
        <v>0</v>
      </c>
      <c r="E364" t="e">
        <f>OR(ISBLANK(Charms!I364),(VLOOKUP(Values!$S$6,Castes!$B$2:$F$25,4,0)=Charms!I364))</f>
        <v>#N/A</v>
      </c>
      <c r="J364" t="e">
        <f t="shared" ca="1" si="26"/>
        <v>#N/A</v>
      </c>
      <c r="K364" s="18" t="e">
        <f t="shared" ca="1" si="25"/>
        <v>#N/A</v>
      </c>
      <c r="L364" t="e">
        <f ca="1">IF(J364,Charms!B364,"")</f>
        <v>#N/A</v>
      </c>
      <c r="M364" t="str">
        <f t="shared" ca="1" si="27"/>
        <v>-</v>
      </c>
      <c r="N364" s="18" t="str">
        <f t="shared" si="28"/>
        <v>K343:L384</v>
      </c>
      <c r="O364" t="str">
        <f t="shared" si="29"/>
        <v>A343:A364</v>
      </c>
    </row>
    <row r="365" spans="1:15">
      <c r="A365" s="18" t="str">
        <f>Charms!K365</f>
        <v>Dodge</v>
      </c>
      <c r="B365" t="str">
        <f>Charms!B365</f>
        <v>Living Bonds Unburdened</v>
      </c>
      <c r="C365" t="b">
        <f ca="1">OR(Values!$S$98&gt;=Charms!M365,IFERROR(Charms!J365=OFFSET(Values!$A$24,MATCH("S",Values!$T$25:$T$50,0),0),FALSE))</f>
        <v>0</v>
      </c>
      <c r="D365" t="b">
        <f>VLOOKUP(Charms!J365,Values!$A$11:$S$59,19,0)&gt;=Charms!L365</f>
        <v>0</v>
      </c>
      <c r="E365" t="e">
        <f>OR(ISBLANK(Charms!I365),(VLOOKUP(Values!$S$6,Castes!$B$2:$F$25,4,0)=Charms!I365))</f>
        <v>#N/A</v>
      </c>
      <c r="J365" t="e">
        <f t="shared" ca="1" si="26"/>
        <v>#N/A</v>
      </c>
      <c r="K365" s="18" t="e">
        <f t="shared" ca="1" si="25"/>
        <v>#N/A</v>
      </c>
      <c r="L365" t="e">
        <f ca="1">IF(J365,Charms!B365,"")</f>
        <v>#N/A</v>
      </c>
      <c r="M365" t="str">
        <f t="shared" ca="1" si="27"/>
        <v>-</v>
      </c>
      <c r="N365" s="18" t="str">
        <f t="shared" si="28"/>
        <v>K343:L384</v>
      </c>
      <c r="O365" t="str">
        <f t="shared" si="29"/>
        <v>A343:A365</v>
      </c>
    </row>
    <row r="366" spans="1:15">
      <c r="A366" s="18" t="str">
        <f>Charms!K366</f>
        <v>Dodge</v>
      </c>
      <c r="B366" t="str">
        <f>Charms!B366</f>
        <v>Unbridled Shade Attitude</v>
      </c>
      <c r="C366" t="b">
        <f ca="1">OR(Values!$S$98&gt;=Charms!M366,IFERROR(Charms!J366=OFFSET(Values!$A$24,MATCH("S",Values!$T$25:$T$50,0),0),FALSE))</f>
        <v>0</v>
      </c>
      <c r="D366" t="b">
        <f>VLOOKUP(Charms!J366,Values!$A$11:$S$59,19,0)&gt;=Charms!L366</f>
        <v>0</v>
      </c>
      <c r="E366" t="e">
        <f>OR(ISBLANK(Charms!I366),(VLOOKUP(Values!$S$6,Castes!$B$2:$F$25,4,0)=Charms!I366))</f>
        <v>#N/A</v>
      </c>
      <c r="J366" t="e">
        <f t="shared" ca="1" si="26"/>
        <v>#N/A</v>
      </c>
      <c r="K366" s="18" t="e">
        <f t="shared" ca="1" si="25"/>
        <v>#N/A</v>
      </c>
      <c r="L366" t="e">
        <f ca="1">IF(J366,Charms!B366,"")</f>
        <v>#N/A</v>
      </c>
      <c r="M366" t="str">
        <f t="shared" ca="1" si="27"/>
        <v>-</v>
      </c>
      <c r="N366" s="18" t="str">
        <f t="shared" si="28"/>
        <v>K343:L384</v>
      </c>
      <c r="O366" t="str">
        <f t="shared" si="29"/>
        <v>A343:A366</v>
      </c>
    </row>
    <row r="367" spans="1:15">
      <c r="A367" s="18" t="str">
        <f>Charms!K367</f>
        <v>Dodge</v>
      </c>
      <c r="B367" t="str">
        <f>Charms!B367</f>
        <v>Harm-Dismissing Meditation</v>
      </c>
      <c r="C367" t="b">
        <f ca="1">OR(Values!$S$98&gt;=Charms!M367,IFERROR(Charms!J367=OFFSET(Values!$A$24,MATCH("S",Values!$T$25:$T$50,0),0),FALSE))</f>
        <v>0</v>
      </c>
      <c r="D367" t="b">
        <f>VLOOKUP(Charms!J367,Values!$A$11:$S$59,19,0)&gt;=Charms!L367</f>
        <v>0</v>
      </c>
      <c r="E367" t="e">
        <f>OR(ISBLANK(Charms!I367),(VLOOKUP(Values!$S$6,Castes!$B$2:$F$25,4,0)=Charms!I367))</f>
        <v>#N/A</v>
      </c>
      <c r="J367" t="e">
        <f t="shared" ca="1" si="26"/>
        <v>#N/A</v>
      </c>
      <c r="K367" s="18" t="e">
        <f t="shared" ca="1" si="25"/>
        <v>#N/A</v>
      </c>
      <c r="L367" t="e">
        <f ca="1">IF(J367,Charms!B367,"")</f>
        <v>#N/A</v>
      </c>
      <c r="M367" t="str">
        <f t="shared" ca="1" si="27"/>
        <v>-</v>
      </c>
      <c r="N367" s="18" t="str">
        <f t="shared" si="28"/>
        <v>K343:L384</v>
      </c>
      <c r="O367" t="str">
        <f t="shared" si="29"/>
        <v>A343:A367</v>
      </c>
    </row>
    <row r="368" spans="1:15">
      <c r="A368" s="18" t="str">
        <f>Charms!K368</f>
        <v>Dodge</v>
      </c>
      <c r="B368" t="str">
        <f>Charms!B368</f>
        <v>Refinement of Flowing Shadows</v>
      </c>
      <c r="C368" t="b">
        <f ca="1">OR(Values!$S$98&gt;=Charms!M368,IFERROR(Charms!J368=OFFSET(Values!$A$24,MATCH("S",Values!$T$25:$T$50,0),0),FALSE))</f>
        <v>0</v>
      </c>
      <c r="D368" t="b">
        <f>VLOOKUP(Charms!J368,Values!$A$11:$S$59,19,0)&gt;=Charms!L368</f>
        <v>0</v>
      </c>
      <c r="E368" t="e">
        <f>OR(ISBLANK(Charms!I368),(VLOOKUP(Values!$S$6,Castes!$B$2:$F$25,4,0)=Charms!I368))</f>
        <v>#N/A</v>
      </c>
      <c r="J368" t="e">
        <f t="shared" ca="1" si="26"/>
        <v>#N/A</v>
      </c>
      <c r="K368" s="18" t="e">
        <f t="shared" ca="1" si="25"/>
        <v>#N/A</v>
      </c>
      <c r="L368" t="e">
        <f ca="1">IF(J368,Charms!B368,"")</f>
        <v>#N/A</v>
      </c>
      <c r="M368" t="str">
        <f t="shared" ca="1" si="27"/>
        <v>-</v>
      </c>
      <c r="N368" s="18" t="str">
        <f t="shared" si="28"/>
        <v>K343:L384</v>
      </c>
      <c r="O368" t="str">
        <f t="shared" si="29"/>
        <v>A343:A368</v>
      </c>
    </row>
    <row r="369" spans="1:15">
      <c r="A369" s="18" t="str">
        <f>Charms!K369</f>
        <v>Dodge</v>
      </c>
      <c r="B369" t="str">
        <f>Charms!B369</f>
        <v>Threshold Warding Stance</v>
      </c>
      <c r="C369" t="b">
        <f ca="1">OR(Values!$S$98&gt;=Charms!M369,IFERROR(Charms!J369=OFFSET(Values!$A$24,MATCH("S",Values!$T$25:$T$50,0),0),FALSE))</f>
        <v>1</v>
      </c>
      <c r="D369" t="b">
        <f>VLOOKUP(Charms!J369,Values!$A$11:$S$59,19,0)&gt;=Charms!L369</f>
        <v>0</v>
      </c>
      <c r="E369" t="e">
        <f>OR(ISBLANK(Charms!I369),(VLOOKUP(Values!$S$6,Castes!$B$2:$F$25,4,0)=Charms!I369))</f>
        <v>#N/A</v>
      </c>
      <c r="J369" t="e">
        <f t="shared" ca="1" si="26"/>
        <v>#N/A</v>
      </c>
      <c r="K369" s="18" t="e">
        <f t="shared" ca="1" si="25"/>
        <v>#N/A</v>
      </c>
      <c r="L369" t="e">
        <f ca="1">IF(J369,Charms!B369,"")</f>
        <v>#N/A</v>
      </c>
      <c r="M369" t="str">
        <f t="shared" ca="1" si="27"/>
        <v>-</v>
      </c>
      <c r="N369" s="18" t="str">
        <f t="shared" si="28"/>
        <v>K343:L384</v>
      </c>
      <c r="O369" t="str">
        <f t="shared" si="29"/>
        <v>A343:A369</v>
      </c>
    </row>
    <row r="370" spans="1:15">
      <c r="A370" s="18" t="str">
        <f>Charms!K370</f>
        <v>Dodge</v>
      </c>
      <c r="B370" t="str">
        <f>Charms!B370</f>
        <v>Flickering Candle Meditation</v>
      </c>
      <c r="C370" t="b">
        <f ca="1">OR(Values!$S$98&gt;=Charms!M370,IFERROR(Charms!J370=OFFSET(Values!$A$24,MATCH("S",Values!$T$25:$T$50,0),0),FALSE))</f>
        <v>1</v>
      </c>
      <c r="D370" t="b">
        <f>VLOOKUP(Charms!J370,Values!$A$11:$S$59,19,0)&gt;=Charms!L370</f>
        <v>0</v>
      </c>
      <c r="E370" t="e">
        <f>OR(ISBLANK(Charms!I370),(VLOOKUP(Values!$S$6,Castes!$B$2:$F$25,4,0)=Charms!I370))</f>
        <v>#N/A</v>
      </c>
      <c r="J370" t="e">
        <f t="shared" ca="1" si="26"/>
        <v>#N/A</v>
      </c>
      <c r="K370" s="18" t="e">
        <f t="shared" ca="1" si="25"/>
        <v>#N/A</v>
      </c>
      <c r="L370" t="e">
        <f ca="1">IF(J370,Charms!B370,"")</f>
        <v>#N/A</v>
      </c>
      <c r="M370" t="str">
        <f t="shared" ca="1" si="27"/>
        <v>-</v>
      </c>
      <c r="N370" s="18" t="str">
        <f t="shared" si="28"/>
        <v>K343:L384</v>
      </c>
      <c r="O370" t="str">
        <f t="shared" si="29"/>
        <v>A343:A370</v>
      </c>
    </row>
    <row r="371" spans="1:15">
      <c r="A371" s="18" t="str">
        <f>Charms!K371</f>
        <v>Dodge</v>
      </c>
      <c r="B371" t="str">
        <f>Charms!B371</f>
        <v>Heat-of-Battle Advance</v>
      </c>
      <c r="C371" t="b">
        <f ca="1">OR(Values!$S$98&gt;=Charms!M371,IFERROR(Charms!J371=OFFSET(Values!$A$24,MATCH("S",Values!$T$25:$T$50,0),0),FALSE))</f>
        <v>1</v>
      </c>
      <c r="D371" t="b">
        <f>VLOOKUP(Charms!J371,Values!$A$11:$S$59,19,0)&gt;=Charms!L371</f>
        <v>0</v>
      </c>
      <c r="E371" t="e">
        <f>OR(ISBLANK(Charms!I371),(VLOOKUP(Values!$S$6,Castes!$B$2:$F$25,4,0)=Charms!I371))</f>
        <v>#N/A</v>
      </c>
      <c r="J371" t="e">
        <f t="shared" ca="1" si="26"/>
        <v>#N/A</v>
      </c>
      <c r="K371" s="18" t="e">
        <f t="shared" ca="1" si="25"/>
        <v>#N/A</v>
      </c>
      <c r="L371" t="e">
        <f ca="1">IF(J371,Charms!B371,"")</f>
        <v>#N/A</v>
      </c>
      <c r="M371" t="str">
        <f t="shared" ca="1" si="27"/>
        <v>-</v>
      </c>
      <c r="N371" s="18" t="str">
        <f t="shared" si="28"/>
        <v>K343:L384</v>
      </c>
      <c r="O371" t="str">
        <f t="shared" si="29"/>
        <v>A343:A371</v>
      </c>
    </row>
    <row r="372" spans="1:15">
      <c r="A372" s="18" t="str">
        <f>Charms!K372</f>
        <v>Dodge</v>
      </c>
      <c r="B372" t="str">
        <f>Charms!B372</f>
        <v>Hopping Firecracker Evasion</v>
      </c>
      <c r="C372" t="b">
        <f ca="1">OR(Values!$S$98&gt;=Charms!M372,IFERROR(Charms!J372=OFFSET(Values!$A$24,MATCH("S",Values!$T$25:$T$50,0),0),FALSE))</f>
        <v>0</v>
      </c>
      <c r="D372" t="b">
        <f>VLOOKUP(Charms!J372,Values!$A$11:$S$59,19,0)&gt;=Charms!L372</f>
        <v>0</v>
      </c>
      <c r="E372" t="e">
        <f>OR(ISBLANK(Charms!I372),(VLOOKUP(Values!$S$6,Castes!$B$2:$F$25,4,0)=Charms!I372))</f>
        <v>#N/A</v>
      </c>
      <c r="J372" t="e">
        <f t="shared" ca="1" si="26"/>
        <v>#N/A</v>
      </c>
      <c r="K372" s="18" t="e">
        <f t="shared" ca="1" si="25"/>
        <v>#N/A</v>
      </c>
      <c r="L372" t="e">
        <f ca="1">IF(J372,Charms!B372,"")</f>
        <v>#N/A</v>
      </c>
      <c r="M372" t="str">
        <f t="shared" ca="1" si="27"/>
        <v>-</v>
      </c>
      <c r="N372" s="18" t="str">
        <f t="shared" si="28"/>
        <v>K343:L384</v>
      </c>
      <c r="O372" t="str">
        <f t="shared" si="29"/>
        <v>A343:A372</v>
      </c>
    </row>
    <row r="373" spans="1:15">
      <c r="A373" s="18" t="str">
        <f>Charms!K373</f>
        <v>Dodge</v>
      </c>
      <c r="B373" t="str">
        <f>Charms!B373</f>
        <v>Virtuous Negation Defense</v>
      </c>
      <c r="C373" t="b">
        <f ca="1">OR(Values!$S$98&gt;=Charms!M373,IFERROR(Charms!J373=OFFSET(Values!$A$24,MATCH("S",Values!$T$25:$T$50,0),0),FALSE))</f>
        <v>0</v>
      </c>
      <c r="D373" t="b">
        <f>VLOOKUP(Charms!J373,Values!$A$11:$S$59,19,0)&gt;=Charms!L373</f>
        <v>0</v>
      </c>
      <c r="E373" t="e">
        <f>OR(ISBLANK(Charms!I373),(VLOOKUP(Values!$S$6,Castes!$B$2:$F$25,4,0)=Charms!I373))</f>
        <v>#N/A</v>
      </c>
      <c r="J373" t="e">
        <f t="shared" ca="1" si="26"/>
        <v>#N/A</v>
      </c>
      <c r="K373" s="18" t="e">
        <f t="shared" ca="1" si="25"/>
        <v>#N/A</v>
      </c>
      <c r="L373" t="e">
        <f ca="1">IF(J373,Charms!B373,"")</f>
        <v>#N/A</v>
      </c>
      <c r="M373" t="str">
        <f t="shared" ca="1" si="27"/>
        <v>-</v>
      </c>
      <c r="N373" s="18" t="str">
        <f t="shared" si="28"/>
        <v>K343:L384</v>
      </c>
      <c r="O373" t="str">
        <f t="shared" si="29"/>
        <v>A343:A373</v>
      </c>
    </row>
    <row r="374" spans="1:15">
      <c r="A374" s="18" t="str">
        <f>Charms!K374</f>
        <v>Dodge</v>
      </c>
      <c r="B374" t="str">
        <f>Charms!B374</f>
        <v>Ebbing Tide Recedes</v>
      </c>
      <c r="C374" t="b">
        <f ca="1">OR(Values!$S$98&gt;=Charms!M374,IFERROR(Charms!J374=OFFSET(Values!$A$24,MATCH("S",Values!$T$25:$T$50,0),0),FALSE))</f>
        <v>0</v>
      </c>
      <c r="D374" t="b">
        <f>VLOOKUP(Charms!J374,Values!$A$11:$S$59,19,0)&gt;=Charms!L374</f>
        <v>0</v>
      </c>
      <c r="E374" t="e">
        <f>OR(ISBLANK(Charms!I374),(VLOOKUP(Values!$S$6,Castes!$B$2:$F$25,4,0)=Charms!I374))</f>
        <v>#N/A</v>
      </c>
      <c r="J374" t="e">
        <f t="shared" ca="1" si="26"/>
        <v>#N/A</v>
      </c>
      <c r="K374" s="18" t="e">
        <f t="shared" ca="1" si="25"/>
        <v>#N/A</v>
      </c>
      <c r="L374" t="e">
        <f ca="1">IF(J374,Charms!B374,"")</f>
        <v>#N/A</v>
      </c>
      <c r="M374" t="str">
        <f t="shared" ca="1" si="27"/>
        <v>-</v>
      </c>
      <c r="N374" s="18" t="str">
        <f t="shared" si="28"/>
        <v>K343:L384</v>
      </c>
      <c r="O374" t="str">
        <f t="shared" si="29"/>
        <v>A343:A374</v>
      </c>
    </row>
    <row r="375" spans="1:15">
      <c r="A375" s="18" t="str">
        <f>Charms!K375</f>
        <v>Dodge</v>
      </c>
      <c r="B375" t="str">
        <f>Charms!B375</f>
        <v>Elusive Crosswind Defense</v>
      </c>
      <c r="C375" t="b">
        <f ca="1">OR(Values!$S$98&gt;=Charms!M375,IFERROR(Charms!J375=OFFSET(Values!$A$24,MATCH("S",Values!$T$25:$T$50,0),0),FALSE))</f>
        <v>0</v>
      </c>
      <c r="D375" t="b">
        <f>VLOOKUP(Charms!J375,Values!$A$11:$S$59,19,0)&gt;=Charms!L375</f>
        <v>0</v>
      </c>
      <c r="E375" t="e">
        <f>OR(ISBLANK(Charms!I375),(VLOOKUP(Values!$S$6,Castes!$B$2:$F$25,4,0)=Charms!I375))</f>
        <v>#N/A</v>
      </c>
      <c r="J375" t="e">
        <f t="shared" ca="1" si="26"/>
        <v>#N/A</v>
      </c>
      <c r="K375" s="18" t="e">
        <f t="shared" ca="1" si="25"/>
        <v>#N/A</v>
      </c>
      <c r="L375" t="e">
        <f ca="1">IF(J375,Charms!B375,"")</f>
        <v>#N/A</v>
      </c>
      <c r="M375" t="str">
        <f t="shared" ca="1" si="27"/>
        <v>-</v>
      </c>
      <c r="N375" s="18" t="str">
        <f t="shared" si="28"/>
        <v>K343:L384</v>
      </c>
      <c r="O375" t="str">
        <f t="shared" si="29"/>
        <v>A343:A375</v>
      </c>
    </row>
    <row r="376" spans="1:15">
      <c r="A376" s="18" t="str">
        <f>Charms!K376</f>
        <v>Dodge</v>
      </c>
      <c r="B376" t="str">
        <f>Charms!B376</f>
        <v>Ember-Amid-Smoke Misdirection</v>
      </c>
      <c r="C376" t="b">
        <f ca="1">OR(Values!$S$98&gt;=Charms!M376,IFERROR(Charms!J376=OFFSET(Values!$A$24,MATCH("S",Values!$T$25:$T$50,0),0),FALSE))</f>
        <v>0</v>
      </c>
      <c r="D376" t="b">
        <f>VLOOKUP(Charms!J376,Values!$A$11:$S$59,19,0)&gt;=Charms!L376</f>
        <v>0</v>
      </c>
      <c r="E376" t="e">
        <f>OR(ISBLANK(Charms!I376),(VLOOKUP(Values!$S$6,Castes!$B$2:$F$25,4,0)=Charms!I376))</f>
        <v>#N/A</v>
      </c>
      <c r="J376" t="e">
        <f t="shared" ca="1" si="26"/>
        <v>#N/A</v>
      </c>
      <c r="K376" s="18" t="e">
        <f t="shared" ca="1" si="25"/>
        <v>#N/A</v>
      </c>
      <c r="L376" t="e">
        <f ca="1">IF(J376,Charms!B376,"")</f>
        <v>#N/A</v>
      </c>
      <c r="M376" t="str">
        <f t="shared" ca="1" si="27"/>
        <v>-</v>
      </c>
      <c r="N376" s="18" t="str">
        <f t="shared" si="28"/>
        <v>K343:L384</v>
      </c>
      <c r="O376" t="str">
        <f t="shared" si="29"/>
        <v>A343:A376</v>
      </c>
    </row>
    <row r="377" spans="1:15">
      <c r="A377" s="18" t="str">
        <f>Charms!K377</f>
        <v>Dodge</v>
      </c>
      <c r="B377" t="str">
        <f>Charms!B377</f>
        <v>Safety Among Enemies</v>
      </c>
      <c r="C377" t="b">
        <f ca="1">OR(Values!$S$98&gt;=Charms!M377,IFERROR(Charms!J377=OFFSET(Values!$A$24,MATCH("S",Values!$T$25:$T$50,0),0),FALSE))</f>
        <v>0</v>
      </c>
      <c r="D377" t="b">
        <f>VLOOKUP(Charms!J377,Values!$A$11:$S$59,19,0)&gt;=Charms!L377</f>
        <v>0</v>
      </c>
      <c r="E377" t="e">
        <f>OR(ISBLANK(Charms!I377),(VLOOKUP(Values!$S$6,Castes!$B$2:$F$25,4,0)=Charms!I377))</f>
        <v>#N/A</v>
      </c>
      <c r="J377" t="e">
        <f t="shared" ca="1" si="26"/>
        <v>#N/A</v>
      </c>
      <c r="K377" s="18" t="e">
        <f t="shared" ca="1" si="25"/>
        <v>#N/A</v>
      </c>
      <c r="L377" t="e">
        <f ca="1">IF(J377,Charms!B377,"")</f>
        <v>#N/A</v>
      </c>
      <c r="M377" t="str">
        <f t="shared" ca="1" si="27"/>
        <v>-</v>
      </c>
      <c r="N377" s="18" t="str">
        <f t="shared" si="28"/>
        <v>K343:L384</v>
      </c>
      <c r="O377" t="str">
        <f t="shared" si="29"/>
        <v>A343:A377</v>
      </c>
    </row>
    <row r="378" spans="1:15">
      <c r="A378" s="18" t="str">
        <f>Charms!K378</f>
        <v>Dodge</v>
      </c>
      <c r="B378" t="str">
        <f>Charms!B378</f>
        <v>Unmoving Center Enlightenment</v>
      </c>
      <c r="C378" t="b">
        <f ca="1">OR(Values!$S$98&gt;=Charms!M378,IFERROR(Charms!J378=OFFSET(Values!$A$24,MATCH("S",Values!$T$25:$T$50,0),0),FALSE))</f>
        <v>0</v>
      </c>
      <c r="D378" t="b">
        <f>VLOOKUP(Charms!J378,Values!$A$11:$S$59,19,0)&gt;=Charms!L378</f>
        <v>0</v>
      </c>
      <c r="E378" t="e">
        <f>OR(ISBLANK(Charms!I378),(VLOOKUP(Values!$S$6,Castes!$B$2:$F$25,4,0)=Charms!I378))</f>
        <v>#N/A</v>
      </c>
      <c r="J378" t="e">
        <f t="shared" ca="1" si="26"/>
        <v>#N/A</v>
      </c>
      <c r="K378" s="18" t="e">
        <f t="shared" ca="1" si="25"/>
        <v>#N/A</v>
      </c>
      <c r="L378" t="e">
        <f ca="1">IF(J378,Charms!B378,"")</f>
        <v>#N/A</v>
      </c>
      <c r="M378" t="str">
        <f t="shared" ca="1" si="27"/>
        <v>-</v>
      </c>
      <c r="N378" s="18" t="str">
        <f t="shared" si="28"/>
        <v>K343:L384</v>
      </c>
      <c r="O378" t="str">
        <f t="shared" si="29"/>
        <v>A343:A378</v>
      </c>
    </row>
    <row r="379" spans="1:15">
      <c r="A379" s="18" t="str">
        <f>Charms!K379</f>
        <v>Dodge</v>
      </c>
      <c r="B379" t="str">
        <f>Charms!B379</f>
        <v>Unassailable Body of Fire</v>
      </c>
      <c r="C379" t="b">
        <f ca="1">OR(Values!$S$98&gt;=Charms!M379,IFERROR(Charms!J379=OFFSET(Values!$A$24,MATCH("S",Values!$T$25:$T$50,0),0),FALSE))</f>
        <v>0</v>
      </c>
      <c r="D379" t="b">
        <f>VLOOKUP(Charms!J379,Values!$A$11:$S$59,19,0)&gt;=Charms!L379</f>
        <v>0</v>
      </c>
      <c r="E379" t="e">
        <f>OR(ISBLANK(Charms!I379),(VLOOKUP(Values!$S$6,Castes!$B$2:$F$25,4,0)=Charms!I379))</f>
        <v>#N/A</v>
      </c>
      <c r="J379" t="e">
        <f t="shared" ca="1" si="26"/>
        <v>#N/A</v>
      </c>
      <c r="K379" s="18" t="e">
        <f t="shared" ca="1" si="25"/>
        <v>#N/A</v>
      </c>
      <c r="L379" t="e">
        <f ca="1">IF(J379,Charms!B379,"")</f>
        <v>#N/A</v>
      </c>
      <c r="M379" t="str">
        <f t="shared" ca="1" si="27"/>
        <v>-</v>
      </c>
      <c r="N379" s="18" t="str">
        <f t="shared" si="28"/>
        <v>K343:L384</v>
      </c>
      <c r="O379" t="str">
        <f t="shared" si="29"/>
        <v>A343:A379</v>
      </c>
    </row>
    <row r="380" spans="1:15">
      <c r="A380" s="18" t="str">
        <f>Charms!K380</f>
        <v>Dodge</v>
      </c>
      <c r="B380" t="str">
        <f>Charms!B380</f>
        <v>Flow With Strife</v>
      </c>
      <c r="C380" t="b">
        <f ca="1">OR(Values!$S$98&gt;=Charms!M380,IFERROR(Charms!J380=OFFSET(Values!$A$24,MATCH("S",Values!$T$25:$T$50,0),0),FALSE))</f>
        <v>0</v>
      </c>
      <c r="D380" t="b">
        <f>VLOOKUP(Charms!J380,Values!$A$11:$S$59,19,0)&gt;=Charms!L380</f>
        <v>0</v>
      </c>
      <c r="E380" t="e">
        <f>OR(ISBLANK(Charms!I380),(VLOOKUP(Values!$S$6,Castes!$B$2:$F$25,4,0)=Charms!I380))</f>
        <v>#N/A</v>
      </c>
      <c r="J380" t="e">
        <f t="shared" ca="1" si="26"/>
        <v>#N/A</v>
      </c>
      <c r="K380" s="18" t="e">
        <f t="shared" ca="1" si="25"/>
        <v>#N/A</v>
      </c>
      <c r="L380" t="e">
        <f ca="1">IF(J380,Charms!B380,"")</f>
        <v>#N/A</v>
      </c>
      <c r="M380" t="str">
        <f t="shared" ca="1" si="27"/>
        <v>-</v>
      </c>
      <c r="N380" s="18" t="str">
        <f t="shared" si="28"/>
        <v>K343:L384</v>
      </c>
      <c r="O380" t="str">
        <f t="shared" si="29"/>
        <v>A343:A380</v>
      </c>
    </row>
    <row r="381" spans="1:15">
      <c r="A381" s="18" t="str">
        <f>Charms!K381</f>
        <v>Dodge</v>
      </c>
      <c r="B381" t="str">
        <f>Charms!B381</f>
        <v>Swaying Grass Elusion</v>
      </c>
      <c r="C381" t="b">
        <f ca="1">OR(Values!$S$98&gt;=Charms!M381,IFERROR(Charms!J381=OFFSET(Values!$A$24,MATCH("S",Values!$T$25:$T$50,0),0),FALSE))</f>
        <v>0</v>
      </c>
      <c r="D381" t="b">
        <f>VLOOKUP(Charms!J381,Values!$A$11:$S$59,19,0)&gt;=Charms!L381</f>
        <v>0</v>
      </c>
      <c r="E381" t="e">
        <f>OR(ISBLANK(Charms!I381),(VLOOKUP(Values!$S$6,Castes!$B$2:$F$25,4,0)=Charms!I381))</f>
        <v>#N/A</v>
      </c>
      <c r="J381" t="e">
        <f t="shared" ca="1" si="26"/>
        <v>#N/A</v>
      </c>
      <c r="K381" s="18" t="e">
        <f t="shared" ca="1" si="25"/>
        <v>#N/A</v>
      </c>
      <c r="L381" t="e">
        <f ca="1">IF(J381,Charms!B381,"")</f>
        <v>#N/A</v>
      </c>
      <c r="M381" t="str">
        <f t="shared" ca="1" si="27"/>
        <v>-</v>
      </c>
      <c r="N381" s="18" t="str">
        <f t="shared" si="28"/>
        <v>K343:L384</v>
      </c>
      <c r="O381" t="str">
        <f t="shared" si="29"/>
        <v>A343:A381</v>
      </c>
    </row>
    <row r="382" spans="1:15">
      <c r="A382" s="18" t="str">
        <f>Charms!K382</f>
        <v>Dodge</v>
      </c>
      <c r="B382" t="str">
        <f>Charms!B382</f>
        <v>Bonfire Shadow Evasion</v>
      </c>
      <c r="C382" t="b">
        <f ca="1">OR(Values!$S$98&gt;=Charms!M382,IFERROR(Charms!J382=OFFSET(Values!$A$24,MATCH("S",Values!$T$25:$T$50,0),0),FALSE))</f>
        <v>0</v>
      </c>
      <c r="D382" t="b">
        <f>VLOOKUP(Charms!J382,Values!$A$11:$S$59,19,0)&gt;=Charms!L382</f>
        <v>0</v>
      </c>
      <c r="E382" t="e">
        <f>OR(ISBLANK(Charms!I382),(VLOOKUP(Values!$S$6,Castes!$B$2:$F$25,4,0)=Charms!I382))</f>
        <v>#N/A</v>
      </c>
      <c r="J382" t="e">
        <f t="shared" ca="1" si="26"/>
        <v>#N/A</v>
      </c>
      <c r="K382" s="18" t="e">
        <f t="shared" ca="1" si="25"/>
        <v>#N/A</v>
      </c>
      <c r="L382" t="e">
        <f ca="1">IF(J382,Charms!B382,"")</f>
        <v>#N/A</v>
      </c>
      <c r="M382" t="str">
        <f t="shared" ca="1" si="27"/>
        <v>-</v>
      </c>
      <c r="N382" s="18" t="str">
        <f t="shared" si="28"/>
        <v>K343:L384</v>
      </c>
      <c r="O382" t="str">
        <f t="shared" si="29"/>
        <v>A343:A382</v>
      </c>
    </row>
    <row r="383" spans="1:15">
      <c r="A383" s="18" t="str">
        <f>Charms!K383</f>
        <v>Dodge</v>
      </c>
      <c r="B383" t="str">
        <f>Charms!B383</f>
        <v>Coiling Dragon Dance</v>
      </c>
      <c r="C383" t="b">
        <f ca="1">OR(Values!$S$98&gt;=Charms!M383,IFERROR(Charms!J383=OFFSET(Values!$A$24,MATCH("S",Values!$T$25:$T$50,0),0),FALSE))</f>
        <v>0</v>
      </c>
      <c r="D383" t="b">
        <f>VLOOKUP(Charms!J383,Values!$A$11:$S$59,19,0)&gt;=Charms!L383</f>
        <v>0</v>
      </c>
      <c r="E383" t="e">
        <f>OR(ISBLANK(Charms!I383),(VLOOKUP(Values!$S$6,Castes!$B$2:$F$25,4,0)=Charms!I383))</f>
        <v>#N/A</v>
      </c>
      <c r="J383" t="e">
        <f t="shared" ca="1" si="26"/>
        <v>#N/A</v>
      </c>
      <c r="K383" s="18" t="e">
        <f t="shared" ca="1" si="25"/>
        <v>#N/A</v>
      </c>
      <c r="L383" t="e">
        <f ca="1">IF(J383,Charms!B383,"")</f>
        <v>#N/A</v>
      </c>
      <c r="M383" t="str">
        <f t="shared" ca="1" si="27"/>
        <v>-</v>
      </c>
      <c r="N383" s="18" t="str">
        <f t="shared" si="28"/>
        <v>K343:L384</v>
      </c>
      <c r="O383" t="str">
        <f t="shared" si="29"/>
        <v>A343:A383</v>
      </c>
    </row>
    <row r="384" spans="1:15">
      <c r="A384" s="18" t="str">
        <f>Charms!K384</f>
        <v>Dodge</v>
      </c>
      <c r="B384" t="str">
        <f>Charms!B384</f>
        <v>Elusive Dragon-God Dispersion</v>
      </c>
      <c r="C384" t="b">
        <f ca="1">OR(Values!$S$98&gt;=Charms!M384,IFERROR(Charms!J384=OFFSET(Values!$A$24,MATCH("S",Values!$T$25:$T$50,0),0),FALSE))</f>
        <v>0</v>
      </c>
      <c r="D384" t="b">
        <f>VLOOKUP(Charms!J384,Values!$A$11:$S$59,19,0)&gt;=Charms!L384</f>
        <v>0</v>
      </c>
      <c r="E384" t="e">
        <f>OR(ISBLANK(Charms!I384),(VLOOKUP(Values!$S$6,Castes!$B$2:$F$25,4,0)=Charms!I384))</f>
        <v>#N/A</v>
      </c>
      <c r="J384" t="e">
        <f t="shared" ca="1" si="26"/>
        <v>#N/A</v>
      </c>
      <c r="K384" s="18" t="e">
        <f t="shared" ca="1" si="25"/>
        <v>#N/A</v>
      </c>
      <c r="L384" t="e">
        <f ca="1">IF(J384,Charms!B384,"")</f>
        <v>#N/A</v>
      </c>
      <c r="M384" t="str">
        <f t="shared" ca="1" si="27"/>
        <v>-</v>
      </c>
      <c r="N384" s="18" t="str">
        <f t="shared" si="28"/>
        <v>K343:L384</v>
      </c>
      <c r="O384" t="str">
        <f t="shared" si="29"/>
        <v>A343:A384</v>
      </c>
    </row>
    <row r="385" spans="1:15">
      <c r="A385" s="18" t="str">
        <f>Charms!K385</f>
        <v>Integrity</v>
      </c>
      <c r="B385" t="str">
        <f>Charms!B385</f>
        <v>Enduring Mental Toughness</v>
      </c>
      <c r="C385" t="b">
        <f ca="1">OR(Values!$S$98&gt;=Charms!M385,IFERROR(Charms!J385=OFFSET(Values!$A$24,MATCH("S",Values!$T$25:$T$50,0),0),FALSE))</f>
        <v>1</v>
      </c>
      <c r="D385" t="b">
        <f>VLOOKUP(Charms!J385,Values!$A$11:$S$59,19,0)&gt;=Charms!L385</f>
        <v>0</v>
      </c>
      <c r="E385" t="e">
        <f>OR(ISBLANK(Charms!I385),(VLOOKUP(Values!$S$6,Castes!$B$2:$F$25,4,0)=Charms!I385))</f>
        <v>#N/A</v>
      </c>
      <c r="J385" t="e">
        <f t="shared" ca="1" si="26"/>
        <v>#N/A</v>
      </c>
      <c r="K385" s="18" t="e">
        <f t="shared" ca="1" si="25"/>
        <v>#N/A</v>
      </c>
      <c r="L385" t="e">
        <f ca="1">IF(J385,Charms!B385,"")</f>
        <v>#N/A</v>
      </c>
      <c r="M385" t="str">
        <f t="shared" ca="1" si="27"/>
        <v>-</v>
      </c>
      <c r="N385" s="18" t="str">
        <f t="shared" si="28"/>
        <v>K385:L433</v>
      </c>
      <c r="O385" t="str">
        <f t="shared" si="29"/>
        <v>A385:A385</v>
      </c>
    </row>
    <row r="386" spans="1:15">
      <c r="A386" s="18" t="str">
        <f>Charms!K386</f>
        <v>Integrity</v>
      </c>
      <c r="B386" t="str">
        <f>Charms!B386</f>
        <v>Destiny-Manifesting Method</v>
      </c>
      <c r="C386" t="b">
        <f ca="1">OR(Values!$S$98&gt;=Charms!M386,IFERROR(Charms!J386=OFFSET(Values!$A$24,MATCH("S",Values!$T$25:$T$50,0),0),FALSE))</f>
        <v>1</v>
      </c>
      <c r="D386" t="b">
        <f>VLOOKUP(Charms!J386,Values!$A$11:$S$59,19,0)&gt;=Charms!L386</f>
        <v>0</v>
      </c>
      <c r="E386" t="e">
        <f>OR(ISBLANK(Charms!I386),(VLOOKUP(Values!$S$6,Castes!$B$2:$F$25,4,0)=Charms!I386))</f>
        <v>#N/A</v>
      </c>
      <c r="J386" t="e">
        <f t="shared" ca="1" si="26"/>
        <v>#N/A</v>
      </c>
      <c r="K386" s="18" t="e">
        <f t="shared" ref="K386:K449" ca="1" si="30">IF(L386="","",COUNTIF(INDIRECT("J"&amp;MATCH(A386,A:A,0)&amp;":J"&amp;ROW()),J386))</f>
        <v>#N/A</v>
      </c>
      <c r="L386" t="e">
        <f ca="1">IF(J386,Charms!B386,"")</f>
        <v>#N/A</v>
      </c>
      <c r="M386" t="str">
        <f t="shared" ca="1" si="27"/>
        <v>-</v>
      </c>
      <c r="N386" s="18" t="str">
        <f t="shared" si="28"/>
        <v>K385:L433</v>
      </c>
      <c r="O386" t="str">
        <f t="shared" si="29"/>
        <v>A385:A386</v>
      </c>
    </row>
    <row r="387" spans="1:15">
      <c r="A387" s="18" t="str">
        <f>Charms!K387</f>
        <v>Integrity</v>
      </c>
      <c r="B387" t="str">
        <f>Charms!B387</f>
        <v>Stubborn Boar Defense</v>
      </c>
      <c r="C387" t="b">
        <f ca="1">OR(Values!$S$98&gt;=Charms!M387,IFERROR(Charms!J387=OFFSET(Values!$A$24,MATCH("S",Values!$T$25:$T$50,0),0),FALSE))</f>
        <v>1</v>
      </c>
      <c r="D387" t="b">
        <f>VLOOKUP(Charms!J387,Values!$A$11:$S$59,19,0)&gt;=Charms!L387</f>
        <v>0</v>
      </c>
      <c r="E387" t="e">
        <f>OR(ISBLANK(Charms!I387),(VLOOKUP(Values!$S$6,Castes!$B$2:$F$25,4,0)=Charms!I387))</f>
        <v>#N/A</v>
      </c>
      <c r="J387" t="e">
        <f t="shared" ref="J387:J450" ca="1" si="31">(C387+D387+E387+F387+G387+H387+I387)=3</f>
        <v>#N/A</v>
      </c>
      <c r="K387" s="18" t="e">
        <f t="shared" ca="1" si="30"/>
        <v>#N/A</v>
      </c>
      <c r="L387" t="e">
        <f ca="1">IF(J387,Charms!B387,"")</f>
        <v>#N/A</v>
      </c>
      <c r="M387" t="str">
        <f t="shared" ref="M387:M450" ca="1" si="32">IFERROR(VLOOKUP(COUNTIF(INDIRECT(O387),A387),INDIRECT(N387),2,0),"-")</f>
        <v>-</v>
      </c>
      <c r="N387" s="18" t="str">
        <f t="shared" ref="N387:N450" si="33">"K"&amp;MATCH(A387,A:A,0)&amp;":L"&amp;(MATCH(A387,A:A,0)+COUNTIF(A:A,A387)-1)</f>
        <v>K385:L433</v>
      </c>
      <c r="O387" t="str">
        <f t="shared" ref="O387:O450" si="34">"A"&amp;MATCH(A387,A:A,0)&amp;":A"&amp;ROW()</f>
        <v>A385:A387</v>
      </c>
    </row>
    <row r="388" spans="1:15">
      <c r="A388" s="18" t="str">
        <f>Charms!K388</f>
        <v>Integrity</v>
      </c>
      <c r="B388" t="str">
        <f>Charms!B388</f>
        <v>Integrity-Protecting Prana</v>
      </c>
      <c r="C388" t="b">
        <f ca="1">OR(Values!$S$98&gt;=Charms!M388,IFERROR(Charms!J388=OFFSET(Values!$A$24,MATCH("S",Values!$T$25:$T$50,0),0),FALSE))</f>
        <v>1</v>
      </c>
      <c r="D388" t="b">
        <f>VLOOKUP(Charms!J388,Values!$A$11:$S$59,19,0)&gt;=Charms!L388</f>
        <v>0</v>
      </c>
      <c r="E388" t="e">
        <f>OR(ISBLANK(Charms!I388),(VLOOKUP(Values!$S$6,Castes!$B$2:$F$25,4,0)=Charms!I388))</f>
        <v>#N/A</v>
      </c>
      <c r="J388" t="e">
        <f t="shared" ca="1" si="31"/>
        <v>#N/A</v>
      </c>
      <c r="K388" s="18" t="e">
        <f t="shared" ca="1" si="30"/>
        <v>#N/A</v>
      </c>
      <c r="L388" t="e">
        <f ca="1">IF(J388,Charms!B388,"")</f>
        <v>#N/A</v>
      </c>
      <c r="M388" t="str">
        <f t="shared" ca="1" si="32"/>
        <v>-</v>
      </c>
      <c r="N388" s="18" t="str">
        <f t="shared" si="33"/>
        <v>K385:L433</v>
      </c>
      <c r="O388" t="str">
        <f t="shared" si="34"/>
        <v>A385:A388</v>
      </c>
    </row>
    <row r="389" spans="1:15">
      <c r="A389" s="18" t="str">
        <f>Charms!K389</f>
        <v>Integrity</v>
      </c>
      <c r="B389" t="str">
        <f>Charms!B389</f>
        <v>Legend-Soul Revival</v>
      </c>
      <c r="C389" t="b">
        <f ca="1">OR(Values!$S$98&gt;=Charms!M389,IFERROR(Charms!J389=OFFSET(Values!$A$24,MATCH("S",Values!$T$25:$T$50,0),0),FALSE))</f>
        <v>1</v>
      </c>
      <c r="D389" t="b">
        <f>VLOOKUP(Charms!J389,Values!$A$11:$S$59,19,0)&gt;=Charms!L389</f>
        <v>0</v>
      </c>
      <c r="E389" t="e">
        <f>OR(ISBLANK(Charms!I389),(VLOOKUP(Values!$S$6,Castes!$B$2:$F$25,4,0)=Charms!I389))</f>
        <v>#N/A</v>
      </c>
      <c r="J389" t="e">
        <f t="shared" ca="1" si="31"/>
        <v>#N/A</v>
      </c>
      <c r="K389" s="18" t="e">
        <f t="shared" ca="1" si="30"/>
        <v>#N/A</v>
      </c>
      <c r="L389" t="e">
        <f ca="1">IF(J389,Charms!B389,"")</f>
        <v>#N/A</v>
      </c>
      <c r="M389" t="str">
        <f t="shared" ca="1" si="32"/>
        <v>-</v>
      </c>
      <c r="N389" s="18" t="str">
        <f t="shared" si="33"/>
        <v>K385:L433</v>
      </c>
      <c r="O389" t="str">
        <f t="shared" si="34"/>
        <v>A385:A389</v>
      </c>
    </row>
    <row r="390" spans="1:15">
      <c r="A390" s="18" t="str">
        <f>Charms!K390</f>
        <v>Integrity</v>
      </c>
      <c r="B390" t="str">
        <f>Charms!B390</f>
        <v>Spirit-Maintaining Maneuver</v>
      </c>
      <c r="C390" t="b">
        <f ca="1">OR(Values!$S$98&gt;=Charms!M390,IFERROR(Charms!J390=OFFSET(Values!$A$24,MATCH("S",Values!$T$25:$T$50,0),0),FALSE))</f>
        <v>0</v>
      </c>
      <c r="D390" t="b">
        <f>VLOOKUP(Charms!J390,Values!$A$11:$S$59,19,0)&gt;=Charms!L390</f>
        <v>0</v>
      </c>
      <c r="E390" t="e">
        <f>OR(ISBLANK(Charms!I390),(VLOOKUP(Values!$S$6,Castes!$B$2:$F$25,4,0)=Charms!I390))</f>
        <v>#N/A</v>
      </c>
      <c r="J390" t="e">
        <f t="shared" ca="1" si="31"/>
        <v>#N/A</v>
      </c>
      <c r="K390" s="18" t="e">
        <f t="shared" ca="1" si="30"/>
        <v>#N/A</v>
      </c>
      <c r="L390" t="e">
        <f ca="1">IF(J390,Charms!B390,"")</f>
        <v>#N/A</v>
      </c>
      <c r="M390" t="str">
        <f t="shared" ca="1" si="32"/>
        <v>-</v>
      </c>
      <c r="N390" s="18" t="str">
        <f t="shared" si="33"/>
        <v>K385:L433</v>
      </c>
      <c r="O390" t="str">
        <f t="shared" si="34"/>
        <v>A385:A390</v>
      </c>
    </row>
    <row r="391" spans="1:15">
      <c r="A391" s="18" t="str">
        <f>Charms!K391</f>
        <v>Integrity</v>
      </c>
      <c r="B391" t="str">
        <f>Charms!B391</f>
        <v>Temptation-Resisting Stance</v>
      </c>
      <c r="C391" t="b">
        <f ca="1">OR(Values!$S$98&gt;=Charms!M391,IFERROR(Charms!J391=OFFSET(Values!$A$24,MATCH("S",Values!$T$25:$T$50,0),0),FALSE))</f>
        <v>0</v>
      </c>
      <c r="D391" t="b">
        <f>VLOOKUP(Charms!J391,Values!$A$11:$S$59,19,0)&gt;=Charms!L391</f>
        <v>0</v>
      </c>
      <c r="E391" t="e">
        <f>OR(ISBLANK(Charms!I391),(VLOOKUP(Values!$S$6,Castes!$B$2:$F$25,4,0)=Charms!I391))</f>
        <v>#N/A</v>
      </c>
      <c r="J391" t="e">
        <f t="shared" ca="1" si="31"/>
        <v>#N/A</v>
      </c>
      <c r="K391" s="18" t="e">
        <f t="shared" ca="1" si="30"/>
        <v>#N/A</v>
      </c>
      <c r="L391" t="e">
        <f ca="1">IF(J391,Charms!B391,"")</f>
        <v>#N/A</v>
      </c>
      <c r="M391" t="str">
        <f t="shared" ca="1" si="32"/>
        <v>-</v>
      </c>
      <c r="N391" s="18" t="str">
        <f t="shared" si="33"/>
        <v>K385:L433</v>
      </c>
      <c r="O391" t="str">
        <f t="shared" si="34"/>
        <v>A385:A391</v>
      </c>
    </row>
    <row r="392" spans="1:15">
      <c r="A392" s="18" t="str">
        <f>Charms!K392</f>
        <v>Integrity</v>
      </c>
      <c r="B392" t="str">
        <f>Charms!B392</f>
        <v>Undying Solar Resolve</v>
      </c>
      <c r="C392" t="b">
        <f ca="1">OR(Values!$S$98&gt;=Charms!M392,IFERROR(Charms!J392=OFFSET(Values!$A$24,MATCH("S",Values!$T$25:$T$50,0),0),FALSE))</f>
        <v>0</v>
      </c>
      <c r="D392" t="b">
        <f>VLOOKUP(Charms!J392,Values!$A$11:$S$59,19,0)&gt;=Charms!L392</f>
        <v>0</v>
      </c>
      <c r="E392" t="e">
        <f>OR(ISBLANK(Charms!I392),(VLOOKUP(Values!$S$6,Castes!$B$2:$F$25,4,0)=Charms!I392))</f>
        <v>#N/A</v>
      </c>
      <c r="J392" t="e">
        <f t="shared" ca="1" si="31"/>
        <v>#N/A</v>
      </c>
      <c r="K392" s="18" t="e">
        <f t="shared" ca="1" si="30"/>
        <v>#N/A</v>
      </c>
      <c r="L392" t="e">
        <f ca="1">IF(J392,Charms!B392,"")</f>
        <v>#N/A</v>
      </c>
      <c r="M392" t="str">
        <f t="shared" ca="1" si="32"/>
        <v>-</v>
      </c>
      <c r="N392" s="18" t="str">
        <f t="shared" si="33"/>
        <v>K385:L433</v>
      </c>
      <c r="O392" t="str">
        <f t="shared" si="34"/>
        <v>A385:A392</v>
      </c>
    </row>
    <row r="393" spans="1:15">
      <c r="A393" s="18" t="str">
        <f>Charms!K393</f>
        <v>Integrity</v>
      </c>
      <c r="B393" t="str">
        <f>Charms!B393</f>
        <v>Mind-Cleansing Prana</v>
      </c>
      <c r="C393" t="b">
        <f ca="1">OR(Values!$S$98&gt;=Charms!M393,IFERROR(Charms!J393=OFFSET(Values!$A$24,MATCH("S",Values!$T$25:$T$50,0),0),FALSE))</f>
        <v>0</v>
      </c>
      <c r="D393" t="b">
        <f>VLOOKUP(Charms!J393,Values!$A$11:$S$59,19,0)&gt;=Charms!L393</f>
        <v>0</v>
      </c>
      <c r="E393" t="e">
        <f>OR(ISBLANK(Charms!I393),(VLOOKUP(Values!$S$6,Castes!$B$2:$F$25,4,0)=Charms!I393))</f>
        <v>#N/A</v>
      </c>
      <c r="J393" t="e">
        <f t="shared" ca="1" si="31"/>
        <v>#N/A</v>
      </c>
      <c r="K393" s="18" t="e">
        <f t="shared" ca="1" si="30"/>
        <v>#N/A</v>
      </c>
      <c r="L393" t="e">
        <f ca="1">IF(J393,Charms!B393,"")</f>
        <v>#N/A</v>
      </c>
      <c r="M393" t="str">
        <f t="shared" ca="1" si="32"/>
        <v>-</v>
      </c>
      <c r="N393" s="18" t="str">
        <f t="shared" si="33"/>
        <v>K385:L433</v>
      </c>
      <c r="O393" t="str">
        <f t="shared" si="34"/>
        <v>A385:A393</v>
      </c>
    </row>
    <row r="394" spans="1:15">
      <c r="A394" s="18" t="str">
        <f>Charms!K394</f>
        <v>Integrity</v>
      </c>
      <c r="B394" t="str">
        <f>Charms!B394</f>
        <v>Steel Heart Stance</v>
      </c>
      <c r="C394" t="b">
        <f ca="1">OR(Values!$S$98&gt;=Charms!M394,IFERROR(Charms!J394=OFFSET(Values!$A$24,MATCH("S",Values!$T$25:$T$50,0),0),FALSE))</f>
        <v>0</v>
      </c>
      <c r="D394" t="b">
        <f>VLOOKUP(Charms!J394,Values!$A$11:$S$59,19,0)&gt;=Charms!L394</f>
        <v>0</v>
      </c>
      <c r="E394" t="e">
        <f>OR(ISBLANK(Charms!I394),(VLOOKUP(Values!$S$6,Castes!$B$2:$F$25,4,0)=Charms!I394))</f>
        <v>#N/A</v>
      </c>
      <c r="J394" t="e">
        <f t="shared" ca="1" si="31"/>
        <v>#N/A</v>
      </c>
      <c r="K394" s="18" t="e">
        <f t="shared" ca="1" si="30"/>
        <v>#N/A</v>
      </c>
      <c r="L394" t="e">
        <f ca="1">IF(J394,Charms!B394,"")</f>
        <v>#N/A</v>
      </c>
      <c r="M394" t="str">
        <f t="shared" ca="1" si="32"/>
        <v>-</v>
      </c>
      <c r="N394" s="18" t="str">
        <f t="shared" si="33"/>
        <v>K385:L433</v>
      </c>
      <c r="O394" t="str">
        <f t="shared" si="34"/>
        <v>A385:A394</v>
      </c>
    </row>
    <row r="395" spans="1:15">
      <c r="A395" s="18" t="str">
        <f>Charms!K395</f>
        <v>Integrity</v>
      </c>
      <c r="B395" t="str">
        <f>Charms!B395</f>
        <v>Clear Mind Discipline</v>
      </c>
      <c r="C395" t="b">
        <f ca="1">OR(Values!$S$98&gt;=Charms!M395,IFERROR(Charms!J395=OFFSET(Values!$A$24,MATCH("S",Values!$T$25:$T$50,0),0),FALSE))</f>
        <v>0</v>
      </c>
      <c r="D395" t="b">
        <f>VLOOKUP(Charms!J395,Values!$A$11:$S$59,19,0)&gt;=Charms!L395</f>
        <v>0</v>
      </c>
      <c r="E395" t="e">
        <f>OR(ISBLANK(Charms!I395),(VLOOKUP(Values!$S$6,Castes!$B$2:$F$25,4,0)=Charms!I395))</f>
        <v>#N/A</v>
      </c>
      <c r="J395" t="e">
        <f t="shared" ca="1" si="31"/>
        <v>#N/A</v>
      </c>
      <c r="K395" s="18" t="e">
        <f t="shared" ca="1" si="30"/>
        <v>#N/A</v>
      </c>
      <c r="L395" t="e">
        <f ca="1">IF(J395,Charms!B395,"")</f>
        <v>#N/A</v>
      </c>
      <c r="M395" t="str">
        <f t="shared" ca="1" si="32"/>
        <v>-</v>
      </c>
      <c r="N395" s="18" t="str">
        <f t="shared" si="33"/>
        <v>K385:L433</v>
      </c>
      <c r="O395" t="str">
        <f t="shared" si="34"/>
        <v>A385:A395</v>
      </c>
    </row>
    <row r="396" spans="1:15">
      <c r="A396" s="18" t="str">
        <f>Charms!K396</f>
        <v>Integrity</v>
      </c>
      <c r="B396" t="str">
        <f>Charms!B396</f>
        <v>Energy Restoration Prana</v>
      </c>
      <c r="C396" t="b">
        <f ca="1">OR(Values!$S$98&gt;=Charms!M396,IFERROR(Charms!J396=OFFSET(Values!$A$24,MATCH("S",Values!$T$25:$T$50,0),0),FALSE))</f>
        <v>0</v>
      </c>
      <c r="D396" t="b">
        <f>VLOOKUP(Charms!J396,Values!$A$11:$S$59,19,0)&gt;=Charms!L396</f>
        <v>0</v>
      </c>
      <c r="E396" t="e">
        <f>OR(ISBLANK(Charms!I396),(VLOOKUP(Values!$S$6,Castes!$B$2:$F$25,4,0)=Charms!I396))</f>
        <v>#N/A</v>
      </c>
      <c r="J396" t="e">
        <f t="shared" ca="1" si="31"/>
        <v>#N/A</v>
      </c>
      <c r="K396" s="18" t="e">
        <f t="shared" ca="1" si="30"/>
        <v>#N/A</v>
      </c>
      <c r="L396" t="e">
        <f ca="1">IF(J396,Charms!B396,"")</f>
        <v>#N/A</v>
      </c>
      <c r="M396" t="str">
        <f t="shared" ca="1" si="32"/>
        <v>-</v>
      </c>
      <c r="N396" s="18" t="str">
        <f t="shared" si="33"/>
        <v>K385:L433</v>
      </c>
      <c r="O396" t="str">
        <f t="shared" si="34"/>
        <v>A385:A396</v>
      </c>
    </row>
    <row r="397" spans="1:15">
      <c r="A397" s="18" t="str">
        <f>Charms!K397</f>
        <v>Integrity</v>
      </c>
      <c r="B397" t="str">
        <f>Charms!B397</f>
        <v>Righteous Lion Defense</v>
      </c>
      <c r="C397" t="b">
        <f ca="1">OR(Values!$S$98&gt;=Charms!M397,IFERROR(Charms!J397=OFFSET(Values!$A$24,MATCH("S",Values!$T$25:$T$50,0),0),FALSE))</f>
        <v>0</v>
      </c>
      <c r="D397" t="b">
        <f>VLOOKUP(Charms!J397,Values!$A$11:$S$59,19,0)&gt;=Charms!L397</f>
        <v>0</v>
      </c>
      <c r="E397" t="e">
        <f>OR(ISBLANK(Charms!I397),(VLOOKUP(Values!$S$6,Castes!$B$2:$F$25,4,0)=Charms!I397))</f>
        <v>#N/A</v>
      </c>
      <c r="J397" t="e">
        <f t="shared" ca="1" si="31"/>
        <v>#N/A</v>
      </c>
      <c r="K397" s="18" t="e">
        <f t="shared" ca="1" si="30"/>
        <v>#N/A</v>
      </c>
      <c r="L397" t="e">
        <f ca="1">IF(J397,Charms!B397,"")</f>
        <v>#N/A</v>
      </c>
      <c r="M397" t="str">
        <f t="shared" ca="1" si="32"/>
        <v>-</v>
      </c>
      <c r="N397" s="18" t="str">
        <f t="shared" si="33"/>
        <v>K385:L433</v>
      </c>
      <c r="O397" t="str">
        <f t="shared" si="34"/>
        <v>A385:A397</v>
      </c>
    </row>
    <row r="398" spans="1:15">
      <c r="A398" s="18" t="str">
        <f>Charms!K398</f>
        <v>Integrity</v>
      </c>
      <c r="B398" t="str">
        <f>Charms!B398</f>
        <v>Watchful Eyes of Heaven</v>
      </c>
      <c r="C398" t="b">
        <f ca="1">OR(Values!$S$98&gt;=Charms!M398,IFERROR(Charms!J398=OFFSET(Values!$A$24,MATCH("S",Values!$T$25:$T$50,0),0),FALSE))</f>
        <v>0</v>
      </c>
      <c r="D398" t="b">
        <f>VLOOKUP(Charms!J398,Values!$A$11:$S$59,19,0)&gt;=Charms!L398</f>
        <v>0</v>
      </c>
      <c r="E398" t="e">
        <f>OR(ISBLANK(Charms!I398),(VLOOKUP(Values!$S$6,Castes!$B$2:$F$25,4,0)=Charms!I398))</f>
        <v>#N/A</v>
      </c>
      <c r="J398" t="e">
        <f t="shared" ca="1" si="31"/>
        <v>#N/A</v>
      </c>
      <c r="K398" s="18" t="e">
        <f t="shared" ca="1" si="30"/>
        <v>#N/A</v>
      </c>
      <c r="L398" t="e">
        <f ca="1">IF(J398,Charms!B398,"")</f>
        <v>#N/A</v>
      </c>
      <c r="M398" t="str">
        <f t="shared" ca="1" si="32"/>
        <v>-</v>
      </c>
      <c r="N398" s="18" t="str">
        <f t="shared" si="33"/>
        <v>K385:L433</v>
      </c>
      <c r="O398" t="str">
        <f t="shared" si="34"/>
        <v>A385:A398</v>
      </c>
    </row>
    <row r="399" spans="1:15">
      <c r="A399" s="18" t="str">
        <f>Charms!K399</f>
        <v>Integrity</v>
      </c>
      <c r="B399" t="str">
        <f>Charms!B399</f>
        <v>Accord of the Unbreakable Spirit</v>
      </c>
      <c r="C399" t="b">
        <f ca="1">OR(Values!$S$98&gt;=Charms!M399,IFERROR(Charms!J399=OFFSET(Values!$A$24,MATCH("S",Values!$T$25:$T$50,0),0),FALSE))</f>
        <v>0</v>
      </c>
      <c r="D399" t="b">
        <f>VLOOKUP(Charms!J399,Values!$A$11:$S$59,19,0)&gt;=Charms!L399</f>
        <v>0</v>
      </c>
      <c r="E399" t="e">
        <f>OR(ISBLANK(Charms!I399),(VLOOKUP(Values!$S$6,Castes!$B$2:$F$25,4,0)=Charms!I399))</f>
        <v>#N/A</v>
      </c>
      <c r="J399" t="e">
        <f t="shared" ca="1" si="31"/>
        <v>#N/A</v>
      </c>
      <c r="K399" s="18" t="e">
        <f t="shared" ca="1" si="30"/>
        <v>#N/A</v>
      </c>
      <c r="L399" t="e">
        <f ca="1">IF(J399,Charms!B399,"")</f>
        <v>#N/A</v>
      </c>
      <c r="M399" t="str">
        <f t="shared" ca="1" si="32"/>
        <v>-</v>
      </c>
      <c r="N399" s="18" t="str">
        <f t="shared" si="33"/>
        <v>K385:L433</v>
      </c>
      <c r="O399" t="str">
        <f t="shared" si="34"/>
        <v>A385:A399</v>
      </c>
    </row>
    <row r="400" spans="1:15">
      <c r="A400" s="18" t="str">
        <f>Charms!K400</f>
        <v>Integrity</v>
      </c>
      <c r="B400" t="str">
        <f>Charms!B400</f>
        <v>Phoenix Renewal Tactic</v>
      </c>
      <c r="C400" t="b">
        <f ca="1">OR(Values!$S$98&gt;=Charms!M400,IFERROR(Charms!J400=OFFSET(Values!$A$24,MATCH("S",Values!$T$25:$T$50,0),0),FALSE))</f>
        <v>0</v>
      </c>
      <c r="D400" t="b">
        <f>VLOOKUP(Charms!J400,Values!$A$11:$S$59,19,0)&gt;=Charms!L400</f>
        <v>0</v>
      </c>
      <c r="E400" t="e">
        <f>OR(ISBLANK(Charms!I400),(VLOOKUP(Values!$S$6,Castes!$B$2:$F$25,4,0)=Charms!I400))</f>
        <v>#N/A</v>
      </c>
      <c r="J400" t="e">
        <f t="shared" ca="1" si="31"/>
        <v>#N/A</v>
      </c>
      <c r="K400" s="18" t="e">
        <f t="shared" ca="1" si="30"/>
        <v>#N/A</v>
      </c>
      <c r="L400" t="e">
        <f ca="1">IF(J400,Charms!B400,"")</f>
        <v>#N/A</v>
      </c>
      <c r="M400" t="str">
        <f t="shared" ca="1" si="32"/>
        <v>-</v>
      </c>
      <c r="N400" s="18" t="str">
        <f t="shared" si="33"/>
        <v>K385:L433</v>
      </c>
      <c r="O400" t="str">
        <f t="shared" si="34"/>
        <v>A385:A400</v>
      </c>
    </row>
    <row r="401" spans="1:15">
      <c r="A401" s="18" t="str">
        <f>Charms!K401</f>
        <v>Integrity</v>
      </c>
      <c r="B401" t="str">
        <f>Charms!B401</f>
        <v>Sun King Radiance</v>
      </c>
      <c r="C401" t="b">
        <f ca="1">OR(Values!$S$98&gt;=Charms!M401,IFERROR(Charms!J401=OFFSET(Values!$A$24,MATCH("S",Values!$T$25:$T$50,0),0),FALSE))</f>
        <v>0</v>
      </c>
      <c r="D401" t="b">
        <f>VLOOKUP(Charms!J401,Values!$A$11:$S$59,19,0)&gt;=Charms!L401</f>
        <v>0</v>
      </c>
      <c r="E401" t="e">
        <f>OR(ISBLANK(Charms!I401),(VLOOKUP(Values!$S$6,Castes!$B$2:$F$25,4,0)=Charms!I401))</f>
        <v>#N/A</v>
      </c>
      <c r="J401" t="e">
        <f t="shared" ca="1" si="31"/>
        <v>#N/A</v>
      </c>
      <c r="K401" s="18" t="e">
        <f t="shared" ca="1" si="30"/>
        <v>#N/A</v>
      </c>
      <c r="L401" t="e">
        <f ca="1">IF(J401,Charms!B401,"")</f>
        <v>#N/A</v>
      </c>
      <c r="M401" t="str">
        <f t="shared" ca="1" si="32"/>
        <v>-</v>
      </c>
      <c r="N401" s="18" t="str">
        <f t="shared" si="33"/>
        <v>K385:L433</v>
      </c>
      <c r="O401" t="str">
        <f t="shared" si="34"/>
        <v>A385:A401</v>
      </c>
    </row>
    <row r="402" spans="1:15">
      <c r="A402" s="18" t="str">
        <f>Charms!K402</f>
        <v>Integrity</v>
      </c>
      <c r="B402" t="str">
        <f>Charms!B402</f>
        <v>Soul-Nourishing Technique</v>
      </c>
      <c r="C402" t="b">
        <f ca="1">OR(Values!$S$98&gt;=Charms!M402,IFERROR(Charms!J402=OFFSET(Values!$A$24,MATCH("S",Values!$T$25:$T$50,0),0),FALSE))</f>
        <v>0</v>
      </c>
      <c r="D402" t="b">
        <f>VLOOKUP(Charms!J402,Values!$A$11:$S$59,19,0)&gt;=Charms!L402</f>
        <v>0</v>
      </c>
      <c r="E402" t="e">
        <f>OR(ISBLANK(Charms!I402),(VLOOKUP(Values!$S$6,Castes!$B$2:$F$25,4,0)=Charms!I402))</f>
        <v>#N/A</v>
      </c>
      <c r="J402" t="e">
        <f t="shared" ca="1" si="31"/>
        <v>#N/A</v>
      </c>
      <c r="K402" s="18" t="e">
        <f t="shared" ca="1" si="30"/>
        <v>#N/A</v>
      </c>
      <c r="L402" t="e">
        <f ca="1">IF(J402,Charms!B402,"")</f>
        <v>#N/A</v>
      </c>
      <c r="M402" t="str">
        <f t="shared" ca="1" si="32"/>
        <v>-</v>
      </c>
      <c r="N402" s="18" t="str">
        <f t="shared" si="33"/>
        <v>K385:L433</v>
      </c>
      <c r="O402" t="str">
        <f t="shared" si="34"/>
        <v>A385:A402</v>
      </c>
    </row>
    <row r="403" spans="1:15">
      <c r="A403" s="18" t="str">
        <f>Charms!K403</f>
        <v>Integrity</v>
      </c>
      <c r="B403" t="str">
        <f>Charms!B403</f>
        <v>Spirit-Tempering Practice</v>
      </c>
      <c r="C403" t="b">
        <f ca="1">OR(Values!$S$98&gt;=Charms!M403,IFERROR(Charms!J403=OFFSET(Values!$A$24,MATCH("S",Values!$T$25:$T$50,0),0),FALSE))</f>
        <v>0</v>
      </c>
      <c r="D403" t="b">
        <f>VLOOKUP(Charms!J403,Values!$A$11:$S$59,19,0)&gt;=Charms!L403</f>
        <v>0</v>
      </c>
      <c r="E403" t="e">
        <f>OR(ISBLANK(Charms!I403),(VLOOKUP(Values!$S$6,Castes!$B$2:$F$25,4,0)=Charms!I403))</f>
        <v>#N/A</v>
      </c>
      <c r="J403" t="e">
        <f t="shared" ca="1" si="31"/>
        <v>#N/A</v>
      </c>
      <c r="K403" s="18" t="e">
        <f t="shared" ca="1" si="30"/>
        <v>#N/A</v>
      </c>
      <c r="L403" t="e">
        <f ca="1">IF(J403,Charms!B403,"")</f>
        <v>#N/A</v>
      </c>
      <c r="M403" t="str">
        <f t="shared" ca="1" si="32"/>
        <v>-</v>
      </c>
      <c r="N403" s="18" t="str">
        <f t="shared" si="33"/>
        <v>K385:L433</v>
      </c>
      <c r="O403" t="str">
        <f t="shared" si="34"/>
        <v>A385:A403</v>
      </c>
    </row>
    <row r="404" spans="1:15">
      <c r="A404" s="18" t="str">
        <f>Charms!K404</f>
        <v>Integrity</v>
      </c>
      <c r="B404" t="str">
        <f>Charms!B404</f>
        <v>Empowered Soul Technique</v>
      </c>
      <c r="C404" t="b">
        <f ca="1">OR(Values!$S$98&gt;=Charms!M404,IFERROR(Charms!J404=OFFSET(Values!$A$24,MATCH("S",Values!$T$25:$T$50,0),0),FALSE))</f>
        <v>0</v>
      </c>
      <c r="D404" t="b">
        <f>VLOOKUP(Charms!J404,Values!$A$11:$S$59,19,0)&gt;=Charms!L404</f>
        <v>0</v>
      </c>
      <c r="E404" t="e">
        <f>OR(ISBLANK(Charms!I404),(VLOOKUP(Values!$S$6,Castes!$B$2:$F$25,4,0)=Charms!I404))</f>
        <v>#N/A</v>
      </c>
      <c r="J404" t="e">
        <f t="shared" ca="1" si="31"/>
        <v>#N/A</v>
      </c>
      <c r="K404" s="18" t="e">
        <f t="shared" ca="1" si="30"/>
        <v>#N/A</v>
      </c>
      <c r="L404" t="e">
        <f ca="1">IF(J404,Charms!B404,"")</f>
        <v>#N/A</v>
      </c>
      <c r="M404" t="str">
        <f t="shared" ca="1" si="32"/>
        <v>-</v>
      </c>
      <c r="N404" s="18" t="str">
        <f t="shared" si="33"/>
        <v>K385:L433</v>
      </c>
      <c r="O404" t="str">
        <f t="shared" si="34"/>
        <v>A385:A404</v>
      </c>
    </row>
    <row r="405" spans="1:15">
      <c r="A405" s="18" t="str">
        <f>Charms!K405</f>
        <v>Integrity</v>
      </c>
      <c r="B405" t="str">
        <f>Charms!B405</f>
        <v>Transcendent Hero's Meditation</v>
      </c>
      <c r="C405" t="b">
        <f ca="1">OR(Values!$S$98&gt;=Charms!M405,IFERROR(Charms!J405=OFFSET(Values!$A$24,MATCH("S",Values!$T$25:$T$50,0),0),FALSE))</f>
        <v>0</v>
      </c>
      <c r="D405" t="b">
        <f>VLOOKUP(Charms!J405,Values!$A$11:$S$59,19,0)&gt;=Charms!L405</f>
        <v>0</v>
      </c>
      <c r="E405" t="e">
        <f>OR(ISBLANK(Charms!I405),(VLOOKUP(Values!$S$6,Castes!$B$2:$F$25,4,0)=Charms!I405))</f>
        <v>#N/A</v>
      </c>
      <c r="J405" t="e">
        <f t="shared" ca="1" si="31"/>
        <v>#N/A</v>
      </c>
      <c r="K405" s="18" t="e">
        <f t="shared" ca="1" si="30"/>
        <v>#N/A</v>
      </c>
      <c r="L405" t="e">
        <f ca="1">IF(J405,Charms!B405,"")</f>
        <v>#N/A</v>
      </c>
      <c r="M405" t="str">
        <f t="shared" ca="1" si="32"/>
        <v>-</v>
      </c>
      <c r="N405" s="18" t="str">
        <f t="shared" si="33"/>
        <v>K385:L433</v>
      </c>
      <c r="O405" t="str">
        <f t="shared" si="34"/>
        <v>A385:A405</v>
      </c>
    </row>
    <row r="406" spans="1:15">
      <c r="A406" s="18" t="str">
        <f>Charms!K406</f>
        <v>Integrity</v>
      </c>
      <c r="B406" t="str">
        <f>Charms!B406</f>
        <v>Righteous Soul Judgment</v>
      </c>
      <c r="C406" t="b">
        <f ca="1">OR(Values!$S$98&gt;=Charms!M406,IFERROR(Charms!J406=OFFSET(Values!$A$24,MATCH("S",Values!$T$25:$T$50,0),0),FALSE))</f>
        <v>0</v>
      </c>
      <c r="D406" t="b">
        <f>VLOOKUP(Charms!J406,Values!$A$11:$S$59,19,0)&gt;=Charms!L406</f>
        <v>0</v>
      </c>
      <c r="E406" t="e">
        <f>OR(ISBLANK(Charms!I406),(VLOOKUP(Values!$S$6,Castes!$B$2:$F$25,4,0)=Charms!I406))</f>
        <v>#N/A</v>
      </c>
      <c r="J406" t="e">
        <f t="shared" ca="1" si="31"/>
        <v>#N/A</v>
      </c>
      <c r="K406" s="18" t="e">
        <f t="shared" ca="1" si="30"/>
        <v>#N/A</v>
      </c>
      <c r="L406" t="e">
        <f ca="1">IF(J406,Charms!B406,"")</f>
        <v>#N/A</v>
      </c>
      <c r="M406" t="str">
        <f t="shared" ca="1" si="32"/>
        <v>-</v>
      </c>
      <c r="N406" s="18" t="str">
        <f t="shared" si="33"/>
        <v>K385:L433</v>
      </c>
      <c r="O406" t="str">
        <f t="shared" si="34"/>
        <v>A385:A406</v>
      </c>
    </row>
    <row r="407" spans="1:15">
      <c r="A407" s="18" t="str">
        <f>Charms!K407</f>
        <v>Integrity</v>
      </c>
      <c r="B407" t="str">
        <f>Charms!B407</f>
        <v>Barque of Transcendent Vision</v>
      </c>
      <c r="C407" t="b">
        <f ca="1">OR(Values!$S$98&gt;=Charms!M407,IFERROR(Charms!J407=OFFSET(Values!$A$24,MATCH("S",Values!$T$25:$T$50,0),0),FALSE))</f>
        <v>0</v>
      </c>
      <c r="D407" t="b">
        <f>VLOOKUP(Charms!J407,Values!$A$11:$S$59,19,0)&gt;=Charms!L407</f>
        <v>0</v>
      </c>
      <c r="E407" t="e">
        <f>OR(ISBLANK(Charms!I407),(VLOOKUP(Values!$S$6,Castes!$B$2:$F$25,4,0)=Charms!I407))</f>
        <v>#N/A</v>
      </c>
      <c r="J407" t="e">
        <f t="shared" ca="1" si="31"/>
        <v>#N/A</v>
      </c>
      <c r="K407" s="18" t="e">
        <f t="shared" ca="1" si="30"/>
        <v>#N/A</v>
      </c>
      <c r="L407" t="e">
        <f ca="1">IF(J407,Charms!B407,"")</f>
        <v>#N/A</v>
      </c>
      <c r="M407" t="str">
        <f t="shared" ca="1" si="32"/>
        <v>-</v>
      </c>
      <c r="N407" s="18" t="str">
        <f t="shared" si="33"/>
        <v>K385:L433</v>
      </c>
      <c r="O407" t="str">
        <f t="shared" si="34"/>
        <v>A385:A407</v>
      </c>
    </row>
    <row r="408" spans="1:15">
      <c r="A408" s="18" t="str">
        <f>Charms!K408</f>
        <v>Integrity</v>
      </c>
      <c r="B408" t="str">
        <f>Charms!B408</f>
        <v>Unhesitating Dedication</v>
      </c>
      <c r="C408" t="b">
        <f ca="1">OR(Values!$S$98&gt;=Charms!M408,IFERROR(Charms!J408=OFFSET(Values!$A$24,MATCH("S",Values!$T$25:$T$50,0),0),FALSE))</f>
        <v>0</v>
      </c>
      <c r="D408" t="b">
        <f>VLOOKUP(Charms!J408,Values!$A$11:$S$59,19,0)&gt;=Charms!L408</f>
        <v>0</v>
      </c>
      <c r="E408" t="e">
        <f>OR(ISBLANK(Charms!I408),(VLOOKUP(Values!$S$6,Castes!$B$2:$F$25,4,0)=Charms!I408))</f>
        <v>#N/A</v>
      </c>
      <c r="J408" t="e">
        <f t="shared" ca="1" si="31"/>
        <v>#N/A</v>
      </c>
      <c r="K408" s="18" t="e">
        <f t="shared" ca="1" si="30"/>
        <v>#N/A</v>
      </c>
      <c r="L408" t="e">
        <f ca="1">IF(J408,Charms!B408,"")</f>
        <v>#N/A</v>
      </c>
      <c r="M408" t="str">
        <f t="shared" ca="1" si="32"/>
        <v>-</v>
      </c>
      <c r="N408" s="18" t="str">
        <f t="shared" si="33"/>
        <v>K385:L433</v>
      </c>
      <c r="O408" t="str">
        <f t="shared" si="34"/>
        <v>A385:A408</v>
      </c>
    </row>
    <row r="409" spans="1:15">
      <c r="A409" s="18" t="str">
        <f>Charms!K409</f>
        <v>Integrity</v>
      </c>
      <c r="B409" t="str">
        <f>Charms!B409</f>
        <v>Invincible Solar Aegis</v>
      </c>
      <c r="C409" t="b">
        <f ca="1">OR(Values!$S$98&gt;=Charms!M409,IFERROR(Charms!J409=OFFSET(Values!$A$24,MATCH("S",Values!$T$25:$T$50,0),0),FALSE))</f>
        <v>0</v>
      </c>
      <c r="D409" t="b">
        <f>VLOOKUP(Charms!J409,Values!$A$11:$S$59,19,0)&gt;=Charms!L409</f>
        <v>0</v>
      </c>
      <c r="E409" t="e">
        <f>OR(ISBLANK(Charms!I409),(VLOOKUP(Values!$S$6,Castes!$B$2:$F$25,4,0)=Charms!I409))</f>
        <v>#N/A</v>
      </c>
      <c r="J409" t="e">
        <f t="shared" ca="1" si="31"/>
        <v>#N/A</v>
      </c>
      <c r="K409" s="18" t="e">
        <f t="shared" ca="1" si="30"/>
        <v>#N/A</v>
      </c>
      <c r="L409" t="e">
        <f ca="1">IF(J409,Charms!B409,"")</f>
        <v>#N/A</v>
      </c>
      <c r="M409" t="str">
        <f t="shared" ca="1" si="32"/>
        <v>-</v>
      </c>
      <c r="N409" s="18" t="str">
        <f t="shared" si="33"/>
        <v>K385:L433</v>
      </c>
      <c r="O409" t="str">
        <f t="shared" si="34"/>
        <v>A385:A409</v>
      </c>
    </row>
    <row r="410" spans="1:15">
      <c r="A410" s="18" t="str">
        <f>Charms!K410</f>
        <v>Integrity</v>
      </c>
      <c r="B410" t="str">
        <f>Charms!B410</f>
        <v>Eminent Paragon Approach</v>
      </c>
      <c r="C410" t="b">
        <f ca="1">OR(Values!$S$98&gt;=Charms!M410,IFERROR(Charms!J410=OFFSET(Values!$A$24,MATCH("S",Values!$T$25:$T$50,0),0),FALSE))</f>
        <v>0</v>
      </c>
      <c r="D410" t="b">
        <f>VLOOKUP(Charms!J410,Values!$A$11:$S$59,19,0)&gt;=Charms!L410</f>
        <v>0</v>
      </c>
      <c r="E410" t="e">
        <f>OR(ISBLANK(Charms!I410),(VLOOKUP(Values!$S$6,Castes!$B$2:$F$25,4,0)=Charms!I410))</f>
        <v>#N/A</v>
      </c>
      <c r="J410" t="e">
        <f t="shared" ca="1" si="31"/>
        <v>#N/A</v>
      </c>
      <c r="K410" s="18" t="e">
        <f t="shared" ca="1" si="30"/>
        <v>#N/A</v>
      </c>
      <c r="L410" t="e">
        <f ca="1">IF(J410,Charms!B410,"")</f>
        <v>#N/A</v>
      </c>
      <c r="M410" t="str">
        <f t="shared" ca="1" si="32"/>
        <v>-</v>
      </c>
      <c r="N410" s="18" t="str">
        <f t="shared" si="33"/>
        <v>K385:L433</v>
      </c>
      <c r="O410" t="str">
        <f t="shared" si="34"/>
        <v>A385:A410</v>
      </c>
    </row>
    <row r="411" spans="1:15">
      <c r="A411" s="18" t="str">
        <f>Charms!K411</f>
        <v>Integrity</v>
      </c>
      <c r="B411" t="str">
        <f>Charms!B411</f>
        <v>Divine Mantle</v>
      </c>
      <c r="C411" t="b">
        <f ca="1">OR(Values!$S$98&gt;=Charms!M411,IFERROR(Charms!J411=OFFSET(Values!$A$24,MATCH("S",Values!$T$25:$T$50,0),0),FALSE))</f>
        <v>0</v>
      </c>
      <c r="D411" t="b">
        <f>VLOOKUP(Charms!J411,Values!$A$11:$S$59,19,0)&gt;=Charms!L411</f>
        <v>0</v>
      </c>
      <c r="E411" t="e">
        <f>OR(ISBLANK(Charms!I411),(VLOOKUP(Values!$S$6,Castes!$B$2:$F$25,4,0)=Charms!I411))</f>
        <v>#N/A</v>
      </c>
      <c r="J411" t="e">
        <f t="shared" ca="1" si="31"/>
        <v>#N/A</v>
      </c>
      <c r="K411" s="18" t="e">
        <f t="shared" ca="1" si="30"/>
        <v>#N/A</v>
      </c>
      <c r="L411" t="e">
        <f ca="1">IF(J411,Charms!B411,"")</f>
        <v>#N/A</v>
      </c>
      <c r="M411" t="str">
        <f t="shared" ca="1" si="32"/>
        <v>-</v>
      </c>
      <c r="N411" s="18" t="str">
        <f t="shared" si="33"/>
        <v>K385:L433</v>
      </c>
      <c r="O411" t="str">
        <f t="shared" si="34"/>
        <v>A385:A411</v>
      </c>
    </row>
    <row r="412" spans="1:15">
      <c r="A412" s="18" t="str">
        <f>Charms!K412</f>
        <v>Integrity</v>
      </c>
      <c r="B412" t="str">
        <f>Charms!B412</f>
        <v>Body-Restoring Benison</v>
      </c>
      <c r="C412" t="b">
        <f ca="1">OR(Values!$S$98&gt;=Charms!M412,IFERROR(Charms!J412=OFFSET(Values!$A$24,MATCH("S",Values!$T$25:$T$50,0),0),FALSE))</f>
        <v>0</v>
      </c>
      <c r="D412" t="b">
        <f>VLOOKUP(Charms!J412,Values!$A$11:$S$59,19,0)&gt;=Charms!L412</f>
        <v>0</v>
      </c>
      <c r="E412" t="e">
        <f>OR(ISBLANK(Charms!I412),(VLOOKUP(Values!$S$6,Castes!$B$2:$F$25,4,0)=Charms!I412))</f>
        <v>#N/A</v>
      </c>
      <c r="J412" t="e">
        <f t="shared" ca="1" si="31"/>
        <v>#N/A</v>
      </c>
      <c r="K412" s="18" t="e">
        <f t="shared" ca="1" si="30"/>
        <v>#N/A</v>
      </c>
      <c r="L412" t="e">
        <f ca="1">IF(J412,Charms!B412,"")</f>
        <v>#N/A</v>
      </c>
      <c r="M412" t="str">
        <f t="shared" ca="1" si="32"/>
        <v>-</v>
      </c>
      <c r="N412" s="18" t="str">
        <f t="shared" si="33"/>
        <v>K385:L433</v>
      </c>
      <c r="O412" t="str">
        <f t="shared" si="34"/>
        <v>A385:A412</v>
      </c>
    </row>
    <row r="413" spans="1:15">
      <c r="A413" s="18" t="str">
        <f>Charms!K413</f>
        <v>Integrity</v>
      </c>
      <c r="B413" t="str">
        <f>Charms!B413</f>
        <v>Inviolable Essence-Merging</v>
      </c>
      <c r="C413" t="b">
        <f ca="1">OR(Values!$S$98&gt;=Charms!M413,IFERROR(Charms!J413=OFFSET(Values!$A$24,MATCH("S",Values!$T$25:$T$50,0),0),FALSE))</f>
        <v>0</v>
      </c>
      <c r="D413" t="b">
        <f>VLOOKUP(Charms!J413,Values!$A$11:$S$59,19,0)&gt;=Charms!L413</f>
        <v>0</v>
      </c>
      <c r="E413" t="e">
        <f>OR(ISBLANK(Charms!I413),(VLOOKUP(Values!$S$6,Castes!$B$2:$F$25,4,0)=Charms!I413))</f>
        <v>#N/A</v>
      </c>
      <c r="J413" t="e">
        <f t="shared" ca="1" si="31"/>
        <v>#N/A</v>
      </c>
      <c r="K413" s="18" t="e">
        <f t="shared" ca="1" si="30"/>
        <v>#N/A</v>
      </c>
      <c r="L413" t="e">
        <f ca="1">IF(J413,Charms!B413,"")</f>
        <v>#N/A</v>
      </c>
      <c r="M413" t="str">
        <f t="shared" ca="1" si="32"/>
        <v>-</v>
      </c>
      <c r="N413" s="18" t="str">
        <f t="shared" si="33"/>
        <v>K385:L433</v>
      </c>
      <c r="O413" t="str">
        <f t="shared" si="34"/>
        <v>A385:A413</v>
      </c>
    </row>
    <row r="414" spans="1:15">
      <c r="A414" s="18" t="str">
        <f>Charms!K414</f>
        <v>Integrity</v>
      </c>
      <c r="B414" t="str">
        <f>Charms!B414</f>
        <v>Empathic Aegis Discipline</v>
      </c>
      <c r="C414" t="b">
        <f ca="1">OR(Values!$S$98&gt;=Charms!M414,IFERROR(Charms!J414=OFFSET(Values!$A$24,MATCH("S",Values!$T$25:$T$50,0),0),FALSE))</f>
        <v>0</v>
      </c>
      <c r="D414" t="b">
        <f>VLOOKUP(Charms!J414,Values!$A$11:$S$59,19,0)&gt;=Charms!L414</f>
        <v>0</v>
      </c>
      <c r="E414" t="e">
        <f>OR(ISBLANK(Charms!I414),(VLOOKUP(Values!$S$6,Castes!$B$2:$F$25,4,0)=Charms!I414))</f>
        <v>#N/A</v>
      </c>
      <c r="J414" t="e">
        <f t="shared" ca="1" si="31"/>
        <v>#N/A</v>
      </c>
      <c r="K414" s="18" t="e">
        <f t="shared" ca="1" si="30"/>
        <v>#N/A</v>
      </c>
      <c r="L414" t="e">
        <f ca="1">IF(J414,Charms!B414,"")</f>
        <v>#N/A</v>
      </c>
      <c r="M414" t="str">
        <f t="shared" ca="1" si="32"/>
        <v>-</v>
      </c>
      <c r="N414" s="18" t="str">
        <f t="shared" si="33"/>
        <v>K385:L433</v>
      </c>
      <c r="O414" t="str">
        <f t="shared" si="34"/>
        <v>A385:A414</v>
      </c>
    </row>
    <row r="415" spans="1:15">
      <c r="A415" s="18" t="str">
        <f>Charms!K415</f>
        <v>Integrity</v>
      </c>
      <c r="B415" t="str">
        <f>Charms!B415</f>
        <v>Strength from Conviction Stance</v>
      </c>
      <c r="C415" t="b">
        <f ca="1">OR(Values!$S$98&gt;=Charms!M415,IFERROR(Charms!J415=OFFSET(Values!$A$24,MATCH("S",Values!$T$25:$T$50,0),0),FALSE))</f>
        <v>0</v>
      </c>
      <c r="D415" t="b">
        <f>VLOOKUP(Charms!J415,Values!$A$11:$S$59,19,0)&gt;=Charms!L415</f>
        <v>0</v>
      </c>
      <c r="E415" t="e">
        <f>OR(ISBLANK(Charms!I415),(VLOOKUP(Values!$S$6,Castes!$B$2:$F$25,4,0)=Charms!I415))</f>
        <v>#N/A</v>
      </c>
      <c r="J415" t="e">
        <f t="shared" ca="1" si="31"/>
        <v>#N/A</v>
      </c>
      <c r="K415" s="18" t="e">
        <f t="shared" ca="1" si="30"/>
        <v>#N/A</v>
      </c>
      <c r="L415" t="e">
        <f ca="1">IF(J415,Charms!B415,"")</f>
        <v>#N/A</v>
      </c>
      <c r="M415" t="str">
        <f t="shared" ca="1" si="32"/>
        <v>-</v>
      </c>
      <c r="N415" s="18" t="str">
        <f t="shared" si="33"/>
        <v>K385:L433</v>
      </c>
      <c r="O415" t="str">
        <f t="shared" si="34"/>
        <v>A385:A415</v>
      </c>
    </row>
    <row r="416" spans="1:15">
      <c r="A416" s="18" t="str">
        <f>Charms!K416</f>
        <v>Integrity</v>
      </c>
      <c r="B416" t="str">
        <f>Charms!B416</f>
        <v>Granite Curtain of Serenity</v>
      </c>
      <c r="C416" t="b">
        <f ca="1">OR(Values!$S$98&gt;=Charms!M416,IFERROR(Charms!J416=OFFSET(Values!$A$24,MATCH("S",Values!$T$25:$T$50,0),0),FALSE))</f>
        <v>1</v>
      </c>
      <c r="D416" t="b">
        <f>VLOOKUP(Charms!J416,Values!$A$11:$S$59,19,0)&gt;=Charms!L416</f>
        <v>0</v>
      </c>
      <c r="E416" t="e">
        <f>OR(ISBLANK(Charms!I416),(VLOOKUP(Values!$S$6,Castes!$B$2:$F$25,4,0)=Charms!I416))</f>
        <v>#N/A</v>
      </c>
      <c r="J416" t="e">
        <f t="shared" ca="1" si="31"/>
        <v>#N/A</v>
      </c>
      <c r="K416" s="18" t="e">
        <f t="shared" ca="1" si="30"/>
        <v>#N/A</v>
      </c>
      <c r="L416" t="e">
        <f ca="1">IF(J416,Charms!B416,"")</f>
        <v>#N/A</v>
      </c>
      <c r="M416" t="str">
        <f t="shared" ca="1" si="32"/>
        <v>-</v>
      </c>
      <c r="N416" s="18" t="str">
        <f t="shared" si="33"/>
        <v>K385:L433</v>
      </c>
      <c r="O416" t="str">
        <f t="shared" si="34"/>
        <v>A385:A416</v>
      </c>
    </row>
    <row r="417" spans="1:15">
      <c r="A417" s="18" t="str">
        <f>Charms!K417</f>
        <v>Integrity</v>
      </c>
      <c r="B417" t="str">
        <f>Charms!B417</f>
        <v>Oath of the Ten Thousand Dragons</v>
      </c>
      <c r="C417" t="b">
        <f ca="1">OR(Values!$S$98&gt;=Charms!M417,IFERROR(Charms!J417=OFFSET(Values!$A$24,MATCH("S",Values!$T$25:$T$50,0),0),FALSE))</f>
        <v>1</v>
      </c>
      <c r="D417" t="b">
        <f>VLOOKUP(Charms!J417,Values!$A$11:$S$59,19,0)&gt;=Charms!L417</f>
        <v>0</v>
      </c>
      <c r="E417" t="e">
        <f>OR(ISBLANK(Charms!I417),(VLOOKUP(Values!$S$6,Castes!$B$2:$F$25,4,0)=Charms!I417))</f>
        <v>#N/A</v>
      </c>
      <c r="J417" t="e">
        <f t="shared" ca="1" si="31"/>
        <v>#N/A</v>
      </c>
      <c r="K417" s="18" t="e">
        <f t="shared" ca="1" si="30"/>
        <v>#N/A</v>
      </c>
      <c r="L417" t="e">
        <f ca="1">IF(J417,Charms!B417,"")</f>
        <v>#N/A</v>
      </c>
      <c r="M417" t="str">
        <f t="shared" ca="1" si="32"/>
        <v>-</v>
      </c>
      <c r="N417" s="18" t="str">
        <f t="shared" si="33"/>
        <v>K385:L433</v>
      </c>
      <c r="O417" t="str">
        <f t="shared" si="34"/>
        <v>A385:A417</v>
      </c>
    </row>
    <row r="418" spans="1:15">
      <c r="A418" s="18" t="str">
        <f>Charms!K418</f>
        <v>Integrity</v>
      </c>
      <c r="B418" t="str">
        <f>Charms!B418</f>
        <v>Heart-Hardening Meditation</v>
      </c>
      <c r="C418" t="b">
        <f ca="1">OR(Values!$S$98&gt;=Charms!M418,IFERROR(Charms!J418=OFFSET(Values!$A$24,MATCH("S",Values!$T$25:$T$50,0),0),FALSE))</f>
        <v>0</v>
      </c>
      <c r="D418" t="b">
        <f>VLOOKUP(Charms!J418,Values!$A$11:$S$59,19,0)&gt;=Charms!L418</f>
        <v>0</v>
      </c>
      <c r="E418" t="e">
        <f>OR(ISBLANK(Charms!I418),(VLOOKUP(Values!$S$6,Castes!$B$2:$F$25,4,0)=Charms!I418))</f>
        <v>#N/A</v>
      </c>
      <c r="J418" t="e">
        <f t="shared" ca="1" si="31"/>
        <v>#N/A</v>
      </c>
      <c r="K418" s="18" t="e">
        <f t="shared" ca="1" si="30"/>
        <v>#N/A</v>
      </c>
      <c r="L418" t="e">
        <f ca="1">IF(J418,Charms!B418,"")</f>
        <v>#N/A</v>
      </c>
      <c r="M418" t="str">
        <f t="shared" ca="1" si="32"/>
        <v>-</v>
      </c>
      <c r="N418" s="18" t="str">
        <f t="shared" si="33"/>
        <v>K385:L433</v>
      </c>
      <c r="O418" t="str">
        <f t="shared" si="34"/>
        <v>A385:A418</v>
      </c>
    </row>
    <row r="419" spans="1:15">
      <c r="A419" s="18" t="str">
        <f>Charms!K419</f>
        <v>Integrity</v>
      </c>
      <c r="B419" t="str">
        <f>Charms!B419</f>
        <v>Frozen Heart Prana</v>
      </c>
      <c r="C419" t="b">
        <f ca="1">OR(Values!$S$98&gt;=Charms!M419,IFERROR(Charms!J419=OFFSET(Values!$A$24,MATCH("S",Values!$T$25:$T$50,0),0),FALSE))</f>
        <v>1</v>
      </c>
      <c r="D419" t="b">
        <f>VLOOKUP(Charms!J419,Values!$A$11:$S$59,19,0)&gt;=Charms!L419</f>
        <v>0</v>
      </c>
      <c r="E419" t="e">
        <f>OR(ISBLANK(Charms!I419),(VLOOKUP(Values!$S$6,Castes!$B$2:$F$25,4,0)=Charms!I419))</f>
        <v>#N/A</v>
      </c>
      <c r="J419" t="e">
        <f t="shared" ca="1" si="31"/>
        <v>#N/A</v>
      </c>
      <c r="K419" s="18" t="e">
        <f t="shared" ca="1" si="30"/>
        <v>#N/A</v>
      </c>
      <c r="L419" t="e">
        <f ca="1">IF(J419,Charms!B419,"")</f>
        <v>#N/A</v>
      </c>
      <c r="M419" t="str">
        <f t="shared" ca="1" si="32"/>
        <v>-</v>
      </c>
      <c r="N419" s="18" t="str">
        <f t="shared" si="33"/>
        <v>K385:L433</v>
      </c>
      <c r="O419" t="str">
        <f t="shared" si="34"/>
        <v>A385:A419</v>
      </c>
    </row>
    <row r="420" spans="1:15">
      <c r="A420" s="18" t="str">
        <f>Charms!K420</f>
        <v>Integrity</v>
      </c>
      <c r="B420" t="str">
        <f>Charms!B420</f>
        <v>Slippery Thoughts Technique</v>
      </c>
      <c r="C420" t="b">
        <f ca="1">OR(Values!$S$98&gt;=Charms!M420,IFERROR(Charms!J420=OFFSET(Values!$A$24,MATCH("S",Values!$T$25:$T$50,0),0),FALSE))</f>
        <v>1</v>
      </c>
      <c r="D420" t="b">
        <f>VLOOKUP(Charms!J420,Values!$A$11:$S$59,19,0)&gt;=Charms!L420</f>
        <v>0</v>
      </c>
      <c r="E420" t="e">
        <f>OR(ISBLANK(Charms!I420),(VLOOKUP(Values!$S$6,Castes!$B$2:$F$25,4,0)=Charms!I420))</f>
        <v>#N/A</v>
      </c>
      <c r="J420" t="e">
        <f t="shared" ca="1" si="31"/>
        <v>#N/A</v>
      </c>
      <c r="K420" s="18" t="e">
        <f t="shared" ca="1" si="30"/>
        <v>#N/A</v>
      </c>
      <c r="L420" t="e">
        <f ca="1">IF(J420,Charms!B420,"")</f>
        <v>#N/A</v>
      </c>
      <c r="M420" t="str">
        <f t="shared" ca="1" si="32"/>
        <v>-</v>
      </c>
      <c r="N420" s="18" t="str">
        <f t="shared" si="33"/>
        <v>K385:L433</v>
      </c>
      <c r="O420" t="str">
        <f t="shared" si="34"/>
        <v>A385:A420</v>
      </c>
    </row>
    <row r="421" spans="1:15">
      <c r="A421" s="18" t="str">
        <f>Charms!K421</f>
        <v>Integrity</v>
      </c>
      <c r="B421" t="str">
        <f>Charms!B421</f>
        <v>Inviolate Dragon Spirit</v>
      </c>
      <c r="C421" t="b">
        <f ca="1">OR(Values!$S$98&gt;=Charms!M421,IFERROR(Charms!J421=OFFSET(Values!$A$24,MATCH("S",Values!$T$25:$T$50,0),0),FALSE))</f>
        <v>0</v>
      </c>
      <c r="D421" t="b">
        <f>VLOOKUP(Charms!J421,Values!$A$11:$S$59,19,0)&gt;=Charms!L421</f>
        <v>0</v>
      </c>
      <c r="E421" t="e">
        <f>OR(ISBLANK(Charms!I421),(VLOOKUP(Values!$S$6,Castes!$B$2:$F$25,4,0)=Charms!I421))</f>
        <v>#N/A</v>
      </c>
      <c r="J421" t="e">
        <f t="shared" ca="1" si="31"/>
        <v>#N/A</v>
      </c>
      <c r="K421" s="18" t="e">
        <f t="shared" ca="1" si="30"/>
        <v>#N/A</v>
      </c>
      <c r="L421" t="e">
        <f ca="1">IF(J421,Charms!B421,"")</f>
        <v>#N/A</v>
      </c>
      <c r="M421" t="str">
        <f t="shared" ca="1" si="32"/>
        <v>-</v>
      </c>
      <c r="N421" s="18" t="str">
        <f t="shared" si="33"/>
        <v>K385:L433</v>
      </c>
      <c r="O421" t="str">
        <f t="shared" si="34"/>
        <v>A385:A421</v>
      </c>
    </row>
    <row r="422" spans="1:15">
      <c r="A422" s="18" t="str">
        <f>Charms!K422</f>
        <v>Integrity</v>
      </c>
      <c r="B422" t="str">
        <f>Charms!B422</f>
        <v>Chaos-Warding Prana</v>
      </c>
      <c r="C422" t="b">
        <f ca="1">OR(Values!$S$98&gt;=Charms!M422,IFERROR(Charms!J422=OFFSET(Values!$A$24,MATCH("S",Values!$T$25:$T$50,0),0),FALSE))</f>
        <v>0</v>
      </c>
      <c r="D422" t="b">
        <f>VLOOKUP(Charms!J422,Values!$A$11:$S$59,19,0)&gt;=Charms!L422</f>
        <v>0</v>
      </c>
      <c r="E422" t="e">
        <f>OR(ISBLANK(Charms!I422),(VLOOKUP(Values!$S$6,Castes!$B$2:$F$25,4,0)=Charms!I422))</f>
        <v>#N/A</v>
      </c>
      <c r="J422" t="e">
        <f t="shared" ca="1" si="31"/>
        <v>#N/A</v>
      </c>
      <c r="K422" s="18" t="e">
        <f t="shared" ca="1" si="30"/>
        <v>#N/A</v>
      </c>
      <c r="L422" t="e">
        <f ca="1">IF(J422,Charms!B422,"")</f>
        <v>#N/A</v>
      </c>
      <c r="M422" t="str">
        <f t="shared" ca="1" si="32"/>
        <v>-</v>
      </c>
      <c r="N422" s="18" t="str">
        <f t="shared" si="33"/>
        <v>K385:L433</v>
      </c>
      <c r="O422" t="str">
        <f t="shared" si="34"/>
        <v>A385:A422</v>
      </c>
    </row>
    <row r="423" spans="1:15">
      <c r="A423" s="18" t="str">
        <f>Charms!K423</f>
        <v>Integrity</v>
      </c>
      <c r="B423" t="str">
        <f>Charms!B423</f>
        <v>Unquenchable Battle-Passion</v>
      </c>
      <c r="C423" t="b">
        <f ca="1">OR(Values!$S$98&gt;=Charms!M423,IFERROR(Charms!J423=OFFSET(Values!$A$24,MATCH("S",Values!$T$25:$T$50,0),0),FALSE))</f>
        <v>0</v>
      </c>
      <c r="D423" t="b">
        <f>VLOOKUP(Charms!J423,Values!$A$11:$S$59,19,0)&gt;=Charms!L423</f>
        <v>0</v>
      </c>
      <c r="E423" t="e">
        <f>OR(ISBLANK(Charms!I423),(VLOOKUP(Values!$S$6,Castes!$B$2:$F$25,4,0)=Charms!I423))</f>
        <v>#N/A</v>
      </c>
      <c r="J423" t="e">
        <f t="shared" ca="1" si="31"/>
        <v>#N/A</v>
      </c>
      <c r="K423" s="18" t="e">
        <f t="shared" ca="1" si="30"/>
        <v>#N/A</v>
      </c>
      <c r="L423" t="e">
        <f ca="1">IF(J423,Charms!B423,"")</f>
        <v>#N/A</v>
      </c>
      <c r="M423" t="str">
        <f t="shared" ca="1" si="32"/>
        <v>-</v>
      </c>
      <c r="N423" s="18" t="str">
        <f t="shared" si="33"/>
        <v>K385:L433</v>
      </c>
      <c r="O423" t="str">
        <f t="shared" si="34"/>
        <v>A385:A423</v>
      </c>
    </row>
    <row r="424" spans="1:15">
      <c r="A424" s="18" t="str">
        <f>Charms!K424</f>
        <v>Integrity</v>
      </c>
      <c r="B424" t="str">
        <f>Charms!B424</f>
        <v>Ten Thousand Dragons Fight as One</v>
      </c>
      <c r="C424" t="b">
        <f ca="1">OR(Values!$S$98&gt;=Charms!M424,IFERROR(Charms!J424=OFFSET(Values!$A$24,MATCH("S",Values!$T$25:$T$50,0),0),FALSE))</f>
        <v>0</v>
      </c>
      <c r="D424" t="b">
        <f>VLOOKUP(Charms!J424,Values!$A$11:$S$59,19,0)&gt;=Charms!L424</f>
        <v>0</v>
      </c>
      <c r="E424" t="e">
        <f>OR(ISBLANK(Charms!I424),(VLOOKUP(Values!$S$6,Castes!$B$2:$F$25,4,0)=Charms!I424))</f>
        <v>#N/A</v>
      </c>
      <c r="J424" t="e">
        <f t="shared" ca="1" si="31"/>
        <v>#N/A</v>
      </c>
      <c r="K424" s="18" t="e">
        <f t="shared" ca="1" si="30"/>
        <v>#N/A</v>
      </c>
      <c r="L424" t="e">
        <f ca="1">IF(J424,Charms!B424,"")</f>
        <v>#N/A</v>
      </c>
      <c r="M424" t="str">
        <f t="shared" ca="1" si="32"/>
        <v>-</v>
      </c>
      <c r="N424" s="18" t="str">
        <f t="shared" si="33"/>
        <v>K385:L433</v>
      </c>
      <c r="O424" t="str">
        <f t="shared" si="34"/>
        <v>A385:A424</v>
      </c>
    </row>
    <row r="425" spans="1:15">
      <c r="A425" s="18" t="str">
        <f>Charms!K425</f>
        <v>Integrity</v>
      </c>
      <c r="B425" t="str">
        <f>Charms!B425</f>
        <v>Wound-Denying Dragon Faith</v>
      </c>
      <c r="C425" t="b">
        <f ca="1">OR(Values!$S$98&gt;=Charms!M425,IFERROR(Charms!J425=OFFSET(Values!$A$24,MATCH("S",Values!$T$25:$T$50,0),0),FALSE))</f>
        <v>0</v>
      </c>
      <c r="D425" t="b">
        <f>VLOOKUP(Charms!J425,Values!$A$11:$S$59,19,0)&gt;=Charms!L425</f>
        <v>0</v>
      </c>
      <c r="E425" t="e">
        <f>OR(ISBLANK(Charms!I425),(VLOOKUP(Values!$S$6,Castes!$B$2:$F$25,4,0)=Charms!I425))</f>
        <v>#N/A</v>
      </c>
      <c r="J425" t="e">
        <f t="shared" ca="1" si="31"/>
        <v>#N/A</v>
      </c>
      <c r="K425" s="18" t="e">
        <f t="shared" ca="1" si="30"/>
        <v>#N/A</v>
      </c>
      <c r="L425" t="e">
        <f ca="1">IF(J425,Charms!B425,"")</f>
        <v>#N/A</v>
      </c>
      <c r="M425" t="str">
        <f t="shared" ca="1" si="32"/>
        <v>-</v>
      </c>
      <c r="N425" s="18" t="str">
        <f t="shared" si="33"/>
        <v>K385:L433</v>
      </c>
      <c r="O425" t="str">
        <f t="shared" si="34"/>
        <v>A385:A425</v>
      </c>
    </row>
    <row r="426" spans="1:15">
      <c r="A426" s="18" t="str">
        <f>Charms!K426</f>
        <v>Integrity</v>
      </c>
      <c r="B426" t="str">
        <f>Charms!B426</f>
        <v>Thicker Than Stone</v>
      </c>
      <c r="C426" t="b">
        <f ca="1">OR(Values!$S$98&gt;=Charms!M426,IFERROR(Charms!J426=OFFSET(Values!$A$24,MATCH("S",Values!$T$25:$T$50,0),0),FALSE))</f>
        <v>0</v>
      </c>
      <c r="D426" t="b">
        <f>VLOOKUP(Charms!J426,Values!$A$11:$S$59,19,0)&gt;=Charms!L426</f>
        <v>0</v>
      </c>
      <c r="E426" t="e">
        <f>OR(ISBLANK(Charms!I426),(VLOOKUP(Values!$S$6,Castes!$B$2:$F$25,4,0)=Charms!I426))</f>
        <v>#N/A</v>
      </c>
      <c r="J426" t="e">
        <f t="shared" ca="1" si="31"/>
        <v>#N/A</v>
      </c>
      <c r="K426" s="18" t="e">
        <f t="shared" ca="1" si="30"/>
        <v>#N/A</v>
      </c>
      <c r="L426" t="e">
        <f ca="1">IF(J426,Charms!B426,"")</f>
        <v>#N/A</v>
      </c>
      <c r="M426" t="str">
        <f t="shared" ca="1" si="32"/>
        <v>-</v>
      </c>
      <c r="N426" s="18" t="str">
        <f t="shared" si="33"/>
        <v>K385:L433</v>
      </c>
      <c r="O426" t="str">
        <f t="shared" si="34"/>
        <v>A385:A426</v>
      </c>
    </row>
    <row r="427" spans="1:15">
      <c r="A427" s="18" t="str">
        <f>Charms!K427</f>
        <v>Integrity</v>
      </c>
      <c r="B427" t="str">
        <f>Charms!B427</f>
        <v>Ascendant Ideal Inspiration</v>
      </c>
      <c r="C427" t="b">
        <f ca="1">OR(Values!$S$98&gt;=Charms!M427,IFERROR(Charms!J427=OFFSET(Values!$A$24,MATCH("S",Values!$T$25:$T$50,0),0),FALSE))</f>
        <v>0</v>
      </c>
      <c r="D427" t="b">
        <f>VLOOKUP(Charms!J427,Values!$A$11:$S$59,19,0)&gt;=Charms!L427</f>
        <v>0</v>
      </c>
      <c r="E427" t="e">
        <f>OR(ISBLANK(Charms!I427),(VLOOKUP(Values!$S$6,Castes!$B$2:$F$25,4,0)=Charms!I427))</f>
        <v>#N/A</v>
      </c>
      <c r="J427" t="e">
        <f t="shared" ca="1" si="31"/>
        <v>#N/A</v>
      </c>
      <c r="K427" s="18" t="e">
        <f t="shared" ca="1" si="30"/>
        <v>#N/A</v>
      </c>
      <c r="L427" t="e">
        <f ca="1">IF(J427,Charms!B427,"")</f>
        <v>#N/A</v>
      </c>
      <c r="M427" t="str">
        <f t="shared" ca="1" si="32"/>
        <v>-</v>
      </c>
      <c r="N427" s="18" t="str">
        <f t="shared" si="33"/>
        <v>K385:L433</v>
      </c>
      <c r="O427" t="str">
        <f t="shared" si="34"/>
        <v>A385:A427</v>
      </c>
    </row>
    <row r="428" spans="1:15">
      <c r="A428" s="18" t="str">
        <f>Charms!K428</f>
        <v>Integrity</v>
      </c>
      <c r="B428" t="str">
        <f>Charms!B428</f>
        <v>Flawless Diamond Heart</v>
      </c>
      <c r="C428" t="b">
        <f ca="1">OR(Values!$S$98&gt;=Charms!M428,IFERROR(Charms!J428=OFFSET(Values!$A$24,MATCH("S",Values!$T$25:$T$50,0),0),FALSE))</f>
        <v>0</v>
      </c>
      <c r="D428" t="b">
        <f>VLOOKUP(Charms!J428,Values!$A$11:$S$59,19,0)&gt;=Charms!L428</f>
        <v>0</v>
      </c>
      <c r="E428" t="e">
        <f>OR(ISBLANK(Charms!I428),(VLOOKUP(Values!$S$6,Castes!$B$2:$F$25,4,0)=Charms!I428))</f>
        <v>#N/A</v>
      </c>
      <c r="J428" t="e">
        <f t="shared" ca="1" si="31"/>
        <v>#N/A</v>
      </c>
      <c r="K428" s="18" t="e">
        <f t="shared" ca="1" si="30"/>
        <v>#N/A</v>
      </c>
      <c r="L428" t="e">
        <f ca="1">IF(J428,Charms!B428,"")</f>
        <v>#N/A</v>
      </c>
      <c r="M428" t="str">
        <f t="shared" ca="1" si="32"/>
        <v>-</v>
      </c>
      <c r="N428" s="18" t="str">
        <f t="shared" si="33"/>
        <v>K385:L433</v>
      </c>
      <c r="O428" t="str">
        <f t="shared" si="34"/>
        <v>A385:A428</v>
      </c>
    </row>
    <row r="429" spans="1:15">
      <c r="A429" s="18" t="str">
        <f>Charms!K429</f>
        <v>Integrity</v>
      </c>
      <c r="B429" t="str">
        <f>Charms!B429</f>
        <v>Immolating Phoenix-Soul Fury</v>
      </c>
      <c r="C429" t="b">
        <f ca="1">OR(Values!$S$98&gt;=Charms!M429,IFERROR(Charms!J429=OFFSET(Values!$A$24,MATCH("S",Values!$T$25:$T$50,0),0),FALSE))</f>
        <v>0</v>
      </c>
      <c r="D429" t="b">
        <f>VLOOKUP(Charms!J429,Values!$A$11:$S$59,19,0)&gt;=Charms!L429</f>
        <v>0</v>
      </c>
      <c r="E429" t="e">
        <f>OR(ISBLANK(Charms!I429),(VLOOKUP(Values!$S$6,Castes!$B$2:$F$25,4,0)=Charms!I429))</f>
        <v>#N/A</v>
      </c>
      <c r="J429" t="e">
        <f t="shared" ca="1" si="31"/>
        <v>#N/A</v>
      </c>
      <c r="K429" s="18" t="e">
        <f t="shared" ca="1" si="30"/>
        <v>#N/A</v>
      </c>
      <c r="L429" t="e">
        <f ca="1">IF(J429,Charms!B429,"")</f>
        <v>#N/A</v>
      </c>
      <c r="M429" t="str">
        <f t="shared" ca="1" si="32"/>
        <v>-</v>
      </c>
      <c r="N429" s="18" t="str">
        <f t="shared" si="33"/>
        <v>K385:L433</v>
      </c>
      <c r="O429" t="str">
        <f t="shared" si="34"/>
        <v>A385:A429</v>
      </c>
    </row>
    <row r="430" spans="1:15">
      <c r="A430" s="18" t="str">
        <f>Charms!K430</f>
        <v>Integrity</v>
      </c>
      <c r="B430" t="str">
        <f>Charms!B430</f>
        <v>Waves-Swallow-Mountains Persistence</v>
      </c>
      <c r="C430" t="b">
        <f ca="1">OR(Values!$S$98&gt;=Charms!M430,IFERROR(Charms!J430=OFFSET(Values!$A$24,MATCH("S",Values!$T$25:$T$50,0),0),FALSE))</f>
        <v>0</v>
      </c>
      <c r="D430" t="b">
        <f>VLOOKUP(Charms!J430,Values!$A$11:$S$59,19,0)&gt;=Charms!L430</f>
        <v>0</v>
      </c>
      <c r="E430" t="e">
        <f>OR(ISBLANK(Charms!I430),(VLOOKUP(Values!$S$6,Castes!$B$2:$F$25,4,0)=Charms!I430))</f>
        <v>#N/A</v>
      </c>
      <c r="J430" t="e">
        <f t="shared" ca="1" si="31"/>
        <v>#N/A</v>
      </c>
      <c r="K430" s="18" t="e">
        <f t="shared" ca="1" si="30"/>
        <v>#N/A</v>
      </c>
      <c r="L430" t="e">
        <f ca="1">IF(J430,Charms!B430,"")</f>
        <v>#N/A</v>
      </c>
      <c r="M430" t="str">
        <f t="shared" ca="1" si="32"/>
        <v>-</v>
      </c>
      <c r="N430" s="18" t="str">
        <f t="shared" si="33"/>
        <v>K385:L433</v>
      </c>
      <c r="O430" t="str">
        <f t="shared" si="34"/>
        <v>A385:A430</v>
      </c>
    </row>
    <row r="431" spans="1:15">
      <c r="A431" s="18" t="str">
        <f>Charms!K431</f>
        <v>Integrity</v>
      </c>
      <c r="B431" t="str">
        <f>Charms!B431</f>
        <v>Roots-of-the-World Meditation</v>
      </c>
      <c r="C431" t="b">
        <f ca="1">OR(Values!$S$98&gt;=Charms!M431,IFERROR(Charms!J431=OFFSET(Values!$A$24,MATCH("S",Values!$T$25:$T$50,0),0),FALSE))</f>
        <v>0</v>
      </c>
      <c r="D431" t="b">
        <f>VLOOKUP(Charms!J431,Values!$A$11:$S$59,19,0)&gt;=Charms!L431</f>
        <v>0</v>
      </c>
      <c r="E431" t="e">
        <f>OR(ISBLANK(Charms!I431),(VLOOKUP(Values!$S$6,Castes!$B$2:$F$25,4,0)=Charms!I431))</f>
        <v>#N/A</v>
      </c>
      <c r="J431" t="e">
        <f t="shared" ca="1" si="31"/>
        <v>#N/A</v>
      </c>
      <c r="K431" s="18" t="e">
        <f t="shared" ca="1" si="30"/>
        <v>#N/A</v>
      </c>
      <c r="L431" t="e">
        <f ca="1">IF(J431,Charms!B431,"")</f>
        <v>#N/A</v>
      </c>
      <c r="M431" t="str">
        <f t="shared" ca="1" si="32"/>
        <v>-</v>
      </c>
      <c r="N431" s="18" t="str">
        <f t="shared" si="33"/>
        <v>K385:L433</v>
      </c>
      <c r="O431" t="str">
        <f t="shared" si="34"/>
        <v>A385:A431</v>
      </c>
    </row>
    <row r="432" spans="1:15">
      <c r="A432" s="18" t="str">
        <f>Charms!K432</f>
        <v>Integrity</v>
      </c>
      <c r="B432" t="str">
        <f>Charms!B432</f>
        <v>Unflagging Vengeance Meditation</v>
      </c>
      <c r="C432" t="b">
        <f ca="1">OR(Values!$S$98&gt;=Charms!M432,IFERROR(Charms!J432=OFFSET(Values!$A$24,MATCH("S",Values!$T$25:$T$50,0),0),FALSE))</f>
        <v>0</v>
      </c>
      <c r="D432" t="b">
        <f>VLOOKUP(Charms!J432,Values!$A$11:$S$59,19,0)&gt;=Charms!L432</f>
        <v>0</v>
      </c>
      <c r="E432" t="e">
        <f>OR(ISBLANK(Charms!I432),(VLOOKUP(Values!$S$6,Castes!$B$2:$F$25,4,0)=Charms!I432))</f>
        <v>#N/A</v>
      </c>
      <c r="J432" t="e">
        <f t="shared" ca="1" si="31"/>
        <v>#N/A</v>
      </c>
      <c r="K432" s="18" t="e">
        <f t="shared" ca="1" si="30"/>
        <v>#N/A</v>
      </c>
      <c r="L432" t="e">
        <f ca="1">IF(J432,Charms!B432,"")</f>
        <v>#N/A</v>
      </c>
      <c r="M432" t="str">
        <f t="shared" ca="1" si="32"/>
        <v>-</v>
      </c>
      <c r="N432" s="18" t="str">
        <f t="shared" si="33"/>
        <v>K385:L433</v>
      </c>
      <c r="O432" t="str">
        <f t="shared" si="34"/>
        <v>A385:A432</v>
      </c>
    </row>
    <row r="433" spans="1:15">
      <c r="A433" s="18" t="str">
        <f>Charms!K433</f>
        <v>Integrity</v>
      </c>
      <c r="B433" t="str">
        <f>Charms!B433</f>
        <v>The Mountain Still Stands</v>
      </c>
      <c r="C433" t="b">
        <f ca="1">OR(Values!$S$98&gt;=Charms!M433,IFERROR(Charms!J433=OFFSET(Values!$A$24,MATCH("S",Values!$T$25:$T$50,0),0),FALSE))</f>
        <v>0</v>
      </c>
      <c r="D433" t="b">
        <f>VLOOKUP(Charms!J433,Values!$A$11:$S$59,19,0)&gt;=Charms!L433</f>
        <v>0</v>
      </c>
      <c r="E433" t="e">
        <f>OR(ISBLANK(Charms!I433),(VLOOKUP(Values!$S$6,Castes!$B$2:$F$25,4,0)=Charms!I433))</f>
        <v>#N/A</v>
      </c>
      <c r="J433" t="e">
        <f t="shared" ca="1" si="31"/>
        <v>#N/A</v>
      </c>
      <c r="K433" s="18" t="e">
        <f t="shared" ca="1" si="30"/>
        <v>#N/A</v>
      </c>
      <c r="L433" t="e">
        <f ca="1">IF(J433,Charms!B433,"")</f>
        <v>#N/A</v>
      </c>
      <c r="M433" t="str">
        <f t="shared" ca="1" si="32"/>
        <v>-</v>
      </c>
      <c r="N433" s="18" t="str">
        <f t="shared" si="33"/>
        <v>K385:L433</v>
      </c>
      <c r="O433" t="str">
        <f t="shared" si="34"/>
        <v>A385:A433</v>
      </c>
    </row>
    <row r="434" spans="1:15">
      <c r="A434" s="18" t="str">
        <f>Charms!K434</f>
        <v>Investigation</v>
      </c>
      <c r="B434" t="str">
        <f>Charms!B434</f>
        <v>Watchman's Infallible Eye</v>
      </c>
      <c r="C434" t="b">
        <f ca="1">OR(Values!$S$98&gt;=Charms!M434,IFERROR(Charms!J434=OFFSET(Values!$A$24,MATCH("S",Values!$T$25:$T$50,0),0),FALSE))</f>
        <v>1</v>
      </c>
      <c r="D434" t="b">
        <f>VLOOKUP(Charms!J434,Values!$A$11:$S$59,19,0)&gt;=Charms!L434</f>
        <v>0</v>
      </c>
      <c r="E434" t="e">
        <f>OR(ISBLANK(Charms!I434),(VLOOKUP(Values!$S$6,Castes!$B$2:$F$25,4,0)=Charms!I434))</f>
        <v>#N/A</v>
      </c>
      <c r="J434" t="e">
        <f t="shared" ca="1" si="31"/>
        <v>#N/A</v>
      </c>
      <c r="K434" s="18" t="e">
        <f t="shared" ca="1" si="30"/>
        <v>#N/A</v>
      </c>
      <c r="L434" t="e">
        <f ca="1">IF(J434,Charms!B434,"")</f>
        <v>#N/A</v>
      </c>
      <c r="M434" t="str">
        <f t="shared" ca="1" si="32"/>
        <v>-</v>
      </c>
      <c r="N434" s="18" t="str">
        <f t="shared" si="33"/>
        <v>K434:L472</v>
      </c>
      <c r="O434" t="str">
        <f t="shared" si="34"/>
        <v>A434:A434</v>
      </c>
    </row>
    <row r="435" spans="1:15">
      <c r="A435" s="18" t="str">
        <f>Charms!K435</f>
        <v>Investigation</v>
      </c>
      <c r="B435" t="str">
        <f>Charms!B435</f>
        <v>Inquisitor's Unfailing Notice</v>
      </c>
      <c r="C435" t="b">
        <f ca="1">OR(Values!$S$98&gt;=Charms!M435,IFERROR(Charms!J435=OFFSET(Values!$A$24,MATCH("S",Values!$T$25:$T$50,0),0),FALSE))</f>
        <v>1</v>
      </c>
      <c r="D435" t="b">
        <f>VLOOKUP(Charms!J435,Values!$A$11:$S$59,19,0)&gt;=Charms!L435</f>
        <v>0</v>
      </c>
      <c r="E435" t="e">
        <f>OR(ISBLANK(Charms!I435),(VLOOKUP(Values!$S$6,Castes!$B$2:$F$25,4,0)=Charms!I435))</f>
        <v>#N/A</v>
      </c>
      <c r="J435" t="e">
        <f t="shared" ca="1" si="31"/>
        <v>#N/A</v>
      </c>
      <c r="K435" s="18" t="e">
        <f t="shared" ca="1" si="30"/>
        <v>#N/A</v>
      </c>
      <c r="L435" t="e">
        <f ca="1">IF(J435,Charms!B435,"")</f>
        <v>#N/A</v>
      </c>
      <c r="M435" t="str">
        <f t="shared" ca="1" si="32"/>
        <v>-</v>
      </c>
      <c r="N435" s="18" t="str">
        <f t="shared" si="33"/>
        <v>K434:L472</v>
      </c>
      <c r="O435" t="str">
        <f t="shared" si="34"/>
        <v>A434:A435</v>
      </c>
    </row>
    <row r="436" spans="1:15">
      <c r="A436" s="18" t="str">
        <f>Charms!K436</f>
        <v>Investigation</v>
      </c>
      <c r="B436" t="str">
        <f>Charms!B436</f>
        <v>Crafty Observation Method</v>
      </c>
      <c r="C436" t="b">
        <f ca="1">OR(Values!$S$98&gt;=Charms!M436,IFERROR(Charms!J436=OFFSET(Values!$A$24,MATCH("S",Values!$T$25:$T$50,0),0),FALSE))</f>
        <v>1</v>
      </c>
      <c r="D436" t="b">
        <f>VLOOKUP(Charms!J436,Values!$A$11:$S$59,19,0)&gt;=Charms!L436</f>
        <v>0</v>
      </c>
      <c r="E436" t="e">
        <f>OR(ISBLANK(Charms!I436),(VLOOKUP(Values!$S$6,Castes!$B$2:$F$25,4,0)=Charms!I436))</f>
        <v>#N/A</v>
      </c>
      <c r="J436" t="e">
        <f t="shared" ca="1" si="31"/>
        <v>#N/A</v>
      </c>
      <c r="K436" s="18" t="e">
        <f t="shared" ca="1" si="30"/>
        <v>#N/A</v>
      </c>
      <c r="L436" t="e">
        <f ca="1">IF(J436,Charms!B436,"")</f>
        <v>#N/A</v>
      </c>
      <c r="M436" t="str">
        <f t="shared" ca="1" si="32"/>
        <v>-</v>
      </c>
      <c r="N436" s="18" t="str">
        <f t="shared" si="33"/>
        <v>K434:L472</v>
      </c>
      <c r="O436" t="str">
        <f t="shared" si="34"/>
        <v>A434:A436</v>
      </c>
    </row>
    <row r="437" spans="1:15">
      <c r="A437" s="18" t="str">
        <f>Charms!K437</f>
        <v>Investigation</v>
      </c>
      <c r="B437" t="str">
        <f>Charms!B437</f>
        <v>Fetich-Tracing Eye</v>
      </c>
      <c r="C437" t="b">
        <f ca="1">OR(Values!$S$98&gt;=Charms!M437,IFERROR(Charms!J437=OFFSET(Values!$A$24,MATCH("S",Values!$T$25:$T$50,0),0),FALSE))</f>
        <v>1</v>
      </c>
      <c r="D437" t="b">
        <f>VLOOKUP(Charms!J437,Values!$A$11:$S$59,19,0)&gt;=Charms!L437</f>
        <v>0</v>
      </c>
      <c r="E437" t="e">
        <f>OR(ISBLANK(Charms!I437),(VLOOKUP(Values!$S$6,Castes!$B$2:$F$25,4,0)=Charms!I437))</f>
        <v>#N/A</v>
      </c>
      <c r="J437" t="e">
        <f t="shared" ca="1" si="31"/>
        <v>#N/A</v>
      </c>
      <c r="K437" s="18" t="e">
        <f t="shared" ca="1" si="30"/>
        <v>#N/A</v>
      </c>
      <c r="L437" t="e">
        <f ca="1">IF(J437,Charms!B437,"")</f>
        <v>#N/A</v>
      </c>
      <c r="M437" t="str">
        <f t="shared" ca="1" si="32"/>
        <v>-</v>
      </c>
      <c r="N437" s="18" t="str">
        <f t="shared" si="33"/>
        <v>K434:L472</v>
      </c>
      <c r="O437" t="str">
        <f t="shared" si="34"/>
        <v>A434:A437</v>
      </c>
    </row>
    <row r="438" spans="1:15">
      <c r="A438" s="18" t="str">
        <f>Charms!K438</f>
        <v>Investigation</v>
      </c>
      <c r="B438" t="str">
        <f>Charms!B438</f>
        <v>Divine Induction Technique</v>
      </c>
      <c r="C438" t="b">
        <f ca="1">OR(Values!$S$98&gt;=Charms!M438,IFERROR(Charms!J438=OFFSET(Values!$A$24,MATCH("S",Values!$T$25:$T$50,0),0),FALSE))</f>
        <v>1</v>
      </c>
      <c r="D438" t="b">
        <f>VLOOKUP(Charms!J438,Values!$A$11:$S$59,19,0)&gt;=Charms!L438</f>
        <v>0</v>
      </c>
      <c r="E438" t="e">
        <f>OR(ISBLANK(Charms!I438),(VLOOKUP(Values!$S$6,Castes!$B$2:$F$25,4,0)=Charms!I438))</f>
        <v>#N/A</v>
      </c>
      <c r="J438" t="e">
        <f t="shared" ca="1" si="31"/>
        <v>#N/A</v>
      </c>
      <c r="K438" s="18" t="e">
        <f t="shared" ca="1" si="30"/>
        <v>#N/A</v>
      </c>
      <c r="L438" t="e">
        <f ca="1">IF(J438,Charms!B438,"")</f>
        <v>#N/A</v>
      </c>
      <c r="M438" t="str">
        <f t="shared" ca="1" si="32"/>
        <v>-</v>
      </c>
      <c r="N438" s="18" t="str">
        <f t="shared" si="33"/>
        <v>K434:L472</v>
      </c>
      <c r="O438" t="str">
        <f t="shared" si="34"/>
        <v>A434:A438</v>
      </c>
    </row>
    <row r="439" spans="1:15">
      <c r="A439" s="18" t="str">
        <f>Charms!K439</f>
        <v>Investigation</v>
      </c>
      <c r="B439" t="str">
        <f>Charms!B439</f>
        <v>Judge's Ear Technique</v>
      </c>
      <c r="C439" t="b">
        <f ca="1">OR(Values!$S$98&gt;=Charms!M439,IFERROR(Charms!J439=OFFSET(Values!$A$24,MATCH("S",Values!$T$25:$T$50,0),0),FALSE))</f>
        <v>1</v>
      </c>
      <c r="D439" t="b">
        <f>VLOOKUP(Charms!J439,Values!$A$11:$S$59,19,0)&gt;=Charms!L439</f>
        <v>0</v>
      </c>
      <c r="E439" t="e">
        <f>OR(ISBLANK(Charms!I439),(VLOOKUP(Values!$S$6,Castes!$B$2:$F$25,4,0)=Charms!I439))</f>
        <v>#N/A</v>
      </c>
      <c r="J439" t="e">
        <f t="shared" ca="1" si="31"/>
        <v>#N/A</v>
      </c>
      <c r="K439" s="18" t="e">
        <f t="shared" ca="1" si="30"/>
        <v>#N/A</v>
      </c>
      <c r="L439" t="e">
        <f ca="1">IF(J439,Charms!B439,"")</f>
        <v>#N/A</v>
      </c>
      <c r="M439" t="str">
        <f t="shared" ca="1" si="32"/>
        <v>-</v>
      </c>
      <c r="N439" s="18" t="str">
        <f t="shared" si="33"/>
        <v>K434:L472</v>
      </c>
      <c r="O439" t="str">
        <f t="shared" si="34"/>
        <v>A434:A439</v>
      </c>
    </row>
    <row r="440" spans="1:15">
      <c r="A440" s="18" t="str">
        <f>Charms!K440</f>
        <v>Investigation</v>
      </c>
      <c r="B440" t="str">
        <f>Charms!B440</f>
        <v>Truth-Rendering Attitude</v>
      </c>
      <c r="C440" t="b">
        <f ca="1">OR(Values!$S$98&gt;=Charms!M440,IFERROR(Charms!J440=OFFSET(Values!$A$24,MATCH("S",Values!$T$25:$T$50,0),0),FALSE))</f>
        <v>0</v>
      </c>
      <c r="D440" t="b">
        <f>VLOOKUP(Charms!J440,Values!$A$11:$S$59,19,0)&gt;=Charms!L440</f>
        <v>0</v>
      </c>
      <c r="E440" t="e">
        <f>OR(ISBLANK(Charms!I440),(VLOOKUP(Values!$S$6,Castes!$B$2:$F$25,4,0)=Charms!I440))</f>
        <v>#N/A</v>
      </c>
      <c r="J440" t="e">
        <f t="shared" ca="1" si="31"/>
        <v>#N/A</v>
      </c>
      <c r="K440" s="18" t="e">
        <f t="shared" ca="1" si="30"/>
        <v>#N/A</v>
      </c>
      <c r="L440" t="e">
        <f ca="1">IF(J440,Charms!B440,"")</f>
        <v>#N/A</v>
      </c>
      <c r="M440" t="str">
        <f t="shared" ca="1" si="32"/>
        <v>-</v>
      </c>
      <c r="N440" s="18" t="str">
        <f t="shared" si="33"/>
        <v>K434:L472</v>
      </c>
      <c r="O440" t="str">
        <f t="shared" si="34"/>
        <v>A434:A440</v>
      </c>
    </row>
    <row r="441" spans="1:15">
      <c r="A441" s="18" t="str">
        <f>Charms!K441</f>
        <v>Investigation</v>
      </c>
      <c r="B441" t="str">
        <f>Charms!B441</f>
        <v>Evidence-Discerning Method</v>
      </c>
      <c r="C441" t="b">
        <f ca="1">OR(Values!$S$98&gt;=Charms!M441,IFERROR(Charms!J441=OFFSET(Values!$A$24,MATCH("S",Values!$T$25:$T$50,0),0),FALSE))</f>
        <v>1</v>
      </c>
      <c r="D441" t="b">
        <f>VLOOKUP(Charms!J441,Values!$A$11:$S$59,19,0)&gt;=Charms!L441</f>
        <v>0</v>
      </c>
      <c r="E441" t="e">
        <f>OR(ISBLANK(Charms!I441),(VLOOKUP(Values!$S$6,Castes!$B$2:$F$25,4,0)=Charms!I441))</f>
        <v>#N/A</v>
      </c>
      <c r="J441" t="e">
        <f t="shared" ca="1" si="31"/>
        <v>#N/A</v>
      </c>
      <c r="K441" s="18" t="e">
        <f t="shared" ca="1" si="30"/>
        <v>#N/A</v>
      </c>
      <c r="L441" t="e">
        <f ca="1">IF(J441,Charms!B441,"")</f>
        <v>#N/A</v>
      </c>
      <c r="M441" t="str">
        <f t="shared" ca="1" si="32"/>
        <v>-</v>
      </c>
      <c r="N441" s="18" t="str">
        <f t="shared" si="33"/>
        <v>K434:L472</v>
      </c>
      <c r="O441" t="str">
        <f t="shared" si="34"/>
        <v>A434:A441</v>
      </c>
    </row>
    <row r="442" spans="1:15">
      <c r="A442" s="18" t="str">
        <f>Charms!K442</f>
        <v>Investigation</v>
      </c>
      <c r="B442" t="str">
        <f>Charms!B442</f>
        <v>Miraculous Stunning Insight</v>
      </c>
      <c r="C442" t="b">
        <f ca="1">OR(Values!$S$98&gt;=Charms!M442,IFERROR(Charms!J442=OFFSET(Values!$A$24,MATCH("S",Values!$T$25:$T$50,0),0),FALSE))</f>
        <v>0</v>
      </c>
      <c r="D442" t="b">
        <f>VLOOKUP(Charms!J442,Values!$A$11:$S$59,19,0)&gt;=Charms!L442</f>
        <v>0</v>
      </c>
      <c r="E442" t="e">
        <f>OR(ISBLANK(Charms!I442),(VLOOKUP(Values!$S$6,Castes!$B$2:$F$25,4,0)=Charms!I442))</f>
        <v>#N/A</v>
      </c>
      <c r="J442" t="e">
        <f t="shared" ca="1" si="31"/>
        <v>#N/A</v>
      </c>
      <c r="K442" s="18" t="e">
        <f t="shared" ca="1" si="30"/>
        <v>#N/A</v>
      </c>
      <c r="L442" t="e">
        <f ca="1">IF(J442,Charms!B442,"")</f>
        <v>#N/A</v>
      </c>
      <c r="M442" t="str">
        <f t="shared" ca="1" si="32"/>
        <v>-</v>
      </c>
      <c r="N442" s="18" t="str">
        <f t="shared" si="33"/>
        <v>K434:L472</v>
      </c>
      <c r="O442" t="str">
        <f t="shared" si="34"/>
        <v>A434:A442</v>
      </c>
    </row>
    <row r="443" spans="1:15">
      <c r="A443" s="18" t="str">
        <f>Charms!K443</f>
        <v>Investigation</v>
      </c>
      <c r="B443" t="str">
        <f>Charms!B443</f>
        <v>Watchful Justiciar's Eye</v>
      </c>
      <c r="C443" t="b">
        <f ca="1">OR(Values!$S$98&gt;=Charms!M443,IFERROR(Charms!J443=OFFSET(Values!$A$24,MATCH("S",Values!$T$25:$T$50,0),0),FALSE))</f>
        <v>0</v>
      </c>
      <c r="D443" t="b">
        <f>VLOOKUP(Charms!J443,Values!$A$11:$S$59,19,0)&gt;=Charms!L443</f>
        <v>0</v>
      </c>
      <c r="E443" t="e">
        <f>OR(ISBLANK(Charms!I443),(VLOOKUP(Values!$S$6,Castes!$B$2:$F$25,4,0)=Charms!I443))</f>
        <v>#N/A</v>
      </c>
      <c r="J443" t="e">
        <f t="shared" ca="1" si="31"/>
        <v>#N/A</v>
      </c>
      <c r="K443" s="18" t="e">
        <f t="shared" ca="1" si="30"/>
        <v>#N/A</v>
      </c>
      <c r="L443" t="e">
        <f ca="1">IF(J443,Charms!B443,"")</f>
        <v>#N/A</v>
      </c>
      <c r="M443" t="str">
        <f t="shared" ca="1" si="32"/>
        <v>-</v>
      </c>
      <c r="N443" s="18" t="str">
        <f t="shared" si="33"/>
        <v>K434:L472</v>
      </c>
      <c r="O443" t="str">
        <f t="shared" si="34"/>
        <v>A434:A443</v>
      </c>
    </row>
    <row r="444" spans="1:15">
      <c r="A444" s="18" t="str">
        <f>Charms!K444</f>
        <v>Investigation</v>
      </c>
      <c r="B444" t="str">
        <f>Charms!B444</f>
        <v>Irresistible Questioning Technique</v>
      </c>
      <c r="C444" t="b">
        <f ca="1">OR(Values!$S$98&gt;=Charms!M444,IFERROR(Charms!J444=OFFSET(Values!$A$24,MATCH("S",Values!$T$25:$T$50,0),0),FALSE))</f>
        <v>0</v>
      </c>
      <c r="D444" t="b">
        <f>VLOOKUP(Charms!J444,Values!$A$11:$S$59,19,0)&gt;=Charms!L444</f>
        <v>0</v>
      </c>
      <c r="E444" t="e">
        <f>OR(ISBLANK(Charms!I444),(VLOOKUP(Values!$S$6,Castes!$B$2:$F$25,4,0)=Charms!I444))</f>
        <v>#N/A</v>
      </c>
      <c r="J444" t="e">
        <f t="shared" ca="1" si="31"/>
        <v>#N/A</v>
      </c>
      <c r="K444" s="18" t="e">
        <f t="shared" ca="1" si="30"/>
        <v>#N/A</v>
      </c>
      <c r="L444" t="e">
        <f ca="1">IF(J444,Charms!B444,"")</f>
        <v>#N/A</v>
      </c>
      <c r="M444" t="str">
        <f t="shared" ca="1" si="32"/>
        <v>-</v>
      </c>
      <c r="N444" s="18" t="str">
        <f t="shared" si="33"/>
        <v>K434:L472</v>
      </c>
      <c r="O444" t="str">
        <f t="shared" si="34"/>
        <v>A434:A444</v>
      </c>
    </row>
    <row r="445" spans="1:15">
      <c r="A445" s="18" t="str">
        <f>Charms!K445</f>
        <v>Investigation</v>
      </c>
      <c r="B445" t="str">
        <f>Charms!B445</f>
        <v>Dauntless Inquisitor Attitude</v>
      </c>
      <c r="C445" t="b">
        <f ca="1">OR(Values!$S$98&gt;=Charms!M445,IFERROR(Charms!J445=OFFSET(Values!$A$24,MATCH("S",Values!$T$25:$T$50,0),0),FALSE))</f>
        <v>0</v>
      </c>
      <c r="D445" t="b">
        <f>VLOOKUP(Charms!J445,Values!$A$11:$S$59,19,0)&gt;=Charms!L445</f>
        <v>0</v>
      </c>
      <c r="E445" t="e">
        <f>OR(ISBLANK(Charms!I445),(VLOOKUP(Values!$S$6,Castes!$B$2:$F$25,4,0)=Charms!I445))</f>
        <v>#N/A</v>
      </c>
      <c r="J445" t="e">
        <f t="shared" ca="1" si="31"/>
        <v>#N/A</v>
      </c>
      <c r="K445" s="18" t="e">
        <f t="shared" ca="1" si="30"/>
        <v>#N/A</v>
      </c>
      <c r="L445" t="e">
        <f ca="1">IF(J445,Charms!B445,"")</f>
        <v>#N/A</v>
      </c>
      <c r="M445" t="str">
        <f t="shared" ca="1" si="32"/>
        <v>-</v>
      </c>
      <c r="N445" s="18" t="str">
        <f t="shared" si="33"/>
        <v>K434:L472</v>
      </c>
      <c r="O445" t="str">
        <f t="shared" si="34"/>
        <v>A434:A445</v>
      </c>
    </row>
    <row r="446" spans="1:15">
      <c r="A446" s="18" t="str">
        <f>Charms!K446</f>
        <v>Investigation</v>
      </c>
      <c r="B446" t="str">
        <f>Charms!B446</f>
        <v>Evidence-Restoring Prana</v>
      </c>
      <c r="C446" t="b">
        <f ca="1">OR(Values!$S$98&gt;=Charms!M446,IFERROR(Charms!J446=OFFSET(Values!$A$24,MATCH("S",Values!$T$25:$T$50,0),0),FALSE))</f>
        <v>0</v>
      </c>
      <c r="D446" t="b">
        <f>VLOOKUP(Charms!J446,Values!$A$11:$S$59,19,0)&gt;=Charms!L446</f>
        <v>0</v>
      </c>
      <c r="E446" t="e">
        <f>OR(ISBLANK(Charms!I446),(VLOOKUP(Values!$S$6,Castes!$B$2:$F$25,4,0)=Charms!I446))</f>
        <v>#N/A</v>
      </c>
      <c r="J446" t="e">
        <f t="shared" ca="1" si="31"/>
        <v>#N/A</v>
      </c>
      <c r="K446" s="18" t="e">
        <f t="shared" ca="1" si="30"/>
        <v>#N/A</v>
      </c>
      <c r="L446" t="e">
        <f ca="1">IF(J446,Charms!B446,"")</f>
        <v>#N/A</v>
      </c>
      <c r="M446" t="str">
        <f t="shared" ca="1" si="32"/>
        <v>-</v>
      </c>
      <c r="N446" s="18" t="str">
        <f t="shared" si="33"/>
        <v>K434:L472</v>
      </c>
      <c r="O446" t="str">
        <f t="shared" si="34"/>
        <v>A434:A446</v>
      </c>
    </row>
    <row r="447" spans="1:15">
      <c r="A447" s="18" t="str">
        <f>Charms!K447</f>
        <v>Investigation</v>
      </c>
      <c r="B447" t="str">
        <f>Charms!B447</f>
        <v>Ten Magistrate Eyes</v>
      </c>
      <c r="C447" t="b">
        <f ca="1">OR(Values!$S$98&gt;=Charms!M447,IFERROR(Charms!J447=OFFSET(Values!$A$24,MATCH("S",Values!$T$25:$T$50,0),0),FALSE))</f>
        <v>0</v>
      </c>
      <c r="D447" t="b">
        <f>VLOOKUP(Charms!J447,Values!$A$11:$S$59,19,0)&gt;=Charms!L447</f>
        <v>0</v>
      </c>
      <c r="E447" t="e">
        <f>OR(ISBLANK(Charms!I447),(VLOOKUP(Values!$S$6,Castes!$B$2:$F$25,4,0)=Charms!I447))</f>
        <v>#N/A</v>
      </c>
      <c r="J447" t="e">
        <f t="shared" ca="1" si="31"/>
        <v>#N/A</v>
      </c>
      <c r="K447" s="18" t="e">
        <f t="shared" ca="1" si="30"/>
        <v>#N/A</v>
      </c>
      <c r="L447" t="e">
        <f ca="1">IF(J447,Charms!B447,"")</f>
        <v>#N/A</v>
      </c>
      <c r="M447" t="str">
        <f t="shared" ca="1" si="32"/>
        <v>-</v>
      </c>
      <c r="N447" s="18" t="str">
        <f t="shared" si="33"/>
        <v>K434:L472</v>
      </c>
      <c r="O447" t="str">
        <f t="shared" si="34"/>
        <v>A434:A447</v>
      </c>
    </row>
    <row r="448" spans="1:15">
      <c r="A448" s="18" t="str">
        <f>Charms!K448</f>
        <v>Investigation</v>
      </c>
      <c r="B448" t="str">
        <f>Charms!B448</f>
        <v>Unknown Wisdom Epiphany</v>
      </c>
      <c r="C448" t="b">
        <f ca="1">OR(Values!$S$98&gt;=Charms!M448,IFERROR(Charms!J448=OFFSET(Values!$A$24,MATCH("S",Values!$T$25:$T$50,0),0),FALSE))</f>
        <v>0</v>
      </c>
      <c r="D448" t="b">
        <f>VLOOKUP(Charms!J448,Values!$A$11:$S$59,19,0)&gt;=Charms!L448</f>
        <v>0</v>
      </c>
      <c r="E448" t="e">
        <f>OR(ISBLANK(Charms!I448),(VLOOKUP(Values!$S$6,Castes!$B$2:$F$25,4,0)=Charms!I448))</f>
        <v>#N/A</v>
      </c>
      <c r="J448" t="e">
        <f t="shared" ca="1" si="31"/>
        <v>#N/A</v>
      </c>
      <c r="K448" s="18" t="e">
        <f t="shared" ca="1" si="30"/>
        <v>#N/A</v>
      </c>
      <c r="L448" t="e">
        <f ca="1">IF(J448,Charms!B448,"")</f>
        <v>#N/A</v>
      </c>
      <c r="M448" t="str">
        <f t="shared" ca="1" si="32"/>
        <v>-</v>
      </c>
      <c r="N448" s="18" t="str">
        <f t="shared" si="33"/>
        <v>K434:L472</v>
      </c>
      <c r="O448" t="str">
        <f t="shared" si="34"/>
        <v>A434:A448</v>
      </c>
    </row>
    <row r="449" spans="1:15">
      <c r="A449" s="18" t="str">
        <f>Charms!K449</f>
        <v>Investigation</v>
      </c>
      <c r="B449" t="str">
        <f>Charms!B449</f>
        <v>Enlightened Touch Insight</v>
      </c>
      <c r="C449" t="b">
        <f ca="1">OR(Values!$S$98&gt;=Charms!M449,IFERROR(Charms!J449=OFFSET(Values!$A$24,MATCH("S",Values!$T$25:$T$50,0),0),FALSE))</f>
        <v>0</v>
      </c>
      <c r="D449" t="b">
        <f>VLOOKUP(Charms!J449,Values!$A$11:$S$59,19,0)&gt;=Charms!L449</f>
        <v>0</v>
      </c>
      <c r="E449" t="e">
        <f>OR(ISBLANK(Charms!I449),(VLOOKUP(Values!$S$6,Castes!$B$2:$F$25,4,0)=Charms!I449))</f>
        <v>#N/A</v>
      </c>
      <c r="J449" t="e">
        <f t="shared" ca="1" si="31"/>
        <v>#N/A</v>
      </c>
      <c r="K449" s="18" t="e">
        <f t="shared" ca="1" si="30"/>
        <v>#N/A</v>
      </c>
      <c r="L449" t="e">
        <f ca="1">IF(J449,Charms!B449,"")</f>
        <v>#N/A</v>
      </c>
      <c r="M449" t="str">
        <f t="shared" ca="1" si="32"/>
        <v>-</v>
      </c>
      <c r="N449" s="18" t="str">
        <f t="shared" si="33"/>
        <v>K434:L472</v>
      </c>
      <c r="O449" t="str">
        <f t="shared" si="34"/>
        <v>A434:A449</v>
      </c>
    </row>
    <row r="450" spans="1:15">
      <c r="A450" s="18" t="str">
        <f>Charms!K450</f>
        <v>Investigation</v>
      </c>
      <c r="B450" t="str">
        <f>Charms!B450</f>
        <v>Judge-General's Stance</v>
      </c>
      <c r="C450" t="b">
        <f ca="1">OR(Values!$S$98&gt;=Charms!M450,IFERROR(Charms!J450=OFFSET(Values!$A$24,MATCH("S",Values!$T$25:$T$50,0),0),FALSE))</f>
        <v>0</v>
      </c>
      <c r="D450" t="b">
        <f>VLOOKUP(Charms!J450,Values!$A$11:$S$59,19,0)&gt;=Charms!L450</f>
        <v>0</v>
      </c>
      <c r="E450" t="e">
        <f>OR(ISBLANK(Charms!I450),(VLOOKUP(Values!$S$6,Castes!$B$2:$F$25,4,0)=Charms!I450))</f>
        <v>#N/A</v>
      </c>
      <c r="J450" t="e">
        <f t="shared" ca="1" si="31"/>
        <v>#N/A</v>
      </c>
      <c r="K450" s="18" t="e">
        <f t="shared" ref="K450:K513" ca="1" si="35">IF(L450="","",COUNTIF(INDIRECT("J"&amp;MATCH(A450,A:A,0)&amp;":J"&amp;ROW()),J450))</f>
        <v>#N/A</v>
      </c>
      <c r="L450" t="e">
        <f ca="1">IF(J450,Charms!B450,"")</f>
        <v>#N/A</v>
      </c>
      <c r="M450" t="str">
        <f t="shared" ca="1" si="32"/>
        <v>-</v>
      </c>
      <c r="N450" s="18" t="str">
        <f t="shared" si="33"/>
        <v>K434:L472</v>
      </c>
      <c r="O450" t="str">
        <f t="shared" si="34"/>
        <v>A434:A450</v>
      </c>
    </row>
    <row r="451" spans="1:15">
      <c r="A451" s="18" t="str">
        <f>Charms!K451</f>
        <v>Investigation</v>
      </c>
      <c r="B451" t="str">
        <f>Charms!B451</f>
        <v>Empathic Recall Discipline</v>
      </c>
      <c r="C451" t="b">
        <f ca="1">OR(Values!$S$98&gt;=Charms!M451,IFERROR(Charms!J451=OFFSET(Values!$A$24,MATCH("S",Values!$T$25:$T$50,0),0),FALSE))</f>
        <v>0</v>
      </c>
      <c r="D451" t="b">
        <f>VLOOKUP(Charms!J451,Values!$A$11:$S$59,19,0)&gt;=Charms!L451</f>
        <v>0</v>
      </c>
      <c r="E451" t="e">
        <f>OR(ISBLANK(Charms!I451),(VLOOKUP(Values!$S$6,Castes!$B$2:$F$25,4,0)=Charms!I451))</f>
        <v>#N/A</v>
      </c>
      <c r="J451" t="e">
        <f t="shared" ref="J451:J514" ca="1" si="36">(C451+D451+E451+F451+G451+H451+I451)=3</f>
        <v>#N/A</v>
      </c>
      <c r="K451" s="18" t="e">
        <f t="shared" ca="1" si="35"/>
        <v>#N/A</v>
      </c>
      <c r="L451" t="e">
        <f ca="1">IF(J451,Charms!B451,"")</f>
        <v>#N/A</v>
      </c>
      <c r="M451" t="str">
        <f t="shared" ref="M451:M514" ca="1" si="37">IFERROR(VLOOKUP(COUNTIF(INDIRECT(O451),A451),INDIRECT(N451),2,0),"-")</f>
        <v>-</v>
      </c>
      <c r="N451" s="18" t="str">
        <f t="shared" ref="N451:N514" si="38">"K"&amp;MATCH(A451,A:A,0)&amp;":L"&amp;(MATCH(A451,A:A,0)+COUNTIF(A:A,A451)-1)</f>
        <v>K434:L472</v>
      </c>
      <c r="O451" t="str">
        <f t="shared" ref="O451:O514" si="39">"A"&amp;MATCH(A451,A:A,0)&amp;":A"&amp;ROW()</f>
        <v>A434:A451</v>
      </c>
    </row>
    <row r="452" spans="1:15">
      <c r="A452" s="18" t="str">
        <f>Charms!K452</f>
        <v>Investigation</v>
      </c>
      <c r="B452" t="str">
        <f>Charms!B452</f>
        <v>Mind Manse Meditation</v>
      </c>
      <c r="C452" t="b">
        <f ca="1">OR(Values!$S$98&gt;=Charms!M452,IFERROR(Charms!J452=OFFSET(Values!$A$24,MATCH("S",Values!$T$25:$T$50,0),0),FALSE))</f>
        <v>0</v>
      </c>
      <c r="D452" t="b">
        <f>VLOOKUP(Charms!J452,Values!$A$11:$S$59,19,0)&gt;=Charms!L452</f>
        <v>0</v>
      </c>
      <c r="E452" t="e">
        <f>OR(ISBLANK(Charms!I452),(VLOOKUP(Values!$S$6,Castes!$B$2:$F$25,4,0)=Charms!I452))</f>
        <v>#N/A</v>
      </c>
      <c r="J452" t="e">
        <f t="shared" ca="1" si="36"/>
        <v>#N/A</v>
      </c>
      <c r="K452" s="18" t="e">
        <f t="shared" ca="1" si="35"/>
        <v>#N/A</v>
      </c>
      <c r="L452" t="e">
        <f ca="1">IF(J452,Charms!B452,"")</f>
        <v>#N/A</v>
      </c>
      <c r="M452" t="str">
        <f t="shared" ca="1" si="37"/>
        <v>-</v>
      </c>
      <c r="N452" s="18" t="str">
        <f t="shared" si="38"/>
        <v>K434:L472</v>
      </c>
      <c r="O452" t="str">
        <f t="shared" si="39"/>
        <v>A434:A452</v>
      </c>
    </row>
    <row r="453" spans="1:15">
      <c r="A453" s="18" t="str">
        <f>Charms!K453</f>
        <v>Investigation</v>
      </c>
      <c r="B453" t="str">
        <f>Charms!B453</f>
        <v>Indisputable Physical Analysis Technique</v>
      </c>
      <c r="C453" t="b">
        <f ca="1">OR(Values!$S$98&gt;=Charms!M453,IFERROR(Charms!J453=OFFSET(Values!$A$24,MATCH("S",Values!$T$25:$T$50,0),0),FALSE))</f>
        <v>1</v>
      </c>
      <c r="D453" t="b">
        <f>VLOOKUP(Charms!J453,Values!$A$11:$S$59,19,0)&gt;=Charms!L453</f>
        <v>0</v>
      </c>
      <c r="E453" t="e">
        <f>OR(ISBLANK(Charms!I453),(VLOOKUP(Values!$S$6,Castes!$B$2:$F$25,4,0)=Charms!I453))</f>
        <v>#N/A</v>
      </c>
      <c r="J453" t="e">
        <f t="shared" ca="1" si="36"/>
        <v>#N/A</v>
      </c>
      <c r="K453" s="18" t="e">
        <f t="shared" ca="1" si="35"/>
        <v>#N/A</v>
      </c>
      <c r="L453" t="e">
        <f ca="1">IF(J453,Charms!B453,"")</f>
        <v>#N/A</v>
      </c>
      <c r="M453" t="str">
        <f t="shared" ca="1" si="37"/>
        <v>-</v>
      </c>
      <c r="N453" s="18" t="str">
        <f t="shared" si="38"/>
        <v>K434:L472</v>
      </c>
      <c r="O453" t="str">
        <f t="shared" si="39"/>
        <v>A434:A453</v>
      </c>
    </row>
    <row r="454" spans="1:15">
      <c r="A454" s="18" t="str">
        <f>Charms!K454</f>
        <v>Investigation</v>
      </c>
      <c r="B454" t="str">
        <f>Charms!B454</f>
        <v>Tampering-Detection Technique</v>
      </c>
      <c r="C454" t="b">
        <f ca="1">OR(Values!$S$98&gt;=Charms!M454,IFERROR(Charms!J454=OFFSET(Values!$A$24,MATCH("S",Values!$T$25:$T$50,0),0),FALSE))</f>
        <v>1</v>
      </c>
      <c r="D454" t="b">
        <f>VLOOKUP(Charms!J454,Values!$A$11:$S$59,19,0)&gt;=Charms!L454</f>
        <v>0</v>
      </c>
      <c r="E454" t="e">
        <f>OR(ISBLANK(Charms!I454),(VLOOKUP(Values!$S$6,Castes!$B$2:$F$25,4,0)=Charms!I454))</f>
        <v>#N/A</v>
      </c>
      <c r="J454" t="e">
        <f t="shared" ca="1" si="36"/>
        <v>#N/A</v>
      </c>
      <c r="K454" s="18" t="e">
        <f t="shared" ca="1" si="35"/>
        <v>#N/A</v>
      </c>
      <c r="L454" t="e">
        <f ca="1">IF(J454,Charms!B454,"")</f>
        <v>#N/A</v>
      </c>
      <c r="M454" t="str">
        <f t="shared" ca="1" si="37"/>
        <v>-</v>
      </c>
      <c r="N454" s="18" t="str">
        <f t="shared" si="38"/>
        <v>K434:L472</v>
      </c>
      <c r="O454" t="str">
        <f t="shared" si="39"/>
        <v>A434:A454</v>
      </c>
    </row>
    <row r="455" spans="1:15">
      <c r="A455" s="18" t="str">
        <f>Charms!K455</f>
        <v>Investigation</v>
      </c>
      <c r="B455" t="str">
        <f>Charms!B455</f>
        <v>Heart-Maze Navigation</v>
      </c>
      <c r="C455" t="b">
        <f ca="1">OR(Values!$S$98&gt;=Charms!M455,IFERROR(Charms!J455=OFFSET(Values!$A$24,MATCH("S",Values!$T$25:$T$50,0),0),FALSE))</f>
        <v>0</v>
      </c>
      <c r="D455" t="b">
        <f>VLOOKUP(Charms!J455,Values!$A$11:$S$59,19,0)&gt;=Charms!L455</f>
        <v>0</v>
      </c>
      <c r="E455" t="e">
        <f>OR(ISBLANK(Charms!I455),(VLOOKUP(Values!$S$6,Castes!$B$2:$F$25,4,0)=Charms!I455))</f>
        <v>#N/A</v>
      </c>
      <c r="J455" t="e">
        <f t="shared" ca="1" si="36"/>
        <v>#N/A</v>
      </c>
      <c r="K455" s="18" t="e">
        <f t="shared" ca="1" si="35"/>
        <v>#N/A</v>
      </c>
      <c r="L455" t="e">
        <f ca="1">IF(J455,Charms!B455,"")</f>
        <v>#N/A</v>
      </c>
      <c r="M455" t="str">
        <f t="shared" ca="1" si="37"/>
        <v>-</v>
      </c>
      <c r="N455" s="18" t="str">
        <f t="shared" si="38"/>
        <v>K434:L472</v>
      </c>
      <c r="O455" t="str">
        <f t="shared" si="39"/>
        <v>A434:A455</v>
      </c>
    </row>
    <row r="456" spans="1:15">
      <c r="A456" s="18" t="str">
        <f>Charms!K456</f>
        <v>Investigation</v>
      </c>
      <c r="B456" t="str">
        <f>Charms!B456</f>
        <v>Permeating Insight</v>
      </c>
      <c r="C456" t="b">
        <f ca="1">OR(Values!$S$98&gt;=Charms!M456,IFERROR(Charms!J456=OFFSET(Values!$A$24,MATCH("S",Values!$T$25:$T$50,0),0),FALSE))</f>
        <v>1</v>
      </c>
      <c r="D456" t="b">
        <f>VLOOKUP(Charms!J456,Values!$A$11:$S$59,19,0)&gt;=Charms!L456</f>
        <v>0</v>
      </c>
      <c r="E456" t="e">
        <f>OR(ISBLANK(Charms!I456),(VLOOKUP(Values!$S$6,Castes!$B$2:$F$25,4,0)=Charms!I456))</f>
        <v>#N/A</v>
      </c>
      <c r="J456" t="e">
        <f t="shared" ca="1" si="36"/>
        <v>#N/A</v>
      </c>
      <c r="K456" s="18" t="e">
        <f t="shared" ca="1" si="35"/>
        <v>#N/A</v>
      </c>
      <c r="L456" t="e">
        <f ca="1">IF(J456,Charms!B456,"")</f>
        <v>#N/A</v>
      </c>
      <c r="M456" t="str">
        <f t="shared" ca="1" si="37"/>
        <v>-</v>
      </c>
      <c r="N456" s="18" t="str">
        <f t="shared" si="38"/>
        <v>K434:L472</v>
      </c>
      <c r="O456" t="str">
        <f t="shared" si="39"/>
        <v>A434:A456</v>
      </c>
    </row>
    <row r="457" spans="1:15">
      <c r="A457" s="18" t="str">
        <f>Charms!K457</f>
        <v>Investigation</v>
      </c>
      <c r="B457" t="str">
        <f>Charms!B457</f>
        <v>Scent-of-Crime Method</v>
      </c>
      <c r="C457" t="b">
        <f ca="1">OR(Values!$S$98&gt;=Charms!M457,IFERROR(Charms!J457=OFFSET(Values!$A$24,MATCH("S",Values!$T$25:$T$50,0),0),FALSE))</f>
        <v>0</v>
      </c>
      <c r="D457" t="b">
        <f>VLOOKUP(Charms!J457,Values!$A$11:$S$59,19,0)&gt;=Charms!L457</f>
        <v>0</v>
      </c>
      <c r="E457" t="e">
        <f>OR(ISBLANK(Charms!I457),(VLOOKUP(Values!$S$6,Castes!$B$2:$F$25,4,0)=Charms!I457))</f>
        <v>#N/A</v>
      </c>
      <c r="J457" t="e">
        <f t="shared" ca="1" si="36"/>
        <v>#N/A</v>
      </c>
      <c r="K457" s="18" t="e">
        <f t="shared" ca="1" si="35"/>
        <v>#N/A</v>
      </c>
      <c r="L457" t="e">
        <f ca="1">IF(J457,Charms!B457,"")</f>
        <v>#N/A</v>
      </c>
      <c r="M457" t="str">
        <f t="shared" ca="1" si="37"/>
        <v>-</v>
      </c>
      <c r="N457" s="18" t="str">
        <f t="shared" si="38"/>
        <v>K434:L472</v>
      </c>
      <c r="O457" t="str">
        <f t="shared" si="39"/>
        <v>A434:A457</v>
      </c>
    </row>
    <row r="458" spans="1:15">
      <c r="A458" s="18" t="str">
        <f>Charms!K458</f>
        <v>Investigation</v>
      </c>
      <c r="B458" t="str">
        <f>Charms!B458</f>
        <v>Revelation-of-Associates Hunch</v>
      </c>
      <c r="C458" t="b">
        <f ca="1">OR(Values!$S$98&gt;=Charms!M458,IFERROR(Charms!J458=OFFSET(Values!$A$24,MATCH("S",Values!$T$25:$T$50,0),0),FALSE))</f>
        <v>0</v>
      </c>
      <c r="D458" t="b">
        <f>VLOOKUP(Charms!J458,Values!$A$11:$S$59,19,0)&gt;=Charms!L458</f>
        <v>0</v>
      </c>
      <c r="E458" t="e">
        <f>OR(ISBLANK(Charms!I458),(VLOOKUP(Values!$S$6,Castes!$B$2:$F$25,4,0)=Charms!I458))</f>
        <v>#N/A</v>
      </c>
      <c r="J458" t="e">
        <f t="shared" ca="1" si="36"/>
        <v>#N/A</v>
      </c>
      <c r="K458" s="18" t="e">
        <f t="shared" ca="1" si="35"/>
        <v>#N/A</v>
      </c>
      <c r="L458" t="e">
        <f ca="1">IF(J458,Charms!B458,"")</f>
        <v>#N/A</v>
      </c>
      <c r="M458" t="str">
        <f t="shared" ca="1" si="37"/>
        <v>-</v>
      </c>
      <c r="N458" s="18" t="str">
        <f t="shared" si="38"/>
        <v>K434:L472</v>
      </c>
      <c r="O458" t="str">
        <f t="shared" si="39"/>
        <v>A434:A458</v>
      </c>
    </row>
    <row r="459" spans="1:15">
      <c r="A459" s="18" t="str">
        <f>Charms!K459</f>
        <v>Investigation</v>
      </c>
      <c r="B459" t="str">
        <f>Charms!B459</f>
        <v>Tenacious Flowing Truths</v>
      </c>
      <c r="C459" t="b">
        <f ca="1">OR(Values!$S$98&gt;=Charms!M459,IFERROR(Charms!J459=OFFSET(Values!$A$24,MATCH("S",Values!$T$25:$T$50,0),0),FALSE))</f>
        <v>0</v>
      </c>
      <c r="D459" t="b">
        <f>VLOOKUP(Charms!J459,Values!$A$11:$S$59,19,0)&gt;=Charms!L459</f>
        <v>0</v>
      </c>
      <c r="E459" t="e">
        <f>OR(ISBLANK(Charms!I459),(VLOOKUP(Values!$S$6,Castes!$B$2:$F$25,4,0)=Charms!I459))</f>
        <v>#N/A</v>
      </c>
      <c r="J459" t="e">
        <f t="shared" ca="1" si="36"/>
        <v>#N/A</v>
      </c>
      <c r="K459" s="18" t="e">
        <f t="shared" ca="1" si="35"/>
        <v>#N/A</v>
      </c>
      <c r="L459" t="e">
        <f ca="1">IF(J459,Charms!B459,"")</f>
        <v>#N/A</v>
      </c>
      <c r="M459" t="str">
        <f t="shared" ca="1" si="37"/>
        <v>-</v>
      </c>
      <c r="N459" s="18" t="str">
        <f t="shared" si="38"/>
        <v>K434:L472</v>
      </c>
      <c r="O459" t="str">
        <f t="shared" si="39"/>
        <v>A434:A459</v>
      </c>
    </row>
    <row r="460" spans="1:15">
      <c r="A460" s="18" t="str">
        <f>Charms!K460</f>
        <v>Investigation</v>
      </c>
      <c r="B460" t="str">
        <f>Charms!B460</f>
        <v>Bloodhound’s Nose Technique</v>
      </c>
      <c r="C460" t="b">
        <f ca="1">OR(Values!$S$98&gt;=Charms!M460,IFERROR(Charms!J460=OFFSET(Values!$A$24,MATCH("S",Values!$T$25:$T$50,0),0),FALSE))</f>
        <v>0</v>
      </c>
      <c r="D460" t="b">
        <f>VLOOKUP(Charms!J460,Values!$A$11:$S$59,19,0)&gt;=Charms!L460</f>
        <v>0</v>
      </c>
      <c r="E460" t="e">
        <f>OR(ISBLANK(Charms!I460),(VLOOKUP(Values!$S$6,Castes!$B$2:$F$25,4,0)=Charms!I460))</f>
        <v>#N/A</v>
      </c>
      <c r="J460" t="e">
        <f t="shared" ca="1" si="36"/>
        <v>#N/A</v>
      </c>
      <c r="K460" s="18" t="e">
        <f t="shared" ca="1" si="35"/>
        <v>#N/A</v>
      </c>
      <c r="L460" t="e">
        <f ca="1">IF(J460,Charms!B460,"")</f>
        <v>#N/A</v>
      </c>
      <c r="M460" t="str">
        <f t="shared" ca="1" si="37"/>
        <v>-</v>
      </c>
      <c r="N460" s="18" t="str">
        <f t="shared" si="38"/>
        <v>K434:L472</v>
      </c>
      <c r="O460" t="str">
        <f t="shared" si="39"/>
        <v>A434:A460</v>
      </c>
    </row>
    <row r="461" spans="1:15">
      <c r="A461" s="18" t="str">
        <f>Charms!K461</f>
        <v>Investigation</v>
      </c>
      <c r="B461" t="str">
        <f>Charms!B461</f>
        <v>A Face in the Fog</v>
      </c>
      <c r="C461" t="b">
        <f ca="1">OR(Values!$S$98&gt;=Charms!M461,IFERROR(Charms!J461=OFFSET(Values!$A$24,MATCH("S",Values!$T$25:$T$50,0),0),FALSE))</f>
        <v>0</v>
      </c>
      <c r="D461" t="b">
        <f>VLOOKUP(Charms!J461,Values!$A$11:$S$59,19,0)&gt;=Charms!L461</f>
        <v>0</v>
      </c>
      <c r="E461" t="e">
        <f>OR(ISBLANK(Charms!I461),(VLOOKUP(Values!$S$6,Castes!$B$2:$F$25,4,0)=Charms!I461))</f>
        <v>#N/A</v>
      </c>
      <c r="J461" t="e">
        <f t="shared" ca="1" si="36"/>
        <v>#N/A</v>
      </c>
      <c r="K461" s="18" t="e">
        <f t="shared" ca="1" si="35"/>
        <v>#N/A</v>
      </c>
      <c r="L461" t="e">
        <f ca="1">IF(J461,Charms!B461,"")</f>
        <v>#N/A</v>
      </c>
      <c r="M461" t="str">
        <f t="shared" ca="1" si="37"/>
        <v>-</v>
      </c>
      <c r="N461" s="18" t="str">
        <f t="shared" si="38"/>
        <v>K434:L472</v>
      </c>
      <c r="O461" t="str">
        <f t="shared" si="39"/>
        <v>A434:A461</v>
      </c>
    </row>
    <row r="462" spans="1:15">
      <c r="A462" s="18" t="str">
        <f>Charms!K462</f>
        <v>Investigation</v>
      </c>
      <c r="B462" t="str">
        <f>Charms!B462</f>
        <v>Falsehood-Unearthing Attitude</v>
      </c>
      <c r="C462" t="b">
        <f ca="1">OR(Values!$S$98&gt;=Charms!M462,IFERROR(Charms!J462=OFFSET(Values!$A$24,MATCH("S",Values!$T$25:$T$50,0),0),FALSE))</f>
        <v>0</v>
      </c>
      <c r="D462" t="b">
        <f>VLOOKUP(Charms!J462,Values!$A$11:$S$59,19,0)&gt;=Charms!L462</f>
        <v>0</v>
      </c>
      <c r="E462" t="e">
        <f>OR(ISBLANK(Charms!I462),(VLOOKUP(Values!$S$6,Castes!$B$2:$F$25,4,0)=Charms!I462))</f>
        <v>#N/A</v>
      </c>
      <c r="J462" t="e">
        <f t="shared" ca="1" si="36"/>
        <v>#N/A</v>
      </c>
      <c r="K462" s="18" t="e">
        <f t="shared" ca="1" si="35"/>
        <v>#N/A</v>
      </c>
      <c r="L462" t="e">
        <f ca="1">IF(J462,Charms!B462,"")</f>
        <v>#N/A</v>
      </c>
      <c r="M462" t="str">
        <f t="shared" ca="1" si="37"/>
        <v>-</v>
      </c>
      <c r="N462" s="18" t="str">
        <f t="shared" si="38"/>
        <v>K434:L472</v>
      </c>
      <c r="O462" t="str">
        <f t="shared" si="39"/>
        <v>A434:A462</v>
      </c>
    </row>
    <row r="463" spans="1:15">
      <c r="A463" s="18" t="str">
        <f>Charms!K463</f>
        <v>Investigation</v>
      </c>
      <c r="B463" t="str">
        <f>Charms!B463</f>
        <v>Scent of the Stranger’s Threshold</v>
      </c>
      <c r="C463" t="b">
        <f ca="1">OR(Values!$S$98&gt;=Charms!M463,IFERROR(Charms!J463=OFFSET(Values!$A$24,MATCH("S",Values!$T$25:$T$50,0),0),FALSE))</f>
        <v>0</v>
      </c>
      <c r="D463" t="b">
        <f>VLOOKUP(Charms!J463,Values!$A$11:$S$59,19,0)&gt;=Charms!L463</f>
        <v>0</v>
      </c>
      <c r="E463" t="e">
        <f>OR(ISBLANK(Charms!I463),(VLOOKUP(Values!$S$6,Castes!$B$2:$F$25,4,0)=Charms!I463))</f>
        <v>#N/A</v>
      </c>
      <c r="J463" t="e">
        <f t="shared" ca="1" si="36"/>
        <v>#N/A</v>
      </c>
      <c r="K463" s="18" t="e">
        <f t="shared" ca="1" si="35"/>
        <v>#N/A</v>
      </c>
      <c r="L463" t="e">
        <f ca="1">IF(J463,Charms!B463,"")</f>
        <v>#N/A</v>
      </c>
      <c r="M463" t="str">
        <f t="shared" ca="1" si="37"/>
        <v>-</v>
      </c>
      <c r="N463" s="18" t="str">
        <f t="shared" si="38"/>
        <v>K434:L472</v>
      </c>
      <c r="O463" t="str">
        <f t="shared" si="39"/>
        <v>A434:A463</v>
      </c>
    </row>
    <row r="464" spans="1:15">
      <c r="A464" s="18" t="str">
        <f>Charms!K464</f>
        <v>Investigation</v>
      </c>
      <c r="B464" t="str">
        <f>Charms!B464</f>
        <v>Warrant of Divine Safety</v>
      </c>
      <c r="C464" t="b">
        <f ca="1">OR(Values!$S$98&gt;=Charms!M464,IFERROR(Charms!J464=OFFSET(Values!$A$24,MATCH("S",Values!$T$25:$T$50,0),0),FALSE))</f>
        <v>0</v>
      </c>
      <c r="D464" t="b">
        <f>VLOOKUP(Charms!J464,Values!$A$11:$S$59,19,0)&gt;=Charms!L464</f>
        <v>0</v>
      </c>
      <c r="E464" t="e">
        <f>OR(ISBLANK(Charms!I464),(VLOOKUP(Values!$S$6,Castes!$B$2:$F$25,4,0)=Charms!I464))</f>
        <v>#N/A</v>
      </c>
      <c r="J464" t="e">
        <f t="shared" ca="1" si="36"/>
        <v>#N/A</v>
      </c>
      <c r="K464" s="18" t="e">
        <f t="shared" ca="1" si="35"/>
        <v>#N/A</v>
      </c>
      <c r="L464" t="e">
        <f ca="1">IF(J464,Charms!B464,"")</f>
        <v>#N/A</v>
      </c>
      <c r="M464" t="str">
        <f t="shared" ca="1" si="37"/>
        <v>-</v>
      </c>
      <c r="N464" s="18" t="str">
        <f t="shared" si="38"/>
        <v>K434:L472</v>
      </c>
      <c r="O464" t="str">
        <f t="shared" si="39"/>
        <v>A434:A464</v>
      </c>
    </row>
    <row r="465" spans="1:15">
      <c r="A465" s="18" t="str">
        <f>Charms!K465</f>
        <v>Investigation</v>
      </c>
      <c r="B465" t="str">
        <f>Charms!B465</f>
        <v>Echoes Caught in Stone</v>
      </c>
      <c r="C465" t="b">
        <f ca="1">OR(Values!$S$98&gt;=Charms!M465,IFERROR(Charms!J465=OFFSET(Values!$A$24,MATCH("S",Values!$T$25:$T$50,0),0),FALSE))</f>
        <v>0</v>
      </c>
      <c r="D465" t="b">
        <f>VLOOKUP(Charms!J465,Values!$A$11:$S$59,19,0)&gt;=Charms!L465</f>
        <v>0</v>
      </c>
      <c r="E465" t="e">
        <f>OR(ISBLANK(Charms!I465),(VLOOKUP(Values!$S$6,Castes!$B$2:$F$25,4,0)=Charms!I465))</f>
        <v>#N/A</v>
      </c>
      <c r="J465" t="e">
        <f t="shared" ca="1" si="36"/>
        <v>#N/A</v>
      </c>
      <c r="K465" s="18" t="e">
        <f t="shared" ca="1" si="35"/>
        <v>#N/A</v>
      </c>
      <c r="L465" t="e">
        <f ca="1">IF(J465,Charms!B465,"")</f>
        <v>#N/A</v>
      </c>
      <c r="M465" t="str">
        <f t="shared" ca="1" si="37"/>
        <v>-</v>
      </c>
      <c r="N465" s="18" t="str">
        <f t="shared" si="38"/>
        <v>K434:L472</v>
      </c>
      <c r="O465" t="str">
        <f t="shared" si="39"/>
        <v>A434:A465</v>
      </c>
    </row>
    <row r="466" spans="1:15">
      <c r="A466" s="18" t="str">
        <f>Charms!K466</f>
        <v>Investigation</v>
      </c>
      <c r="B466" t="str">
        <f>Charms!B466</f>
        <v>Shadow-Immolating Talon</v>
      </c>
      <c r="C466" t="b">
        <f ca="1">OR(Values!$S$98&gt;=Charms!M466,IFERROR(Charms!J466=OFFSET(Values!$A$24,MATCH("S",Values!$T$25:$T$50,0),0),FALSE))</f>
        <v>0</v>
      </c>
      <c r="D466" t="b">
        <f>VLOOKUP(Charms!J466,Values!$A$11:$S$59,19,0)&gt;=Charms!L466</f>
        <v>0</v>
      </c>
      <c r="E466" t="e">
        <f>OR(ISBLANK(Charms!I466),(VLOOKUP(Values!$S$6,Castes!$B$2:$F$25,4,0)=Charms!I466))</f>
        <v>#N/A</v>
      </c>
      <c r="J466" t="e">
        <f t="shared" ca="1" si="36"/>
        <v>#N/A</v>
      </c>
      <c r="K466" s="18" t="e">
        <f t="shared" ca="1" si="35"/>
        <v>#N/A</v>
      </c>
      <c r="L466" t="e">
        <f ca="1">IF(J466,Charms!B466,"")</f>
        <v>#N/A</v>
      </c>
      <c r="M466" t="str">
        <f t="shared" ca="1" si="37"/>
        <v>-</v>
      </c>
      <c r="N466" s="18" t="str">
        <f t="shared" si="38"/>
        <v>K434:L472</v>
      </c>
      <c r="O466" t="str">
        <f t="shared" si="39"/>
        <v>A434:A466</v>
      </c>
    </row>
    <row r="467" spans="1:15">
      <c r="A467" s="18" t="str">
        <f>Charms!K467</f>
        <v>Investigation</v>
      </c>
      <c r="B467" t="str">
        <f>Charms!B467</f>
        <v>Clear Water Prana</v>
      </c>
      <c r="C467" t="b">
        <f ca="1">OR(Values!$S$98&gt;=Charms!M467,IFERROR(Charms!J467=OFFSET(Values!$A$24,MATCH("S",Values!$T$25:$T$50,0),0),FALSE))</f>
        <v>0</v>
      </c>
      <c r="D467" t="b">
        <f>VLOOKUP(Charms!J467,Values!$A$11:$S$59,19,0)&gt;=Charms!L467</f>
        <v>0</v>
      </c>
      <c r="E467" t="e">
        <f>OR(ISBLANK(Charms!I467),(VLOOKUP(Values!$S$6,Castes!$B$2:$F$25,4,0)=Charms!I467))</f>
        <v>#N/A</v>
      </c>
      <c r="J467" t="e">
        <f t="shared" ca="1" si="36"/>
        <v>#N/A</v>
      </c>
      <c r="K467" s="18" t="e">
        <f t="shared" ca="1" si="35"/>
        <v>#N/A</v>
      </c>
      <c r="L467" t="e">
        <f ca="1">IF(J467,Charms!B467,"")</f>
        <v>#N/A</v>
      </c>
      <c r="M467" t="str">
        <f t="shared" ca="1" si="37"/>
        <v>-</v>
      </c>
      <c r="N467" s="18" t="str">
        <f t="shared" si="38"/>
        <v>K434:L472</v>
      </c>
      <c r="O467" t="str">
        <f t="shared" si="39"/>
        <v>A434:A467</v>
      </c>
    </row>
    <row r="468" spans="1:15">
      <c r="A468" s="18" t="str">
        <f>Charms!K468</f>
        <v>Investigation</v>
      </c>
      <c r="B468" t="str">
        <f>Charms!B468</f>
        <v>Death-Unraveling Eye</v>
      </c>
      <c r="C468" t="b">
        <f ca="1">OR(Values!$S$98&gt;=Charms!M468,IFERROR(Charms!J468=OFFSET(Values!$A$24,MATCH("S",Values!$T$25:$T$50,0),0),FALSE))</f>
        <v>0</v>
      </c>
      <c r="D468" t="b">
        <f>VLOOKUP(Charms!J468,Values!$A$11:$S$59,19,0)&gt;=Charms!L468</f>
        <v>0</v>
      </c>
      <c r="E468" t="e">
        <f>OR(ISBLANK(Charms!I468),(VLOOKUP(Values!$S$6,Castes!$B$2:$F$25,4,0)=Charms!I468))</f>
        <v>#N/A</v>
      </c>
      <c r="J468" t="e">
        <f t="shared" ca="1" si="36"/>
        <v>#N/A</v>
      </c>
      <c r="K468" s="18" t="e">
        <f t="shared" ca="1" si="35"/>
        <v>#N/A</v>
      </c>
      <c r="L468" t="e">
        <f ca="1">IF(J468,Charms!B468,"")</f>
        <v>#N/A</v>
      </c>
      <c r="M468" t="str">
        <f t="shared" ca="1" si="37"/>
        <v>-</v>
      </c>
      <c r="N468" s="18" t="str">
        <f t="shared" si="38"/>
        <v>K434:L472</v>
      </c>
      <c r="O468" t="str">
        <f t="shared" si="39"/>
        <v>A434:A468</v>
      </c>
    </row>
    <row r="469" spans="1:15">
      <c r="A469" s="18" t="str">
        <f>Charms!K469</f>
        <v>Investigation</v>
      </c>
      <c r="B469" t="str">
        <f>Charms!B469</f>
        <v>Foul Stench of Lies Discernment</v>
      </c>
      <c r="C469" t="b">
        <f ca="1">OR(Values!$S$98&gt;=Charms!M469,IFERROR(Charms!J469=OFFSET(Values!$A$24,MATCH("S",Values!$T$25:$T$50,0),0),FALSE))</f>
        <v>0</v>
      </c>
      <c r="D469" t="b">
        <f>VLOOKUP(Charms!J469,Values!$A$11:$S$59,19,0)&gt;=Charms!L469</f>
        <v>0</v>
      </c>
      <c r="E469" t="e">
        <f>OR(ISBLANK(Charms!I469),(VLOOKUP(Values!$S$6,Castes!$B$2:$F$25,4,0)=Charms!I469))</f>
        <v>#N/A</v>
      </c>
      <c r="J469" t="e">
        <f t="shared" ca="1" si="36"/>
        <v>#N/A</v>
      </c>
      <c r="K469" s="18" t="e">
        <f t="shared" ca="1" si="35"/>
        <v>#N/A</v>
      </c>
      <c r="L469" t="e">
        <f ca="1">IF(J469,Charms!B469,"")</f>
        <v>#N/A</v>
      </c>
      <c r="M469" t="str">
        <f t="shared" ca="1" si="37"/>
        <v>-</v>
      </c>
      <c r="N469" s="18" t="str">
        <f t="shared" si="38"/>
        <v>K434:L472</v>
      </c>
      <c r="O469" t="str">
        <f t="shared" si="39"/>
        <v>A434:A469</v>
      </c>
    </row>
    <row r="470" spans="1:15">
      <c r="A470" s="18" t="str">
        <f>Charms!K470</f>
        <v>Investigation</v>
      </c>
      <c r="B470" t="str">
        <f>Charms!B470</f>
        <v>Homeward Trail Discovery Method</v>
      </c>
      <c r="C470" t="b">
        <f ca="1">OR(Values!$S$98&gt;=Charms!M470,IFERROR(Charms!J470=OFFSET(Values!$A$24,MATCH("S",Values!$T$25:$T$50,0),0),FALSE))</f>
        <v>0</v>
      </c>
      <c r="D470" t="b">
        <f>VLOOKUP(Charms!J470,Values!$A$11:$S$59,19,0)&gt;=Charms!L470</f>
        <v>0</v>
      </c>
      <c r="E470" t="e">
        <f>OR(ISBLANK(Charms!I470),(VLOOKUP(Values!$S$6,Castes!$B$2:$F$25,4,0)=Charms!I470))</f>
        <v>#N/A</v>
      </c>
      <c r="J470" t="e">
        <f t="shared" ca="1" si="36"/>
        <v>#N/A</v>
      </c>
      <c r="K470" s="18" t="e">
        <f t="shared" ca="1" si="35"/>
        <v>#N/A</v>
      </c>
      <c r="L470" t="e">
        <f ca="1">IF(J470,Charms!B470,"")</f>
        <v>#N/A</v>
      </c>
      <c r="M470" t="str">
        <f t="shared" ca="1" si="37"/>
        <v>-</v>
      </c>
      <c r="N470" s="18" t="str">
        <f t="shared" si="38"/>
        <v>K434:L472</v>
      </c>
      <c r="O470" t="str">
        <f t="shared" si="39"/>
        <v>A434:A470</v>
      </c>
    </row>
    <row r="471" spans="1:15">
      <c r="A471" s="18" t="str">
        <f>Charms!K471</f>
        <v>Investigation</v>
      </c>
      <c r="B471" t="str">
        <f>Charms!B471</f>
        <v>River-of-Memory Meditation</v>
      </c>
      <c r="C471" t="b">
        <f ca="1">OR(Values!$S$98&gt;=Charms!M471,IFERROR(Charms!J471=OFFSET(Values!$A$24,MATCH("S",Values!$T$25:$T$50,0),0),FALSE))</f>
        <v>0</v>
      </c>
      <c r="D471" t="b">
        <f>VLOOKUP(Charms!J471,Values!$A$11:$S$59,19,0)&gt;=Charms!L471</f>
        <v>0</v>
      </c>
      <c r="E471" t="e">
        <f>OR(ISBLANK(Charms!I471),(VLOOKUP(Values!$S$6,Castes!$B$2:$F$25,4,0)=Charms!I471))</f>
        <v>#N/A</v>
      </c>
      <c r="J471" t="e">
        <f t="shared" ca="1" si="36"/>
        <v>#N/A</v>
      </c>
      <c r="K471" s="18" t="e">
        <f t="shared" ca="1" si="35"/>
        <v>#N/A</v>
      </c>
      <c r="L471" t="e">
        <f ca="1">IF(J471,Charms!B471,"")</f>
        <v>#N/A</v>
      </c>
      <c r="M471" t="str">
        <f t="shared" ca="1" si="37"/>
        <v>-</v>
      </c>
      <c r="N471" s="18" t="str">
        <f t="shared" si="38"/>
        <v>K434:L472</v>
      </c>
      <c r="O471" t="str">
        <f t="shared" si="39"/>
        <v>A434:A471</v>
      </c>
    </row>
    <row r="472" spans="1:15">
      <c r="A472" s="18" t="str">
        <f>Charms!K472</f>
        <v>Investigation</v>
      </c>
      <c r="B472" t="str">
        <f>Charms!B472</f>
        <v>Inescapable Wave Insight</v>
      </c>
      <c r="C472" t="b">
        <f ca="1">OR(Values!$S$98&gt;=Charms!M472,IFERROR(Charms!J472=OFFSET(Values!$A$24,MATCH("S",Values!$T$25:$T$50,0),0),FALSE))</f>
        <v>0</v>
      </c>
      <c r="D472" t="b">
        <f>VLOOKUP(Charms!J472,Values!$A$11:$S$59,19,0)&gt;=Charms!L472</f>
        <v>0</v>
      </c>
      <c r="E472" t="e">
        <f>OR(ISBLANK(Charms!I472),(VLOOKUP(Values!$S$6,Castes!$B$2:$F$25,4,0)=Charms!I472))</f>
        <v>#N/A</v>
      </c>
      <c r="J472" t="e">
        <f t="shared" ca="1" si="36"/>
        <v>#N/A</v>
      </c>
      <c r="K472" s="18" t="e">
        <f t="shared" ca="1" si="35"/>
        <v>#N/A</v>
      </c>
      <c r="L472" t="e">
        <f ca="1">IF(J472,Charms!B472,"")</f>
        <v>#N/A</v>
      </c>
      <c r="M472" t="str">
        <f t="shared" ca="1" si="37"/>
        <v>-</v>
      </c>
      <c r="N472" s="18" t="str">
        <f t="shared" si="38"/>
        <v>K434:L472</v>
      </c>
      <c r="O472" t="str">
        <f t="shared" si="39"/>
        <v>A434:A472</v>
      </c>
    </row>
    <row r="473" spans="1:15">
      <c r="A473" s="18" t="str">
        <f>Charms!K473</f>
        <v>Larceny</v>
      </c>
      <c r="B473" t="str">
        <f>Charms!B473</f>
        <v>Seasoned Criminal Method</v>
      </c>
      <c r="C473" t="b">
        <f ca="1">OR(Values!$S$98&gt;=Charms!M473,IFERROR(Charms!J473=OFFSET(Values!$A$24,MATCH("S",Values!$T$25:$T$50,0),0),FALSE))</f>
        <v>1</v>
      </c>
      <c r="D473" t="b">
        <f>VLOOKUP(Charms!J473,Values!$A$11:$S$59,19,0)&gt;=Charms!L473</f>
        <v>0</v>
      </c>
      <c r="E473" t="e">
        <f>OR(ISBLANK(Charms!I473),(VLOOKUP(Values!$S$6,Castes!$B$2:$F$25,4,0)=Charms!I473))</f>
        <v>#N/A</v>
      </c>
      <c r="J473" t="e">
        <f t="shared" ca="1" si="36"/>
        <v>#N/A</v>
      </c>
      <c r="K473" s="18" t="e">
        <f t="shared" ca="1" si="35"/>
        <v>#N/A</v>
      </c>
      <c r="L473" t="e">
        <f ca="1">IF(J473,Charms!B473,"")</f>
        <v>#N/A</v>
      </c>
      <c r="M473" t="str">
        <f t="shared" ca="1" si="37"/>
        <v>-</v>
      </c>
      <c r="N473" s="18" t="str">
        <f t="shared" si="38"/>
        <v>K473:L530</v>
      </c>
      <c r="O473" t="str">
        <f t="shared" si="39"/>
        <v>A473:A473</v>
      </c>
    </row>
    <row r="474" spans="1:15">
      <c r="A474" s="18" t="str">
        <f>Charms!K474</f>
        <v>Larceny</v>
      </c>
      <c r="B474" t="str">
        <f>Charms!B474</f>
        <v>Spurious Presence</v>
      </c>
      <c r="C474" t="b">
        <f ca="1">OR(Values!$S$98&gt;=Charms!M474,IFERROR(Charms!J474=OFFSET(Values!$A$24,MATCH("S",Values!$T$25:$T$50,0),0),FALSE))</f>
        <v>1</v>
      </c>
      <c r="D474" t="b">
        <f>VLOOKUP(Charms!J474,Values!$A$11:$S$59,19,0)&gt;=Charms!L474</f>
        <v>0</v>
      </c>
      <c r="E474" t="e">
        <f>OR(ISBLANK(Charms!I474),(VLOOKUP(Values!$S$6,Castes!$B$2:$F$25,4,0)=Charms!I474))</f>
        <v>#N/A</v>
      </c>
      <c r="J474" t="e">
        <f t="shared" ca="1" si="36"/>
        <v>#N/A</v>
      </c>
      <c r="K474" s="18" t="e">
        <f t="shared" ca="1" si="35"/>
        <v>#N/A</v>
      </c>
      <c r="L474" t="e">
        <f ca="1">IF(J474,Charms!B474,"")</f>
        <v>#N/A</v>
      </c>
      <c r="M474" t="str">
        <f t="shared" ca="1" si="37"/>
        <v>-</v>
      </c>
      <c r="N474" s="18" t="str">
        <f t="shared" si="38"/>
        <v>K473:L530</v>
      </c>
      <c r="O474" t="str">
        <f t="shared" si="39"/>
        <v>A473:A474</v>
      </c>
    </row>
    <row r="475" spans="1:15">
      <c r="A475" s="18" t="str">
        <f>Charms!K475</f>
        <v>Larceny</v>
      </c>
      <c r="B475" t="str">
        <f>Charms!B475</f>
        <v>Flawless Pickpocketing Technique</v>
      </c>
      <c r="C475" t="b">
        <f ca="1">OR(Values!$S$98&gt;=Charms!M475,IFERROR(Charms!J475=OFFSET(Values!$A$24,MATCH("S",Values!$T$25:$T$50,0),0),FALSE))</f>
        <v>1</v>
      </c>
      <c r="D475" t="b">
        <f>VLOOKUP(Charms!J475,Values!$A$11:$S$59,19,0)&gt;=Charms!L475</f>
        <v>0</v>
      </c>
      <c r="E475" t="e">
        <f>OR(ISBLANK(Charms!I475),(VLOOKUP(Values!$S$6,Castes!$B$2:$F$25,4,0)=Charms!I475))</f>
        <v>#N/A</v>
      </c>
      <c r="J475" t="e">
        <f t="shared" ca="1" si="36"/>
        <v>#N/A</v>
      </c>
      <c r="K475" s="18" t="e">
        <f t="shared" ca="1" si="35"/>
        <v>#N/A</v>
      </c>
      <c r="L475" t="e">
        <f ca="1">IF(J475,Charms!B475,"")</f>
        <v>#N/A</v>
      </c>
      <c r="M475" t="str">
        <f t="shared" ca="1" si="37"/>
        <v>-</v>
      </c>
      <c r="N475" s="18" t="str">
        <f t="shared" si="38"/>
        <v>K473:L530</v>
      </c>
      <c r="O475" t="str">
        <f t="shared" si="39"/>
        <v>A473:A475</v>
      </c>
    </row>
    <row r="476" spans="1:15">
      <c r="A476" s="18" t="str">
        <f>Charms!K476</f>
        <v>Larceny</v>
      </c>
      <c r="B476" t="str">
        <f>Charms!B476</f>
        <v>Lock-Opening Touch</v>
      </c>
      <c r="C476" t="b">
        <f ca="1">OR(Values!$S$98&gt;=Charms!M476,IFERROR(Charms!J476=OFFSET(Values!$A$24,MATCH("S",Values!$T$25:$T$50,0),0),FALSE))</f>
        <v>1</v>
      </c>
      <c r="D476" t="b">
        <f>VLOOKUP(Charms!J476,Values!$A$11:$S$59,19,0)&gt;=Charms!L476</f>
        <v>0</v>
      </c>
      <c r="E476" t="e">
        <f>OR(ISBLANK(Charms!I476),(VLOOKUP(Values!$S$6,Castes!$B$2:$F$25,4,0)=Charms!I476))</f>
        <v>#N/A</v>
      </c>
      <c r="J476" t="e">
        <f t="shared" ca="1" si="36"/>
        <v>#N/A</v>
      </c>
      <c r="K476" s="18" t="e">
        <f t="shared" ca="1" si="35"/>
        <v>#N/A</v>
      </c>
      <c r="L476" t="e">
        <f ca="1">IF(J476,Charms!B476,"")</f>
        <v>#N/A</v>
      </c>
      <c r="M476" t="str">
        <f t="shared" ca="1" si="37"/>
        <v>-</v>
      </c>
      <c r="N476" s="18" t="str">
        <f t="shared" si="38"/>
        <v>K473:L530</v>
      </c>
      <c r="O476" t="str">
        <f t="shared" si="39"/>
        <v>A473:A476</v>
      </c>
    </row>
    <row r="477" spans="1:15">
      <c r="A477" s="18" t="str">
        <f>Charms!K477</f>
        <v>Larceny</v>
      </c>
      <c r="B477" t="str">
        <f>Charms!B477</f>
        <v>Preying on Uncertainty Approach</v>
      </c>
      <c r="C477" t="b">
        <f ca="1">OR(Values!$S$98&gt;=Charms!M477,IFERROR(Charms!J477=OFFSET(Values!$A$24,MATCH("S",Values!$T$25:$T$50,0),0),FALSE))</f>
        <v>1</v>
      </c>
      <c r="D477" t="b">
        <f>VLOOKUP(Charms!J477,Values!$A$11:$S$59,19,0)&gt;=Charms!L477</f>
        <v>0</v>
      </c>
      <c r="E477" t="e">
        <f>OR(ISBLANK(Charms!I477),(VLOOKUP(Values!$S$6,Castes!$B$2:$F$25,4,0)=Charms!I477))</f>
        <v>#N/A</v>
      </c>
      <c r="J477" t="e">
        <f t="shared" ca="1" si="36"/>
        <v>#N/A</v>
      </c>
      <c r="K477" s="18" t="e">
        <f t="shared" ca="1" si="35"/>
        <v>#N/A</v>
      </c>
      <c r="L477" t="e">
        <f ca="1">IF(J477,Charms!B477,"")</f>
        <v>#N/A</v>
      </c>
      <c r="M477" t="str">
        <f t="shared" ca="1" si="37"/>
        <v>-</v>
      </c>
      <c r="N477" s="18" t="str">
        <f t="shared" si="38"/>
        <v>K473:L530</v>
      </c>
      <c r="O477" t="str">
        <f t="shared" si="39"/>
        <v>A473:A477</v>
      </c>
    </row>
    <row r="478" spans="1:15">
      <c r="A478" s="18" t="str">
        <f>Charms!K478</f>
        <v>Larceny</v>
      </c>
      <c r="B478" t="str">
        <f>Charms!B478</f>
        <v>Clever Bandit's Rook</v>
      </c>
      <c r="C478" t="b">
        <f ca="1">OR(Values!$S$98&gt;=Charms!M478,IFERROR(Charms!J478=OFFSET(Values!$A$24,MATCH("S",Values!$T$25:$T$50,0),0),FALSE))</f>
        <v>1</v>
      </c>
      <c r="D478" t="b">
        <f>VLOOKUP(Charms!J478,Values!$A$11:$S$59,19,0)&gt;=Charms!L478</f>
        <v>0</v>
      </c>
      <c r="E478" t="e">
        <f>OR(ISBLANK(Charms!I478),(VLOOKUP(Values!$S$6,Castes!$B$2:$F$25,4,0)=Charms!I478))</f>
        <v>#N/A</v>
      </c>
      <c r="J478" t="e">
        <f t="shared" ca="1" si="36"/>
        <v>#N/A</v>
      </c>
      <c r="K478" s="18" t="e">
        <f t="shared" ca="1" si="35"/>
        <v>#N/A</v>
      </c>
      <c r="L478" t="e">
        <f ca="1">IF(J478,Charms!B478,"")</f>
        <v>#N/A</v>
      </c>
      <c r="M478" t="str">
        <f t="shared" ca="1" si="37"/>
        <v>-</v>
      </c>
      <c r="N478" s="18" t="str">
        <f t="shared" si="38"/>
        <v>K473:L530</v>
      </c>
      <c r="O478" t="str">
        <f t="shared" si="39"/>
        <v>A473:A478</v>
      </c>
    </row>
    <row r="479" spans="1:15">
      <c r="A479" s="18" t="str">
        <f>Charms!K479</f>
        <v>Larceny</v>
      </c>
      <c r="B479" t="str">
        <f>Charms!B479</f>
        <v>Swift Gambler's Eye</v>
      </c>
      <c r="C479" t="b">
        <f ca="1">OR(Values!$S$98&gt;=Charms!M479,IFERROR(Charms!J479=OFFSET(Values!$A$24,MATCH("S",Values!$T$25:$T$50,0),0),FALSE))</f>
        <v>1</v>
      </c>
      <c r="D479" t="b">
        <f>VLOOKUP(Charms!J479,Values!$A$11:$S$59,19,0)&gt;=Charms!L479</f>
        <v>0</v>
      </c>
      <c r="E479" t="e">
        <f>OR(ISBLANK(Charms!I479),(VLOOKUP(Values!$S$6,Castes!$B$2:$F$25,4,0)=Charms!I479))</f>
        <v>#N/A</v>
      </c>
      <c r="J479" t="e">
        <f t="shared" ca="1" si="36"/>
        <v>#N/A</v>
      </c>
      <c r="K479" s="18" t="e">
        <f t="shared" ca="1" si="35"/>
        <v>#N/A</v>
      </c>
      <c r="L479" t="e">
        <f ca="1">IF(J479,Charms!B479,"")</f>
        <v>#N/A</v>
      </c>
      <c r="M479" t="str">
        <f t="shared" ca="1" si="37"/>
        <v>-</v>
      </c>
      <c r="N479" s="18" t="str">
        <f t="shared" si="38"/>
        <v>K473:L530</v>
      </c>
      <c r="O479" t="str">
        <f t="shared" si="39"/>
        <v>A473:A479</v>
      </c>
    </row>
    <row r="480" spans="1:15">
      <c r="A480" s="18" t="str">
        <f>Charms!K480</f>
        <v>Larceny</v>
      </c>
      <c r="B480" t="str">
        <f>Charms!B480</f>
        <v>Phantom Hood Technique</v>
      </c>
      <c r="C480" t="b">
        <f ca="1">OR(Values!$S$98&gt;=Charms!M480,IFERROR(Charms!J480=OFFSET(Values!$A$24,MATCH("S",Values!$T$25:$T$50,0),0),FALSE))</f>
        <v>0</v>
      </c>
      <c r="D480" t="b">
        <f>VLOOKUP(Charms!J480,Values!$A$11:$S$59,19,0)&gt;=Charms!L480</f>
        <v>0</v>
      </c>
      <c r="E480" t="e">
        <f>OR(ISBLANK(Charms!I480),(VLOOKUP(Values!$S$6,Castes!$B$2:$F$25,4,0)=Charms!I480))</f>
        <v>#N/A</v>
      </c>
      <c r="J480" t="e">
        <f t="shared" ca="1" si="36"/>
        <v>#N/A</v>
      </c>
      <c r="K480" s="18" t="e">
        <f t="shared" ca="1" si="35"/>
        <v>#N/A</v>
      </c>
      <c r="L480" t="e">
        <f ca="1">IF(J480,Charms!B480,"")</f>
        <v>#N/A</v>
      </c>
      <c r="M480" t="str">
        <f t="shared" ca="1" si="37"/>
        <v>-</v>
      </c>
      <c r="N480" s="18" t="str">
        <f t="shared" si="38"/>
        <v>K473:L530</v>
      </c>
      <c r="O480" t="str">
        <f t="shared" si="39"/>
        <v>A473:A480</v>
      </c>
    </row>
    <row r="481" spans="1:15">
      <c r="A481" s="18" t="str">
        <f>Charms!K481</f>
        <v>Larceny</v>
      </c>
      <c r="B481" t="str">
        <f>Charms!B481</f>
        <v>Living Shadow Preparedness</v>
      </c>
      <c r="C481" t="b">
        <f ca="1">OR(Values!$S$98&gt;=Charms!M481,IFERROR(Charms!J481=OFFSET(Values!$A$24,MATCH("S",Values!$T$25:$T$50,0),0),FALSE))</f>
        <v>0</v>
      </c>
      <c r="D481" t="b">
        <f>VLOOKUP(Charms!J481,Values!$A$11:$S$59,19,0)&gt;=Charms!L481</f>
        <v>0</v>
      </c>
      <c r="E481" t="e">
        <f>OR(ISBLANK(Charms!I481),(VLOOKUP(Values!$S$6,Castes!$B$2:$F$25,4,0)=Charms!I481))</f>
        <v>#N/A</v>
      </c>
      <c r="J481" t="e">
        <f t="shared" ca="1" si="36"/>
        <v>#N/A</v>
      </c>
      <c r="K481" s="18" t="e">
        <f t="shared" ca="1" si="35"/>
        <v>#N/A</v>
      </c>
      <c r="L481" t="e">
        <f ca="1">IF(J481,Charms!B481,"")</f>
        <v>#N/A</v>
      </c>
      <c r="M481" t="str">
        <f t="shared" ca="1" si="37"/>
        <v>-</v>
      </c>
      <c r="N481" s="18" t="str">
        <f t="shared" si="38"/>
        <v>K473:L530</v>
      </c>
      <c r="O481" t="str">
        <f t="shared" si="39"/>
        <v>A473:A481</v>
      </c>
    </row>
    <row r="482" spans="1:15">
      <c r="A482" s="18" t="str">
        <f>Charms!K482</f>
        <v>Larceny</v>
      </c>
      <c r="B482" t="str">
        <f>Charms!B482</f>
        <v>Criminal Seduction Method</v>
      </c>
      <c r="C482" t="b">
        <f ca="1">OR(Values!$S$98&gt;=Charms!M482,IFERROR(Charms!J482=OFFSET(Values!$A$24,MATCH("S",Values!$T$25:$T$50,0),0),FALSE))</f>
        <v>0</v>
      </c>
      <c r="D482" t="b">
        <f>VLOOKUP(Charms!J482,Values!$A$11:$S$59,19,0)&gt;=Charms!L482</f>
        <v>0</v>
      </c>
      <c r="E482" t="e">
        <f>OR(ISBLANK(Charms!I482),(VLOOKUP(Values!$S$6,Castes!$B$2:$F$25,4,0)=Charms!I482))</f>
        <v>#N/A</v>
      </c>
      <c r="J482" t="e">
        <f t="shared" ca="1" si="36"/>
        <v>#N/A</v>
      </c>
      <c r="K482" s="18" t="e">
        <f t="shared" ca="1" si="35"/>
        <v>#N/A</v>
      </c>
      <c r="L482" t="e">
        <f ca="1">IF(J482,Charms!B482,"")</f>
        <v>#N/A</v>
      </c>
      <c r="M482" t="str">
        <f t="shared" ca="1" si="37"/>
        <v>-</v>
      </c>
      <c r="N482" s="18" t="str">
        <f t="shared" si="38"/>
        <v>K473:L530</v>
      </c>
      <c r="O482" t="str">
        <f t="shared" si="39"/>
        <v>A473:A482</v>
      </c>
    </row>
    <row r="483" spans="1:15">
      <c r="A483" s="18" t="str">
        <f>Charms!K483</f>
        <v>Larceny</v>
      </c>
      <c r="B483" t="str">
        <f>Charms!B483</f>
        <v>Lightning-Hand Sleight</v>
      </c>
      <c r="C483" t="b">
        <f ca="1">OR(Values!$S$98&gt;=Charms!M483,IFERROR(Charms!J483=OFFSET(Values!$A$24,MATCH("S",Values!$T$25:$T$50,0),0),FALSE))</f>
        <v>1</v>
      </c>
      <c r="D483" t="b">
        <f>VLOOKUP(Charms!J483,Values!$A$11:$S$59,19,0)&gt;=Charms!L483</f>
        <v>0</v>
      </c>
      <c r="E483" t="e">
        <f>OR(ISBLANK(Charms!I483),(VLOOKUP(Values!$S$6,Castes!$B$2:$F$25,4,0)=Charms!I483))</f>
        <v>#N/A</v>
      </c>
      <c r="J483" t="e">
        <f t="shared" ca="1" si="36"/>
        <v>#N/A</v>
      </c>
      <c r="K483" s="18" t="e">
        <f t="shared" ca="1" si="35"/>
        <v>#N/A</v>
      </c>
      <c r="L483" t="e">
        <f ca="1">IF(J483,Charms!B483,"")</f>
        <v>#N/A</v>
      </c>
      <c r="M483" t="str">
        <f t="shared" ca="1" si="37"/>
        <v>-</v>
      </c>
      <c r="N483" s="18" t="str">
        <f t="shared" si="38"/>
        <v>K473:L530</v>
      </c>
      <c r="O483" t="str">
        <f t="shared" si="39"/>
        <v>A473:A483</v>
      </c>
    </row>
    <row r="484" spans="1:15">
      <c r="A484" s="18" t="str">
        <f>Charms!K484</f>
        <v>Larceny</v>
      </c>
      <c r="B484" t="str">
        <f>Charms!B484</f>
        <v>Flawlessly Impenetrable Disguise</v>
      </c>
      <c r="C484" t="b">
        <f ca="1">OR(Values!$S$98&gt;=Charms!M484,IFERROR(Charms!J484=OFFSET(Values!$A$24,MATCH("S",Values!$T$25:$T$50,0),0),FALSE))</f>
        <v>1</v>
      </c>
      <c r="D484" t="b">
        <f>VLOOKUP(Charms!J484,Values!$A$11:$S$59,19,0)&gt;=Charms!L484</f>
        <v>0</v>
      </c>
      <c r="E484" t="e">
        <f>OR(ISBLANK(Charms!I484),(VLOOKUP(Values!$S$6,Castes!$B$2:$F$25,4,0)=Charms!I484))</f>
        <v>#N/A</v>
      </c>
      <c r="J484" t="e">
        <f t="shared" ca="1" si="36"/>
        <v>#N/A</v>
      </c>
      <c r="K484" s="18" t="e">
        <f t="shared" ca="1" si="35"/>
        <v>#N/A</v>
      </c>
      <c r="L484" t="e">
        <f ca="1">IF(J484,Charms!B484,"")</f>
        <v>#N/A</v>
      </c>
      <c r="M484" t="str">
        <f t="shared" ca="1" si="37"/>
        <v>-</v>
      </c>
      <c r="N484" s="18" t="str">
        <f t="shared" si="38"/>
        <v>K473:L530</v>
      </c>
      <c r="O484" t="str">
        <f t="shared" si="39"/>
        <v>A473:A484</v>
      </c>
    </row>
    <row r="485" spans="1:15">
      <c r="A485" s="18" t="str">
        <f>Charms!K485</f>
        <v>Larceny</v>
      </c>
      <c r="B485" t="str">
        <f>Charms!B485</f>
        <v>Doubt-Sealing Heist</v>
      </c>
      <c r="C485" t="b">
        <f ca="1">OR(Values!$S$98&gt;=Charms!M485,IFERROR(Charms!J485=OFFSET(Values!$A$24,MATCH("S",Values!$T$25:$T$50,0),0),FALSE))</f>
        <v>0</v>
      </c>
      <c r="D485" t="b">
        <f>VLOOKUP(Charms!J485,Values!$A$11:$S$59,19,0)&gt;=Charms!L485</f>
        <v>0</v>
      </c>
      <c r="E485" t="e">
        <f>OR(ISBLANK(Charms!I485),(VLOOKUP(Values!$S$6,Castes!$B$2:$F$25,4,0)=Charms!I485))</f>
        <v>#N/A</v>
      </c>
      <c r="J485" t="e">
        <f t="shared" ca="1" si="36"/>
        <v>#N/A</v>
      </c>
      <c r="K485" s="18" t="e">
        <f t="shared" ca="1" si="35"/>
        <v>#N/A</v>
      </c>
      <c r="L485" t="e">
        <f ca="1">IF(J485,Charms!B485,"")</f>
        <v>#N/A</v>
      </c>
      <c r="M485" t="str">
        <f t="shared" ca="1" si="37"/>
        <v>-</v>
      </c>
      <c r="N485" s="18" t="str">
        <f t="shared" si="38"/>
        <v>K473:L530</v>
      </c>
      <c r="O485" t="str">
        <f t="shared" si="39"/>
        <v>A473:A485</v>
      </c>
    </row>
    <row r="486" spans="1:15">
      <c r="A486" s="18" t="str">
        <f>Charms!K486</f>
        <v>Larceny</v>
      </c>
      <c r="B486" t="str">
        <f>Charms!B486</f>
        <v>Unshakable Rogue's Spirit</v>
      </c>
      <c r="C486" t="b">
        <f ca="1">OR(Values!$S$98&gt;=Charms!M486,IFERROR(Charms!J486=OFFSET(Values!$A$24,MATCH("S",Values!$T$25:$T$50,0),0),FALSE))</f>
        <v>0</v>
      </c>
      <c r="D486" t="b">
        <f>VLOOKUP(Charms!J486,Values!$A$11:$S$59,19,0)&gt;=Charms!L486</f>
        <v>0</v>
      </c>
      <c r="E486" t="e">
        <f>OR(ISBLANK(Charms!I486),(VLOOKUP(Values!$S$6,Castes!$B$2:$F$25,4,0)=Charms!I486))</f>
        <v>#N/A</v>
      </c>
      <c r="J486" t="e">
        <f t="shared" ca="1" si="36"/>
        <v>#N/A</v>
      </c>
      <c r="K486" s="18" t="e">
        <f t="shared" ca="1" si="35"/>
        <v>#N/A</v>
      </c>
      <c r="L486" t="e">
        <f ca="1">IF(J486,Charms!B486,"")</f>
        <v>#N/A</v>
      </c>
      <c r="M486" t="str">
        <f t="shared" ca="1" si="37"/>
        <v>-</v>
      </c>
      <c r="N486" s="18" t="str">
        <f t="shared" si="38"/>
        <v>K473:L530</v>
      </c>
      <c r="O486" t="str">
        <f t="shared" si="39"/>
        <v>A473:A486</v>
      </c>
    </row>
    <row r="487" spans="1:15">
      <c r="A487" s="18" t="str">
        <f>Charms!K487</f>
        <v>Larceny</v>
      </c>
      <c r="B487" t="str">
        <f>Charms!B487</f>
        <v>Proof-Eating Palm</v>
      </c>
      <c r="C487" t="b">
        <f ca="1">OR(Values!$S$98&gt;=Charms!M487,IFERROR(Charms!J487=OFFSET(Values!$A$24,MATCH("S",Values!$T$25:$T$50,0),0),FALSE))</f>
        <v>0</v>
      </c>
      <c r="D487" t="b">
        <f>VLOOKUP(Charms!J487,Values!$A$11:$S$59,19,0)&gt;=Charms!L487</f>
        <v>0</v>
      </c>
      <c r="E487" t="e">
        <f>OR(ISBLANK(Charms!I487),(VLOOKUP(Values!$S$6,Castes!$B$2:$F$25,4,0)=Charms!I487))</f>
        <v>#N/A</v>
      </c>
      <c r="J487" t="e">
        <f t="shared" ca="1" si="36"/>
        <v>#N/A</v>
      </c>
      <c r="K487" s="18" t="e">
        <f t="shared" ca="1" si="35"/>
        <v>#N/A</v>
      </c>
      <c r="L487" t="e">
        <f ca="1">IF(J487,Charms!B487,"")</f>
        <v>#N/A</v>
      </c>
      <c r="M487" t="str">
        <f t="shared" ca="1" si="37"/>
        <v>-</v>
      </c>
      <c r="N487" s="18" t="str">
        <f t="shared" si="38"/>
        <v>K473:L530</v>
      </c>
      <c r="O487" t="str">
        <f t="shared" si="39"/>
        <v>A473:A487</v>
      </c>
    </row>
    <row r="488" spans="1:15">
      <c r="A488" s="18" t="str">
        <f>Charms!K488</f>
        <v>Larceny</v>
      </c>
      <c r="B488" t="str">
        <f>Charms!B488</f>
        <v>Stealing From Plain Sight Spirit</v>
      </c>
      <c r="C488" t="b">
        <f ca="1">OR(Values!$S$98&gt;=Charms!M488,IFERROR(Charms!J488=OFFSET(Values!$A$24,MATCH("S",Values!$T$25:$T$50,0),0),FALSE))</f>
        <v>0</v>
      </c>
      <c r="D488" t="b">
        <f>VLOOKUP(Charms!J488,Values!$A$11:$S$59,19,0)&gt;=Charms!L488</f>
        <v>0</v>
      </c>
      <c r="E488" t="e">
        <f>OR(ISBLANK(Charms!I488),(VLOOKUP(Values!$S$6,Castes!$B$2:$F$25,4,0)=Charms!I488))</f>
        <v>#N/A</v>
      </c>
      <c r="J488" t="e">
        <f t="shared" ca="1" si="36"/>
        <v>#N/A</v>
      </c>
      <c r="K488" s="18" t="e">
        <f t="shared" ca="1" si="35"/>
        <v>#N/A</v>
      </c>
      <c r="L488" t="e">
        <f ca="1">IF(J488,Charms!B488,"")</f>
        <v>#N/A</v>
      </c>
      <c r="M488" t="str">
        <f t="shared" ca="1" si="37"/>
        <v>-</v>
      </c>
      <c r="N488" s="18" t="str">
        <f t="shared" si="38"/>
        <v>K473:L530</v>
      </c>
      <c r="O488" t="str">
        <f t="shared" si="39"/>
        <v>A473:A488</v>
      </c>
    </row>
    <row r="489" spans="1:15">
      <c r="A489" s="18" t="str">
        <f>Charms!K489</f>
        <v>Larceny</v>
      </c>
      <c r="B489" t="str">
        <f>Charms!B489</f>
        <v>Reversal of Fortune</v>
      </c>
      <c r="C489" t="b">
        <f ca="1">OR(Values!$S$98&gt;=Charms!M489,IFERROR(Charms!J489=OFFSET(Values!$A$24,MATCH("S",Values!$T$25:$T$50,0),0),FALSE))</f>
        <v>0</v>
      </c>
      <c r="D489" t="b">
        <f>VLOOKUP(Charms!J489,Values!$A$11:$S$59,19,0)&gt;=Charms!L489</f>
        <v>0</v>
      </c>
      <c r="E489" t="e">
        <f>OR(ISBLANK(Charms!I489),(VLOOKUP(Values!$S$6,Castes!$B$2:$F$25,4,0)=Charms!I489))</f>
        <v>#N/A</v>
      </c>
      <c r="J489" t="e">
        <f t="shared" ca="1" si="36"/>
        <v>#N/A</v>
      </c>
      <c r="K489" s="18" t="e">
        <f t="shared" ca="1" si="35"/>
        <v>#N/A</v>
      </c>
      <c r="L489" t="e">
        <f ca="1">IF(J489,Charms!B489,"")</f>
        <v>#N/A</v>
      </c>
      <c r="M489" t="str">
        <f t="shared" ca="1" si="37"/>
        <v>-</v>
      </c>
      <c r="N489" s="18" t="str">
        <f t="shared" si="38"/>
        <v>K473:L530</v>
      </c>
      <c r="O489" t="str">
        <f t="shared" si="39"/>
        <v>A473:A489</v>
      </c>
    </row>
    <row r="490" spans="1:15">
      <c r="A490" s="18" t="str">
        <f>Charms!K490</f>
        <v>Larceny</v>
      </c>
      <c r="B490" t="str">
        <f>Charms!B490</f>
        <v>Door-Evading Technique</v>
      </c>
      <c r="C490" t="b">
        <f ca="1">OR(Values!$S$98&gt;=Charms!M490,IFERROR(Charms!J490=OFFSET(Values!$A$24,MATCH("S",Values!$T$25:$T$50,0),0),FALSE))</f>
        <v>0</v>
      </c>
      <c r="D490" t="b">
        <f>VLOOKUP(Charms!J490,Values!$A$11:$S$59,19,0)&gt;=Charms!L490</f>
        <v>0</v>
      </c>
      <c r="E490" t="e">
        <f>OR(ISBLANK(Charms!I490),(VLOOKUP(Values!$S$6,Castes!$B$2:$F$25,4,0)=Charms!I490))</f>
        <v>#N/A</v>
      </c>
      <c r="J490" t="e">
        <f t="shared" ca="1" si="36"/>
        <v>#N/A</v>
      </c>
      <c r="K490" s="18" t="e">
        <f t="shared" ca="1" si="35"/>
        <v>#N/A</v>
      </c>
      <c r="L490" t="e">
        <f ca="1">IF(J490,Charms!B490,"")</f>
        <v>#N/A</v>
      </c>
      <c r="M490" t="str">
        <f t="shared" ca="1" si="37"/>
        <v>-</v>
      </c>
      <c r="N490" s="18" t="str">
        <f t="shared" si="38"/>
        <v>K473:L530</v>
      </c>
      <c r="O490" t="str">
        <f t="shared" si="39"/>
        <v>A473:A490</v>
      </c>
    </row>
    <row r="491" spans="1:15">
      <c r="A491" s="18" t="str">
        <f>Charms!K491</f>
        <v>Larceny</v>
      </c>
      <c r="B491" t="str">
        <f>Charms!B491</f>
        <v>Master Plan Meditation</v>
      </c>
      <c r="C491" t="b">
        <f ca="1">OR(Values!$S$98&gt;=Charms!M491,IFERROR(Charms!J491=OFFSET(Values!$A$24,MATCH("S",Values!$T$25:$T$50,0),0),FALSE))</f>
        <v>0</v>
      </c>
      <c r="D491" t="b">
        <f>VLOOKUP(Charms!J491,Values!$A$11:$S$59,19,0)&gt;=Charms!L491</f>
        <v>0</v>
      </c>
      <c r="E491" t="e">
        <f>OR(ISBLANK(Charms!I491),(VLOOKUP(Values!$S$6,Castes!$B$2:$F$25,4,0)=Charms!I491))</f>
        <v>#N/A</v>
      </c>
      <c r="J491" t="e">
        <f t="shared" ca="1" si="36"/>
        <v>#N/A</v>
      </c>
      <c r="K491" s="18" t="e">
        <f t="shared" ca="1" si="35"/>
        <v>#N/A</v>
      </c>
      <c r="L491" t="e">
        <f ca="1">IF(J491,Charms!B491,"")</f>
        <v>#N/A</v>
      </c>
      <c r="M491" t="str">
        <f t="shared" ca="1" si="37"/>
        <v>-</v>
      </c>
      <c r="N491" s="18" t="str">
        <f t="shared" si="38"/>
        <v>K473:L530</v>
      </c>
      <c r="O491" t="str">
        <f t="shared" si="39"/>
        <v>A473:A491</v>
      </c>
    </row>
    <row r="492" spans="1:15">
      <c r="A492" s="18" t="str">
        <f>Charms!K492</f>
        <v>Larceny</v>
      </c>
      <c r="B492" t="str">
        <f>Charms!B492</f>
        <v>Magpie's Invisible Talon</v>
      </c>
      <c r="C492" t="b">
        <f ca="1">OR(Values!$S$98&gt;=Charms!M492,IFERROR(Charms!J492=OFFSET(Values!$A$24,MATCH("S",Values!$T$25:$T$50,0),0),FALSE))</f>
        <v>0</v>
      </c>
      <c r="D492" t="b">
        <f>VLOOKUP(Charms!J492,Values!$A$11:$S$59,19,0)&gt;=Charms!L492</f>
        <v>0</v>
      </c>
      <c r="E492" t="e">
        <f>OR(ISBLANK(Charms!I492),(VLOOKUP(Values!$S$6,Castes!$B$2:$F$25,4,0)=Charms!I492))</f>
        <v>#N/A</v>
      </c>
      <c r="J492" t="e">
        <f t="shared" ca="1" si="36"/>
        <v>#N/A</v>
      </c>
      <c r="K492" s="18" t="e">
        <f t="shared" ca="1" si="35"/>
        <v>#N/A</v>
      </c>
      <c r="L492" t="e">
        <f ca="1">IF(J492,Charms!B492,"")</f>
        <v>#N/A</v>
      </c>
      <c r="M492" t="str">
        <f t="shared" ca="1" si="37"/>
        <v>-</v>
      </c>
      <c r="N492" s="18" t="str">
        <f t="shared" si="38"/>
        <v>K473:L530</v>
      </c>
      <c r="O492" t="str">
        <f t="shared" si="39"/>
        <v>A473:A492</v>
      </c>
    </row>
    <row r="493" spans="1:15">
      <c r="A493" s="18" t="str">
        <f>Charms!K493</f>
        <v>Larceny</v>
      </c>
      <c r="B493" t="str">
        <f>Charms!B493</f>
        <v>Perfect Mirror</v>
      </c>
      <c r="C493" t="b">
        <f ca="1">OR(Values!$S$98&gt;=Charms!M493,IFERROR(Charms!J493=OFFSET(Values!$A$24,MATCH("S",Values!$T$25:$T$50,0),0),FALSE))</f>
        <v>0</v>
      </c>
      <c r="D493" t="b">
        <f>VLOOKUP(Charms!J493,Values!$A$11:$S$59,19,0)&gt;=Charms!L493</f>
        <v>0</v>
      </c>
      <c r="E493" t="e">
        <f>OR(ISBLANK(Charms!I493),(VLOOKUP(Values!$S$6,Castes!$B$2:$F$25,4,0)=Charms!I493))</f>
        <v>#N/A</v>
      </c>
      <c r="J493" t="e">
        <f t="shared" ca="1" si="36"/>
        <v>#N/A</v>
      </c>
      <c r="K493" s="18" t="e">
        <f t="shared" ca="1" si="35"/>
        <v>#N/A</v>
      </c>
      <c r="L493" t="e">
        <f ca="1">IF(J493,Charms!B493,"")</f>
        <v>#N/A</v>
      </c>
      <c r="M493" t="str">
        <f t="shared" ca="1" si="37"/>
        <v>-</v>
      </c>
      <c r="N493" s="18" t="str">
        <f t="shared" si="38"/>
        <v>K473:L530</v>
      </c>
      <c r="O493" t="str">
        <f t="shared" si="39"/>
        <v>A473:A493</v>
      </c>
    </row>
    <row r="494" spans="1:15">
      <c r="A494" s="18" t="str">
        <f>Charms!K494</f>
        <v>Larceny</v>
      </c>
      <c r="B494" t="str">
        <f>Charms!B494</f>
        <v>Fate-Shifting Solar Arete</v>
      </c>
      <c r="C494" t="b">
        <f ca="1">OR(Values!$S$98&gt;=Charms!M494,IFERROR(Charms!J494=OFFSET(Values!$A$24,MATCH("S",Values!$T$25:$T$50,0),0),FALSE))</f>
        <v>0</v>
      </c>
      <c r="D494" t="b">
        <f>VLOOKUP(Charms!J494,Values!$A$11:$S$59,19,0)&gt;=Charms!L494</f>
        <v>0</v>
      </c>
      <c r="E494" t="e">
        <f>OR(ISBLANK(Charms!I494),(VLOOKUP(Values!$S$6,Castes!$B$2:$F$25,4,0)=Charms!I494))</f>
        <v>#N/A</v>
      </c>
      <c r="J494" t="e">
        <f t="shared" ca="1" si="36"/>
        <v>#N/A</v>
      </c>
      <c r="K494" s="18" t="e">
        <f t="shared" ca="1" si="35"/>
        <v>#N/A</v>
      </c>
      <c r="L494" t="e">
        <f ca="1">IF(J494,Charms!B494,"")</f>
        <v>#N/A</v>
      </c>
      <c r="M494" t="str">
        <f t="shared" ca="1" si="37"/>
        <v>-</v>
      </c>
      <c r="N494" s="18" t="str">
        <f t="shared" si="38"/>
        <v>K473:L530</v>
      </c>
      <c r="O494" t="str">
        <f t="shared" si="39"/>
        <v>A473:A494</v>
      </c>
    </row>
    <row r="495" spans="1:15">
      <c r="A495" s="18" t="str">
        <f>Charms!K495</f>
        <v>Larceny</v>
      </c>
      <c r="B495" t="str">
        <f>Charms!B495</f>
        <v>Skillful Reappropriation (Phantom Sting Search)</v>
      </c>
      <c r="C495" t="b">
        <f ca="1">OR(Values!$S$98&gt;=Charms!M495,IFERROR(Charms!J495=OFFSET(Values!$A$24,MATCH("S",Values!$T$25:$T$50,0),0),FALSE))</f>
        <v>0</v>
      </c>
      <c r="D495" t="b">
        <f>VLOOKUP(Charms!J495,Values!$A$11:$S$59,19,0)&gt;=Charms!L495</f>
        <v>0</v>
      </c>
      <c r="E495" t="e">
        <f>OR(ISBLANK(Charms!I495),(VLOOKUP(Values!$S$6,Castes!$B$2:$F$25,4,0)=Charms!I495))</f>
        <v>#N/A</v>
      </c>
      <c r="J495" t="e">
        <f t="shared" ca="1" si="36"/>
        <v>#N/A</v>
      </c>
      <c r="K495" s="18" t="e">
        <f t="shared" ca="1" si="35"/>
        <v>#N/A</v>
      </c>
      <c r="L495" t="e">
        <f ca="1">IF(J495,Charms!B495,"")</f>
        <v>#N/A</v>
      </c>
      <c r="M495" t="str">
        <f t="shared" ca="1" si="37"/>
        <v>-</v>
      </c>
      <c r="N495" s="18" t="str">
        <f t="shared" si="38"/>
        <v>K473:L530</v>
      </c>
      <c r="O495" t="str">
        <f t="shared" si="39"/>
        <v>A473:A495</v>
      </c>
    </row>
    <row r="496" spans="1:15">
      <c r="A496" s="18" t="str">
        <f>Charms!K496</f>
        <v>Larceny</v>
      </c>
      <c r="B496" t="str">
        <f>Charms!B496</f>
        <v>Iron Wolves' Grasp</v>
      </c>
      <c r="C496" t="b">
        <f ca="1">OR(Values!$S$98&gt;=Charms!M496,IFERROR(Charms!J496=OFFSET(Values!$A$24,MATCH("S",Values!$T$25:$T$50,0),0),FALSE))</f>
        <v>0</v>
      </c>
      <c r="D496" t="b">
        <f>VLOOKUP(Charms!J496,Values!$A$11:$S$59,19,0)&gt;=Charms!L496</f>
        <v>0</v>
      </c>
      <c r="E496" t="e">
        <f>OR(ISBLANK(Charms!I496),(VLOOKUP(Values!$S$6,Castes!$B$2:$F$25,4,0)=Charms!I496))</f>
        <v>#N/A</v>
      </c>
      <c r="J496" t="e">
        <f t="shared" ca="1" si="36"/>
        <v>#N/A</v>
      </c>
      <c r="K496" s="18" t="e">
        <f t="shared" ca="1" si="35"/>
        <v>#N/A</v>
      </c>
      <c r="L496" t="e">
        <f ca="1">IF(J496,Charms!B496,"")</f>
        <v>#N/A</v>
      </c>
      <c r="M496" t="str">
        <f t="shared" ca="1" si="37"/>
        <v>-</v>
      </c>
      <c r="N496" s="18" t="str">
        <f t="shared" si="38"/>
        <v>K473:L530</v>
      </c>
      <c r="O496" t="str">
        <f t="shared" si="39"/>
        <v>A473:A496</v>
      </c>
    </row>
    <row r="497" spans="1:15">
      <c r="A497" s="18" t="str">
        <f>Charms!K497</f>
        <v>Larceny</v>
      </c>
      <c r="B497" t="str">
        <f>Charms!B497</f>
        <v>Flashing Ruse Prana</v>
      </c>
      <c r="C497" t="b">
        <f ca="1">OR(Values!$S$98&gt;=Charms!M497,IFERROR(Charms!J497=OFFSET(Values!$A$24,MATCH("S",Values!$T$25:$T$50,0),0),FALSE))</f>
        <v>0</v>
      </c>
      <c r="D497" t="b">
        <f>VLOOKUP(Charms!J497,Values!$A$11:$S$59,19,0)&gt;=Charms!L497</f>
        <v>0</v>
      </c>
      <c r="E497" t="e">
        <f>OR(ISBLANK(Charms!I497),(VLOOKUP(Values!$S$6,Castes!$B$2:$F$25,4,0)=Charms!I497))</f>
        <v>#N/A</v>
      </c>
      <c r="J497" t="e">
        <f t="shared" ca="1" si="36"/>
        <v>#N/A</v>
      </c>
      <c r="K497" s="18" t="e">
        <f t="shared" ca="1" si="35"/>
        <v>#N/A</v>
      </c>
      <c r="L497" t="e">
        <f ca="1">IF(J497,Charms!B497,"")</f>
        <v>#N/A</v>
      </c>
      <c r="M497" t="str">
        <f t="shared" ca="1" si="37"/>
        <v>-</v>
      </c>
      <c r="N497" s="18" t="str">
        <f t="shared" si="38"/>
        <v>K473:L530</v>
      </c>
      <c r="O497" t="str">
        <f t="shared" si="39"/>
        <v>A473:A497</v>
      </c>
    </row>
    <row r="498" spans="1:15">
      <c r="A498" s="18" t="str">
        <f>Charms!K498</f>
        <v>Larceny</v>
      </c>
      <c r="B498" t="str">
        <f>Charms!B498</f>
        <v>Split Deception Method</v>
      </c>
      <c r="C498" t="b">
        <f ca="1">OR(Values!$S$98&gt;=Charms!M498,IFERROR(Charms!J498=OFFSET(Values!$A$24,MATCH("S",Values!$T$25:$T$50,0),0),FALSE))</f>
        <v>0</v>
      </c>
      <c r="D498" t="b">
        <f>VLOOKUP(Charms!J498,Values!$A$11:$S$59,19,0)&gt;=Charms!L498</f>
        <v>0</v>
      </c>
      <c r="E498" t="e">
        <f>OR(ISBLANK(Charms!I498),(VLOOKUP(Values!$S$6,Castes!$B$2:$F$25,4,0)=Charms!I498))</f>
        <v>#N/A</v>
      </c>
      <c r="J498" t="e">
        <f t="shared" ca="1" si="36"/>
        <v>#N/A</v>
      </c>
      <c r="K498" s="18" t="e">
        <f t="shared" ca="1" si="35"/>
        <v>#N/A</v>
      </c>
      <c r="L498" t="e">
        <f ca="1">IF(J498,Charms!B498,"")</f>
        <v>#N/A</v>
      </c>
      <c r="M498" t="str">
        <f t="shared" ca="1" si="37"/>
        <v>-</v>
      </c>
      <c r="N498" s="18" t="str">
        <f t="shared" si="38"/>
        <v>K473:L530</v>
      </c>
      <c r="O498" t="str">
        <f t="shared" si="39"/>
        <v>A473:A498</v>
      </c>
    </row>
    <row r="499" spans="1:15">
      <c r="A499" s="18" t="str">
        <f>Charms!K499</f>
        <v>Larceny</v>
      </c>
      <c r="B499" t="str">
        <f>Charms!B499</f>
        <v>Null Anima Gloves</v>
      </c>
      <c r="C499" t="b">
        <f ca="1">OR(Values!$S$98&gt;=Charms!M499,IFERROR(Charms!J499=OFFSET(Values!$A$24,MATCH("S",Values!$T$25:$T$50,0),0),FALSE))</f>
        <v>0</v>
      </c>
      <c r="D499" t="b">
        <f>VLOOKUP(Charms!J499,Values!$A$11:$S$59,19,0)&gt;=Charms!L499</f>
        <v>0</v>
      </c>
      <c r="E499" t="e">
        <f>OR(ISBLANK(Charms!I499),(VLOOKUP(Values!$S$6,Castes!$B$2:$F$25,4,0)=Charms!I499))</f>
        <v>#N/A</v>
      </c>
      <c r="J499" t="e">
        <f t="shared" ca="1" si="36"/>
        <v>#N/A</v>
      </c>
      <c r="K499" s="18" t="e">
        <f t="shared" ca="1" si="35"/>
        <v>#N/A</v>
      </c>
      <c r="L499" t="e">
        <f ca="1">IF(J499,Charms!B499,"")</f>
        <v>#N/A</v>
      </c>
      <c r="M499" t="str">
        <f t="shared" ca="1" si="37"/>
        <v>-</v>
      </c>
      <c r="N499" s="18" t="str">
        <f t="shared" si="38"/>
        <v>K473:L530</v>
      </c>
      <c r="O499" t="str">
        <f t="shared" si="39"/>
        <v>A473:A499</v>
      </c>
    </row>
    <row r="500" spans="1:15">
      <c r="A500" s="18" t="str">
        <f>Charms!K500</f>
        <v>Larceny</v>
      </c>
      <c r="B500" t="str">
        <f>Charms!B500</f>
        <v>Night's Eye Meditation</v>
      </c>
      <c r="C500" t="b">
        <f ca="1">OR(Values!$S$98&gt;=Charms!M500,IFERROR(Charms!J500=OFFSET(Values!$A$24,MATCH("S",Values!$T$25:$T$50,0),0),FALSE))</f>
        <v>0</v>
      </c>
      <c r="D500" t="b">
        <f>VLOOKUP(Charms!J500,Values!$A$11:$S$59,19,0)&gt;=Charms!L500</f>
        <v>0</v>
      </c>
      <c r="E500" t="e">
        <f>OR(ISBLANK(Charms!I500),(VLOOKUP(Values!$S$6,Castes!$B$2:$F$25,4,0)=Charms!I500))</f>
        <v>#N/A</v>
      </c>
      <c r="J500" t="e">
        <f t="shared" ca="1" si="36"/>
        <v>#N/A</v>
      </c>
      <c r="K500" s="18" t="e">
        <f t="shared" ca="1" si="35"/>
        <v>#N/A</v>
      </c>
      <c r="L500" t="e">
        <f ca="1">IF(J500,Charms!B500,"")</f>
        <v>#N/A</v>
      </c>
      <c r="M500" t="str">
        <f t="shared" ca="1" si="37"/>
        <v>-</v>
      </c>
      <c r="N500" s="18" t="str">
        <f t="shared" si="38"/>
        <v>K473:L530</v>
      </c>
      <c r="O500" t="str">
        <f t="shared" si="39"/>
        <v>A473:A500</v>
      </c>
    </row>
    <row r="501" spans="1:15">
      <c r="A501" s="18" t="str">
        <f>Charms!K501</f>
        <v>Larceny</v>
      </c>
      <c r="B501" t="str">
        <f>Charms!B501</f>
        <v>Unbroken Darkness Approach</v>
      </c>
      <c r="C501" t="b">
        <f ca="1">OR(Values!$S$98&gt;=Charms!M501,IFERROR(Charms!J501=OFFSET(Values!$A$24,MATCH("S",Values!$T$25:$T$50,0),0),FALSE))</f>
        <v>0</v>
      </c>
      <c r="D501" t="b">
        <f>VLOOKUP(Charms!J501,Values!$A$11:$S$59,19,0)&gt;=Charms!L501</f>
        <v>0</v>
      </c>
      <c r="E501" t="e">
        <f>OR(ISBLANK(Charms!I501),(VLOOKUP(Values!$S$6,Castes!$B$2:$F$25,4,0)=Charms!I501))</f>
        <v>#N/A</v>
      </c>
      <c r="J501" t="e">
        <f t="shared" ca="1" si="36"/>
        <v>#N/A</v>
      </c>
      <c r="K501" s="18" t="e">
        <f t="shared" ca="1" si="35"/>
        <v>#N/A</v>
      </c>
      <c r="L501" t="e">
        <f ca="1">IF(J501,Charms!B501,"")</f>
        <v>#N/A</v>
      </c>
      <c r="M501" t="str">
        <f t="shared" ca="1" si="37"/>
        <v>-</v>
      </c>
      <c r="N501" s="18" t="str">
        <f t="shared" si="38"/>
        <v>K473:L530</v>
      </c>
      <c r="O501" t="str">
        <f t="shared" si="39"/>
        <v>A473:A501</v>
      </c>
    </row>
    <row r="502" spans="1:15">
      <c r="A502" s="18" t="str">
        <f>Charms!K502</f>
        <v>Larceny</v>
      </c>
      <c r="B502" t="str">
        <f>Charms!B502</f>
        <v>Sun-Stealing Shadow Spirit</v>
      </c>
      <c r="C502" t="b">
        <f ca="1">OR(Values!$S$98&gt;=Charms!M502,IFERROR(Charms!J502=OFFSET(Values!$A$24,MATCH("S",Values!$T$25:$T$50,0),0),FALSE))</f>
        <v>0</v>
      </c>
      <c r="D502" t="b">
        <f>VLOOKUP(Charms!J502,Values!$A$11:$S$59,19,0)&gt;=Charms!L502</f>
        <v>0</v>
      </c>
      <c r="E502" t="e">
        <f>OR(ISBLANK(Charms!I502),(VLOOKUP(Values!$S$6,Castes!$B$2:$F$25,4,0)=Charms!I502))</f>
        <v>#N/A</v>
      </c>
      <c r="J502" t="e">
        <f t="shared" ca="1" si="36"/>
        <v>#N/A</v>
      </c>
      <c r="K502" s="18" t="e">
        <f t="shared" ca="1" si="35"/>
        <v>#N/A</v>
      </c>
      <c r="L502" t="e">
        <f ca="1">IF(J502,Charms!B502,"")</f>
        <v>#N/A</v>
      </c>
      <c r="M502" t="str">
        <f t="shared" ca="1" si="37"/>
        <v>-</v>
      </c>
      <c r="N502" s="18" t="str">
        <f t="shared" si="38"/>
        <v>K473:L530</v>
      </c>
      <c r="O502" t="str">
        <f t="shared" si="39"/>
        <v>A473:A502</v>
      </c>
    </row>
    <row r="503" spans="1:15">
      <c r="A503" s="18" t="str">
        <f>Charms!K503</f>
        <v>Larceny</v>
      </c>
      <c r="B503" t="str">
        <f>Charms!B503</f>
        <v>Underground River’s Flow</v>
      </c>
      <c r="C503" t="b">
        <f ca="1">OR(Values!$S$98&gt;=Charms!M503,IFERROR(Charms!J503=OFFSET(Values!$A$24,MATCH("S",Values!$T$25:$T$50,0),0),FALSE))</f>
        <v>1</v>
      </c>
      <c r="D503" t="b">
        <f>VLOOKUP(Charms!J503,Values!$A$11:$S$59,19,0)&gt;=Charms!L503</f>
        <v>0</v>
      </c>
      <c r="E503" t="e">
        <f>OR(ISBLANK(Charms!I503),(VLOOKUP(Values!$S$6,Castes!$B$2:$F$25,4,0)=Charms!I503))</f>
        <v>#N/A</v>
      </c>
      <c r="J503" t="e">
        <f t="shared" ca="1" si="36"/>
        <v>#N/A</v>
      </c>
      <c r="K503" s="18" t="e">
        <f t="shared" ca="1" si="35"/>
        <v>#N/A</v>
      </c>
      <c r="L503" t="e">
        <f ca="1">IF(J503,Charms!B503,"")</f>
        <v>#N/A</v>
      </c>
      <c r="M503" t="str">
        <f t="shared" ca="1" si="37"/>
        <v>-</v>
      </c>
      <c r="N503" s="18" t="str">
        <f t="shared" si="38"/>
        <v>K473:L530</v>
      </c>
      <c r="O503" t="str">
        <f t="shared" si="39"/>
        <v>A473:A503</v>
      </c>
    </row>
    <row r="504" spans="1:15">
      <c r="A504" s="18" t="str">
        <f>Charms!K504</f>
        <v>Larceny</v>
      </c>
      <c r="B504" t="str">
        <f>Charms!B504</f>
        <v>Flowing Body Disguise</v>
      </c>
      <c r="C504" t="b">
        <f ca="1">OR(Values!$S$98&gt;=Charms!M504,IFERROR(Charms!J504=OFFSET(Values!$A$24,MATCH("S",Values!$T$25:$T$50,0),0),FALSE))</f>
        <v>1</v>
      </c>
      <c r="D504" t="b">
        <f>VLOOKUP(Charms!J504,Values!$A$11:$S$59,19,0)&gt;=Charms!L504</f>
        <v>0</v>
      </c>
      <c r="E504" t="e">
        <f>OR(ISBLANK(Charms!I504),(VLOOKUP(Values!$S$6,Castes!$B$2:$F$25,4,0)=Charms!I504))</f>
        <v>#N/A</v>
      </c>
      <c r="J504" t="e">
        <f t="shared" ca="1" si="36"/>
        <v>#N/A</v>
      </c>
      <c r="K504" s="18" t="e">
        <f t="shared" ca="1" si="35"/>
        <v>#N/A</v>
      </c>
      <c r="L504" t="e">
        <f ca="1">IF(J504,Charms!B504,"")</f>
        <v>#N/A</v>
      </c>
      <c r="M504" t="str">
        <f t="shared" ca="1" si="37"/>
        <v>-</v>
      </c>
      <c r="N504" s="18" t="str">
        <f t="shared" si="38"/>
        <v>K473:L530</v>
      </c>
      <c r="O504" t="str">
        <f t="shared" si="39"/>
        <v>A473:A504</v>
      </c>
    </row>
    <row r="505" spans="1:15">
      <c r="A505" s="18" t="str">
        <f>Charms!K505</f>
        <v>Larceny</v>
      </c>
      <c r="B505" t="str">
        <f>Charms!B505</f>
        <v>Nimble Thief’s Fingers</v>
      </c>
      <c r="C505" t="b">
        <f ca="1">OR(Values!$S$98&gt;=Charms!M505,IFERROR(Charms!J505=OFFSET(Values!$A$24,MATCH("S",Values!$T$25:$T$50,0),0),FALSE))</f>
        <v>1</v>
      </c>
      <c r="D505" t="b">
        <f>VLOOKUP(Charms!J505,Values!$A$11:$S$59,19,0)&gt;=Charms!L505</f>
        <v>0</v>
      </c>
      <c r="E505" t="e">
        <f>OR(ISBLANK(Charms!I505),(VLOOKUP(Values!$S$6,Castes!$B$2:$F$25,4,0)=Charms!I505))</f>
        <v>#N/A</v>
      </c>
      <c r="J505" t="e">
        <f t="shared" ca="1" si="36"/>
        <v>#N/A</v>
      </c>
      <c r="K505" s="18" t="e">
        <f t="shared" ca="1" si="35"/>
        <v>#N/A</v>
      </c>
      <c r="L505" t="e">
        <f ca="1">IF(J505,Charms!B505,"")</f>
        <v>#N/A</v>
      </c>
      <c r="M505" t="str">
        <f t="shared" ca="1" si="37"/>
        <v>-</v>
      </c>
      <c r="N505" s="18" t="str">
        <f t="shared" si="38"/>
        <v>K473:L530</v>
      </c>
      <c r="O505" t="str">
        <f t="shared" si="39"/>
        <v>A473:A505</v>
      </c>
    </row>
    <row r="506" spans="1:15">
      <c r="A506" s="18" t="str">
        <f>Charms!K506</f>
        <v>Larceny</v>
      </c>
      <c r="B506" t="str">
        <f>Charms!B506</f>
        <v>Observer Awareness Method</v>
      </c>
      <c r="C506" t="b">
        <f ca="1">OR(Values!$S$98&gt;=Charms!M506,IFERROR(Charms!J506=OFFSET(Values!$A$24,MATCH("S",Values!$T$25:$T$50,0),0),FALSE))</f>
        <v>1</v>
      </c>
      <c r="D506" t="b">
        <f>VLOOKUP(Charms!J506,Values!$A$11:$S$59,19,0)&gt;=Charms!L506</f>
        <v>0</v>
      </c>
      <c r="E506" t="e">
        <f>OR(ISBLANK(Charms!I506),(VLOOKUP(Values!$S$6,Castes!$B$2:$F$25,4,0)=Charms!I506))</f>
        <v>#N/A</v>
      </c>
      <c r="J506" t="e">
        <f t="shared" ca="1" si="36"/>
        <v>#N/A</v>
      </c>
      <c r="K506" s="18" t="e">
        <f t="shared" ca="1" si="35"/>
        <v>#N/A</v>
      </c>
      <c r="L506" t="e">
        <f ca="1">IF(J506,Charms!B506,"")</f>
        <v>#N/A</v>
      </c>
      <c r="M506" t="str">
        <f t="shared" ca="1" si="37"/>
        <v>-</v>
      </c>
      <c r="N506" s="18" t="str">
        <f t="shared" si="38"/>
        <v>K473:L530</v>
      </c>
      <c r="O506" t="str">
        <f t="shared" si="39"/>
        <v>A473:A506</v>
      </c>
    </row>
    <row r="507" spans="1:15">
      <c r="A507" s="18" t="str">
        <f>Charms!K507</f>
        <v>Larceny</v>
      </c>
      <c r="B507" t="str">
        <f>Charms!B507</f>
        <v>Resetting Tumblers Technique</v>
      </c>
      <c r="C507" t="b">
        <f ca="1">OR(Values!$S$98&gt;=Charms!M507,IFERROR(Charms!J507=OFFSET(Values!$A$24,MATCH("S",Values!$T$25:$T$50,0),0),FALSE))</f>
        <v>1</v>
      </c>
      <c r="D507" t="b">
        <f>VLOOKUP(Charms!J507,Values!$A$11:$S$59,19,0)&gt;=Charms!L507</f>
        <v>0</v>
      </c>
      <c r="E507" t="e">
        <f>OR(ISBLANK(Charms!I507),(VLOOKUP(Values!$S$6,Castes!$B$2:$F$25,4,0)=Charms!I507))</f>
        <v>#N/A</v>
      </c>
      <c r="J507" t="e">
        <f t="shared" ca="1" si="36"/>
        <v>#N/A</v>
      </c>
      <c r="K507" s="18" t="e">
        <f t="shared" ca="1" si="35"/>
        <v>#N/A</v>
      </c>
      <c r="L507" t="e">
        <f ca="1">IF(J507,Charms!B507,"")</f>
        <v>#N/A</v>
      </c>
      <c r="M507" t="str">
        <f t="shared" ca="1" si="37"/>
        <v>-</v>
      </c>
      <c r="N507" s="18" t="str">
        <f t="shared" si="38"/>
        <v>K473:L530</v>
      </c>
      <c r="O507" t="str">
        <f t="shared" si="39"/>
        <v>A473:A507</v>
      </c>
    </row>
    <row r="508" spans="1:15">
      <c r="A508" s="18" t="str">
        <f>Charms!K508</f>
        <v>Larceny</v>
      </c>
      <c r="B508" t="str">
        <f>Charms!B508</f>
        <v>Naked Thief Style</v>
      </c>
      <c r="C508" t="b">
        <f ca="1">OR(Values!$S$98&gt;=Charms!M508,IFERROR(Charms!J508=OFFSET(Values!$A$24,MATCH("S",Values!$T$25:$T$50,0),0),FALSE))</f>
        <v>1</v>
      </c>
      <c r="D508" t="b">
        <f>VLOOKUP(Charms!J508,Values!$A$11:$S$59,19,0)&gt;=Charms!L508</f>
        <v>0</v>
      </c>
      <c r="E508" t="e">
        <f>OR(ISBLANK(Charms!I508),(VLOOKUP(Values!$S$6,Castes!$B$2:$F$25,4,0)=Charms!I508))</f>
        <v>#N/A</v>
      </c>
      <c r="J508" t="e">
        <f t="shared" ca="1" si="36"/>
        <v>#N/A</v>
      </c>
      <c r="K508" s="18" t="e">
        <f t="shared" ca="1" si="35"/>
        <v>#N/A</v>
      </c>
      <c r="L508" t="e">
        <f ca="1">IF(J508,Charms!B508,"")</f>
        <v>#N/A</v>
      </c>
      <c r="M508" t="str">
        <f t="shared" ca="1" si="37"/>
        <v>-</v>
      </c>
      <c r="N508" s="18" t="str">
        <f t="shared" si="38"/>
        <v>K473:L530</v>
      </c>
      <c r="O508" t="str">
        <f t="shared" si="39"/>
        <v>A473:A508</v>
      </c>
    </row>
    <row r="509" spans="1:15">
      <c r="A509" s="18" t="str">
        <f>Charms!K509</f>
        <v>Larceny</v>
      </c>
      <c r="B509" t="str">
        <f>Charms!B509</f>
        <v>Rose-Among-Thorns Distinction</v>
      </c>
      <c r="C509" t="b">
        <f ca="1">OR(Values!$S$98&gt;=Charms!M509,IFERROR(Charms!J509=OFFSET(Values!$A$24,MATCH("S",Values!$T$25:$T$50,0),0),FALSE))</f>
        <v>1</v>
      </c>
      <c r="D509" t="b">
        <f>VLOOKUP(Charms!J509,Values!$A$11:$S$59,19,0)&gt;=Charms!L509</f>
        <v>0</v>
      </c>
      <c r="E509" t="e">
        <f>OR(ISBLANK(Charms!I509),(VLOOKUP(Values!$S$6,Castes!$B$2:$F$25,4,0)=Charms!I509))</f>
        <v>#N/A</v>
      </c>
      <c r="J509" t="e">
        <f t="shared" ca="1" si="36"/>
        <v>#N/A</v>
      </c>
      <c r="K509" s="18" t="e">
        <f t="shared" ca="1" si="35"/>
        <v>#N/A</v>
      </c>
      <c r="L509" t="e">
        <f ca="1">IF(J509,Charms!B509,"")</f>
        <v>#N/A</v>
      </c>
      <c r="M509" t="str">
        <f t="shared" ca="1" si="37"/>
        <v>-</v>
      </c>
      <c r="N509" s="18" t="str">
        <f t="shared" si="38"/>
        <v>K473:L530</v>
      </c>
      <c r="O509" t="str">
        <f t="shared" si="39"/>
        <v>A473:A509</v>
      </c>
    </row>
    <row r="510" spans="1:15">
      <c r="A510" s="18" t="str">
        <f>Charms!K510</f>
        <v>Larceny</v>
      </c>
      <c r="B510" t="str">
        <f>Charms!B510</f>
        <v>Dragon’s Hidden Treasure</v>
      </c>
      <c r="C510" t="b">
        <f ca="1">OR(Values!$S$98&gt;=Charms!M510,IFERROR(Charms!J510=OFFSET(Values!$A$24,MATCH("S",Values!$T$25:$T$50,0),0),FALSE))</f>
        <v>0</v>
      </c>
      <c r="D510" t="b">
        <f>VLOOKUP(Charms!J510,Values!$A$11:$S$59,19,0)&gt;=Charms!L510</f>
        <v>0</v>
      </c>
      <c r="E510" t="e">
        <f>OR(ISBLANK(Charms!I510),(VLOOKUP(Values!$S$6,Castes!$B$2:$F$25,4,0)=Charms!I510))</f>
        <v>#N/A</v>
      </c>
      <c r="J510" t="e">
        <f t="shared" ca="1" si="36"/>
        <v>#N/A</v>
      </c>
      <c r="K510" s="18" t="e">
        <f t="shared" ca="1" si="35"/>
        <v>#N/A</v>
      </c>
      <c r="L510" t="e">
        <f ca="1">IF(J510,Charms!B510,"")</f>
        <v>#N/A</v>
      </c>
      <c r="M510" t="str">
        <f t="shared" ca="1" si="37"/>
        <v>-</v>
      </c>
      <c r="N510" s="18" t="str">
        <f t="shared" si="38"/>
        <v>K473:L530</v>
      </c>
      <c r="O510" t="str">
        <f t="shared" si="39"/>
        <v>A473:A510</v>
      </c>
    </row>
    <row r="511" spans="1:15">
      <c r="A511" s="18" t="str">
        <f>Charms!K511</f>
        <v>Larceny</v>
      </c>
      <c r="B511" t="str">
        <f>Charms!B511</f>
        <v>Artful Flowing Theft</v>
      </c>
      <c r="C511" t="b">
        <f ca="1">OR(Values!$S$98&gt;=Charms!M511,IFERROR(Charms!J511=OFFSET(Values!$A$24,MATCH("S",Values!$T$25:$T$50,0),0),FALSE))</f>
        <v>0</v>
      </c>
      <c r="D511" t="b">
        <f>VLOOKUP(Charms!J511,Values!$A$11:$S$59,19,0)&gt;=Charms!L511</f>
        <v>0</v>
      </c>
      <c r="E511" t="e">
        <f>OR(ISBLANK(Charms!I511),(VLOOKUP(Values!$S$6,Castes!$B$2:$F$25,4,0)=Charms!I511))</f>
        <v>#N/A</v>
      </c>
      <c r="J511" t="e">
        <f t="shared" ca="1" si="36"/>
        <v>#N/A</v>
      </c>
      <c r="K511" s="18" t="e">
        <f t="shared" ca="1" si="35"/>
        <v>#N/A</v>
      </c>
      <c r="L511" t="e">
        <f ca="1">IF(J511,Charms!B511,"")</f>
        <v>#N/A</v>
      </c>
      <c r="M511" t="str">
        <f t="shared" ca="1" si="37"/>
        <v>-</v>
      </c>
      <c r="N511" s="18" t="str">
        <f t="shared" si="38"/>
        <v>K473:L530</v>
      </c>
      <c r="O511" t="str">
        <f t="shared" si="39"/>
        <v>A473:A511</v>
      </c>
    </row>
    <row r="512" spans="1:15">
      <c r="A512" s="18" t="str">
        <f>Charms!K512</f>
        <v>Larceny</v>
      </c>
      <c r="B512" t="str">
        <f>Charms!B512</f>
        <v>Face-Stealing Reflection</v>
      </c>
      <c r="C512" t="b">
        <f ca="1">OR(Values!$S$98&gt;=Charms!M512,IFERROR(Charms!J512=OFFSET(Values!$A$24,MATCH("S",Values!$T$25:$T$50,0),0),FALSE))</f>
        <v>0</v>
      </c>
      <c r="D512" t="b">
        <f>VLOOKUP(Charms!J512,Values!$A$11:$S$59,19,0)&gt;=Charms!L512</f>
        <v>0</v>
      </c>
      <c r="E512" t="e">
        <f>OR(ISBLANK(Charms!I512),(VLOOKUP(Values!$S$6,Castes!$B$2:$F$25,4,0)=Charms!I512))</f>
        <v>#N/A</v>
      </c>
      <c r="J512" t="e">
        <f t="shared" ca="1" si="36"/>
        <v>#N/A</v>
      </c>
      <c r="K512" s="18" t="e">
        <f t="shared" ca="1" si="35"/>
        <v>#N/A</v>
      </c>
      <c r="L512" t="e">
        <f ca="1">IF(J512,Charms!B512,"")</f>
        <v>#N/A</v>
      </c>
      <c r="M512" t="str">
        <f t="shared" ca="1" si="37"/>
        <v>-</v>
      </c>
      <c r="N512" s="18" t="str">
        <f t="shared" si="38"/>
        <v>K473:L530</v>
      </c>
      <c r="O512" t="str">
        <f t="shared" si="39"/>
        <v>A473:A512</v>
      </c>
    </row>
    <row r="513" spans="1:15">
      <c r="A513" s="18" t="str">
        <f>Charms!K513</f>
        <v>Larceny</v>
      </c>
      <c r="B513" t="str">
        <f>Charms!B513</f>
        <v>Whispering Thief Technique</v>
      </c>
      <c r="C513" t="b">
        <f ca="1">OR(Values!$S$98&gt;=Charms!M513,IFERROR(Charms!J513=OFFSET(Values!$A$24,MATCH("S",Values!$T$25:$T$50,0),0),FALSE))</f>
        <v>1</v>
      </c>
      <c r="D513" t="b">
        <f>VLOOKUP(Charms!J513,Values!$A$11:$S$59,19,0)&gt;=Charms!L513</f>
        <v>0</v>
      </c>
      <c r="E513" t="e">
        <f>OR(ISBLANK(Charms!I513),(VLOOKUP(Values!$S$6,Castes!$B$2:$F$25,4,0)=Charms!I513))</f>
        <v>#N/A</v>
      </c>
      <c r="J513" t="e">
        <f t="shared" ca="1" si="36"/>
        <v>#N/A</v>
      </c>
      <c r="K513" s="18" t="e">
        <f t="shared" ca="1" si="35"/>
        <v>#N/A</v>
      </c>
      <c r="L513" t="e">
        <f ca="1">IF(J513,Charms!B513,"")</f>
        <v>#N/A</v>
      </c>
      <c r="M513" t="str">
        <f t="shared" ca="1" si="37"/>
        <v>-</v>
      </c>
      <c r="N513" s="18" t="str">
        <f t="shared" si="38"/>
        <v>K473:L530</v>
      </c>
      <c r="O513" t="str">
        <f t="shared" si="39"/>
        <v>A473:A513</v>
      </c>
    </row>
    <row r="514" spans="1:15">
      <c r="A514" s="18" t="str">
        <f>Charms!K514</f>
        <v>Larceny</v>
      </c>
      <c r="B514" t="str">
        <f>Charms!B514</f>
        <v>Bramble Purse Technique</v>
      </c>
      <c r="C514" t="b">
        <f ca="1">OR(Values!$S$98&gt;=Charms!M514,IFERROR(Charms!J514=OFFSET(Values!$A$24,MATCH("S",Values!$T$25:$T$50,0),0),FALSE))</f>
        <v>0</v>
      </c>
      <c r="D514" t="b">
        <f>VLOOKUP(Charms!J514,Values!$A$11:$S$59,19,0)&gt;=Charms!L514</f>
        <v>0</v>
      </c>
      <c r="E514" t="e">
        <f>OR(ISBLANK(Charms!I514),(VLOOKUP(Values!$S$6,Castes!$B$2:$F$25,4,0)=Charms!I514))</f>
        <v>#N/A</v>
      </c>
      <c r="J514" t="e">
        <f t="shared" ca="1" si="36"/>
        <v>#N/A</v>
      </c>
      <c r="K514" s="18" t="e">
        <f t="shared" ref="K514:K577" ca="1" si="40">IF(L514="","",COUNTIF(INDIRECT("J"&amp;MATCH(A514,A:A,0)&amp;":J"&amp;ROW()),J514))</f>
        <v>#N/A</v>
      </c>
      <c r="L514" t="e">
        <f ca="1">IF(J514,Charms!B514,"")</f>
        <v>#N/A</v>
      </c>
      <c r="M514" t="str">
        <f t="shared" ca="1" si="37"/>
        <v>-</v>
      </c>
      <c r="N514" s="18" t="str">
        <f t="shared" si="38"/>
        <v>K473:L530</v>
      </c>
      <c r="O514" t="str">
        <f t="shared" si="39"/>
        <v>A473:A514</v>
      </c>
    </row>
    <row r="515" spans="1:15">
      <c r="A515" s="18" t="str">
        <f>Charms!K515</f>
        <v>Larceny</v>
      </c>
      <c r="B515" t="str">
        <f>Charms!B515</f>
        <v>Evidence-Erasing Tide</v>
      </c>
      <c r="C515" t="b">
        <f ca="1">OR(Values!$S$98&gt;=Charms!M515,IFERROR(Charms!J515=OFFSET(Values!$A$24,MATCH("S",Values!$T$25:$T$50,0),0),FALSE))</f>
        <v>0</v>
      </c>
      <c r="D515" t="b">
        <f>VLOOKUP(Charms!J515,Values!$A$11:$S$59,19,0)&gt;=Charms!L515</f>
        <v>0</v>
      </c>
      <c r="E515" t="e">
        <f>OR(ISBLANK(Charms!I515),(VLOOKUP(Values!$S$6,Castes!$B$2:$F$25,4,0)=Charms!I515))</f>
        <v>#N/A</v>
      </c>
      <c r="J515" t="e">
        <f t="shared" ref="J515:J578" ca="1" si="41">(C515+D515+E515+F515+G515+H515+I515)=3</f>
        <v>#N/A</v>
      </c>
      <c r="K515" s="18" t="e">
        <f t="shared" ca="1" si="40"/>
        <v>#N/A</v>
      </c>
      <c r="L515" t="e">
        <f ca="1">IF(J515,Charms!B515,"")</f>
        <v>#N/A</v>
      </c>
      <c r="M515" t="str">
        <f t="shared" ref="M515:M578" ca="1" si="42">IFERROR(VLOOKUP(COUNTIF(INDIRECT(O515),A515),INDIRECT(N515),2,0),"-")</f>
        <v>-</v>
      </c>
      <c r="N515" s="18" t="str">
        <f t="shared" ref="N515:N578" si="43">"K"&amp;MATCH(A515,A:A,0)&amp;":L"&amp;(MATCH(A515,A:A,0)+COUNTIF(A:A,A515)-1)</f>
        <v>K473:L530</v>
      </c>
      <c r="O515" t="str">
        <f t="shared" ref="O515:O578" si="44">"A"&amp;MATCH(A515,A:A,0)&amp;":A"&amp;ROW()</f>
        <v>A473:A515</v>
      </c>
    </row>
    <row r="516" spans="1:15">
      <c r="A516" s="18" t="str">
        <f>Charms!K516</f>
        <v>Larceny</v>
      </c>
      <c r="B516" t="str">
        <f>Charms!B516</f>
        <v>Instant Disguise Prana</v>
      </c>
      <c r="C516" t="b">
        <f ca="1">OR(Values!$S$98&gt;=Charms!M516,IFERROR(Charms!J516=OFFSET(Values!$A$24,MATCH("S",Values!$T$25:$T$50,0),0),FALSE))</f>
        <v>0</v>
      </c>
      <c r="D516" t="b">
        <f>VLOOKUP(Charms!J516,Values!$A$11:$S$59,19,0)&gt;=Charms!L516</f>
        <v>0</v>
      </c>
      <c r="E516" t="e">
        <f>OR(ISBLANK(Charms!I516),(VLOOKUP(Values!$S$6,Castes!$B$2:$F$25,4,0)=Charms!I516))</f>
        <v>#N/A</v>
      </c>
      <c r="J516" t="e">
        <f t="shared" ca="1" si="41"/>
        <v>#N/A</v>
      </c>
      <c r="K516" s="18" t="e">
        <f t="shared" ca="1" si="40"/>
        <v>#N/A</v>
      </c>
      <c r="L516" t="e">
        <f ca="1">IF(J516,Charms!B516,"")</f>
        <v>#N/A</v>
      </c>
      <c r="M516" t="str">
        <f t="shared" ca="1" si="42"/>
        <v>-</v>
      </c>
      <c r="N516" s="18" t="str">
        <f t="shared" si="43"/>
        <v>K473:L530</v>
      </c>
      <c r="O516" t="str">
        <f t="shared" si="44"/>
        <v>A473:A516</v>
      </c>
    </row>
    <row r="517" spans="1:15">
      <c r="A517" s="18" t="str">
        <f>Charms!K517</f>
        <v>Larceny</v>
      </c>
      <c r="B517" t="str">
        <f>Charms!B517</f>
        <v>Waters-of-Honesty Method</v>
      </c>
      <c r="C517" t="b">
        <f ca="1">OR(Values!$S$98&gt;=Charms!M517,IFERROR(Charms!J517=OFFSET(Values!$A$24,MATCH("S",Values!$T$25:$T$50,0),0),FALSE))</f>
        <v>0</v>
      </c>
      <c r="D517" t="b">
        <f>VLOOKUP(Charms!J517,Values!$A$11:$S$59,19,0)&gt;=Charms!L517</f>
        <v>0</v>
      </c>
      <c r="E517" t="e">
        <f>OR(ISBLANK(Charms!I517),(VLOOKUP(Values!$S$6,Castes!$B$2:$F$25,4,0)=Charms!I517))</f>
        <v>#N/A</v>
      </c>
      <c r="J517" t="e">
        <f t="shared" ca="1" si="41"/>
        <v>#N/A</v>
      </c>
      <c r="K517" s="18" t="e">
        <f t="shared" ca="1" si="40"/>
        <v>#N/A</v>
      </c>
      <c r="L517" t="e">
        <f ca="1">IF(J517,Charms!B517,"")</f>
        <v>#N/A</v>
      </c>
      <c r="M517" t="str">
        <f t="shared" ca="1" si="42"/>
        <v>-</v>
      </c>
      <c r="N517" s="18" t="str">
        <f t="shared" si="43"/>
        <v>K473:L530</v>
      </c>
      <c r="O517" t="str">
        <f t="shared" si="44"/>
        <v>A473:A517</v>
      </c>
    </row>
    <row r="518" spans="1:15">
      <c r="A518" s="18" t="str">
        <f>Charms!K518</f>
        <v>Larceny</v>
      </c>
      <c r="B518" t="str">
        <f>Charms!B518</f>
        <v>Vaporous Visage Evasion</v>
      </c>
      <c r="C518" t="b">
        <f ca="1">OR(Values!$S$98&gt;=Charms!M518,IFERROR(Charms!J518=OFFSET(Values!$A$24,MATCH("S",Values!$T$25:$T$50,0),0),FALSE))</f>
        <v>0</v>
      </c>
      <c r="D518" t="b">
        <f>VLOOKUP(Charms!J518,Values!$A$11:$S$59,19,0)&gt;=Charms!L518</f>
        <v>0</v>
      </c>
      <c r="E518" t="e">
        <f>OR(ISBLANK(Charms!I518),(VLOOKUP(Values!$S$6,Castes!$B$2:$F$25,4,0)=Charms!I518))</f>
        <v>#N/A</v>
      </c>
      <c r="J518" t="e">
        <f t="shared" ca="1" si="41"/>
        <v>#N/A</v>
      </c>
      <c r="K518" s="18" t="e">
        <f t="shared" ca="1" si="40"/>
        <v>#N/A</v>
      </c>
      <c r="L518" t="e">
        <f ca="1">IF(J518,Charms!B518,"")</f>
        <v>#N/A</v>
      </c>
      <c r="M518" t="str">
        <f t="shared" ca="1" si="42"/>
        <v>-</v>
      </c>
      <c r="N518" s="18" t="str">
        <f t="shared" si="43"/>
        <v>K473:L530</v>
      </c>
      <c r="O518" t="str">
        <f t="shared" si="44"/>
        <v>A473:A518</v>
      </c>
    </row>
    <row r="519" spans="1:15">
      <c r="A519" s="18" t="str">
        <f>Charms!K519</f>
        <v>Larceny</v>
      </c>
      <c r="B519" t="str">
        <f>Charms!B519</f>
        <v>Vault-Emptying Whirlwind Heist</v>
      </c>
      <c r="C519" t="b">
        <f ca="1">OR(Values!$S$98&gt;=Charms!M519,IFERROR(Charms!J519=OFFSET(Values!$A$24,MATCH("S",Values!$T$25:$T$50,0),0),FALSE))</f>
        <v>0</v>
      </c>
      <c r="D519" t="b">
        <f>VLOOKUP(Charms!J519,Values!$A$11:$S$59,19,0)&gt;=Charms!L519</f>
        <v>0</v>
      </c>
      <c r="E519" t="e">
        <f>OR(ISBLANK(Charms!I519),(VLOOKUP(Values!$S$6,Castes!$B$2:$F$25,4,0)=Charms!I519))</f>
        <v>#N/A</v>
      </c>
      <c r="J519" t="e">
        <f t="shared" ca="1" si="41"/>
        <v>#N/A</v>
      </c>
      <c r="K519" s="18" t="e">
        <f t="shared" ca="1" si="40"/>
        <v>#N/A</v>
      </c>
      <c r="L519" t="e">
        <f ca="1">IF(J519,Charms!B519,"")</f>
        <v>#N/A</v>
      </c>
      <c r="M519" t="str">
        <f t="shared" ca="1" si="42"/>
        <v>-</v>
      </c>
      <c r="N519" s="18" t="str">
        <f t="shared" si="43"/>
        <v>K473:L530</v>
      </c>
      <c r="O519" t="str">
        <f t="shared" si="44"/>
        <v>A473:A519</v>
      </c>
    </row>
    <row r="520" spans="1:15">
      <c r="A520" s="18" t="str">
        <f>Charms!K520</f>
        <v>Larceny</v>
      </c>
      <c r="B520" t="str">
        <f>Charms!B520</f>
        <v>Dragon Snatches Jewel</v>
      </c>
      <c r="C520" t="b">
        <f ca="1">OR(Values!$S$98&gt;=Charms!M520,IFERROR(Charms!J520=OFFSET(Values!$A$24,MATCH("S",Values!$T$25:$T$50,0),0),FALSE))</f>
        <v>0</v>
      </c>
      <c r="D520" t="b">
        <f>VLOOKUP(Charms!J520,Values!$A$11:$S$59,19,0)&gt;=Charms!L520</f>
        <v>0</v>
      </c>
      <c r="E520" t="e">
        <f>OR(ISBLANK(Charms!I520),(VLOOKUP(Values!$S$6,Castes!$B$2:$F$25,4,0)=Charms!I520))</f>
        <v>#N/A</v>
      </c>
      <c r="J520" t="e">
        <f t="shared" ca="1" si="41"/>
        <v>#N/A</v>
      </c>
      <c r="K520" s="18" t="e">
        <f t="shared" ca="1" si="40"/>
        <v>#N/A</v>
      </c>
      <c r="L520" t="e">
        <f ca="1">IF(J520,Charms!B520,"")</f>
        <v>#N/A</v>
      </c>
      <c r="M520" t="str">
        <f t="shared" ca="1" si="42"/>
        <v>-</v>
      </c>
      <c r="N520" s="18" t="str">
        <f t="shared" si="43"/>
        <v>K473:L530</v>
      </c>
      <c r="O520" t="str">
        <f t="shared" si="44"/>
        <v>A473:A520</v>
      </c>
    </row>
    <row r="521" spans="1:15">
      <c r="A521" s="18" t="str">
        <f>Charms!K521</f>
        <v>Larceny</v>
      </c>
      <c r="B521" t="str">
        <f>Charms!B521</f>
        <v>Burning Sins Seduction</v>
      </c>
      <c r="C521" t="b">
        <f ca="1">OR(Values!$S$98&gt;=Charms!M521,IFERROR(Charms!J521=OFFSET(Values!$A$24,MATCH("S",Values!$T$25:$T$50,0),0),FALSE))</f>
        <v>0</v>
      </c>
      <c r="D521" t="b">
        <f>VLOOKUP(Charms!J521,Values!$A$11:$S$59,19,0)&gt;=Charms!L521</f>
        <v>0</v>
      </c>
      <c r="E521" t="e">
        <f>OR(ISBLANK(Charms!I521),(VLOOKUP(Values!$S$6,Castes!$B$2:$F$25,4,0)=Charms!I521))</f>
        <v>#N/A</v>
      </c>
      <c r="J521" t="e">
        <f t="shared" ca="1" si="41"/>
        <v>#N/A</v>
      </c>
      <c r="K521" s="18" t="e">
        <f t="shared" ca="1" si="40"/>
        <v>#N/A</v>
      </c>
      <c r="L521" t="e">
        <f ca="1">IF(J521,Charms!B521,"")</f>
        <v>#N/A</v>
      </c>
      <c r="M521" t="str">
        <f t="shared" ca="1" si="42"/>
        <v>-</v>
      </c>
      <c r="N521" s="18" t="str">
        <f t="shared" si="43"/>
        <v>K473:L530</v>
      </c>
      <c r="O521" t="str">
        <f t="shared" si="44"/>
        <v>A473:A521</v>
      </c>
    </row>
    <row r="522" spans="1:15">
      <c r="A522" s="18" t="str">
        <f>Charms!K522</f>
        <v>Larceny</v>
      </c>
      <c r="B522" t="str">
        <f>Charms!B522</f>
        <v>Flowing God-Dragon Stance</v>
      </c>
      <c r="C522" t="b">
        <f ca="1">OR(Values!$S$98&gt;=Charms!M522,IFERROR(Charms!J522=OFFSET(Values!$A$24,MATCH("S",Values!$T$25:$T$50,0),0),FALSE))</f>
        <v>0</v>
      </c>
      <c r="D522" t="b">
        <f>VLOOKUP(Charms!J522,Values!$A$11:$S$59,19,0)&gt;=Charms!L522</f>
        <v>0</v>
      </c>
      <c r="E522" t="e">
        <f>OR(ISBLANK(Charms!I522),(VLOOKUP(Values!$S$6,Castes!$B$2:$F$25,4,0)=Charms!I522))</f>
        <v>#N/A</v>
      </c>
      <c r="J522" t="e">
        <f t="shared" ca="1" si="41"/>
        <v>#N/A</v>
      </c>
      <c r="K522" s="18" t="e">
        <f t="shared" ca="1" si="40"/>
        <v>#N/A</v>
      </c>
      <c r="L522" t="e">
        <f ca="1">IF(J522,Charms!B522,"")</f>
        <v>#N/A</v>
      </c>
      <c r="M522" t="str">
        <f t="shared" ca="1" si="42"/>
        <v>-</v>
      </c>
      <c r="N522" s="18" t="str">
        <f t="shared" si="43"/>
        <v>K473:L530</v>
      </c>
      <c r="O522" t="str">
        <f t="shared" si="44"/>
        <v>A473:A522</v>
      </c>
    </row>
    <row r="523" spans="1:15">
      <c r="A523" s="18" t="str">
        <f>Charms!K523</f>
        <v>Larceny</v>
      </c>
      <c r="B523" t="str">
        <f>Charms!B523</f>
        <v>Terrifying Forest-Devil Mask</v>
      </c>
      <c r="C523" t="b">
        <f ca="1">OR(Values!$S$98&gt;=Charms!M523,IFERROR(Charms!J523=OFFSET(Values!$A$24,MATCH("S",Values!$T$25:$T$50,0),0),FALSE))</f>
        <v>0</v>
      </c>
      <c r="D523" t="b">
        <f>VLOOKUP(Charms!J523,Values!$A$11:$S$59,19,0)&gt;=Charms!L523</f>
        <v>0</v>
      </c>
      <c r="E523" t="e">
        <f>OR(ISBLANK(Charms!I523),(VLOOKUP(Values!$S$6,Castes!$B$2:$F$25,4,0)=Charms!I523))</f>
        <v>#N/A</v>
      </c>
      <c r="J523" t="e">
        <f t="shared" ca="1" si="41"/>
        <v>#N/A</v>
      </c>
      <c r="K523" s="18" t="e">
        <f t="shared" ca="1" si="40"/>
        <v>#N/A</v>
      </c>
      <c r="L523" t="e">
        <f ca="1">IF(J523,Charms!B523,"")</f>
        <v>#N/A</v>
      </c>
      <c r="M523" t="str">
        <f t="shared" ca="1" si="42"/>
        <v>-</v>
      </c>
      <c r="N523" s="18" t="str">
        <f t="shared" si="43"/>
        <v>K473:L530</v>
      </c>
      <c r="O523" t="str">
        <f t="shared" si="44"/>
        <v>A473:A523</v>
      </c>
    </row>
    <row r="524" spans="1:15">
      <c r="A524" s="18" t="str">
        <f>Charms!K524</f>
        <v>Larceny</v>
      </c>
      <c r="B524" t="str">
        <f>Charms!B524</f>
        <v>Incendiary Accusation Approach</v>
      </c>
      <c r="C524" t="b">
        <f ca="1">OR(Values!$S$98&gt;=Charms!M524,IFERROR(Charms!J524=OFFSET(Values!$A$24,MATCH("S",Values!$T$25:$T$50,0),0),FALSE))</f>
        <v>0</v>
      </c>
      <c r="D524" t="b">
        <f>VLOOKUP(Charms!J524,Values!$A$11:$S$59,19,0)&gt;=Charms!L524</f>
        <v>0</v>
      </c>
      <c r="E524" t="e">
        <f>OR(ISBLANK(Charms!I524),(VLOOKUP(Values!$S$6,Castes!$B$2:$F$25,4,0)=Charms!I524))</f>
        <v>#N/A</v>
      </c>
      <c r="J524" t="e">
        <f t="shared" ca="1" si="41"/>
        <v>#N/A</v>
      </c>
      <c r="K524" s="18" t="e">
        <f t="shared" ca="1" si="40"/>
        <v>#N/A</v>
      </c>
      <c r="L524" t="e">
        <f ca="1">IF(J524,Charms!B524,"")</f>
        <v>#N/A</v>
      </c>
      <c r="M524" t="str">
        <f t="shared" ca="1" si="42"/>
        <v>-</v>
      </c>
      <c r="N524" s="18" t="str">
        <f t="shared" si="43"/>
        <v>K473:L530</v>
      </c>
      <c r="O524" t="str">
        <f t="shared" si="44"/>
        <v>A473:A524</v>
      </c>
    </row>
    <row r="525" spans="1:15">
      <c r="A525" s="18" t="str">
        <f>Charms!K525</f>
        <v>Larceny</v>
      </c>
      <c r="B525" t="str">
        <f>Charms!B525</f>
        <v>Investigation-Deflecting Current</v>
      </c>
      <c r="C525" t="b">
        <f ca="1">OR(Values!$S$98&gt;=Charms!M525,IFERROR(Charms!J525=OFFSET(Values!$A$24,MATCH("S",Values!$T$25:$T$50,0),0),FALSE))</f>
        <v>0</v>
      </c>
      <c r="D525" t="b">
        <f>VLOOKUP(Charms!J525,Values!$A$11:$S$59,19,0)&gt;=Charms!L525</f>
        <v>0</v>
      </c>
      <c r="E525" t="e">
        <f>OR(ISBLANK(Charms!I525),(VLOOKUP(Values!$S$6,Castes!$B$2:$F$25,4,0)=Charms!I525))</f>
        <v>#N/A</v>
      </c>
      <c r="J525" t="e">
        <f t="shared" ca="1" si="41"/>
        <v>#N/A</v>
      </c>
      <c r="K525" s="18" t="e">
        <f t="shared" ca="1" si="40"/>
        <v>#N/A</v>
      </c>
      <c r="L525" t="e">
        <f ca="1">IF(J525,Charms!B525,"")</f>
        <v>#N/A</v>
      </c>
      <c r="M525" t="str">
        <f t="shared" ca="1" si="42"/>
        <v>-</v>
      </c>
      <c r="N525" s="18" t="str">
        <f t="shared" si="43"/>
        <v>K473:L530</v>
      </c>
      <c r="O525" t="str">
        <f t="shared" si="44"/>
        <v>A473:A525</v>
      </c>
    </row>
    <row r="526" spans="1:15">
      <c r="A526" s="18" t="str">
        <f>Charms!K526</f>
        <v>Larceny</v>
      </c>
      <c r="B526" t="str">
        <f>Charms!B526</f>
        <v>Mischievous Wind Grasp</v>
      </c>
      <c r="C526" t="b">
        <f ca="1">OR(Values!$S$98&gt;=Charms!M526,IFERROR(Charms!J526=OFFSET(Values!$A$24,MATCH("S",Values!$T$25:$T$50,0),0),FALSE))</f>
        <v>0</v>
      </c>
      <c r="D526" t="b">
        <f>VLOOKUP(Charms!J526,Values!$A$11:$S$59,19,0)&gt;=Charms!L526</f>
        <v>0</v>
      </c>
      <c r="E526" t="e">
        <f>OR(ISBLANK(Charms!I526),(VLOOKUP(Values!$S$6,Castes!$B$2:$F$25,4,0)=Charms!I526))</f>
        <v>#N/A</v>
      </c>
      <c r="J526" t="e">
        <f t="shared" ca="1" si="41"/>
        <v>#N/A</v>
      </c>
      <c r="K526" s="18" t="e">
        <f t="shared" ca="1" si="40"/>
        <v>#N/A</v>
      </c>
      <c r="L526" t="e">
        <f ca="1">IF(J526,Charms!B526,"")</f>
        <v>#N/A</v>
      </c>
      <c r="M526" t="str">
        <f t="shared" ca="1" si="42"/>
        <v>-</v>
      </c>
      <c r="N526" s="18" t="str">
        <f t="shared" si="43"/>
        <v>K473:L530</v>
      </c>
      <c r="O526" t="str">
        <f t="shared" si="44"/>
        <v>A473:A526</v>
      </c>
    </row>
    <row r="527" spans="1:15">
      <c r="A527" s="18" t="str">
        <f>Charms!K527</f>
        <v>Larceny</v>
      </c>
      <c r="B527" t="str">
        <f>Charms!B527</f>
        <v>Exploding Evidence Technique</v>
      </c>
      <c r="C527" t="b">
        <f ca="1">OR(Values!$S$98&gt;=Charms!M527,IFERROR(Charms!J527=OFFSET(Values!$A$24,MATCH("S",Values!$T$25:$T$50,0),0),FALSE))</f>
        <v>0</v>
      </c>
      <c r="D527" t="b">
        <f>VLOOKUP(Charms!J527,Values!$A$11:$S$59,19,0)&gt;=Charms!L527</f>
        <v>0</v>
      </c>
      <c r="E527" t="e">
        <f>OR(ISBLANK(Charms!I527),(VLOOKUP(Values!$S$6,Castes!$B$2:$F$25,4,0)=Charms!I527))</f>
        <v>#N/A</v>
      </c>
      <c r="J527" t="e">
        <f t="shared" ca="1" si="41"/>
        <v>#N/A</v>
      </c>
      <c r="K527" s="18" t="e">
        <f t="shared" ca="1" si="40"/>
        <v>#N/A</v>
      </c>
      <c r="L527" t="e">
        <f ca="1">IF(J527,Charms!B527,"")</f>
        <v>#N/A</v>
      </c>
      <c r="M527" t="str">
        <f t="shared" ca="1" si="42"/>
        <v>-</v>
      </c>
      <c r="N527" s="18" t="str">
        <f t="shared" si="43"/>
        <v>K473:L530</v>
      </c>
      <c r="O527" t="str">
        <f t="shared" si="44"/>
        <v>A473:A527</v>
      </c>
    </row>
    <row r="528" spans="1:15">
      <c r="A528" s="18" t="str">
        <f>Charms!K528</f>
        <v>Larceny</v>
      </c>
      <c r="B528" t="str">
        <f>Charms!B528</f>
        <v>Window-In-The-Door Technique</v>
      </c>
      <c r="C528" t="b">
        <f ca="1">OR(Values!$S$98&gt;=Charms!M528,IFERROR(Charms!J528=OFFSET(Values!$A$24,MATCH("S",Values!$T$25:$T$50,0),0),FALSE))</f>
        <v>0</v>
      </c>
      <c r="D528" t="b">
        <f>VLOOKUP(Charms!J528,Values!$A$11:$S$59,19,0)&gt;=Charms!L528</f>
        <v>0</v>
      </c>
      <c r="E528" t="e">
        <f>OR(ISBLANK(Charms!I528),(VLOOKUP(Values!$S$6,Castes!$B$2:$F$25,4,0)=Charms!I528))</f>
        <v>#N/A</v>
      </c>
      <c r="J528" t="e">
        <f t="shared" ca="1" si="41"/>
        <v>#N/A</v>
      </c>
      <c r="K528" s="18" t="e">
        <f t="shared" ca="1" si="40"/>
        <v>#N/A</v>
      </c>
      <c r="L528" t="e">
        <f ca="1">IF(J528,Charms!B528,"")</f>
        <v>#N/A</v>
      </c>
      <c r="M528" t="str">
        <f t="shared" ca="1" si="42"/>
        <v>-</v>
      </c>
      <c r="N528" s="18" t="str">
        <f t="shared" si="43"/>
        <v>K473:L530</v>
      </c>
      <c r="O528" t="str">
        <f t="shared" si="44"/>
        <v>A473:A528</v>
      </c>
    </row>
    <row r="529" spans="1:15">
      <c r="A529" s="18" t="str">
        <f>Charms!K529</f>
        <v>Larceny</v>
      </c>
      <c r="B529" t="str">
        <f>Charms!B529</f>
        <v>Expectation-Mirroring Stance</v>
      </c>
      <c r="C529" t="b">
        <f ca="1">OR(Values!$S$98&gt;=Charms!M529,IFERROR(Charms!J529=OFFSET(Values!$A$24,MATCH("S",Values!$T$25:$T$50,0),0),FALSE))</f>
        <v>0</v>
      </c>
      <c r="D529" t="b">
        <f>VLOOKUP(Charms!J529,Values!$A$11:$S$59,19,0)&gt;=Charms!L529</f>
        <v>0</v>
      </c>
      <c r="E529" t="e">
        <f>OR(ISBLANK(Charms!I529),(VLOOKUP(Values!$S$6,Castes!$B$2:$F$25,4,0)=Charms!I529))</f>
        <v>#N/A</v>
      </c>
      <c r="J529" t="e">
        <f t="shared" ca="1" si="41"/>
        <v>#N/A</v>
      </c>
      <c r="K529" s="18" t="e">
        <f t="shared" ca="1" si="40"/>
        <v>#N/A</v>
      </c>
      <c r="L529" t="e">
        <f ca="1">IF(J529,Charms!B529,"")</f>
        <v>#N/A</v>
      </c>
      <c r="M529" t="str">
        <f t="shared" ca="1" si="42"/>
        <v>-</v>
      </c>
      <c r="N529" s="18" t="str">
        <f t="shared" si="43"/>
        <v>K473:L530</v>
      </c>
      <c r="O529" t="str">
        <f t="shared" si="44"/>
        <v>A473:A529</v>
      </c>
    </row>
    <row r="530" spans="1:15">
      <c r="A530" s="18" t="str">
        <f>Charms!K530</f>
        <v>Larceny</v>
      </c>
      <c r="B530" t="str">
        <f>Charms!B530</f>
        <v>Infallible Alibi Approach</v>
      </c>
      <c r="C530" t="b">
        <f ca="1">OR(Values!$S$98&gt;=Charms!M530,IFERROR(Charms!J530=OFFSET(Values!$A$24,MATCH("S",Values!$T$25:$T$50,0),0),FALSE))</f>
        <v>0</v>
      </c>
      <c r="D530" t="b">
        <f>VLOOKUP(Charms!J530,Values!$A$11:$S$59,19,0)&gt;=Charms!L530</f>
        <v>0</v>
      </c>
      <c r="E530" t="e">
        <f>OR(ISBLANK(Charms!I530),(VLOOKUP(Values!$S$6,Castes!$B$2:$F$25,4,0)=Charms!I530))</f>
        <v>#N/A</v>
      </c>
      <c r="J530" t="e">
        <f t="shared" ca="1" si="41"/>
        <v>#N/A</v>
      </c>
      <c r="K530" s="18" t="e">
        <f t="shared" ca="1" si="40"/>
        <v>#N/A</v>
      </c>
      <c r="L530" t="e">
        <f ca="1">IF(J530,Charms!B530,"")</f>
        <v>#N/A</v>
      </c>
      <c r="M530" t="str">
        <f t="shared" ca="1" si="42"/>
        <v>-</v>
      </c>
      <c r="N530" s="18" t="str">
        <f t="shared" si="43"/>
        <v>K473:L530</v>
      </c>
      <c r="O530" t="str">
        <f t="shared" si="44"/>
        <v>A473:A530</v>
      </c>
    </row>
    <row r="531" spans="1:15">
      <c r="A531" s="18" t="str">
        <f>Charms!K531</f>
        <v>Linguistics</v>
      </c>
      <c r="B531" t="str">
        <f>Charms!B531</f>
        <v>Whirling Brush Method</v>
      </c>
      <c r="C531" t="b">
        <f ca="1">OR(Values!$S$98&gt;=Charms!M531,IFERROR(Charms!J531=OFFSET(Values!$A$24,MATCH("S",Values!$T$25:$T$50,0),0),FALSE))</f>
        <v>1</v>
      </c>
      <c r="D531" t="b">
        <f>VLOOKUP(Charms!J531,Values!$A$11:$S$59,19,0)&gt;=Charms!L531</f>
        <v>0</v>
      </c>
      <c r="E531" t="e">
        <f>OR(ISBLANK(Charms!I531),(VLOOKUP(Values!$S$6,Castes!$B$2:$F$25,4,0)=Charms!I531))</f>
        <v>#N/A</v>
      </c>
      <c r="J531" t="e">
        <f t="shared" ca="1" si="41"/>
        <v>#N/A</v>
      </c>
      <c r="K531" s="18" t="e">
        <f t="shared" ca="1" si="40"/>
        <v>#N/A</v>
      </c>
      <c r="L531" t="e">
        <f ca="1">IF(J531,Charms!B531,"")</f>
        <v>#N/A</v>
      </c>
      <c r="M531" t="str">
        <f t="shared" ca="1" si="42"/>
        <v>-</v>
      </c>
      <c r="N531" s="18" t="str">
        <f t="shared" si="43"/>
        <v>K531:L585</v>
      </c>
      <c r="O531" t="str">
        <f t="shared" si="44"/>
        <v>A531:A531</v>
      </c>
    </row>
    <row r="532" spans="1:15">
      <c r="A532" s="18" t="str">
        <f>Charms!K532</f>
        <v>Linguistics</v>
      </c>
      <c r="B532" t="str">
        <f>Charms!B532</f>
        <v>Flawless Brush Discipline</v>
      </c>
      <c r="C532" t="b">
        <f ca="1">OR(Values!$S$98&gt;=Charms!M532,IFERROR(Charms!J532=OFFSET(Values!$A$24,MATCH("S",Values!$T$25:$T$50,0),0),FALSE))</f>
        <v>1</v>
      </c>
      <c r="D532" t="b">
        <f>VLOOKUP(Charms!J532,Values!$A$11:$S$59,19,0)&gt;=Charms!L532</f>
        <v>0</v>
      </c>
      <c r="E532" t="e">
        <f>OR(ISBLANK(Charms!I532),(VLOOKUP(Values!$S$6,Castes!$B$2:$F$25,4,0)=Charms!I532))</f>
        <v>#N/A</v>
      </c>
      <c r="J532" t="e">
        <f t="shared" ca="1" si="41"/>
        <v>#N/A</v>
      </c>
      <c r="K532" s="18" t="e">
        <f t="shared" ca="1" si="40"/>
        <v>#N/A</v>
      </c>
      <c r="L532" t="e">
        <f ca="1">IF(J532,Charms!B532,"")</f>
        <v>#N/A</v>
      </c>
      <c r="M532" t="str">
        <f t="shared" ca="1" si="42"/>
        <v>-</v>
      </c>
      <c r="N532" s="18" t="str">
        <f t="shared" si="43"/>
        <v>K531:L585</v>
      </c>
      <c r="O532" t="str">
        <f t="shared" si="44"/>
        <v>A531:A532</v>
      </c>
    </row>
    <row r="533" spans="1:15">
      <c r="A533" s="18" t="str">
        <f>Charms!K533</f>
        <v>Linguistics</v>
      </c>
      <c r="B533" t="str">
        <f>Charms!B533</f>
        <v>Letter-Within-A-Letter Technique</v>
      </c>
      <c r="C533" t="b">
        <f ca="1">OR(Values!$S$98&gt;=Charms!M533,IFERROR(Charms!J533=OFFSET(Values!$A$24,MATCH("S",Values!$T$25:$T$50,0),0),FALSE))</f>
        <v>1</v>
      </c>
      <c r="D533" t="b">
        <f>VLOOKUP(Charms!J533,Values!$A$11:$S$59,19,0)&gt;=Charms!L533</f>
        <v>0</v>
      </c>
      <c r="E533" t="e">
        <f>OR(ISBLANK(Charms!I533),(VLOOKUP(Values!$S$6,Castes!$B$2:$F$25,4,0)=Charms!I533))</f>
        <v>#N/A</v>
      </c>
      <c r="J533" t="e">
        <f t="shared" ca="1" si="41"/>
        <v>#N/A</v>
      </c>
      <c r="K533" s="18" t="e">
        <f t="shared" ca="1" si="40"/>
        <v>#N/A</v>
      </c>
      <c r="L533" t="e">
        <f ca="1">IF(J533,Charms!B533,"")</f>
        <v>#N/A</v>
      </c>
      <c r="M533" t="str">
        <f t="shared" ca="1" si="42"/>
        <v>-</v>
      </c>
      <c r="N533" s="18" t="str">
        <f t="shared" si="43"/>
        <v>K531:L585</v>
      </c>
      <c r="O533" t="str">
        <f t="shared" si="44"/>
        <v>A531:A533</v>
      </c>
    </row>
    <row r="534" spans="1:15">
      <c r="A534" s="18" t="str">
        <f>Charms!K534</f>
        <v>Linguistics</v>
      </c>
      <c r="B534" t="str">
        <f>Charms!B534</f>
        <v>Subtle Speech Method</v>
      </c>
      <c r="C534" t="b">
        <f ca="1">OR(Values!$S$98&gt;=Charms!M534,IFERROR(Charms!J534=OFFSET(Values!$A$24,MATCH("S",Values!$T$25:$T$50,0),0),FALSE))</f>
        <v>1</v>
      </c>
      <c r="D534" t="b">
        <f>VLOOKUP(Charms!J534,Values!$A$11:$S$59,19,0)&gt;=Charms!L534</f>
        <v>0</v>
      </c>
      <c r="E534" t="e">
        <f>OR(ISBLANK(Charms!I534),(VLOOKUP(Values!$S$6,Castes!$B$2:$F$25,4,0)=Charms!I534))</f>
        <v>#N/A</v>
      </c>
      <c r="J534" t="e">
        <f t="shared" ca="1" si="41"/>
        <v>#N/A</v>
      </c>
      <c r="K534" s="18" t="e">
        <f t="shared" ca="1" si="40"/>
        <v>#N/A</v>
      </c>
      <c r="L534" t="e">
        <f ca="1">IF(J534,Charms!B534,"")</f>
        <v>#N/A</v>
      </c>
      <c r="M534" t="str">
        <f t="shared" ca="1" si="42"/>
        <v>-</v>
      </c>
      <c r="N534" s="18" t="str">
        <f t="shared" si="43"/>
        <v>K531:L585</v>
      </c>
      <c r="O534" t="str">
        <f t="shared" si="44"/>
        <v>A531:A534</v>
      </c>
    </row>
    <row r="535" spans="1:15">
      <c r="A535" s="18" t="str">
        <f>Charms!K535</f>
        <v>Linguistics</v>
      </c>
      <c r="B535" t="str">
        <f>Charms!B535</f>
        <v>Flowing Elegant Hand</v>
      </c>
      <c r="C535" t="b">
        <f ca="1">OR(Values!$S$98&gt;=Charms!M535,IFERROR(Charms!J535=OFFSET(Values!$A$24,MATCH("S",Values!$T$25:$T$50,0),0),FALSE))</f>
        <v>1</v>
      </c>
      <c r="D535" t="b">
        <f>VLOOKUP(Charms!J535,Values!$A$11:$S$59,19,0)&gt;=Charms!L535</f>
        <v>0</v>
      </c>
      <c r="E535" t="e">
        <f>OR(ISBLANK(Charms!I535),(VLOOKUP(Values!$S$6,Castes!$B$2:$F$25,4,0)=Charms!I535))</f>
        <v>#N/A</v>
      </c>
      <c r="J535" t="e">
        <f t="shared" ca="1" si="41"/>
        <v>#N/A</v>
      </c>
      <c r="K535" s="18" t="e">
        <f t="shared" ca="1" si="40"/>
        <v>#N/A</v>
      </c>
      <c r="L535" t="e">
        <f ca="1">IF(J535,Charms!B535,"")</f>
        <v>#N/A</v>
      </c>
      <c r="M535" t="str">
        <f t="shared" ca="1" si="42"/>
        <v>-</v>
      </c>
      <c r="N535" s="18" t="str">
        <f t="shared" si="43"/>
        <v>K531:L585</v>
      </c>
      <c r="O535" t="str">
        <f t="shared" si="44"/>
        <v>A531:A535</v>
      </c>
    </row>
    <row r="536" spans="1:15">
      <c r="A536" s="18" t="str">
        <f>Charms!K536</f>
        <v>Linguistics</v>
      </c>
      <c r="B536" t="str">
        <f>Charms!B536</f>
        <v>Strange Tongue Understanding</v>
      </c>
      <c r="C536" t="b">
        <f ca="1">OR(Values!$S$98&gt;=Charms!M536,IFERROR(Charms!J536=OFFSET(Values!$A$24,MATCH("S",Values!$T$25:$T$50,0),0),FALSE))</f>
        <v>1</v>
      </c>
      <c r="D536" t="b">
        <f>VLOOKUP(Charms!J536,Values!$A$11:$S$59,19,0)&gt;=Charms!L536</f>
        <v>0</v>
      </c>
      <c r="E536" t="e">
        <f>OR(ISBLANK(Charms!I536),(VLOOKUP(Values!$S$6,Castes!$B$2:$F$25,4,0)=Charms!I536))</f>
        <v>#N/A</v>
      </c>
      <c r="J536" t="e">
        <f t="shared" ca="1" si="41"/>
        <v>#N/A</v>
      </c>
      <c r="K536" s="18" t="e">
        <f t="shared" ca="1" si="40"/>
        <v>#N/A</v>
      </c>
      <c r="L536" t="e">
        <f ca="1">IF(J536,Charms!B536,"")</f>
        <v>#N/A</v>
      </c>
      <c r="M536" t="str">
        <f t="shared" ca="1" si="42"/>
        <v>-</v>
      </c>
      <c r="N536" s="18" t="str">
        <f t="shared" si="43"/>
        <v>K531:L585</v>
      </c>
      <c r="O536" t="str">
        <f t="shared" si="44"/>
        <v>A531:A536</v>
      </c>
    </row>
    <row r="537" spans="1:15">
      <c r="A537" s="18" t="str">
        <f>Charms!K537</f>
        <v>Linguistics</v>
      </c>
      <c r="B537" t="str">
        <f>Charms!B537</f>
        <v>Poetic Expression Style</v>
      </c>
      <c r="C537" t="b">
        <f ca="1">OR(Values!$S$98&gt;=Charms!M537,IFERROR(Charms!J537=OFFSET(Values!$A$24,MATCH("S",Values!$T$25:$T$50,0),0),FALSE))</f>
        <v>1</v>
      </c>
      <c r="D537" t="b">
        <f>VLOOKUP(Charms!J537,Values!$A$11:$S$59,19,0)&gt;=Charms!L537</f>
        <v>0</v>
      </c>
      <c r="E537" t="e">
        <f>OR(ISBLANK(Charms!I537),(VLOOKUP(Values!$S$6,Castes!$B$2:$F$25,4,0)=Charms!I537))</f>
        <v>#N/A</v>
      </c>
      <c r="J537" t="e">
        <f t="shared" ca="1" si="41"/>
        <v>#N/A</v>
      </c>
      <c r="K537" s="18" t="e">
        <f t="shared" ca="1" si="40"/>
        <v>#N/A</v>
      </c>
      <c r="L537" t="e">
        <f ca="1">IF(J537,Charms!B537,"")</f>
        <v>#N/A</v>
      </c>
      <c r="M537" t="str">
        <f t="shared" ca="1" si="42"/>
        <v>-</v>
      </c>
      <c r="N537" s="18" t="str">
        <f t="shared" si="43"/>
        <v>K531:L585</v>
      </c>
      <c r="O537" t="str">
        <f t="shared" si="44"/>
        <v>A531:A537</v>
      </c>
    </row>
    <row r="538" spans="1:15">
      <c r="A538" s="18" t="str">
        <f>Charms!K538</f>
        <v>Linguistics</v>
      </c>
      <c r="B538" t="str">
        <f>Charms!B538</f>
        <v>Sagacious Reading of Intent</v>
      </c>
      <c r="C538" t="b">
        <f ca="1">OR(Values!$S$98&gt;=Charms!M538,IFERROR(Charms!J538=OFFSET(Values!$A$24,MATCH("S",Values!$T$25:$T$50,0),0),FALSE))</f>
        <v>1</v>
      </c>
      <c r="D538" t="b">
        <f>VLOOKUP(Charms!J538,Values!$A$11:$S$59,19,0)&gt;=Charms!L538</f>
        <v>0</v>
      </c>
      <c r="E538" t="e">
        <f>OR(ISBLANK(Charms!I538),(VLOOKUP(Values!$S$6,Castes!$B$2:$F$25,4,0)=Charms!I538))</f>
        <v>#N/A</v>
      </c>
      <c r="J538" t="e">
        <f t="shared" ca="1" si="41"/>
        <v>#N/A</v>
      </c>
      <c r="K538" s="18" t="e">
        <f t="shared" ca="1" si="40"/>
        <v>#N/A</v>
      </c>
      <c r="L538" t="e">
        <f ca="1">IF(J538,Charms!B538,"")</f>
        <v>#N/A</v>
      </c>
      <c r="M538" t="str">
        <f t="shared" ca="1" si="42"/>
        <v>-</v>
      </c>
      <c r="N538" s="18" t="str">
        <f t="shared" si="43"/>
        <v>K531:L585</v>
      </c>
      <c r="O538" t="str">
        <f t="shared" si="44"/>
        <v>A531:A538</v>
      </c>
    </row>
    <row r="539" spans="1:15">
      <c r="A539" s="18" t="str">
        <f>Charms!K539</f>
        <v>Linguistics</v>
      </c>
      <c r="B539" t="str">
        <f>Charms!B539</f>
        <v>Stolen Voice Technique</v>
      </c>
      <c r="C539" t="b">
        <f ca="1">OR(Values!$S$98&gt;=Charms!M539,IFERROR(Charms!J539=OFFSET(Values!$A$24,MATCH("S",Values!$T$25:$T$50,0),0),FALSE))</f>
        <v>0</v>
      </c>
      <c r="D539" t="b">
        <f>VLOOKUP(Charms!J539,Values!$A$11:$S$59,19,0)&gt;=Charms!L539</f>
        <v>0</v>
      </c>
      <c r="E539" t="e">
        <f>OR(ISBLANK(Charms!I539),(VLOOKUP(Values!$S$6,Castes!$B$2:$F$25,4,0)=Charms!I539))</f>
        <v>#N/A</v>
      </c>
      <c r="J539" t="e">
        <f t="shared" ca="1" si="41"/>
        <v>#N/A</v>
      </c>
      <c r="K539" s="18" t="e">
        <f t="shared" ca="1" si="40"/>
        <v>#N/A</v>
      </c>
      <c r="L539" t="e">
        <f ca="1">IF(J539,Charms!B539,"")</f>
        <v>#N/A</v>
      </c>
      <c r="M539" t="str">
        <f t="shared" ca="1" si="42"/>
        <v>-</v>
      </c>
      <c r="N539" s="18" t="str">
        <f t="shared" si="43"/>
        <v>K531:L585</v>
      </c>
      <c r="O539" t="str">
        <f t="shared" si="44"/>
        <v>A531:A539</v>
      </c>
    </row>
    <row r="540" spans="1:15">
      <c r="A540" s="18" t="str">
        <f>Charms!K540</f>
        <v>Linguistics</v>
      </c>
      <c r="B540" t="str">
        <f>Charms!B540</f>
        <v>Essence-Laden Missive</v>
      </c>
      <c r="C540" t="b">
        <f ca="1">OR(Values!$S$98&gt;=Charms!M540,IFERROR(Charms!J540=OFFSET(Values!$A$24,MATCH("S",Values!$T$25:$T$50,0),0),FALSE))</f>
        <v>0</v>
      </c>
      <c r="D540" t="b">
        <f>VLOOKUP(Charms!J540,Values!$A$11:$S$59,19,0)&gt;=Charms!L540</f>
        <v>0</v>
      </c>
      <c r="E540" t="e">
        <f>OR(ISBLANK(Charms!I540),(VLOOKUP(Values!$S$6,Castes!$B$2:$F$25,4,0)=Charms!I540))</f>
        <v>#N/A</v>
      </c>
      <c r="J540" t="e">
        <f t="shared" ca="1" si="41"/>
        <v>#N/A</v>
      </c>
      <c r="K540" s="18" t="e">
        <f t="shared" ca="1" si="40"/>
        <v>#N/A</v>
      </c>
      <c r="L540" t="e">
        <f ca="1">IF(J540,Charms!B540,"")</f>
        <v>#N/A</v>
      </c>
      <c r="M540" t="str">
        <f t="shared" ca="1" si="42"/>
        <v>-</v>
      </c>
      <c r="N540" s="18" t="str">
        <f t="shared" si="43"/>
        <v>K531:L585</v>
      </c>
      <c r="O540" t="str">
        <f t="shared" si="44"/>
        <v>A531:A540</v>
      </c>
    </row>
    <row r="541" spans="1:15">
      <c r="A541" s="18" t="str">
        <f>Charms!K541</f>
        <v>Linguistics</v>
      </c>
      <c r="B541" t="str">
        <f>Charms!B541</f>
        <v>Mingled Tongue Technique</v>
      </c>
      <c r="C541" t="b">
        <f ca="1">OR(Values!$S$98&gt;=Charms!M541,IFERROR(Charms!J541=OFFSET(Values!$A$24,MATCH("S",Values!$T$25:$T$50,0),0),FALSE))</f>
        <v>1</v>
      </c>
      <c r="D541" t="b">
        <f>VLOOKUP(Charms!J541,Values!$A$11:$S$59,19,0)&gt;=Charms!L541</f>
        <v>0</v>
      </c>
      <c r="E541" t="e">
        <f>OR(ISBLANK(Charms!I541),(VLOOKUP(Values!$S$6,Castes!$B$2:$F$25,4,0)=Charms!I541))</f>
        <v>#N/A</v>
      </c>
      <c r="J541" t="e">
        <f t="shared" ca="1" si="41"/>
        <v>#N/A</v>
      </c>
      <c r="K541" s="18" t="e">
        <f t="shared" ca="1" si="40"/>
        <v>#N/A</v>
      </c>
      <c r="L541" t="e">
        <f ca="1">IF(J541,Charms!B541,"")</f>
        <v>#N/A</v>
      </c>
      <c r="M541" t="str">
        <f t="shared" ca="1" si="42"/>
        <v>-</v>
      </c>
      <c r="N541" s="18" t="str">
        <f t="shared" si="43"/>
        <v>K531:L585</v>
      </c>
      <c r="O541" t="str">
        <f t="shared" si="44"/>
        <v>A531:A541</v>
      </c>
    </row>
    <row r="542" spans="1:15">
      <c r="A542" s="18" t="str">
        <f>Charms!K542</f>
        <v>Linguistics</v>
      </c>
      <c r="B542" t="str">
        <f>Charms!B542</f>
        <v>Word-Shield Invocation</v>
      </c>
      <c r="C542" t="b">
        <f ca="1">OR(Values!$S$98&gt;=Charms!M542,IFERROR(Charms!J542=OFFSET(Values!$A$24,MATCH("S",Values!$T$25:$T$50,0),0),FALSE))</f>
        <v>1</v>
      </c>
      <c r="D542" t="b">
        <f>VLOOKUP(Charms!J542,Values!$A$11:$S$59,19,0)&gt;=Charms!L542</f>
        <v>0</v>
      </c>
      <c r="E542" t="e">
        <f>OR(ISBLANK(Charms!I542),(VLOOKUP(Values!$S$6,Castes!$B$2:$F$25,4,0)=Charms!I542))</f>
        <v>#N/A</v>
      </c>
      <c r="J542" t="e">
        <f t="shared" ca="1" si="41"/>
        <v>#N/A</v>
      </c>
      <c r="K542" s="18" t="e">
        <f t="shared" ca="1" si="40"/>
        <v>#N/A</v>
      </c>
      <c r="L542" t="e">
        <f ca="1">IF(J542,Charms!B542,"")</f>
        <v>#N/A</v>
      </c>
      <c r="M542" t="str">
        <f t="shared" ca="1" si="42"/>
        <v>-</v>
      </c>
      <c r="N542" s="18" t="str">
        <f t="shared" si="43"/>
        <v>K531:L585</v>
      </c>
      <c r="O542" t="str">
        <f t="shared" si="44"/>
        <v>A531:A542</v>
      </c>
    </row>
    <row r="543" spans="1:15">
      <c r="A543" s="18" t="str">
        <f>Charms!K543</f>
        <v>Linguistics</v>
      </c>
      <c r="B543" t="str">
        <f>Charms!B543</f>
        <v>Moving the Unseen Hand</v>
      </c>
      <c r="C543" t="b">
        <f ca="1">OR(Values!$S$98&gt;=Charms!M543,IFERROR(Charms!J543=OFFSET(Values!$A$24,MATCH("S",Values!$T$25:$T$50,0),0),FALSE))</f>
        <v>0</v>
      </c>
      <c r="D543" t="b">
        <f>VLOOKUP(Charms!J543,Values!$A$11:$S$59,19,0)&gt;=Charms!L543</f>
        <v>0</v>
      </c>
      <c r="E543" t="e">
        <f>OR(ISBLANK(Charms!I543),(VLOOKUP(Values!$S$6,Castes!$B$2:$F$25,4,0)=Charms!I543))</f>
        <v>#N/A</v>
      </c>
      <c r="J543" t="e">
        <f t="shared" ca="1" si="41"/>
        <v>#N/A</v>
      </c>
      <c r="K543" s="18" t="e">
        <f t="shared" ca="1" si="40"/>
        <v>#N/A</v>
      </c>
      <c r="L543" t="e">
        <f ca="1">IF(J543,Charms!B543,"")</f>
        <v>#N/A</v>
      </c>
      <c r="M543" t="str">
        <f t="shared" ca="1" si="42"/>
        <v>-</v>
      </c>
      <c r="N543" s="18" t="str">
        <f t="shared" si="43"/>
        <v>K531:L585</v>
      </c>
      <c r="O543" t="str">
        <f t="shared" si="44"/>
        <v>A531:A543</v>
      </c>
    </row>
    <row r="544" spans="1:15">
      <c r="A544" s="18" t="str">
        <f>Charms!K544</f>
        <v>Linguistics</v>
      </c>
      <c r="B544" t="str">
        <f>Charms!B544</f>
        <v>Voice-Caging Calligraphy</v>
      </c>
      <c r="C544" t="b">
        <f ca="1">OR(Values!$S$98&gt;=Charms!M544,IFERROR(Charms!J544=OFFSET(Values!$A$24,MATCH("S",Values!$T$25:$T$50,0),0),FALSE))</f>
        <v>0</v>
      </c>
      <c r="D544" t="b">
        <f>VLOOKUP(Charms!J544,Values!$A$11:$S$59,19,0)&gt;=Charms!L544</f>
        <v>0</v>
      </c>
      <c r="E544" t="e">
        <f>OR(ISBLANK(Charms!I544),(VLOOKUP(Values!$S$6,Castes!$B$2:$F$25,4,0)=Charms!I544))</f>
        <v>#N/A</v>
      </c>
      <c r="J544" t="e">
        <f t="shared" ca="1" si="41"/>
        <v>#N/A</v>
      </c>
      <c r="K544" s="18" t="e">
        <f t="shared" ca="1" si="40"/>
        <v>#N/A</v>
      </c>
      <c r="L544" t="e">
        <f ca="1">IF(J544,Charms!B544,"")</f>
        <v>#N/A</v>
      </c>
      <c r="M544" t="str">
        <f t="shared" ca="1" si="42"/>
        <v>-</v>
      </c>
      <c r="N544" s="18" t="str">
        <f t="shared" si="43"/>
        <v>K531:L585</v>
      </c>
      <c r="O544" t="str">
        <f t="shared" si="44"/>
        <v>A531:A544</v>
      </c>
    </row>
    <row r="545" spans="1:15">
      <c r="A545" s="18" t="str">
        <f>Charms!K545</f>
        <v>Linguistics</v>
      </c>
      <c r="B545" t="str">
        <f>Charms!B545</f>
        <v>Single Voice Kata</v>
      </c>
      <c r="C545" t="b">
        <f ca="1">OR(Values!$S$98&gt;=Charms!M545,IFERROR(Charms!J545=OFFSET(Values!$A$24,MATCH("S",Values!$T$25:$T$50,0),0),FALSE))</f>
        <v>0</v>
      </c>
      <c r="D545" t="b">
        <f>VLOOKUP(Charms!J545,Values!$A$11:$S$59,19,0)&gt;=Charms!L545</f>
        <v>0</v>
      </c>
      <c r="E545" t="e">
        <f>OR(ISBLANK(Charms!I545),(VLOOKUP(Values!$S$6,Castes!$B$2:$F$25,4,0)=Charms!I545))</f>
        <v>#N/A</v>
      </c>
      <c r="J545" t="e">
        <f t="shared" ca="1" si="41"/>
        <v>#N/A</v>
      </c>
      <c r="K545" s="18" t="e">
        <f t="shared" ca="1" si="40"/>
        <v>#N/A</v>
      </c>
      <c r="L545" t="e">
        <f ca="1">IF(J545,Charms!B545,"")</f>
        <v>#N/A</v>
      </c>
      <c r="M545" t="str">
        <f t="shared" ca="1" si="42"/>
        <v>-</v>
      </c>
      <c r="N545" s="18" t="str">
        <f t="shared" si="43"/>
        <v>K531:L585</v>
      </c>
      <c r="O545" t="str">
        <f t="shared" si="44"/>
        <v>A531:A545</v>
      </c>
    </row>
    <row r="546" spans="1:15">
      <c r="A546" s="18" t="str">
        <f>Charms!K546</f>
        <v>Linguistics</v>
      </c>
      <c r="B546" t="str">
        <f>Charms!B546</f>
        <v>Vanishing Immersion Style</v>
      </c>
      <c r="C546" t="b">
        <f ca="1">OR(Values!$S$98&gt;=Charms!M546,IFERROR(Charms!J546=OFFSET(Values!$A$24,MATCH("S",Values!$T$25:$T$50,0),0),FALSE))</f>
        <v>0</v>
      </c>
      <c r="D546" t="b">
        <f>VLOOKUP(Charms!J546,Values!$A$11:$S$59,19,0)&gt;=Charms!L546</f>
        <v>0</v>
      </c>
      <c r="E546" t="e">
        <f>OR(ISBLANK(Charms!I546),(VLOOKUP(Values!$S$6,Castes!$B$2:$F$25,4,0)=Charms!I546))</f>
        <v>#N/A</v>
      </c>
      <c r="J546" t="e">
        <f t="shared" ca="1" si="41"/>
        <v>#N/A</v>
      </c>
      <c r="K546" s="18" t="e">
        <f t="shared" ca="1" si="40"/>
        <v>#N/A</v>
      </c>
      <c r="L546" t="e">
        <f ca="1">IF(J546,Charms!B546,"")</f>
        <v>#N/A</v>
      </c>
      <c r="M546" t="str">
        <f t="shared" ca="1" si="42"/>
        <v>-</v>
      </c>
      <c r="N546" s="18" t="str">
        <f t="shared" si="43"/>
        <v>K531:L585</v>
      </c>
      <c r="O546" t="str">
        <f t="shared" si="44"/>
        <v>A531:A546</v>
      </c>
    </row>
    <row r="547" spans="1:15">
      <c r="A547" s="18" t="str">
        <f>Charms!K547</f>
        <v>Linguistics</v>
      </c>
      <c r="B547" t="str">
        <f>Charms!B547</f>
        <v>Discerning Savant's Eye</v>
      </c>
      <c r="C547" t="b">
        <f ca="1">OR(Values!$S$98&gt;=Charms!M547,IFERROR(Charms!J547=OFFSET(Values!$A$24,MATCH("S",Values!$T$25:$T$50,0),0),FALSE))</f>
        <v>0</v>
      </c>
      <c r="D547" t="b">
        <f>VLOOKUP(Charms!J547,Values!$A$11:$S$59,19,0)&gt;=Charms!L547</f>
        <v>0</v>
      </c>
      <c r="E547" t="e">
        <f>OR(ISBLANK(Charms!I547),(VLOOKUP(Values!$S$6,Castes!$B$2:$F$25,4,0)=Charms!I547))</f>
        <v>#N/A</v>
      </c>
      <c r="J547" t="e">
        <f t="shared" ca="1" si="41"/>
        <v>#N/A</v>
      </c>
      <c r="K547" s="18" t="e">
        <f t="shared" ca="1" si="40"/>
        <v>#N/A</v>
      </c>
      <c r="L547" t="e">
        <f ca="1">IF(J547,Charms!B547,"")</f>
        <v>#N/A</v>
      </c>
      <c r="M547" t="str">
        <f t="shared" ca="1" si="42"/>
        <v>-</v>
      </c>
      <c r="N547" s="18" t="str">
        <f t="shared" si="43"/>
        <v>K531:L585</v>
      </c>
      <c r="O547" t="str">
        <f t="shared" si="44"/>
        <v>A531:A547</v>
      </c>
    </row>
    <row r="548" spans="1:15">
      <c r="A548" s="18" t="str">
        <f>Charms!K548</f>
        <v>Linguistics</v>
      </c>
      <c r="B548" t="str">
        <f>Charms!B548</f>
        <v>Power-Snaring Image</v>
      </c>
      <c r="C548" t="b">
        <f ca="1">OR(Values!$S$98&gt;=Charms!M548,IFERROR(Charms!J548=OFFSET(Values!$A$24,MATCH("S",Values!$T$25:$T$50,0),0),FALSE))</f>
        <v>0</v>
      </c>
      <c r="D548" t="b">
        <f>VLOOKUP(Charms!J548,Values!$A$11:$S$59,19,0)&gt;=Charms!L548</f>
        <v>0</v>
      </c>
      <c r="E548" t="e">
        <f>OR(ISBLANK(Charms!I548),(VLOOKUP(Values!$S$6,Castes!$B$2:$F$25,4,0)=Charms!I548))</f>
        <v>#N/A</v>
      </c>
      <c r="J548" t="e">
        <f t="shared" ca="1" si="41"/>
        <v>#N/A</v>
      </c>
      <c r="K548" s="18" t="e">
        <f t="shared" ca="1" si="40"/>
        <v>#N/A</v>
      </c>
      <c r="L548" t="e">
        <f ca="1">IF(J548,Charms!B548,"")</f>
        <v>#N/A</v>
      </c>
      <c r="M548" t="str">
        <f t="shared" ca="1" si="42"/>
        <v>-</v>
      </c>
      <c r="N548" s="18" t="str">
        <f t="shared" si="43"/>
        <v>K531:L585</v>
      </c>
      <c r="O548" t="str">
        <f t="shared" si="44"/>
        <v>A531:A548</v>
      </c>
    </row>
    <row r="549" spans="1:15">
      <c r="A549" s="18" t="str">
        <f>Charms!K549</f>
        <v>Linguistics</v>
      </c>
      <c r="B549" t="str">
        <f>Charms!B549</f>
        <v>Flashing Quill Atemi</v>
      </c>
      <c r="C549" t="b">
        <f ca="1">OR(Values!$S$98&gt;=Charms!M549,IFERROR(Charms!J549=OFFSET(Values!$A$24,MATCH("S",Values!$T$25:$T$50,0),0),FALSE))</f>
        <v>0</v>
      </c>
      <c r="D549" t="b">
        <f>VLOOKUP(Charms!J549,Values!$A$11:$S$59,19,0)&gt;=Charms!L549</f>
        <v>0</v>
      </c>
      <c r="E549" t="e">
        <f>OR(ISBLANK(Charms!I549),(VLOOKUP(Values!$S$6,Castes!$B$2:$F$25,4,0)=Charms!I549))</f>
        <v>#N/A</v>
      </c>
      <c r="J549" t="e">
        <f t="shared" ca="1" si="41"/>
        <v>#N/A</v>
      </c>
      <c r="K549" s="18" t="e">
        <f t="shared" ca="1" si="40"/>
        <v>#N/A</v>
      </c>
      <c r="L549" t="e">
        <f ca="1">IF(J549,Charms!B549,"")</f>
        <v>#N/A</v>
      </c>
      <c r="M549" t="str">
        <f t="shared" ca="1" si="42"/>
        <v>-</v>
      </c>
      <c r="N549" s="18" t="str">
        <f t="shared" si="43"/>
        <v>K531:L585</v>
      </c>
      <c r="O549" t="str">
        <f t="shared" si="44"/>
        <v>A531:A549</v>
      </c>
    </row>
    <row r="550" spans="1:15">
      <c r="A550" s="18" t="str">
        <f>Charms!K550</f>
        <v>Linguistics</v>
      </c>
      <c r="B550" t="str">
        <f>Charms!B550</f>
        <v>Mind-Swallowing Missive</v>
      </c>
      <c r="C550" t="b">
        <f ca="1">OR(Values!$S$98&gt;=Charms!M550,IFERROR(Charms!J550=OFFSET(Values!$A$24,MATCH("S",Values!$T$25:$T$50,0),0),FALSE))</f>
        <v>0</v>
      </c>
      <c r="D550" t="b">
        <f>VLOOKUP(Charms!J550,Values!$A$11:$S$59,19,0)&gt;=Charms!L550</f>
        <v>0</v>
      </c>
      <c r="E550" t="e">
        <f>OR(ISBLANK(Charms!I550),(VLOOKUP(Values!$S$6,Castes!$B$2:$F$25,4,0)=Charms!I550))</f>
        <v>#N/A</v>
      </c>
      <c r="J550" t="e">
        <f t="shared" ca="1" si="41"/>
        <v>#N/A</v>
      </c>
      <c r="K550" s="18" t="e">
        <f t="shared" ca="1" si="40"/>
        <v>#N/A</v>
      </c>
      <c r="L550" t="e">
        <f ca="1">IF(J550,Charms!B550,"")</f>
        <v>#N/A</v>
      </c>
      <c r="M550" t="str">
        <f t="shared" ca="1" si="42"/>
        <v>-</v>
      </c>
      <c r="N550" s="18" t="str">
        <f t="shared" si="43"/>
        <v>K531:L585</v>
      </c>
      <c r="O550" t="str">
        <f t="shared" si="44"/>
        <v>A531:A550</v>
      </c>
    </row>
    <row r="551" spans="1:15">
      <c r="A551" s="18" t="str">
        <f>Charms!K551</f>
        <v>Linguistics</v>
      </c>
      <c r="B551" t="str">
        <f>Charms!B551</f>
        <v>Cup Boils Over</v>
      </c>
      <c r="C551" t="b">
        <f ca="1">OR(Values!$S$98&gt;=Charms!M551,IFERROR(Charms!J551=OFFSET(Values!$A$24,MATCH("S",Values!$T$25:$T$50,0),0),FALSE))</f>
        <v>0</v>
      </c>
      <c r="D551" t="b">
        <f>VLOOKUP(Charms!J551,Values!$A$11:$S$59,19,0)&gt;=Charms!L551</f>
        <v>0</v>
      </c>
      <c r="E551" t="e">
        <f>OR(ISBLANK(Charms!I551),(VLOOKUP(Values!$S$6,Castes!$B$2:$F$25,4,0)=Charms!I551))</f>
        <v>#N/A</v>
      </c>
      <c r="J551" t="e">
        <f t="shared" ca="1" si="41"/>
        <v>#N/A</v>
      </c>
      <c r="K551" s="18" t="e">
        <f t="shared" ca="1" si="40"/>
        <v>#N/A</v>
      </c>
      <c r="L551" t="e">
        <f ca="1">IF(J551,Charms!B551,"")</f>
        <v>#N/A</v>
      </c>
      <c r="M551" t="str">
        <f t="shared" ca="1" si="42"/>
        <v>-</v>
      </c>
      <c r="N551" s="18" t="str">
        <f t="shared" si="43"/>
        <v>K531:L585</v>
      </c>
      <c r="O551" t="str">
        <f t="shared" si="44"/>
        <v>A531:A551</v>
      </c>
    </row>
    <row r="552" spans="1:15">
      <c r="A552" s="18" t="str">
        <f>Charms!K552</f>
        <v>Linguistics</v>
      </c>
      <c r="B552" t="str">
        <f>Charms!B552</f>
        <v>Twisted Words Technique</v>
      </c>
      <c r="C552" t="b">
        <f ca="1">OR(Values!$S$98&gt;=Charms!M552,IFERROR(Charms!J552=OFFSET(Values!$A$24,MATCH("S",Values!$T$25:$T$50,0),0),FALSE))</f>
        <v>0</v>
      </c>
      <c r="D552" t="b">
        <f>VLOOKUP(Charms!J552,Values!$A$11:$S$59,19,0)&gt;=Charms!L552</f>
        <v>0</v>
      </c>
      <c r="E552" t="e">
        <f>OR(ISBLANK(Charms!I552),(VLOOKUP(Values!$S$6,Castes!$B$2:$F$25,4,0)=Charms!I552))</f>
        <v>#N/A</v>
      </c>
      <c r="J552" t="e">
        <f t="shared" ca="1" si="41"/>
        <v>#N/A</v>
      </c>
      <c r="K552" s="18" t="e">
        <f t="shared" ca="1" si="40"/>
        <v>#N/A</v>
      </c>
      <c r="L552" t="e">
        <f ca="1">IF(J552,Charms!B552,"")</f>
        <v>#N/A</v>
      </c>
      <c r="M552" t="str">
        <f t="shared" ca="1" si="42"/>
        <v>-</v>
      </c>
      <c r="N552" s="18" t="str">
        <f t="shared" si="43"/>
        <v>K531:L585</v>
      </c>
      <c r="O552" t="str">
        <f t="shared" si="44"/>
        <v>A531:A552</v>
      </c>
    </row>
    <row r="553" spans="1:15">
      <c r="A553" s="18" t="str">
        <f>Charms!K553</f>
        <v>Linguistics</v>
      </c>
      <c r="B553" t="str">
        <f>Charms!B553</f>
        <v>Excellent Emissary's Tongue</v>
      </c>
      <c r="C553" t="b">
        <f ca="1">OR(Values!$S$98&gt;=Charms!M553,IFERROR(Charms!J553=OFFSET(Values!$A$24,MATCH("S",Values!$T$25:$T$50,0),0),FALSE))</f>
        <v>0</v>
      </c>
      <c r="D553" t="b">
        <f>VLOOKUP(Charms!J553,Values!$A$11:$S$59,19,0)&gt;=Charms!L553</f>
        <v>0</v>
      </c>
      <c r="E553" t="e">
        <f>OR(ISBLANK(Charms!I553),(VLOOKUP(Values!$S$6,Castes!$B$2:$F$25,4,0)=Charms!I553))</f>
        <v>#N/A</v>
      </c>
      <c r="J553" t="e">
        <f t="shared" ca="1" si="41"/>
        <v>#N/A</v>
      </c>
      <c r="K553" s="18" t="e">
        <f t="shared" ca="1" si="40"/>
        <v>#N/A</v>
      </c>
      <c r="L553" t="e">
        <f ca="1">IF(J553,Charms!B553,"")</f>
        <v>#N/A</v>
      </c>
      <c r="M553" t="str">
        <f t="shared" ca="1" si="42"/>
        <v>-</v>
      </c>
      <c r="N553" s="18" t="str">
        <f t="shared" si="43"/>
        <v>K531:L585</v>
      </c>
      <c r="O553" t="str">
        <f t="shared" si="44"/>
        <v>A531:A553</v>
      </c>
    </row>
    <row r="554" spans="1:15">
      <c r="A554" s="18" t="str">
        <f>Charms!K554</f>
        <v>Linguistics</v>
      </c>
      <c r="B554" t="str">
        <f>Charms!B554</f>
        <v>Perfect Recollection Discipline</v>
      </c>
      <c r="C554" t="b">
        <f ca="1">OR(Values!$S$98&gt;=Charms!M554,IFERROR(Charms!J554=OFFSET(Values!$A$24,MATCH("S",Values!$T$25:$T$50,0),0),FALSE))</f>
        <v>0</v>
      </c>
      <c r="D554" t="b">
        <f>VLOOKUP(Charms!J554,Values!$A$11:$S$59,19,0)&gt;=Charms!L554</f>
        <v>0</v>
      </c>
      <c r="E554" t="e">
        <f>OR(ISBLANK(Charms!I554),(VLOOKUP(Values!$S$6,Castes!$B$2:$F$25,4,0)=Charms!I554))</f>
        <v>#N/A</v>
      </c>
      <c r="J554" t="e">
        <f t="shared" ca="1" si="41"/>
        <v>#N/A</v>
      </c>
      <c r="K554" s="18" t="e">
        <f t="shared" ca="1" si="40"/>
        <v>#N/A</v>
      </c>
      <c r="L554" t="e">
        <f ca="1">IF(J554,Charms!B554,"")</f>
        <v>#N/A</v>
      </c>
      <c r="M554" t="str">
        <f t="shared" ca="1" si="42"/>
        <v>-</v>
      </c>
      <c r="N554" s="18" t="str">
        <f t="shared" si="43"/>
        <v>K531:L585</v>
      </c>
      <c r="O554" t="str">
        <f t="shared" si="44"/>
        <v>A531:A554</v>
      </c>
    </row>
    <row r="555" spans="1:15">
      <c r="A555" s="18" t="str">
        <f>Charms!K555</f>
        <v>Linguistics</v>
      </c>
      <c r="B555" t="str">
        <f>Charms!B555</f>
        <v>Swift Sage's Eye</v>
      </c>
      <c r="C555" t="b">
        <f ca="1">OR(Values!$S$98&gt;=Charms!M555,IFERROR(Charms!J555=OFFSET(Values!$A$24,MATCH("S",Values!$T$25:$T$50,0),0),FALSE))</f>
        <v>0</v>
      </c>
      <c r="D555" t="b">
        <f>VLOOKUP(Charms!J555,Values!$A$11:$S$59,19,0)&gt;=Charms!L555</f>
        <v>0</v>
      </c>
      <c r="E555" t="e">
        <f>OR(ISBLANK(Charms!I555),(VLOOKUP(Values!$S$6,Castes!$B$2:$F$25,4,0)=Charms!I555))</f>
        <v>#N/A</v>
      </c>
      <c r="J555" t="e">
        <f t="shared" ca="1" si="41"/>
        <v>#N/A</v>
      </c>
      <c r="K555" s="18" t="e">
        <f t="shared" ca="1" si="40"/>
        <v>#N/A</v>
      </c>
      <c r="L555" t="e">
        <f ca="1">IF(J555,Charms!B555,"")</f>
        <v>#N/A</v>
      </c>
      <c r="M555" t="str">
        <f t="shared" ca="1" si="42"/>
        <v>-</v>
      </c>
      <c r="N555" s="18" t="str">
        <f t="shared" si="43"/>
        <v>K531:L585</v>
      </c>
      <c r="O555" t="str">
        <f t="shared" si="44"/>
        <v>A531:A555</v>
      </c>
    </row>
    <row r="556" spans="1:15">
      <c r="A556" s="18" t="str">
        <f>Charms!K556</f>
        <v>Linguistics</v>
      </c>
      <c r="B556" t="str">
        <f>Charms!B556</f>
        <v>Mind-Scribing Method</v>
      </c>
      <c r="C556" t="b">
        <f ca="1">OR(Values!$S$98&gt;=Charms!M556,IFERROR(Charms!J556=OFFSET(Values!$A$24,MATCH("S",Values!$T$25:$T$50,0),0),FALSE))</f>
        <v>0</v>
      </c>
      <c r="D556" t="b">
        <f>VLOOKUP(Charms!J556,Values!$A$11:$S$59,19,0)&gt;=Charms!L556</f>
        <v>0</v>
      </c>
      <c r="E556" t="e">
        <f>OR(ISBLANK(Charms!I556),(VLOOKUP(Values!$S$6,Castes!$B$2:$F$25,4,0)=Charms!I556))</f>
        <v>#N/A</v>
      </c>
      <c r="J556" t="e">
        <f t="shared" ca="1" si="41"/>
        <v>#N/A</v>
      </c>
      <c r="K556" s="18" t="e">
        <f t="shared" ca="1" si="40"/>
        <v>#N/A</v>
      </c>
      <c r="L556" t="e">
        <f ca="1">IF(J556,Charms!B556,"")</f>
        <v>#N/A</v>
      </c>
      <c r="M556" t="str">
        <f t="shared" ca="1" si="42"/>
        <v>-</v>
      </c>
      <c r="N556" s="18" t="str">
        <f t="shared" si="43"/>
        <v>K531:L585</v>
      </c>
      <c r="O556" t="str">
        <f t="shared" si="44"/>
        <v>A531:A556</v>
      </c>
    </row>
    <row r="557" spans="1:15">
      <c r="A557" s="18" t="str">
        <f>Charms!K557</f>
        <v>Linguistics</v>
      </c>
      <c r="B557" t="str">
        <f>Charms!B557</f>
        <v>Heaven-Drawing Discipline</v>
      </c>
      <c r="C557" t="b">
        <f ca="1">OR(Values!$S$98&gt;=Charms!M557,IFERROR(Charms!J557=OFFSET(Values!$A$24,MATCH("S",Values!$T$25:$T$50,0),0),FALSE))</f>
        <v>0</v>
      </c>
      <c r="D557" t="b">
        <f>VLOOKUP(Charms!J557,Values!$A$11:$S$59,19,0)&gt;=Charms!L557</f>
        <v>0</v>
      </c>
      <c r="E557" t="e">
        <f>OR(ISBLANK(Charms!I557),(VLOOKUP(Values!$S$6,Castes!$B$2:$F$25,4,0)=Charms!I557))</f>
        <v>#N/A</v>
      </c>
      <c r="J557" t="e">
        <f t="shared" ca="1" si="41"/>
        <v>#N/A</v>
      </c>
      <c r="K557" s="18" t="e">
        <f t="shared" ca="1" si="40"/>
        <v>#N/A</v>
      </c>
      <c r="L557" t="e">
        <f ca="1">IF(J557,Charms!B557,"")</f>
        <v>#N/A</v>
      </c>
      <c r="M557" t="str">
        <f t="shared" ca="1" si="42"/>
        <v>-</v>
      </c>
      <c r="N557" s="18" t="str">
        <f t="shared" si="43"/>
        <v>K531:L585</v>
      </c>
      <c r="O557" t="str">
        <f t="shared" si="44"/>
        <v>A531:A557</v>
      </c>
    </row>
    <row r="558" spans="1:15">
      <c r="A558" s="18" t="str">
        <f>Charms!K558</f>
        <v>Linguistics</v>
      </c>
      <c r="B558" t="str">
        <f>Charms!B558</f>
        <v>Perfect Celestial Author</v>
      </c>
      <c r="C558" t="b">
        <f ca="1">OR(Values!$S$98&gt;=Charms!M558,IFERROR(Charms!J558=OFFSET(Values!$A$24,MATCH("S",Values!$T$25:$T$50,0),0),FALSE))</f>
        <v>0</v>
      </c>
      <c r="D558" t="b">
        <f>VLOOKUP(Charms!J558,Values!$A$11:$S$59,19,0)&gt;=Charms!L558</f>
        <v>0</v>
      </c>
      <c r="E558" t="e">
        <f>OR(ISBLANK(Charms!I558),(VLOOKUP(Values!$S$6,Castes!$B$2:$F$25,4,0)=Charms!I558))</f>
        <v>#N/A</v>
      </c>
      <c r="J558" t="e">
        <f t="shared" ca="1" si="41"/>
        <v>#N/A</v>
      </c>
      <c r="K558" s="18" t="e">
        <f t="shared" ca="1" si="40"/>
        <v>#N/A</v>
      </c>
      <c r="L558" t="e">
        <f ca="1">IF(J558,Charms!B558,"")</f>
        <v>#N/A</v>
      </c>
      <c r="M558" t="str">
        <f t="shared" ca="1" si="42"/>
        <v>-</v>
      </c>
      <c r="N558" s="18" t="str">
        <f t="shared" si="43"/>
        <v>K531:L585</v>
      </c>
      <c r="O558" t="str">
        <f t="shared" si="44"/>
        <v>A531:A558</v>
      </c>
    </row>
    <row r="559" spans="1:15">
      <c r="A559" s="18" t="str">
        <f>Charms!K559</f>
        <v>Linguistics</v>
      </c>
      <c r="B559" t="str">
        <f>Charms!B559</f>
        <v>Unbreakable Fascination Method</v>
      </c>
      <c r="C559" t="b">
        <f ca="1">OR(Values!$S$98&gt;=Charms!M559,IFERROR(Charms!J559=OFFSET(Values!$A$24,MATCH("S",Values!$T$25:$T$50,0),0),FALSE))</f>
        <v>0</v>
      </c>
      <c r="D559" t="b">
        <f>VLOOKUP(Charms!J559,Values!$A$11:$S$59,19,0)&gt;=Charms!L559</f>
        <v>0</v>
      </c>
      <c r="E559" t="e">
        <f>OR(ISBLANK(Charms!I559),(VLOOKUP(Values!$S$6,Castes!$B$2:$F$25,4,0)=Charms!I559))</f>
        <v>#N/A</v>
      </c>
      <c r="J559" t="e">
        <f t="shared" ca="1" si="41"/>
        <v>#N/A</v>
      </c>
      <c r="K559" s="18" t="e">
        <f t="shared" ca="1" si="40"/>
        <v>#N/A</v>
      </c>
      <c r="L559" t="e">
        <f ca="1">IF(J559,Charms!B559,"")</f>
        <v>#N/A</v>
      </c>
      <c r="M559" t="str">
        <f t="shared" ca="1" si="42"/>
        <v>-</v>
      </c>
      <c r="N559" s="18" t="str">
        <f t="shared" si="43"/>
        <v>K531:L585</v>
      </c>
      <c r="O559" t="str">
        <f t="shared" si="44"/>
        <v>A531:A559</v>
      </c>
    </row>
    <row r="560" spans="1:15">
      <c r="A560" s="18" t="str">
        <f>Charms!K560</f>
        <v>Linguistics</v>
      </c>
      <c r="B560" t="str">
        <f>Charms!B560</f>
        <v>Soul-Drawing Pattern</v>
      </c>
      <c r="C560" t="b">
        <f ca="1">OR(Values!$S$98&gt;=Charms!M560,IFERROR(Charms!J560=OFFSET(Values!$A$24,MATCH("S",Values!$T$25:$T$50,0),0),FALSE))</f>
        <v>0</v>
      </c>
      <c r="D560" t="b">
        <f>VLOOKUP(Charms!J560,Values!$A$11:$S$59,19,0)&gt;=Charms!L560</f>
        <v>0</v>
      </c>
      <c r="E560" t="e">
        <f>OR(ISBLANK(Charms!I560),(VLOOKUP(Values!$S$6,Castes!$B$2:$F$25,4,0)=Charms!I560))</f>
        <v>#N/A</v>
      </c>
      <c r="J560" t="e">
        <f t="shared" ca="1" si="41"/>
        <v>#N/A</v>
      </c>
      <c r="K560" s="18" t="e">
        <f t="shared" ca="1" si="40"/>
        <v>#N/A</v>
      </c>
      <c r="L560" t="e">
        <f ca="1">IF(J560,Charms!B560,"")</f>
        <v>#N/A</v>
      </c>
      <c r="M560" t="str">
        <f t="shared" ca="1" si="42"/>
        <v>-</v>
      </c>
      <c r="N560" s="18" t="str">
        <f t="shared" si="43"/>
        <v>K531:L585</v>
      </c>
      <c r="O560" t="str">
        <f t="shared" si="44"/>
        <v>A531:A560</v>
      </c>
    </row>
    <row r="561" spans="1:15">
      <c r="A561" s="18" t="str">
        <f>Charms!K561</f>
        <v>Linguistics</v>
      </c>
      <c r="B561" t="str">
        <f>Charms!B561</f>
        <v>Indelible Spoken Script</v>
      </c>
      <c r="C561" t="b">
        <f ca="1">OR(Values!$S$98&gt;=Charms!M561,IFERROR(Charms!J561=OFFSET(Values!$A$24,MATCH("S",Values!$T$25:$T$50,0),0),FALSE))</f>
        <v>0</v>
      </c>
      <c r="D561" t="b">
        <f>VLOOKUP(Charms!J561,Values!$A$11:$S$59,19,0)&gt;=Charms!L561</f>
        <v>0</v>
      </c>
      <c r="E561" t="e">
        <f>OR(ISBLANK(Charms!I561),(VLOOKUP(Values!$S$6,Castes!$B$2:$F$25,4,0)=Charms!I561))</f>
        <v>#N/A</v>
      </c>
      <c r="J561" t="e">
        <f t="shared" ca="1" si="41"/>
        <v>#N/A</v>
      </c>
      <c r="K561" s="18" t="e">
        <f t="shared" ca="1" si="40"/>
        <v>#N/A</v>
      </c>
      <c r="L561" t="e">
        <f ca="1">IF(J561,Charms!B561,"")</f>
        <v>#N/A</v>
      </c>
      <c r="M561" t="str">
        <f t="shared" ca="1" si="42"/>
        <v>-</v>
      </c>
      <c r="N561" s="18" t="str">
        <f t="shared" si="43"/>
        <v>K531:L585</v>
      </c>
      <c r="O561" t="str">
        <f t="shared" si="44"/>
        <v>A531:A561</v>
      </c>
    </row>
    <row r="562" spans="1:15">
      <c r="A562" s="18" t="str">
        <f>Charms!K562</f>
        <v>Linguistics</v>
      </c>
      <c r="B562" t="str">
        <f>Charms!B562</f>
        <v>Lightning Quill Mastery</v>
      </c>
      <c r="C562" t="b">
        <f ca="1">OR(Values!$S$98&gt;=Charms!M562,IFERROR(Charms!J562=OFFSET(Values!$A$24,MATCH("S",Values!$T$25:$T$50,0),0),FALSE))</f>
        <v>1</v>
      </c>
      <c r="D562" t="b">
        <f>VLOOKUP(Charms!J562,Values!$A$11:$S$59,19,0)&gt;=Charms!L562</f>
        <v>0</v>
      </c>
      <c r="E562" t="e">
        <f>OR(ISBLANK(Charms!I562),(VLOOKUP(Values!$S$6,Castes!$B$2:$F$25,4,0)=Charms!I562))</f>
        <v>#N/A</v>
      </c>
      <c r="J562" t="e">
        <f t="shared" ca="1" si="41"/>
        <v>#N/A</v>
      </c>
      <c r="K562" s="18" t="e">
        <f t="shared" ca="1" si="40"/>
        <v>#N/A</v>
      </c>
      <c r="L562" t="e">
        <f ca="1">IF(J562,Charms!B562,"")</f>
        <v>#N/A</v>
      </c>
      <c r="M562" t="str">
        <f t="shared" ca="1" si="42"/>
        <v>-</v>
      </c>
      <c r="N562" s="18" t="str">
        <f t="shared" si="43"/>
        <v>K531:L585</v>
      </c>
      <c r="O562" t="str">
        <f t="shared" si="44"/>
        <v>A531:A562</v>
      </c>
    </row>
    <row r="563" spans="1:15">
      <c r="A563" s="18" t="str">
        <f>Charms!K563</f>
        <v>Linguistics</v>
      </c>
      <c r="B563" t="str">
        <f>Charms!B563</f>
        <v>Wind-Carried Words Technique</v>
      </c>
      <c r="C563" t="b">
        <f ca="1">OR(Values!$S$98&gt;=Charms!M563,IFERROR(Charms!J563=OFFSET(Values!$A$24,MATCH("S",Values!$T$25:$T$50,0),0),FALSE))</f>
        <v>1</v>
      </c>
      <c r="D563" t="b">
        <f>VLOOKUP(Charms!J563,Values!$A$11:$S$59,19,0)&gt;=Charms!L563</f>
        <v>0</v>
      </c>
      <c r="E563" t="e">
        <f>OR(ISBLANK(Charms!I563),(VLOOKUP(Values!$S$6,Castes!$B$2:$F$25,4,0)=Charms!I563))</f>
        <v>#N/A</v>
      </c>
      <c r="J563" t="e">
        <f t="shared" ca="1" si="41"/>
        <v>#N/A</v>
      </c>
      <c r="K563" s="18" t="e">
        <f t="shared" ca="1" si="40"/>
        <v>#N/A</v>
      </c>
      <c r="L563" t="e">
        <f ca="1">IF(J563,Charms!B563,"")</f>
        <v>#N/A</v>
      </c>
      <c r="M563" t="str">
        <f t="shared" ca="1" si="42"/>
        <v>-</v>
      </c>
      <c r="N563" s="18" t="str">
        <f t="shared" si="43"/>
        <v>K531:L585</v>
      </c>
      <c r="O563" t="str">
        <f t="shared" si="44"/>
        <v>A531:A563</v>
      </c>
    </row>
    <row r="564" spans="1:15">
      <c r="A564" s="18" t="str">
        <f>Charms!K564</f>
        <v>Linguistics</v>
      </c>
      <c r="B564" t="str">
        <f>Charms!B564</f>
        <v>Cryptic Essence Cipher</v>
      </c>
      <c r="C564" t="b">
        <f ca="1">OR(Values!$S$98&gt;=Charms!M564,IFERROR(Charms!J564=OFFSET(Values!$A$24,MATCH("S",Values!$T$25:$T$50,0),0),FALSE))</f>
        <v>1</v>
      </c>
      <c r="D564" t="b">
        <f>VLOOKUP(Charms!J564,Values!$A$11:$S$59,19,0)&gt;=Charms!L564</f>
        <v>0</v>
      </c>
      <c r="E564" t="e">
        <f>OR(ISBLANK(Charms!I564),(VLOOKUP(Values!$S$6,Castes!$B$2:$F$25,4,0)=Charms!I564))</f>
        <v>#N/A</v>
      </c>
      <c r="J564" t="e">
        <f t="shared" ca="1" si="41"/>
        <v>#N/A</v>
      </c>
      <c r="K564" s="18" t="e">
        <f t="shared" ca="1" si="40"/>
        <v>#N/A</v>
      </c>
      <c r="L564" t="e">
        <f ca="1">IF(J564,Charms!B564,"")</f>
        <v>#N/A</v>
      </c>
      <c r="M564" t="str">
        <f t="shared" ca="1" si="42"/>
        <v>-</v>
      </c>
      <c r="N564" s="18" t="str">
        <f t="shared" si="43"/>
        <v>K531:L585</v>
      </c>
      <c r="O564" t="str">
        <f t="shared" si="44"/>
        <v>A531:A564</v>
      </c>
    </row>
    <row r="565" spans="1:15">
      <c r="A565" s="18" t="str">
        <f>Charms!K565</f>
        <v>Linguistics</v>
      </c>
      <c r="B565" t="str">
        <f>Charms!B565</f>
        <v>Signature-Stealing Calligraphy</v>
      </c>
      <c r="C565" t="b">
        <f ca="1">OR(Values!$S$98&gt;=Charms!M565,IFERROR(Charms!J565=OFFSET(Values!$A$24,MATCH("S",Values!$T$25:$T$50,0),0),FALSE))</f>
        <v>1</v>
      </c>
      <c r="D565" t="b">
        <f>VLOOKUP(Charms!J565,Values!$A$11:$S$59,19,0)&gt;=Charms!L565</f>
        <v>0</v>
      </c>
      <c r="E565" t="e">
        <f>OR(ISBLANK(Charms!I565),(VLOOKUP(Values!$S$6,Castes!$B$2:$F$25,4,0)=Charms!I565))</f>
        <v>#N/A</v>
      </c>
      <c r="J565" t="e">
        <f t="shared" ca="1" si="41"/>
        <v>#N/A</v>
      </c>
      <c r="K565" s="18" t="e">
        <f t="shared" ca="1" si="40"/>
        <v>#N/A</v>
      </c>
      <c r="L565" t="e">
        <f ca="1">IF(J565,Charms!B565,"")</f>
        <v>#N/A</v>
      </c>
      <c r="M565" t="str">
        <f t="shared" ca="1" si="42"/>
        <v>-</v>
      </c>
      <c r="N565" s="18" t="str">
        <f t="shared" si="43"/>
        <v>K531:L585</v>
      </c>
      <c r="O565" t="str">
        <f t="shared" si="44"/>
        <v>A531:A565</v>
      </c>
    </row>
    <row r="566" spans="1:15">
      <c r="A566" s="18" t="str">
        <f>Charms!K566</f>
        <v>Linguistics</v>
      </c>
      <c r="B566" t="str">
        <f>Charms!B566</f>
        <v>Tenacious Dragon Scholar</v>
      </c>
      <c r="C566" t="b">
        <f ca="1">OR(Values!$S$98&gt;=Charms!M566,IFERROR(Charms!J566=OFFSET(Values!$A$24,MATCH("S",Values!$T$25:$T$50,0),0),FALSE))</f>
        <v>1</v>
      </c>
      <c r="D566" t="b">
        <f>VLOOKUP(Charms!J566,Values!$A$11:$S$59,19,0)&gt;=Charms!L566</f>
        <v>0</v>
      </c>
      <c r="E566" t="e">
        <f>OR(ISBLANK(Charms!I566),(VLOOKUP(Values!$S$6,Castes!$B$2:$F$25,4,0)=Charms!I566))</f>
        <v>#N/A</v>
      </c>
      <c r="J566" t="e">
        <f t="shared" ca="1" si="41"/>
        <v>#N/A</v>
      </c>
      <c r="K566" s="18" t="e">
        <f t="shared" ca="1" si="40"/>
        <v>#N/A</v>
      </c>
      <c r="L566" t="e">
        <f ca="1">IF(J566,Charms!B566,"")</f>
        <v>#N/A</v>
      </c>
      <c r="M566" t="str">
        <f t="shared" ca="1" si="42"/>
        <v>-</v>
      </c>
      <c r="N566" s="18" t="str">
        <f t="shared" si="43"/>
        <v>K531:L585</v>
      </c>
      <c r="O566" t="str">
        <f t="shared" si="44"/>
        <v>A531:A566</v>
      </c>
    </row>
    <row r="567" spans="1:15">
      <c r="A567" s="18" t="str">
        <f>Charms!K567</f>
        <v>Linguistics</v>
      </c>
      <c r="B567" t="str">
        <f>Charms!B567</f>
        <v>Fervor-Inciting Brushstrokes</v>
      </c>
      <c r="C567" t="b">
        <f ca="1">OR(Values!$S$98&gt;=Charms!M567,IFERROR(Charms!J567=OFFSET(Values!$A$24,MATCH("S",Values!$T$25:$T$50,0),0),FALSE))</f>
        <v>1</v>
      </c>
      <c r="D567" t="b">
        <f>VLOOKUP(Charms!J567,Values!$A$11:$S$59,19,0)&gt;=Charms!L567</f>
        <v>0</v>
      </c>
      <c r="E567" t="e">
        <f>OR(ISBLANK(Charms!I567),(VLOOKUP(Values!$S$6,Castes!$B$2:$F$25,4,0)=Charms!I567))</f>
        <v>#N/A</v>
      </c>
      <c r="J567" t="e">
        <f t="shared" ca="1" si="41"/>
        <v>#N/A</v>
      </c>
      <c r="K567" s="18" t="e">
        <f t="shared" ca="1" si="40"/>
        <v>#N/A</v>
      </c>
      <c r="L567" t="e">
        <f ca="1">IF(J567,Charms!B567,"")</f>
        <v>#N/A</v>
      </c>
      <c r="M567" t="str">
        <f t="shared" ca="1" si="42"/>
        <v>-</v>
      </c>
      <c r="N567" s="18" t="str">
        <f t="shared" si="43"/>
        <v>K531:L585</v>
      </c>
      <c r="O567" t="str">
        <f t="shared" si="44"/>
        <v>A531:A567</v>
      </c>
    </row>
    <row r="568" spans="1:15">
      <c r="A568" s="18" t="str">
        <f>Charms!K568</f>
        <v>Linguistics</v>
      </c>
      <c r="B568" t="str">
        <f>Charms!B568</f>
        <v>Language-Learning Ritual</v>
      </c>
      <c r="C568" t="b">
        <f ca="1">OR(Values!$S$98&gt;=Charms!M568,IFERROR(Charms!J568=OFFSET(Values!$A$24,MATCH("S",Values!$T$25:$T$50,0),0),FALSE))</f>
        <v>1</v>
      </c>
      <c r="D568" t="b">
        <f>VLOOKUP(Charms!J568,Values!$A$11:$S$59,19,0)&gt;=Charms!L568</f>
        <v>0</v>
      </c>
      <c r="E568" t="e">
        <f>OR(ISBLANK(Charms!I568),(VLOOKUP(Values!$S$6,Castes!$B$2:$F$25,4,0)=Charms!I568))</f>
        <v>#N/A</v>
      </c>
      <c r="J568" t="e">
        <f t="shared" ca="1" si="41"/>
        <v>#N/A</v>
      </c>
      <c r="K568" s="18" t="e">
        <f t="shared" ca="1" si="40"/>
        <v>#N/A</v>
      </c>
      <c r="L568" t="e">
        <f ca="1">IF(J568,Charms!B568,"")</f>
        <v>#N/A</v>
      </c>
      <c r="M568" t="str">
        <f t="shared" ca="1" si="42"/>
        <v>-</v>
      </c>
      <c r="N568" s="18" t="str">
        <f t="shared" si="43"/>
        <v>K531:L585</v>
      </c>
      <c r="O568" t="str">
        <f t="shared" si="44"/>
        <v>A531:A568</v>
      </c>
    </row>
    <row r="569" spans="1:15">
      <c r="A569" s="18" t="str">
        <f>Charms!K569</f>
        <v>Linguistics</v>
      </c>
      <c r="B569" t="str">
        <f>Charms!B569</f>
        <v>Voices on the Wind</v>
      </c>
      <c r="C569" t="b">
        <f ca="1">OR(Values!$S$98&gt;=Charms!M569,IFERROR(Charms!J569=OFFSET(Values!$A$24,MATCH("S",Values!$T$25:$T$50,0),0),FALSE))</f>
        <v>0</v>
      </c>
      <c r="D569" t="b">
        <f>VLOOKUP(Charms!J569,Values!$A$11:$S$59,19,0)&gt;=Charms!L569</f>
        <v>0</v>
      </c>
      <c r="E569" t="e">
        <f>OR(ISBLANK(Charms!I569),(VLOOKUP(Values!$S$6,Castes!$B$2:$F$25,4,0)=Charms!I569))</f>
        <v>#N/A</v>
      </c>
      <c r="J569" t="e">
        <f t="shared" ca="1" si="41"/>
        <v>#N/A</v>
      </c>
      <c r="K569" s="18" t="e">
        <f t="shared" ca="1" si="40"/>
        <v>#N/A</v>
      </c>
      <c r="L569" t="e">
        <f ca="1">IF(J569,Charms!B569,"")</f>
        <v>#N/A</v>
      </c>
      <c r="M569" t="str">
        <f t="shared" ca="1" si="42"/>
        <v>-</v>
      </c>
      <c r="N569" s="18" t="str">
        <f t="shared" si="43"/>
        <v>K531:L585</v>
      </c>
      <c r="O569" t="str">
        <f t="shared" si="44"/>
        <v>A531:A569</v>
      </c>
    </row>
    <row r="570" spans="1:15">
      <c r="A570" s="18" t="str">
        <f>Charms!K570</f>
        <v>Linguistics</v>
      </c>
      <c r="B570" t="str">
        <f>Charms!B570</f>
        <v>Enigma-Reading Eye</v>
      </c>
      <c r="C570" t="b">
        <f ca="1">OR(Values!$S$98&gt;=Charms!M570,IFERROR(Charms!J570=OFFSET(Values!$A$24,MATCH("S",Values!$T$25:$T$50,0),0),FALSE))</f>
        <v>0</v>
      </c>
      <c r="D570" t="b">
        <f>VLOOKUP(Charms!J570,Values!$A$11:$S$59,19,0)&gt;=Charms!L570</f>
        <v>0</v>
      </c>
      <c r="E570" t="e">
        <f>OR(ISBLANK(Charms!I570),(VLOOKUP(Values!$S$6,Castes!$B$2:$F$25,4,0)=Charms!I570))</f>
        <v>#N/A</v>
      </c>
      <c r="J570" t="e">
        <f t="shared" ca="1" si="41"/>
        <v>#N/A</v>
      </c>
      <c r="K570" s="18" t="e">
        <f t="shared" ca="1" si="40"/>
        <v>#N/A</v>
      </c>
      <c r="L570" t="e">
        <f ca="1">IF(J570,Charms!B570,"")</f>
        <v>#N/A</v>
      </c>
      <c r="M570" t="str">
        <f t="shared" ca="1" si="42"/>
        <v>-</v>
      </c>
      <c r="N570" s="18" t="str">
        <f t="shared" si="43"/>
        <v>K531:L585</v>
      </c>
      <c r="O570" t="str">
        <f t="shared" si="44"/>
        <v>A531:A570</v>
      </c>
    </row>
    <row r="571" spans="1:15">
      <c r="A571" s="18" t="str">
        <f>Charms!K571</f>
        <v>Linguistics</v>
      </c>
      <c r="B571" t="str">
        <f>Charms!B571</f>
        <v>Thousand Tongues Meditation</v>
      </c>
      <c r="C571" t="b">
        <f ca="1">OR(Values!$S$98&gt;=Charms!M571,IFERROR(Charms!J571=OFFSET(Values!$A$24,MATCH("S",Values!$T$25:$T$50,0),0),FALSE))</f>
        <v>0</v>
      </c>
      <c r="D571" t="b">
        <f>VLOOKUP(Charms!J571,Values!$A$11:$S$59,19,0)&gt;=Charms!L571</f>
        <v>0</v>
      </c>
      <c r="E571" t="e">
        <f>OR(ISBLANK(Charms!I571),(VLOOKUP(Values!$S$6,Castes!$B$2:$F$25,4,0)=Charms!I571))</f>
        <v>#N/A</v>
      </c>
      <c r="J571" t="e">
        <f t="shared" ca="1" si="41"/>
        <v>#N/A</v>
      </c>
      <c r="K571" s="18" t="e">
        <f t="shared" ca="1" si="40"/>
        <v>#N/A</v>
      </c>
      <c r="L571" t="e">
        <f ca="1">IF(J571,Charms!B571,"")</f>
        <v>#N/A</v>
      </c>
      <c r="M571" t="str">
        <f t="shared" ca="1" si="42"/>
        <v>-</v>
      </c>
      <c r="N571" s="18" t="str">
        <f t="shared" si="43"/>
        <v>K531:L585</v>
      </c>
      <c r="O571" t="str">
        <f t="shared" si="44"/>
        <v>A531:A571</v>
      </c>
    </row>
    <row r="572" spans="1:15">
      <c r="A572" s="18" t="str">
        <f>Charms!K572</f>
        <v>Linguistics</v>
      </c>
      <c r="B572" t="str">
        <f>Charms!B572</f>
        <v>Speech Without Words</v>
      </c>
      <c r="C572" t="b">
        <f ca="1">OR(Values!$S$98&gt;=Charms!M572,IFERROR(Charms!J572=OFFSET(Values!$A$24,MATCH("S",Values!$T$25:$T$50,0),0),FALSE))</f>
        <v>0</v>
      </c>
      <c r="D572" t="b">
        <f>VLOOKUP(Charms!J572,Values!$A$11:$S$59,19,0)&gt;=Charms!L572</f>
        <v>0</v>
      </c>
      <c r="E572" t="e">
        <f>OR(ISBLANK(Charms!I572),(VLOOKUP(Values!$S$6,Castes!$B$2:$F$25,4,0)=Charms!I572))</f>
        <v>#N/A</v>
      </c>
      <c r="J572" t="e">
        <f t="shared" ca="1" si="41"/>
        <v>#N/A</v>
      </c>
      <c r="K572" s="18" t="e">
        <f t="shared" ca="1" si="40"/>
        <v>#N/A</v>
      </c>
      <c r="L572" t="e">
        <f ca="1">IF(J572,Charms!B572,"")</f>
        <v>#N/A</v>
      </c>
      <c r="M572" t="str">
        <f t="shared" ca="1" si="42"/>
        <v>-</v>
      </c>
      <c r="N572" s="18" t="str">
        <f t="shared" si="43"/>
        <v>K531:L585</v>
      </c>
      <c r="O572" t="str">
        <f t="shared" si="44"/>
        <v>A531:A572</v>
      </c>
    </row>
    <row r="573" spans="1:15">
      <c r="A573" s="18" t="str">
        <f>Charms!K573</f>
        <v>Linguistics</v>
      </c>
      <c r="B573" t="str">
        <f>Charms!B573</f>
        <v>Caustic Wit Invective</v>
      </c>
      <c r="C573" t="b">
        <f ca="1">OR(Values!$S$98&gt;=Charms!M573,IFERROR(Charms!J573=OFFSET(Values!$A$24,MATCH("S",Values!$T$25:$T$50,0),0),FALSE))</f>
        <v>0</v>
      </c>
      <c r="D573" t="b">
        <f>VLOOKUP(Charms!J573,Values!$A$11:$S$59,19,0)&gt;=Charms!L573</f>
        <v>0</v>
      </c>
      <c r="E573" t="e">
        <f>OR(ISBLANK(Charms!I573),(VLOOKUP(Values!$S$6,Castes!$B$2:$F$25,4,0)=Charms!I573))</f>
        <v>#N/A</v>
      </c>
      <c r="J573" t="e">
        <f t="shared" ca="1" si="41"/>
        <v>#N/A</v>
      </c>
      <c r="K573" s="18" t="e">
        <f t="shared" ca="1" si="40"/>
        <v>#N/A</v>
      </c>
      <c r="L573" t="e">
        <f ca="1">IF(J573,Charms!B573,"")</f>
        <v>#N/A</v>
      </c>
      <c r="M573" t="str">
        <f t="shared" ca="1" si="42"/>
        <v>-</v>
      </c>
      <c r="N573" s="18" t="str">
        <f t="shared" si="43"/>
        <v>K531:L585</v>
      </c>
      <c r="O573" t="str">
        <f t="shared" si="44"/>
        <v>A531:A573</v>
      </c>
    </row>
    <row r="574" spans="1:15">
      <c r="A574" s="18" t="str">
        <f>Charms!K574</f>
        <v>Linguistics</v>
      </c>
      <c r="B574" t="str">
        <f>Charms!B574</f>
        <v>Incendiary Argument Approach</v>
      </c>
      <c r="C574" t="b">
        <f ca="1">OR(Values!$S$98&gt;=Charms!M574,IFERROR(Charms!J574=OFFSET(Values!$A$24,MATCH("S",Values!$T$25:$T$50,0),0),FALSE))</f>
        <v>0</v>
      </c>
      <c r="D574" t="b">
        <f>VLOOKUP(Charms!J574,Values!$A$11:$S$59,19,0)&gt;=Charms!L574</f>
        <v>0</v>
      </c>
      <c r="E574" t="e">
        <f>OR(ISBLANK(Charms!I574),(VLOOKUP(Values!$S$6,Castes!$B$2:$F$25,4,0)=Charms!I574))</f>
        <v>#N/A</v>
      </c>
      <c r="J574" t="e">
        <f t="shared" ca="1" si="41"/>
        <v>#N/A</v>
      </c>
      <c r="K574" s="18" t="e">
        <f t="shared" ca="1" si="40"/>
        <v>#N/A</v>
      </c>
      <c r="L574" t="e">
        <f ca="1">IF(J574,Charms!B574,"")</f>
        <v>#N/A</v>
      </c>
      <c r="M574" t="str">
        <f t="shared" ca="1" si="42"/>
        <v>-</v>
      </c>
      <c r="N574" s="18" t="str">
        <f t="shared" si="43"/>
        <v>K531:L585</v>
      </c>
      <c r="O574" t="str">
        <f t="shared" si="44"/>
        <v>A531:A574</v>
      </c>
    </row>
    <row r="575" spans="1:15">
      <c r="A575" s="18" t="str">
        <f>Charms!K575</f>
        <v>Linguistics</v>
      </c>
      <c r="B575" t="str">
        <f>Charms!B575</f>
        <v>Flashing Saga Flourish</v>
      </c>
      <c r="C575" t="b">
        <f ca="1">OR(Values!$S$98&gt;=Charms!M575,IFERROR(Charms!J575=OFFSET(Values!$A$24,MATCH("S",Values!$T$25:$T$50,0),0),FALSE))</f>
        <v>0</v>
      </c>
      <c r="D575" t="b">
        <f>VLOOKUP(Charms!J575,Values!$A$11:$S$59,19,0)&gt;=Charms!L575</f>
        <v>0</v>
      </c>
      <c r="E575" t="e">
        <f>OR(ISBLANK(Charms!I575),(VLOOKUP(Values!$S$6,Castes!$B$2:$F$25,4,0)=Charms!I575))</f>
        <v>#N/A</v>
      </c>
      <c r="J575" t="e">
        <f t="shared" ca="1" si="41"/>
        <v>#N/A</v>
      </c>
      <c r="K575" s="18" t="e">
        <f t="shared" ca="1" si="40"/>
        <v>#N/A</v>
      </c>
      <c r="L575" t="e">
        <f ca="1">IF(J575,Charms!B575,"")</f>
        <v>#N/A</v>
      </c>
      <c r="M575" t="str">
        <f t="shared" ca="1" si="42"/>
        <v>-</v>
      </c>
      <c r="N575" s="18" t="str">
        <f t="shared" si="43"/>
        <v>K531:L585</v>
      </c>
      <c r="O575" t="str">
        <f t="shared" si="44"/>
        <v>A531:A575</v>
      </c>
    </row>
    <row r="576" spans="1:15">
      <c r="A576" s="18" t="str">
        <f>Charms!K576</f>
        <v>Linguistics</v>
      </c>
      <c r="B576" t="str">
        <f>Charms!B576</f>
        <v>Unshattered Diamond Parables</v>
      </c>
      <c r="C576" t="b">
        <f ca="1">OR(Values!$S$98&gt;=Charms!M576,IFERROR(Charms!J576=OFFSET(Values!$A$24,MATCH("S",Values!$T$25:$T$50,0),0),FALSE))</f>
        <v>0</v>
      </c>
      <c r="D576" t="b">
        <f>VLOOKUP(Charms!J576,Values!$A$11:$S$59,19,0)&gt;=Charms!L576</f>
        <v>0</v>
      </c>
      <c r="E576" t="e">
        <f>OR(ISBLANK(Charms!I576),(VLOOKUP(Values!$S$6,Castes!$B$2:$F$25,4,0)=Charms!I576))</f>
        <v>#N/A</v>
      </c>
      <c r="J576" t="e">
        <f t="shared" ca="1" si="41"/>
        <v>#N/A</v>
      </c>
      <c r="K576" s="18" t="e">
        <f t="shared" ca="1" si="40"/>
        <v>#N/A</v>
      </c>
      <c r="L576" t="e">
        <f ca="1">IF(J576,Charms!B576,"")</f>
        <v>#N/A</v>
      </c>
      <c r="M576" t="str">
        <f t="shared" ca="1" si="42"/>
        <v>-</v>
      </c>
      <c r="N576" s="18" t="str">
        <f t="shared" si="43"/>
        <v>K531:L585</v>
      </c>
      <c r="O576" t="str">
        <f t="shared" si="44"/>
        <v>A531:A576</v>
      </c>
    </row>
    <row r="577" spans="1:15">
      <c r="A577" s="18" t="str">
        <f>Charms!K577</f>
        <v>Linguistics</v>
      </c>
      <c r="B577" t="str">
        <f>Charms!B577</f>
        <v>Wildfire Words Technique</v>
      </c>
      <c r="C577" t="b">
        <f ca="1">OR(Values!$S$98&gt;=Charms!M577,IFERROR(Charms!J577=OFFSET(Values!$A$24,MATCH("S",Values!$T$25:$T$50,0),0),FALSE))</f>
        <v>0</v>
      </c>
      <c r="D577" t="b">
        <f>VLOOKUP(Charms!J577,Values!$A$11:$S$59,19,0)&gt;=Charms!L577</f>
        <v>0</v>
      </c>
      <c r="E577" t="e">
        <f>OR(ISBLANK(Charms!I577),(VLOOKUP(Values!$S$6,Castes!$B$2:$F$25,4,0)=Charms!I577))</f>
        <v>#N/A</v>
      </c>
      <c r="J577" t="e">
        <f t="shared" ca="1" si="41"/>
        <v>#N/A</v>
      </c>
      <c r="K577" s="18" t="e">
        <f t="shared" ca="1" si="40"/>
        <v>#N/A</v>
      </c>
      <c r="L577" t="e">
        <f ca="1">IF(J577,Charms!B577,"")</f>
        <v>#N/A</v>
      </c>
      <c r="M577" t="str">
        <f t="shared" ca="1" si="42"/>
        <v>-</v>
      </c>
      <c r="N577" s="18" t="str">
        <f t="shared" si="43"/>
        <v>K531:L585</v>
      </c>
      <c r="O577" t="str">
        <f t="shared" si="44"/>
        <v>A531:A577</v>
      </c>
    </row>
    <row r="578" spans="1:15">
      <c r="A578" s="18" t="str">
        <f>Charms!K578</f>
        <v>Linguistics</v>
      </c>
      <c r="B578" t="str">
        <f>Charms!B578</f>
        <v>Rewriting the Truth Technique</v>
      </c>
      <c r="C578" t="b">
        <f ca="1">OR(Values!$S$98&gt;=Charms!M578,IFERROR(Charms!J578=OFFSET(Values!$A$24,MATCH("S",Values!$T$25:$T$50,0),0),FALSE))</f>
        <v>0</v>
      </c>
      <c r="D578" t="b">
        <f>VLOOKUP(Charms!J578,Values!$A$11:$S$59,19,0)&gt;=Charms!L578</f>
        <v>0</v>
      </c>
      <c r="E578" t="e">
        <f>OR(ISBLANK(Charms!I578),(VLOOKUP(Values!$S$6,Castes!$B$2:$F$25,4,0)=Charms!I578))</f>
        <v>#N/A</v>
      </c>
      <c r="J578" t="e">
        <f t="shared" ca="1" si="41"/>
        <v>#N/A</v>
      </c>
      <c r="K578" s="18" t="e">
        <f t="shared" ref="K578:K641" ca="1" si="45">IF(L578="","",COUNTIF(INDIRECT("J"&amp;MATCH(A578,A:A,0)&amp;":J"&amp;ROW()),J578))</f>
        <v>#N/A</v>
      </c>
      <c r="L578" t="e">
        <f ca="1">IF(J578,Charms!B578,"")</f>
        <v>#N/A</v>
      </c>
      <c r="M578" t="str">
        <f t="shared" ca="1" si="42"/>
        <v>-</v>
      </c>
      <c r="N578" s="18" t="str">
        <f t="shared" si="43"/>
        <v>K531:L585</v>
      </c>
      <c r="O578" t="str">
        <f t="shared" si="44"/>
        <v>A531:A578</v>
      </c>
    </row>
    <row r="579" spans="1:15">
      <c r="A579" s="18" t="str">
        <f>Charms!K579</f>
        <v>Linguistics</v>
      </c>
      <c r="B579" t="str">
        <f>Charms!B579</f>
        <v>Enthralling Lotus Calligraphy</v>
      </c>
      <c r="C579" t="b">
        <f ca="1">OR(Values!$S$98&gt;=Charms!M579,IFERROR(Charms!J579=OFFSET(Values!$A$24,MATCH("S",Values!$T$25:$T$50,0),0),FALSE))</f>
        <v>0</v>
      </c>
      <c r="D579" t="b">
        <f>VLOOKUP(Charms!J579,Values!$A$11:$S$59,19,0)&gt;=Charms!L579</f>
        <v>0</v>
      </c>
      <c r="E579" t="e">
        <f>OR(ISBLANK(Charms!I579),(VLOOKUP(Values!$S$6,Castes!$B$2:$F$25,4,0)=Charms!I579))</f>
        <v>#N/A</v>
      </c>
      <c r="J579" t="e">
        <f t="shared" ref="J579:J642" ca="1" si="46">(C579+D579+E579+F579+G579+H579+I579)=3</f>
        <v>#N/A</v>
      </c>
      <c r="K579" s="18" t="e">
        <f t="shared" ca="1" si="45"/>
        <v>#N/A</v>
      </c>
      <c r="L579" t="e">
        <f ca="1">IF(J579,Charms!B579,"")</f>
        <v>#N/A</v>
      </c>
      <c r="M579" t="str">
        <f t="shared" ref="M579:M642" ca="1" si="47">IFERROR(VLOOKUP(COUNTIF(INDIRECT(O579),A579),INDIRECT(N579),2,0),"-")</f>
        <v>-</v>
      </c>
      <c r="N579" s="18" t="str">
        <f t="shared" ref="N579:N642" si="48">"K"&amp;MATCH(A579,A:A,0)&amp;":L"&amp;(MATCH(A579,A:A,0)+COUNTIF(A:A,A579)-1)</f>
        <v>K531:L585</v>
      </c>
      <c r="O579" t="str">
        <f t="shared" ref="O579:O642" si="49">"A"&amp;MATCH(A579,A:A,0)&amp;":A"&amp;ROW()</f>
        <v>A531:A579</v>
      </c>
    </row>
    <row r="580" spans="1:15">
      <c r="A580" s="18" t="str">
        <f>Charms!K580</f>
        <v>Linguistics</v>
      </c>
      <c r="B580" t="str">
        <f>Charms!B580</f>
        <v>Poisoned Tongue Technique</v>
      </c>
      <c r="C580" t="b">
        <f ca="1">OR(Values!$S$98&gt;=Charms!M580,IFERROR(Charms!J580=OFFSET(Values!$A$24,MATCH("S",Values!$T$25:$T$50,0),0),FALSE))</f>
        <v>0</v>
      </c>
      <c r="D580" t="b">
        <f>VLOOKUP(Charms!J580,Values!$A$11:$S$59,19,0)&gt;=Charms!L580</f>
        <v>0</v>
      </c>
      <c r="E580" t="e">
        <f>OR(ISBLANK(Charms!I580),(VLOOKUP(Values!$S$6,Castes!$B$2:$F$25,4,0)=Charms!I580))</f>
        <v>#N/A</v>
      </c>
      <c r="J580" t="e">
        <f t="shared" ca="1" si="46"/>
        <v>#N/A</v>
      </c>
      <c r="K580" s="18" t="e">
        <f t="shared" ca="1" si="45"/>
        <v>#N/A</v>
      </c>
      <c r="L580" t="e">
        <f ca="1">IF(J580,Charms!B580,"")</f>
        <v>#N/A</v>
      </c>
      <c r="M580" t="str">
        <f t="shared" ca="1" si="47"/>
        <v>-</v>
      </c>
      <c r="N580" s="18" t="str">
        <f t="shared" si="48"/>
        <v>K531:L585</v>
      </c>
      <c r="O580" t="str">
        <f t="shared" si="49"/>
        <v>A531:A580</v>
      </c>
    </row>
    <row r="581" spans="1:15">
      <c r="A581" s="18" t="str">
        <f>Charms!K581</f>
        <v>Linguistics</v>
      </c>
      <c r="B581" t="str">
        <f>Charms!B581</f>
        <v>Reading the Unspoken Word</v>
      </c>
      <c r="C581" t="b">
        <f ca="1">OR(Values!$S$98&gt;=Charms!M581,IFERROR(Charms!J581=OFFSET(Values!$A$24,MATCH("S",Values!$T$25:$T$50,0),0),FALSE))</f>
        <v>0</v>
      </c>
      <c r="D581" t="b">
        <f>VLOOKUP(Charms!J581,Values!$A$11:$S$59,19,0)&gt;=Charms!L581</f>
        <v>0</v>
      </c>
      <c r="E581" t="e">
        <f>OR(ISBLANK(Charms!I581),(VLOOKUP(Values!$S$6,Castes!$B$2:$F$25,4,0)=Charms!I581))</f>
        <v>#N/A</v>
      </c>
      <c r="J581" t="e">
        <f t="shared" ca="1" si="46"/>
        <v>#N/A</v>
      </c>
      <c r="K581" s="18" t="e">
        <f t="shared" ca="1" si="45"/>
        <v>#N/A</v>
      </c>
      <c r="L581" t="e">
        <f ca="1">IF(J581,Charms!B581,"")</f>
        <v>#N/A</v>
      </c>
      <c r="M581" t="str">
        <f t="shared" ca="1" si="47"/>
        <v>-</v>
      </c>
      <c r="N581" s="18" t="str">
        <f t="shared" si="48"/>
        <v>K531:L585</v>
      </c>
      <c r="O581" t="str">
        <f t="shared" si="49"/>
        <v>A531:A581</v>
      </c>
    </row>
    <row r="582" spans="1:15">
      <c r="A582" s="18" t="str">
        <f>Charms!K582</f>
        <v>Linguistics</v>
      </c>
      <c r="B582" t="str">
        <f>Charms!B582</f>
        <v>Dragon’s Voice Mastery</v>
      </c>
      <c r="C582" t="b">
        <f ca="1">OR(Values!$S$98&gt;=Charms!M582,IFERROR(Charms!J582=OFFSET(Values!$A$24,MATCH("S",Values!$T$25:$T$50,0),0),FALSE))</f>
        <v>0</v>
      </c>
      <c r="D582" t="b">
        <f>VLOOKUP(Charms!J582,Values!$A$11:$S$59,19,0)&gt;=Charms!L582</f>
        <v>0</v>
      </c>
      <c r="E582" t="e">
        <f>OR(ISBLANK(Charms!I582),(VLOOKUP(Values!$S$6,Castes!$B$2:$F$25,4,0)=Charms!I582))</f>
        <v>#N/A</v>
      </c>
      <c r="J582" t="e">
        <f t="shared" ca="1" si="46"/>
        <v>#N/A</v>
      </c>
      <c r="K582" s="18" t="e">
        <f t="shared" ca="1" si="45"/>
        <v>#N/A</v>
      </c>
      <c r="L582" t="e">
        <f ca="1">IF(J582,Charms!B582,"")</f>
        <v>#N/A</v>
      </c>
      <c r="M582" t="str">
        <f t="shared" ca="1" si="47"/>
        <v>-</v>
      </c>
      <c r="N582" s="18" t="str">
        <f t="shared" si="48"/>
        <v>K531:L585</v>
      </c>
      <c r="O582" t="str">
        <f t="shared" si="49"/>
        <v>A531:A582</v>
      </c>
    </row>
    <row r="583" spans="1:15">
      <c r="A583" s="18" t="str">
        <f>Charms!K583</f>
        <v>Linguistics</v>
      </c>
      <c r="B583" t="str">
        <f>Charms!B583</f>
        <v>Tantalizing Dragon’s Tongue</v>
      </c>
      <c r="C583" t="b">
        <f ca="1">OR(Values!$S$98&gt;=Charms!M583,IFERROR(Charms!J583=OFFSET(Values!$A$24,MATCH("S",Values!$T$25:$T$50,0),0),FALSE))</f>
        <v>0</v>
      </c>
      <c r="D583" t="b">
        <f>VLOOKUP(Charms!J583,Values!$A$11:$S$59,19,0)&gt;=Charms!L583</f>
        <v>0</v>
      </c>
      <c r="E583" t="e">
        <f>OR(ISBLANK(Charms!I583),(VLOOKUP(Values!$S$6,Castes!$B$2:$F$25,4,0)=Charms!I583))</f>
        <v>#N/A</v>
      </c>
      <c r="J583" t="e">
        <f t="shared" ca="1" si="46"/>
        <v>#N/A</v>
      </c>
      <c r="K583" s="18" t="e">
        <f t="shared" ca="1" si="45"/>
        <v>#N/A</v>
      </c>
      <c r="L583" t="e">
        <f ca="1">IF(J583,Charms!B583,"")</f>
        <v>#N/A</v>
      </c>
      <c r="M583" t="str">
        <f t="shared" ca="1" si="47"/>
        <v>-</v>
      </c>
      <c r="N583" s="18" t="str">
        <f t="shared" si="48"/>
        <v>K531:L585</v>
      </c>
      <c r="O583" t="str">
        <f t="shared" si="49"/>
        <v>A531:A583</v>
      </c>
    </row>
    <row r="584" spans="1:15">
      <c r="A584" s="18" t="str">
        <f>Charms!K584</f>
        <v>Linguistics</v>
      </c>
      <c r="B584" t="str">
        <f>Charms!B584</f>
        <v>Intoxicating Lotus Manuscript</v>
      </c>
      <c r="C584" t="b">
        <f ca="1">OR(Values!$S$98&gt;=Charms!M584,IFERROR(Charms!J584=OFFSET(Values!$A$24,MATCH("S",Values!$T$25:$T$50,0),0),FALSE))</f>
        <v>0</v>
      </c>
      <c r="D584" t="b">
        <f>VLOOKUP(Charms!J584,Values!$A$11:$S$59,19,0)&gt;=Charms!L584</f>
        <v>0</v>
      </c>
      <c r="E584" t="e">
        <f>OR(ISBLANK(Charms!I584),(VLOOKUP(Values!$S$6,Castes!$B$2:$F$25,4,0)=Charms!I584))</f>
        <v>#N/A</v>
      </c>
      <c r="J584" t="e">
        <f t="shared" ca="1" si="46"/>
        <v>#N/A</v>
      </c>
      <c r="K584" s="18" t="e">
        <f t="shared" ca="1" si="45"/>
        <v>#N/A</v>
      </c>
      <c r="L584" t="e">
        <f ca="1">IF(J584,Charms!B584,"")</f>
        <v>#N/A</v>
      </c>
      <c r="M584" t="str">
        <f t="shared" ca="1" si="47"/>
        <v>-</v>
      </c>
      <c r="N584" s="18" t="str">
        <f t="shared" si="48"/>
        <v>K531:L585</v>
      </c>
      <c r="O584" t="str">
        <f t="shared" si="49"/>
        <v>A531:A584</v>
      </c>
    </row>
    <row r="585" spans="1:15">
      <c r="A585" s="18" t="str">
        <f>Charms!K585</f>
        <v>Linguistics</v>
      </c>
      <c r="B585" t="str">
        <f>Charms!B585</f>
        <v>With One Mind</v>
      </c>
      <c r="C585" t="b">
        <f ca="1">OR(Values!$S$98&gt;=Charms!M585,IFERROR(Charms!J585=OFFSET(Values!$A$24,MATCH("S",Values!$T$25:$T$50,0),0),FALSE))</f>
        <v>0</v>
      </c>
      <c r="D585" t="b">
        <f>VLOOKUP(Charms!J585,Values!$A$11:$S$59,19,0)&gt;=Charms!L585</f>
        <v>0</v>
      </c>
      <c r="E585" t="e">
        <f>OR(ISBLANK(Charms!I585),(VLOOKUP(Values!$S$6,Castes!$B$2:$F$25,4,0)=Charms!I585))</f>
        <v>#N/A</v>
      </c>
      <c r="J585" t="e">
        <f t="shared" ca="1" si="46"/>
        <v>#N/A</v>
      </c>
      <c r="K585" s="18" t="e">
        <f t="shared" ca="1" si="45"/>
        <v>#N/A</v>
      </c>
      <c r="L585" t="e">
        <f ca="1">IF(J585,Charms!B585,"")</f>
        <v>#N/A</v>
      </c>
      <c r="M585" t="str">
        <f t="shared" ca="1" si="47"/>
        <v>-</v>
      </c>
      <c r="N585" s="18" t="str">
        <f t="shared" si="48"/>
        <v>K531:L585</v>
      </c>
      <c r="O585" t="str">
        <f t="shared" si="49"/>
        <v>A531:A585</v>
      </c>
    </row>
    <row r="586" spans="1:15">
      <c r="A586" s="18" t="str">
        <f>Charms!K586</f>
        <v>Lore</v>
      </c>
      <c r="B586" t="str">
        <f>Charms!B586</f>
        <v>Essence-Lending Method</v>
      </c>
      <c r="C586" t="b">
        <f ca="1">OR(Values!$S$98&gt;=Charms!M586,IFERROR(Charms!J586=OFFSET(Values!$A$24,MATCH("S",Values!$T$25:$T$50,0),0),FALSE))</f>
        <v>1</v>
      </c>
      <c r="D586" t="b">
        <f>VLOOKUP(Charms!J586,Values!$A$11:$S$59,19,0)&gt;=Charms!L586</f>
        <v>0</v>
      </c>
      <c r="E586" t="e">
        <f>OR(ISBLANK(Charms!I586),(VLOOKUP(Values!$S$6,Castes!$B$2:$F$25,4,0)=Charms!I586))</f>
        <v>#N/A</v>
      </c>
      <c r="J586" t="e">
        <f t="shared" ca="1" si="46"/>
        <v>#N/A</v>
      </c>
      <c r="K586" s="18" t="e">
        <f t="shared" ca="1" si="45"/>
        <v>#N/A</v>
      </c>
      <c r="L586" t="e">
        <f ca="1">IF(J586,Charms!B586,"")</f>
        <v>#N/A</v>
      </c>
      <c r="M586" t="str">
        <f t="shared" ca="1" si="47"/>
        <v>-</v>
      </c>
      <c r="N586" s="18" t="str">
        <f t="shared" si="48"/>
        <v>K586:L660</v>
      </c>
      <c r="O586" t="str">
        <f t="shared" si="49"/>
        <v>A586:A586</v>
      </c>
    </row>
    <row r="587" spans="1:15">
      <c r="A587" s="18" t="str">
        <f>Charms!K587</f>
        <v>Lore</v>
      </c>
      <c r="B587" t="str">
        <f>Charms!B587</f>
        <v>Wyld-Dispelling Prana</v>
      </c>
      <c r="C587" t="b">
        <f ca="1">OR(Values!$S$98&gt;=Charms!M587,IFERROR(Charms!J587=OFFSET(Values!$A$24,MATCH("S",Values!$T$25:$T$50,0),0),FALSE))</f>
        <v>1</v>
      </c>
      <c r="D587" t="b">
        <f>VLOOKUP(Charms!J587,Values!$A$11:$S$59,19,0)&gt;=Charms!L587</f>
        <v>0</v>
      </c>
      <c r="E587" t="e">
        <f>OR(ISBLANK(Charms!I587),(VLOOKUP(Values!$S$6,Castes!$B$2:$F$25,4,0)=Charms!I587))</f>
        <v>#N/A</v>
      </c>
      <c r="J587" t="e">
        <f t="shared" ca="1" si="46"/>
        <v>#N/A</v>
      </c>
      <c r="K587" s="18" t="e">
        <f t="shared" ca="1" si="45"/>
        <v>#N/A</v>
      </c>
      <c r="L587" t="e">
        <f ca="1">IF(J587,Charms!B587,"")</f>
        <v>#N/A</v>
      </c>
      <c r="M587" t="str">
        <f t="shared" ca="1" si="47"/>
        <v>-</v>
      </c>
      <c r="N587" s="18" t="str">
        <f t="shared" si="48"/>
        <v>K586:L660</v>
      </c>
      <c r="O587" t="str">
        <f t="shared" si="49"/>
        <v>A586:A587</v>
      </c>
    </row>
    <row r="588" spans="1:15">
      <c r="A588" s="18" t="str">
        <f>Charms!K588</f>
        <v>Lore</v>
      </c>
      <c r="B588" t="str">
        <f>Charms!B588</f>
        <v>Will-Bolstering Method</v>
      </c>
      <c r="C588" t="b">
        <f ca="1">OR(Values!$S$98&gt;=Charms!M588,IFERROR(Charms!J588=OFFSET(Values!$A$24,MATCH("S",Values!$T$25:$T$50,0),0),FALSE))</f>
        <v>1</v>
      </c>
      <c r="D588" t="b">
        <f>VLOOKUP(Charms!J588,Values!$A$11:$S$59,19,0)&gt;=Charms!L588</f>
        <v>0</v>
      </c>
      <c r="E588" t="e">
        <f>OR(ISBLANK(Charms!I588),(VLOOKUP(Values!$S$6,Castes!$B$2:$F$25,4,0)=Charms!I588))</f>
        <v>#N/A</v>
      </c>
      <c r="J588" t="e">
        <f t="shared" ca="1" si="46"/>
        <v>#N/A</v>
      </c>
      <c r="K588" s="18" t="e">
        <f t="shared" ca="1" si="45"/>
        <v>#N/A</v>
      </c>
      <c r="L588" t="e">
        <f ca="1">IF(J588,Charms!B588,"")</f>
        <v>#N/A</v>
      </c>
      <c r="M588" t="str">
        <f t="shared" ca="1" si="47"/>
        <v>-</v>
      </c>
      <c r="N588" s="18" t="str">
        <f t="shared" si="48"/>
        <v>K586:L660</v>
      </c>
      <c r="O588" t="str">
        <f t="shared" si="49"/>
        <v>A586:A588</v>
      </c>
    </row>
    <row r="589" spans="1:15">
      <c r="A589" s="18" t="str">
        <f>Charms!K589</f>
        <v>Lore</v>
      </c>
      <c r="B589" t="str">
        <f>Charms!B589</f>
        <v>Chaos-Repelling Pattern</v>
      </c>
      <c r="C589" t="b">
        <f ca="1">OR(Values!$S$98&gt;=Charms!M589,IFERROR(Charms!J589=OFFSET(Values!$A$24,MATCH("S",Values!$T$25:$T$50,0),0),FALSE))</f>
        <v>1</v>
      </c>
      <c r="D589" t="b">
        <f>VLOOKUP(Charms!J589,Values!$A$11:$S$59,19,0)&gt;=Charms!L589</f>
        <v>0</v>
      </c>
      <c r="E589" t="e">
        <f>OR(ISBLANK(Charms!I589),(VLOOKUP(Values!$S$6,Castes!$B$2:$F$25,4,0)=Charms!I589))</f>
        <v>#N/A</v>
      </c>
      <c r="J589" t="e">
        <f t="shared" ca="1" si="46"/>
        <v>#N/A</v>
      </c>
      <c r="K589" s="18" t="e">
        <f t="shared" ca="1" si="45"/>
        <v>#N/A</v>
      </c>
      <c r="L589" t="e">
        <f ca="1">IF(J589,Charms!B589,"")</f>
        <v>#N/A</v>
      </c>
      <c r="M589" t="str">
        <f t="shared" ca="1" si="47"/>
        <v>-</v>
      </c>
      <c r="N589" s="18" t="str">
        <f t="shared" si="48"/>
        <v>K586:L660</v>
      </c>
      <c r="O589" t="str">
        <f t="shared" si="49"/>
        <v>A586:A589</v>
      </c>
    </row>
    <row r="590" spans="1:15">
      <c r="A590" s="18" t="str">
        <f>Charms!K590</f>
        <v>Lore</v>
      </c>
      <c r="B590" t="str">
        <f>Charms!B590</f>
        <v>Harmonious Academic Methodology</v>
      </c>
      <c r="C590" t="b">
        <f ca="1">OR(Values!$S$98&gt;=Charms!M590,IFERROR(Charms!J590=OFFSET(Values!$A$24,MATCH("S",Values!$T$25:$T$50,0),0),FALSE))</f>
        <v>1</v>
      </c>
      <c r="D590" t="b">
        <f>VLOOKUP(Charms!J590,Values!$A$11:$S$59,19,0)&gt;=Charms!L590</f>
        <v>0</v>
      </c>
      <c r="E590" t="e">
        <f>OR(ISBLANK(Charms!I590),(VLOOKUP(Values!$S$6,Castes!$B$2:$F$25,4,0)=Charms!I590))</f>
        <v>#N/A</v>
      </c>
      <c r="J590" t="e">
        <f t="shared" ca="1" si="46"/>
        <v>#N/A</v>
      </c>
      <c r="K590" s="18" t="e">
        <f t="shared" ca="1" si="45"/>
        <v>#N/A</v>
      </c>
      <c r="L590" t="e">
        <f ca="1">IF(J590,Charms!B590,"")</f>
        <v>#N/A</v>
      </c>
      <c r="M590" t="str">
        <f t="shared" ca="1" si="47"/>
        <v>-</v>
      </c>
      <c r="N590" s="18" t="str">
        <f t="shared" si="48"/>
        <v>K586:L660</v>
      </c>
      <c r="O590" t="str">
        <f t="shared" si="49"/>
        <v>A586:A590</v>
      </c>
    </row>
    <row r="591" spans="1:15">
      <c r="A591" s="18" t="str">
        <f>Charms!K591</f>
        <v>Lore</v>
      </c>
      <c r="B591" t="str">
        <f>Charms!B591</f>
        <v>First Knowledge's Grace</v>
      </c>
      <c r="C591" t="b">
        <f ca="1">OR(Values!$S$98&gt;=Charms!M591,IFERROR(Charms!J591=OFFSET(Values!$A$24,MATCH("S",Values!$T$25:$T$50,0),0),FALSE))</f>
        <v>1</v>
      </c>
      <c r="D591" t="b">
        <f>VLOOKUP(Charms!J591,Values!$A$11:$S$59,19,0)&gt;=Charms!L591</f>
        <v>0</v>
      </c>
      <c r="E591" t="e">
        <f>OR(ISBLANK(Charms!I591),(VLOOKUP(Values!$S$6,Castes!$B$2:$F$25,4,0)=Charms!I591))</f>
        <v>#N/A</v>
      </c>
      <c r="J591" t="e">
        <f t="shared" ca="1" si="46"/>
        <v>#N/A</v>
      </c>
      <c r="K591" s="18" t="e">
        <f t="shared" ca="1" si="45"/>
        <v>#N/A</v>
      </c>
      <c r="L591" t="e">
        <f ca="1">IF(J591,Charms!B591,"")</f>
        <v>#N/A</v>
      </c>
      <c r="M591" t="str">
        <f t="shared" ca="1" si="47"/>
        <v>-</v>
      </c>
      <c r="N591" s="18" t="str">
        <f t="shared" si="48"/>
        <v>K586:L660</v>
      </c>
      <c r="O591" t="str">
        <f t="shared" si="49"/>
        <v>A586:A591</v>
      </c>
    </row>
    <row r="592" spans="1:15">
      <c r="A592" s="18" t="str">
        <f>Charms!K592</f>
        <v>Lore</v>
      </c>
      <c r="B592" t="str">
        <f>Charms!B592</f>
        <v>Bottomless Wellspring Approach</v>
      </c>
      <c r="C592" t="b">
        <f ca="1">OR(Values!$S$98&gt;=Charms!M592,IFERROR(Charms!J592=OFFSET(Values!$A$24,MATCH("S",Values!$T$25:$T$50,0),0),FALSE))</f>
        <v>0</v>
      </c>
      <c r="D592" t="b">
        <f>VLOOKUP(Charms!J592,Values!$A$11:$S$59,19,0)&gt;=Charms!L592</f>
        <v>0</v>
      </c>
      <c r="E592" t="e">
        <f>OR(ISBLANK(Charms!I592),(VLOOKUP(Values!$S$6,Castes!$B$2:$F$25,4,0)=Charms!I592))</f>
        <v>#N/A</v>
      </c>
      <c r="J592" t="e">
        <f t="shared" ca="1" si="46"/>
        <v>#N/A</v>
      </c>
      <c r="K592" s="18" t="e">
        <f t="shared" ca="1" si="45"/>
        <v>#N/A</v>
      </c>
      <c r="L592" t="e">
        <f ca="1">IF(J592,Charms!B592,"")</f>
        <v>#N/A</v>
      </c>
      <c r="M592" t="str">
        <f t="shared" ca="1" si="47"/>
        <v>-</v>
      </c>
      <c r="N592" s="18" t="str">
        <f t="shared" si="48"/>
        <v>K586:L660</v>
      </c>
      <c r="O592" t="str">
        <f t="shared" si="49"/>
        <v>A586:A592</v>
      </c>
    </row>
    <row r="593" spans="1:15">
      <c r="A593" s="18" t="str">
        <f>Charms!K593</f>
        <v>Lore</v>
      </c>
      <c r="B593" t="str">
        <f>Charms!B593</f>
        <v>Wound-Accepting Technique</v>
      </c>
      <c r="C593" t="b">
        <f ca="1">OR(Values!$S$98&gt;=Charms!M593,IFERROR(Charms!J593=OFFSET(Values!$A$24,MATCH("S",Values!$T$25:$T$50,0),0),FALSE))</f>
        <v>0</v>
      </c>
      <c r="D593" t="b">
        <f>VLOOKUP(Charms!J593,Values!$A$11:$S$59,19,0)&gt;=Charms!L593</f>
        <v>0</v>
      </c>
      <c r="E593" t="e">
        <f>OR(ISBLANK(Charms!I593),(VLOOKUP(Values!$S$6,Castes!$B$2:$F$25,4,0)=Charms!I593))</f>
        <v>#N/A</v>
      </c>
      <c r="J593" t="e">
        <f t="shared" ca="1" si="46"/>
        <v>#N/A</v>
      </c>
      <c r="K593" s="18" t="e">
        <f t="shared" ca="1" si="45"/>
        <v>#N/A</v>
      </c>
      <c r="L593" t="e">
        <f ca="1">IF(J593,Charms!B593,"")</f>
        <v>#N/A</v>
      </c>
      <c r="M593" t="str">
        <f t="shared" ca="1" si="47"/>
        <v>-</v>
      </c>
      <c r="N593" s="18" t="str">
        <f t="shared" si="48"/>
        <v>K586:L660</v>
      </c>
      <c r="O593" t="str">
        <f t="shared" si="49"/>
        <v>A586:A593</v>
      </c>
    </row>
    <row r="594" spans="1:15">
      <c r="A594" s="18" t="str">
        <f>Charms!K594</f>
        <v>Lore</v>
      </c>
      <c r="B594" t="str">
        <f>Charms!B594</f>
        <v>Essence Font Technique</v>
      </c>
      <c r="C594" t="b">
        <f ca="1">OR(Values!$S$98&gt;=Charms!M594,IFERROR(Charms!J594=OFFSET(Values!$A$24,MATCH("S",Values!$T$25:$T$50,0),0),FALSE))</f>
        <v>0</v>
      </c>
      <c r="D594" t="b">
        <f>VLOOKUP(Charms!J594,Values!$A$11:$S$59,19,0)&gt;=Charms!L594</f>
        <v>0</v>
      </c>
      <c r="E594" t="e">
        <f>OR(ISBLANK(Charms!I594),(VLOOKUP(Values!$S$6,Castes!$B$2:$F$25,4,0)=Charms!I594))</f>
        <v>#N/A</v>
      </c>
      <c r="J594" t="e">
        <f t="shared" ca="1" si="46"/>
        <v>#N/A</v>
      </c>
      <c r="K594" s="18" t="e">
        <f t="shared" ca="1" si="45"/>
        <v>#N/A</v>
      </c>
      <c r="L594" t="e">
        <f ca="1">IF(J594,Charms!B594,"")</f>
        <v>#N/A</v>
      </c>
      <c r="M594" t="str">
        <f t="shared" ca="1" si="47"/>
        <v>-</v>
      </c>
      <c r="N594" s="18" t="str">
        <f t="shared" si="48"/>
        <v>K586:L660</v>
      </c>
      <c r="O594" t="str">
        <f t="shared" si="49"/>
        <v>A586:A594</v>
      </c>
    </row>
    <row r="595" spans="1:15">
      <c r="A595" s="18" t="str">
        <f>Charms!K595</f>
        <v>Lore</v>
      </c>
      <c r="B595" t="str">
        <f>Charms!B595</f>
        <v>Flowing Mind Prana</v>
      </c>
      <c r="C595" t="b">
        <f ca="1">OR(Values!$S$98&gt;=Charms!M595,IFERROR(Charms!J595=OFFSET(Values!$A$24,MATCH("S",Values!$T$25:$T$50,0),0),FALSE))</f>
        <v>1</v>
      </c>
      <c r="D595" t="b">
        <f>VLOOKUP(Charms!J595,Values!$A$11:$S$59,19,0)&gt;=Charms!L595</f>
        <v>0</v>
      </c>
      <c r="E595" t="e">
        <f>OR(ISBLANK(Charms!I595),(VLOOKUP(Values!$S$6,Castes!$B$2:$F$25,4,0)=Charms!I595))</f>
        <v>#N/A</v>
      </c>
      <c r="J595" t="e">
        <f t="shared" ca="1" si="46"/>
        <v>#N/A</v>
      </c>
      <c r="K595" s="18" t="e">
        <f t="shared" ca="1" si="45"/>
        <v>#N/A</v>
      </c>
      <c r="L595" t="e">
        <f ca="1">IF(J595,Charms!B595,"")</f>
        <v>#N/A</v>
      </c>
      <c r="M595" t="str">
        <f t="shared" ca="1" si="47"/>
        <v>-</v>
      </c>
      <c r="N595" s="18" t="str">
        <f t="shared" si="48"/>
        <v>K586:L660</v>
      </c>
      <c r="O595" t="str">
        <f t="shared" si="49"/>
        <v>A586:A595</v>
      </c>
    </row>
    <row r="596" spans="1:15">
      <c r="A596" s="18" t="str">
        <f>Charms!K596</f>
        <v>Lore</v>
      </c>
      <c r="B596" t="str">
        <f>Charms!B596</f>
        <v>Hidden Wisdom Bestowal</v>
      </c>
      <c r="C596" t="b">
        <f ca="1">OR(Values!$S$98&gt;=Charms!M596,IFERROR(Charms!J596=OFFSET(Values!$A$24,MATCH("S",Values!$T$25:$T$50,0),0),FALSE))</f>
        <v>0</v>
      </c>
      <c r="D596" t="b">
        <f>VLOOKUP(Charms!J596,Values!$A$11:$S$59,19,0)&gt;=Charms!L596</f>
        <v>0</v>
      </c>
      <c r="E596" t="e">
        <f>OR(ISBLANK(Charms!I596),(VLOOKUP(Values!$S$6,Castes!$B$2:$F$25,4,0)=Charms!I596))</f>
        <v>#N/A</v>
      </c>
      <c r="J596" t="e">
        <f t="shared" ca="1" si="46"/>
        <v>#N/A</v>
      </c>
      <c r="K596" s="18" t="e">
        <f t="shared" ca="1" si="45"/>
        <v>#N/A</v>
      </c>
      <c r="L596" t="e">
        <f ca="1">IF(J596,Charms!B596,"")</f>
        <v>#N/A</v>
      </c>
      <c r="M596" t="str">
        <f t="shared" ca="1" si="47"/>
        <v>-</v>
      </c>
      <c r="N596" s="18" t="str">
        <f t="shared" si="48"/>
        <v>K586:L660</v>
      </c>
      <c r="O596" t="str">
        <f t="shared" si="49"/>
        <v>A586:A596</v>
      </c>
    </row>
    <row r="597" spans="1:15">
      <c r="A597" s="18" t="str">
        <f>Charms!K597</f>
        <v>Lore</v>
      </c>
      <c r="B597" t="str">
        <f>Charms!B597</f>
        <v>Tireless Learner Method</v>
      </c>
      <c r="C597" t="b">
        <f ca="1">OR(Values!$S$98&gt;=Charms!M597,IFERROR(Charms!J597=OFFSET(Values!$A$24,MATCH("S",Values!$T$25:$T$50,0),0),FALSE))</f>
        <v>0</v>
      </c>
      <c r="D597" t="b">
        <f>VLOOKUP(Charms!J597,Values!$A$11:$S$59,19,0)&gt;=Charms!L597</f>
        <v>0</v>
      </c>
      <c r="E597" t="e">
        <f>OR(ISBLANK(Charms!I597),(VLOOKUP(Values!$S$6,Castes!$B$2:$F$25,4,0)=Charms!I597))</f>
        <v>#N/A</v>
      </c>
      <c r="J597" t="e">
        <f t="shared" ca="1" si="46"/>
        <v>#N/A</v>
      </c>
      <c r="K597" s="18" t="e">
        <f t="shared" ca="1" si="45"/>
        <v>#N/A</v>
      </c>
      <c r="L597" t="e">
        <f ca="1">IF(J597,Charms!B597,"")</f>
        <v>#N/A</v>
      </c>
      <c r="M597" t="str">
        <f t="shared" ca="1" si="47"/>
        <v>-</v>
      </c>
      <c r="N597" s="18" t="str">
        <f t="shared" si="48"/>
        <v>K586:L660</v>
      </c>
      <c r="O597" t="str">
        <f t="shared" si="49"/>
        <v>A586:A597</v>
      </c>
    </row>
    <row r="598" spans="1:15">
      <c r="A598" s="18" t="str">
        <f>Charms!K598</f>
        <v>Lore</v>
      </c>
      <c r="B598" t="str">
        <f>Charms!B598</f>
        <v>Lore-Inducing Concentration</v>
      </c>
      <c r="C598" t="b">
        <f ca="1">OR(Values!$S$98&gt;=Charms!M598,IFERROR(Charms!J598=OFFSET(Values!$A$24,MATCH("S",Values!$T$25:$T$50,0),0),FALSE))</f>
        <v>0</v>
      </c>
      <c r="D598" t="b">
        <f>VLOOKUP(Charms!J598,Values!$A$11:$S$59,19,0)&gt;=Charms!L598</f>
        <v>0</v>
      </c>
      <c r="E598" t="e">
        <f>OR(ISBLANK(Charms!I598),(VLOOKUP(Values!$S$6,Castes!$B$2:$F$25,4,0)=Charms!I598))</f>
        <v>#N/A</v>
      </c>
      <c r="J598" t="e">
        <f t="shared" ca="1" si="46"/>
        <v>#N/A</v>
      </c>
      <c r="K598" s="18" t="e">
        <f t="shared" ca="1" si="45"/>
        <v>#N/A</v>
      </c>
      <c r="L598" t="e">
        <f ca="1">IF(J598,Charms!B598,"")</f>
        <v>#N/A</v>
      </c>
      <c r="M598" t="str">
        <f t="shared" ca="1" si="47"/>
        <v>-</v>
      </c>
      <c r="N598" s="18" t="str">
        <f t="shared" si="48"/>
        <v>K586:L660</v>
      </c>
      <c r="O598" t="str">
        <f t="shared" si="49"/>
        <v>A586:A598</v>
      </c>
    </row>
    <row r="599" spans="1:15">
      <c r="A599" s="18" t="str">
        <f>Charms!K599</f>
        <v>Lore</v>
      </c>
      <c r="B599" t="str">
        <f>Charms!B599</f>
        <v>Truth-Rendering Gaze</v>
      </c>
      <c r="C599" t="b">
        <f ca="1">OR(Values!$S$98&gt;=Charms!M599,IFERROR(Charms!J599=OFFSET(Values!$A$24,MATCH("S",Values!$T$25:$T$50,0),0),FALSE))</f>
        <v>0</v>
      </c>
      <c r="D599" t="b">
        <f>VLOOKUP(Charms!J599,Values!$A$11:$S$59,19,0)&gt;=Charms!L599</f>
        <v>0</v>
      </c>
      <c r="E599" t="e">
        <f>OR(ISBLANK(Charms!I599),(VLOOKUP(Values!$S$6,Castes!$B$2:$F$25,4,0)=Charms!I599))</f>
        <v>#N/A</v>
      </c>
      <c r="J599" t="e">
        <f t="shared" ca="1" si="46"/>
        <v>#N/A</v>
      </c>
      <c r="K599" s="18" t="e">
        <f t="shared" ca="1" si="45"/>
        <v>#N/A</v>
      </c>
      <c r="L599" t="e">
        <f ca="1">IF(J599,Charms!B599,"")</f>
        <v>#N/A</v>
      </c>
      <c r="M599" t="str">
        <f t="shared" ca="1" si="47"/>
        <v>-</v>
      </c>
      <c r="N599" s="18" t="str">
        <f t="shared" si="48"/>
        <v>K586:L660</v>
      </c>
      <c r="O599" t="str">
        <f t="shared" si="49"/>
        <v>A586:A599</v>
      </c>
    </row>
    <row r="600" spans="1:15">
      <c r="A600" s="18" t="str">
        <f>Charms!K600</f>
        <v>Lore</v>
      </c>
      <c r="B600" t="str">
        <f>Charms!B600</f>
        <v>Legendary Scholar's Curriculum</v>
      </c>
      <c r="C600" t="b">
        <f ca="1">OR(Values!$S$98&gt;=Charms!M600,IFERROR(Charms!J600=OFFSET(Values!$A$24,MATCH("S",Values!$T$25:$T$50,0),0),FALSE))</f>
        <v>0</v>
      </c>
      <c r="D600" t="b">
        <f>VLOOKUP(Charms!J600,Values!$A$11:$S$59,19,0)&gt;=Charms!L600</f>
        <v>0</v>
      </c>
      <c r="E600" t="e">
        <f>OR(ISBLANK(Charms!I600),(VLOOKUP(Values!$S$6,Castes!$B$2:$F$25,4,0)=Charms!I600))</f>
        <v>#N/A</v>
      </c>
      <c r="J600" t="e">
        <f t="shared" ca="1" si="46"/>
        <v>#N/A</v>
      </c>
      <c r="K600" s="18" t="e">
        <f t="shared" ca="1" si="45"/>
        <v>#N/A</v>
      </c>
      <c r="L600" t="e">
        <f ca="1">IF(J600,Charms!B600,"")</f>
        <v>#N/A</v>
      </c>
      <c r="M600" t="str">
        <f t="shared" ca="1" si="47"/>
        <v>-</v>
      </c>
      <c r="N600" s="18" t="str">
        <f t="shared" si="48"/>
        <v>K586:L660</v>
      </c>
      <c r="O600" t="str">
        <f t="shared" si="49"/>
        <v>A586:A600</v>
      </c>
    </row>
    <row r="601" spans="1:15">
      <c r="A601" s="18" t="str">
        <f>Charms!K601</f>
        <v>Lore</v>
      </c>
      <c r="B601" t="str">
        <f>Charms!B601</f>
        <v>Selfsame Master Instructor</v>
      </c>
      <c r="C601" t="b">
        <f ca="1">OR(Values!$S$98&gt;=Charms!M601,IFERROR(Charms!J601=OFFSET(Values!$A$24,MATCH("S",Values!$T$25:$T$50,0),0),FALSE))</f>
        <v>0</v>
      </c>
      <c r="D601" t="b">
        <f>VLOOKUP(Charms!J601,Values!$A$11:$S$59,19,0)&gt;=Charms!L601</f>
        <v>0</v>
      </c>
      <c r="E601" t="e">
        <f>OR(ISBLANK(Charms!I601),(VLOOKUP(Values!$S$6,Castes!$B$2:$F$25,4,0)=Charms!I601))</f>
        <v>#N/A</v>
      </c>
      <c r="J601" t="e">
        <f t="shared" ca="1" si="46"/>
        <v>#N/A</v>
      </c>
      <c r="K601" s="18" t="e">
        <f t="shared" ca="1" si="45"/>
        <v>#N/A</v>
      </c>
      <c r="L601" t="e">
        <f ca="1">IF(J601,Charms!B601,"")</f>
        <v>#N/A</v>
      </c>
      <c r="M601" t="str">
        <f t="shared" ca="1" si="47"/>
        <v>-</v>
      </c>
      <c r="N601" s="18" t="str">
        <f t="shared" si="48"/>
        <v>K586:L660</v>
      </c>
      <c r="O601" t="str">
        <f t="shared" si="49"/>
        <v>A586:A601</v>
      </c>
    </row>
    <row r="602" spans="1:15">
      <c r="A602" s="18" t="str">
        <f>Charms!K602</f>
        <v>Lore</v>
      </c>
      <c r="B602" t="str">
        <f>Charms!B602</f>
        <v>Sacred Relic Understanding</v>
      </c>
      <c r="C602" t="b">
        <f ca="1">OR(Values!$S$98&gt;=Charms!M602,IFERROR(Charms!J602=OFFSET(Values!$A$24,MATCH("S",Values!$T$25:$T$50,0),0),FALSE))</f>
        <v>0</v>
      </c>
      <c r="D602" t="b">
        <f>VLOOKUP(Charms!J602,Values!$A$11:$S$59,19,0)&gt;=Charms!L602</f>
        <v>0</v>
      </c>
      <c r="E602" t="e">
        <f>OR(ISBLANK(Charms!I602),(VLOOKUP(Values!$S$6,Castes!$B$2:$F$25,4,0)=Charms!I602))</f>
        <v>#N/A</v>
      </c>
      <c r="J602" t="e">
        <f t="shared" ca="1" si="46"/>
        <v>#N/A</v>
      </c>
      <c r="K602" s="18" t="e">
        <f t="shared" ca="1" si="45"/>
        <v>#N/A</v>
      </c>
      <c r="L602" t="e">
        <f ca="1">IF(J602,Charms!B602,"")</f>
        <v>#N/A</v>
      </c>
      <c r="M602" t="str">
        <f t="shared" ca="1" si="47"/>
        <v>-</v>
      </c>
      <c r="N602" s="18" t="str">
        <f t="shared" si="48"/>
        <v>K586:L660</v>
      </c>
      <c r="O602" t="str">
        <f t="shared" si="49"/>
        <v>A586:A602</v>
      </c>
    </row>
    <row r="603" spans="1:15">
      <c r="A603" s="18" t="str">
        <f>Charms!K603</f>
        <v>Lore</v>
      </c>
      <c r="B603" t="str">
        <f>Charms!B603</f>
        <v>Wake the Sleeper</v>
      </c>
      <c r="C603" t="b">
        <f ca="1">OR(Values!$S$98&gt;=Charms!M603,IFERROR(Charms!J603=OFFSET(Values!$A$24,MATCH("S",Values!$T$25:$T$50,0),0),FALSE))</f>
        <v>0</v>
      </c>
      <c r="D603" t="b">
        <f>VLOOKUP(Charms!J603,Values!$A$11:$S$59,19,0)&gt;=Charms!L603</f>
        <v>0</v>
      </c>
      <c r="E603" t="e">
        <f>OR(ISBLANK(Charms!I603),(VLOOKUP(Values!$S$6,Castes!$B$2:$F$25,4,0)=Charms!I603))</f>
        <v>#N/A</v>
      </c>
      <c r="J603" t="e">
        <f t="shared" ca="1" si="46"/>
        <v>#N/A</v>
      </c>
      <c r="K603" s="18" t="e">
        <f t="shared" ca="1" si="45"/>
        <v>#N/A</v>
      </c>
      <c r="L603" t="e">
        <f ca="1">IF(J603,Charms!B603,"")</f>
        <v>#N/A</v>
      </c>
      <c r="M603" t="str">
        <f t="shared" ca="1" si="47"/>
        <v>-</v>
      </c>
      <c r="N603" s="18" t="str">
        <f t="shared" si="48"/>
        <v>K586:L660</v>
      </c>
      <c r="O603" t="str">
        <f t="shared" si="49"/>
        <v>A586:A603</v>
      </c>
    </row>
    <row r="604" spans="1:15">
      <c r="A604" s="18" t="str">
        <f>Charms!K604</f>
        <v>Lore</v>
      </c>
      <c r="B604" t="str">
        <f>Charms!B604</f>
        <v>Heaven-Turning Calculations</v>
      </c>
      <c r="C604" t="b">
        <f ca="1">OR(Values!$S$98&gt;=Charms!M604,IFERROR(Charms!J604=OFFSET(Values!$A$24,MATCH("S",Values!$T$25:$T$50,0),0),FALSE))</f>
        <v>0</v>
      </c>
      <c r="D604" t="b">
        <f>VLOOKUP(Charms!J604,Values!$A$11:$S$59,19,0)&gt;=Charms!L604</f>
        <v>0</v>
      </c>
      <c r="E604" t="e">
        <f>OR(ISBLANK(Charms!I604),(VLOOKUP(Values!$S$6,Castes!$B$2:$F$25,4,0)=Charms!I604))</f>
        <v>#N/A</v>
      </c>
      <c r="J604" t="e">
        <f t="shared" ca="1" si="46"/>
        <v>#N/A</v>
      </c>
      <c r="K604" s="18" t="e">
        <f t="shared" ca="1" si="45"/>
        <v>#N/A</v>
      </c>
      <c r="L604" t="e">
        <f ca="1">IF(J604,Charms!B604,"")</f>
        <v>#N/A</v>
      </c>
      <c r="M604" t="str">
        <f t="shared" ca="1" si="47"/>
        <v>-</v>
      </c>
      <c r="N604" s="18" t="str">
        <f t="shared" si="48"/>
        <v>K586:L660</v>
      </c>
      <c r="O604" t="str">
        <f t="shared" si="49"/>
        <v>A586:A604</v>
      </c>
    </row>
    <row r="605" spans="1:15">
      <c r="A605" s="18" t="str">
        <f>Charms!K605</f>
        <v>Lore</v>
      </c>
      <c r="B605" t="str">
        <f>Charms!B605</f>
        <v>Injury-Forcing Technique</v>
      </c>
      <c r="C605" t="b">
        <f ca="1">OR(Values!$S$98&gt;=Charms!M605,IFERROR(Charms!J605=OFFSET(Values!$A$24,MATCH("S",Values!$T$25:$T$50,0),0),FALSE))</f>
        <v>0</v>
      </c>
      <c r="D605" t="b">
        <f>VLOOKUP(Charms!J605,Values!$A$11:$S$59,19,0)&gt;=Charms!L605</f>
        <v>0</v>
      </c>
      <c r="E605" t="e">
        <f>OR(ISBLANK(Charms!I605),(VLOOKUP(Values!$S$6,Castes!$B$2:$F$25,4,0)=Charms!I605))</f>
        <v>#N/A</v>
      </c>
      <c r="J605" t="e">
        <f t="shared" ca="1" si="46"/>
        <v>#N/A</v>
      </c>
      <c r="K605" s="18" t="e">
        <f t="shared" ca="1" si="45"/>
        <v>#N/A</v>
      </c>
      <c r="L605" t="e">
        <f ca="1">IF(J605,Charms!B605,"")</f>
        <v>#N/A</v>
      </c>
      <c r="M605" t="str">
        <f t="shared" ca="1" si="47"/>
        <v>-</v>
      </c>
      <c r="N605" s="18" t="str">
        <f t="shared" si="48"/>
        <v>K586:L660</v>
      </c>
      <c r="O605" t="str">
        <f t="shared" si="49"/>
        <v>A586:A605</v>
      </c>
    </row>
    <row r="606" spans="1:15">
      <c r="A606" s="18" t="str">
        <f>Charms!K606</f>
        <v>Lore</v>
      </c>
      <c r="B606" t="str">
        <f>Charms!B606</f>
        <v>Essence-Draining Touch</v>
      </c>
      <c r="C606" t="b">
        <f ca="1">OR(Values!$S$98&gt;=Charms!M606,IFERROR(Charms!J606=OFFSET(Values!$A$24,MATCH("S",Values!$T$25:$T$50,0),0),FALSE))</f>
        <v>0</v>
      </c>
      <c r="D606" t="b">
        <f>VLOOKUP(Charms!J606,Values!$A$11:$S$59,19,0)&gt;=Charms!L606</f>
        <v>0</v>
      </c>
      <c r="E606" t="e">
        <f>OR(ISBLANK(Charms!I606),(VLOOKUP(Values!$S$6,Castes!$B$2:$F$25,4,0)=Charms!I606))</f>
        <v>#N/A</v>
      </c>
      <c r="J606" t="e">
        <f t="shared" ca="1" si="46"/>
        <v>#N/A</v>
      </c>
      <c r="K606" s="18" t="e">
        <f t="shared" ca="1" si="45"/>
        <v>#N/A</v>
      </c>
      <c r="L606" t="e">
        <f ca="1">IF(J606,Charms!B606,"")</f>
        <v>#N/A</v>
      </c>
      <c r="M606" t="str">
        <f t="shared" ca="1" si="47"/>
        <v>-</v>
      </c>
      <c r="N606" s="18" t="str">
        <f t="shared" si="48"/>
        <v>K586:L660</v>
      </c>
      <c r="O606" t="str">
        <f t="shared" si="49"/>
        <v>A586:A606</v>
      </c>
    </row>
    <row r="607" spans="1:15">
      <c r="A607" s="18" t="str">
        <f>Charms!K607</f>
        <v>Lore</v>
      </c>
      <c r="B607" t="str">
        <f>Charms!B607</f>
        <v>Essence-Twining Method</v>
      </c>
      <c r="C607" t="b">
        <f ca="1">OR(Values!$S$98&gt;=Charms!M607,IFERROR(Charms!J607=OFFSET(Values!$A$24,MATCH("S",Values!$T$25:$T$50,0),0),FALSE))</f>
        <v>0</v>
      </c>
      <c r="D607" t="b">
        <f>VLOOKUP(Charms!J607,Values!$A$11:$S$59,19,0)&gt;=Charms!L607</f>
        <v>0</v>
      </c>
      <c r="E607" t="e">
        <f>OR(ISBLANK(Charms!I607),(VLOOKUP(Values!$S$6,Castes!$B$2:$F$25,4,0)=Charms!I607))</f>
        <v>#N/A</v>
      </c>
      <c r="J607" t="e">
        <f t="shared" ca="1" si="46"/>
        <v>#N/A</v>
      </c>
      <c r="K607" s="18" t="e">
        <f t="shared" ca="1" si="45"/>
        <v>#N/A</v>
      </c>
      <c r="L607" t="e">
        <f ca="1">IF(J607,Charms!B607,"")</f>
        <v>#N/A</v>
      </c>
      <c r="M607" t="str">
        <f t="shared" ca="1" si="47"/>
        <v>-</v>
      </c>
      <c r="N607" s="18" t="str">
        <f t="shared" si="48"/>
        <v>K586:L660</v>
      </c>
      <c r="O607" t="str">
        <f t="shared" si="49"/>
        <v>A586:A607</v>
      </c>
    </row>
    <row r="608" spans="1:15">
      <c r="A608" s="18" t="str">
        <f>Charms!K608</f>
        <v>Lore</v>
      </c>
      <c r="B608" t="str">
        <f>Charms!B608</f>
        <v>Force-Draining Whisper</v>
      </c>
      <c r="C608" t="b">
        <f ca="1">OR(Values!$S$98&gt;=Charms!M608,IFERROR(Charms!J608=OFFSET(Values!$A$24,MATCH("S",Values!$T$25:$T$50,0),0),FALSE))</f>
        <v>0</v>
      </c>
      <c r="D608" t="b">
        <f>VLOOKUP(Charms!J608,Values!$A$11:$S$59,19,0)&gt;=Charms!L608</f>
        <v>0</v>
      </c>
      <c r="E608" t="e">
        <f>OR(ISBLANK(Charms!I608),(VLOOKUP(Values!$S$6,Castes!$B$2:$F$25,4,0)=Charms!I608))</f>
        <v>#N/A</v>
      </c>
      <c r="J608" t="e">
        <f t="shared" ca="1" si="46"/>
        <v>#N/A</v>
      </c>
      <c r="K608" s="18" t="e">
        <f t="shared" ca="1" si="45"/>
        <v>#N/A</v>
      </c>
      <c r="L608" t="e">
        <f ca="1">IF(J608,Charms!B608,"")</f>
        <v>#N/A</v>
      </c>
      <c r="M608" t="str">
        <f t="shared" ca="1" si="47"/>
        <v>-</v>
      </c>
      <c r="N608" s="18" t="str">
        <f t="shared" si="48"/>
        <v>K586:L660</v>
      </c>
      <c r="O608" t="str">
        <f t="shared" si="49"/>
        <v>A586:A608</v>
      </c>
    </row>
    <row r="609" spans="1:15">
      <c r="A609" s="18" t="str">
        <f>Charms!K609</f>
        <v>Lore</v>
      </c>
      <c r="B609" t="str">
        <f>Charms!B609</f>
        <v>Immanent Solar Glory</v>
      </c>
      <c r="C609" t="b">
        <f ca="1">OR(Values!$S$98&gt;=Charms!M609,IFERROR(Charms!J609=OFFSET(Values!$A$24,MATCH("S",Values!$T$25:$T$50,0),0),FALSE))</f>
        <v>0</v>
      </c>
      <c r="D609" t="b">
        <f>VLOOKUP(Charms!J609,Values!$A$11:$S$59,19,0)&gt;=Charms!L609</f>
        <v>0</v>
      </c>
      <c r="E609" t="e">
        <f>OR(ISBLANK(Charms!I609),(VLOOKUP(Values!$S$6,Castes!$B$2:$F$25,4,0)=Charms!I609))</f>
        <v>#N/A</v>
      </c>
      <c r="J609" t="e">
        <f t="shared" ca="1" si="46"/>
        <v>#N/A</v>
      </c>
      <c r="K609" s="18" t="e">
        <f t="shared" ca="1" si="45"/>
        <v>#N/A</v>
      </c>
      <c r="L609" t="e">
        <f ca="1">IF(J609,Charms!B609,"")</f>
        <v>#N/A</v>
      </c>
      <c r="M609" t="str">
        <f t="shared" ca="1" si="47"/>
        <v>-</v>
      </c>
      <c r="N609" s="18" t="str">
        <f t="shared" si="48"/>
        <v>K586:L660</v>
      </c>
      <c r="O609" t="str">
        <f t="shared" si="49"/>
        <v>A586:A609</v>
      </c>
    </row>
    <row r="610" spans="1:15">
      <c r="A610" s="18" t="str">
        <f>Charms!K610</f>
        <v>Lore</v>
      </c>
      <c r="B610" t="str">
        <f>Charms!B610</f>
        <v>Flowing Essence Conversion</v>
      </c>
      <c r="C610" t="b">
        <f ca="1">OR(Values!$S$98&gt;=Charms!M610,IFERROR(Charms!J610=OFFSET(Values!$A$24,MATCH("S",Values!$T$25:$T$50,0),0),FALSE))</f>
        <v>0</v>
      </c>
      <c r="D610" t="b">
        <f>VLOOKUP(Charms!J610,Values!$A$11:$S$59,19,0)&gt;=Charms!L610</f>
        <v>0</v>
      </c>
      <c r="E610" t="e">
        <f>OR(ISBLANK(Charms!I610),(VLOOKUP(Values!$S$6,Castes!$B$2:$F$25,4,0)=Charms!I610))</f>
        <v>#N/A</v>
      </c>
      <c r="J610" t="e">
        <f t="shared" ca="1" si="46"/>
        <v>#N/A</v>
      </c>
      <c r="K610" s="18" t="e">
        <f t="shared" ca="1" si="45"/>
        <v>#N/A</v>
      </c>
      <c r="L610" t="e">
        <f ca="1">IF(J610,Charms!B610,"")</f>
        <v>#N/A</v>
      </c>
      <c r="M610" t="str">
        <f t="shared" ca="1" si="47"/>
        <v>-</v>
      </c>
      <c r="N610" s="18" t="str">
        <f t="shared" si="48"/>
        <v>K586:L660</v>
      </c>
      <c r="O610" t="str">
        <f t="shared" si="49"/>
        <v>A586:A610</v>
      </c>
    </row>
    <row r="611" spans="1:15">
      <c r="A611" s="18" t="str">
        <f>Charms!K611</f>
        <v>Lore</v>
      </c>
      <c r="B611" t="str">
        <f>Charms!B611</f>
        <v>Power-Restoring Invocation</v>
      </c>
      <c r="C611" t="b">
        <f ca="1">OR(Values!$S$98&gt;=Charms!M611,IFERROR(Charms!J611=OFFSET(Values!$A$24,MATCH("S",Values!$T$25:$T$50,0),0),FALSE))</f>
        <v>0</v>
      </c>
      <c r="D611" t="b">
        <f>VLOOKUP(Charms!J611,Values!$A$11:$S$59,19,0)&gt;=Charms!L611</f>
        <v>0</v>
      </c>
      <c r="E611" t="e">
        <f>OR(ISBLANK(Charms!I611),(VLOOKUP(Values!$S$6,Castes!$B$2:$F$25,4,0)=Charms!I611))</f>
        <v>#N/A</v>
      </c>
      <c r="J611" t="e">
        <f t="shared" ca="1" si="46"/>
        <v>#N/A</v>
      </c>
      <c r="K611" s="18" t="e">
        <f t="shared" ca="1" si="45"/>
        <v>#N/A</v>
      </c>
      <c r="L611" t="e">
        <f ca="1">IF(J611,Charms!B611,"")</f>
        <v>#N/A</v>
      </c>
      <c r="M611" t="str">
        <f t="shared" ca="1" si="47"/>
        <v>-</v>
      </c>
      <c r="N611" s="18" t="str">
        <f t="shared" si="48"/>
        <v>K586:L660</v>
      </c>
      <c r="O611" t="str">
        <f t="shared" si="49"/>
        <v>A586:A611</v>
      </c>
    </row>
    <row r="612" spans="1:15">
      <c r="A612" s="18" t="str">
        <f>Charms!K612</f>
        <v>Lore</v>
      </c>
      <c r="B612" t="str">
        <f>Charms!B612</f>
        <v>Surging Essence Flow</v>
      </c>
      <c r="C612" t="b">
        <f ca="1">OR(Values!$S$98&gt;=Charms!M612,IFERROR(Charms!J612=OFFSET(Values!$A$24,MATCH("S",Values!$T$25:$T$50,0),0),FALSE))</f>
        <v>0</v>
      </c>
      <c r="D612" t="b">
        <f>VLOOKUP(Charms!J612,Values!$A$11:$S$59,19,0)&gt;=Charms!L612</f>
        <v>0</v>
      </c>
      <c r="E612" t="e">
        <f>OR(ISBLANK(Charms!I612),(VLOOKUP(Values!$S$6,Castes!$B$2:$F$25,4,0)=Charms!I612))</f>
        <v>#N/A</v>
      </c>
      <c r="J612" t="e">
        <f t="shared" ca="1" si="46"/>
        <v>#N/A</v>
      </c>
      <c r="K612" s="18" t="e">
        <f t="shared" ca="1" si="45"/>
        <v>#N/A</v>
      </c>
      <c r="L612" t="e">
        <f ca="1">IF(J612,Charms!B612,"")</f>
        <v>#N/A</v>
      </c>
      <c r="M612" t="str">
        <f t="shared" ca="1" si="47"/>
        <v>-</v>
      </c>
      <c r="N612" s="18" t="str">
        <f t="shared" si="48"/>
        <v>K586:L660</v>
      </c>
      <c r="O612" t="str">
        <f t="shared" si="49"/>
        <v>A586:A612</v>
      </c>
    </row>
    <row r="613" spans="1:15">
      <c r="A613" s="18" t="str">
        <f>Charms!K613</f>
        <v>Lore</v>
      </c>
      <c r="B613" t="str">
        <f>Charms!B613</f>
        <v>Order-Affirming Blow</v>
      </c>
      <c r="C613" t="b">
        <f ca="1">OR(Values!$S$98&gt;=Charms!M613,IFERROR(Charms!J613=OFFSET(Values!$A$24,MATCH("S",Values!$T$25:$T$50,0),0),FALSE))</f>
        <v>0</v>
      </c>
      <c r="D613" t="b">
        <f>VLOOKUP(Charms!J613,Values!$A$11:$S$59,19,0)&gt;=Charms!L613</f>
        <v>0</v>
      </c>
      <c r="E613" t="e">
        <f>OR(ISBLANK(Charms!I613),(VLOOKUP(Values!$S$6,Castes!$B$2:$F$25,4,0)=Charms!I613))</f>
        <v>#N/A</v>
      </c>
      <c r="J613" t="e">
        <f t="shared" ca="1" si="46"/>
        <v>#N/A</v>
      </c>
      <c r="K613" s="18" t="e">
        <f t="shared" ca="1" si="45"/>
        <v>#N/A</v>
      </c>
      <c r="L613" t="e">
        <f ca="1">IF(J613,Charms!B613,"")</f>
        <v>#N/A</v>
      </c>
      <c r="M613" t="str">
        <f t="shared" ca="1" si="47"/>
        <v>-</v>
      </c>
      <c r="N613" s="18" t="str">
        <f t="shared" si="48"/>
        <v>K586:L660</v>
      </c>
      <c r="O613" t="str">
        <f t="shared" si="49"/>
        <v>A586:A613</v>
      </c>
    </row>
    <row r="614" spans="1:15">
      <c r="A614" s="18" t="str">
        <f>Charms!K614</f>
        <v>Lore</v>
      </c>
      <c r="B614" t="str">
        <f>Charms!B614</f>
        <v>Wyld-Shaping Technique</v>
      </c>
      <c r="C614" t="b">
        <f ca="1">OR(Values!$S$98&gt;=Charms!M614,IFERROR(Charms!J614=OFFSET(Values!$A$24,MATCH("S",Values!$T$25:$T$50,0),0),FALSE))</f>
        <v>0</v>
      </c>
      <c r="D614" t="b">
        <f>VLOOKUP(Charms!J614,Values!$A$11:$S$59,19,0)&gt;=Charms!L614</f>
        <v>0</v>
      </c>
      <c r="E614" t="e">
        <f>OR(ISBLANK(Charms!I614),(VLOOKUP(Values!$S$6,Castes!$B$2:$F$25,4,0)=Charms!I614))</f>
        <v>#N/A</v>
      </c>
      <c r="J614" t="e">
        <f t="shared" ca="1" si="46"/>
        <v>#N/A</v>
      </c>
      <c r="K614" s="18" t="e">
        <f t="shared" ca="1" si="45"/>
        <v>#N/A</v>
      </c>
      <c r="L614" t="e">
        <f ca="1">IF(J614,Charms!B614,"")</f>
        <v>#N/A</v>
      </c>
      <c r="M614" t="str">
        <f t="shared" ca="1" si="47"/>
        <v>-</v>
      </c>
      <c r="N614" s="18" t="str">
        <f t="shared" si="48"/>
        <v>K586:L660</v>
      </c>
      <c r="O614" t="str">
        <f t="shared" si="49"/>
        <v>A586:A614</v>
      </c>
    </row>
    <row r="615" spans="1:15">
      <c r="A615" s="18" t="str">
        <f>Charms!K615</f>
        <v>Lore</v>
      </c>
      <c r="B615" t="str">
        <f>Charms!B615</f>
        <v>Hero-Induction Method</v>
      </c>
      <c r="C615" t="b">
        <f ca="1">OR(Values!$S$98&gt;=Charms!M615,IFERROR(Charms!J615=OFFSET(Values!$A$24,MATCH("S",Values!$T$25:$T$50,0),0),FALSE))</f>
        <v>0</v>
      </c>
      <c r="D615" t="b">
        <f>VLOOKUP(Charms!J615,Values!$A$11:$S$59,19,0)&gt;=Charms!L615</f>
        <v>0</v>
      </c>
      <c r="E615" t="e">
        <f>OR(ISBLANK(Charms!I615),(VLOOKUP(Values!$S$6,Castes!$B$2:$F$25,4,0)=Charms!I615))</f>
        <v>#N/A</v>
      </c>
      <c r="J615" t="e">
        <f t="shared" ca="1" si="46"/>
        <v>#N/A</v>
      </c>
      <c r="K615" s="18" t="e">
        <f t="shared" ca="1" si="45"/>
        <v>#N/A</v>
      </c>
      <c r="L615" t="e">
        <f ca="1">IF(J615,Charms!B615,"")</f>
        <v>#N/A</v>
      </c>
      <c r="M615" t="str">
        <f t="shared" ca="1" si="47"/>
        <v>-</v>
      </c>
      <c r="N615" s="18" t="str">
        <f t="shared" si="48"/>
        <v>K586:L660</v>
      </c>
      <c r="O615" t="str">
        <f t="shared" si="49"/>
        <v>A586:A615</v>
      </c>
    </row>
    <row r="616" spans="1:15">
      <c r="A616" s="18" t="str">
        <f>Charms!K616</f>
        <v>Lore</v>
      </c>
      <c r="B616" t="str">
        <f>Charms!B616</f>
        <v>Wyld Cauldron Mastery</v>
      </c>
      <c r="C616" t="b">
        <f ca="1">OR(Values!$S$98&gt;=Charms!M616,IFERROR(Charms!J616=OFFSET(Values!$A$24,MATCH("S",Values!$T$25:$T$50,0),0),FALSE))</f>
        <v>0</v>
      </c>
      <c r="D616" t="b">
        <f>VLOOKUP(Charms!J616,Values!$A$11:$S$59,19,0)&gt;=Charms!L616</f>
        <v>0</v>
      </c>
      <c r="E616" t="e">
        <f>OR(ISBLANK(Charms!I616),(VLOOKUP(Values!$S$6,Castes!$B$2:$F$25,4,0)=Charms!I616))</f>
        <v>#N/A</v>
      </c>
      <c r="J616" t="e">
        <f t="shared" ca="1" si="46"/>
        <v>#N/A</v>
      </c>
      <c r="K616" s="18" t="e">
        <f t="shared" ca="1" si="45"/>
        <v>#N/A</v>
      </c>
      <c r="L616" t="e">
        <f ca="1">IF(J616,Charms!B616,"")</f>
        <v>#N/A</v>
      </c>
      <c r="M616" t="str">
        <f t="shared" ca="1" si="47"/>
        <v>-</v>
      </c>
      <c r="N616" s="18" t="str">
        <f t="shared" si="48"/>
        <v>K586:L660</v>
      </c>
      <c r="O616" t="str">
        <f t="shared" si="49"/>
        <v>A586:A616</v>
      </c>
    </row>
    <row r="617" spans="1:15">
      <c r="A617" s="18" t="str">
        <f>Charms!K617</f>
        <v>Lore</v>
      </c>
      <c r="B617" t="str">
        <f>Charms!B617</f>
        <v>Wyld-Called Weapon</v>
      </c>
      <c r="C617" t="b">
        <f ca="1">OR(Values!$S$98&gt;=Charms!M617,IFERROR(Charms!J617=OFFSET(Values!$A$24,MATCH("S",Values!$T$25:$T$50,0),0),FALSE))</f>
        <v>0</v>
      </c>
      <c r="D617" t="b">
        <f>VLOOKUP(Charms!J617,Values!$A$11:$S$59,19,0)&gt;=Charms!L617</f>
        <v>0</v>
      </c>
      <c r="E617" t="e">
        <f>OR(ISBLANK(Charms!I617),(VLOOKUP(Values!$S$6,Castes!$B$2:$F$25,4,0)=Charms!I617))</f>
        <v>#N/A</v>
      </c>
      <c r="J617" t="e">
        <f t="shared" ca="1" si="46"/>
        <v>#N/A</v>
      </c>
      <c r="K617" s="18" t="e">
        <f t="shared" ca="1" si="45"/>
        <v>#N/A</v>
      </c>
      <c r="L617" t="e">
        <f ca="1">IF(J617,Charms!B617,"")</f>
        <v>#N/A</v>
      </c>
      <c r="M617" t="str">
        <f t="shared" ca="1" si="47"/>
        <v>-</v>
      </c>
      <c r="N617" s="18" t="str">
        <f t="shared" si="48"/>
        <v>K586:L660</v>
      </c>
      <c r="O617" t="str">
        <f t="shared" si="49"/>
        <v>A586:A617</v>
      </c>
    </row>
    <row r="618" spans="1:15">
      <c r="A618" s="18" t="str">
        <f>Charms!K618</f>
        <v>Lore</v>
      </c>
      <c r="B618" t="str">
        <f>Charms!B618</f>
        <v>Wyld-Forging Focus</v>
      </c>
      <c r="C618" t="b">
        <f ca="1">OR(Values!$S$98&gt;=Charms!M618,IFERROR(Charms!J618=OFFSET(Values!$A$24,MATCH("S",Values!$T$25:$T$50,0),0),FALSE))</f>
        <v>0</v>
      </c>
      <c r="D618" t="b">
        <f>VLOOKUP(Charms!J618,Values!$A$11:$S$59,19,0)&gt;=Charms!L618</f>
        <v>0</v>
      </c>
      <c r="E618" t="e">
        <f>OR(ISBLANK(Charms!I618),(VLOOKUP(Values!$S$6,Castes!$B$2:$F$25,4,0)=Charms!I618))</f>
        <v>#N/A</v>
      </c>
      <c r="J618" t="e">
        <f t="shared" ca="1" si="46"/>
        <v>#N/A</v>
      </c>
      <c r="K618" s="18" t="e">
        <f t="shared" ca="1" si="45"/>
        <v>#N/A</v>
      </c>
      <c r="L618" t="e">
        <f ca="1">IF(J618,Charms!B618,"")</f>
        <v>#N/A</v>
      </c>
      <c r="M618" t="str">
        <f t="shared" ca="1" si="47"/>
        <v>-</v>
      </c>
      <c r="N618" s="18" t="str">
        <f t="shared" si="48"/>
        <v>K586:L660</v>
      </c>
      <c r="O618" t="str">
        <f t="shared" si="49"/>
        <v>A586:A618</v>
      </c>
    </row>
    <row r="619" spans="1:15">
      <c r="A619" s="18" t="str">
        <f>Charms!K619</f>
        <v>Lore</v>
      </c>
      <c r="B619" t="str">
        <f>Charms!B619</f>
        <v>Tome-Rearing Gesture</v>
      </c>
      <c r="C619" t="b">
        <f ca="1">OR(Values!$S$98&gt;=Charms!M619,IFERROR(Charms!J619=OFFSET(Values!$A$24,MATCH("S",Values!$T$25:$T$50,0),0),FALSE))</f>
        <v>0</v>
      </c>
      <c r="D619" t="b">
        <f>VLOOKUP(Charms!J619,Values!$A$11:$S$59,19,0)&gt;=Charms!L619</f>
        <v>0</v>
      </c>
      <c r="E619" t="e">
        <f>OR(ISBLANK(Charms!I619),(VLOOKUP(Values!$S$6,Castes!$B$2:$F$25,4,0)=Charms!I619))</f>
        <v>#N/A</v>
      </c>
      <c r="J619" t="e">
        <f t="shared" ca="1" si="46"/>
        <v>#N/A</v>
      </c>
      <c r="K619" s="18" t="e">
        <f t="shared" ca="1" si="45"/>
        <v>#N/A</v>
      </c>
      <c r="L619" t="e">
        <f ca="1">IF(J619,Charms!B619,"")</f>
        <v>#N/A</v>
      </c>
      <c r="M619" t="str">
        <f t="shared" ca="1" si="47"/>
        <v>-</v>
      </c>
      <c r="N619" s="18" t="str">
        <f t="shared" si="48"/>
        <v>K586:L660</v>
      </c>
      <c r="O619" t="str">
        <f t="shared" si="49"/>
        <v>A586:A619</v>
      </c>
    </row>
    <row r="620" spans="1:15">
      <c r="A620" s="18" t="str">
        <f>Charms!K620</f>
        <v>Lore</v>
      </c>
      <c r="B620" t="str">
        <f>Charms!B620</f>
        <v>Power-Awarding Prana</v>
      </c>
      <c r="C620" t="b">
        <f ca="1">OR(Values!$S$98&gt;=Charms!M620,IFERROR(Charms!J620=OFFSET(Values!$A$24,MATCH("S",Values!$T$25:$T$50,0),0),FALSE))</f>
        <v>0</v>
      </c>
      <c r="D620" t="b">
        <f>VLOOKUP(Charms!J620,Values!$A$11:$S$59,19,0)&gt;=Charms!L620</f>
        <v>0</v>
      </c>
      <c r="E620" t="e">
        <f>OR(ISBLANK(Charms!I620),(VLOOKUP(Values!$S$6,Castes!$B$2:$F$25,4,0)=Charms!I620))</f>
        <v>#N/A</v>
      </c>
      <c r="J620" t="e">
        <f t="shared" ca="1" si="46"/>
        <v>#N/A</v>
      </c>
      <c r="K620" s="18" t="e">
        <f t="shared" ca="1" si="45"/>
        <v>#N/A</v>
      </c>
      <c r="L620" t="e">
        <f ca="1">IF(J620,Charms!B620,"")</f>
        <v>#N/A</v>
      </c>
      <c r="M620" t="str">
        <f t="shared" ca="1" si="47"/>
        <v>-</v>
      </c>
      <c r="N620" s="18" t="str">
        <f t="shared" si="48"/>
        <v>K586:L660</v>
      </c>
      <c r="O620" t="str">
        <f t="shared" si="49"/>
        <v>A586:A620</v>
      </c>
    </row>
    <row r="621" spans="1:15">
      <c r="A621" s="18" t="str">
        <f>Charms!K621</f>
        <v>Lore</v>
      </c>
      <c r="B621" t="str">
        <f>Charms!B621</f>
        <v>Prophet of Seventeen Cycles</v>
      </c>
      <c r="C621" t="b">
        <f ca="1">OR(Values!$S$98&gt;=Charms!M621,IFERROR(Charms!J621=OFFSET(Values!$A$24,MATCH("S",Values!$T$25:$T$50,0),0),FALSE))</f>
        <v>0</v>
      </c>
      <c r="D621" t="b">
        <f>VLOOKUP(Charms!J621,Values!$A$11:$S$59,19,0)&gt;=Charms!L621</f>
        <v>0</v>
      </c>
      <c r="E621" t="e">
        <f>OR(ISBLANK(Charms!I621),(VLOOKUP(Values!$S$6,Castes!$B$2:$F$25,4,0)=Charms!I621))</f>
        <v>#N/A</v>
      </c>
      <c r="J621" t="e">
        <f t="shared" ca="1" si="46"/>
        <v>#N/A</v>
      </c>
      <c r="K621" s="18" t="e">
        <f t="shared" ca="1" si="45"/>
        <v>#N/A</v>
      </c>
      <c r="L621" t="e">
        <f ca="1">IF(J621,Charms!B621,"")</f>
        <v>#N/A</v>
      </c>
      <c r="M621" t="str">
        <f t="shared" ca="1" si="47"/>
        <v>-</v>
      </c>
      <c r="N621" s="18" t="str">
        <f t="shared" si="48"/>
        <v>K586:L660</v>
      </c>
      <c r="O621" t="str">
        <f t="shared" si="49"/>
        <v>A586:A621</v>
      </c>
    </row>
    <row r="622" spans="1:15">
      <c r="A622" s="18" t="str">
        <f>Charms!K622</f>
        <v>Lore</v>
      </c>
      <c r="B622" t="str">
        <f>Charms!B622</f>
        <v>Will-Shattering Illusion</v>
      </c>
      <c r="C622" t="b">
        <f ca="1">OR(Values!$S$98&gt;=Charms!M622,IFERROR(Charms!J622=OFFSET(Values!$A$24,MATCH("S",Values!$T$25:$T$50,0),0),FALSE))</f>
        <v>0</v>
      </c>
      <c r="D622" t="b">
        <f>VLOOKUP(Charms!J622,Values!$A$11:$S$59,19,0)&gt;=Charms!L622</f>
        <v>0</v>
      </c>
      <c r="E622" t="e">
        <f>OR(ISBLANK(Charms!I622),(VLOOKUP(Values!$S$6,Castes!$B$2:$F$25,4,0)=Charms!I622))</f>
        <v>#N/A</v>
      </c>
      <c r="J622" t="e">
        <f t="shared" ca="1" si="46"/>
        <v>#N/A</v>
      </c>
      <c r="K622" s="18" t="e">
        <f t="shared" ca="1" si="45"/>
        <v>#N/A</v>
      </c>
      <c r="L622" t="e">
        <f ca="1">IF(J622,Charms!B622,"")</f>
        <v>#N/A</v>
      </c>
      <c r="M622" t="str">
        <f t="shared" ca="1" si="47"/>
        <v>-</v>
      </c>
      <c r="N622" s="18" t="str">
        <f t="shared" si="48"/>
        <v>K586:L660</v>
      </c>
      <c r="O622" t="str">
        <f t="shared" si="49"/>
        <v>A586:A622</v>
      </c>
    </row>
    <row r="623" spans="1:15">
      <c r="A623" s="18" t="str">
        <f>Charms!K623</f>
        <v>Lore</v>
      </c>
      <c r="B623" t="str">
        <f>Charms!B623</f>
        <v>Surging Inner Fire</v>
      </c>
      <c r="C623" t="b">
        <f ca="1">OR(Values!$S$98&gt;=Charms!M623,IFERROR(Charms!J623=OFFSET(Values!$A$24,MATCH("S",Values!$T$25:$T$50,0),0),FALSE))</f>
        <v>0</v>
      </c>
      <c r="D623" t="b">
        <f>VLOOKUP(Charms!J623,Values!$A$11:$S$59,19,0)&gt;=Charms!L623</f>
        <v>0</v>
      </c>
      <c r="E623" t="e">
        <f>OR(ISBLANK(Charms!I623),(VLOOKUP(Values!$S$6,Castes!$B$2:$F$25,4,0)=Charms!I623))</f>
        <v>#N/A</v>
      </c>
      <c r="J623" t="e">
        <f t="shared" ca="1" si="46"/>
        <v>#N/A</v>
      </c>
      <c r="K623" s="18" t="e">
        <f t="shared" ca="1" si="45"/>
        <v>#N/A</v>
      </c>
      <c r="L623" t="e">
        <f ca="1">IF(J623,Charms!B623,"")</f>
        <v>#N/A</v>
      </c>
      <c r="M623" t="str">
        <f t="shared" ca="1" si="47"/>
        <v>-</v>
      </c>
      <c r="N623" s="18" t="str">
        <f t="shared" si="48"/>
        <v>K586:L660</v>
      </c>
      <c r="O623" t="str">
        <f t="shared" si="49"/>
        <v>A586:A623</v>
      </c>
    </row>
    <row r="624" spans="1:15">
      <c r="A624" s="18" t="str">
        <f>Charms!K624</f>
        <v>Lore</v>
      </c>
      <c r="B624" t="str">
        <f>Charms!B624</f>
        <v>Seal of Infinite Wisdom</v>
      </c>
      <c r="C624" t="b">
        <f ca="1">OR(Values!$S$98&gt;=Charms!M624,IFERROR(Charms!J624=OFFSET(Values!$A$24,MATCH("S",Values!$T$25:$T$50,0),0),FALSE))</f>
        <v>0</v>
      </c>
      <c r="D624" t="b">
        <f>VLOOKUP(Charms!J624,Values!$A$11:$S$59,19,0)&gt;=Charms!L624</f>
        <v>0</v>
      </c>
      <c r="E624" t="e">
        <f>OR(ISBLANK(Charms!I624),(VLOOKUP(Values!$S$6,Castes!$B$2:$F$25,4,0)=Charms!I624))</f>
        <v>#N/A</v>
      </c>
      <c r="J624" t="e">
        <f t="shared" ca="1" si="46"/>
        <v>#N/A</v>
      </c>
      <c r="K624" s="18" t="e">
        <f t="shared" ca="1" si="45"/>
        <v>#N/A</v>
      </c>
      <c r="L624" t="e">
        <f ca="1">IF(J624,Charms!B624,"")</f>
        <v>#N/A</v>
      </c>
      <c r="M624" t="str">
        <f t="shared" ca="1" si="47"/>
        <v>-</v>
      </c>
      <c r="N624" s="18" t="str">
        <f t="shared" si="48"/>
        <v>K586:L660</v>
      </c>
      <c r="O624" t="str">
        <f t="shared" si="49"/>
        <v>A586:A624</v>
      </c>
    </row>
    <row r="625" spans="1:15">
      <c r="A625" s="18" t="str">
        <f>Charms!K625</f>
        <v>Lore</v>
      </c>
      <c r="B625" t="str">
        <f>Charms!B625</f>
        <v>Sevenfold Savant Mantle</v>
      </c>
      <c r="C625" t="b">
        <f ca="1">OR(Values!$S$98&gt;=Charms!M625,IFERROR(Charms!J625=OFFSET(Values!$A$24,MATCH("S",Values!$T$25:$T$50,0),0),FALSE))</f>
        <v>0</v>
      </c>
      <c r="D625" t="b">
        <f>VLOOKUP(Charms!J625,Values!$A$11:$S$59,19,0)&gt;=Charms!L625</f>
        <v>0</v>
      </c>
      <c r="E625" t="e">
        <f>OR(ISBLANK(Charms!I625),(VLOOKUP(Values!$S$6,Castes!$B$2:$F$25,4,0)=Charms!I625))</f>
        <v>#N/A</v>
      </c>
      <c r="J625" t="e">
        <f t="shared" ca="1" si="46"/>
        <v>#N/A</v>
      </c>
      <c r="K625" s="18" t="e">
        <f t="shared" ca="1" si="45"/>
        <v>#N/A</v>
      </c>
      <c r="L625" t="e">
        <f ca="1">IF(J625,Charms!B625,"")</f>
        <v>#N/A</v>
      </c>
      <c r="M625" t="str">
        <f t="shared" ca="1" si="47"/>
        <v>-</v>
      </c>
      <c r="N625" s="18" t="str">
        <f t="shared" si="48"/>
        <v>K586:L660</v>
      </c>
      <c r="O625" t="str">
        <f t="shared" si="49"/>
        <v>A586:A625</v>
      </c>
    </row>
    <row r="626" spans="1:15">
      <c r="A626" s="18" t="str">
        <f>Charms!K626</f>
        <v>Lore</v>
      </c>
      <c r="B626" t="str">
        <f>Charms!B626</f>
        <v>Power Beyond Reason</v>
      </c>
      <c r="C626" t="b">
        <f ca="1">OR(Values!$S$98&gt;=Charms!M626,IFERROR(Charms!J626=OFFSET(Values!$A$24,MATCH("S",Values!$T$25:$T$50,0),0),FALSE))</f>
        <v>0</v>
      </c>
      <c r="D626" t="b">
        <f>VLOOKUP(Charms!J626,Values!$A$11:$S$59,19,0)&gt;=Charms!L626</f>
        <v>0</v>
      </c>
      <c r="E626" t="e">
        <f>OR(ISBLANK(Charms!I626),(VLOOKUP(Values!$S$6,Castes!$B$2:$F$25,4,0)=Charms!I626))</f>
        <v>#N/A</v>
      </c>
      <c r="J626" t="e">
        <f t="shared" ca="1" si="46"/>
        <v>#N/A</v>
      </c>
      <c r="K626" s="18" t="e">
        <f t="shared" ca="1" si="45"/>
        <v>#N/A</v>
      </c>
      <c r="L626" t="e">
        <f ca="1">IF(J626,Charms!B626,"")</f>
        <v>#N/A</v>
      </c>
      <c r="M626" t="str">
        <f t="shared" ca="1" si="47"/>
        <v>-</v>
      </c>
      <c r="N626" s="18" t="str">
        <f t="shared" si="48"/>
        <v>K586:L660</v>
      </c>
      <c r="O626" t="str">
        <f t="shared" si="49"/>
        <v>A586:A626</v>
      </c>
    </row>
    <row r="627" spans="1:15">
      <c r="A627" s="18" t="str">
        <f>Charms!K627</f>
        <v>Lore</v>
      </c>
      <c r="B627" t="str">
        <f>Charms!B627</f>
        <v>Manse-Raising Method</v>
      </c>
      <c r="C627" t="b">
        <f ca="1">OR(Values!$S$98&gt;=Charms!M627,IFERROR(Charms!J627=OFFSET(Values!$A$24,MATCH("S",Values!$T$25:$T$50,0),0),FALSE))</f>
        <v>0</v>
      </c>
      <c r="D627" t="b">
        <f>VLOOKUP(Charms!J627,Values!$A$11:$S$59,19,0)&gt;=Charms!L627</f>
        <v>0</v>
      </c>
      <c r="E627" t="e">
        <f>OR(ISBLANK(Charms!I627),(VLOOKUP(Values!$S$6,Castes!$B$2:$F$25,4,0)=Charms!I627))</f>
        <v>#N/A</v>
      </c>
      <c r="J627" t="e">
        <f t="shared" ca="1" si="46"/>
        <v>#N/A</v>
      </c>
      <c r="K627" s="18" t="e">
        <f t="shared" ca="1" si="45"/>
        <v>#N/A</v>
      </c>
      <c r="L627" t="e">
        <f ca="1">IF(J627,Charms!B627,"")</f>
        <v>#N/A</v>
      </c>
      <c r="M627" t="str">
        <f t="shared" ca="1" si="47"/>
        <v>-</v>
      </c>
      <c r="N627" s="18" t="str">
        <f t="shared" si="48"/>
        <v>K586:L660</v>
      </c>
      <c r="O627" t="str">
        <f t="shared" si="49"/>
        <v>A586:A627</v>
      </c>
    </row>
    <row r="628" spans="1:15">
      <c r="A628" s="18" t="str">
        <f>Charms!K628</f>
        <v>Lore</v>
      </c>
      <c r="B628" t="str">
        <f>Charms!B628</f>
        <v>Demiurgic Suspiration</v>
      </c>
      <c r="C628" t="b">
        <f ca="1">OR(Values!$S$98&gt;=Charms!M628,IFERROR(Charms!J628=OFFSET(Values!$A$24,MATCH("S",Values!$T$25:$T$50,0),0),FALSE))</f>
        <v>0</v>
      </c>
      <c r="D628" t="b">
        <f>VLOOKUP(Charms!J628,Values!$A$11:$S$59,19,0)&gt;=Charms!L628</f>
        <v>0</v>
      </c>
      <c r="E628" t="e">
        <f>OR(ISBLANK(Charms!I628),(VLOOKUP(Values!$S$6,Castes!$B$2:$F$25,4,0)=Charms!I628))</f>
        <v>#N/A</v>
      </c>
      <c r="J628" t="e">
        <f t="shared" ca="1" si="46"/>
        <v>#N/A</v>
      </c>
      <c r="K628" s="18" t="e">
        <f t="shared" ca="1" si="45"/>
        <v>#N/A</v>
      </c>
      <c r="L628" t="e">
        <f ca="1">IF(J628,Charms!B628,"")</f>
        <v>#N/A</v>
      </c>
      <c r="M628" t="str">
        <f t="shared" ca="1" si="47"/>
        <v>-</v>
      </c>
      <c r="N628" s="18" t="str">
        <f t="shared" si="48"/>
        <v>K586:L660</v>
      </c>
      <c r="O628" t="str">
        <f t="shared" si="49"/>
        <v>A586:A628</v>
      </c>
    </row>
    <row r="629" spans="1:15">
      <c r="A629" s="18" t="str">
        <f>Charms!K629</f>
        <v>Lore</v>
      </c>
      <c r="B629" t="str">
        <f>Charms!B629</f>
        <v>God-King's Shrike (Dogstar Ruminations)</v>
      </c>
      <c r="C629" t="b">
        <f ca="1">OR(Values!$S$98&gt;=Charms!M629,IFERROR(Charms!J629=OFFSET(Values!$A$24,MATCH("S",Values!$T$25:$T$50,0),0),FALSE))</f>
        <v>0</v>
      </c>
      <c r="D629" t="b">
        <f>VLOOKUP(Charms!J629,Values!$A$11:$S$59,19,0)&gt;=Charms!L629</f>
        <v>0</v>
      </c>
      <c r="E629" t="e">
        <f>OR(ISBLANK(Charms!I629),(VLOOKUP(Values!$S$6,Castes!$B$2:$F$25,4,0)=Charms!I629))</f>
        <v>#N/A</v>
      </c>
      <c r="J629" t="e">
        <f t="shared" ca="1" si="46"/>
        <v>#N/A</v>
      </c>
      <c r="K629" s="18" t="e">
        <f t="shared" ca="1" si="45"/>
        <v>#N/A</v>
      </c>
      <c r="L629" t="e">
        <f ca="1">IF(J629,Charms!B629,"")</f>
        <v>#N/A</v>
      </c>
      <c r="M629" t="str">
        <f t="shared" ca="1" si="47"/>
        <v>-</v>
      </c>
      <c r="N629" s="18" t="str">
        <f t="shared" si="48"/>
        <v>K586:L660</v>
      </c>
      <c r="O629" t="str">
        <f t="shared" si="49"/>
        <v>A586:A629</v>
      </c>
    </row>
    <row r="630" spans="1:15">
      <c r="A630" s="18" t="str">
        <f>Charms!K630</f>
        <v>Lore</v>
      </c>
      <c r="B630" t="str">
        <f>Charms!B630</f>
        <v>Incalculable Flowing Mind</v>
      </c>
      <c r="C630" t="b">
        <f ca="1">OR(Values!$S$98&gt;=Charms!M630,IFERROR(Charms!J630=OFFSET(Values!$A$24,MATCH("S",Values!$T$25:$T$50,0),0),FALSE))</f>
        <v>0</v>
      </c>
      <c r="D630" t="b">
        <f>VLOOKUP(Charms!J630,Values!$A$11:$S$59,19,0)&gt;=Charms!L630</f>
        <v>0</v>
      </c>
      <c r="E630" t="e">
        <f>OR(ISBLANK(Charms!I630),(VLOOKUP(Values!$S$6,Castes!$B$2:$F$25,4,0)=Charms!I630))</f>
        <v>#N/A</v>
      </c>
      <c r="J630" t="e">
        <f t="shared" ca="1" si="46"/>
        <v>#N/A</v>
      </c>
      <c r="K630" s="18" t="e">
        <f t="shared" ca="1" si="45"/>
        <v>#N/A</v>
      </c>
      <c r="L630" t="e">
        <f ca="1">IF(J630,Charms!B630,"")</f>
        <v>#N/A</v>
      </c>
      <c r="M630" t="str">
        <f t="shared" ca="1" si="47"/>
        <v>-</v>
      </c>
      <c r="N630" s="18" t="str">
        <f t="shared" si="48"/>
        <v>K586:L660</v>
      </c>
      <c r="O630" t="str">
        <f t="shared" si="49"/>
        <v>A586:A630</v>
      </c>
    </row>
    <row r="631" spans="1:15">
      <c r="A631" s="18" t="str">
        <f>Charms!K631</f>
        <v>Lore</v>
      </c>
      <c r="B631" t="str">
        <f>Charms!B631</f>
        <v>Unstoppable Magnus Approach</v>
      </c>
      <c r="C631" t="b">
        <f ca="1">OR(Values!$S$98&gt;=Charms!M631,IFERROR(Charms!J631=OFFSET(Values!$A$24,MATCH("S",Values!$T$25:$T$50,0),0),FALSE))</f>
        <v>0</v>
      </c>
      <c r="D631" t="b">
        <f>VLOOKUP(Charms!J631,Values!$A$11:$S$59,19,0)&gt;=Charms!L631</f>
        <v>0</v>
      </c>
      <c r="E631" t="e">
        <f>OR(ISBLANK(Charms!I631),(VLOOKUP(Values!$S$6,Castes!$B$2:$F$25,4,0)=Charms!I631))</f>
        <v>#N/A</v>
      </c>
      <c r="J631" t="e">
        <f t="shared" ca="1" si="46"/>
        <v>#N/A</v>
      </c>
      <c r="K631" s="18" t="e">
        <f t="shared" ca="1" si="45"/>
        <v>#N/A</v>
      </c>
      <c r="L631" t="e">
        <f ca="1">IF(J631,Charms!B631,"")</f>
        <v>#N/A</v>
      </c>
      <c r="M631" t="str">
        <f t="shared" ca="1" si="47"/>
        <v>-</v>
      </c>
      <c r="N631" s="18" t="str">
        <f t="shared" si="48"/>
        <v>K586:L660</v>
      </c>
      <c r="O631" t="str">
        <f t="shared" si="49"/>
        <v>A586:A631</v>
      </c>
    </row>
    <row r="632" spans="1:15">
      <c r="A632" s="18" t="str">
        <f>Charms!K632</f>
        <v>Lore</v>
      </c>
      <c r="B632" t="str">
        <f>Charms!B632</f>
        <v>Savant of Nine Glories</v>
      </c>
      <c r="C632" t="b">
        <f ca="1">OR(Values!$S$98&gt;=Charms!M632,IFERROR(Charms!J632=OFFSET(Values!$A$24,MATCH("S",Values!$T$25:$T$50,0),0),FALSE))</f>
        <v>0</v>
      </c>
      <c r="D632" t="b">
        <f>VLOOKUP(Charms!J632,Values!$A$11:$S$59,19,0)&gt;=Charms!L632</f>
        <v>0</v>
      </c>
      <c r="E632" t="e">
        <f>OR(ISBLANK(Charms!I632),(VLOOKUP(Values!$S$6,Castes!$B$2:$F$25,4,0)=Charms!I632))</f>
        <v>#N/A</v>
      </c>
      <c r="J632" t="e">
        <f t="shared" ca="1" si="46"/>
        <v>#N/A</v>
      </c>
      <c r="K632" s="18" t="e">
        <f t="shared" ca="1" si="45"/>
        <v>#N/A</v>
      </c>
      <c r="L632" t="e">
        <f ca="1">IF(J632,Charms!B632,"")</f>
        <v>#N/A</v>
      </c>
      <c r="M632" t="str">
        <f t="shared" ca="1" si="47"/>
        <v>-</v>
      </c>
      <c r="N632" s="18" t="str">
        <f t="shared" si="48"/>
        <v>K586:L660</v>
      </c>
      <c r="O632" t="str">
        <f t="shared" si="49"/>
        <v>A586:A632</v>
      </c>
    </row>
    <row r="633" spans="1:15">
      <c r="A633" s="18" t="str">
        <f>Charms!K633</f>
        <v>Lore</v>
      </c>
      <c r="B633" t="str">
        <f>Charms!B633</f>
        <v>Soul-Light Spreading Discipline</v>
      </c>
      <c r="C633" t="b">
        <f ca="1">OR(Values!$S$98&gt;=Charms!M633,IFERROR(Charms!J633=OFFSET(Values!$A$24,MATCH("S",Values!$T$25:$T$50,0),0),FALSE))</f>
        <v>0</v>
      </c>
      <c r="D633" t="b">
        <f>VLOOKUP(Charms!J633,Values!$A$11:$S$59,19,0)&gt;=Charms!L633</f>
        <v>0</v>
      </c>
      <c r="E633" t="e">
        <f>OR(ISBLANK(Charms!I633),(VLOOKUP(Values!$S$6,Castes!$B$2:$F$25,4,0)=Charms!I633))</f>
        <v>#N/A</v>
      </c>
      <c r="J633" t="e">
        <f t="shared" ca="1" si="46"/>
        <v>#N/A</v>
      </c>
      <c r="K633" s="18" t="e">
        <f t="shared" ca="1" si="45"/>
        <v>#N/A</v>
      </c>
      <c r="L633" t="e">
        <f ca="1">IF(J633,Charms!B633,"")</f>
        <v>#N/A</v>
      </c>
      <c r="M633" t="str">
        <f t="shared" ca="1" si="47"/>
        <v>-</v>
      </c>
      <c r="N633" s="18" t="str">
        <f t="shared" si="48"/>
        <v>K586:L660</v>
      </c>
      <c r="O633" t="str">
        <f t="shared" si="49"/>
        <v>A586:A633</v>
      </c>
    </row>
    <row r="634" spans="1:15">
      <c r="A634" s="18" t="str">
        <f>Charms!K634</f>
        <v>Lore</v>
      </c>
      <c r="B634" t="str">
        <f>Charms!B634</f>
        <v>Cloud-Wreathed Scholar</v>
      </c>
      <c r="C634" t="b">
        <f ca="1">OR(Values!$S$98&gt;=Charms!M634,IFERROR(Charms!J634=OFFSET(Values!$A$24,MATCH("S",Values!$T$25:$T$50,0),0),FALSE))</f>
        <v>0</v>
      </c>
      <c r="D634" t="b">
        <f>VLOOKUP(Charms!J634,Values!$A$11:$S$59,19,0)&gt;=Charms!L634</f>
        <v>0</v>
      </c>
      <c r="E634" t="e">
        <f>OR(ISBLANK(Charms!I634),(VLOOKUP(Values!$S$6,Castes!$B$2:$F$25,4,0)=Charms!I634))</f>
        <v>#N/A</v>
      </c>
      <c r="J634" t="e">
        <f t="shared" ca="1" si="46"/>
        <v>#N/A</v>
      </c>
      <c r="K634" s="18" t="e">
        <f t="shared" ca="1" si="45"/>
        <v>#N/A</v>
      </c>
      <c r="L634" t="e">
        <f ca="1">IF(J634,Charms!B634,"")</f>
        <v>#N/A</v>
      </c>
      <c r="M634" t="str">
        <f t="shared" ca="1" si="47"/>
        <v>-</v>
      </c>
      <c r="N634" s="18" t="str">
        <f t="shared" si="48"/>
        <v>K586:L660</v>
      </c>
      <c r="O634" t="str">
        <f t="shared" si="49"/>
        <v>A586:A634</v>
      </c>
    </row>
    <row r="635" spans="1:15">
      <c r="A635" s="18" t="str">
        <f>Charms!K635</f>
        <v>Lore</v>
      </c>
      <c r="B635" t="str">
        <f>Charms!B635</f>
        <v>Hundred Sages Focus</v>
      </c>
      <c r="C635" t="b">
        <f ca="1">OR(Values!$S$98&gt;=Charms!M635,IFERROR(Charms!J635=OFFSET(Values!$A$24,MATCH("S",Values!$T$25:$T$50,0),0),FALSE))</f>
        <v>0</v>
      </c>
      <c r="D635" t="b">
        <f>VLOOKUP(Charms!J635,Values!$A$11:$S$59,19,0)&gt;=Charms!L635</f>
        <v>0</v>
      </c>
      <c r="E635" t="e">
        <f>OR(ISBLANK(Charms!I635),(VLOOKUP(Values!$S$6,Castes!$B$2:$F$25,4,0)=Charms!I635))</f>
        <v>#N/A</v>
      </c>
      <c r="J635" t="e">
        <f t="shared" ca="1" si="46"/>
        <v>#N/A</v>
      </c>
      <c r="K635" s="18" t="e">
        <f t="shared" ca="1" si="45"/>
        <v>#N/A</v>
      </c>
      <c r="L635" t="e">
        <f ca="1">IF(J635,Charms!B635,"")</f>
        <v>#N/A</v>
      </c>
      <c r="M635" t="str">
        <f t="shared" ca="1" si="47"/>
        <v>-</v>
      </c>
      <c r="N635" s="18" t="str">
        <f t="shared" si="48"/>
        <v>K586:L660</v>
      </c>
      <c r="O635" t="str">
        <f t="shared" si="49"/>
        <v>A586:A635</v>
      </c>
    </row>
    <row r="636" spans="1:15">
      <c r="A636" s="18" t="str">
        <f>Charms!K636</f>
        <v>Lore</v>
      </c>
      <c r="B636" t="str">
        <f>Charms!B636</f>
        <v>Legend-Spirit Convocation</v>
      </c>
      <c r="C636" t="b">
        <f ca="1">OR(Values!$S$98&gt;=Charms!M636,IFERROR(Charms!J636=OFFSET(Values!$A$24,MATCH("S",Values!$T$25:$T$50,0),0),FALSE))</f>
        <v>0</v>
      </c>
      <c r="D636" t="b">
        <f>VLOOKUP(Charms!J636,Values!$A$11:$S$59,19,0)&gt;=Charms!L636</f>
        <v>0</v>
      </c>
      <c r="E636" t="e">
        <f>OR(ISBLANK(Charms!I636),(VLOOKUP(Values!$S$6,Castes!$B$2:$F$25,4,0)=Charms!I636))</f>
        <v>#N/A</v>
      </c>
      <c r="J636" t="e">
        <f t="shared" ca="1" si="46"/>
        <v>#N/A</v>
      </c>
      <c r="K636" s="18" t="e">
        <f t="shared" ca="1" si="45"/>
        <v>#N/A</v>
      </c>
      <c r="L636" t="e">
        <f ca="1">IF(J636,Charms!B636,"")</f>
        <v>#N/A</v>
      </c>
      <c r="M636" t="str">
        <f t="shared" ca="1" si="47"/>
        <v>-</v>
      </c>
      <c r="N636" s="18" t="str">
        <f t="shared" si="48"/>
        <v>K586:L660</v>
      </c>
      <c r="O636" t="str">
        <f t="shared" si="49"/>
        <v>A586:A636</v>
      </c>
    </row>
    <row r="637" spans="1:15">
      <c r="A637" s="18" t="str">
        <f>Charms!K637</f>
        <v>Lore</v>
      </c>
      <c r="B637" t="str">
        <f>Charms!B637</f>
        <v>All-Knowing Enlightened Sovereign</v>
      </c>
      <c r="C637" t="b">
        <f ca="1">OR(Values!$S$98&gt;=Charms!M637,IFERROR(Charms!J637=OFFSET(Values!$A$24,MATCH("S",Values!$T$25:$T$50,0),0),FALSE))</f>
        <v>0</v>
      </c>
      <c r="D637" t="b">
        <f>VLOOKUP(Charms!J637,Values!$A$11:$S$59,19,0)&gt;=Charms!L637</f>
        <v>0</v>
      </c>
      <c r="E637" t="e">
        <f>OR(ISBLANK(Charms!I637),(VLOOKUP(Values!$S$6,Castes!$B$2:$F$25,4,0)=Charms!I637))</f>
        <v>#N/A</v>
      </c>
      <c r="J637" t="e">
        <f t="shared" ca="1" si="46"/>
        <v>#N/A</v>
      </c>
      <c r="K637" s="18" t="e">
        <f t="shared" ca="1" si="45"/>
        <v>#N/A</v>
      </c>
      <c r="L637" t="e">
        <f ca="1">IF(J637,Charms!B637,"")</f>
        <v>#N/A</v>
      </c>
      <c r="M637" t="str">
        <f t="shared" ca="1" si="47"/>
        <v>-</v>
      </c>
      <c r="N637" s="18" t="str">
        <f t="shared" si="48"/>
        <v>K586:L660</v>
      </c>
      <c r="O637" t="str">
        <f t="shared" si="49"/>
        <v>A586:A637</v>
      </c>
    </row>
    <row r="638" spans="1:15">
      <c r="A638" s="18" t="str">
        <f>Charms!K638</f>
        <v>Lore</v>
      </c>
      <c r="B638" t="str">
        <f>Charms!B638</f>
        <v>Careful Insight-Gathering Study</v>
      </c>
      <c r="C638" t="b">
        <f ca="1">OR(Values!$S$98&gt;=Charms!M638,IFERROR(Charms!J638=OFFSET(Values!$A$24,MATCH("S",Values!$T$25:$T$50,0),0),FALSE))</f>
        <v>1</v>
      </c>
      <c r="D638" t="b">
        <f>VLOOKUP(Charms!J638,Values!$A$11:$S$59,19,0)&gt;=Charms!L638</f>
        <v>0</v>
      </c>
      <c r="E638" t="e">
        <f>OR(ISBLANK(Charms!I638),(VLOOKUP(Values!$S$6,Castes!$B$2:$F$25,4,0)=Charms!I638))</f>
        <v>#N/A</v>
      </c>
      <c r="J638" t="e">
        <f t="shared" ca="1" si="46"/>
        <v>#N/A</v>
      </c>
      <c r="K638" s="18" t="e">
        <f t="shared" ca="1" si="45"/>
        <v>#N/A</v>
      </c>
      <c r="L638" t="e">
        <f ca="1">IF(J638,Charms!B638,"")</f>
        <v>#N/A</v>
      </c>
      <c r="M638" t="str">
        <f t="shared" ca="1" si="47"/>
        <v>-</v>
      </c>
      <c r="N638" s="18" t="str">
        <f t="shared" si="48"/>
        <v>K586:L660</v>
      </c>
      <c r="O638" t="str">
        <f t="shared" si="49"/>
        <v>A586:A638</v>
      </c>
    </row>
    <row r="639" spans="1:15">
      <c r="A639" s="18" t="str">
        <f>Charms!K639</f>
        <v>Lore</v>
      </c>
      <c r="B639" t="str">
        <f>Charms!B639</f>
        <v>Opening the Mind’s Gates</v>
      </c>
      <c r="C639" t="b">
        <f ca="1">OR(Values!$S$98&gt;=Charms!M639,IFERROR(Charms!J639=OFFSET(Values!$A$24,MATCH("S",Values!$T$25:$T$50,0),0),FALSE))</f>
        <v>1</v>
      </c>
      <c r="D639" t="b">
        <f>VLOOKUP(Charms!J639,Values!$A$11:$S$59,19,0)&gt;=Charms!L639</f>
        <v>0</v>
      </c>
      <c r="E639" t="e">
        <f>OR(ISBLANK(Charms!I639),(VLOOKUP(Values!$S$6,Castes!$B$2:$F$25,4,0)=Charms!I639))</f>
        <v>#N/A</v>
      </c>
      <c r="J639" t="e">
        <f t="shared" ca="1" si="46"/>
        <v>#N/A</v>
      </c>
      <c r="K639" s="18" t="e">
        <f t="shared" ca="1" si="45"/>
        <v>#N/A</v>
      </c>
      <c r="L639" t="e">
        <f ca="1">IF(J639,Charms!B639,"")</f>
        <v>#N/A</v>
      </c>
      <c r="M639" t="str">
        <f t="shared" ca="1" si="47"/>
        <v>-</v>
      </c>
      <c r="N639" s="18" t="str">
        <f t="shared" si="48"/>
        <v>K586:L660</v>
      </c>
      <c r="O639" t="str">
        <f t="shared" si="49"/>
        <v>A586:A639</v>
      </c>
    </row>
    <row r="640" spans="1:15">
      <c r="A640" s="18" t="str">
        <f>Charms!K640</f>
        <v>Lore</v>
      </c>
      <c r="B640" t="str">
        <f>Charms!B640</f>
        <v>Flawless Study Focus</v>
      </c>
      <c r="C640" t="b">
        <f ca="1">OR(Values!$S$98&gt;=Charms!M640,IFERROR(Charms!J640=OFFSET(Values!$A$24,MATCH("S",Values!$T$25:$T$50,0),0),FALSE))</f>
        <v>1</v>
      </c>
      <c r="D640" t="b">
        <f>VLOOKUP(Charms!J640,Values!$A$11:$S$59,19,0)&gt;=Charms!L640</f>
        <v>0</v>
      </c>
      <c r="E640" t="e">
        <f>OR(ISBLANK(Charms!I640),(VLOOKUP(Values!$S$6,Castes!$B$2:$F$25,4,0)=Charms!I640))</f>
        <v>#N/A</v>
      </c>
      <c r="J640" t="e">
        <f t="shared" ca="1" si="46"/>
        <v>#N/A</v>
      </c>
      <c r="K640" s="18" t="e">
        <f t="shared" ca="1" si="45"/>
        <v>#N/A</v>
      </c>
      <c r="L640" t="e">
        <f ca="1">IF(J640,Charms!B640,"")</f>
        <v>#N/A</v>
      </c>
      <c r="M640" t="str">
        <f t="shared" ca="1" si="47"/>
        <v>-</v>
      </c>
      <c r="N640" s="18" t="str">
        <f t="shared" si="48"/>
        <v>K586:L660</v>
      </c>
      <c r="O640" t="str">
        <f t="shared" si="49"/>
        <v>A586:A640</v>
      </c>
    </row>
    <row r="641" spans="1:15">
      <c r="A641" s="18" t="str">
        <f>Charms!K641</f>
        <v>Lore</v>
      </c>
      <c r="B641" t="str">
        <f>Charms!B641</f>
        <v>Elemental Concentration Trance</v>
      </c>
      <c r="C641" t="b">
        <f ca="1">OR(Values!$S$98&gt;=Charms!M641,IFERROR(Charms!J641=OFFSET(Values!$A$24,MATCH("S",Values!$T$25:$T$50,0),0),FALSE))</f>
        <v>1</v>
      </c>
      <c r="D641" t="b">
        <f>VLOOKUP(Charms!J641,Values!$A$11:$S$59,19,0)&gt;=Charms!L641</f>
        <v>0</v>
      </c>
      <c r="E641" t="e">
        <f>OR(ISBLANK(Charms!I641),(VLOOKUP(Values!$S$6,Castes!$B$2:$F$25,4,0)=Charms!I641))</f>
        <v>#N/A</v>
      </c>
      <c r="J641" t="e">
        <f t="shared" ca="1" si="46"/>
        <v>#N/A</v>
      </c>
      <c r="K641" s="18" t="e">
        <f t="shared" ca="1" si="45"/>
        <v>#N/A</v>
      </c>
      <c r="L641" t="e">
        <f ca="1">IF(J641,Charms!B641,"")</f>
        <v>#N/A</v>
      </c>
      <c r="M641" t="str">
        <f t="shared" ca="1" si="47"/>
        <v>-</v>
      </c>
      <c r="N641" s="18" t="str">
        <f t="shared" si="48"/>
        <v>K586:L660</v>
      </c>
      <c r="O641" t="str">
        <f t="shared" si="49"/>
        <v>A586:A641</v>
      </c>
    </row>
    <row r="642" spans="1:15">
      <c r="A642" s="18" t="str">
        <f>Charms!K642</f>
        <v>Lore</v>
      </c>
      <c r="B642" t="str">
        <f>Charms!B642</f>
        <v>Dragon-Kin Empowerment</v>
      </c>
      <c r="C642" t="b">
        <f ca="1">OR(Values!$S$98&gt;=Charms!M642,IFERROR(Charms!J642=OFFSET(Values!$A$24,MATCH("S",Values!$T$25:$T$50,0),0),FALSE))</f>
        <v>1</v>
      </c>
      <c r="D642" t="b">
        <f>VLOOKUP(Charms!J642,Values!$A$11:$S$59,19,0)&gt;=Charms!L642</f>
        <v>0</v>
      </c>
      <c r="E642" t="e">
        <f>OR(ISBLANK(Charms!I642),(VLOOKUP(Values!$S$6,Castes!$B$2:$F$25,4,0)=Charms!I642))</f>
        <v>#N/A</v>
      </c>
      <c r="J642" t="e">
        <f t="shared" ca="1" si="46"/>
        <v>#N/A</v>
      </c>
      <c r="K642" s="18" t="e">
        <f t="shared" ref="K642:K705" ca="1" si="50">IF(L642="","",COUNTIF(INDIRECT("J"&amp;MATCH(A642,A:A,0)&amp;":J"&amp;ROW()),J642))</f>
        <v>#N/A</v>
      </c>
      <c r="L642" t="e">
        <f ca="1">IF(J642,Charms!B642,"")</f>
        <v>#N/A</v>
      </c>
      <c r="M642" t="str">
        <f t="shared" ca="1" si="47"/>
        <v>-</v>
      </c>
      <c r="N642" s="18" t="str">
        <f t="shared" si="48"/>
        <v>K586:L660</v>
      </c>
      <c r="O642" t="str">
        <f t="shared" si="49"/>
        <v>A586:A642</v>
      </c>
    </row>
    <row r="643" spans="1:15">
      <c r="A643" s="18" t="str">
        <f>Charms!K643</f>
        <v>Lore</v>
      </c>
      <c r="B643" t="str">
        <f>Charms!B643</f>
        <v>Elemental Bolt Attack</v>
      </c>
      <c r="C643" t="b">
        <f ca="1">OR(Values!$S$98&gt;=Charms!M643,IFERROR(Charms!J643=OFFSET(Values!$A$24,MATCH("S",Values!$T$25:$T$50,0),0),FALSE))</f>
        <v>1</v>
      </c>
      <c r="D643" t="b">
        <f>VLOOKUP(Charms!J643,Values!$A$11:$S$59,19,0)&gt;=Charms!L643</f>
        <v>0</v>
      </c>
      <c r="E643" t="e">
        <f>OR(ISBLANK(Charms!I643),(VLOOKUP(Values!$S$6,Castes!$B$2:$F$25,4,0)=Charms!I643))</f>
        <v>#N/A</v>
      </c>
      <c r="J643" t="e">
        <f t="shared" ref="J643:J706" ca="1" si="51">(C643+D643+E643+F643+G643+H643+I643)=3</f>
        <v>#N/A</v>
      </c>
      <c r="K643" s="18" t="e">
        <f t="shared" ca="1" si="50"/>
        <v>#N/A</v>
      </c>
      <c r="L643" t="e">
        <f ca="1">IF(J643,Charms!B643,"")</f>
        <v>#N/A</v>
      </c>
      <c r="M643" t="str">
        <f t="shared" ref="M643:M706" ca="1" si="52">IFERROR(VLOOKUP(COUNTIF(INDIRECT(O643),A643),INDIRECT(N643),2,0),"-")</f>
        <v>-</v>
      </c>
      <c r="N643" s="18" t="str">
        <f t="shared" ref="N643:N706" si="53">"K"&amp;MATCH(A643,A:A,0)&amp;":L"&amp;(MATCH(A643,A:A,0)+COUNTIF(A:A,A643)-1)</f>
        <v>K586:L660</v>
      </c>
      <c r="O643" t="str">
        <f t="shared" ref="O643:O706" si="54">"A"&amp;MATCH(A643,A:A,0)&amp;":A"&amp;ROW()</f>
        <v>A586:A643</v>
      </c>
    </row>
    <row r="644" spans="1:15">
      <c r="A644" s="18" t="str">
        <f>Charms!K644</f>
        <v>Lore</v>
      </c>
      <c r="B644" t="str">
        <f>Charms!B644</f>
        <v>Elemental Empowerment Meditation</v>
      </c>
      <c r="C644" t="b">
        <f ca="1">OR(Values!$S$98&gt;=Charms!M644,IFERROR(Charms!J644=OFFSET(Values!$A$24,MATCH("S",Values!$T$25:$T$50,0),0),FALSE))</f>
        <v>0</v>
      </c>
      <c r="D644" t="b">
        <f>VLOOKUP(Charms!J644,Values!$A$11:$S$59,19,0)&gt;=Charms!L644</f>
        <v>0</v>
      </c>
      <c r="E644" t="e">
        <f>OR(ISBLANK(Charms!I644),(VLOOKUP(Values!$S$6,Castes!$B$2:$F$25,4,0)=Charms!I644))</f>
        <v>#N/A</v>
      </c>
      <c r="J644" t="e">
        <f t="shared" ca="1" si="51"/>
        <v>#N/A</v>
      </c>
      <c r="K644" s="18" t="e">
        <f t="shared" ca="1" si="50"/>
        <v>#N/A</v>
      </c>
      <c r="L644" t="e">
        <f ca="1">IF(J644,Charms!B644,"")</f>
        <v>#N/A</v>
      </c>
      <c r="M644" t="str">
        <f t="shared" ca="1" si="52"/>
        <v>-</v>
      </c>
      <c r="N644" s="18" t="str">
        <f t="shared" si="53"/>
        <v>K586:L660</v>
      </c>
      <c r="O644" t="str">
        <f t="shared" si="54"/>
        <v>A586:A644</v>
      </c>
    </row>
    <row r="645" spans="1:15">
      <c r="A645" s="18" t="str">
        <f>Charms!K645</f>
        <v>Lore</v>
      </c>
      <c r="B645" t="str">
        <f>Charms!B645</f>
        <v>Sagacious Elder’s Instruction</v>
      </c>
      <c r="C645" t="b">
        <f ca="1">OR(Values!$S$98&gt;=Charms!M645,IFERROR(Charms!J645=OFFSET(Values!$A$24,MATCH("S",Values!$T$25:$T$50,0),0),FALSE))</f>
        <v>0</v>
      </c>
      <c r="D645" t="b">
        <f>VLOOKUP(Charms!J645,Values!$A$11:$S$59,19,0)&gt;=Charms!L645</f>
        <v>0</v>
      </c>
      <c r="E645" t="e">
        <f>OR(ISBLANK(Charms!I645),(VLOOKUP(Values!$S$6,Castes!$B$2:$F$25,4,0)=Charms!I645))</f>
        <v>#N/A</v>
      </c>
      <c r="J645" t="e">
        <f t="shared" ca="1" si="51"/>
        <v>#N/A</v>
      </c>
      <c r="K645" s="18" t="e">
        <f t="shared" ca="1" si="50"/>
        <v>#N/A</v>
      </c>
      <c r="L645" t="e">
        <f ca="1">IF(J645,Charms!B645,"")</f>
        <v>#N/A</v>
      </c>
      <c r="M645" t="str">
        <f t="shared" ca="1" si="52"/>
        <v>-</v>
      </c>
      <c r="N645" s="18" t="str">
        <f t="shared" si="53"/>
        <v>K586:L660</v>
      </c>
      <c r="O645" t="str">
        <f t="shared" si="54"/>
        <v>A586:A645</v>
      </c>
    </row>
    <row r="646" spans="1:15">
      <c r="A646" s="18" t="str">
        <f>Charms!K646</f>
        <v>Lore</v>
      </c>
      <c r="B646" t="str">
        <f>Charms!B646</f>
        <v>Lightning Flash Inspiration</v>
      </c>
      <c r="C646" t="b">
        <f ca="1">OR(Values!$S$98&gt;=Charms!M646,IFERROR(Charms!J646=OFFSET(Values!$A$24,MATCH("S",Values!$T$25:$T$50,0),0),FALSE))</f>
        <v>0</v>
      </c>
      <c r="D646" t="b">
        <f>VLOOKUP(Charms!J646,Values!$A$11:$S$59,19,0)&gt;=Charms!L646</f>
        <v>0</v>
      </c>
      <c r="E646" t="e">
        <f>OR(ISBLANK(Charms!I646),(VLOOKUP(Values!$S$6,Castes!$B$2:$F$25,4,0)=Charms!I646))</f>
        <v>#N/A</v>
      </c>
      <c r="J646" t="e">
        <f t="shared" ca="1" si="51"/>
        <v>#N/A</v>
      </c>
      <c r="K646" s="18" t="e">
        <f t="shared" ca="1" si="50"/>
        <v>#N/A</v>
      </c>
      <c r="L646" t="e">
        <f ca="1">IF(J646,Charms!B646,"")</f>
        <v>#N/A</v>
      </c>
      <c r="M646" t="str">
        <f t="shared" ca="1" si="52"/>
        <v>-</v>
      </c>
      <c r="N646" s="18" t="str">
        <f t="shared" si="53"/>
        <v>K586:L660</v>
      </c>
      <c r="O646" t="str">
        <f t="shared" si="54"/>
        <v>A586:A646</v>
      </c>
    </row>
    <row r="647" spans="1:15">
      <c r="A647" s="18" t="str">
        <f>Charms!K647</f>
        <v>Lore</v>
      </c>
      <c r="B647" t="str">
        <f>Charms!B647</f>
        <v>Elemental Succor Method</v>
      </c>
      <c r="C647" t="b">
        <f ca="1">OR(Values!$S$98&gt;=Charms!M647,IFERROR(Charms!J647=OFFSET(Values!$A$24,MATCH("S",Values!$T$25:$T$50,0),0),FALSE))</f>
        <v>0</v>
      </c>
      <c r="D647" t="b">
        <f>VLOOKUP(Charms!J647,Values!$A$11:$S$59,19,0)&gt;=Charms!L647</f>
        <v>0</v>
      </c>
      <c r="E647" t="e">
        <f>OR(ISBLANK(Charms!I647),(VLOOKUP(Values!$S$6,Castes!$B$2:$F$25,4,0)=Charms!I647))</f>
        <v>#N/A</v>
      </c>
      <c r="J647" t="e">
        <f t="shared" ca="1" si="51"/>
        <v>#N/A</v>
      </c>
      <c r="K647" s="18" t="e">
        <f t="shared" ca="1" si="50"/>
        <v>#N/A</v>
      </c>
      <c r="L647" t="e">
        <f ca="1">IF(J647,Charms!B647,"")</f>
        <v>#N/A</v>
      </c>
      <c r="M647" t="str">
        <f t="shared" ca="1" si="52"/>
        <v>-</v>
      </c>
      <c r="N647" s="18" t="str">
        <f t="shared" si="53"/>
        <v>K586:L660</v>
      </c>
      <c r="O647" t="str">
        <f t="shared" si="54"/>
        <v>A586:A647</v>
      </c>
    </row>
    <row r="648" spans="1:15">
      <c r="A648" s="18" t="str">
        <f>Charms!K648</f>
        <v>Lore</v>
      </c>
      <c r="B648" t="str">
        <f>Charms!B648</f>
        <v>Thunderstruck Charlatan Imprecation</v>
      </c>
      <c r="C648" t="b">
        <f ca="1">OR(Values!$S$98&gt;=Charms!M648,IFERROR(Charms!J648=OFFSET(Values!$A$24,MATCH("S",Values!$T$25:$T$50,0),0),FALSE))</f>
        <v>0</v>
      </c>
      <c r="D648" t="b">
        <f>VLOOKUP(Charms!J648,Values!$A$11:$S$59,19,0)&gt;=Charms!L648</f>
        <v>0</v>
      </c>
      <c r="E648" t="e">
        <f>OR(ISBLANK(Charms!I648),(VLOOKUP(Values!$S$6,Castes!$B$2:$F$25,4,0)=Charms!I648))</f>
        <v>#N/A</v>
      </c>
      <c r="J648" t="e">
        <f t="shared" ca="1" si="51"/>
        <v>#N/A</v>
      </c>
      <c r="K648" s="18" t="e">
        <f t="shared" ca="1" si="50"/>
        <v>#N/A</v>
      </c>
      <c r="L648" t="e">
        <f ca="1">IF(J648,Charms!B648,"")</f>
        <v>#N/A</v>
      </c>
      <c r="M648" t="str">
        <f t="shared" ca="1" si="52"/>
        <v>-</v>
      </c>
      <c r="N648" s="18" t="str">
        <f t="shared" si="53"/>
        <v>K586:L660</v>
      </c>
      <c r="O648" t="str">
        <f t="shared" si="54"/>
        <v>A586:A648</v>
      </c>
    </row>
    <row r="649" spans="1:15">
      <c r="A649" s="18" t="str">
        <f>Charms!K649</f>
        <v>Lore</v>
      </c>
      <c r="B649" t="str">
        <f>Charms!B649</f>
        <v>Stern Tutor Discipline</v>
      </c>
      <c r="C649" t="b">
        <f ca="1">OR(Values!$S$98&gt;=Charms!M649,IFERROR(Charms!J649=OFFSET(Values!$A$24,MATCH("S",Values!$T$25:$T$50,0),0),FALSE))</f>
        <v>0</v>
      </c>
      <c r="D649" t="b">
        <f>VLOOKUP(Charms!J649,Values!$A$11:$S$59,19,0)&gt;=Charms!L649</f>
        <v>0</v>
      </c>
      <c r="E649" t="e">
        <f>OR(ISBLANK(Charms!I649),(VLOOKUP(Values!$S$6,Castes!$B$2:$F$25,4,0)=Charms!I649))</f>
        <v>#N/A</v>
      </c>
      <c r="J649" t="e">
        <f t="shared" ca="1" si="51"/>
        <v>#N/A</v>
      </c>
      <c r="K649" s="18" t="e">
        <f t="shared" ca="1" si="50"/>
        <v>#N/A</v>
      </c>
      <c r="L649" t="e">
        <f ca="1">IF(J649,Charms!B649,"")</f>
        <v>#N/A</v>
      </c>
      <c r="M649" t="str">
        <f t="shared" ca="1" si="52"/>
        <v>-</v>
      </c>
      <c r="N649" s="18" t="str">
        <f t="shared" si="53"/>
        <v>K586:L660</v>
      </c>
      <c r="O649" t="str">
        <f t="shared" si="54"/>
        <v>A586:A649</v>
      </c>
    </row>
    <row r="650" spans="1:15">
      <c r="A650" s="18" t="str">
        <f>Charms!K650</f>
        <v>Lore</v>
      </c>
      <c r="B650" t="str">
        <f>Charms!B650</f>
        <v>Fulminating Thunderhead Brilliance</v>
      </c>
      <c r="C650" t="b">
        <f ca="1">OR(Values!$S$98&gt;=Charms!M650,IFERROR(Charms!J650=OFFSET(Values!$A$24,MATCH("S",Values!$T$25:$T$50,0),0),FALSE))</f>
        <v>0</v>
      </c>
      <c r="D650" t="b">
        <f>VLOOKUP(Charms!J650,Values!$A$11:$S$59,19,0)&gt;=Charms!L650</f>
        <v>0</v>
      </c>
      <c r="E650" t="e">
        <f>OR(ISBLANK(Charms!I650),(VLOOKUP(Values!$S$6,Castes!$B$2:$F$25,4,0)=Charms!I650))</f>
        <v>#N/A</v>
      </c>
      <c r="J650" t="e">
        <f t="shared" ca="1" si="51"/>
        <v>#N/A</v>
      </c>
      <c r="K650" s="18" t="e">
        <f t="shared" ca="1" si="50"/>
        <v>#N/A</v>
      </c>
      <c r="L650" t="e">
        <f ca="1">IF(J650,Charms!B650,"")</f>
        <v>#N/A</v>
      </c>
      <c r="M650" t="str">
        <f t="shared" ca="1" si="52"/>
        <v>-</v>
      </c>
      <c r="N650" s="18" t="str">
        <f t="shared" si="53"/>
        <v>K586:L660</v>
      </c>
      <c r="O650" t="str">
        <f t="shared" si="54"/>
        <v>A586:A650</v>
      </c>
    </row>
    <row r="651" spans="1:15">
      <c r="A651" s="18" t="str">
        <f>Charms!K651</f>
        <v>Lore</v>
      </c>
      <c r="B651" t="str">
        <f>Charms!B651</f>
        <v>Truth-In-Stone Binding</v>
      </c>
      <c r="C651" t="b">
        <f ca="1">OR(Values!$S$98&gt;=Charms!M651,IFERROR(Charms!J651=OFFSET(Values!$A$24,MATCH("S",Values!$T$25:$T$50,0),0),FALSE))</f>
        <v>0</v>
      </c>
      <c r="D651" t="b">
        <f>VLOOKUP(Charms!J651,Values!$A$11:$S$59,19,0)&gt;=Charms!L651</f>
        <v>0</v>
      </c>
      <c r="E651" t="e">
        <f>OR(ISBLANK(Charms!I651),(VLOOKUP(Values!$S$6,Castes!$B$2:$F$25,4,0)=Charms!I651))</f>
        <v>#N/A</v>
      </c>
      <c r="J651" t="e">
        <f t="shared" ca="1" si="51"/>
        <v>#N/A</v>
      </c>
      <c r="K651" s="18" t="e">
        <f t="shared" ca="1" si="50"/>
        <v>#N/A</v>
      </c>
      <c r="L651" t="e">
        <f ca="1">IF(J651,Charms!B651,"")</f>
        <v>#N/A</v>
      </c>
      <c r="M651" t="str">
        <f t="shared" ca="1" si="52"/>
        <v>-</v>
      </c>
      <c r="N651" s="18" t="str">
        <f t="shared" si="53"/>
        <v>K586:L660</v>
      </c>
      <c r="O651" t="str">
        <f t="shared" si="54"/>
        <v>A586:A651</v>
      </c>
    </row>
    <row r="652" spans="1:15">
      <c r="A652" s="18" t="str">
        <f>Charms!K652</f>
        <v>Lore</v>
      </c>
      <c r="B652" t="str">
        <f>Charms!B652</f>
        <v>Ten Thousand Minds Ablaze</v>
      </c>
      <c r="C652" t="b">
        <f ca="1">OR(Values!$S$98&gt;=Charms!M652,IFERROR(Charms!J652=OFFSET(Values!$A$24,MATCH("S",Values!$T$25:$T$50,0),0),FALSE))</f>
        <v>0</v>
      </c>
      <c r="D652" t="b">
        <f>VLOOKUP(Charms!J652,Values!$A$11:$S$59,19,0)&gt;=Charms!L652</f>
        <v>0</v>
      </c>
      <c r="E652" t="e">
        <f>OR(ISBLANK(Charms!I652),(VLOOKUP(Values!$S$6,Castes!$B$2:$F$25,4,0)=Charms!I652))</f>
        <v>#N/A</v>
      </c>
      <c r="J652" t="e">
        <f t="shared" ca="1" si="51"/>
        <v>#N/A</v>
      </c>
      <c r="K652" s="18" t="e">
        <f t="shared" ca="1" si="50"/>
        <v>#N/A</v>
      </c>
      <c r="L652" t="e">
        <f ca="1">IF(J652,Charms!B652,"")</f>
        <v>#N/A</v>
      </c>
      <c r="M652" t="str">
        <f t="shared" ca="1" si="52"/>
        <v>-</v>
      </c>
      <c r="N652" s="18" t="str">
        <f t="shared" si="53"/>
        <v>K586:L660</v>
      </c>
      <c r="O652" t="str">
        <f t="shared" si="54"/>
        <v>A586:A652</v>
      </c>
    </row>
    <row r="653" spans="1:15">
      <c r="A653" s="18" t="str">
        <f>Charms!K653</f>
        <v>Lore</v>
      </c>
      <c r="B653" t="str">
        <f>Charms!B653</f>
        <v>Ink-Black Ocean Depths</v>
      </c>
      <c r="C653" t="b">
        <f ca="1">OR(Values!$S$98&gt;=Charms!M653,IFERROR(Charms!J653=OFFSET(Values!$A$24,MATCH("S",Values!$T$25:$T$50,0),0),FALSE))</f>
        <v>0</v>
      </c>
      <c r="D653" t="b">
        <f>VLOOKUP(Charms!J653,Values!$A$11:$S$59,19,0)&gt;=Charms!L653</f>
        <v>0</v>
      </c>
      <c r="E653" t="e">
        <f>OR(ISBLANK(Charms!I653),(VLOOKUP(Values!$S$6,Castes!$B$2:$F$25,4,0)=Charms!I653))</f>
        <v>#N/A</v>
      </c>
      <c r="J653" t="e">
        <f t="shared" ca="1" si="51"/>
        <v>#N/A</v>
      </c>
      <c r="K653" s="18" t="e">
        <f t="shared" ca="1" si="50"/>
        <v>#N/A</v>
      </c>
      <c r="L653" t="e">
        <f ca="1">IF(J653,Charms!B653,"")</f>
        <v>#N/A</v>
      </c>
      <c r="M653" t="str">
        <f t="shared" ca="1" si="52"/>
        <v>-</v>
      </c>
      <c r="N653" s="18" t="str">
        <f t="shared" si="53"/>
        <v>K586:L660</v>
      </c>
      <c r="O653" t="str">
        <f t="shared" si="54"/>
        <v>A586:A653</v>
      </c>
    </row>
    <row r="654" spans="1:15">
      <c r="A654" s="18" t="str">
        <f>Charms!K654</f>
        <v>Lore</v>
      </c>
      <c r="B654" t="str">
        <f>Charms!B654</f>
        <v>Root-and-Branch Wisdom</v>
      </c>
      <c r="C654" t="b">
        <f ca="1">OR(Values!$S$98&gt;=Charms!M654,IFERROR(Charms!J654=OFFSET(Values!$A$24,MATCH("S",Values!$T$25:$T$50,0),0),FALSE))</f>
        <v>0</v>
      </c>
      <c r="D654" t="b">
        <f>VLOOKUP(Charms!J654,Values!$A$11:$S$59,19,0)&gt;=Charms!L654</f>
        <v>0</v>
      </c>
      <c r="E654" t="e">
        <f>OR(ISBLANK(Charms!I654),(VLOOKUP(Values!$S$6,Castes!$B$2:$F$25,4,0)=Charms!I654))</f>
        <v>#N/A</v>
      </c>
      <c r="J654" t="e">
        <f t="shared" ca="1" si="51"/>
        <v>#N/A</v>
      </c>
      <c r="K654" s="18" t="e">
        <f t="shared" ca="1" si="50"/>
        <v>#N/A</v>
      </c>
      <c r="L654" t="e">
        <f ca="1">IF(J654,Charms!B654,"")</f>
        <v>#N/A</v>
      </c>
      <c r="M654" t="str">
        <f t="shared" ca="1" si="52"/>
        <v>-</v>
      </c>
      <c r="N654" s="18" t="str">
        <f t="shared" si="53"/>
        <v>K586:L660</v>
      </c>
      <c r="O654" t="str">
        <f t="shared" si="54"/>
        <v>A586:A654</v>
      </c>
    </row>
    <row r="655" spans="1:15">
      <c r="A655" s="18" t="str">
        <f>Charms!K655</f>
        <v>Lore</v>
      </c>
      <c r="B655" t="str">
        <f>Charms!B655</f>
        <v>Elemental Burst Technique</v>
      </c>
      <c r="C655" t="b">
        <f ca="1">OR(Values!$S$98&gt;=Charms!M655,IFERROR(Charms!J655=OFFSET(Values!$A$24,MATCH("S",Values!$T$25:$T$50,0),0),FALSE))</f>
        <v>0</v>
      </c>
      <c r="D655" t="b">
        <f>VLOOKUP(Charms!J655,Values!$A$11:$S$59,19,0)&gt;=Charms!L655</f>
        <v>0</v>
      </c>
      <c r="E655" t="e">
        <f>OR(ISBLANK(Charms!I655),(VLOOKUP(Values!$S$6,Castes!$B$2:$F$25,4,0)=Charms!I655))</f>
        <v>#N/A</v>
      </c>
      <c r="J655" t="e">
        <f t="shared" ca="1" si="51"/>
        <v>#N/A</v>
      </c>
      <c r="K655" s="18" t="e">
        <f t="shared" ca="1" si="50"/>
        <v>#N/A</v>
      </c>
      <c r="L655" t="e">
        <f ca="1">IF(J655,Charms!B655,"")</f>
        <v>#N/A</v>
      </c>
      <c r="M655" t="str">
        <f t="shared" ca="1" si="52"/>
        <v>-</v>
      </c>
      <c r="N655" s="18" t="str">
        <f t="shared" si="53"/>
        <v>K586:L660</v>
      </c>
      <c r="O655" t="str">
        <f t="shared" si="54"/>
        <v>A586:A655</v>
      </c>
    </row>
    <row r="656" spans="1:15">
      <c r="A656" s="18" t="str">
        <f>Charms!K656</f>
        <v>Lore</v>
      </c>
      <c r="B656" t="str">
        <f>Charms!B656</f>
        <v>Eternal Mind Meditation</v>
      </c>
      <c r="C656" t="b">
        <f ca="1">OR(Values!$S$98&gt;=Charms!M656,IFERROR(Charms!J656=OFFSET(Values!$A$24,MATCH("S",Values!$T$25:$T$50,0),0),FALSE))</f>
        <v>0</v>
      </c>
      <c r="D656" t="b">
        <f>VLOOKUP(Charms!J656,Values!$A$11:$S$59,19,0)&gt;=Charms!L656</f>
        <v>0</v>
      </c>
      <c r="E656" t="e">
        <f>OR(ISBLANK(Charms!I656),(VLOOKUP(Values!$S$6,Castes!$B$2:$F$25,4,0)=Charms!I656))</f>
        <v>#N/A</v>
      </c>
      <c r="J656" t="e">
        <f t="shared" ca="1" si="51"/>
        <v>#N/A</v>
      </c>
      <c r="K656" s="18" t="e">
        <f t="shared" ca="1" si="50"/>
        <v>#N/A</v>
      </c>
      <c r="L656" t="e">
        <f ca="1">IF(J656,Charms!B656,"")</f>
        <v>#N/A</v>
      </c>
      <c r="M656" t="str">
        <f t="shared" ca="1" si="52"/>
        <v>-</v>
      </c>
      <c r="N656" s="18" t="str">
        <f t="shared" si="53"/>
        <v>K586:L660</v>
      </c>
      <c r="O656" t="str">
        <f t="shared" si="54"/>
        <v>A586:A656</v>
      </c>
    </row>
    <row r="657" spans="1:15">
      <c r="A657" s="18" t="str">
        <f>Charms!K657</f>
        <v>Lore</v>
      </c>
      <c r="B657" t="str">
        <f>Charms!B657</f>
        <v>Endless Coils Enlightenment</v>
      </c>
      <c r="C657" t="b">
        <f ca="1">OR(Values!$S$98&gt;=Charms!M657,IFERROR(Charms!J657=OFFSET(Values!$A$24,MATCH("S",Values!$T$25:$T$50,0),0),FALSE))</f>
        <v>0</v>
      </c>
      <c r="D657" t="b">
        <f>VLOOKUP(Charms!J657,Values!$A$11:$S$59,19,0)&gt;=Charms!L657</f>
        <v>0</v>
      </c>
      <c r="E657" t="e">
        <f>OR(ISBLANK(Charms!I657),(VLOOKUP(Values!$S$6,Castes!$B$2:$F$25,4,0)=Charms!I657))</f>
        <v>#N/A</v>
      </c>
      <c r="J657" t="e">
        <f t="shared" ca="1" si="51"/>
        <v>#N/A</v>
      </c>
      <c r="K657" s="18" t="e">
        <f t="shared" ca="1" si="50"/>
        <v>#N/A</v>
      </c>
      <c r="L657" t="e">
        <f ca="1">IF(J657,Charms!B657,"")</f>
        <v>#N/A</v>
      </c>
      <c r="M657" t="str">
        <f t="shared" ca="1" si="52"/>
        <v>-</v>
      </c>
      <c r="N657" s="18" t="str">
        <f t="shared" si="53"/>
        <v>K586:L660</v>
      </c>
      <c r="O657" t="str">
        <f t="shared" si="54"/>
        <v>A586:A657</v>
      </c>
    </row>
    <row r="658" spans="1:15">
      <c r="A658" s="18" t="str">
        <f>Charms!K658</f>
        <v>Lore</v>
      </c>
      <c r="B658" t="str">
        <f>Charms!B658</f>
        <v>Glorious Birthright Font</v>
      </c>
      <c r="C658" t="b">
        <f ca="1">OR(Values!$S$98&gt;=Charms!M658,IFERROR(Charms!J658=OFFSET(Values!$A$24,MATCH("S",Values!$T$25:$T$50,0),0),FALSE))</f>
        <v>0</v>
      </c>
      <c r="D658" t="b">
        <f>VLOOKUP(Charms!J658,Values!$A$11:$S$59,19,0)&gt;=Charms!L658</f>
        <v>0</v>
      </c>
      <c r="E658" t="e">
        <f>OR(ISBLANK(Charms!I658),(VLOOKUP(Values!$S$6,Castes!$B$2:$F$25,4,0)=Charms!I658))</f>
        <v>#N/A</v>
      </c>
      <c r="J658" t="e">
        <f t="shared" ca="1" si="51"/>
        <v>#N/A</v>
      </c>
      <c r="K658" s="18" t="e">
        <f t="shared" ca="1" si="50"/>
        <v>#N/A</v>
      </c>
      <c r="L658" t="e">
        <f ca="1">IF(J658,Charms!B658,"")</f>
        <v>#N/A</v>
      </c>
      <c r="M658" t="str">
        <f t="shared" ca="1" si="52"/>
        <v>-</v>
      </c>
      <c r="N658" s="18" t="str">
        <f t="shared" si="53"/>
        <v>K586:L660</v>
      </c>
      <c r="O658" t="str">
        <f t="shared" si="54"/>
        <v>A586:A658</v>
      </c>
    </row>
    <row r="659" spans="1:15">
      <c r="A659" s="18" t="str">
        <f>Charms!K659</f>
        <v>Lore</v>
      </c>
      <c r="B659" t="str">
        <f>Charms!B659</f>
        <v>The Wind Turns</v>
      </c>
      <c r="C659" t="b">
        <f ca="1">OR(Values!$S$98&gt;=Charms!M659,IFERROR(Charms!J659=OFFSET(Values!$A$24,MATCH("S",Values!$T$25:$T$50,0),0),FALSE))</f>
        <v>0</v>
      </c>
      <c r="D659" t="b">
        <f>VLOOKUP(Charms!J659,Values!$A$11:$S$59,19,0)&gt;=Charms!L659</f>
        <v>0</v>
      </c>
      <c r="E659" t="e">
        <f>OR(ISBLANK(Charms!I659),(VLOOKUP(Values!$S$6,Castes!$B$2:$F$25,4,0)=Charms!I659))</f>
        <v>#N/A</v>
      </c>
      <c r="J659" t="e">
        <f t="shared" ca="1" si="51"/>
        <v>#N/A</v>
      </c>
      <c r="K659" s="18" t="e">
        <f t="shared" ca="1" si="50"/>
        <v>#N/A</v>
      </c>
      <c r="L659" t="e">
        <f ca="1">IF(J659,Charms!B659,"")</f>
        <v>#N/A</v>
      </c>
      <c r="M659" t="str">
        <f t="shared" ca="1" si="52"/>
        <v>-</v>
      </c>
      <c r="N659" s="18" t="str">
        <f t="shared" si="53"/>
        <v>K586:L660</v>
      </c>
      <c r="O659" t="str">
        <f t="shared" si="54"/>
        <v>A586:A659</v>
      </c>
    </row>
    <row r="660" spans="1:15">
      <c r="A660" s="18" t="str">
        <f>Charms!K660</f>
        <v>Lore</v>
      </c>
      <c r="B660" t="str">
        <f>Charms!B660</f>
        <v>Dragon Vortex Attack</v>
      </c>
      <c r="C660" t="b">
        <f ca="1">OR(Values!$S$98&gt;=Charms!M660,IFERROR(Charms!J660=OFFSET(Values!$A$24,MATCH("S",Values!$T$25:$T$50,0),0),FALSE))</f>
        <v>0</v>
      </c>
      <c r="D660" t="b">
        <f>VLOOKUP(Charms!J660,Values!$A$11:$S$59,19,0)&gt;=Charms!L660</f>
        <v>0</v>
      </c>
      <c r="E660" t="e">
        <f>OR(ISBLANK(Charms!I660),(VLOOKUP(Values!$S$6,Castes!$B$2:$F$25,4,0)=Charms!I660))</f>
        <v>#N/A</v>
      </c>
      <c r="J660" t="e">
        <f t="shared" ca="1" si="51"/>
        <v>#N/A</v>
      </c>
      <c r="K660" s="18" t="e">
        <f t="shared" ca="1" si="50"/>
        <v>#N/A</v>
      </c>
      <c r="L660" t="e">
        <f ca="1">IF(J660,Charms!B660,"")</f>
        <v>#N/A</v>
      </c>
      <c r="M660" t="str">
        <f t="shared" ca="1" si="52"/>
        <v>-</v>
      </c>
      <c r="N660" s="18" t="str">
        <f t="shared" si="53"/>
        <v>K586:L660</v>
      </c>
      <c r="O660" t="str">
        <f t="shared" si="54"/>
        <v>A586:A660</v>
      </c>
    </row>
    <row r="661" spans="1:15">
      <c r="A661" s="18" t="str">
        <f>Charms!K661</f>
        <v>Air Dragon</v>
      </c>
      <c r="B661" t="str">
        <f>Charms!B661</f>
        <v>Air Dragon’s Sight</v>
      </c>
      <c r="C661" t="b">
        <f ca="1">OR(Values!$S$98&gt;=Charms!M661,IFERROR(Charms!J661=OFFSET(Values!$A$24,MATCH("S",Values!$T$25:$T$50,0),0),FALSE))</f>
        <v>1</v>
      </c>
      <c r="D661" t="b">
        <f>VLOOKUP(Charms!J661,Values!$A$11:$S$59,19,0)&gt;=Charms!L661</f>
        <v>0</v>
      </c>
      <c r="E661" t="e">
        <f>OR(ISBLANK(Charms!I661),(VLOOKUP(Values!$S$6,Castes!$B$2:$F$25,4,0)=Charms!I661))</f>
        <v>#N/A</v>
      </c>
      <c r="J661" t="e">
        <f t="shared" ca="1" si="51"/>
        <v>#N/A</v>
      </c>
      <c r="K661" s="18" t="e">
        <f t="shared" ca="1" si="50"/>
        <v>#N/A</v>
      </c>
      <c r="L661" t="e">
        <f ca="1">IF(J661,Charms!B661,"")</f>
        <v>#N/A</v>
      </c>
      <c r="M661" t="str">
        <f t="shared" ca="1" si="52"/>
        <v>-</v>
      </c>
      <c r="N661" s="18" t="str">
        <f t="shared" si="53"/>
        <v>K661:L672</v>
      </c>
      <c r="O661" t="str">
        <f t="shared" si="54"/>
        <v>A661:A661</v>
      </c>
    </row>
    <row r="662" spans="1:15">
      <c r="A662" s="18" t="str">
        <f>Charms!K662</f>
        <v>Air Dragon</v>
      </c>
      <c r="B662" t="str">
        <f>Charms!B662</f>
        <v>Cloud-Treading Method</v>
      </c>
      <c r="C662" t="b">
        <f ca="1">OR(Values!$S$98&gt;=Charms!M662,IFERROR(Charms!J662=OFFSET(Values!$A$24,MATCH("S",Values!$T$25:$T$50,0),0),FALSE))</f>
        <v>1</v>
      </c>
      <c r="D662" t="b">
        <f>VLOOKUP(Charms!J662,Values!$A$11:$S$59,19,0)&gt;=Charms!L662</f>
        <v>0</v>
      </c>
      <c r="E662" t="e">
        <f>OR(ISBLANK(Charms!I662),(VLOOKUP(Values!$S$6,Castes!$B$2:$F$25,4,0)=Charms!I662))</f>
        <v>#N/A</v>
      </c>
      <c r="J662" t="e">
        <f t="shared" ca="1" si="51"/>
        <v>#N/A</v>
      </c>
      <c r="K662" s="18" t="e">
        <f t="shared" ca="1" si="50"/>
        <v>#N/A</v>
      </c>
      <c r="L662" t="e">
        <f ca="1">IF(J662,Charms!B662,"")</f>
        <v>#N/A</v>
      </c>
      <c r="M662" t="str">
        <f t="shared" ca="1" si="52"/>
        <v>-</v>
      </c>
      <c r="N662" s="18" t="str">
        <f t="shared" si="53"/>
        <v>K661:L672</v>
      </c>
      <c r="O662" t="str">
        <f t="shared" si="54"/>
        <v>A661:A662</v>
      </c>
    </row>
    <row r="663" spans="1:15">
      <c r="A663" s="18" t="str">
        <f>Charms!K663</f>
        <v>Air Dragon</v>
      </c>
      <c r="B663" t="str">
        <f>Charms!B663</f>
        <v>Wind Dragon Speed</v>
      </c>
      <c r="C663" t="b">
        <f ca="1">OR(Values!$S$98&gt;=Charms!M663,IFERROR(Charms!J663=OFFSET(Values!$A$24,MATCH("S",Values!$T$25:$T$50,0),0),FALSE))</f>
        <v>0</v>
      </c>
      <c r="D663" t="b">
        <f>VLOOKUP(Charms!J663,Values!$A$11:$S$59,19,0)&gt;=Charms!L663</f>
        <v>0</v>
      </c>
      <c r="E663" t="e">
        <f>OR(ISBLANK(Charms!I663),(VLOOKUP(Values!$S$6,Castes!$B$2:$F$25,4,0)=Charms!I663))</f>
        <v>#N/A</v>
      </c>
      <c r="J663" t="e">
        <f t="shared" ca="1" si="51"/>
        <v>#N/A</v>
      </c>
      <c r="K663" s="18" t="e">
        <f t="shared" ca="1" si="50"/>
        <v>#N/A</v>
      </c>
      <c r="L663" t="e">
        <f ca="1">IF(J663,Charms!B663,"")</f>
        <v>#N/A</v>
      </c>
      <c r="M663" t="str">
        <f t="shared" ca="1" si="52"/>
        <v>-</v>
      </c>
      <c r="N663" s="18" t="str">
        <f t="shared" si="53"/>
        <v>K661:L672</v>
      </c>
      <c r="O663" t="str">
        <f t="shared" si="54"/>
        <v>A661:A663</v>
      </c>
    </row>
    <row r="664" spans="1:15">
      <c r="A664" s="18" t="str">
        <f>Charms!K664</f>
        <v>Air Dragon</v>
      </c>
      <c r="B664" t="str">
        <f>Charms!B664</f>
        <v>Breath-Seizing Technique</v>
      </c>
      <c r="C664" t="b">
        <f ca="1">OR(Values!$S$98&gt;=Charms!M664,IFERROR(Charms!J664=OFFSET(Values!$A$24,MATCH("S",Values!$T$25:$T$50,0),0),FALSE))</f>
        <v>0</v>
      </c>
      <c r="D664" t="b">
        <f>VLOOKUP(Charms!J664,Values!$A$11:$S$59,19,0)&gt;=Charms!L664</f>
        <v>0</v>
      </c>
      <c r="E664" t="e">
        <f>OR(ISBLANK(Charms!I664),(VLOOKUP(Values!$S$6,Castes!$B$2:$F$25,4,0)=Charms!I664))</f>
        <v>#N/A</v>
      </c>
      <c r="J664" t="e">
        <f t="shared" ca="1" si="51"/>
        <v>#N/A</v>
      </c>
      <c r="K664" s="18" t="e">
        <f t="shared" ca="1" si="50"/>
        <v>#N/A</v>
      </c>
      <c r="L664" t="e">
        <f ca="1">IF(J664,Charms!B664,"")</f>
        <v>#N/A</v>
      </c>
      <c r="M664" t="str">
        <f t="shared" ca="1" si="52"/>
        <v>-</v>
      </c>
      <c r="N664" s="18" t="str">
        <f t="shared" si="53"/>
        <v>K661:L672</v>
      </c>
      <c r="O664" t="str">
        <f t="shared" si="54"/>
        <v>A661:A664</v>
      </c>
    </row>
    <row r="665" spans="1:15">
      <c r="A665" s="18" t="str">
        <f>Charms!K665</f>
        <v>Air Dragon</v>
      </c>
      <c r="B665" t="str">
        <f>Charms!B665</f>
        <v>Air Dragon Form</v>
      </c>
      <c r="C665" t="b">
        <f ca="1">OR(Values!$S$98&gt;=Charms!M665,IFERROR(Charms!J665=OFFSET(Values!$A$24,MATCH("S",Values!$T$25:$T$50,0),0),FALSE))</f>
        <v>0</v>
      </c>
      <c r="D665" t="b">
        <f>VLOOKUP(Charms!J665,Values!$A$11:$S$59,19,0)&gt;=Charms!L665</f>
        <v>0</v>
      </c>
      <c r="E665" t="e">
        <f>OR(ISBLANK(Charms!I665),(VLOOKUP(Values!$S$6,Castes!$B$2:$F$25,4,0)=Charms!I665))</f>
        <v>#N/A</v>
      </c>
      <c r="J665" t="e">
        <f t="shared" ca="1" si="51"/>
        <v>#N/A</v>
      </c>
      <c r="K665" s="18" t="e">
        <f t="shared" ca="1" si="50"/>
        <v>#N/A</v>
      </c>
      <c r="L665" t="e">
        <f ca="1">IF(J665,Charms!B665,"")</f>
        <v>#N/A</v>
      </c>
      <c r="M665" t="str">
        <f t="shared" ca="1" si="52"/>
        <v>-</v>
      </c>
      <c r="N665" s="18" t="str">
        <f t="shared" si="53"/>
        <v>K661:L672</v>
      </c>
      <c r="O665" t="str">
        <f t="shared" si="54"/>
        <v>A661:A665</v>
      </c>
    </row>
    <row r="666" spans="1:15">
      <c r="A666" s="18" t="str">
        <f>Charms!K666</f>
        <v>Air Dragon</v>
      </c>
      <c r="B666" t="str">
        <f>Charms!B666</f>
        <v>Shroud of Unseen Winds</v>
      </c>
      <c r="C666" t="b">
        <f ca="1">OR(Values!$S$98&gt;=Charms!M666,IFERROR(Charms!J666=OFFSET(Values!$A$24,MATCH("S",Values!$T$25:$T$50,0),0),FALSE))</f>
        <v>0</v>
      </c>
      <c r="D666" t="b">
        <f>VLOOKUP(Charms!J666,Values!$A$11:$S$59,19,0)&gt;=Charms!L666</f>
        <v>0</v>
      </c>
      <c r="E666" t="e">
        <f>OR(ISBLANK(Charms!I666),(VLOOKUP(Values!$S$6,Castes!$B$2:$F$25,4,0)=Charms!I666))</f>
        <v>#N/A</v>
      </c>
      <c r="J666" t="e">
        <f t="shared" ca="1" si="51"/>
        <v>#N/A</v>
      </c>
      <c r="K666" s="18" t="e">
        <f t="shared" ca="1" si="50"/>
        <v>#N/A</v>
      </c>
      <c r="L666" t="e">
        <f ca="1">IF(J666,Charms!B666,"")</f>
        <v>#N/A</v>
      </c>
      <c r="M666" t="str">
        <f t="shared" ca="1" si="52"/>
        <v>-</v>
      </c>
      <c r="N666" s="18" t="str">
        <f t="shared" si="53"/>
        <v>K661:L672</v>
      </c>
      <c r="O666" t="str">
        <f t="shared" si="54"/>
        <v>A661:A666</v>
      </c>
    </row>
    <row r="667" spans="1:15">
      <c r="A667" s="18" t="str">
        <f>Charms!K667</f>
        <v>Air Dragon</v>
      </c>
      <c r="B667" t="str">
        <f>Charms!B667</f>
        <v>Avenging Wind Strike</v>
      </c>
      <c r="C667" t="b">
        <f ca="1">OR(Values!$S$98&gt;=Charms!M667,IFERROR(Charms!J667=OFFSET(Values!$A$24,MATCH("S",Values!$T$25:$T$50,0),0),FALSE))</f>
        <v>0</v>
      </c>
      <c r="D667" t="b">
        <f>VLOOKUP(Charms!J667,Values!$A$11:$S$59,19,0)&gt;=Charms!L667</f>
        <v>0</v>
      </c>
      <c r="E667" t="e">
        <f>OR(ISBLANK(Charms!I667),(VLOOKUP(Values!$S$6,Castes!$B$2:$F$25,4,0)=Charms!I667))</f>
        <v>#N/A</v>
      </c>
      <c r="J667" t="e">
        <f t="shared" ca="1" si="51"/>
        <v>#N/A</v>
      </c>
      <c r="K667" s="18" t="e">
        <f t="shared" ca="1" si="50"/>
        <v>#N/A</v>
      </c>
      <c r="L667" t="e">
        <f ca="1">IF(J667,Charms!B667,"")</f>
        <v>#N/A</v>
      </c>
      <c r="M667" t="str">
        <f t="shared" ca="1" si="52"/>
        <v>-</v>
      </c>
      <c r="N667" s="18" t="str">
        <f t="shared" si="53"/>
        <v>K661:L672</v>
      </c>
      <c r="O667" t="str">
        <f t="shared" si="54"/>
        <v>A661:A667</v>
      </c>
    </row>
    <row r="668" spans="1:15">
      <c r="A668" s="18" t="str">
        <f>Charms!K668</f>
        <v>Air Dragon</v>
      </c>
      <c r="B668" t="str">
        <f>Charms!B668</f>
        <v>Lightning Strike Style</v>
      </c>
      <c r="C668" t="b">
        <f ca="1">OR(Values!$S$98&gt;=Charms!M668,IFERROR(Charms!J668=OFFSET(Values!$A$24,MATCH("S",Values!$T$25:$T$50,0),0),FALSE))</f>
        <v>0</v>
      </c>
      <c r="D668" t="b">
        <f>VLOOKUP(Charms!J668,Values!$A$11:$S$59,19,0)&gt;=Charms!L668</f>
        <v>0</v>
      </c>
      <c r="E668" t="e">
        <f>OR(ISBLANK(Charms!I668),(VLOOKUP(Values!$S$6,Castes!$B$2:$F$25,4,0)=Charms!I668))</f>
        <v>#N/A</v>
      </c>
      <c r="J668" t="e">
        <f t="shared" ca="1" si="51"/>
        <v>#N/A</v>
      </c>
      <c r="K668" s="18" t="e">
        <f t="shared" ca="1" si="50"/>
        <v>#N/A</v>
      </c>
      <c r="L668" t="e">
        <f ca="1">IF(J668,Charms!B668,"")</f>
        <v>#N/A</v>
      </c>
      <c r="M668" t="str">
        <f t="shared" ca="1" si="52"/>
        <v>-</v>
      </c>
      <c r="N668" s="18" t="str">
        <f t="shared" si="53"/>
        <v>K661:L672</v>
      </c>
      <c r="O668" t="str">
        <f t="shared" si="54"/>
        <v>A661:A668</v>
      </c>
    </row>
    <row r="669" spans="1:15">
      <c r="A669" s="18" t="str">
        <f>Charms!K669</f>
        <v>Air Dragon</v>
      </c>
      <c r="B669" t="str">
        <f>Charms!B669</f>
        <v>Thunderclap Kata</v>
      </c>
      <c r="C669" t="b">
        <f ca="1">OR(Values!$S$98&gt;=Charms!M669,IFERROR(Charms!J669=OFFSET(Values!$A$24,MATCH("S",Values!$T$25:$T$50,0),0),FALSE))</f>
        <v>0</v>
      </c>
      <c r="D669" t="b">
        <f>VLOOKUP(Charms!J669,Values!$A$11:$S$59,19,0)&gt;=Charms!L669</f>
        <v>0</v>
      </c>
      <c r="E669" t="e">
        <f>OR(ISBLANK(Charms!I669),(VLOOKUP(Values!$S$6,Castes!$B$2:$F$25,4,0)=Charms!I669))</f>
        <v>#N/A</v>
      </c>
      <c r="J669" t="e">
        <f t="shared" ca="1" si="51"/>
        <v>#N/A</v>
      </c>
      <c r="K669" s="18" t="e">
        <f t="shared" ca="1" si="50"/>
        <v>#N/A</v>
      </c>
      <c r="L669" t="e">
        <f ca="1">IF(J669,Charms!B669,"")</f>
        <v>#N/A</v>
      </c>
      <c r="M669" t="str">
        <f t="shared" ca="1" si="52"/>
        <v>-</v>
      </c>
      <c r="N669" s="18" t="str">
        <f t="shared" si="53"/>
        <v>K661:L672</v>
      </c>
      <c r="O669" t="str">
        <f t="shared" si="54"/>
        <v>A661:A669</v>
      </c>
    </row>
    <row r="670" spans="1:15">
      <c r="A670" s="18" t="str">
        <f>Charms!K670</f>
        <v>Air Dragon</v>
      </c>
      <c r="B670" t="str">
        <f>Charms!B670</f>
        <v>Tornado Offense Technique</v>
      </c>
      <c r="C670" t="b">
        <f ca="1">OR(Values!$S$98&gt;=Charms!M670,IFERROR(Charms!J670=OFFSET(Values!$A$24,MATCH("S",Values!$T$25:$T$50,0),0),FALSE))</f>
        <v>0</v>
      </c>
      <c r="D670" t="b">
        <f>VLOOKUP(Charms!J670,Values!$A$11:$S$59,19,0)&gt;=Charms!L670</f>
        <v>0</v>
      </c>
      <c r="E670" t="e">
        <f>OR(ISBLANK(Charms!I670),(VLOOKUP(Values!$S$6,Castes!$B$2:$F$25,4,0)=Charms!I670))</f>
        <v>#N/A</v>
      </c>
      <c r="J670" t="e">
        <f t="shared" ca="1" si="51"/>
        <v>#N/A</v>
      </c>
      <c r="K670" s="18" t="e">
        <f t="shared" ca="1" si="50"/>
        <v>#N/A</v>
      </c>
      <c r="L670" t="e">
        <f ca="1">IF(J670,Charms!B670,"")</f>
        <v>#N/A</v>
      </c>
      <c r="M670" t="str">
        <f t="shared" ca="1" si="52"/>
        <v>-</v>
      </c>
      <c r="N670" s="18" t="str">
        <f t="shared" si="53"/>
        <v>K661:L672</v>
      </c>
      <c r="O670" t="str">
        <f t="shared" si="54"/>
        <v>A661:A670</v>
      </c>
    </row>
    <row r="671" spans="1:15">
      <c r="A671" s="18" t="str">
        <f>Charms!K671</f>
        <v>Air Dragon</v>
      </c>
      <c r="B671" t="str">
        <f>Charms!B671</f>
        <v>Wrathful Winds Kiai</v>
      </c>
      <c r="C671" t="b">
        <f ca="1">OR(Values!$S$98&gt;=Charms!M671,IFERROR(Charms!J671=OFFSET(Values!$A$24,MATCH("S",Values!$T$25:$T$50,0),0),FALSE))</f>
        <v>0</v>
      </c>
      <c r="D671" t="b">
        <f>VLOOKUP(Charms!J671,Values!$A$11:$S$59,19,0)&gt;=Charms!L671</f>
        <v>0</v>
      </c>
      <c r="E671" t="e">
        <f>OR(ISBLANK(Charms!I671),(VLOOKUP(Values!$S$6,Castes!$B$2:$F$25,4,0)=Charms!I671))</f>
        <v>#N/A</v>
      </c>
      <c r="J671" t="e">
        <f t="shared" ca="1" si="51"/>
        <v>#N/A</v>
      </c>
      <c r="K671" s="18" t="e">
        <f t="shared" ca="1" si="50"/>
        <v>#N/A</v>
      </c>
      <c r="L671" t="e">
        <f ca="1">IF(J671,Charms!B671,"")</f>
        <v>#N/A</v>
      </c>
      <c r="M671" t="str">
        <f t="shared" ca="1" si="52"/>
        <v>-</v>
      </c>
      <c r="N671" s="18" t="str">
        <f t="shared" si="53"/>
        <v>K661:L672</v>
      </c>
      <c r="O671" t="str">
        <f t="shared" si="54"/>
        <v>A661:A671</v>
      </c>
    </row>
    <row r="672" spans="1:15">
      <c r="A672" s="18" t="str">
        <f>Charms!K672</f>
        <v>Air Dragon</v>
      </c>
      <c r="B672" t="str">
        <f>Charms!B672</f>
        <v>Hurricane Combat Method</v>
      </c>
      <c r="C672" t="b">
        <f ca="1">OR(Values!$S$98&gt;=Charms!M672,IFERROR(Charms!J672=OFFSET(Values!$A$24,MATCH("S",Values!$T$25:$T$50,0),0),FALSE))</f>
        <v>0</v>
      </c>
      <c r="D672" t="b">
        <f>VLOOKUP(Charms!J672,Values!$A$11:$S$59,19,0)&gt;=Charms!L672</f>
        <v>0</v>
      </c>
      <c r="E672" t="e">
        <f>OR(ISBLANK(Charms!I672),(VLOOKUP(Values!$S$6,Castes!$B$2:$F$25,4,0)=Charms!I672))</f>
        <v>#N/A</v>
      </c>
      <c r="J672" t="e">
        <f t="shared" ca="1" si="51"/>
        <v>#N/A</v>
      </c>
      <c r="K672" s="18" t="e">
        <f t="shared" ca="1" si="50"/>
        <v>#N/A</v>
      </c>
      <c r="L672" t="e">
        <f ca="1">IF(J672,Charms!B672,"")</f>
        <v>#N/A</v>
      </c>
      <c r="M672" t="str">
        <f t="shared" ca="1" si="52"/>
        <v>-</v>
      </c>
      <c r="N672" s="18" t="str">
        <f t="shared" si="53"/>
        <v>K661:L672</v>
      </c>
      <c r="O672" t="str">
        <f t="shared" si="54"/>
        <v>A661:A672</v>
      </c>
    </row>
    <row r="673" spans="1:15">
      <c r="A673" s="18" t="str">
        <f>Charms!K673</f>
        <v>Black Claw</v>
      </c>
      <c r="B673" t="str">
        <f>Charms!B673</f>
        <v>Open Palm Caress</v>
      </c>
      <c r="C673" t="b">
        <f ca="1">OR(Values!$S$98&gt;=Charms!M673,IFERROR(Charms!J673=OFFSET(Values!$A$24,MATCH("S",Values!$T$25:$T$50,0),0),FALSE))</f>
        <v>1</v>
      </c>
      <c r="D673" t="b">
        <f>VLOOKUP(Charms!J673,Values!$A$11:$S$59,19,0)&gt;=Charms!L673</f>
        <v>0</v>
      </c>
      <c r="E673" t="e">
        <f>OR(ISBLANK(Charms!I673),(VLOOKUP(Values!$S$6,Castes!$B$2:$F$25,4,0)=Charms!I673))</f>
        <v>#N/A</v>
      </c>
      <c r="J673" t="e">
        <f t="shared" ca="1" si="51"/>
        <v>#N/A</v>
      </c>
      <c r="K673" s="18" t="e">
        <f t="shared" ca="1" si="50"/>
        <v>#N/A</v>
      </c>
      <c r="L673" t="e">
        <f ca="1">IF(J673,Charms!B673,"")</f>
        <v>#N/A</v>
      </c>
      <c r="M673" t="str">
        <f t="shared" ca="1" si="52"/>
        <v>-</v>
      </c>
      <c r="N673" s="18" t="str">
        <f t="shared" si="53"/>
        <v>K673:L681</v>
      </c>
      <c r="O673" t="str">
        <f t="shared" si="54"/>
        <v>A673:A673</v>
      </c>
    </row>
    <row r="674" spans="1:15">
      <c r="A674" s="18" t="str">
        <f>Charms!K674</f>
        <v>Black Claw</v>
      </c>
      <c r="B674" t="str">
        <f>Charms!B674</f>
        <v>Torn Lotus Defense</v>
      </c>
      <c r="C674" t="b">
        <f ca="1">OR(Values!$S$98&gt;=Charms!M674,IFERROR(Charms!J674=OFFSET(Values!$A$24,MATCH("S",Values!$T$25:$T$50,0),0),FALSE))</f>
        <v>1</v>
      </c>
      <c r="D674" t="b">
        <f>VLOOKUP(Charms!J674,Values!$A$11:$S$59,19,0)&gt;=Charms!L674</f>
        <v>0</v>
      </c>
      <c r="E674" t="e">
        <f>OR(ISBLANK(Charms!I674),(VLOOKUP(Values!$S$6,Castes!$B$2:$F$25,4,0)=Charms!I674))</f>
        <v>#N/A</v>
      </c>
      <c r="J674" t="e">
        <f t="shared" ca="1" si="51"/>
        <v>#N/A</v>
      </c>
      <c r="K674" s="18" t="e">
        <f t="shared" ca="1" si="50"/>
        <v>#N/A</v>
      </c>
      <c r="L674" t="e">
        <f ca="1">IF(J674,Charms!B674,"")</f>
        <v>#N/A</v>
      </c>
      <c r="M674" t="str">
        <f t="shared" ca="1" si="52"/>
        <v>-</v>
      </c>
      <c r="N674" s="18" t="str">
        <f t="shared" si="53"/>
        <v>K673:L681</v>
      </c>
      <c r="O674" t="str">
        <f t="shared" si="54"/>
        <v>A673:A674</v>
      </c>
    </row>
    <row r="675" spans="1:15">
      <c r="A675" s="18" t="str">
        <f>Charms!K675</f>
        <v>Black Claw</v>
      </c>
      <c r="B675" t="str">
        <f>Charms!B675</f>
        <v>Flexing the Emerald Claw</v>
      </c>
      <c r="C675" t="b">
        <f ca="1">OR(Values!$S$98&gt;=Charms!M675,IFERROR(Charms!J675=OFFSET(Values!$A$24,MATCH("S",Values!$T$25:$T$50,0),0),FALSE))</f>
        <v>1</v>
      </c>
      <c r="D675" t="b">
        <f>VLOOKUP(Charms!J675,Values!$A$11:$S$59,19,0)&gt;=Charms!L675</f>
        <v>0</v>
      </c>
      <c r="E675" t="e">
        <f>OR(ISBLANK(Charms!I675),(VLOOKUP(Values!$S$6,Castes!$B$2:$F$25,4,0)=Charms!I675))</f>
        <v>#N/A</v>
      </c>
      <c r="J675" t="e">
        <f t="shared" ca="1" si="51"/>
        <v>#N/A</v>
      </c>
      <c r="K675" s="18" t="e">
        <f t="shared" ca="1" si="50"/>
        <v>#N/A</v>
      </c>
      <c r="L675" t="e">
        <f ca="1">IF(J675,Charms!B675,"")</f>
        <v>#N/A</v>
      </c>
      <c r="M675" t="str">
        <f t="shared" ca="1" si="52"/>
        <v>-</v>
      </c>
      <c r="N675" s="18" t="str">
        <f t="shared" si="53"/>
        <v>K673:L681</v>
      </c>
      <c r="O675" t="str">
        <f t="shared" si="54"/>
        <v>A673:A675</v>
      </c>
    </row>
    <row r="676" spans="1:15">
      <c r="A676" s="18" t="str">
        <f>Charms!K676</f>
        <v>Black Claw</v>
      </c>
      <c r="B676" t="str">
        <f>Charms!B676</f>
        <v>Black Claw Form</v>
      </c>
      <c r="C676" t="b">
        <f ca="1">OR(Values!$S$98&gt;=Charms!M676,IFERROR(Charms!J676=OFFSET(Values!$A$24,MATCH("S",Values!$T$25:$T$50,0),0),FALSE))</f>
        <v>1</v>
      </c>
      <c r="D676" t="b">
        <f>VLOOKUP(Charms!J676,Values!$A$11:$S$59,19,0)&gt;=Charms!L676</f>
        <v>0</v>
      </c>
      <c r="E676" t="e">
        <f>OR(ISBLANK(Charms!I676),(VLOOKUP(Values!$S$6,Castes!$B$2:$F$25,4,0)=Charms!I676))</f>
        <v>#N/A</v>
      </c>
      <c r="J676" t="e">
        <f t="shared" ca="1" si="51"/>
        <v>#N/A</v>
      </c>
      <c r="K676" s="18" t="e">
        <f t="shared" ca="1" si="50"/>
        <v>#N/A</v>
      </c>
      <c r="L676" t="e">
        <f ca="1">IF(J676,Charms!B676,"")</f>
        <v>#N/A</v>
      </c>
      <c r="M676" t="str">
        <f t="shared" ca="1" si="52"/>
        <v>-</v>
      </c>
      <c r="N676" s="18" t="str">
        <f t="shared" si="53"/>
        <v>K673:L681</v>
      </c>
      <c r="O676" t="str">
        <f t="shared" si="54"/>
        <v>A673:A676</v>
      </c>
    </row>
    <row r="677" spans="1:15">
      <c r="A677" s="18" t="str">
        <f>Charms!K677</f>
        <v>Black Claw</v>
      </c>
      <c r="B677" t="str">
        <f>Charms!B677</f>
        <v>Storm-Calming Embrace</v>
      </c>
      <c r="C677" t="b">
        <f ca="1">OR(Values!$S$98&gt;=Charms!M677,IFERROR(Charms!J677=OFFSET(Values!$A$24,MATCH("S",Values!$T$25:$T$50,0),0),FALSE))</f>
        <v>0</v>
      </c>
      <c r="D677" t="b">
        <f>VLOOKUP(Charms!J677,Values!$A$11:$S$59,19,0)&gt;=Charms!L677</f>
        <v>0</v>
      </c>
      <c r="E677" t="e">
        <f>OR(ISBLANK(Charms!I677),(VLOOKUP(Values!$S$6,Castes!$B$2:$F$25,4,0)=Charms!I677))</f>
        <v>#N/A</v>
      </c>
      <c r="J677" t="e">
        <f t="shared" ca="1" si="51"/>
        <v>#N/A</v>
      </c>
      <c r="K677" s="18" t="e">
        <f t="shared" ca="1" si="50"/>
        <v>#N/A</v>
      </c>
      <c r="L677" t="e">
        <f ca="1">IF(J677,Charms!B677,"")</f>
        <v>#N/A</v>
      </c>
      <c r="M677" t="str">
        <f t="shared" ca="1" si="52"/>
        <v>-</v>
      </c>
      <c r="N677" s="18" t="str">
        <f t="shared" si="53"/>
        <v>K673:L681</v>
      </c>
      <c r="O677" t="str">
        <f t="shared" si="54"/>
        <v>A673:A677</v>
      </c>
    </row>
    <row r="678" spans="1:15">
      <c r="A678" s="18" t="str">
        <f>Charms!K678</f>
        <v>Black Claw</v>
      </c>
      <c r="B678" t="str">
        <f>Charms!B678</f>
        <v>Table-Turning Reversal</v>
      </c>
      <c r="C678" t="b">
        <f ca="1">OR(Values!$S$98&gt;=Charms!M678,IFERROR(Charms!J678=OFFSET(Values!$A$24,MATCH("S",Values!$T$25:$T$50,0),0),FALSE))</f>
        <v>0</v>
      </c>
      <c r="D678" t="b">
        <f>VLOOKUP(Charms!J678,Values!$A$11:$S$59,19,0)&gt;=Charms!L678</f>
        <v>0</v>
      </c>
      <c r="E678" t="e">
        <f>OR(ISBLANK(Charms!I678),(VLOOKUP(Values!$S$6,Castes!$B$2:$F$25,4,0)=Charms!I678))</f>
        <v>#N/A</v>
      </c>
      <c r="J678" t="e">
        <f t="shared" ca="1" si="51"/>
        <v>#N/A</v>
      </c>
      <c r="K678" s="18" t="e">
        <f t="shared" ca="1" si="50"/>
        <v>#N/A</v>
      </c>
      <c r="L678" t="e">
        <f ca="1">IF(J678,Charms!B678,"")</f>
        <v>#N/A</v>
      </c>
      <c r="M678" t="str">
        <f t="shared" ca="1" si="52"/>
        <v>-</v>
      </c>
      <c r="N678" s="18" t="str">
        <f t="shared" si="53"/>
        <v>K673:L681</v>
      </c>
      <c r="O678" t="str">
        <f t="shared" si="54"/>
        <v>A673:A678</v>
      </c>
    </row>
    <row r="679" spans="1:15">
      <c r="A679" s="18" t="str">
        <f>Charms!K679</f>
        <v>Black Claw</v>
      </c>
      <c r="B679" t="str">
        <f>Charms!B679</f>
        <v>Doe Eyes Defense</v>
      </c>
      <c r="C679" t="b">
        <f ca="1">OR(Values!$S$98&gt;=Charms!M679,IFERROR(Charms!J679=OFFSET(Values!$A$24,MATCH("S",Values!$T$25:$T$50,0),0),FALSE))</f>
        <v>0</v>
      </c>
      <c r="D679" t="b">
        <f>VLOOKUP(Charms!J679,Values!$A$11:$S$59,19,0)&gt;=Charms!L679</f>
        <v>0</v>
      </c>
      <c r="E679" t="e">
        <f>OR(ISBLANK(Charms!I679),(VLOOKUP(Values!$S$6,Castes!$B$2:$F$25,4,0)=Charms!I679))</f>
        <v>#N/A</v>
      </c>
      <c r="J679" t="e">
        <f t="shared" ca="1" si="51"/>
        <v>#N/A</v>
      </c>
      <c r="K679" s="18" t="e">
        <f t="shared" ca="1" si="50"/>
        <v>#N/A</v>
      </c>
      <c r="L679" t="e">
        <f ca="1">IF(J679,Charms!B679,"")</f>
        <v>#N/A</v>
      </c>
      <c r="M679" t="str">
        <f t="shared" ca="1" si="52"/>
        <v>-</v>
      </c>
      <c r="N679" s="18" t="str">
        <f t="shared" si="53"/>
        <v>K673:L681</v>
      </c>
      <c r="O679" t="str">
        <f t="shared" si="54"/>
        <v>A673:A679</v>
      </c>
    </row>
    <row r="680" spans="1:15">
      <c r="A680" s="18" t="str">
        <f>Charms!K680</f>
        <v>Black Claw</v>
      </c>
      <c r="B680" t="str">
        <f>Charms!B680</f>
        <v>Outrage-Kindling Cry</v>
      </c>
      <c r="C680" t="b">
        <f ca="1">OR(Values!$S$98&gt;=Charms!M680,IFERROR(Charms!J680=OFFSET(Values!$A$24,MATCH("S",Values!$T$25:$T$50,0),0),FALSE))</f>
        <v>0</v>
      </c>
      <c r="D680" t="b">
        <f>VLOOKUP(Charms!J680,Values!$A$11:$S$59,19,0)&gt;=Charms!L680</f>
        <v>0</v>
      </c>
      <c r="E680" t="e">
        <f>OR(ISBLANK(Charms!I680),(VLOOKUP(Values!$S$6,Castes!$B$2:$F$25,4,0)=Charms!I680))</f>
        <v>#N/A</v>
      </c>
      <c r="J680" t="e">
        <f t="shared" ca="1" si="51"/>
        <v>#N/A</v>
      </c>
      <c r="K680" s="18" t="e">
        <f t="shared" ca="1" si="50"/>
        <v>#N/A</v>
      </c>
      <c r="L680" t="e">
        <f ca="1">IF(J680,Charms!B680,"")</f>
        <v>#N/A</v>
      </c>
      <c r="M680" t="str">
        <f t="shared" ca="1" si="52"/>
        <v>-</v>
      </c>
      <c r="N680" s="18" t="str">
        <f t="shared" si="53"/>
        <v>K673:L681</v>
      </c>
      <c r="O680" t="str">
        <f t="shared" si="54"/>
        <v>A673:A680</v>
      </c>
    </row>
    <row r="681" spans="1:15">
      <c r="A681" s="18" t="str">
        <f>Charms!K681</f>
        <v>Black Claw</v>
      </c>
      <c r="B681" t="str">
        <f>Charms!B681</f>
        <v>Heart-Ripping Claw</v>
      </c>
      <c r="C681" t="b">
        <f ca="1">OR(Values!$S$98&gt;=Charms!M681,IFERROR(Charms!J681=OFFSET(Values!$A$24,MATCH("S",Values!$T$25:$T$50,0),0),FALSE))</f>
        <v>0</v>
      </c>
      <c r="D681" t="b">
        <f>VLOOKUP(Charms!J681,Values!$A$11:$S$59,19,0)&gt;=Charms!L681</f>
        <v>0</v>
      </c>
      <c r="E681" t="e">
        <f>OR(ISBLANK(Charms!I681),(VLOOKUP(Values!$S$6,Castes!$B$2:$F$25,4,0)=Charms!I681))</f>
        <v>#N/A</v>
      </c>
      <c r="J681" t="e">
        <f t="shared" ca="1" si="51"/>
        <v>#N/A</v>
      </c>
      <c r="K681" s="18" t="e">
        <f t="shared" ca="1" si="50"/>
        <v>#N/A</v>
      </c>
      <c r="L681" t="e">
        <f ca="1">IF(J681,Charms!B681,"")</f>
        <v>#N/A</v>
      </c>
      <c r="M681" t="str">
        <f t="shared" ca="1" si="52"/>
        <v>-</v>
      </c>
      <c r="N681" s="18" t="str">
        <f t="shared" si="53"/>
        <v>K673:L681</v>
      </c>
      <c r="O681" t="str">
        <f t="shared" si="54"/>
        <v>A673:A681</v>
      </c>
    </row>
    <row r="682" spans="1:15">
      <c r="A682" s="18" t="str">
        <f>Charms!K682</f>
        <v>Crane</v>
      </c>
      <c r="B682" t="str">
        <f>Charms!B682</f>
        <v>Empowering Justice Redirection</v>
      </c>
      <c r="C682" t="b">
        <f ca="1">OR(Values!$S$98&gt;=Charms!M682,IFERROR(Charms!J682=OFFSET(Values!$A$24,MATCH("S",Values!$T$25:$T$50,0),0),FALSE))</f>
        <v>1</v>
      </c>
      <c r="D682" t="b">
        <f>VLOOKUP(Charms!J682,Values!$A$11:$S$59,19,0)&gt;=Charms!L682</f>
        <v>0</v>
      </c>
      <c r="E682" t="e">
        <f>OR(ISBLANK(Charms!I682),(VLOOKUP(Values!$S$6,Castes!$B$2:$F$25,4,0)=Charms!I682))</f>
        <v>#N/A</v>
      </c>
      <c r="J682" t="e">
        <f t="shared" ca="1" si="51"/>
        <v>#N/A</v>
      </c>
      <c r="K682" s="18" t="e">
        <f t="shared" ca="1" si="50"/>
        <v>#N/A</v>
      </c>
      <c r="L682" t="e">
        <f ca="1">IF(J682,Charms!B682,"")</f>
        <v>#N/A</v>
      </c>
      <c r="M682" t="str">
        <f t="shared" ca="1" si="52"/>
        <v>-</v>
      </c>
      <c r="N682" s="18" t="str">
        <f t="shared" si="53"/>
        <v>K682:L691</v>
      </c>
      <c r="O682" t="str">
        <f t="shared" si="54"/>
        <v>A682:A682</v>
      </c>
    </row>
    <row r="683" spans="1:15">
      <c r="A683" s="18" t="str">
        <f>Charms!K683</f>
        <v>Crane</v>
      </c>
      <c r="B683" t="str">
        <f>Charms!B683</f>
        <v>Fluttering Cry of Warning</v>
      </c>
      <c r="C683" t="b">
        <f ca="1">OR(Values!$S$98&gt;=Charms!M683,IFERROR(Charms!J683=OFFSET(Values!$A$24,MATCH("S",Values!$T$25:$T$50,0),0),FALSE))</f>
        <v>1</v>
      </c>
      <c r="D683" t="b">
        <f>VLOOKUP(Charms!J683,Values!$A$11:$S$59,19,0)&gt;=Charms!L683</f>
        <v>0</v>
      </c>
      <c r="E683" t="e">
        <f>OR(ISBLANK(Charms!I683),(VLOOKUP(Values!$S$6,Castes!$B$2:$F$25,4,0)=Charms!I683))</f>
        <v>#N/A</v>
      </c>
      <c r="J683" t="e">
        <f t="shared" ca="1" si="51"/>
        <v>#N/A</v>
      </c>
      <c r="K683" s="18" t="e">
        <f t="shared" ca="1" si="50"/>
        <v>#N/A</v>
      </c>
      <c r="L683" t="e">
        <f ca="1">IF(J683,Charms!B683,"")</f>
        <v>#N/A</v>
      </c>
      <c r="M683" t="str">
        <f t="shared" ca="1" si="52"/>
        <v>-</v>
      </c>
      <c r="N683" s="18" t="str">
        <f t="shared" si="53"/>
        <v>K682:L691</v>
      </c>
      <c r="O683" t="str">
        <f t="shared" si="54"/>
        <v>A682:A683</v>
      </c>
    </row>
    <row r="684" spans="1:15">
      <c r="A684" s="18" t="str">
        <f>Charms!K684</f>
        <v>Crane</v>
      </c>
      <c r="B684" t="str">
        <f>Charms!B684</f>
        <v>Crane Form</v>
      </c>
      <c r="C684" t="b">
        <f ca="1">OR(Values!$S$98&gt;=Charms!M684,IFERROR(Charms!J684=OFFSET(Values!$A$24,MATCH("S",Values!$T$25:$T$50,0),0),FALSE))</f>
        <v>0</v>
      </c>
      <c r="D684" t="b">
        <f>VLOOKUP(Charms!J684,Values!$A$11:$S$59,19,0)&gt;=Charms!L684</f>
        <v>0</v>
      </c>
      <c r="E684" t="e">
        <f>OR(ISBLANK(Charms!I684),(VLOOKUP(Values!$S$6,Castes!$B$2:$F$25,4,0)=Charms!I684))</f>
        <v>#N/A</v>
      </c>
      <c r="J684" t="e">
        <f t="shared" ca="1" si="51"/>
        <v>#N/A</v>
      </c>
      <c r="K684" s="18" t="e">
        <f t="shared" ca="1" si="50"/>
        <v>#N/A</v>
      </c>
      <c r="L684" t="e">
        <f ca="1">IF(J684,Charms!B684,"")</f>
        <v>#N/A</v>
      </c>
      <c r="M684" t="str">
        <f t="shared" ca="1" si="52"/>
        <v>-</v>
      </c>
      <c r="N684" s="18" t="str">
        <f t="shared" si="53"/>
        <v>K682:L691</v>
      </c>
      <c r="O684" t="str">
        <f t="shared" si="54"/>
        <v>A682:A684</v>
      </c>
    </row>
    <row r="685" spans="1:15">
      <c r="A685" s="18" t="str">
        <f>Charms!K685</f>
        <v>Crane</v>
      </c>
      <c r="B685" t="str">
        <f>Charms!B685</f>
        <v>Humbling Enlightenment Commentary</v>
      </c>
      <c r="C685" t="b">
        <f ca="1">OR(Values!$S$98&gt;=Charms!M685,IFERROR(Charms!J685=OFFSET(Values!$A$24,MATCH("S",Values!$T$25:$T$50,0),0),FALSE))</f>
        <v>0</v>
      </c>
      <c r="D685" t="b">
        <f>VLOOKUP(Charms!J685,Values!$A$11:$S$59,19,0)&gt;=Charms!L685</f>
        <v>0</v>
      </c>
      <c r="E685" t="e">
        <f>OR(ISBLANK(Charms!I685),(VLOOKUP(Values!$S$6,Castes!$B$2:$F$25,4,0)=Charms!I685))</f>
        <v>#N/A</v>
      </c>
      <c r="J685" t="e">
        <f t="shared" ca="1" si="51"/>
        <v>#N/A</v>
      </c>
      <c r="K685" s="18" t="e">
        <f t="shared" ca="1" si="50"/>
        <v>#N/A</v>
      </c>
      <c r="L685" t="e">
        <f ca="1">IF(J685,Charms!B685,"")</f>
        <v>#N/A</v>
      </c>
      <c r="M685" t="str">
        <f t="shared" ca="1" si="52"/>
        <v>-</v>
      </c>
      <c r="N685" s="18" t="str">
        <f t="shared" si="53"/>
        <v>K682:L691</v>
      </c>
      <c r="O685" t="str">
        <f t="shared" si="54"/>
        <v>A682:A685</v>
      </c>
    </row>
    <row r="686" spans="1:15">
      <c r="A686" s="18" t="str">
        <f>Charms!K686</f>
        <v>Crane</v>
      </c>
      <c r="B686" t="str">
        <f>Charms!B686</f>
        <v>Mournful Crane's Cry</v>
      </c>
      <c r="C686" t="b">
        <f ca="1">OR(Values!$S$98&gt;=Charms!M686,IFERROR(Charms!J686=OFFSET(Values!$A$24,MATCH("S",Values!$T$25:$T$50,0),0),FALSE))</f>
        <v>0</v>
      </c>
      <c r="D686" t="b">
        <f>VLOOKUP(Charms!J686,Values!$A$11:$S$59,19,0)&gt;=Charms!L686</f>
        <v>0</v>
      </c>
      <c r="E686" t="e">
        <f>OR(ISBLANK(Charms!I686),(VLOOKUP(Values!$S$6,Castes!$B$2:$F$25,4,0)=Charms!I686))</f>
        <v>#N/A</v>
      </c>
      <c r="J686" t="e">
        <f t="shared" ca="1" si="51"/>
        <v>#N/A</v>
      </c>
      <c r="K686" s="18" t="e">
        <f t="shared" ca="1" si="50"/>
        <v>#N/A</v>
      </c>
      <c r="L686" t="e">
        <f ca="1">IF(J686,Charms!B686,"")</f>
        <v>#N/A</v>
      </c>
      <c r="M686" t="str">
        <f t="shared" ca="1" si="52"/>
        <v>-</v>
      </c>
      <c r="N686" s="18" t="str">
        <f t="shared" si="53"/>
        <v>K682:L691</v>
      </c>
      <c r="O686" t="str">
        <f t="shared" si="54"/>
        <v>A682:A686</v>
      </c>
    </row>
    <row r="687" spans="1:15">
      <c r="A687" s="18" t="str">
        <f>Charms!K687</f>
        <v>Crane</v>
      </c>
      <c r="B687" t="str">
        <f>Charms!B687</f>
        <v>Crossed Wings Denial</v>
      </c>
      <c r="C687" t="b">
        <f ca="1">OR(Values!$S$98&gt;=Charms!M687,IFERROR(Charms!J687=OFFSET(Values!$A$24,MATCH("S",Values!$T$25:$T$50,0),0),FALSE))</f>
        <v>0</v>
      </c>
      <c r="D687" t="b">
        <f>VLOOKUP(Charms!J687,Values!$A$11:$S$59,19,0)&gt;=Charms!L687</f>
        <v>0</v>
      </c>
      <c r="E687" t="e">
        <f>OR(ISBLANK(Charms!I687),(VLOOKUP(Values!$S$6,Castes!$B$2:$F$25,4,0)=Charms!I687))</f>
        <v>#N/A</v>
      </c>
      <c r="J687" t="e">
        <f t="shared" ca="1" si="51"/>
        <v>#N/A</v>
      </c>
      <c r="K687" s="18" t="e">
        <f t="shared" ca="1" si="50"/>
        <v>#N/A</v>
      </c>
      <c r="L687" t="e">
        <f ca="1">IF(J687,Charms!B687,"")</f>
        <v>#N/A</v>
      </c>
      <c r="M687" t="str">
        <f t="shared" ca="1" si="52"/>
        <v>-</v>
      </c>
      <c r="N687" s="18" t="str">
        <f t="shared" si="53"/>
        <v>K682:L691</v>
      </c>
      <c r="O687" t="str">
        <f t="shared" si="54"/>
        <v>A682:A687</v>
      </c>
    </row>
    <row r="688" spans="1:15">
      <c r="A688" s="18" t="str">
        <f>Charms!K688</f>
        <v>Crane</v>
      </c>
      <c r="B688" t="str">
        <f>Charms!B688</f>
        <v>Feather-Stirred Arrow Deflection</v>
      </c>
      <c r="C688" t="b">
        <f ca="1">OR(Values!$S$98&gt;=Charms!M688,IFERROR(Charms!J688=OFFSET(Values!$A$24,MATCH("S",Values!$T$25:$T$50,0),0),FALSE))</f>
        <v>0</v>
      </c>
      <c r="D688" t="b">
        <f>VLOOKUP(Charms!J688,Values!$A$11:$S$59,19,0)&gt;=Charms!L688</f>
        <v>0</v>
      </c>
      <c r="E688" t="e">
        <f>OR(ISBLANK(Charms!I688),(VLOOKUP(Values!$S$6,Castes!$B$2:$F$25,4,0)=Charms!I688))</f>
        <v>#N/A</v>
      </c>
      <c r="J688" t="e">
        <f t="shared" ca="1" si="51"/>
        <v>#N/A</v>
      </c>
      <c r="K688" s="18" t="e">
        <f t="shared" ca="1" si="50"/>
        <v>#N/A</v>
      </c>
      <c r="L688" t="e">
        <f ca="1">IF(J688,Charms!B688,"")</f>
        <v>#N/A</v>
      </c>
      <c r="M688" t="str">
        <f t="shared" ca="1" si="52"/>
        <v>-</v>
      </c>
      <c r="N688" s="18" t="str">
        <f t="shared" si="53"/>
        <v>K682:L691</v>
      </c>
      <c r="O688" t="str">
        <f t="shared" si="54"/>
        <v>A682:A688</v>
      </c>
    </row>
    <row r="689" spans="1:15">
      <c r="A689" s="18" t="str">
        <f>Charms!K689</f>
        <v>Crane</v>
      </c>
      <c r="B689" t="str">
        <f>Charms!B689</f>
        <v>Wings Spread to Sky</v>
      </c>
      <c r="C689" t="b">
        <f ca="1">OR(Values!$S$98&gt;=Charms!M689,IFERROR(Charms!J689=OFFSET(Values!$A$24,MATCH("S",Values!$T$25:$T$50,0),0),FALSE))</f>
        <v>0</v>
      </c>
      <c r="D689" t="b">
        <f>VLOOKUP(Charms!J689,Values!$A$11:$S$59,19,0)&gt;=Charms!L689</f>
        <v>0</v>
      </c>
      <c r="E689" t="e">
        <f>OR(ISBLANK(Charms!I689),(VLOOKUP(Values!$S$6,Castes!$B$2:$F$25,4,0)=Charms!I689))</f>
        <v>#N/A</v>
      </c>
      <c r="J689" t="e">
        <f t="shared" ca="1" si="51"/>
        <v>#N/A</v>
      </c>
      <c r="K689" s="18" t="e">
        <f t="shared" ca="1" si="50"/>
        <v>#N/A</v>
      </c>
      <c r="L689" t="e">
        <f ca="1">IF(J689,Charms!B689,"")</f>
        <v>#N/A</v>
      </c>
      <c r="M689" t="str">
        <f t="shared" ca="1" si="52"/>
        <v>-</v>
      </c>
      <c r="N689" s="18" t="str">
        <f t="shared" si="53"/>
        <v>K682:L691</v>
      </c>
      <c r="O689" t="str">
        <f t="shared" si="54"/>
        <v>A682:A689</v>
      </c>
    </row>
    <row r="690" spans="1:15">
      <c r="A690" s="18" t="str">
        <f>Charms!K690</f>
        <v>Crane</v>
      </c>
      <c r="B690" t="str">
        <f>Charms!B690</f>
        <v>Kindly Sifu's Quill</v>
      </c>
      <c r="C690" t="b">
        <f ca="1">OR(Values!$S$98&gt;=Charms!M690,IFERROR(Charms!J690=OFFSET(Values!$A$24,MATCH("S",Values!$T$25:$T$50,0),0),FALSE))</f>
        <v>0</v>
      </c>
      <c r="D690" t="b">
        <f>VLOOKUP(Charms!J690,Values!$A$11:$S$59,19,0)&gt;=Charms!L690</f>
        <v>0</v>
      </c>
      <c r="E690" t="e">
        <f>OR(ISBLANK(Charms!I690),(VLOOKUP(Values!$S$6,Castes!$B$2:$F$25,4,0)=Charms!I690))</f>
        <v>#N/A</v>
      </c>
      <c r="J690" t="e">
        <f t="shared" ca="1" si="51"/>
        <v>#N/A</v>
      </c>
      <c r="K690" s="18" t="e">
        <f t="shared" ca="1" si="50"/>
        <v>#N/A</v>
      </c>
      <c r="L690" t="e">
        <f ca="1">IF(J690,Charms!B690,"")</f>
        <v>#N/A</v>
      </c>
      <c r="M690" t="str">
        <f t="shared" ca="1" si="52"/>
        <v>-</v>
      </c>
      <c r="N690" s="18" t="str">
        <f t="shared" si="53"/>
        <v>K682:L691</v>
      </c>
      <c r="O690" t="str">
        <f t="shared" si="54"/>
        <v>A682:A690</v>
      </c>
    </row>
    <row r="691" spans="1:15">
      <c r="A691" s="18" t="str">
        <f>Charms!K691</f>
        <v>Crane</v>
      </c>
      <c r="B691" t="str">
        <f>Charms!B691</f>
        <v>Wisdom of the Celestial Crane</v>
      </c>
      <c r="C691" t="b">
        <f ca="1">OR(Values!$S$98&gt;=Charms!M691,IFERROR(Charms!J691=OFFSET(Values!$A$24,MATCH("S",Values!$T$25:$T$50,0),0),FALSE))</f>
        <v>0</v>
      </c>
      <c r="D691" t="b">
        <f>VLOOKUP(Charms!J691,Values!$A$11:$S$59,19,0)&gt;=Charms!L691</f>
        <v>0</v>
      </c>
      <c r="E691" t="e">
        <f>OR(ISBLANK(Charms!I691),(VLOOKUP(Values!$S$6,Castes!$B$2:$F$25,4,0)=Charms!I691))</f>
        <v>#N/A</v>
      </c>
      <c r="J691" t="e">
        <f t="shared" ca="1" si="51"/>
        <v>#N/A</v>
      </c>
      <c r="K691" s="18" t="e">
        <f t="shared" ca="1" si="50"/>
        <v>#N/A</v>
      </c>
      <c r="L691" t="e">
        <f ca="1">IF(J691,Charms!B691,"")</f>
        <v>#N/A</v>
      </c>
      <c r="M691" t="str">
        <f t="shared" ca="1" si="52"/>
        <v>-</v>
      </c>
      <c r="N691" s="18" t="str">
        <f t="shared" si="53"/>
        <v>K682:L691</v>
      </c>
      <c r="O691" t="str">
        <f t="shared" si="54"/>
        <v>A682:A691</v>
      </c>
    </row>
    <row r="692" spans="1:15">
      <c r="A692" s="18" t="str">
        <f>Charms!K692</f>
        <v>DP Courtesan</v>
      </c>
      <c r="B692" t="str">
        <f>Charms!B692</f>
        <v>Pearlescent Filigree Defense</v>
      </c>
      <c r="C692" t="b">
        <f ca="1">OR(Values!$S$98&gt;=Charms!M692,IFERROR(Charms!J692=OFFSET(Values!$A$24,MATCH("S",Values!$T$25:$T$50,0),0),FALSE))</f>
        <v>1</v>
      </c>
      <c r="D692" t="b">
        <f>VLOOKUP(Charms!J692,Values!$A$11:$S$59,19,0)&gt;=Charms!L692</f>
        <v>0</v>
      </c>
      <c r="E692" t="e">
        <f>OR(ISBLANK(Charms!I692),(VLOOKUP(Values!$S$6,Castes!$B$2:$F$25,4,0)=Charms!I692))</f>
        <v>#N/A</v>
      </c>
      <c r="J692" t="e">
        <f t="shared" ca="1" si="51"/>
        <v>#N/A</v>
      </c>
      <c r="K692" s="18" t="e">
        <f t="shared" ca="1" si="50"/>
        <v>#N/A</v>
      </c>
      <c r="L692" t="e">
        <f ca="1">IF(J692,Charms!B692,"")</f>
        <v>#N/A</v>
      </c>
      <c r="M692" t="str">
        <f t="shared" ca="1" si="52"/>
        <v>-</v>
      </c>
      <c r="N692" s="18" t="str">
        <f t="shared" si="53"/>
        <v>K692:L700</v>
      </c>
      <c r="O692" t="str">
        <f t="shared" si="54"/>
        <v>A692:A692</v>
      </c>
    </row>
    <row r="693" spans="1:15">
      <c r="A693" s="18" t="str">
        <f>Charms!K693</f>
        <v>DP Courtesan</v>
      </c>
      <c r="B693" t="str">
        <f>Charms!B693</f>
        <v>Demure Carp Feint</v>
      </c>
      <c r="C693" t="b">
        <f ca="1">OR(Values!$S$98&gt;=Charms!M693,IFERROR(Charms!J693=OFFSET(Values!$A$24,MATCH("S",Values!$T$25:$T$50,0),0),FALSE))</f>
        <v>1</v>
      </c>
      <c r="D693" t="b">
        <f>VLOOKUP(Charms!J693,Values!$A$11:$S$59,19,0)&gt;=Charms!L693</f>
        <v>0</v>
      </c>
      <c r="E693" t="e">
        <f>OR(ISBLANK(Charms!I693),(VLOOKUP(Values!$S$6,Castes!$B$2:$F$25,4,0)=Charms!I693))</f>
        <v>#N/A</v>
      </c>
      <c r="J693" t="e">
        <f t="shared" ca="1" si="51"/>
        <v>#N/A</v>
      </c>
      <c r="K693" s="18" t="e">
        <f t="shared" ca="1" si="50"/>
        <v>#N/A</v>
      </c>
      <c r="L693" t="e">
        <f ca="1">IF(J693,Charms!B693,"")</f>
        <v>#N/A</v>
      </c>
      <c r="M693" t="str">
        <f t="shared" ca="1" si="52"/>
        <v>-</v>
      </c>
      <c r="N693" s="18" t="str">
        <f t="shared" si="53"/>
        <v>K692:L700</v>
      </c>
      <c r="O693" t="str">
        <f t="shared" si="54"/>
        <v>A692:A693</v>
      </c>
    </row>
    <row r="694" spans="1:15">
      <c r="A694" s="18" t="str">
        <f>Charms!K694</f>
        <v>DP Courtesan</v>
      </c>
      <c r="B694" t="str">
        <f>Charms!B694</f>
        <v>Elegant Weapon Repertoire</v>
      </c>
      <c r="C694" t="b">
        <f ca="1">OR(Values!$S$98&gt;=Charms!M694,IFERROR(Charms!J694=OFFSET(Values!$A$24,MATCH("S",Values!$T$25:$T$50,0),0),FALSE))</f>
        <v>1</v>
      </c>
      <c r="D694" t="b">
        <f>VLOOKUP(Charms!J694,Values!$A$11:$S$59,19,0)&gt;=Charms!L694</f>
        <v>0</v>
      </c>
      <c r="E694" t="e">
        <f>OR(ISBLANK(Charms!I694),(VLOOKUP(Values!$S$6,Castes!$B$2:$F$25,4,0)=Charms!I694))</f>
        <v>#N/A</v>
      </c>
      <c r="J694" t="e">
        <f t="shared" ca="1" si="51"/>
        <v>#N/A</v>
      </c>
      <c r="K694" s="18" t="e">
        <f t="shared" ca="1" si="50"/>
        <v>#N/A</v>
      </c>
      <c r="L694" t="e">
        <f ca="1">IF(J694,Charms!B694,"")</f>
        <v>#N/A</v>
      </c>
      <c r="M694" t="str">
        <f t="shared" ca="1" si="52"/>
        <v>-</v>
      </c>
      <c r="N694" s="18" t="str">
        <f t="shared" si="53"/>
        <v>K692:L700</v>
      </c>
      <c r="O694" t="str">
        <f t="shared" si="54"/>
        <v>A692:A694</v>
      </c>
    </row>
    <row r="695" spans="1:15">
      <c r="A695" s="18" t="str">
        <f>Charms!K695</f>
        <v>DP Courtesan</v>
      </c>
      <c r="B695" t="str">
        <f>Charms!B695</f>
        <v>Dreaming Pearl Courtesan Form</v>
      </c>
      <c r="C695" t="b">
        <f ca="1">OR(Values!$S$98&gt;=Charms!M695,IFERROR(Charms!J695=OFFSET(Values!$A$24,MATCH("S",Values!$T$25:$T$50,0),0),FALSE))</f>
        <v>0</v>
      </c>
      <c r="D695" t="b">
        <f>VLOOKUP(Charms!J695,Values!$A$11:$S$59,19,0)&gt;=Charms!L695</f>
        <v>0</v>
      </c>
      <c r="E695" t="e">
        <f>OR(ISBLANK(Charms!I695),(VLOOKUP(Values!$S$6,Castes!$B$2:$F$25,4,0)=Charms!I695))</f>
        <v>#N/A</v>
      </c>
      <c r="J695" t="e">
        <f t="shared" ca="1" si="51"/>
        <v>#N/A</v>
      </c>
      <c r="K695" s="18" t="e">
        <f t="shared" ca="1" si="50"/>
        <v>#N/A</v>
      </c>
      <c r="L695" t="e">
        <f ca="1">IF(J695,Charms!B695,"")</f>
        <v>#N/A</v>
      </c>
      <c r="M695" t="str">
        <f t="shared" ca="1" si="52"/>
        <v>-</v>
      </c>
      <c r="N695" s="18" t="str">
        <f t="shared" si="53"/>
        <v>K692:L700</v>
      </c>
      <c r="O695" t="str">
        <f t="shared" si="54"/>
        <v>A692:A695</v>
      </c>
    </row>
    <row r="696" spans="1:15">
      <c r="A696" s="18" t="str">
        <f>Charms!K696</f>
        <v>DP Courtesan</v>
      </c>
      <c r="B696" t="str">
        <f>Charms!B696</f>
        <v>Flurry of August Leaves</v>
      </c>
      <c r="C696" t="b">
        <f ca="1">OR(Values!$S$98&gt;=Charms!M696,IFERROR(Charms!J696=OFFSET(Values!$A$24,MATCH("S",Values!$T$25:$T$50,0),0),FALSE))</f>
        <v>0</v>
      </c>
      <c r="D696" t="b">
        <f>VLOOKUP(Charms!J696,Values!$A$11:$S$59,19,0)&gt;=Charms!L696</f>
        <v>0</v>
      </c>
      <c r="E696" t="e">
        <f>OR(ISBLANK(Charms!I696),(VLOOKUP(Values!$S$6,Castes!$B$2:$F$25,4,0)=Charms!I696))</f>
        <v>#N/A</v>
      </c>
      <c r="J696" t="e">
        <f t="shared" ca="1" si="51"/>
        <v>#N/A</v>
      </c>
      <c r="K696" s="18" t="e">
        <f t="shared" ca="1" si="50"/>
        <v>#N/A</v>
      </c>
      <c r="L696" t="e">
        <f ca="1">IF(J696,Charms!B696,"")</f>
        <v>#N/A</v>
      </c>
      <c r="M696" t="str">
        <f t="shared" ca="1" si="52"/>
        <v>-</v>
      </c>
      <c r="N696" s="18" t="str">
        <f t="shared" si="53"/>
        <v>K692:L700</v>
      </c>
      <c r="O696" t="str">
        <f t="shared" si="54"/>
        <v>A692:A696</v>
      </c>
    </row>
    <row r="697" spans="1:15">
      <c r="A697" s="18" t="str">
        <f>Charms!K697</f>
        <v>DP Courtesan</v>
      </c>
      <c r="B697" t="str">
        <f>Charms!B697</f>
        <v>Fragrant Petal Fascination Kata</v>
      </c>
      <c r="C697" t="b">
        <f ca="1">OR(Values!$S$98&gt;=Charms!M697,IFERROR(Charms!J697=OFFSET(Values!$A$24,MATCH("S",Values!$T$25:$T$50,0),0),FALSE))</f>
        <v>0</v>
      </c>
      <c r="D697" t="b">
        <f>VLOOKUP(Charms!J697,Values!$A$11:$S$59,19,0)&gt;=Charms!L697</f>
        <v>0</v>
      </c>
      <c r="E697" t="e">
        <f>OR(ISBLANK(Charms!I697),(VLOOKUP(Values!$S$6,Castes!$B$2:$F$25,4,0)=Charms!I697))</f>
        <v>#N/A</v>
      </c>
      <c r="J697" t="e">
        <f t="shared" ca="1" si="51"/>
        <v>#N/A</v>
      </c>
      <c r="K697" s="18" t="e">
        <f t="shared" ca="1" si="50"/>
        <v>#N/A</v>
      </c>
      <c r="L697" t="e">
        <f ca="1">IF(J697,Charms!B697,"")</f>
        <v>#N/A</v>
      </c>
      <c r="M697" t="str">
        <f t="shared" ca="1" si="52"/>
        <v>-</v>
      </c>
      <c r="N697" s="18" t="str">
        <f t="shared" si="53"/>
        <v>K692:L700</v>
      </c>
      <c r="O697" t="str">
        <f t="shared" si="54"/>
        <v>A692:A697</v>
      </c>
    </row>
    <row r="698" spans="1:15">
      <c r="A698" s="18" t="str">
        <f>Charms!K698</f>
        <v>DP Courtesan</v>
      </c>
      <c r="B698" t="str">
        <f>Charms!B698</f>
        <v>Seven Storms Escape Prana</v>
      </c>
      <c r="C698" t="b">
        <f ca="1">OR(Values!$S$98&gt;=Charms!M698,IFERROR(Charms!J698=OFFSET(Values!$A$24,MATCH("S",Values!$T$25:$T$50,0),0),FALSE))</f>
        <v>0</v>
      </c>
      <c r="D698" t="b">
        <f>VLOOKUP(Charms!J698,Values!$A$11:$S$59,19,0)&gt;=Charms!L698</f>
        <v>0</v>
      </c>
      <c r="E698" t="e">
        <f>OR(ISBLANK(Charms!I698),(VLOOKUP(Values!$S$6,Castes!$B$2:$F$25,4,0)=Charms!I698))</f>
        <v>#N/A</v>
      </c>
      <c r="J698" t="e">
        <f t="shared" ca="1" si="51"/>
        <v>#N/A</v>
      </c>
      <c r="K698" s="18" t="e">
        <f t="shared" ca="1" si="50"/>
        <v>#N/A</v>
      </c>
      <c r="L698" t="e">
        <f ca="1">IF(J698,Charms!B698,"")</f>
        <v>#N/A</v>
      </c>
      <c r="M698" t="str">
        <f t="shared" ca="1" si="52"/>
        <v>-</v>
      </c>
      <c r="N698" s="18" t="str">
        <f t="shared" si="53"/>
        <v>K692:L700</v>
      </c>
      <c r="O698" t="str">
        <f t="shared" si="54"/>
        <v>A692:A698</v>
      </c>
    </row>
    <row r="699" spans="1:15">
      <c r="A699" s="18" t="str">
        <f>Charms!K699</f>
        <v>DP Courtesan</v>
      </c>
      <c r="B699" t="str">
        <f>Charms!B699</f>
        <v>Vindictive Concubine's Pillow Book</v>
      </c>
      <c r="C699" t="b">
        <f ca="1">OR(Values!$S$98&gt;=Charms!M699,IFERROR(Charms!J699=OFFSET(Values!$A$24,MATCH("S",Values!$T$25:$T$50,0),0),FALSE))</f>
        <v>0</v>
      </c>
      <c r="D699" t="b">
        <f>VLOOKUP(Charms!J699,Values!$A$11:$S$59,19,0)&gt;=Charms!L699</f>
        <v>0</v>
      </c>
      <c r="E699" t="e">
        <f>OR(ISBLANK(Charms!I699),(VLOOKUP(Values!$S$6,Castes!$B$2:$F$25,4,0)=Charms!I699))</f>
        <v>#N/A</v>
      </c>
      <c r="J699" t="e">
        <f t="shared" ca="1" si="51"/>
        <v>#N/A</v>
      </c>
      <c r="K699" s="18" t="e">
        <f t="shared" ca="1" si="50"/>
        <v>#N/A</v>
      </c>
      <c r="L699" t="e">
        <f ca="1">IF(J699,Charms!B699,"")</f>
        <v>#N/A</v>
      </c>
      <c r="M699" t="str">
        <f t="shared" ca="1" si="52"/>
        <v>-</v>
      </c>
      <c r="N699" s="18" t="str">
        <f t="shared" si="53"/>
        <v>K692:L700</v>
      </c>
      <c r="O699" t="str">
        <f t="shared" si="54"/>
        <v>A692:A699</v>
      </c>
    </row>
    <row r="700" spans="1:15">
      <c r="A700" s="18" t="str">
        <f>Charms!K700</f>
        <v>DP Courtesan</v>
      </c>
      <c r="B700" t="str">
        <f>Charms!B700</f>
        <v>Invoking the Chimera's Coils</v>
      </c>
      <c r="C700" t="b">
        <f ca="1">OR(Values!$S$98&gt;=Charms!M700,IFERROR(Charms!J700=OFFSET(Values!$A$24,MATCH("S",Values!$T$25:$T$50,0),0),FALSE))</f>
        <v>0</v>
      </c>
      <c r="D700" t="b">
        <f>VLOOKUP(Charms!J700,Values!$A$11:$S$59,19,0)&gt;=Charms!L700</f>
        <v>0</v>
      </c>
      <c r="E700" t="e">
        <f>OR(ISBLANK(Charms!I700),(VLOOKUP(Values!$S$6,Castes!$B$2:$F$25,4,0)=Charms!I700))</f>
        <v>#N/A</v>
      </c>
      <c r="J700" t="e">
        <f t="shared" ca="1" si="51"/>
        <v>#N/A</v>
      </c>
      <c r="K700" s="18" t="e">
        <f t="shared" ca="1" si="50"/>
        <v>#N/A</v>
      </c>
      <c r="L700" t="e">
        <f ca="1">IF(J700,Charms!B700,"")</f>
        <v>#N/A</v>
      </c>
      <c r="M700" t="str">
        <f t="shared" ca="1" si="52"/>
        <v>-</v>
      </c>
      <c r="N700" s="18" t="str">
        <f t="shared" si="53"/>
        <v>K692:L700</v>
      </c>
      <c r="O700" t="str">
        <f t="shared" si="54"/>
        <v>A692:A700</v>
      </c>
    </row>
    <row r="701" spans="1:15">
      <c r="A701" s="18" t="str">
        <f>Charms!K701</f>
        <v>Earth Dragon</v>
      </c>
      <c r="B701" t="str">
        <f>Charms!B701</f>
        <v>Stone Dragon’s Skin</v>
      </c>
      <c r="C701" t="b">
        <f ca="1">OR(Values!$S$98&gt;=Charms!M701,IFERROR(Charms!J701=OFFSET(Values!$A$24,MATCH("S",Values!$T$25:$T$50,0),0),FALSE))</f>
        <v>1</v>
      </c>
      <c r="D701" t="b">
        <f>VLOOKUP(Charms!J701,Values!$A$11:$S$59,19,0)&gt;=Charms!L701</f>
        <v>0</v>
      </c>
      <c r="E701" t="e">
        <f>OR(ISBLANK(Charms!I701),(VLOOKUP(Values!$S$6,Castes!$B$2:$F$25,4,0)=Charms!I701))</f>
        <v>#N/A</v>
      </c>
      <c r="J701" t="e">
        <f t="shared" ca="1" si="51"/>
        <v>#N/A</v>
      </c>
      <c r="K701" s="18" t="e">
        <f t="shared" ca="1" si="50"/>
        <v>#N/A</v>
      </c>
      <c r="L701" t="e">
        <f ca="1">IF(J701,Charms!B701,"")</f>
        <v>#N/A</v>
      </c>
      <c r="M701" t="str">
        <f t="shared" ca="1" si="52"/>
        <v>-</v>
      </c>
      <c r="N701" s="18" t="str">
        <f t="shared" si="53"/>
        <v>K701:L712</v>
      </c>
      <c r="O701" t="str">
        <f t="shared" si="54"/>
        <v>A701:A701</v>
      </c>
    </row>
    <row r="702" spans="1:15">
      <c r="A702" s="18" t="str">
        <f>Charms!K702</f>
        <v>Earth Dragon</v>
      </c>
      <c r="B702" t="str">
        <f>Charms!B702</f>
        <v>Force of the Mountain</v>
      </c>
      <c r="C702" t="b">
        <f ca="1">OR(Values!$S$98&gt;=Charms!M702,IFERROR(Charms!J702=OFFSET(Values!$A$24,MATCH("S",Values!$T$25:$T$50,0),0),FALSE))</f>
        <v>1</v>
      </c>
      <c r="D702" t="b">
        <f>VLOOKUP(Charms!J702,Values!$A$11:$S$59,19,0)&gt;=Charms!L702</f>
        <v>0</v>
      </c>
      <c r="E702" t="e">
        <f>OR(ISBLANK(Charms!I702),(VLOOKUP(Values!$S$6,Castes!$B$2:$F$25,4,0)=Charms!I702))</f>
        <v>#N/A</v>
      </c>
      <c r="J702" t="e">
        <f t="shared" ca="1" si="51"/>
        <v>#N/A</v>
      </c>
      <c r="K702" s="18" t="e">
        <f t="shared" ca="1" si="50"/>
        <v>#N/A</v>
      </c>
      <c r="L702" t="e">
        <f ca="1">IF(J702,Charms!B702,"")</f>
        <v>#N/A</v>
      </c>
      <c r="M702" t="str">
        <f t="shared" ca="1" si="52"/>
        <v>-</v>
      </c>
      <c r="N702" s="18" t="str">
        <f t="shared" si="53"/>
        <v>K701:L712</v>
      </c>
      <c r="O702" t="str">
        <f t="shared" si="54"/>
        <v>A701:A702</v>
      </c>
    </row>
    <row r="703" spans="1:15">
      <c r="A703" s="18" t="str">
        <f>Charms!K703</f>
        <v>Earth Dragon</v>
      </c>
      <c r="B703" t="str">
        <f>Charms!B703</f>
        <v>Stillness-of-Stone Atemi</v>
      </c>
      <c r="C703" t="b">
        <f ca="1">OR(Values!$S$98&gt;=Charms!M703,IFERROR(Charms!J703=OFFSET(Values!$A$24,MATCH("S",Values!$T$25:$T$50,0),0),FALSE))</f>
        <v>0</v>
      </c>
      <c r="D703" t="b">
        <f>VLOOKUP(Charms!J703,Values!$A$11:$S$59,19,0)&gt;=Charms!L703</f>
        <v>0</v>
      </c>
      <c r="E703" t="e">
        <f>OR(ISBLANK(Charms!I703),(VLOOKUP(Values!$S$6,Castes!$B$2:$F$25,4,0)=Charms!I703))</f>
        <v>#N/A</v>
      </c>
      <c r="J703" t="e">
        <f t="shared" ca="1" si="51"/>
        <v>#N/A</v>
      </c>
      <c r="K703" s="18" t="e">
        <f t="shared" ca="1" si="50"/>
        <v>#N/A</v>
      </c>
      <c r="L703" t="e">
        <f ca="1">IF(J703,Charms!B703,"")</f>
        <v>#N/A</v>
      </c>
      <c r="M703" t="str">
        <f t="shared" ca="1" si="52"/>
        <v>-</v>
      </c>
      <c r="N703" s="18" t="str">
        <f t="shared" si="53"/>
        <v>K701:L712</v>
      </c>
      <c r="O703" t="str">
        <f t="shared" si="54"/>
        <v>A701:A703</v>
      </c>
    </row>
    <row r="704" spans="1:15">
      <c r="A704" s="18" t="str">
        <f>Charms!K704</f>
        <v>Earth Dragon</v>
      </c>
      <c r="B704" t="str">
        <f>Charms!B704</f>
        <v>Unmoving Mountain Stance</v>
      </c>
      <c r="C704" t="b">
        <f ca="1">OR(Values!$S$98&gt;=Charms!M704,IFERROR(Charms!J704=OFFSET(Values!$A$24,MATCH("S",Values!$T$25:$T$50,0),0),FALSE))</f>
        <v>0</v>
      </c>
      <c r="D704" t="b">
        <f>VLOOKUP(Charms!J704,Values!$A$11:$S$59,19,0)&gt;=Charms!L704</f>
        <v>0</v>
      </c>
      <c r="E704" t="e">
        <f>OR(ISBLANK(Charms!I704),(VLOOKUP(Values!$S$6,Castes!$B$2:$F$25,4,0)=Charms!I704))</f>
        <v>#N/A</v>
      </c>
      <c r="J704" t="e">
        <f t="shared" ca="1" si="51"/>
        <v>#N/A</v>
      </c>
      <c r="K704" s="18" t="e">
        <f t="shared" ca="1" si="50"/>
        <v>#N/A</v>
      </c>
      <c r="L704" t="e">
        <f ca="1">IF(J704,Charms!B704,"")</f>
        <v>#N/A</v>
      </c>
      <c r="M704" t="str">
        <f t="shared" ca="1" si="52"/>
        <v>-</v>
      </c>
      <c r="N704" s="18" t="str">
        <f t="shared" si="53"/>
        <v>K701:L712</v>
      </c>
      <c r="O704" t="str">
        <f t="shared" si="54"/>
        <v>A701:A704</v>
      </c>
    </row>
    <row r="705" spans="1:15">
      <c r="A705" s="18" t="str">
        <f>Charms!K705</f>
        <v>Earth Dragon</v>
      </c>
      <c r="B705" t="str">
        <f>Charms!B705</f>
        <v>Earth Dragon Form</v>
      </c>
      <c r="C705" t="b">
        <f ca="1">OR(Values!$S$98&gt;=Charms!M705,IFERROR(Charms!J705=OFFSET(Values!$A$24,MATCH("S",Values!$T$25:$T$50,0),0),FALSE))</f>
        <v>0</v>
      </c>
      <c r="D705" t="b">
        <f>VLOOKUP(Charms!J705,Values!$A$11:$S$59,19,0)&gt;=Charms!L705</f>
        <v>0</v>
      </c>
      <c r="E705" t="e">
        <f>OR(ISBLANK(Charms!I705),(VLOOKUP(Values!$S$6,Castes!$B$2:$F$25,4,0)=Charms!I705))</f>
        <v>#N/A</v>
      </c>
      <c r="J705" t="e">
        <f t="shared" ca="1" si="51"/>
        <v>#N/A</v>
      </c>
      <c r="K705" s="18" t="e">
        <f t="shared" ca="1" si="50"/>
        <v>#N/A</v>
      </c>
      <c r="L705" t="e">
        <f ca="1">IF(J705,Charms!B705,"")</f>
        <v>#N/A</v>
      </c>
      <c r="M705" t="str">
        <f t="shared" ca="1" si="52"/>
        <v>-</v>
      </c>
      <c r="N705" s="18" t="str">
        <f t="shared" si="53"/>
        <v>K701:L712</v>
      </c>
      <c r="O705" t="str">
        <f t="shared" si="54"/>
        <v>A701:A705</v>
      </c>
    </row>
    <row r="706" spans="1:15">
      <c r="A706" s="18" t="str">
        <f>Charms!K706</f>
        <v>Earth Dragon</v>
      </c>
      <c r="B706" t="str">
        <f>Charms!B706</f>
        <v>Ghost-Grounding Blow</v>
      </c>
      <c r="C706" t="b">
        <f ca="1">OR(Values!$S$98&gt;=Charms!M706,IFERROR(Charms!J706=OFFSET(Values!$A$24,MATCH("S",Values!$T$25:$T$50,0),0),FALSE))</f>
        <v>0</v>
      </c>
      <c r="D706" t="b">
        <f>VLOOKUP(Charms!J706,Values!$A$11:$S$59,19,0)&gt;=Charms!L706</f>
        <v>0</v>
      </c>
      <c r="E706" t="e">
        <f>OR(ISBLANK(Charms!I706),(VLOOKUP(Values!$S$6,Castes!$B$2:$F$25,4,0)=Charms!I706))</f>
        <v>#N/A</v>
      </c>
      <c r="J706" t="e">
        <f t="shared" ca="1" si="51"/>
        <v>#N/A</v>
      </c>
      <c r="K706" s="18" t="e">
        <f t="shared" ref="K706:K769" ca="1" si="55">IF(L706="","",COUNTIF(INDIRECT("J"&amp;MATCH(A706,A:A,0)&amp;":J"&amp;ROW()),J706))</f>
        <v>#N/A</v>
      </c>
      <c r="L706" t="e">
        <f ca="1">IF(J706,Charms!B706,"")</f>
        <v>#N/A</v>
      </c>
      <c r="M706" t="str">
        <f t="shared" ca="1" si="52"/>
        <v>-</v>
      </c>
      <c r="N706" s="18" t="str">
        <f t="shared" si="53"/>
        <v>K701:L712</v>
      </c>
      <c r="O706" t="str">
        <f t="shared" si="54"/>
        <v>A701:A706</v>
      </c>
    </row>
    <row r="707" spans="1:15">
      <c r="A707" s="18" t="str">
        <f>Charms!K707</f>
        <v>Earth Dragon</v>
      </c>
      <c r="B707" t="str">
        <f>Charms!B707</f>
        <v>Earthshaker Attack</v>
      </c>
      <c r="C707" t="b">
        <f ca="1">OR(Values!$S$98&gt;=Charms!M707,IFERROR(Charms!J707=OFFSET(Values!$A$24,MATCH("S",Values!$T$25:$T$50,0),0),FALSE))</f>
        <v>0</v>
      </c>
      <c r="D707" t="b">
        <f>VLOOKUP(Charms!J707,Values!$A$11:$S$59,19,0)&gt;=Charms!L707</f>
        <v>0</v>
      </c>
      <c r="E707" t="e">
        <f>OR(ISBLANK(Charms!I707),(VLOOKUP(Values!$S$6,Castes!$B$2:$F$25,4,0)=Charms!I707))</f>
        <v>#N/A</v>
      </c>
      <c r="J707" t="e">
        <f t="shared" ref="J707:J770" ca="1" si="56">(C707+D707+E707+F707+G707+H707+I707)=3</f>
        <v>#N/A</v>
      </c>
      <c r="K707" s="18" t="e">
        <f t="shared" ca="1" si="55"/>
        <v>#N/A</v>
      </c>
      <c r="L707" t="e">
        <f ca="1">IF(J707,Charms!B707,"")</f>
        <v>#N/A</v>
      </c>
      <c r="M707" t="str">
        <f t="shared" ref="M707:M770" ca="1" si="57">IFERROR(VLOOKUP(COUNTIF(INDIRECT(O707),A707),INDIRECT(N707),2,0),"-")</f>
        <v>-</v>
      </c>
      <c r="N707" s="18" t="str">
        <f t="shared" ref="N707:N770" si="58">"K"&amp;MATCH(A707,A:A,0)&amp;":L"&amp;(MATCH(A707,A:A,0)+COUNTIF(A:A,A707)-1)</f>
        <v>K701:L712</v>
      </c>
      <c r="O707" t="str">
        <f t="shared" ref="O707:O770" si="59">"A"&amp;MATCH(A707,A:A,0)&amp;":A"&amp;ROW()</f>
        <v>A701:A707</v>
      </c>
    </row>
    <row r="708" spans="1:15">
      <c r="A708" s="18" t="str">
        <f>Charms!K708</f>
        <v>Earth Dragon</v>
      </c>
      <c r="B708" t="str">
        <f>Charms!B708</f>
        <v>Shattering Fist Strike</v>
      </c>
      <c r="C708" t="b">
        <f ca="1">OR(Values!$S$98&gt;=Charms!M708,IFERROR(Charms!J708=OFFSET(Values!$A$24,MATCH("S",Values!$T$25:$T$50,0),0),FALSE))</f>
        <v>0</v>
      </c>
      <c r="D708" t="b">
        <f>VLOOKUP(Charms!J708,Values!$A$11:$S$59,19,0)&gt;=Charms!L708</f>
        <v>0</v>
      </c>
      <c r="E708" t="e">
        <f>OR(ISBLANK(Charms!I708),(VLOOKUP(Values!$S$6,Castes!$B$2:$F$25,4,0)=Charms!I708))</f>
        <v>#N/A</v>
      </c>
      <c r="J708" t="e">
        <f t="shared" ca="1" si="56"/>
        <v>#N/A</v>
      </c>
      <c r="K708" s="18" t="e">
        <f t="shared" ca="1" si="55"/>
        <v>#N/A</v>
      </c>
      <c r="L708" t="e">
        <f ca="1">IF(J708,Charms!B708,"")</f>
        <v>#N/A</v>
      </c>
      <c r="M708" t="str">
        <f t="shared" ca="1" si="57"/>
        <v>-</v>
      </c>
      <c r="N708" s="18" t="str">
        <f t="shared" si="58"/>
        <v>K701:L712</v>
      </c>
      <c r="O708" t="str">
        <f t="shared" si="59"/>
        <v>A701:A708</v>
      </c>
    </row>
    <row r="709" spans="1:15">
      <c r="A709" s="18" t="str">
        <f>Charms!K709</f>
        <v>Earth Dragon</v>
      </c>
      <c r="B709" t="str">
        <f>Charms!B709</f>
        <v>Weapon-Breaking Defense Technique</v>
      </c>
      <c r="C709" t="b">
        <f ca="1">OR(Values!$S$98&gt;=Charms!M709,IFERROR(Charms!J709=OFFSET(Values!$A$24,MATCH("S",Values!$T$25:$T$50,0),0),FALSE))</f>
        <v>0</v>
      </c>
      <c r="D709" t="b">
        <f>VLOOKUP(Charms!J709,Values!$A$11:$S$59,19,0)&gt;=Charms!L709</f>
        <v>0</v>
      </c>
      <c r="E709" t="e">
        <f>OR(ISBLANK(Charms!I709),(VLOOKUP(Values!$S$6,Castes!$B$2:$F$25,4,0)=Charms!I709))</f>
        <v>#N/A</v>
      </c>
      <c r="J709" t="e">
        <f t="shared" ca="1" si="56"/>
        <v>#N/A</v>
      </c>
      <c r="K709" s="18" t="e">
        <f t="shared" ca="1" si="55"/>
        <v>#N/A</v>
      </c>
      <c r="L709" t="e">
        <f ca="1">IF(J709,Charms!B709,"")</f>
        <v>#N/A</v>
      </c>
      <c r="M709" t="str">
        <f t="shared" ca="1" si="57"/>
        <v>-</v>
      </c>
      <c r="N709" s="18" t="str">
        <f t="shared" si="58"/>
        <v>K701:L712</v>
      </c>
      <c r="O709" t="str">
        <f t="shared" si="59"/>
        <v>A701:A709</v>
      </c>
    </row>
    <row r="710" spans="1:15">
      <c r="A710" s="18" t="str">
        <f>Charms!K710</f>
        <v>Earth Dragon</v>
      </c>
      <c r="B710" t="str">
        <f>Charms!B710</f>
        <v>Avalanche Method</v>
      </c>
      <c r="C710" t="b">
        <f ca="1">OR(Values!$S$98&gt;=Charms!M710,IFERROR(Charms!J710=OFFSET(Values!$A$24,MATCH("S",Values!$T$25:$T$50,0),0),FALSE))</f>
        <v>0</v>
      </c>
      <c r="D710" t="b">
        <f>VLOOKUP(Charms!J710,Values!$A$11:$S$59,19,0)&gt;=Charms!L710</f>
        <v>0</v>
      </c>
      <c r="E710" t="e">
        <f>OR(ISBLANK(Charms!I710),(VLOOKUP(Values!$S$6,Castes!$B$2:$F$25,4,0)=Charms!I710))</f>
        <v>#N/A</v>
      </c>
      <c r="J710" t="e">
        <f t="shared" ca="1" si="56"/>
        <v>#N/A</v>
      </c>
      <c r="K710" s="18" t="e">
        <f t="shared" ca="1" si="55"/>
        <v>#N/A</v>
      </c>
      <c r="L710" t="e">
        <f ca="1">IF(J710,Charms!B710,"")</f>
        <v>#N/A</v>
      </c>
      <c r="M710" t="str">
        <f t="shared" ca="1" si="57"/>
        <v>-</v>
      </c>
      <c r="N710" s="18" t="str">
        <f t="shared" si="58"/>
        <v>K701:L712</v>
      </c>
      <c r="O710" t="str">
        <f t="shared" si="59"/>
        <v>A701:A710</v>
      </c>
    </row>
    <row r="711" spans="1:15">
      <c r="A711" s="18" t="str">
        <f>Charms!K711</f>
        <v>Earth Dragon</v>
      </c>
      <c r="B711" t="str">
        <f>Charms!B711</f>
        <v>Hungry Earth Strike</v>
      </c>
      <c r="C711" t="b">
        <f ca="1">OR(Values!$S$98&gt;=Charms!M711,IFERROR(Charms!J711=OFFSET(Values!$A$24,MATCH("S",Values!$T$25:$T$50,0),0),FALSE))</f>
        <v>0</v>
      </c>
      <c r="D711" t="b">
        <f>VLOOKUP(Charms!J711,Values!$A$11:$S$59,19,0)&gt;=Charms!L711</f>
        <v>0</v>
      </c>
      <c r="E711" t="e">
        <f>OR(ISBLANK(Charms!I711),(VLOOKUP(Values!$S$6,Castes!$B$2:$F$25,4,0)=Charms!I711))</f>
        <v>#N/A</v>
      </c>
      <c r="J711" t="e">
        <f t="shared" ca="1" si="56"/>
        <v>#N/A</v>
      </c>
      <c r="K711" s="18" t="e">
        <f t="shared" ca="1" si="55"/>
        <v>#N/A</v>
      </c>
      <c r="L711" t="e">
        <f ca="1">IF(J711,Charms!B711,"")</f>
        <v>#N/A</v>
      </c>
      <c r="M711" t="str">
        <f t="shared" ca="1" si="57"/>
        <v>-</v>
      </c>
      <c r="N711" s="18" t="str">
        <f t="shared" si="58"/>
        <v>K701:L712</v>
      </c>
      <c r="O711" t="str">
        <f t="shared" si="59"/>
        <v>A701:A711</v>
      </c>
    </row>
    <row r="712" spans="1:15">
      <c r="A712" s="18" t="str">
        <f>Charms!K712</f>
        <v>Earth Dragon</v>
      </c>
      <c r="B712" t="str">
        <f>Charms!B712</f>
        <v>Perfection of Earth Body</v>
      </c>
      <c r="C712" t="b">
        <f ca="1">OR(Values!$S$98&gt;=Charms!M712,IFERROR(Charms!J712=OFFSET(Values!$A$24,MATCH("S",Values!$T$25:$T$50,0),0),FALSE))</f>
        <v>0</v>
      </c>
      <c r="D712" t="b">
        <f>VLOOKUP(Charms!J712,Values!$A$11:$S$59,19,0)&gt;=Charms!L712</f>
        <v>0</v>
      </c>
      <c r="E712" t="e">
        <f>OR(ISBLANK(Charms!I712),(VLOOKUP(Values!$S$6,Castes!$B$2:$F$25,4,0)=Charms!I712))</f>
        <v>#N/A</v>
      </c>
      <c r="J712" t="e">
        <f t="shared" ca="1" si="56"/>
        <v>#N/A</v>
      </c>
      <c r="K712" s="18" t="e">
        <f t="shared" ca="1" si="55"/>
        <v>#N/A</v>
      </c>
      <c r="L712" t="e">
        <f ca="1">IF(J712,Charms!B712,"")</f>
        <v>#N/A</v>
      </c>
      <c r="M712" t="str">
        <f t="shared" ca="1" si="57"/>
        <v>-</v>
      </c>
      <c r="N712" s="18" t="str">
        <f t="shared" si="58"/>
        <v>K701:L712</v>
      </c>
      <c r="O712" t="str">
        <f t="shared" si="59"/>
        <v>A701:A712</v>
      </c>
    </row>
    <row r="713" spans="1:15">
      <c r="A713" s="18" t="str">
        <f>Charms!K713</f>
        <v>Ebon Shadow</v>
      </c>
      <c r="B713" t="str">
        <f>Charms!B713</f>
        <v>Nothing But Shadows</v>
      </c>
      <c r="C713" t="b">
        <f ca="1">OR(Values!$S$98&gt;=Charms!M713,IFERROR(Charms!J713=OFFSET(Values!$A$24,MATCH("S",Values!$T$25:$T$50,0),0),FALSE))</f>
        <v>1</v>
      </c>
      <c r="D713" t="b">
        <f>VLOOKUP(Charms!J713,Values!$A$11:$S$59,19,0)&gt;=Charms!L713</f>
        <v>0</v>
      </c>
      <c r="E713" t="e">
        <f>OR(ISBLANK(Charms!I713),(VLOOKUP(Values!$S$6,Castes!$B$2:$F$25,4,0)=Charms!I713))</f>
        <v>#N/A</v>
      </c>
      <c r="J713" t="e">
        <f t="shared" ca="1" si="56"/>
        <v>#N/A</v>
      </c>
      <c r="K713" s="18" t="e">
        <f t="shared" ca="1" si="55"/>
        <v>#N/A</v>
      </c>
      <c r="L713" t="e">
        <f ca="1">IF(J713,Charms!B713,"")</f>
        <v>#N/A</v>
      </c>
      <c r="M713" t="str">
        <f t="shared" ca="1" si="57"/>
        <v>-</v>
      </c>
      <c r="N713" s="18" t="str">
        <f t="shared" si="58"/>
        <v>K713:L720</v>
      </c>
      <c r="O713" t="str">
        <f t="shared" si="59"/>
        <v>A713:A713</v>
      </c>
    </row>
    <row r="714" spans="1:15">
      <c r="A714" s="18" t="str">
        <f>Charms!K714</f>
        <v>Ebon Shadow</v>
      </c>
      <c r="B714" t="str">
        <f>Charms!B714</f>
        <v>Seven Points of Weakness Strike</v>
      </c>
      <c r="C714" t="b">
        <f ca="1">OR(Values!$S$98&gt;=Charms!M714,IFERROR(Charms!J714=OFFSET(Values!$A$24,MATCH("S",Values!$T$25:$T$50,0),0),FALSE))</f>
        <v>1</v>
      </c>
      <c r="D714" t="b">
        <f>VLOOKUP(Charms!J714,Values!$A$11:$S$59,19,0)&gt;=Charms!L714</f>
        <v>0</v>
      </c>
      <c r="E714" t="e">
        <f>OR(ISBLANK(Charms!I714),(VLOOKUP(Values!$S$6,Castes!$B$2:$F$25,4,0)=Charms!I714))</f>
        <v>#N/A</v>
      </c>
      <c r="J714" t="e">
        <f t="shared" ca="1" si="56"/>
        <v>#N/A</v>
      </c>
      <c r="K714" s="18" t="e">
        <f t="shared" ca="1" si="55"/>
        <v>#N/A</v>
      </c>
      <c r="L714" t="e">
        <f ca="1">IF(J714,Charms!B714,"")</f>
        <v>#N/A</v>
      </c>
      <c r="M714" t="str">
        <f t="shared" ca="1" si="57"/>
        <v>-</v>
      </c>
      <c r="N714" s="18" t="str">
        <f t="shared" si="58"/>
        <v>K713:L720</v>
      </c>
      <c r="O714" t="str">
        <f t="shared" si="59"/>
        <v>A713:A714</v>
      </c>
    </row>
    <row r="715" spans="1:15">
      <c r="A715" s="18" t="str">
        <f>Charms!K715</f>
        <v>Ebon Shadow</v>
      </c>
      <c r="B715" t="str">
        <f>Charms!B715</f>
        <v>Ebon Shadow Form</v>
      </c>
      <c r="C715" t="b">
        <f ca="1">OR(Values!$S$98&gt;=Charms!M715,IFERROR(Charms!J715=OFFSET(Values!$A$24,MATCH("S",Values!$T$25:$T$50,0),0),FALSE))</f>
        <v>1</v>
      </c>
      <c r="D715" t="b">
        <f>VLOOKUP(Charms!J715,Values!$A$11:$S$59,19,0)&gt;=Charms!L715</f>
        <v>0</v>
      </c>
      <c r="E715" t="e">
        <f>OR(ISBLANK(Charms!I715),(VLOOKUP(Values!$S$6,Castes!$B$2:$F$25,4,0)=Charms!I715))</f>
        <v>#N/A</v>
      </c>
      <c r="J715" t="e">
        <f t="shared" ca="1" si="56"/>
        <v>#N/A</v>
      </c>
      <c r="K715" s="18" t="e">
        <f t="shared" ca="1" si="55"/>
        <v>#N/A</v>
      </c>
      <c r="L715" t="e">
        <f ca="1">IF(J715,Charms!B715,"")</f>
        <v>#N/A</v>
      </c>
      <c r="M715" t="str">
        <f t="shared" ca="1" si="57"/>
        <v>-</v>
      </c>
      <c r="N715" s="18" t="str">
        <f t="shared" si="58"/>
        <v>K713:L720</v>
      </c>
      <c r="O715" t="str">
        <f t="shared" si="59"/>
        <v>A713:A715</v>
      </c>
    </row>
    <row r="716" spans="1:15">
      <c r="A716" s="18" t="str">
        <f>Charms!K716</f>
        <v>Ebon Shadow</v>
      </c>
      <c r="B716" t="str">
        <f>Charms!B716</f>
        <v>Shadow-Stepping Motion</v>
      </c>
      <c r="C716" t="b">
        <f ca="1">OR(Values!$S$98&gt;=Charms!M716,IFERROR(Charms!J716=OFFSET(Values!$A$24,MATCH("S",Values!$T$25:$T$50,0),0),FALSE))</f>
        <v>0</v>
      </c>
      <c r="D716" t="b">
        <f>VLOOKUP(Charms!J716,Values!$A$11:$S$59,19,0)&gt;=Charms!L716</f>
        <v>0</v>
      </c>
      <c r="E716" t="e">
        <f>OR(ISBLANK(Charms!I716),(VLOOKUP(Values!$S$6,Castes!$B$2:$F$25,4,0)=Charms!I716))</f>
        <v>#N/A</v>
      </c>
      <c r="J716" t="e">
        <f t="shared" ca="1" si="56"/>
        <v>#N/A</v>
      </c>
      <c r="K716" s="18" t="e">
        <f t="shared" ca="1" si="55"/>
        <v>#N/A</v>
      </c>
      <c r="L716" t="e">
        <f ca="1">IF(J716,Charms!B716,"")</f>
        <v>#N/A</v>
      </c>
      <c r="M716" t="str">
        <f t="shared" ca="1" si="57"/>
        <v>-</v>
      </c>
      <c r="N716" s="18" t="str">
        <f t="shared" si="58"/>
        <v>K713:L720</v>
      </c>
      <c r="O716" t="str">
        <f t="shared" si="59"/>
        <v>A713:A716</v>
      </c>
    </row>
    <row r="717" spans="1:15">
      <c r="A717" s="18" t="str">
        <f>Charms!K717</f>
        <v>Ebon Shadow</v>
      </c>
      <c r="B717" t="str">
        <f>Charms!B717</f>
        <v>Throat-Slitting Shadow Atemi</v>
      </c>
      <c r="C717" t="b">
        <f ca="1">OR(Values!$S$98&gt;=Charms!M717,IFERROR(Charms!J717=OFFSET(Values!$A$24,MATCH("S",Values!$T$25:$T$50,0),0),FALSE))</f>
        <v>0</v>
      </c>
      <c r="D717" t="b">
        <f>VLOOKUP(Charms!J717,Values!$A$11:$S$59,19,0)&gt;=Charms!L717</f>
        <v>0</v>
      </c>
      <c r="E717" t="e">
        <f>OR(ISBLANK(Charms!I717),(VLOOKUP(Values!$S$6,Castes!$B$2:$F$25,4,0)=Charms!I717))</f>
        <v>#N/A</v>
      </c>
      <c r="J717" t="e">
        <f t="shared" ca="1" si="56"/>
        <v>#N/A</v>
      </c>
      <c r="K717" s="18" t="e">
        <f t="shared" ca="1" si="55"/>
        <v>#N/A</v>
      </c>
      <c r="L717" t="e">
        <f ca="1">IF(J717,Charms!B717,"")</f>
        <v>#N/A</v>
      </c>
      <c r="M717" t="str">
        <f t="shared" ca="1" si="57"/>
        <v>-</v>
      </c>
      <c r="N717" s="18" t="str">
        <f t="shared" si="58"/>
        <v>K713:L720</v>
      </c>
      <c r="O717" t="str">
        <f t="shared" si="59"/>
        <v>A713:A717</v>
      </c>
    </row>
    <row r="718" spans="1:15">
      <c r="A718" s="18" t="str">
        <f>Charms!K718</f>
        <v>Ebon Shadow</v>
      </c>
      <c r="B718" t="str">
        <f>Charms!B718</f>
        <v>Elusive Flicker Evasion</v>
      </c>
      <c r="C718" t="b">
        <f ca="1">OR(Values!$S$98&gt;=Charms!M718,IFERROR(Charms!J718=OFFSET(Values!$A$24,MATCH("S",Values!$T$25:$T$50,0),0),FALSE))</f>
        <v>0</v>
      </c>
      <c r="D718" t="b">
        <f>VLOOKUP(Charms!J718,Values!$A$11:$S$59,19,0)&gt;=Charms!L718</f>
        <v>0</v>
      </c>
      <c r="E718" t="e">
        <f>OR(ISBLANK(Charms!I718),(VLOOKUP(Values!$S$6,Castes!$B$2:$F$25,4,0)=Charms!I718))</f>
        <v>#N/A</v>
      </c>
      <c r="J718" t="e">
        <f t="shared" ca="1" si="56"/>
        <v>#N/A</v>
      </c>
      <c r="K718" s="18" t="e">
        <f t="shared" ca="1" si="55"/>
        <v>#N/A</v>
      </c>
      <c r="L718" t="e">
        <f ca="1">IF(J718,Charms!B718,"")</f>
        <v>#N/A</v>
      </c>
      <c r="M718" t="str">
        <f t="shared" ca="1" si="57"/>
        <v>-</v>
      </c>
      <c r="N718" s="18" t="str">
        <f t="shared" si="58"/>
        <v>K713:L720</v>
      </c>
      <c r="O718" t="str">
        <f t="shared" si="59"/>
        <v>A713:A718</v>
      </c>
    </row>
    <row r="719" spans="1:15">
      <c r="A719" s="18" t="str">
        <f>Charms!K719</f>
        <v>Ebon Shadow</v>
      </c>
      <c r="B719" t="str">
        <f>Charms!B719</f>
        <v>Shadow-Body Dissolution</v>
      </c>
      <c r="C719" t="b">
        <f ca="1">OR(Values!$S$98&gt;=Charms!M719,IFERROR(Charms!J719=OFFSET(Values!$A$24,MATCH("S",Values!$T$25:$T$50,0),0),FALSE))</f>
        <v>0</v>
      </c>
      <c r="D719" t="b">
        <f>VLOOKUP(Charms!J719,Values!$A$11:$S$59,19,0)&gt;=Charms!L719</f>
        <v>0</v>
      </c>
      <c r="E719" t="e">
        <f>OR(ISBLANK(Charms!I719),(VLOOKUP(Values!$S$6,Castes!$B$2:$F$25,4,0)=Charms!I719))</f>
        <v>#N/A</v>
      </c>
      <c r="J719" t="e">
        <f t="shared" ca="1" si="56"/>
        <v>#N/A</v>
      </c>
      <c r="K719" s="18" t="e">
        <f t="shared" ca="1" si="55"/>
        <v>#N/A</v>
      </c>
      <c r="L719" t="e">
        <f ca="1">IF(J719,Charms!B719,"")</f>
        <v>#N/A</v>
      </c>
      <c r="M719" t="str">
        <f t="shared" ca="1" si="57"/>
        <v>-</v>
      </c>
      <c r="N719" s="18" t="str">
        <f t="shared" si="58"/>
        <v>K713:L720</v>
      </c>
      <c r="O719" t="str">
        <f t="shared" si="59"/>
        <v>A713:A719</v>
      </c>
    </row>
    <row r="720" spans="1:15">
      <c r="A720" s="18" t="str">
        <f>Charms!K720</f>
        <v>Ebon Shadow</v>
      </c>
      <c r="B720" t="str">
        <f>Charms!B720</f>
        <v>Umbra Noose Execution</v>
      </c>
      <c r="C720" t="b">
        <f ca="1">OR(Values!$S$98&gt;=Charms!M720,IFERROR(Charms!J720=OFFSET(Values!$A$24,MATCH("S",Values!$T$25:$T$50,0),0),FALSE))</f>
        <v>0</v>
      </c>
      <c r="D720" t="b">
        <f>VLOOKUP(Charms!J720,Values!$A$11:$S$59,19,0)&gt;=Charms!L720</f>
        <v>0</v>
      </c>
      <c r="E720" t="e">
        <f>OR(ISBLANK(Charms!I720),(VLOOKUP(Values!$S$6,Castes!$B$2:$F$25,4,0)=Charms!I720))</f>
        <v>#N/A</v>
      </c>
      <c r="J720" t="e">
        <f t="shared" ca="1" si="56"/>
        <v>#N/A</v>
      </c>
      <c r="K720" s="18" t="e">
        <f t="shared" ca="1" si="55"/>
        <v>#N/A</v>
      </c>
      <c r="L720" t="e">
        <f ca="1">IF(J720,Charms!B720,"")</f>
        <v>#N/A</v>
      </c>
      <c r="M720" t="str">
        <f t="shared" ca="1" si="57"/>
        <v>-</v>
      </c>
      <c r="N720" s="18" t="str">
        <f t="shared" si="58"/>
        <v>K713:L720</v>
      </c>
      <c r="O720" t="str">
        <f t="shared" si="59"/>
        <v>A713:A720</v>
      </c>
    </row>
    <row r="721" spans="1:15">
      <c r="A721" s="18" t="str">
        <f>Charms!K721</f>
        <v>Fire Dragon</v>
      </c>
      <c r="B721" t="str">
        <f>Charms!B721</f>
        <v>Flash-Fire Technique</v>
      </c>
      <c r="C721" t="b">
        <f ca="1">OR(Values!$S$98&gt;=Charms!M721,IFERROR(Charms!J721=OFFSET(Values!$A$24,MATCH("S",Values!$T$25:$T$50,0),0),FALSE))</f>
        <v>1</v>
      </c>
      <c r="D721" t="b">
        <f>VLOOKUP(Charms!J721,Values!$A$11:$S$59,19,0)&gt;=Charms!L721</f>
        <v>0</v>
      </c>
      <c r="E721" t="e">
        <f>OR(ISBLANK(Charms!I721),(VLOOKUP(Values!$S$6,Castes!$B$2:$F$25,4,0)=Charms!I721))</f>
        <v>#N/A</v>
      </c>
      <c r="J721" t="e">
        <f t="shared" ca="1" si="56"/>
        <v>#N/A</v>
      </c>
      <c r="K721" s="18" t="e">
        <f t="shared" ca="1" si="55"/>
        <v>#N/A</v>
      </c>
      <c r="L721" t="e">
        <f ca="1">IF(J721,Charms!B721,"")</f>
        <v>#N/A</v>
      </c>
      <c r="M721" t="str">
        <f t="shared" ca="1" si="57"/>
        <v>-</v>
      </c>
      <c r="N721" s="18" t="str">
        <f t="shared" si="58"/>
        <v>K721:L732</v>
      </c>
      <c r="O721" t="str">
        <f t="shared" si="59"/>
        <v>A721:A721</v>
      </c>
    </row>
    <row r="722" spans="1:15">
      <c r="A722" s="18" t="str">
        <f>Charms!K722</f>
        <v>Fire Dragon</v>
      </c>
      <c r="B722" t="str">
        <f>Charms!B722</f>
        <v>Searing Edge Attack</v>
      </c>
      <c r="C722" t="b">
        <f ca="1">OR(Values!$S$98&gt;=Charms!M722,IFERROR(Charms!J722=OFFSET(Values!$A$24,MATCH("S",Values!$T$25:$T$50,0),0),FALSE))</f>
        <v>1</v>
      </c>
      <c r="D722" t="b">
        <f>VLOOKUP(Charms!J722,Values!$A$11:$S$59,19,0)&gt;=Charms!L722</f>
        <v>0</v>
      </c>
      <c r="E722" t="e">
        <f>OR(ISBLANK(Charms!I722),(VLOOKUP(Values!$S$6,Castes!$B$2:$F$25,4,0)=Charms!I722))</f>
        <v>#N/A</v>
      </c>
      <c r="J722" t="e">
        <f t="shared" ca="1" si="56"/>
        <v>#N/A</v>
      </c>
      <c r="K722" s="18" t="e">
        <f t="shared" ca="1" si="55"/>
        <v>#N/A</v>
      </c>
      <c r="L722" t="e">
        <f ca="1">IF(J722,Charms!B722,"")</f>
        <v>#N/A</v>
      </c>
      <c r="M722" t="str">
        <f t="shared" ca="1" si="57"/>
        <v>-</v>
      </c>
      <c r="N722" s="18" t="str">
        <f t="shared" si="58"/>
        <v>K721:L732</v>
      </c>
      <c r="O722" t="str">
        <f t="shared" si="59"/>
        <v>A721:A722</v>
      </c>
    </row>
    <row r="723" spans="1:15">
      <c r="A723" s="18" t="str">
        <f>Charms!K723</f>
        <v>Fire Dragon</v>
      </c>
      <c r="B723" t="str">
        <f>Charms!B723</f>
        <v>Flame-Flicker Stance</v>
      </c>
      <c r="C723" t="b">
        <f ca="1">OR(Values!$S$98&gt;=Charms!M723,IFERROR(Charms!J723=OFFSET(Values!$A$24,MATCH("S",Values!$T$25:$T$50,0),0),FALSE))</f>
        <v>0</v>
      </c>
      <c r="D723" t="b">
        <f>VLOOKUP(Charms!J723,Values!$A$11:$S$59,19,0)&gt;=Charms!L723</f>
        <v>0</v>
      </c>
      <c r="E723" t="e">
        <f>OR(ISBLANK(Charms!I723),(VLOOKUP(Values!$S$6,Castes!$B$2:$F$25,4,0)=Charms!I723))</f>
        <v>#N/A</v>
      </c>
      <c r="J723" t="e">
        <f t="shared" ca="1" si="56"/>
        <v>#N/A</v>
      </c>
      <c r="K723" s="18" t="e">
        <f t="shared" ca="1" si="55"/>
        <v>#N/A</v>
      </c>
      <c r="L723" t="e">
        <f ca="1">IF(J723,Charms!B723,"")</f>
        <v>#N/A</v>
      </c>
      <c r="M723" t="str">
        <f t="shared" ca="1" si="57"/>
        <v>-</v>
      </c>
      <c r="N723" s="18" t="str">
        <f t="shared" si="58"/>
        <v>K721:L732</v>
      </c>
      <c r="O723" t="str">
        <f t="shared" si="59"/>
        <v>A721:A723</v>
      </c>
    </row>
    <row r="724" spans="1:15">
      <c r="A724" s="18" t="str">
        <f>Charms!K724</f>
        <v>Fire Dragon</v>
      </c>
      <c r="B724" t="str">
        <f>Charms!B724</f>
        <v>Perfect Blazing Blow</v>
      </c>
      <c r="C724" t="b">
        <f ca="1">OR(Values!$S$98&gt;=Charms!M724,IFERROR(Charms!J724=OFFSET(Values!$A$24,MATCH("S",Values!$T$25:$T$50,0),0),FALSE))</f>
        <v>0</v>
      </c>
      <c r="D724" t="b">
        <f>VLOOKUP(Charms!J724,Values!$A$11:$S$59,19,0)&gt;=Charms!L724</f>
        <v>0</v>
      </c>
      <c r="E724" t="e">
        <f>OR(ISBLANK(Charms!I724),(VLOOKUP(Values!$S$6,Castes!$B$2:$F$25,4,0)=Charms!I724))</f>
        <v>#N/A</v>
      </c>
      <c r="J724" t="e">
        <f t="shared" ca="1" si="56"/>
        <v>#N/A</v>
      </c>
      <c r="K724" s="18" t="e">
        <f t="shared" ca="1" si="55"/>
        <v>#N/A</v>
      </c>
      <c r="L724" t="e">
        <f ca="1">IF(J724,Charms!B724,"")</f>
        <v>#N/A</v>
      </c>
      <c r="M724" t="str">
        <f t="shared" ca="1" si="57"/>
        <v>-</v>
      </c>
      <c r="N724" s="18" t="str">
        <f t="shared" si="58"/>
        <v>K721:L732</v>
      </c>
      <c r="O724" t="str">
        <f t="shared" si="59"/>
        <v>A721:A724</v>
      </c>
    </row>
    <row r="725" spans="1:15">
      <c r="A725" s="18" t="str">
        <f>Charms!K725</f>
        <v>Fire Dragon</v>
      </c>
      <c r="B725" t="str">
        <f>Charms!B725</f>
        <v>Fire Dragon Form</v>
      </c>
      <c r="C725" t="b">
        <f ca="1">OR(Values!$S$98&gt;=Charms!M725,IFERROR(Charms!J725=OFFSET(Values!$A$24,MATCH("S",Values!$T$25:$T$50,0),0),FALSE))</f>
        <v>0</v>
      </c>
      <c r="D725" t="b">
        <f>VLOOKUP(Charms!J725,Values!$A$11:$S$59,19,0)&gt;=Charms!L725</f>
        <v>0</v>
      </c>
      <c r="E725" t="e">
        <f>OR(ISBLANK(Charms!I725),(VLOOKUP(Values!$S$6,Castes!$B$2:$F$25,4,0)=Charms!I725))</f>
        <v>#N/A</v>
      </c>
      <c r="J725" t="e">
        <f t="shared" ca="1" si="56"/>
        <v>#N/A</v>
      </c>
      <c r="K725" s="18" t="e">
        <f t="shared" ca="1" si="55"/>
        <v>#N/A</v>
      </c>
      <c r="L725" t="e">
        <f ca="1">IF(J725,Charms!B725,"")</f>
        <v>#N/A</v>
      </c>
      <c r="M725" t="str">
        <f t="shared" ca="1" si="57"/>
        <v>-</v>
      </c>
      <c r="N725" s="18" t="str">
        <f t="shared" si="58"/>
        <v>K721:L732</v>
      </c>
      <c r="O725" t="str">
        <f t="shared" si="59"/>
        <v>A721:A725</v>
      </c>
    </row>
    <row r="726" spans="1:15">
      <c r="A726" s="18" t="str">
        <f>Charms!K726</f>
        <v>Fire Dragon</v>
      </c>
      <c r="B726" t="str">
        <f>Charms!B726</f>
        <v>God-Immolating Strike</v>
      </c>
      <c r="C726" t="b">
        <f ca="1">OR(Values!$S$98&gt;=Charms!M726,IFERROR(Charms!J726=OFFSET(Values!$A$24,MATCH("S",Values!$T$25:$T$50,0),0),FALSE))</f>
        <v>0</v>
      </c>
      <c r="D726" t="b">
        <f>VLOOKUP(Charms!J726,Values!$A$11:$S$59,19,0)&gt;=Charms!L726</f>
        <v>0</v>
      </c>
      <c r="E726" t="e">
        <f>OR(ISBLANK(Charms!I726),(VLOOKUP(Values!$S$6,Castes!$B$2:$F$25,4,0)=Charms!I726))</f>
        <v>#N/A</v>
      </c>
      <c r="J726" t="e">
        <f t="shared" ca="1" si="56"/>
        <v>#N/A</v>
      </c>
      <c r="K726" s="18" t="e">
        <f t="shared" ca="1" si="55"/>
        <v>#N/A</v>
      </c>
      <c r="L726" t="e">
        <f ca="1">IF(J726,Charms!B726,"")</f>
        <v>#N/A</v>
      </c>
      <c r="M726" t="str">
        <f t="shared" ca="1" si="57"/>
        <v>-</v>
      </c>
      <c r="N726" s="18" t="str">
        <f t="shared" si="58"/>
        <v>K721:L732</v>
      </c>
      <c r="O726" t="str">
        <f t="shared" si="59"/>
        <v>A721:A726</v>
      </c>
    </row>
    <row r="727" spans="1:15">
      <c r="A727" s="18" t="str">
        <f>Charms!K727</f>
        <v>Fire Dragon</v>
      </c>
      <c r="B727" t="str">
        <f>Charms!B727</f>
        <v>Essence-Igniting Nerve Strike</v>
      </c>
      <c r="C727" t="b">
        <f ca="1">OR(Values!$S$98&gt;=Charms!M727,IFERROR(Charms!J727=OFFSET(Values!$A$24,MATCH("S",Values!$T$25:$T$50,0),0),FALSE))</f>
        <v>0</v>
      </c>
      <c r="D727" t="b">
        <f>VLOOKUP(Charms!J727,Values!$A$11:$S$59,19,0)&gt;=Charms!L727</f>
        <v>0</v>
      </c>
      <c r="E727" t="e">
        <f>OR(ISBLANK(Charms!I727),(VLOOKUP(Values!$S$6,Castes!$B$2:$F$25,4,0)=Charms!I727))</f>
        <v>#N/A</v>
      </c>
      <c r="J727" t="e">
        <f t="shared" ca="1" si="56"/>
        <v>#N/A</v>
      </c>
      <c r="K727" s="18" t="e">
        <f t="shared" ca="1" si="55"/>
        <v>#N/A</v>
      </c>
      <c r="L727" t="e">
        <f ca="1">IF(J727,Charms!B727,"")</f>
        <v>#N/A</v>
      </c>
      <c r="M727" t="str">
        <f t="shared" ca="1" si="57"/>
        <v>-</v>
      </c>
      <c r="N727" s="18" t="str">
        <f t="shared" si="58"/>
        <v>K721:L732</v>
      </c>
      <c r="O727" t="str">
        <f t="shared" si="59"/>
        <v>A721:A727</v>
      </c>
    </row>
    <row r="728" spans="1:15">
      <c r="A728" s="18" t="str">
        <f>Charms!K728</f>
        <v>Fire Dragon</v>
      </c>
      <c r="B728" t="str">
        <f>Charms!B728</f>
        <v>Overwhelming Fire Majesty Stance</v>
      </c>
      <c r="C728" t="b">
        <f ca="1">OR(Values!$S$98&gt;=Charms!M728,IFERROR(Charms!J728=OFFSET(Values!$A$24,MATCH("S",Values!$T$25:$T$50,0),0),FALSE))</f>
        <v>0</v>
      </c>
      <c r="D728" t="b">
        <f>VLOOKUP(Charms!J728,Values!$A$11:$S$59,19,0)&gt;=Charms!L728</f>
        <v>0</v>
      </c>
      <c r="E728" t="e">
        <f>OR(ISBLANK(Charms!I728),(VLOOKUP(Values!$S$6,Castes!$B$2:$F$25,4,0)=Charms!I728))</f>
        <v>#N/A</v>
      </c>
      <c r="J728" t="e">
        <f t="shared" ca="1" si="56"/>
        <v>#N/A</v>
      </c>
      <c r="K728" s="18" t="e">
        <f t="shared" ca="1" si="55"/>
        <v>#N/A</v>
      </c>
      <c r="L728" t="e">
        <f ca="1">IF(J728,Charms!B728,"")</f>
        <v>#N/A</v>
      </c>
      <c r="M728" t="str">
        <f t="shared" ca="1" si="57"/>
        <v>-</v>
      </c>
      <c r="N728" s="18" t="str">
        <f t="shared" si="58"/>
        <v>K721:L732</v>
      </c>
      <c r="O728" t="str">
        <f t="shared" si="59"/>
        <v>A721:A728</v>
      </c>
    </row>
    <row r="729" spans="1:15">
      <c r="A729" s="18" t="str">
        <f>Charms!K729</f>
        <v>Fire Dragon</v>
      </c>
      <c r="B729" t="str">
        <f>Charms!B729</f>
        <v>Fiery Blade Attack</v>
      </c>
      <c r="C729" t="b">
        <f ca="1">OR(Values!$S$98&gt;=Charms!M729,IFERROR(Charms!J729=OFFSET(Values!$A$24,MATCH("S",Values!$T$25:$T$50,0),0),FALSE))</f>
        <v>0</v>
      </c>
      <c r="D729" t="b">
        <f>VLOOKUP(Charms!J729,Values!$A$11:$S$59,19,0)&gt;=Charms!L729</f>
        <v>0</v>
      </c>
      <c r="E729" t="e">
        <f>OR(ISBLANK(Charms!I729),(VLOOKUP(Values!$S$6,Castes!$B$2:$F$25,4,0)=Charms!I729))</f>
        <v>#N/A</v>
      </c>
      <c r="J729" t="e">
        <f t="shared" ca="1" si="56"/>
        <v>#N/A</v>
      </c>
      <c r="K729" s="18" t="e">
        <f t="shared" ca="1" si="55"/>
        <v>#N/A</v>
      </c>
      <c r="L729" t="e">
        <f ca="1">IF(J729,Charms!B729,"")</f>
        <v>#N/A</v>
      </c>
      <c r="M729" t="str">
        <f t="shared" ca="1" si="57"/>
        <v>-</v>
      </c>
      <c r="N729" s="18" t="str">
        <f t="shared" si="58"/>
        <v>K721:L732</v>
      </c>
      <c r="O729" t="str">
        <f t="shared" si="59"/>
        <v>A721:A729</v>
      </c>
    </row>
    <row r="730" spans="1:15">
      <c r="A730" s="18" t="str">
        <f>Charms!K730</f>
        <v>Fire Dragon</v>
      </c>
      <c r="B730" t="str">
        <f>Charms!B730</f>
        <v>Breath of the Fire Dragon</v>
      </c>
      <c r="C730" t="b">
        <f ca="1">OR(Values!$S$98&gt;=Charms!M730,IFERROR(Charms!J730=OFFSET(Values!$A$24,MATCH("S",Values!$T$25:$T$50,0),0),FALSE))</f>
        <v>0</v>
      </c>
      <c r="D730" t="b">
        <f>VLOOKUP(Charms!J730,Values!$A$11:$S$59,19,0)&gt;=Charms!L730</f>
        <v>0</v>
      </c>
      <c r="E730" t="e">
        <f>OR(ISBLANK(Charms!I730),(VLOOKUP(Values!$S$6,Castes!$B$2:$F$25,4,0)=Charms!I730))</f>
        <v>#N/A</v>
      </c>
      <c r="J730" t="e">
        <f t="shared" ca="1" si="56"/>
        <v>#N/A</v>
      </c>
      <c r="K730" s="18" t="e">
        <f t="shared" ca="1" si="55"/>
        <v>#N/A</v>
      </c>
      <c r="L730" t="e">
        <f ca="1">IF(J730,Charms!B730,"")</f>
        <v>#N/A</v>
      </c>
      <c r="M730" t="str">
        <f t="shared" ca="1" si="57"/>
        <v>-</v>
      </c>
      <c r="N730" s="18" t="str">
        <f t="shared" si="58"/>
        <v>K721:L732</v>
      </c>
      <c r="O730" t="str">
        <f t="shared" si="59"/>
        <v>A721:A730</v>
      </c>
    </row>
    <row r="731" spans="1:15">
      <c r="A731" s="18" t="str">
        <f>Charms!K731</f>
        <v>Fire Dragon</v>
      </c>
      <c r="B731" t="str">
        <f>Charms!B731</f>
        <v>Smoldering Wound Attack</v>
      </c>
      <c r="C731" t="b">
        <f ca="1">OR(Values!$S$98&gt;=Charms!M731,IFERROR(Charms!J731=OFFSET(Values!$A$24,MATCH("S",Values!$T$25:$T$50,0),0),FALSE))</f>
        <v>0</v>
      </c>
      <c r="D731" t="b">
        <f>VLOOKUP(Charms!J731,Values!$A$11:$S$59,19,0)&gt;=Charms!L731</f>
        <v>0</v>
      </c>
      <c r="E731" t="e">
        <f>OR(ISBLANK(Charms!I731),(VLOOKUP(Values!$S$6,Castes!$B$2:$F$25,4,0)=Charms!I731))</f>
        <v>#N/A</v>
      </c>
      <c r="J731" t="e">
        <f t="shared" ca="1" si="56"/>
        <v>#N/A</v>
      </c>
      <c r="K731" s="18" t="e">
        <f t="shared" ca="1" si="55"/>
        <v>#N/A</v>
      </c>
      <c r="L731" t="e">
        <f ca="1">IF(J731,Charms!B731,"")</f>
        <v>#N/A</v>
      </c>
      <c r="M731" t="str">
        <f t="shared" ca="1" si="57"/>
        <v>-</v>
      </c>
      <c r="N731" s="18" t="str">
        <f t="shared" si="58"/>
        <v>K721:L732</v>
      </c>
      <c r="O731" t="str">
        <f t="shared" si="59"/>
        <v>A721:A731</v>
      </c>
    </row>
    <row r="732" spans="1:15">
      <c r="A732" s="18" t="str">
        <f>Charms!K732</f>
        <v>Fire Dragon</v>
      </c>
      <c r="B732" t="str">
        <f>Charms!B732</f>
        <v>Consuming Might of the Fire Dragon</v>
      </c>
      <c r="C732" t="b">
        <f ca="1">OR(Values!$S$98&gt;=Charms!M732,IFERROR(Charms!J732=OFFSET(Values!$A$24,MATCH("S",Values!$T$25:$T$50,0),0),FALSE))</f>
        <v>0</v>
      </c>
      <c r="D732" t="b">
        <f>VLOOKUP(Charms!J732,Values!$A$11:$S$59,19,0)&gt;=Charms!L732</f>
        <v>0</v>
      </c>
      <c r="E732" t="e">
        <f>OR(ISBLANK(Charms!I732),(VLOOKUP(Values!$S$6,Castes!$B$2:$F$25,4,0)=Charms!I732))</f>
        <v>#N/A</v>
      </c>
      <c r="J732" t="e">
        <f t="shared" ca="1" si="56"/>
        <v>#N/A</v>
      </c>
      <c r="K732" s="18" t="e">
        <f t="shared" ca="1" si="55"/>
        <v>#N/A</v>
      </c>
      <c r="L732" t="e">
        <f ca="1">IF(J732,Charms!B732,"")</f>
        <v>#N/A</v>
      </c>
      <c r="M732" t="str">
        <f t="shared" ca="1" si="57"/>
        <v>-</v>
      </c>
      <c r="N732" s="18" t="str">
        <f t="shared" si="58"/>
        <v>K721:L732</v>
      </c>
      <c r="O732" t="str">
        <f t="shared" si="59"/>
        <v>A721:A732</v>
      </c>
    </row>
    <row r="733" spans="1:15">
      <c r="A733" s="18" t="str">
        <f>Charms!K733</f>
        <v>Golden Janissary</v>
      </c>
      <c r="B733" t="str">
        <f>Charms!B733</f>
        <v>Where-Is-Doom Inquisition</v>
      </c>
      <c r="C733" t="b">
        <f ca="1">OR(Values!$S$98&gt;=Charms!M733,IFERROR(Charms!J733=OFFSET(Values!$A$24,MATCH("S",Values!$T$25:$T$50,0),0),FALSE))</f>
        <v>1</v>
      </c>
      <c r="D733" t="b">
        <f>VLOOKUP(Charms!J733,Values!$A$11:$S$59,19,0)&gt;=Charms!L733</f>
        <v>0</v>
      </c>
      <c r="E733" t="e">
        <f>OR(ISBLANK(Charms!I733),(VLOOKUP(Values!$S$6,Castes!$B$2:$F$25,4,0)=Charms!I733))</f>
        <v>#N/A</v>
      </c>
      <c r="J733" t="e">
        <f t="shared" ca="1" si="56"/>
        <v>#N/A</v>
      </c>
      <c r="K733" s="18" t="e">
        <f t="shared" ca="1" si="55"/>
        <v>#N/A</v>
      </c>
      <c r="L733" t="e">
        <f ca="1">IF(J733,Charms!B733,"")</f>
        <v>#N/A</v>
      </c>
      <c r="M733" t="str">
        <f t="shared" ca="1" si="57"/>
        <v>-</v>
      </c>
      <c r="N733" s="18" t="str">
        <f t="shared" si="58"/>
        <v>K733:L740</v>
      </c>
      <c r="O733" t="str">
        <f t="shared" si="59"/>
        <v>A733:A733</v>
      </c>
    </row>
    <row r="734" spans="1:15">
      <c r="A734" s="18" t="str">
        <f>Charms!K734</f>
        <v>Golden Janissary</v>
      </c>
      <c r="B734" t="str">
        <f>Charms!B734</f>
        <v>Rotten Leaf Arrested</v>
      </c>
      <c r="C734" t="b">
        <f ca="1">OR(Values!$S$98&gt;=Charms!M734,IFERROR(Charms!J734=OFFSET(Values!$A$24,MATCH("S",Values!$T$25:$T$50,0),0),FALSE))</f>
        <v>1</v>
      </c>
      <c r="D734" t="b">
        <f>VLOOKUP(Charms!J734,Values!$A$11:$S$59,19,0)&gt;=Charms!L734</f>
        <v>0</v>
      </c>
      <c r="E734" t="e">
        <f>OR(ISBLANK(Charms!I734),(VLOOKUP(Values!$S$6,Castes!$B$2:$F$25,4,0)=Charms!I734))</f>
        <v>#N/A</v>
      </c>
      <c r="J734" t="e">
        <f t="shared" ca="1" si="56"/>
        <v>#N/A</v>
      </c>
      <c r="K734" s="18" t="e">
        <f t="shared" ca="1" si="55"/>
        <v>#N/A</v>
      </c>
      <c r="L734" t="e">
        <f ca="1">IF(J734,Charms!B734,"")</f>
        <v>#N/A</v>
      </c>
      <c r="M734" t="str">
        <f t="shared" ca="1" si="57"/>
        <v>-</v>
      </c>
      <c r="N734" s="18" t="str">
        <f t="shared" si="58"/>
        <v>K733:L740</v>
      </c>
      <c r="O734" t="str">
        <f t="shared" si="59"/>
        <v>A733:A734</v>
      </c>
    </row>
    <row r="735" spans="1:15">
      <c r="A735" s="18" t="str">
        <f>Charms!K735</f>
        <v>Golden Janissary</v>
      </c>
      <c r="B735" t="str">
        <f>Charms!B735</f>
        <v>Cleansing Flame Strike</v>
      </c>
      <c r="C735" t="b">
        <f ca="1">OR(Values!$S$98&gt;=Charms!M735,IFERROR(Charms!J735=OFFSET(Values!$A$24,MATCH("S",Values!$T$25:$T$50,0),0),FALSE))</f>
        <v>1</v>
      </c>
      <c r="D735" t="b">
        <f>VLOOKUP(Charms!J735,Values!$A$11:$S$59,19,0)&gt;=Charms!L735</f>
        <v>0</v>
      </c>
      <c r="E735" t="e">
        <f>OR(ISBLANK(Charms!I735),(VLOOKUP(Values!$S$6,Castes!$B$2:$F$25,4,0)=Charms!I735))</f>
        <v>#N/A</v>
      </c>
      <c r="J735" t="e">
        <f t="shared" ca="1" si="56"/>
        <v>#N/A</v>
      </c>
      <c r="K735" s="18" t="e">
        <f t="shared" ca="1" si="55"/>
        <v>#N/A</v>
      </c>
      <c r="L735" t="e">
        <f ca="1">IF(J735,Charms!B735,"")</f>
        <v>#N/A</v>
      </c>
      <c r="M735" t="str">
        <f t="shared" ca="1" si="57"/>
        <v>-</v>
      </c>
      <c r="N735" s="18" t="str">
        <f t="shared" si="58"/>
        <v>K733:L740</v>
      </c>
      <c r="O735" t="str">
        <f t="shared" si="59"/>
        <v>A733:A735</v>
      </c>
    </row>
    <row r="736" spans="1:15">
      <c r="A736" s="18" t="str">
        <f>Charms!K736</f>
        <v>Golden Janissary</v>
      </c>
      <c r="B736" t="str">
        <f>Charms!B736</f>
        <v>Golden Janissary Form</v>
      </c>
      <c r="C736" t="b">
        <f ca="1">OR(Values!$S$98&gt;=Charms!M736,IFERROR(Charms!J736=OFFSET(Values!$A$24,MATCH("S",Values!$T$25:$T$50,0),0),FALSE))</f>
        <v>1</v>
      </c>
      <c r="D736" t="b">
        <f>VLOOKUP(Charms!J736,Values!$A$11:$S$59,19,0)&gt;=Charms!L736</f>
        <v>0</v>
      </c>
      <c r="E736" t="e">
        <f>OR(ISBLANK(Charms!I736),(VLOOKUP(Values!$S$6,Castes!$B$2:$F$25,4,0)=Charms!I736))</f>
        <v>#N/A</v>
      </c>
      <c r="J736" t="e">
        <f t="shared" ca="1" si="56"/>
        <v>#N/A</v>
      </c>
      <c r="K736" s="18" t="e">
        <f t="shared" ca="1" si="55"/>
        <v>#N/A</v>
      </c>
      <c r="L736" t="e">
        <f ca="1">IF(J736,Charms!B736,"")</f>
        <v>#N/A</v>
      </c>
      <c r="M736" t="str">
        <f t="shared" ca="1" si="57"/>
        <v>-</v>
      </c>
      <c r="N736" s="18" t="str">
        <f t="shared" si="58"/>
        <v>K733:L740</v>
      </c>
      <c r="O736" t="str">
        <f t="shared" si="59"/>
        <v>A733:A736</v>
      </c>
    </row>
    <row r="737" spans="1:15">
      <c r="A737" s="18" t="str">
        <f>Charms!K737</f>
        <v>Golden Janissary</v>
      </c>
      <c r="B737" t="str">
        <f>Charms!B737</f>
        <v>Devil-Slaying Spear Dance</v>
      </c>
      <c r="C737" t="b">
        <f ca="1">OR(Values!$S$98&gt;=Charms!M737,IFERROR(Charms!J737=OFFSET(Values!$A$24,MATCH("S",Values!$T$25:$T$50,0),0),FALSE))</f>
        <v>0</v>
      </c>
      <c r="D737" t="b">
        <f>VLOOKUP(Charms!J737,Values!$A$11:$S$59,19,0)&gt;=Charms!L737</f>
        <v>0</v>
      </c>
      <c r="E737" t="e">
        <f>OR(ISBLANK(Charms!I737),(VLOOKUP(Values!$S$6,Castes!$B$2:$F$25,4,0)=Charms!I737))</f>
        <v>#N/A</v>
      </c>
      <c r="J737" t="e">
        <f t="shared" ca="1" si="56"/>
        <v>#N/A</v>
      </c>
      <c r="K737" s="18" t="e">
        <f t="shared" ca="1" si="55"/>
        <v>#N/A</v>
      </c>
      <c r="L737" t="e">
        <f ca="1">IF(J737,Charms!B737,"")</f>
        <v>#N/A</v>
      </c>
      <c r="M737" t="str">
        <f t="shared" ca="1" si="57"/>
        <v>-</v>
      </c>
      <c r="N737" s="18" t="str">
        <f t="shared" si="58"/>
        <v>K733:L740</v>
      </c>
      <c r="O737" t="str">
        <f t="shared" si="59"/>
        <v>A733:A737</v>
      </c>
    </row>
    <row r="738" spans="1:15">
      <c r="A738" s="18" t="str">
        <f>Charms!K738</f>
        <v>Golden Janissary</v>
      </c>
      <c r="B738" t="str">
        <f>Charms!B738</f>
        <v>Paralyzing Combustion Imbuement</v>
      </c>
      <c r="C738" t="b">
        <f ca="1">OR(Values!$S$98&gt;=Charms!M738,IFERROR(Charms!J738=OFFSET(Values!$A$24,MATCH("S",Values!$T$25:$T$50,0),0),FALSE))</f>
        <v>0</v>
      </c>
      <c r="D738" t="b">
        <f>VLOOKUP(Charms!J738,Values!$A$11:$S$59,19,0)&gt;=Charms!L738</f>
        <v>0</v>
      </c>
      <c r="E738" t="e">
        <f>OR(ISBLANK(Charms!I738),(VLOOKUP(Values!$S$6,Castes!$B$2:$F$25,4,0)=Charms!I738))</f>
        <v>#N/A</v>
      </c>
      <c r="J738" t="e">
        <f t="shared" ca="1" si="56"/>
        <v>#N/A</v>
      </c>
      <c r="K738" s="18" t="e">
        <f t="shared" ca="1" si="55"/>
        <v>#N/A</v>
      </c>
      <c r="L738" t="e">
        <f ca="1">IF(J738,Charms!B738,"")</f>
        <v>#N/A</v>
      </c>
      <c r="M738" t="str">
        <f t="shared" ca="1" si="57"/>
        <v>-</v>
      </c>
      <c r="N738" s="18" t="str">
        <f t="shared" si="58"/>
        <v>K733:L740</v>
      </c>
      <c r="O738" t="str">
        <f t="shared" si="59"/>
        <v>A733:A738</v>
      </c>
    </row>
    <row r="739" spans="1:15">
      <c r="A739" s="18" t="str">
        <f>Charms!K739</f>
        <v>Golden Janissary</v>
      </c>
      <c r="B739" t="str">
        <f>Charms!B739</f>
        <v>Light-on-Dark Shield</v>
      </c>
      <c r="C739" t="b">
        <f ca="1">OR(Values!$S$98&gt;=Charms!M739,IFERROR(Charms!J739=OFFSET(Values!$A$24,MATCH("S",Values!$T$25:$T$50,0),0),FALSE))</f>
        <v>0</v>
      </c>
      <c r="D739" t="b">
        <f>VLOOKUP(Charms!J739,Values!$A$11:$S$59,19,0)&gt;=Charms!L739</f>
        <v>0</v>
      </c>
      <c r="E739" t="e">
        <f>OR(ISBLANK(Charms!I739),(VLOOKUP(Values!$S$6,Castes!$B$2:$F$25,4,0)=Charms!I739))</f>
        <v>#N/A</v>
      </c>
      <c r="J739" t="e">
        <f t="shared" ca="1" si="56"/>
        <v>#N/A</v>
      </c>
      <c r="K739" s="18" t="e">
        <f t="shared" ca="1" si="55"/>
        <v>#N/A</v>
      </c>
      <c r="L739" t="e">
        <f ca="1">IF(J739,Charms!B739,"")</f>
        <v>#N/A</v>
      </c>
      <c r="M739" t="str">
        <f t="shared" ca="1" si="57"/>
        <v>-</v>
      </c>
      <c r="N739" s="18" t="str">
        <f t="shared" si="58"/>
        <v>K733:L740</v>
      </c>
      <c r="O739" t="str">
        <f t="shared" si="59"/>
        <v>A733:A739</v>
      </c>
    </row>
    <row r="740" spans="1:15">
      <c r="A740" s="18" t="str">
        <f>Charms!K740</f>
        <v>Golden Janissary</v>
      </c>
      <c r="B740" t="str">
        <f>Charms!B740</f>
        <v>Lone Spark Lights the Conflagration</v>
      </c>
      <c r="C740" t="b">
        <f ca="1">OR(Values!$S$98&gt;=Charms!M740,IFERROR(Charms!J740=OFFSET(Values!$A$24,MATCH("S",Values!$T$25:$T$50,0),0),FALSE))</f>
        <v>0</v>
      </c>
      <c r="D740" t="b">
        <f>VLOOKUP(Charms!J740,Values!$A$11:$S$59,19,0)&gt;=Charms!L740</f>
        <v>0</v>
      </c>
      <c r="E740" t="e">
        <f>OR(ISBLANK(Charms!I740),(VLOOKUP(Values!$S$6,Castes!$B$2:$F$25,4,0)=Charms!I740))</f>
        <v>#N/A</v>
      </c>
      <c r="J740" t="e">
        <f t="shared" ca="1" si="56"/>
        <v>#N/A</v>
      </c>
      <c r="K740" s="18" t="e">
        <f t="shared" ca="1" si="55"/>
        <v>#N/A</v>
      </c>
      <c r="L740" t="e">
        <f ca="1">IF(J740,Charms!B740,"")</f>
        <v>#N/A</v>
      </c>
      <c r="M740" t="str">
        <f t="shared" ca="1" si="57"/>
        <v>-</v>
      </c>
      <c r="N740" s="18" t="str">
        <f t="shared" si="58"/>
        <v>K733:L740</v>
      </c>
      <c r="O740" t="str">
        <f t="shared" si="59"/>
        <v>A733:A740</v>
      </c>
    </row>
    <row r="741" spans="1:15">
      <c r="A741" s="18" t="str">
        <f>Charms!K741</f>
        <v>Mantis</v>
      </c>
      <c r="B741" t="str">
        <f>Charms!B741</f>
        <v>Iron-Arm Block</v>
      </c>
      <c r="C741" t="b">
        <f ca="1">OR(Values!$S$98&gt;=Charms!M741,IFERROR(Charms!J741=OFFSET(Values!$A$24,MATCH("S",Values!$T$25:$T$50,0),0),FALSE))</f>
        <v>1</v>
      </c>
      <c r="D741" t="b">
        <f>VLOOKUP(Charms!J741,Values!$A$11:$S$59,19,0)&gt;=Charms!L741</f>
        <v>0</v>
      </c>
      <c r="E741" t="e">
        <f>OR(ISBLANK(Charms!I741),(VLOOKUP(Values!$S$6,Castes!$B$2:$F$25,4,0)=Charms!I741))</f>
        <v>#N/A</v>
      </c>
      <c r="J741" t="e">
        <f t="shared" ca="1" si="56"/>
        <v>#N/A</v>
      </c>
      <c r="K741" s="18" t="e">
        <f t="shared" ca="1" si="55"/>
        <v>#N/A</v>
      </c>
      <c r="L741" t="e">
        <f ca="1">IF(J741,Charms!B741,"")</f>
        <v>#N/A</v>
      </c>
      <c r="M741" t="str">
        <f t="shared" ca="1" si="57"/>
        <v>-</v>
      </c>
      <c r="N741" s="18" t="str">
        <f t="shared" si="58"/>
        <v>K741:L749</v>
      </c>
      <c r="O741" t="str">
        <f t="shared" si="59"/>
        <v>A741:A741</v>
      </c>
    </row>
    <row r="742" spans="1:15">
      <c r="A742" s="18" t="str">
        <f>Charms!K742</f>
        <v>Mantis</v>
      </c>
      <c r="B742" t="str">
        <f>Charms!B742</f>
        <v>Crushing Claw Technique</v>
      </c>
      <c r="C742" t="b">
        <f ca="1">OR(Values!$S$98&gt;=Charms!M742,IFERROR(Charms!J742=OFFSET(Values!$A$24,MATCH("S",Values!$T$25:$T$50,0),0),FALSE))</f>
        <v>1</v>
      </c>
      <c r="D742" t="b">
        <f>VLOOKUP(Charms!J742,Values!$A$11:$S$59,19,0)&gt;=Charms!L742</f>
        <v>0</v>
      </c>
      <c r="E742" t="e">
        <f>OR(ISBLANK(Charms!I742),(VLOOKUP(Values!$S$6,Castes!$B$2:$F$25,4,0)=Charms!I742))</f>
        <v>#N/A</v>
      </c>
      <c r="J742" t="e">
        <f t="shared" ca="1" si="56"/>
        <v>#N/A</v>
      </c>
      <c r="K742" s="18" t="e">
        <f t="shared" ca="1" si="55"/>
        <v>#N/A</v>
      </c>
      <c r="L742" t="e">
        <f ca="1">IF(J742,Charms!B742,"")</f>
        <v>#N/A</v>
      </c>
      <c r="M742" t="str">
        <f t="shared" ca="1" si="57"/>
        <v>-</v>
      </c>
      <c r="N742" s="18" t="str">
        <f t="shared" si="58"/>
        <v>K741:L749</v>
      </c>
      <c r="O742" t="str">
        <f t="shared" si="59"/>
        <v>A741:A742</v>
      </c>
    </row>
    <row r="743" spans="1:15">
      <c r="A743" s="18" t="str">
        <f>Charms!K743</f>
        <v>Mantis</v>
      </c>
      <c r="B743" t="str">
        <f>Charms!B743</f>
        <v>Mantis Form</v>
      </c>
      <c r="C743" t="b">
        <f ca="1">OR(Values!$S$98&gt;=Charms!M743,IFERROR(Charms!J743=OFFSET(Values!$A$24,MATCH("S",Values!$T$25:$T$50,0),0),FALSE))</f>
        <v>1</v>
      </c>
      <c r="D743" t="b">
        <f>VLOOKUP(Charms!J743,Values!$A$11:$S$59,19,0)&gt;=Charms!L743</f>
        <v>0</v>
      </c>
      <c r="E743" t="e">
        <f>OR(ISBLANK(Charms!I743),(VLOOKUP(Values!$S$6,Castes!$B$2:$F$25,4,0)=Charms!I743))</f>
        <v>#N/A</v>
      </c>
      <c r="J743" t="e">
        <f t="shared" ca="1" si="56"/>
        <v>#N/A</v>
      </c>
      <c r="K743" s="18" t="e">
        <f t="shared" ca="1" si="55"/>
        <v>#N/A</v>
      </c>
      <c r="L743" t="e">
        <f ca="1">IF(J743,Charms!B743,"")</f>
        <v>#N/A</v>
      </c>
      <c r="M743" t="str">
        <f t="shared" ca="1" si="57"/>
        <v>-</v>
      </c>
      <c r="N743" s="18" t="str">
        <f t="shared" si="58"/>
        <v>K741:L749</v>
      </c>
      <c r="O743" t="str">
        <f t="shared" si="59"/>
        <v>A741:A743</v>
      </c>
    </row>
    <row r="744" spans="1:15">
      <c r="A744" s="18" t="str">
        <f>Charms!K744</f>
        <v>Mantis</v>
      </c>
      <c r="B744" t="str">
        <f>Charms!B744</f>
        <v>Leaping Mantis Technique</v>
      </c>
      <c r="C744" t="b">
        <f ca="1">OR(Values!$S$98&gt;=Charms!M744,IFERROR(Charms!J744=OFFSET(Values!$A$24,MATCH("S",Values!$T$25:$T$50,0),0),FALSE))</f>
        <v>0</v>
      </c>
      <c r="D744" t="b">
        <f>VLOOKUP(Charms!J744,Values!$A$11:$S$59,19,0)&gt;=Charms!L744</f>
        <v>0</v>
      </c>
      <c r="E744" t="e">
        <f>OR(ISBLANK(Charms!I744),(VLOOKUP(Values!$S$6,Castes!$B$2:$F$25,4,0)=Charms!I744))</f>
        <v>#N/A</v>
      </c>
      <c r="J744" t="e">
        <f t="shared" ca="1" si="56"/>
        <v>#N/A</v>
      </c>
      <c r="K744" s="18" t="e">
        <f t="shared" ca="1" si="55"/>
        <v>#N/A</v>
      </c>
      <c r="L744" t="e">
        <f ca="1">IF(J744,Charms!B744,"")</f>
        <v>#N/A</v>
      </c>
      <c r="M744" t="str">
        <f t="shared" ca="1" si="57"/>
        <v>-</v>
      </c>
      <c r="N744" s="18" t="str">
        <f t="shared" si="58"/>
        <v>K741:L749</v>
      </c>
      <c r="O744" t="str">
        <f t="shared" si="59"/>
        <v>A741:A744</v>
      </c>
    </row>
    <row r="745" spans="1:15">
      <c r="A745" s="18" t="str">
        <f>Charms!K745</f>
        <v>Mantis</v>
      </c>
      <c r="B745" t="str">
        <f>Charms!B745</f>
        <v>Joint-Locking Technique</v>
      </c>
      <c r="C745" t="b">
        <f ca="1">OR(Values!$S$98&gt;=Charms!M745,IFERROR(Charms!J745=OFFSET(Values!$A$24,MATCH("S",Values!$T$25:$T$50,0),0),FALSE))</f>
        <v>0</v>
      </c>
      <c r="D745" t="b">
        <f>VLOOKUP(Charms!J745,Values!$A$11:$S$59,19,0)&gt;=Charms!L745</f>
        <v>0</v>
      </c>
      <c r="E745" t="e">
        <f>OR(ISBLANK(Charms!I745),(VLOOKUP(Values!$S$6,Castes!$B$2:$F$25,4,0)=Charms!I745))</f>
        <v>#N/A</v>
      </c>
      <c r="J745" t="e">
        <f t="shared" ca="1" si="56"/>
        <v>#N/A</v>
      </c>
      <c r="K745" s="18" t="e">
        <f t="shared" ca="1" si="55"/>
        <v>#N/A</v>
      </c>
      <c r="L745" t="e">
        <f ca="1">IF(J745,Charms!B745,"")</f>
        <v>#N/A</v>
      </c>
      <c r="M745" t="str">
        <f t="shared" ca="1" si="57"/>
        <v>-</v>
      </c>
      <c r="N745" s="18" t="str">
        <f t="shared" si="58"/>
        <v>K741:L749</v>
      </c>
      <c r="O745" t="str">
        <f t="shared" si="59"/>
        <v>A741:A745</v>
      </c>
    </row>
    <row r="746" spans="1:15">
      <c r="A746" s="18" t="str">
        <f>Charms!K746</f>
        <v>Mantis</v>
      </c>
      <c r="B746" t="str">
        <f>Charms!B746</f>
        <v>Grasping Claw Method</v>
      </c>
      <c r="C746" t="b">
        <f ca="1">OR(Values!$S$98&gt;=Charms!M746,IFERROR(Charms!J746=OFFSET(Values!$A$24,MATCH("S",Values!$T$25:$T$50,0),0),FALSE))</f>
        <v>0</v>
      </c>
      <c r="D746" t="b">
        <f>VLOOKUP(Charms!J746,Values!$A$11:$S$59,19,0)&gt;=Charms!L746</f>
        <v>0</v>
      </c>
      <c r="E746" t="e">
        <f>OR(ISBLANK(Charms!I746),(VLOOKUP(Values!$S$6,Castes!$B$2:$F$25,4,0)=Charms!I746))</f>
        <v>#N/A</v>
      </c>
      <c r="J746" t="e">
        <f t="shared" ca="1" si="56"/>
        <v>#N/A</v>
      </c>
      <c r="K746" s="18" t="e">
        <f t="shared" ca="1" si="55"/>
        <v>#N/A</v>
      </c>
      <c r="L746" t="e">
        <f ca="1">IF(J746,Charms!B746,"")</f>
        <v>#N/A</v>
      </c>
      <c r="M746" t="str">
        <f t="shared" ca="1" si="57"/>
        <v>-</v>
      </c>
      <c r="N746" s="18" t="str">
        <f t="shared" si="58"/>
        <v>K741:L749</v>
      </c>
      <c r="O746" t="str">
        <f t="shared" si="59"/>
        <v>A741:A746</v>
      </c>
    </row>
    <row r="747" spans="1:15">
      <c r="A747" s="18" t="str">
        <f>Charms!K747</f>
        <v>Mantis</v>
      </c>
      <c r="B747" t="str">
        <f>Charms!B747</f>
        <v>Grasping Mantis Defense</v>
      </c>
      <c r="C747" t="b">
        <f ca="1">OR(Values!$S$98&gt;=Charms!M747,IFERROR(Charms!J747=OFFSET(Values!$A$24,MATCH("S",Values!$T$25:$T$50,0),0),FALSE))</f>
        <v>0</v>
      </c>
      <c r="D747" t="b">
        <f>VLOOKUP(Charms!J747,Values!$A$11:$S$59,19,0)&gt;=Charms!L747</f>
        <v>0</v>
      </c>
      <c r="E747" t="e">
        <f>OR(ISBLANK(Charms!I747),(VLOOKUP(Values!$S$6,Castes!$B$2:$F$25,4,0)=Charms!I747))</f>
        <v>#N/A</v>
      </c>
      <c r="J747" t="e">
        <f t="shared" ca="1" si="56"/>
        <v>#N/A</v>
      </c>
      <c r="K747" s="18" t="e">
        <f t="shared" ca="1" si="55"/>
        <v>#N/A</v>
      </c>
      <c r="L747" t="e">
        <f ca="1">IF(J747,Charms!B747,"")</f>
        <v>#N/A</v>
      </c>
      <c r="M747" t="str">
        <f t="shared" ca="1" si="57"/>
        <v>-</v>
      </c>
      <c r="N747" s="18" t="str">
        <f t="shared" si="58"/>
        <v>K741:L749</v>
      </c>
      <c r="O747" t="str">
        <f t="shared" si="59"/>
        <v>A741:A747</v>
      </c>
    </row>
    <row r="748" spans="1:15">
      <c r="A748" s="18" t="str">
        <f>Charms!K748</f>
        <v>Mantis</v>
      </c>
      <c r="B748" t="str">
        <f>Charms!B748</f>
        <v>Unfolding Retribution Strike</v>
      </c>
      <c r="C748" t="b">
        <f ca="1">OR(Values!$S$98&gt;=Charms!M748,IFERROR(Charms!J748=OFFSET(Values!$A$24,MATCH("S",Values!$T$25:$T$50,0),0),FALSE))</f>
        <v>0</v>
      </c>
      <c r="D748" t="b">
        <f>VLOOKUP(Charms!J748,Values!$A$11:$S$59,19,0)&gt;=Charms!L748</f>
        <v>0</v>
      </c>
      <c r="E748" t="e">
        <f>OR(ISBLANK(Charms!I748),(VLOOKUP(Values!$S$6,Castes!$B$2:$F$25,4,0)=Charms!I748))</f>
        <v>#N/A</v>
      </c>
      <c r="J748" t="e">
        <f t="shared" ca="1" si="56"/>
        <v>#N/A</v>
      </c>
      <c r="K748" s="18" t="e">
        <f t="shared" ca="1" si="55"/>
        <v>#N/A</v>
      </c>
      <c r="L748" t="e">
        <f ca="1">IF(J748,Charms!B748,"")</f>
        <v>#N/A</v>
      </c>
      <c r="M748" t="str">
        <f t="shared" ca="1" si="57"/>
        <v>-</v>
      </c>
      <c r="N748" s="18" t="str">
        <f t="shared" si="58"/>
        <v>K741:L749</v>
      </c>
      <c r="O748" t="str">
        <f t="shared" si="59"/>
        <v>A741:A748</v>
      </c>
    </row>
    <row r="749" spans="1:15">
      <c r="A749" s="18" t="str">
        <f>Charms!K749</f>
        <v>Mantis</v>
      </c>
      <c r="B749" t="str">
        <f>Charms!B749</f>
        <v>Joint-Breaking Attack</v>
      </c>
      <c r="C749" t="b">
        <f ca="1">OR(Values!$S$98&gt;=Charms!M749,IFERROR(Charms!J749=OFFSET(Values!$A$24,MATCH("S",Values!$T$25:$T$50,0),0),FALSE))</f>
        <v>0</v>
      </c>
      <c r="D749" t="b">
        <f>VLOOKUP(Charms!J749,Values!$A$11:$S$59,19,0)&gt;=Charms!L749</f>
        <v>0</v>
      </c>
      <c r="E749" t="e">
        <f>OR(ISBLANK(Charms!I749),(VLOOKUP(Values!$S$6,Castes!$B$2:$F$25,4,0)=Charms!I749))</f>
        <v>#N/A</v>
      </c>
      <c r="J749" t="e">
        <f t="shared" ca="1" si="56"/>
        <v>#N/A</v>
      </c>
      <c r="K749" s="18" t="e">
        <f t="shared" ca="1" si="55"/>
        <v>#N/A</v>
      </c>
      <c r="L749" t="e">
        <f ca="1">IF(J749,Charms!B749,"")</f>
        <v>#N/A</v>
      </c>
      <c r="M749" t="str">
        <f t="shared" ca="1" si="57"/>
        <v>-</v>
      </c>
      <c r="N749" s="18" t="str">
        <f t="shared" si="58"/>
        <v>K741:L749</v>
      </c>
      <c r="O749" t="str">
        <f t="shared" si="59"/>
        <v>A741:A749</v>
      </c>
    </row>
    <row r="750" spans="1:15">
      <c r="A750" s="18" t="str">
        <f>Charms!K750</f>
        <v>Righteous Devil</v>
      </c>
      <c r="B750" t="str">
        <f>Charms!B750</f>
        <v>Cloud of Ebon Devils</v>
      </c>
      <c r="C750" t="b">
        <f ca="1">OR(Values!$S$98&gt;=Charms!M750,IFERROR(Charms!J750=OFFSET(Values!$A$24,MATCH("S",Values!$T$25:$T$50,0),0),FALSE))</f>
        <v>1</v>
      </c>
      <c r="D750" t="b">
        <f>VLOOKUP(Charms!J750,Values!$A$11:$S$59,19,0)&gt;=Charms!L750</f>
        <v>0</v>
      </c>
      <c r="E750" t="e">
        <f>OR(ISBLANK(Charms!I750),(VLOOKUP(Values!$S$6,Castes!$B$2:$F$25,4,0)=Charms!I750))</f>
        <v>#N/A</v>
      </c>
      <c r="J750" t="e">
        <f t="shared" ca="1" si="56"/>
        <v>#N/A</v>
      </c>
      <c r="K750" s="18" t="e">
        <f t="shared" ca="1" si="55"/>
        <v>#N/A</v>
      </c>
      <c r="L750" t="e">
        <f ca="1">IF(J750,Charms!B750,"")</f>
        <v>#N/A</v>
      </c>
      <c r="M750" t="str">
        <f t="shared" ca="1" si="57"/>
        <v>-</v>
      </c>
      <c r="N750" s="18" t="str">
        <f t="shared" si="58"/>
        <v>K750:L758</v>
      </c>
      <c r="O750" t="str">
        <f t="shared" si="59"/>
        <v>A750:A750</v>
      </c>
    </row>
    <row r="751" spans="1:15">
      <c r="A751" s="18" t="str">
        <f>Charms!K751</f>
        <v>Righteous Devil</v>
      </c>
      <c r="B751" t="str">
        <f>Charms!B751</f>
        <v>Kiss of the Sun Concentration</v>
      </c>
      <c r="C751" t="b">
        <f ca="1">OR(Values!$S$98&gt;=Charms!M751,IFERROR(Charms!J751=OFFSET(Values!$A$24,MATCH("S",Values!$T$25:$T$50,0),0),FALSE))</f>
        <v>1</v>
      </c>
      <c r="D751" t="b">
        <f>VLOOKUP(Charms!J751,Values!$A$11:$S$59,19,0)&gt;=Charms!L751</f>
        <v>0</v>
      </c>
      <c r="E751" t="e">
        <f>OR(ISBLANK(Charms!I751),(VLOOKUP(Values!$S$6,Castes!$B$2:$F$25,4,0)=Charms!I751))</f>
        <v>#N/A</v>
      </c>
      <c r="J751" t="e">
        <f t="shared" ca="1" si="56"/>
        <v>#N/A</v>
      </c>
      <c r="K751" s="18" t="e">
        <f t="shared" ca="1" si="55"/>
        <v>#N/A</v>
      </c>
      <c r="L751" t="e">
        <f ca="1">IF(J751,Charms!B751,"")</f>
        <v>#N/A</v>
      </c>
      <c r="M751" t="str">
        <f t="shared" ca="1" si="57"/>
        <v>-</v>
      </c>
      <c r="N751" s="18" t="str">
        <f t="shared" si="58"/>
        <v>K750:L758</v>
      </c>
      <c r="O751" t="str">
        <f t="shared" si="59"/>
        <v>A750:A751</v>
      </c>
    </row>
    <row r="752" spans="1:15">
      <c r="A752" s="18" t="str">
        <f>Charms!K752</f>
        <v>Righteous Devil</v>
      </c>
      <c r="B752" t="str">
        <f>Charms!B752</f>
        <v>Blossom of Inevitable Demise</v>
      </c>
      <c r="C752" t="b">
        <f ca="1">OR(Values!$S$98&gt;=Charms!M752,IFERROR(Charms!J752=OFFSET(Values!$A$24,MATCH("S",Values!$T$25:$T$50,0),0),FALSE))</f>
        <v>1</v>
      </c>
      <c r="D752" t="b">
        <f>VLOOKUP(Charms!J752,Values!$A$11:$S$59,19,0)&gt;=Charms!L752</f>
        <v>0</v>
      </c>
      <c r="E752" t="e">
        <f>OR(ISBLANK(Charms!I752),(VLOOKUP(Values!$S$6,Castes!$B$2:$F$25,4,0)=Charms!I752))</f>
        <v>#N/A</v>
      </c>
      <c r="J752" t="e">
        <f t="shared" ca="1" si="56"/>
        <v>#N/A</v>
      </c>
      <c r="K752" s="18" t="e">
        <f t="shared" ca="1" si="55"/>
        <v>#N/A</v>
      </c>
      <c r="L752" t="e">
        <f ca="1">IF(J752,Charms!B752,"")</f>
        <v>#N/A</v>
      </c>
      <c r="M752" t="str">
        <f t="shared" ca="1" si="57"/>
        <v>-</v>
      </c>
      <c r="N752" s="18" t="str">
        <f t="shared" si="58"/>
        <v>K750:L758</v>
      </c>
      <c r="O752" t="str">
        <f t="shared" si="59"/>
        <v>A750:A752</v>
      </c>
    </row>
    <row r="753" spans="1:15">
      <c r="A753" s="18" t="str">
        <f>Charms!K753</f>
        <v>Righteous Devil</v>
      </c>
      <c r="B753" t="str">
        <f>Charms!B753</f>
        <v>Righteous Devil Form</v>
      </c>
      <c r="C753" t="b">
        <f ca="1">OR(Values!$S$98&gt;=Charms!M753,IFERROR(Charms!J753=OFFSET(Values!$A$24,MATCH("S",Values!$T$25:$T$50,0),0),FALSE))</f>
        <v>0</v>
      </c>
      <c r="D753" t="b">
        <f>VLOOKUP(Charms!J753,Values!$A$11:$S$59,19,0)&gt;=Charms!L753</f>
        <v>0</v>
      </c>
      <c r="E753" t="e">
        <f>OR(ISBLANK(Charms!I753),(VLOOKUP(Values!$S$6,Castes!$B$2:$F$25,4,0)=Charms!I753))</f>
        <v>#N/A</v>
      </c>
      <c r="J753" t="e">
        <f t="shared" ca="1" si="56"/>
        <v>#N/A</v>
      </c>
      <c r="K753" s="18" t="e">
        <f t="shared" ca="1" si="55"/>
        <v>#N/A</v>
      </c>
      <c r="L753" t="e">
        <f ca="1">IF(J753,Charms!B753,"")</f>
        <v>#N/A</v>
      </c>
      <c r="M753" t="str">
        <f t="shared" ca="1" si="57"/>
        <v>-</v>
      </c>
      <c r="N753" s="18" t="str">
        <f t="shared" si="58"/>
        <v>K750:L758</v>
      </c>
      <c r="O753" t="str">
        <f t="shared" si="59"/>
        <v>A750:A753</v>
      </c>
    </row>
    <row r="754" spans="1:15">
      <c r="A754" s="18" t="str">
        <f>Charms!K754</f>
        <v>Righteous Devil</v>
      </c>
      <c r="B754" t="str">
        <f>Charms!B754</f>
        <v>Burning Judgment Halo</v>
      </c>
      <c r="C754" t="b">
        <f ca="1">OR(Values!$S$98&gt;=Charms!M754,IFERROR(Charms!J754=OFFSET(Values!$A$24,MATCH("S",Values!$T$25:$T$50,0),0),FALSE))</f>
        <v>0</v>
      </c>
      <c r="D754" t="b">
        <f>VLOOKUP(Charms!J754,Values!$A$11:$S$59,19,0)&gt;=Charms!L754</f>
        <v>0</v>
      </c>
      <c r="E754" t="e">
        <f>OR(ISBLANK(Charms!I754),(VLOOKUP(Values!$S$6,Castes!$B$2:$F$25,4,0)=Charms!I754))</f>
        <v>#N/A</v>
      </c>
      <c r="J754" t="e">
        <f t="shared" ca="1" si="56"/>
        <v>#N/A</v>
      </c>
      <c r="K754" s="18" t="e">
        <f t="shared" ca="1" si="55"/>
        <v>#N/A</v>
      </c>
      <c r="L754" t="e">
        <f ca="1">IF(J754,Charms!B754,"")</f>
        <v>#N/A</v>
      </c>
      <c r="M754" t="str">
        <f t="shared" ca="1" si="57"/>
        <v>-</v>
      </c>
      <c r="N754" s="18" t="str">
        <f t="shared" si="58"/>
        <v>K750:L758</v>
      </c>
      <c r="O754" t="str">
        <f t="shared" si="59"/>
        <v>A750:A754</v>
      </c>
    </row>
    <row r="755" spans="1:15">
      <c r="A755" s="18" t="str">
        <f>Charms!K755</f>
        <v>Righteous Devil</v>
      </c>
      <c r="B755" t="str">
        <f>Charms!B755</f>
        <v>Phoenix Flies on Golden Wings</v>
      </c>
      <c r="C755" t="b">
        <f ca="1">OR(Values!$S$98&gt;=Charms!M755,IFERROR(Charms!J755=OFFSET(Values!$A$24,MATCH("S",Values!$T$25:$T$50,0),0),FALSE))</f>
        <v>0</v>
      </c>
      <c r="D755" t="b">
        <f>VLOOKUP(Charms!J755,Values!$A$11:$S$59,19,0)&gt;=Charms!L755</f>
        <v>0</v>
      </c>
      <c r="E755" t="e">
        <f>OR(ISBLANK(Charms!I755),(VLOOKUP(Values!$S$6,Castes!$B$2:$F$25,4,0)=Charms!I755))</f>
        <v>#N/A</v>
      </c>
      <c r="J755" t="e">
        <f t="shared" ca="1" si="56"/>
        <v>#N/A</v>
      </c>
      <c r="K755" s="18" t="e">
        <f t="shared" ca="1" si="55"/>
        <v>#N/A</v>
      </c>
      <c r="L755" t="e">
        <f ca="1">IF(J755,Charms!B755,"")</f>
        <v>#N/A</v>
      </c>
      <c r="M755" t="str">
        <f t="shared" ca="1" si="57"/>
        <v>-</v>
      </c>
      <c r="N755" s="18" t="str">
        <f t="shared" si="58"/>
        <v>K750:L758</v>
      </c>
      <c r="O755" t="str">
        <f t="shared" si="59"/>
        <v>A750:A755</v>
      </c>
    </row>
    <row r="756" spans="1:15">
      <c r="A756" s="18" t="str">
        <f>Charms!K756</f>
        <v>Righteous Devil</v>
      </c>
      <c r="B756" t="str">
        <f>Charms!B756</f>
        <v>Azure Abacus Meditation</v>
      </c>
      <c r="C756" t="b">
        <f ca="1">OR(Values!$S$98&gt;=Charms!M756,IFERROR(Charms!J756=OFFSET(Values!$A$24,MATCH("S",Values!$T$25:$T$50,0),0),FALSE))</f>
        <v>0</v>
      </c>
      <c r="D756" t="b">
        <f>VLOOKUP(Charms!J756,Values!$A$11:$S$59,19,0)&gt;=Charms!L756</f>
        <v>0</v>
      </c>
      <c r="E756" t="e">
        <f>OR(ISBLANK(Charms!I756),(VLOOKUP(Values!$S$6,Castes!$B$2:$F$25,4,0)=Charms!I756))</f>
        <v>#N/A</v>
      </c>
      <c r="J756" t="e">
        <f t="shared" ca="1" si="56"/>
        <v>#N/A</v>
      </c>
      <c r="K756" s="18" t="e">
        <f t="shared" ca="1" si="55"/>
        <v>#N/A</v>
      </c>
      <c r="L756" t="e">
        <f ca="1">IF(J756,Charms!B756,"")</f>
        <v>#N/A</v>
      </c>
      <c r="M756" t="str">
        <f t="shared" ca="1" si="57"/>
        <v>-</v>
      </c>
      <c r="N756" s="18" t="str">
        <f t="shared" si="58"/>
        <v>K750:L758</v>
      </c>
      <c r="O756" t="str">
        <f t="shared" si="59"/>
        <v>A750:A756</v>
      </c>
    </row>
    <row r="757" spans="1:15">
      <c r="A757" s="18" t="str">
        <f>Charms!K757</f>
        <v>Righteous Devil</v>
      </c>
      <c r="B757" t="str">
        <f>Charms!B757</f>
        <v>Dancing Devil Trigger Finger</v>
      </c>
      <c r="C757" t="b">
        <f ca="1">OR(Values!$S$98&gt;=Charms!M757,IFERROR(Charms!J757=OFFSET(Values!$A$24,MATCH("S",Values!$T$25:$T$50,0),0),FALSE))</f>
        <v>0</v>
      </c>
      <c r="D757" t="b">
        <f>VLOOKUP(Charms!J757,Values!$A$11:$S$59,19,0)&gt;=Charms!L757</f>
        <v>0</v>
      </c>
      <c r="E757" t="e">
        <f>OR(ISBLANK(Charms!I757),(VLOOKUP(Values!$S$6,Castes!$B$2:$F$25,4,0)=Charms!I757))</f>
        <v>#N/A</v>
      </c>
      <c r="J757" t="e">
        <f t="shared" ca="1" si="56"/>
        <v>#N/A</v>
      </c>
      <c r="K757" s="18" t="e">
        <f t="shared" ca="1" si="55"/>
        <v>#N/A</v>
      </c>
      <c r="L757" t="e">
        <f ca="1">IF(J757,Charms!B757,"")</f>
        <v>#N/A</v>
      </c>
      <c r="M757" t="str">
        <f t="shared" ca="1" si="57"/>
        <v>-</v>
      </c>
      <c r="N757" s="18" t="str">
        <f t="shared" si="58"/>
        <v>K750:L758</v>
      </c>
      <c r="O757" t="str">
        <f t="shared" si="59"/>
        <v>A750:A757</v>
      </c>
    </row>
    <row r="758" spans="1:15">
      <c r="A758" s="18" t="str">
        <f>Charms!K758</f>
        <v>Righteous Devil</v>
      </c>
      <c r="B758" t="str">
        <f>Charms!B758</f>
        <v>Caress of 1,000 Hells</v>
      </c>
      <c r="C758" t="b">
        <f ca="1">OR(Values!$S$98&gt;=Charms!M758,IFERROR(Charms!J758=OFFSET(Values!$A$24,MATCH("S",Values!$T$25:$T$50,0),0),FALSE))</f>
        <v>0</v>
      </c>
      <c r="D758" t="b">
        <f>VLOOKUP(Charms!J758,Values!$A$11:$S$59,19,0)&gt;=Charms!L758</f>
        <v>0</v>
      </c>
      <c r="E758" t="e">
        <f>OR(ISBLANK(Charms!I758),(VLOOKUP(Values!$S$6,Castes!$B$2:$F$25,4,0)=Charms!I758))</f>
        <v>#N/A</v>
      </c>
      <c r="J758" t="e">
        <f t="shared" ca="1" si="56"/>
        <v>#N/A</v>
      </c>
      <c r="K758" s="18" t="e">
        <f t="shared" ca="1" si="55"/>
        <v>#N/A</v>
      </c>
      <c r="L758" t="e">
        <f ca="1">IF(J758,Charms!B758,"")</f>
        <v>#N/A</v>
      </c>
      <c r="M758" t="str">
        <f t="shared" ca="1" si="57"/>
        <v>-</v>
      </c>
      <c r="N758" s="18" t="str">
        <f t="shared" si="58"/>
        <v>K750:L758</v>
      </c>
      <c r="O758" t="str">
        <f t="shared" si="59"/>
        <v>A750:A758</v>
      </c>
    </row>
    <row r="759" spans="1:15">
      <c r="A759" s="18" t="str">
        <f>Charms!K759</f>
        <v>Single Point</v>
      </c>
      <c r="B759" t="str">
        <f>Charms!B759</f>
        <v>Gathering Light Concentration</v>
      </c>
      <c r="C759" t="b">
        <f ca="1">OR(Values!$S$98&gt;=Charms!M759,IFERROR(Charms!J759=OFFSET(Values!$A$24,MATCH("S",Values!$T$25:$T$50,0),0),FALSE))</f>
        <v>1</v>
      </c>
      <c r="D759" t="b">
        <f>VLOOKUP(Charms!J759,Values!$A$11:$S$59,19,0)&gt;=Charms!L759</f>
        <v>0</v>
      </c>
      <c r="E759" t="e">
        <f>OR(ISBLANK(Charms!I759),(VLOOKUP(Values!$S$6,Castes!$B$2:$F$25,4,0)=Charms!I759))</f>
        <v>#N/A</v>
      </c>
      <c r="J759" t="e">
        <f t="shared" ca="1" si="56"/>
        <v>#N/A</v>
      </c>
      <c r="K759" s="18" t="e">
        <f t="shared" ca="1" si="55"/>
        <v>#N/A</v>
      </c>
      <c r="L759" t="e">
        <f ca="1">IF(J759,Charms!B759,"")</f>
        <v>#N/A</v>
      </c>
      <c r="M759" t="str">
        <f t="shared" ca="1" si="57"/>
        <v>-</v>
      </c>
      <c r="N759" s="18" t="str">
        <f t="shared" si="58"/>
        <v>K759:L767</v>
      </c>
      <c r="O759" t="str">
        <f t="shared" si="59"/>
        <v>A759:A759</v>
      </c>
    </row>
    <row r="760" spans="1:15">
      <c r="A760" s="18" t="str">
        <f>Charms!K760</f>
        <v>Single Point</v>
      </c>
      <c r="B760" t="str">
        <f>Charms!B760</f>
        <v>Shining Starfall Execution</v>
      </c>
      <c r="C760" t="b">
        <f ca="1">OR(Values!$S$98&gt;=Charms!M760,IFERROR(Charms!J760=OFFSET(Values!$A$24,MATCH("S",Values!$T$25:$T$50,0),0),FALSE))</f>
        <v>1</v>
      </c>
      <c r="D760" t="b">
        <f>VLOOKUP(Charms!J760,Values!$A$11:$S$59,19,0)&gt;=Charms!L760</f>
        <v>0</v>
      </c>
      <c r="E760" t="e">
        <f>OR(ISBLANK(Charms!I760),(VLOOKUP(Values!$S$6,Castes!$B$2:$F$25,4,0)=Charms!I760))</f>
        <v>#N/A</v>
      </c>
      <c r="J760" t="e">
        <f t="shared" ca="1" si="56"/>
        <v>#N/A</v>
      </c>
      <c r="K760" s="18" t="e">
        <f t="shared" ca="1" si="55"/>
        <v>#N/A</v>
      </c>
      <c r="L760" t="e">
        <f ca="1">IF(J760,Charms!B760,"")</f>
        <v>#N/A</v>
      </c>
      <c r="M760" t="str">
        <f t="shared" ca="1" si="57"/>
        <v>-</v>
      </c>
      <c r="N760" s="18" t="str">
        <f t="shared" si="58"/>
        <v>K759:L767</v>
      </c>
      <c r="O760" t="str">
        <f t="shared" si="59"/>
        <v>A759:A760</v>
      </c>
    </row>
    <row r="761" spans="1:15">
      <c r="A761" s="18" t="str">
        <f>Charms!K761</f>
        <v>Single Point</v>
      </c>
      <c r="B761" t="str">
        <f>Charms!B761</f>
        <v>Single Point Shining Into the Void Form</v>
      </c>
      <c r="C761" t="b">
        <f ca="1">OR(Values!$S$98&gt;=Charms!M761,IFERROR(Charms!J761=OFFSET(Values!$A$24,MATCH("S",Values!$T$25:$T$50,0),0),FALSE))</f>
        <v>0</v>
      </c>
      <c r="D761" t="b">
        <f>VLOOKUP(Charms!J761,Values!$A$11:$S$59,19,0)&gt;=Charms!L761</f>
        <v>0</v>
      </c>
      <c r="E761" t="e">
        <f>OR(ISBLANK(Charms!I761),(VLOOKUP(Values!$S$6,Castes!$B$2:$F$25,4,0)=Charms!I761))</f>
        <v>#N/A</v>
      </c>
      <c r="J761" t="e">
        <f t="shared" ca="1" si="56"/>
        <v>#N/A</v>
      </c>
      <c r="K761" s="18" t="e">
        <f t="shared" ca="1" si="55"/>
        <v>#N/A</v>
      </c>
      <c r="L761" t="e">
        <f ca="1">IF(J761,Charms!B761,"")</f>
        <v>#N/A</v>
      </c>
      <c r="M761" t="str">
        <f t="shared" ca="1" si="57"/>
        <v>-</v>
      </c>
      <c r="N761" s="18" t="str">
        <f t="shared" si="58"/>
        <v>K759:L767</v>
      </c>
      <c r="O761" t="str">
        <f t="shared" si="59"/>
        <v>A759:A761</v>
      </c>
    </row>
    <row r="762" spans="1:15">
      <c r="A762" s="18" t="str">
        <f>Charms!K762</f>
        <v>Single Point</v>
      </c>
      <c r="B762" t="str">
        <f>Charms!B762</f>
        <v>Fatal Stroke Flash</v>
      </c>
      <c r="C762" t="b">
        <f ca="1">OR(Values!$S$98&gt;=Charms!M762,IFERROR(Charms!J762=OFFSET(Values!$A$24,MATCH("S",Values!$T$25:$T$50,0),0),FALSE))</f>
        <v>0</v>
      </c>
      <c r="D762" t="b">
        <f>VLOOKUP(Charms!J762,Values!$A$11:$S$59,19,0)&gt;=Charms!L762</f>
        <v>0</v>
      </c>
      <c r="E762" t="e">
        <f>OR(ISBLANK(Charms!I762),(VLOOKUP(Values!$S$6,Castes!$B$2:$F$25,4,0)=Charms!I762))</f>
        <v>#N/A</v>
      </c>
      <c r="J762" t="e">
        <f t="shared" ca="1" si="56"/>
        <v>#N/A</v>
      </c>
      <c r="K762" s="18" t="e">
        <f t="shared" ca="1" si="55"/>
        <v>#N/A</v>
      </c>
      <c r="L762" t="e">
        <f ca="1">IF(J762,Charms!B762,"")</f>
        <v>#N/A</v>
      </c>
      <c r="M762" t="str">
        <f t="shared" ca="1" si="57"/>
        <v>-</v>
      </c>
      <c r="N762" s="18" t="str">
        <f t="shared" si="58"/>
        <v>K759:L767</v>
      </c>
      <c r="O762" t="str">
        <f t="shared" si="59"/>
        <v>A759:A762</v>
      </c>
    </row>
    <row r="763" spans="1:15">
      <c r="A763" s="18" t="str">
        <f>Charms!K763</f>
        <v>Single Point</v>
      </c>
      <c r="B763" t="str">
        <f>Charms!B763</f>
        <v>Liquid Steel Flow</v>
      </c>
      <c r="C763" t="b">
        <f ca="1">OR(Values!$S$98&gt;=Charms!M763,IFERROR(Charms!J763=OFFSET(Values!$A$24,MATCH("S",Values!$T$25:$T$50,0),0),FALSE))</f>
        <v>0</v>
      </c>
      <c r="D763" t="b">
        <f>VLOOKUP(Charms!J763,Values!$A$11:$S$59,19,0)&gt;=Charms!L763</f>
        <v>0</v>
      </c>
      <c r="E763" t="e">
        <f>OR(ISBLANK(Charms!I763),(VLOOKUP(Values!$S$6,Castes!$B$2:$F$25,4,0)=Charms!I763))</f>
        <v>#N/A</v>
      </c>
      <c r="J763" t="e">
        <f t="shared" ca="1" si="56"/>
        <v>#N/A</v>
      </c>
      <c r="K763" s="18" t="e">
        <f t="shared" ca="1" si="55"/>
        <v>#N/A</v>
      </c>
      <c r="L763" t="e">
        <f ca="1">IF(J763,Charms!B763,"")</f>
        <v>#N/A</v>
      </c>
      <c r="M763" t="str">
        <f t="shared" ca="1" si="57"/>
        <v>-</v>
      </c>
      <c r="N763" s="18" t="str">
        <f t="shared" si="58"/>
        <v>K759:L767</v>
      </c>
      <c r="O763" t="str">
        <f t="shared" si="59"/>
        <v>A759:A763</v>
      </c>
    </row>
    <row r="764" spans="1:15">
      <c r="A764" s="18" t="str">
        <f>Charms!K764</f>
        <v>Single Point</v>
      </c>
      <c r="B764" t="str">
        <f>Charms!B764</f>
        <v>Void-Slicing Wind</v>
      </c>
      <c r="C764" t="b">
        <f ca="1">OR(Values!$S$98&gt;=Charms!M764,IFERROR(Charms!J764=OFFSET(Values!$A$24,MATCH("S",Values!$T$25:$T$50,0),0),FALSE))</f>
        <v>0</v>
      </c>
      <c r="D764" t="b">
        <f>VLOOKUP(Charms!J764,Values!$A$11:$S$59,19,0)&gt;=Charms!L764</f>
        <v>0</v>
      </c>
      <c r="E764" t="e">
        <f>OR(ISBLANK(Charms!I764),(VLOOKUP(Values!$S$6,Castes!$B$2:$F$25,4,0)=Charms!I764))</f>
        <v>#N/A</v>
      </c>
      <c r="J764" t="e">
        <f t="shared" ca="1" si="56"/>
        <v>#N/A</v>
      </c>
      <c r="K764" s="18" t="e">
        <f t="shared" ca="1" si="55"/>
        <v>#N/A</v>
      </c>
      <c r="L764" t="e">
        <f ca="1">IF(J764,Charms!B764,"")</f>
        <v>#N/A</v>
      </c>
      <c r="M764" t="str">
        <f t="shared" ca="1" si="57"/>
        <v>-</v>
      </c>
      <c r="N764" s="18" t="str">
        <f t="shared" si="58"/>
        <v>K759:L767</v>
      </c>
      <c r="O764" t="str">
        <f t="shared" si="59"/>
        <v>A759:A764</v>
      </c>
    </row>
    <row r="765" spans="1:15">
      <c r="A765" s="18" t="str">
        <f>Charms!K765</f>
        <v>Single Point</v>
      </c>
      <c r="B765" t="str">
        <f>Charms!B765</f>
        <v>Horizon-Swallowed Star Flash</v>
      </c>
      <c r="C765" t="b">
        <f ca="1">OR(Values!$S$98&gt;=Charms!M765,IFERROR(Charms!J765=OFFSET(Values!$A$24,MATCH("S",Values!$T$25:$T$50,0),0),FALSE))</f>
        <v>0</v>
      </c>
      <c r="D765" t="b">
        <f>VLOOKUP(Charms!J765,Values!$A$11:$S$59,19,0)&gt;=Charms!L765</f>
        <v>0</v>
      </c>
      <c r="E765" t="e">
        <f>OR(ISBLANK(Charms!I765),(VLOOKUP(Values!$S$6,Castes!$B$2:$F$25,4,0)=Charms!I765))</f>
        <v>#N/A</v>
      </c>
      <c r="J765" t="e">
        <f t="shared" ca="1" si="56"/>
        <v>#N/A</v>
      </c>
      <c r="K765" s="18" t="e">
        <f t="shared" ca="1" si="55"/>
        <v>#N/A</v>
      </c>
      <c r="L765" t="e">
        <f ca="1">IF(J765,Charms!B765,"")</f>
        <v>#N/A</v>
      </c>
      <c r="M765" t="str">
        <f t="shared" ca="1" si="57"/>
        <v>-</v>
      </c>
      <c r="N765" s="18" t="str">
        <f t="shared" si="58"/>
        <v>K759:L767</v>
      </c>
      <c r="O765" t="str">
        <f t="shared" si="59"/>
        <v>A759:A765</v>
      </c>
    </row>
    <row r="766" spans="1:15">
      <c r="A766" s="18" t="str">
        <f>Charms!K766</f>
        <v>Single Point</v>
      </c>
      <c r="B766" t="str">
        <f>Charms!B766</f>
        <v>Six-Demon Scabbard Binding</v>
      </c>
      <c r="C766" t="b">
        <f ca="1">OR(Values!$S$98&gt;=Charms!M766,IFERROR(Charms!J766=OFFSET(Values!$A$24,MATCH("S",Values!$T$25:$T$50,0),0),FALSE))</f>
        <v>0</v>
      </c>
      <c r="D766" t="b">
        <f>VLOOKUP(Charms!J766,Values!$A$11:$S$59,19,0)&gt;=Charms!L766</f>
        <v>0</v>
      </c>
      <c r="E766" t="e">
        <f>OR(ISBLANK(Charms!I766),(VLOOKUP(Values!$S$6,Castes!$B$2:$F$25,4,0)=Charms!I766))</f>
        <v>#N/A</v>
      </c>
      <c r="J766" t="e">
        <f t="shared" ca="1" si="56"/>
        <v>#N/A</v>
      </c>
      <c r="K766" s="18" t="e">
        <f t="shared" ca="1" si="55"/>
        <v>#N/A</v>
      </c>
      <c r="L766" t="e">
        <f ca="1">IF(J766,Charms!B766,"")</f>
        <v>#N/A</v>
      </c>
      <c r="M766" t="str">
        <f t="shared" ca="1" si="57"/>
        <v>-</v>
      </c>
      <c r="N766" s="18" t="str">
        <f t="shared" si="58"/>
        <v>K759:L767</v>
      </c>
      <c r="O766" t="str">
        <f t="shared" si="59"/>
        <v>A759:A766</v>
      </c>
    </row>
    <row r="767" spans="1:15">
      <c r="A767" s="18" t="str">
        <f>Charms!K767</f>
        <v>Single Point</v>
      </c>
      <c r="B767" t="str">
        <f>Charms!B767</f>
        <v>Blinding Nova Flare</v>
      </c>
      <c r="C767" t="b">
        <f ca="1">OR(Values!$S$98&gt;=Charms!M767,IFERROR(Charms!J767=OFFSET(Values!$A$24,MATCH("S",Values!$T$25:$T$50,0),0),FALSE))</f>
        <v>0</v>
      </c>
      <c r="D767" t="b">
        <f>VLOOKUP(Charms!J767,Values!$A$11:$S$59,19,0)&gt;=Charms!L767</f>
        <v>0</v>
      </c>
      <c r="E767" t="e">
        <f>OR(ISBLANK(Charms!I767),(VLOOKUP(Values!$S$6,Castes!$B$2:$F$25,4,0)=Charms!I767))</f>
        <v>#N/A</v>
      </c>
      <c r="J767" t="e">
        <f t="shared" ca="1" si="56"/>
        <v>#N/A</v>
      </c>
      <c r="K767" s="18" t="e">
        <f t="shared" ca="1" si="55"/>
        <v>#N/A</v>
      </c>
      <c r="L767" t="e">
        <f ca="1">IF(J767,Charms!B767,"")</f>
        <v>#N/A</v>
      </c>
      <c r="M767" t="str">
        <f t="shared" ca="1" si="57"/>
        <v>-</v>
      </c>
      <c r="N767" s="18" t="str">
        <f t="shared" si="58"/>
        <v>K759:L767</v>
      </c>
      <c r="O767" t="str">
        <f t="shared" si="59"/>
        <v>A759:A767</v>
      </c>
    </row>
    <row r="768" spans="1:15">
      <c r="A768" s="18" t="str">
        <f>Charms!K768</f>
        <v>Snake</v>
      </c>
      <c r="B768" t="str">
        <f>Charms!B768</f>
        <v>Serpentine Evasion</v>
      </c>
      <c r="C768" t="b">
        <f ca="1">OR(Values!$S$98&gt;=Charms!M768,IFERROR(Charms!J768=OFFSET(Values!$A$24,MATCH("S",Values!$T$25:$T$50,0),0),FALSE))</f>
        <v>1</v>
      </c>
      <c r="D768" t="b">
        <f>VLOOKUP(Charms!J768,Values!$A$11:$S$59,19,0)&gt;=Charms!L768</f>
        <v>0</v>
      </c>
      <c r="E768" t="e">
        <f>OR(ISBLANK(Charms!I768),(VLOOKUP(Values!$S$6,Castes!$B$2:$F$25,4,0)=Charms!I768))</f>
        <v>#N/A</v>
      </c>
      <c r="J768" t="e">
        <f t="shared" ca="1" si="56"/>
        <v>#N/A</v>
      </c>
      <c r="K768" s="18" t="e">
        <f t="shared" ca="1" si="55"/>
        <v>#N/A</v>
      </c>
      <c r="L768" t="e">
        <f ca="1">IF(J768,Charms!B768,"")</f>
        <v>#N/A</v>
      </c>
      <c r="M768" t="str">
        <f t="shared" ca="1" si="57"/>
        <v>-</v>
      </c>
      <c r="N768" s="18" t="str">
        <f t="shared" si="58"/>
        <v>K768:L777</v>
      </c>
      <c r="O768" t="str">
        <f t="shared" si="59"/>
        <v>A768:A768</v>
      </c>
    </row>
    <row r="769" spans="1:15">
      <c r="A769" s="18" t="str">
        <f>Charms!K769</f>
        <v>Snake</v>
      </c>
      <c r="B769" t="str">
        <f>Charms!B769</f>
        <v>Striking Cobra Technique</v>
      </c>
      <c r="C769" t="b">
        <f ca="1">OR(Values!$S$98&gt;=Charms!M769,IFERROR(Charms!J769=OFFSET(Values!$A$24,MATCH("S",Values!$T$25:$T$50,0),0),FALSE))</f>
        <v>1</v>
      </c>
      <c r="D769" t="b">
        <f>VLOOKUP(Charms!J769,Values!$A$11:$S$59,19,0)&gt;=Charms!L769</f>
        <v>0</v>
      </c>
      <c r="E769" t="e">
        <f>OR(ISBLANK(Charms!I769),(VLOOKUP(Values!$S$6,Castes!$B$2:$F$25,4,0)=Charms!I769))</f>
        <v>#N/A</v>
      </c>
      <c r="J769" t="e">
        <f t="shared" ca="1" si="56"/>
        <v>#N/A</v>
      </c>
      <c r="K769" s="18" t="e">
        <f t="shared" ca="1" si="55"/>
        <v>#N/A</v>
      </c>
      <c r="L769" t="e">
        <f ca="1">IF(J769,Charms!B769,"")</f>
        <v>#N/A</v>
      </c>
      <c r="M769" t="str">
        <f t="shared" ca="1" si="57"/>
        <v>-</v>
      </c>
      <c r="N769" s="18" t="str">
        <f t="shared" si="58"/>
        <v>K768:L777</v>
      </c>
      <c r="O769" t="str">
        <f t="shared" si="59"/>
        <v>A768:A769</v>
      </c>
    </row>
    <row r="770" spans="1:15">
      <c r="A770" s="18" t="str">
        <f>Charms!K770</f>
        <v>Snake</v>
      </c>
      <c r="B770" t="str">
        <f>Charms!B770</f>
        <v>Snake Form</v>
      </c>
      <c r="C770" t="b">
        <f ca="1">OR(Values!$S$98&gt;=Charms!M770,IFERROR(Charms!J770=OFFSET(Values!$A$24,MATCH("S",Values!$T$25:$T$50,0),0),FALSE))</f>
        <v>1</v>
      </c>
      <c r="D770" t="b">
        <f>VLOOKUP(Charms!J770,Values!$A$11:$S$59,19,0)&gt;=Charms!L770</f>
        <v>0</v>
      </c>
      <c r="E770" t="e">
        <f>OR(ISBLANK(Charms!I770),(VLOOKUP(Values!$S$6,Castes!$B$2:$F$25,4,0)=Charms!I770))</f>
        <v>#N/A</v>
      </c>
      <c r="J770" t="e">
        <f t="shared" ca="1" si="56"/>
        <v>#N/A</v>
      </c>
      <c r="K770" s="18" t="e">
        <f t="shared" ref="K770:K833" ca="1" si="60">IF(L770="","",COUNTIF(INDIRECT("J"&amp;MATCH(A770,A:A,0)&amp;":J"&amp;ROW()),J770))</f>
        <v>#N/A</v>
      </c>
      <c r="L770" t="e">
        <f ca="1">IF(J770,Charms!B770,"")</f>
        <v>#N/A</v>
      </c>
      <c r="M770" t="str">
        <f t="shared" ca="1" si="57"/>
        <v>-</v>
      </c>
      <c r="N770" s="18" t="str">
        <f t="shared" si="58"/>
        <v>K768:L777</v>
      </c>
      <c r="O770" t="str">
        <f t="shared" si="59"/>
        <v>A768:A770</v>
      </c>
    </row>
    <row r="771" spans="1:15">
      <c r="A771" s="18" t="str">
        <f>Charms!K771</f>
        <v>Snake</v>
      </c>
      <c r="B771" t="str">
        <f>Charms!B771</f>
        <v>Crippling Pressure-Point Strike</v>
      </c>
      <c r="C771" t="b">
        <f ca="1">OR(Values!$S$98&gt;=Charms!M771,IFERROR(Charms!J771=OFFSET(Values!$A$24,MATCH("S",Values!$T$25:$T$50,0),0),FALSE))</f>
        <v>0</v>
      </c>
      <c r="D771" t="b">
        <f>VLOOKUP(Charms!J771,Values!$A$11:$S$59,19,0)&gt;=Charms!L771</f>
        <v>0</v>
      </c>
      <c r="E771" t="e">
        <f>OR(ISBLANK(Charms!I771),(VLOOKUP(Values!$S$6,Castes!$B$2:$F$25,4,0)=Charms!I771))</f>
        <v>#N/A</v>
      </c>
      <c r="J771" t="e">
        <f t="shared" ref="J771:J834" ca="1" si="61">(C771+D771+E771+F771+G771+H771+I771)=3</f>
        <v>#N/A</v>
      </c>
      <c r="K771" s="18" t="e">
        <f t="shared" ca="1" si="60"/>
        <v>#N/A</v>
      </c>
      <c r="L771" t="e">
        <f ca="1">IF(J771,Charms!B771,"")</f>
        <v>#N/A</v>
      </c>
      <c r="M771" t="str">
        <f t="shared" ref="M771:M834" ca="1" si="62">IFERROR(VLOOKUP(COUNTIF(INDIRECT(O771),A771),INDIRECT(N771),2,0),"-")</f>
        <v>-</v>
      </c>
      <c r="N771" s="18" t="str">
        <f t="shared" ref="N771:N834" si="63">"K"&amp;MATCH(A771,A:A,0)&amp;":L"&amp;(MATCH(A771,A:A,0)+COUNTIF(A:A,A771)-1)</f>
        <v>K768:L777</v>
      </c>
      <c r="O771" t="str">
        <f t="shared" ref="O771:O834" si="64">"A"&amp;MATCH(A771,A:A,0)&amp;":A"&amp;ROW()</f>
        <v>A768:A771</v>
      </c>
    </row>
    <row r="772" spans="1:15">
      <c r="A772" s="18" t="str">
        <f>Charms!K772</f>
        <v>Snake</v>
      </c>
      <c r="B772" t="str">
        <f>Charms!B772</f>
        <v>Essence Fangs and Scales Technique</v>
      </c>
      <c r="C772" t="b">
        <f ca="1">OR(Values!$S$98&gt;=Charms!M772,IFERROR(Charms!J772=OFFSET(Values!$A$24,MATCH("S",Values!$T$25:$T$50,0),0),FALSE))</f>
        <v>0</v>
      </c>
      <c r="D772" t="b">
        <f>VLOOKUP(Charms!J772,Values!$A$11:$S$59,19,0)&gt;=Charms!L772</f>
        <v>0</v>
      </c>
      <c r="E772" t="e">
        <f>OR(ISBLANK(Charms!I772),(VLOOKUP(Values!$S$6,Castes!$B$2:$F$25,4,0)=Charms!I772))</f>
        <v>#N/A</v>
      </c>
      <c r="J772" t="e">
        <f t="shared" ca="1" si="61"/>
        <v>#N/A</v>
      </c>
      <c r="K772" s="18" t="e">
        <f t="shared" ca="1" si="60"/>
        <v>#N/A</v>
      </c>
      <c r="L772" t="e">
        <f ca="1">IF(J772,Charms!B772,"")</f>
        <v>#N/A</v>
      </c>
      <c r="M772" t="str">
        <f t="shared" ca="1" si="62"/>
        <v>-</v>
      </c>
      <c r="N772" s="18" t="str">
        <f t="shared" si="63"/>
        <v>K768:L777</v>
      </c>
      <c r="O772" t="str">
        <f t="shared" si="64"/>
        <v>A768:A772</v>
      </c>
    </row>
    <row r="773" spans="1:15">
      <c r="A773" s="18" t="str">
        <f>Charms!K773</f>
        <v>Snake</v>
      </c>
      <c r="B773" t="str">
        <f>Charms!B773</f>
        <v>Uncoiling Serpent Prana</v>
      </c>
      <c r="C773" t="b">
        <f ca="1">OR(Values!$S$98&gt;=Charms!M773,IFERROR(Charms!J773=OFFSET(Values!$A$24,MATCH("S",Values!$T$25:$T$50,0),0),FALSE))</f>
        <v>0</v>
      </c>
      <c r="D773" t="b">
        <f>VLOOKUP(Charms!J773,Values!$A$11:$S$59,19,0)&gt;=Charms!L773</f>
        <v>0</v>
      </c>
      <c r="E773" t="e">
        <f>OR(ISBLANK(Charms!I773),(VLOOKUP(Values!$S$6,Castes!$B$2:$F$25,4,0)=Charms!I773))</f>
        <v>#N/A</v>
      </c>
      <c r="J773" t="e">
        <f t="shared" ca="1" si="61"/>
        <v>#N/A</v>
      </c>
      <c r="K773" s="18" t="e">
        <f t="shared" ca="1" si="60"/>
        <v>#N/A</v>
      </c>
      <c r="L773" t="e">
        <f ca="1">IF(J773,Charms!B773,"")</f>
        <v>#N/A</v>
      </c>
      <c r="M773" t="str">
        <f t="shared" ca="1" si="62"/>
        <v>-</v>
      </c>
      <c r="N773" s="18" t="str">
        <f t="shared" si="63"/>
        <v>K768:L777</v>
      </c>
      <c r="O773" t="str">
        <f t="shared" si="64"/>
        <v>A768:A773</v>
      </c>
    </row>
    <row r="774" spans="1:15">
      <c r="A774" s="18" t="str">
        <f>Charms!K774</f>
        <v>Snake</v>
      </c>
      <c r="B774" t="str">
        <f>Charms!B774</f>
        <v>Snake Strikes the Heel</v>
      </c>
      <c r="C774" t="b">
        <f ca="1">OR(Values!$S$98&gt;=Charms!M774,IFERROR(Charms!J774=OFFSET(Values!$A$24,MATCH("S",Values!$T$25:$T$50,0),0),FALSE))</f>
        <v>0</v>
      </c>
      <c r="D774" t="b">
        <f>VLOOKUP(Charms!J774,Values!$A$11:$S$59,19,0)&gt;=Charms!L774</f>
        <v>0</v>
      </c>
      <c r="E774" t="e">
        <f>OR(ISBLANK(Charms!I774),(VLOOKUP(Values!$S$6,Castes!$B$2:$F$25,4,0)=Charms!I774))</f>
        <v>#N/A</v>
      </c>
      <c r="J774" t="e">
        <f t="shared" ca="1" si="61"/>
        <v>#N/A</v>
      </c>
      <c r="K774" s="18" t="e">
        <f t="shared" ca="1" si="60"/>
        <v>#N/A</v>
      </c>
      <c r="L774" t="e">
        <f ca="1">IF(J774,Charms!B774,"")</f>
        <v>#N/A</v>
      </c>
      <c r="M774" t="str">
        <f t="shared" ca="1" si="62"/>
        <v>-</v>
      </c>
      <c r="N774" s="18" t="str">
        <f t="shared" si="63"/>
        <v>K768:L777</v>
      </c>
      <c r="O774" t="str">
        <f t="shared" si="64"/>
        <v>A768:A774</v>
      </c>
    </row>
    <row r="775" spans="1:15">
      <c r="A775" s="18" t="str">
        <f>Charms!K775</f>
        <v>Snake</v>
      </c>
      <c r="B775" t="str">
        <f>Charms!B775</f>
        <v>Armor-Penetrating Fang Strike</v>
      </c>
      <c r="C775" t="b">
        <f ca="1">OR(Values!$S$98&gt;=Charms!M775,IFERROR(Charms!J775=OFFSET(Values!$A$24,MATCH("S",Values!$T$25:$T$50,0),0),FALSE))</f>
        <v>0</v>
      </c>
      <c r="D775" t="b">
        <f>VLOOKUP(Charms!J775,Values!$A$11:$S$59,19,0)&gt;=Charms!L775</f>
        <v>0</v>
      </c>
      <c r="E775" t="e">
        <f>OR(ISBLANK(Charms!I775),(VLOOKUP(Values!$S$6,Castes!$B$2:$F$25,4,0)=Charms!I775))</f>
        <v>#N/A</v>
      </c>
      <c r="J775" t="e">
        <f t="shared" ca="1" si="61"/>
        <v>#N/A</v>
      </c>
      <c r="K775" s="18" t="e">
        <f t="shared" ca="1" si="60"/>
        <v>#N/A</v>
      </c>
      <c r="L775" t="e">
        <f ca="1">IF(J775,Charms!B775,"")</f>
        <v>#N/A</v>
      </c>
      <c r="M775" t="str">
        <f t="shared" ca="1" si="62"/>
        <v>-</v>
      </c>
      <c r="N775" s="18" t="str">
        <f t="shared" si="63"/>
        <v>K768:L777</v>
      </c>
      <c r="O775" t="str">
        <f t="shared" si="64"/>
        <v>A768:A775</v>
      </c>
    </row>
    <row r="776" spans="1:15">
      <c r="A776" s="18" t="str">
        <f>Charms!K776</f>
        <v>Snake</v>
      </c>
      <c r="B776" t="str">
        <f>Charms!B776</f>
        <v>Countless Coils Evasion</v>
      </c>
      <c r="C776" t="b">
        <f ca="1">OR(Values!$S$98&gt;=Charms!M776,IFERROR(Charms!J776=OFFSET(Values!$A$24,MATCH("S",Values!$T$25:$T$50,0),0),FALSE))</f>
        <v>0</v>
      </c>
      <c r="D776" t="b">
        <f>VLOOKUP(Charms!J776,Values!$A$11:$S$59,19,0)&gt;=Charms!L776</f>
        <v>0</v>
      </c>
      <c r="E776" t="e">
        <f>OR(ISBLANK(Charms!I776),(VLOOKUP(Values!$S$6,Castes!$B$2:$F$25,4,0)=Charms!I776))</f>
        <v>#N/A</v>
      </c>
      <c r="J776" t="e">
        <f t="shared" ca="1" si="61"/>
        <v>#N/A</v>
      </c>
      <c r="K776" s="18" t="e">
        <f t="shared" ca="1" si="60"/>
        <v>#N/A</v>
      </c>
      <c r="L776" t="e">
        <f ca="1">IF(J776,Charms!B776,"")</f>
        <v>#N/A</v>
      </c>
      <c r="M776" t="str">
        <f t="shared" ca="1" si="62"/>
        <v>-</v>
      </c>
      <c r="N776" s="18" t="str">
        <f t="shared" si="63"/>
        <v>K768:L777</v>
      </c>
      <c r="O776" t="str">
        <f t="shared" si="64"/>
        <v>A768:A776</v>
      </c>
    </row>
    <row r="777" spans="1:15">
      <c r="A777" s="18" t="str">
        <f>Charms!K777</f>
        <v>Snake</v>
      </c>
      <c r="B777" t="str">
        <f>Charms!B777</f>
        <v>Essence Venom Strike</v>
      </c>
      <c r="C777" t="b">
        <f ca="1">OR(Values!$S$98&gt;=Charms!M777,IFERROR(Charms!J777=OFFSET(Values!$A$24,MATCH("S",Values!$T$25:$T$50,0),0),FALSE))</f>
        <v>0</v>
      </c>
      <c r="D777" t="b">
        <f>VLOOKUP(Charms!J777,Values!$A$11:$S$59,19,0)&gt;=Charms!L777</f>
        <v>0</v>
      </c>
      <c r="E777" t="e">
        <f>OR(ISBLANK(Charms!I777),(VLOOKUP(Values!$S$6,Castes!$B$2:$F$25,4,0)=Charms!I777))</f>
        <v>#N/A</v>
      </c>
      <c r="J777" t="e">
        <f t="shared" ca="1" si="61"/>
        <v>#N/A</v>
      </c>
      <c r="K777" s="18" t="e">
        <f t="shared" ca="1" si="60"/>
        <v>#N/A</v>
      </c>
      <c r="L777" t="e">
        <f ca="1">IF(J777,Charms!B777,"")</f>
        <v>#N/A</v>
      </c>
      <c r="M777" t="str">
        <f t="shared" ca="1" si="62"/>
        <v>-</v>
      </c>
      <c r="N777" s="18" t="str">
        <f t="shared" si="63"/>
        <v>K768:L777</v>
      </c>
      <c r="O777" t="str">
        <f t="shared" si="64"/>
        <v>A768:A777</v>
      </c>
    </row>
    <row r="778" spans="1:15">
      <c r="A778" s="18" t="str">
        <f>Charms!K778</f>
        <v>Steel Devil</v>
      </c>
      <c r="B778" t="str">
        <f>Charms!B778</f>
        <v>Naked Fang Draw</v>
      </c>
      <c r="C778" t="b">
        <f ca="1">OR(Values!$S$98&gt;=Charms!M778,IFERROR(Charms!J778=OFFSET(Values!$A$24,MATCH("S",Values!$T$25:$T$50,0),0),FALSE))</f>
        <v>1</v>
      </c>
      <c r="D778" t="b">
        <f>VLOOKUP(Charms!J778,Values!$A$11:$S$59,19,0)&gt;=Charms!L778</f>
        <v>0</v>
      </c>
      <c r="E778" t="e">
        <f>OR(ISBLANK(Charms!I778),(VLOOKUP(Values!$S$6,Castes!$B$2:$F$25,4,0)=Charms!I778))</f>
        <v>#N/A</v>
      </c>
      <c r="J778" t="e">
        <f t="shared" ca="1" si="61"/>
        <v>#N/A</v>
      </c>
      <c r="K778" s="18" t="e">
        <f t="shared" ca="1" si="60"/>
        <v>#N/A</v>
      </c>
      <c r="L778" t="e">
        <f ca="1">IF(J778,Charms!B778,"")</f>
        <v>#N/A</v>
      </c>
      <c r="M778" t="str">
        <f t="shared" ca="1" si="62"/>
        <v>-</v>
      </c>
      <c r="N778" s="18" t="str">
        <f t="shared" si="63"/>
        <v>K778:L790</v>
      </c>
      <c r="O778" t="str">
        <f t="shared" si="64"/>
        <v>A778:A778</v>
      </c>
    </row>
    <row r="779" spans="1:15">
      <c r="A779" s="18" t="str">
        <f>Charms!K779</f>
        <v>Steel Devil</v>
      </c>
      <c r="B779" t="str">
        <f>Charms!B779</f>
        <v>Double Attack Technique</v>
      </c>
      <c r="C779" t="b">
        <f ca="1">OR(Values!$S$98&gt;=Charms!M779,IFERROR(Charms!J779=OFFSET(Values!$A$24,MATCH("S",Values!$T$25:$T$50,0),0),FALSE))</f>
        <v>1</v>
      </c>
      <c r="D779" t="b">
        <f>VLOOKUP(Charms!J779,Values!$A$11:$S$59,19,0)&gt;=Charms!L779</f>
        <v>0</v>
      </c>
      <c r="E779" t="e">
        <f>OR(ISBLANK(Charms!I779),(VLOOKUP(Values!$S$6,Castes!$B$2:$F$25,4,0)=Charms!I779))</f>
        <v>#N/A</v>
      </c>
      <c r="J779" t="e">
        <f t="shared" ca="1" si="61"/>
        <v>#N/A</v>
      </c>
      <c r="K779" s="18" t="e">
        <f t="shared" ca="1" si="60"/>
        <v>#N/A</v>
      </c>
      <c r="L779" t="e">
        <f ca="1">IF(J779,Charms!B779,"")</f>
        <v>#N/A</v>
      </c>
      <c r="M779" t="str">
        <f t="shared" ca="1" si="62"/>
        <v>-</v>
      </c>
      <c r="N779" s="18" t="str">
        <f t="shared" si="63"/>
        <v>K778:L790</v>
      </c>
      <c r="O779" t="str">
        <f t="shared" si="64"/>
        <v>A778:A779</v>
      </c>
    </row>
    <row r="780" spans="1:15">
      <c r="A780" s="18" t="str">
        <f>Charms!K780</f>
        <v>Steel Devil</v>
      </c>
      <c r="B780" t="str">
        <f>Charms!B780</f>
        <v>Steel Devil Strike</v>
      </c>
      <c r="C780" t="b">
        <f ca="1">OR(Values!$S$98&gt;=Charms!M780,IFERROR(Charms!J780=OFFSET(Values!$A$24,MATCH("S",Values!$T$25:$T$50,0),0),FALSE))</f>
        <v>1</v>
      </c>
      <c r="D780" t="b">
        <f>VLOOKUP(Charms!J780,Values!$A$11:$S$59,19,0)&gt;=Charms!L780</f>
        <v>0</v>
      </c>
      <c r="E780" t="e">
        <f>OR(ISBLANK(Charms!I780),(VLOOKUP(Values!$S$6,Castes!$B$2:$F$25,4,0)=Charms!I780))</f>
        <v>#N/A</v>
      </c>
      <c r="J780" t="e">
        <f t="shared" ca="1" si="61"/>
        <v>#N/A</v>
      </c>
      <c r="K780" s="18" t="e">
        <f t="shared" ca="1" si="60"/>
        <v>#N/A</v>
      </c>
      <c r="L780" t="e">
        <f ca="1">IF(J780,Charms!B780,"")</f>
        <v>#N/A</v>
      </c>
      <c r="M780" t="str">
        <f t="shared" ca="1" si="62"/>
        <v>-</v>
      </c>
      <c r="N780" s="18" t="str">
        <f t="shared" si="63"/>
        <v>K778:L790</v>
      </c>
      <c r="O780" t="str">
        <f t="shared" si="64"/>
        <v>A778:A780</v>
      </c>
    </row>
    <row r="781" spans="1:15">
      <c r="A781" s="18" t="str">
        <f>Charms!K781</f>
        <v>Steel Devil</v>
      </c>
      <c r="B781" t="str">
        <f>Charms!B781</f>
        <v>Triple Attack Technique</v>
      </c>
      <c r="C781" t="b">
        <f ca="1">OR(Values!$S$98&gt;=Charms!M781,IFERROR(Charms!J781=OFFSET(Values!$A$24,MATCH("S",Values!$T$25:$T$50,0),0),FALSE))</f>
        <v>0</v>
      </c>
      <c r="D781" t="b">
        <f>VLOOKUP(Charms!J781,Values!$A$11:$S$59,19,0)&gt;=Charms!L781</f>
        <v>0</v>
      </c>
      <c r="E781" t="e">
        <f>OR(ISBLANK(Charms!I781),(VLOOKUP(Values!$S$6,Castes!$B$2:$F$25,4,0)=Charms!I781))</f>
        <v>#N/A</v>
      </c>
      <c r="J781" t="e">
        <f t="shared" ca="1" si="61"/>
        <v>#N/A</v>
      </c>
      <c r="K781" s="18" t="e">
        <f t="shared" ca="1" si="60"/>
        <v>#N/A</v>
      </c>
      <c r="L781" t="e">
        <f ca="1">IF(J781,Charms!B781,"")</f>
        <v>#N/A</v>
      </c>
      <c r="M781" t="str">
        <f t="shared" ca="1" si="62"/>
        <v>-</v>
      </c>
      <c r="N781" s="18" t="str">
        <f t="shared" si="63"/>
        <v>K778:L790</v>
      </c>
      <c r="O781" t="str">
        <f t="shared" si="64"/>
        <v>A778:A781</v>
      </c>
    </row>
    <row r="782" spans="1:15">
      <c r="A782" s="18" t="str">
        <f>Charms!K782</f>
        <v>Steel Devil</v>
      </c>
      <c r="B782" t="str">
        <f>Charms!B782</f>
        <v>Steel Devil Form</v>
      </c>
      <c r="C782" t="b">
        <f ca="1">OR(Values!$S$98&gt;=Charms!M782,IFERROR(Charms!J782=OFFSET(Values!$A$24,MATCH("S",Values!$T$25:$T$50,0),0),FALSE))</f>
        <v>1</v>
      </c>
      <c r="D782" t="b">
        <f>VLOOKUP(Charms!J782,Values!$A$11:$S$59,19,0)&gt;=Charms!L782</f>
        <v>0</v>
      </c>
      <c r="E782" t="e">
        <f>OR(ISBLANK(Charms!I782),(VLOOKUP(Values!$S$6,Castes!$B$2:$F$25,4,0)=Charms!I782))</f>
        <v>#N/A</v>
      </c>
      <c r="J782" t="e">
        <f t="shared" ca="1" si="61"/>
        <v>#N/A</v>
      </c>
      <c r="K782" s="18" t="e">
        <f t="shared" ca="1" si="60"/>
        <v>#N/A</v>
      </c>
      <c r="L782" t="e">
        <f ca="1">IF(J782,Charms!B782,"")</f>
        <v>#N/A</v>
      </c>
      <c r="M782" t="str">
        <f t="shared" ca="1" si="62"/>
        <v>-</v>
      </c>
      <c r="N782" s="18" t="str">
        <f t="shared" si="63"/>
        <v>K778:L790</v>
      </c>
      <c r="O782" t="str">
        <f t="shared" si="64"/>
        <v>A778:A782</v>
      </c>
    </row>
    <row r="783" spans="1:15">
      <c r="A783" s="18" t="str">
        <f>Charms!K783</f>
        <v>Steel Devil</v>
      </c>
      <c r="B783" t="str">
        <f>Charms!B783</f>
        <v>Seconds Between Strife</v>
      </c>
      <c r="C783" t="b">
        <f ca="1">OR(Values!$S$98&gt;=Charms!M783,IFERROR(Charms!J783=OFFSET(Values!$A$24,MATCH("S",Values!$T$25:$T$50,0),0),FALSE))</f>
        <v>0</v>
      </c>
      <c r="D783" t="b">
        <f>VLOOKUP(Charms!J783,Values!$A$11:$S$59,19,0)&gt;=Charms!L783</f>
        <v>0</v>
      </c>
      <c r="E783" t="e">
        <f>OR(ISBLANK(Charms!I783),(VLOOKUP(Values!$S$6,Castes!$B$2:$F$25,4,0)=Charms!I783))</f>
        <v>#N/A</v>
      </c>
      <c r="J783" t="e">
        <f t="shared" ca="1" si="61"/>
        <v>#N/A</v>
      </c>
      <c r="K783" s="18" t="e">
        <f t="shared" ca="1" si="60"/>
        <v>#N/A</v>
      </c>
      <c r="L783" t="e">
        <f ca="1">IF(J783,Charms!B783,"")</f>
        <v>#N/A</v>
      </c>
      <c r="M783" t="str">
        <f t="shared" ca="1" si="62"/>
        <v>-</v>
      </c>
      <c r="N783" s="18" t="str">
        <f t="shared" si="63"/>
        <v>K778:L790</v>
      </c>
      <c r="O783" t="str">
        <f t="shared" si="64"/>
        <v>A778:A783</v>
      </c>
    </row>
    <row r="784" spans="1:15">
      <c r="A784" s="18" t="str">
        <f>Charms!K784</f>
        <v>Steel Devil</v>
      </c>
      <c r="B784" t="str">
        <f>Charms!B784</f>
        <v>Sonic Slash</v>
      </c>
      <c r="C784" t="b">
        <f ca="1">OR(Values!$S$98&gt;=Charms!M784,IFERROR(Charms!J784=OFFSET(Values!$A$24,MATCH("S",Values!$T$25:$T$50,0),0),FALSE))</f>
        <v>0</v>
      </c>
      <c r="D784" t="b">
        <f>VLOOKUP(Charms!J784,Values!$A$11:$S$59,19,0)&gt;=Charms!L784</f>
        <v>0</v>
      </c>
      <c r="E784" t="e">
        <f>OR(ISBLANK(Charms!I784),(VLOOKUP(Values!$S$6,Castes!$B$2:$F$25,4,0)=Charms!I784))</f>
        <v>#N/A</v>
      </c>
      <c r="J784" t="e">
        <f t="shared" ca="1" si="61"/>
        <v>#N/A</v>
      </c>
      <c r="K784" s="18" t="e">
        <f t="shared" ca="1" si="60"/>
        <v>#N/A</v>
      </c>
      <c r="L784" t="e">
        <f ca="1">IF(J784,Charms!B784,"")</f>
        <v>#N/A</v>
      </c>
      <c r="M784" t="str">
        <f t="shared" ca="1" si="62"/>
        <v>-</v>
      </c>
      <c r="N784" s="18" t="str">
        <f t="shared" si="63"/>
        <v>K778:L790</v>
      </c>
      <c r="O784" t="str">
        <f t="shared" si="64"/>
        <v>A778:A784</v>
      </c>
    </row>
    <row r="785" spans="1:15">
      <c r="A785" s="18" t="str">
        <f>Charms!K785</f>
        <v>Steel Devil</v>
      </c>
      <c r="B785" t="str">
        <f>Charms!B785</f>
        <v>Dual-Slaying Stance</v>
      </c>
      <c r="C785" t="b">
        <f ca="1">OR(Values!$S$98&gt;=Charms!M785,IFERROR(Charms!J785=OFFSET(Values!$A$24,MATCH("S",Values!$T$25:$T$50,0),0),FALSE))</f>
        <v>0</v>
      </c>
      <c r="D785" t="b">
        <f>VLOOKUP(Charms!J785,Values!$A$11:$S$59,19,0)&gt;=Charms!L785</f>
        <v>0</v>
      </c>
      <c r="E785" t="e">
        <f>OR(ISBLANK(Charms!I785),(VLOOKUP(Values!$S$6,Castes!$B$2:$F$25,4,0)=Charms!I785))</f>
        <v>#N/A</v>
      </c>
      <c r="J785" t="e">
        <f t="shared" ca="1" si="61"/>
        <v>#N/A</v>
      </c>
      <c r="K785" s="18" t="e">
        <f t="shared" ca="1" si="60"/>
        <v>#N/A</v>
      </c>
      <c r="L785" t="e">
        <f ca="1">IF(J785,Charms!B785,"")</f>
        <v>#N/A</v>
      </c>
      <c r="M785" t="str">
        <f t="shared" ca="1" si="62"/>
        <v>-</v>
      </c>
      <c r="N785" s="18" t="str">
        <f t="shared" si="63"/>
        <v>K778:L790</v>
      </c>
      <c r="O785" t="str">
        <f t="shared" si="64"/>
        <v>A778:A785</v>
      </c>
    </row>
    <row r="786" spans="1:15">
      <c r="A786" s="18" t="str">
        <f>Charms!K786</f>
        <v>Steel Devil</v>
      </c>
      <c r="B786" t="str">
        <f>Charms!B786</f>
        <v>Twin-Blade Defense</v>
      </c>
      <c r="C786" t="b">
        <f ca="1">OR(Values!$S$98&gt;=Charms!M786,IFERROR(Charms!J786=OFFSET(Values!$A$24,MATCH("S",Values!$T$25:$T$50,0),0),FALSE))</f>
        <v>0</v>
      </c>
      <c r="D786" t="b">
        <f>VLOOKUP(Charms!J786,Values!$A$11:$S$59,19,0)&gt;=Charms!L786</f>
        <v>0</v>
      </c>
      <c r="E786" t="e">
        <f>OR(ISBLANK(Charms!I786),(VLOOKUP(Values!$S$6,Castes!$B$2:$F$25,4,0)=Charms!I786))</f>
        <v>#N/A</v>
      </c>
      <c r="J786" t="e">
        <f t="shared" ca="1" si="61"/>
        <v>#N/A</v>
      </c>
      <c r="K786" s="18" t="e">
        <f t="shared" ca="1" si="60"/>
        <v>#N/A</v>
      </c>
      <c r="L786" t="e">
        <f ca="1">IF(J786,Charms!B786,"")</f>
        <v>#N/A</v>
      </c>
      <c r="M786" t="str">
        <f t="shared" ca="1" si="62"/>
        <v>-</v>
      </c>
      <c r="N786" s="18" t="str">
        <f t="shared" si="63"/>
        <v>K778:L790</v>
      </c>
      <c r="O786" t="str">
        <f t="shared" si="64"/>
        <v>A778:A786</v>
      </c>
    </row>
    <row r="787" spans="1:15">
      <c r="A787" s="18" t="str">
        <f>Charms!K787</f>
        <v>Steel Devil</v>
      </c>
      <c r="B787" t="str">
        <f>Charms!B787</f>
        <v>Iron Lotus Unfurling</v>
      </c>
      <c r="C787" t="b">
        <f ca="1">OR(Values!$S$98&gt;=Charms!M787,IFERROR(Charms!J787=OFFSET(Values!$A$24,MATCH("S",Values!$T$25:$T$50,0),0),FALSE))</f>
        <v>0</v>
      </c>
      <c r="D787" t="b">
        <f>VLOOKUP(Charms!J787,Values!$A$11:$S$59,19,0)&gt;=Charms!L787</f>
        <v>0</v>
      </c>
      <c r="E787" t="e">
        <f>OR(ISBLANK(Charms!I787),(VLOOKUP(Values!$S$6,Castes!$B$2:$F$25,4,0)=Charms!I787))</f>
        <v>#N/A</v>
      </c>
      <c r="J787" t="e">
        <f t="shared" ca="1" si="61"/>
        <v>#N/A</v>
      </c>
      <c r="K787" s="18" t="e">
        <f t="shared" ca="1" si="60"/>
        <v>#N/A</v>
      </c>
      <c r="L787" t="e">
        <f ca="1">IF(J787,Charms!B787,"")</f>
        <v>#N/A</v>
      </c>
      <c r="M787" t="str">
        <f t="shared" ca="1" si="62"/>
        <v>-</v>
      </c>
      <c r="N787" s="18" t="str">
        <f t="shared" si="63"/>
        <v>K778:L790</v>
      </c>
      <c r="O787" t="str">
        <f t="shared" si="64"/>
        <v>A778:A787</v>
      </c>
    </row>
    <row r="788" spans="1:15">
      <c r="A788" s="18" t="str">
        <f>Charms!K788</f>
        <v>Steel Devil</v>
      </c>
      <c r="B788" t="str">
        <f>Charms!B788</f>
        <v>Empty Mind Strike</v>
      </c>
      <c r="C788" t="b">
        <f ca="1">OR(Values!$S$98&gt;=Charms!M788,IFERROR(Charms!J788=OFFSET(Values!$A$24,MATCH("S",Values!$T$25:$T$50,0),0),FALSE))</f>
        <v>0</v>
      </c>
      <c r="D788" t="b">
        <f>VLOOKUP(Charms!J788,Values!$A$11:$S$59,19,0)&gt;=Charms!L788</f>
        <v>0</v>
      </c>
      <c r="E788" t="e">
        <f>OR(ISBLANK(Charms!I788),(VLOOKUP(Values!$S$6,Castes!$B$2:$F$25,4,0)=Charms!I788))</f>
        <v>#N/A</v>
      </c>
      <c r="J788" t="e">
        <f t="shared" ca="1" si="61"/>
        <v>#N/A</v>
      </c>
      <c r="K788" s="18" t="e">
        <f t="shared" ca="1" si="60"/>
        <v>#N/A</v>
      </c>
      <c r="L788" t="e">
        <f ca="1">IF(J788,Charms!B788,"")</f>
        <v>#N/A</v>
      </c>
      <c r="M788" t="str">
        <f t="shared" ca="1" si="62"/>
        <v>-</v>
      </c>
      <c r="N788" s="18" t="str">
        <f t="shared" si="63"/>
        <v>K778:L790</v>
      </c>
      <c r="O788" t="str">
        <f t="shared" si="64"/>
        <v>A778:A788</v>
      </c>
    </row>
    <row r="789" spans="1:15">
      <c r="A789" s="18" t="str">
        <f>Charms!K789</f>
        <v>Steel Devil</v>
      </c>
      <c r="B789" t="str">
        <f>Charms!B789</f>
        <v>Dervish Blade Frenzy</v>
      </c>
      <c r="C789" t="b">
        <f ca="1">OR(Values!$S$98&gt;=Charms!M789,IFERROR(Charms!J789=OFFSET(Values!$A$24,MATCH("S",Values!$T$25:$T$50,0),0),FALSE))</f>
        <v>0</v>
      </c>
      <c r="D789" t="b">
        <f>VLOOKUP(Charms!J789,Values!$A$11:$S$59,19,0)&gt;=Charms!L789</f>
        <v>0</v>
      </c>
      <c r="E789" t="e">
        <f>OR(ISBLANK(Charms!I789),(VLOOKUP(Values!$S$6,Castes!$B$2:$F$25,4,0)=Charms!I789))</f>
        <v>#N/A</v>
      </c>
      <c r="J789" t="e">
        <f t="shared" ca="1" si="61"/>
        <v>#N/A</v>
      </c>
      <c r="K789" s="18" t="e">
        <f t="shared" ca="1" si="60"/>
        <v>#N/A</v>
      </c>
      <c r="L789" t="e">
        <f ca="1">IF(J789,Charms!B789,"")</f>
        <v>#N/A</v>
      </c>
      <c r="M789" t="str">
        <f t="shared" ca="1" si="62"/>
        <v>-</v>
      </c>
      <c r="N789" s="18" t="str">
        <f t="shared" si="63"/>
        <v>K778:L790</v>
      </c>
      <c r="O789" t="str">
        <f t="shared" si="64"/>
        <v>A778:A789</v>
      </c>
    </row>
    <row r="790" spans="1:15">
      <c r="A790" s="18" t="str">
        <f>Charms!K790</f>
        <v>Steel Devil</v>
      </c>
      <c r="B790" t="str">
        <f>Charms!B790</f>
        <v>Whirling Guillotine Dance</v>
      </c>
      <c r="C790" t="b">
        <f ca="1">OR(Values!$S$98&gt;=Charms!M790,IFERROR(Charms!J790=OFFSET(Values!$A$24,MATCH("S",Values!$T$25:$T$50,0),0),FALSE))</f>
        <v>0</v>
      </c>
      <c r="D790" t="b">
        <f>VLOOKUP(Charms!J790,Values!$A$11:$S$59,19,0)&gt;=Charms!L790</f>
        <v>0</v>
      </c>
      <c r="E790" t="e">
        <f>OR(ISBLANK(Charms!I790),(VLOOKUP(Values!$S$6,Castes!$B$2:$F$25,4,0)=Charms!I790))</f>
        <v>#N/A</v>
      </c>
      <c r="J790" t="e">
        <f t="shared" ca="1" si="61"/>
        <v>#N/A</v>
      </c>
      <c r="K790" s="18" t="e">
        <f t="shared" ca="1" si="60"/>
        <v>#N/A</v>
      </c>
      <c r="L790" t="e">
        <f ca="1">IF(J790,Charms!B790,"")</f>
        <v>#N/A</v>
      </c>
      <c r="M790" t="str">
        <f t="shared" ca="1" si="62"/>
        <v>-</v>
      </c>
      <c r="N790" s="18" t="str">
        <f t="shared" si="63"/>
        <v>K778:L790</v>
      </c>
      <c r="O790" t="str">
        <f t="shared" si="64"/>
        <v>A778:A790</v>
      </c>
    </row>
    <row r="791" spans="1:15">
      <c r="A791" s="18" t="str">
        <f>Charms!K791</f>
        <v>SV Nightingale</v>
      </c>
      <c r="B791" t="str">
        <f>Charms!B791</f>
        <v>Voice of the Night Bird</v>
      </c>
      <c r="C791" t="b">
        <f ca="1">OR(Values!$S$98&gt;=Charms!M791,IFERROR(Charms!J791=OFFSET(Values!$A$24,MATCH("S",Values!$T$25:$T$50,0),0),FALSE))</f>
        <v>1</v>
      </c>
      <c r="D791" t="b">
        <f>VLOOKUP(Charms!J791,Values!$A$11:$S$59,19,0)&gt;=Charms!L791</f>
        <v>0</v>
      </c>
      <c r="E791" t="e">
        <f>OR(ISBLANK(Charms!I791),(VLOOKUP(Values!$S$6,Castes!$B$2:$F$25,4,0)=Charms!I791))</f>
        <v>#N/A</v>
      </c>
      <c r="J791" t="e">
        <f t="shared" ca="1" si="61"/>
        <v>#N/A</v>
      </c>
      <c r="K791" s="18" t="e">
        <f t="shared" ca="1" si="60"/>
        <v>#N/A</v>
      </c>
      <c r="L791" t="e">
        <f ca="1">IF(J791,Charms!B791,"")</f>
        <v>#N/A</v>
      </c>
      <c r="M791" t="str">
        <f t="shared" ca="1" si="62"/>
        <v>-</v>
      </c>
      <c r="N791" s="18" t="str">
        <f t="shared" si="63"/>
        <v>K791:L801</v>
      </c>
      <c r="O791" t="str">
        <f t="shared" si="64"/>
        <v>A791:A791</v>
      </c>
    </row>
    <row r="792" spans="1:15">
      <c r="A792" s="18" t="str">
        <f>Charms!K792</f>
        <v>SV Nightingale</v>
      </c>
      <c r="B792" t="str">
        <f>Charms!B792</f>
        <v>Inspiring Battle Hymn</v>
      </c>
      <c r="C792" t="b">
        <f ca="1">OR(Values!$S$98&gt;=Charms!M792,IFERROR(Charms!J792=OFFSET(Values!$A$24,MATCH("S",Values!$T$25:$T$50,0),0),FALSE))</f>
        <v>1</v>
      </c>
      <c r="D792" t="b">
        <f>VLOOKUP(Charms!J792,Values!$A$11:$S$59,19,0)&gt;=Charms!L792</f>
        <v>0</v>
      </c>
      <c r="E792" t="e">
        <f>OR(ISBLANK(Charms!I792),(VLOOKUP(Values!$S$6,Castes!$B$2:$F$25,4,0)=Charms!I792))</f>
        <v>#N/A</v>
      </c>
      <c r="J792" t="e">
        <f t="shared" ca="1" si="61"/>
        <v>#N/A</v>
      </c>
      <c r="K792" s="18" t="e">
        <f t="shared" ca="1" si="60"/>
        <v>#N/A</v>
      </c>
      <c r="L792" t="e">
        <f ca="1">IF(J792,Charms!B792,"")</f>
        <v>#N/A</v>
      </c>
      <c r="M792" t="str">
        <f t="shared" ca="1" si="62"/>
        <v>-</v>
      </c>
      <c r="N792" s="18" t="str">
        <f t="shared" si="63"/>
        <v>K791:L801</v>
      </c>
      <c r="O792" t="str">
        <f t="shared" si="64"/>
        <v>A791:A792</v>
      </c>
    </row>
    <row r="793" spans="1:15">
      <c r="A793" s="18" t="str">
        <f>Charms!K793</f>
        <v>SV Nightingale</v>
      </c>
      <c r="B793" t="str">
        <f>Charms!B793</f>
        <v>Terrifying Battle Shriek</v>
      </c>
      <c r="C793" t="b">
        <f ca="1">OR(Values!$S$98&gt;=Charms!M793,IFERROR(Charms!J793=OFFSET(Values!$A$24,MATCH("S",Values!$T$25:$T$50,0),0),FALSE))</f>
        <v>1</v>
      </c>
      <c r="D793" t="b">
        <f>VLOOKUP(Charms!J793,Values!$A$11:$S$59,19,0)&gt;=Charms!L793</f>
        <v>0</v>
      </c>
      <c r="E793" t="e">
        <f>OR(ISBLANK(Charms!I793),(VLOOKUP(Values!$S$6,Castes!$B$2:$F$25,4,0)=Charms!I793))</f>
        <v>#N/A</v>
      </c>
      <c r="J793" t="e">
        <f t="shared" ca="1" si="61"/>
        <v>#N/A</v>
      </c>
      <c r="K793" s="18" t="e">
        <f t="shared" ca="1" si="60"/>
        <v>#N/A</v>
      </c>
      <c r="L793" t="e">
        <f ca="1">IF(J793,Charms!B793,"")</f>
        <v>#N/A</v>
      </c>
      <c r="M793" t="str">
        <f t="shared" ca="1" si="62"/>
        <v>-</v>
      </c>
      <c r="N793" s="18" t="str">
        <f t="shared" si="63"/>
        <v>K791:L801</v>
      </c>
      <c r="O793" t="str">
        <f t="shared" si="64"/>
        <v>A791:A793</v>
      </c>
    </row>
    <row r="794" spans="1:15">
      <c r="A794" s="18" t="str">
        <f>Charms!K794</f>
        <v>SV Nightingale</v>
      </c>
      <c r="B794" t="str">
        <f>Charms!B794</f>
        <v>Silver-Voiced Nightingale Form</v>
      </c>
      <c r="C794" t="b">
        <f ca="1">OR(Values!$S$98&gt;=Charms!M794,IFERROR(Charms!J794=OFFSET(Values!$A$24,MATCH("S",Values!$T$25:$T$50,0),0),FALSE))</f>
        <v>1</v>
      </c>
      <c r="D794" t="b">
        <f>VLOOKUP(Charms!J794,Values!$A$11:$S$59,19,0)&gt;=Charms!L794</f>
        <v>0</v>
      </c>
      <c r="E794" t="e">
        <f>OR(ISBLANK(Charms!I794),(VLOOKUP(Values!$S$6,Castes!$B$2:$F$25,4,0)=Charms!I794))</f>
        <v>#N/A</v>
      </c>
      <c r="J794" t="e">
        <f t="shared" ca="1" si="61"/>
        <v>#N/A</v>
      </c>
      <c r="K794" s="18" t="e">
        <f t="shared" ca="1" si="60"/>
        <v>#N/A</v>
      </c>
      <c r="L794" t="e">
        <f ca="1">IF(J794,Charms!B794,"")</f>
        <v>#N/A</v>
      </c>
      <c r="M794" t="str">
        <f t="shared" ca="1" si="62"/>
        <v>-</v>
      </c>
      <c r="N794" s="18" t="str">
        <f t="shared" si="63"/>
        <v>K791:L801</v>
      </c>
      <c r="O794" t="str">
        <f t="shared" si="64"/>
        <v>A791:A794</v>
      </c>
    </row>
    <row r="795" spans="1:15">
      <c r="A795" s="18" t="str">
        <f>Charms!K795</f>
        <v>SV Nightingale</v>
      </c>
      <c r="B795" t="str">
        <f>Charms!B795</f>
        <v>Hearing the Heart's Song</v>
      </c>
      <c r="C795" t="b">
        <f ca="1">OR(Values!$S$98&gt;=Charms!M795,IFERROR(Charms!J795=OFFSET(Values!$A$24,MATCH("S",Values!$T$25:$T$50,0),0),FALSE))</f>
        <v>0</v>
      </c>
      <c r="D795" t="b">
        <f>VLOOKUP(Charms!J795,Values!$A$11:$S$59,19,0)&gt;=Charms!L795</f>
        <v>0</v>
      </c>
      <c r="E795" t="e">
        <f>OR(ISBLANK(Charms!I795),(VLOOKUP(Values!$S$6,Castes!$B$2:$F$25,4,0)=Charms!I795))</f>
        <v>#N/A</v>
      </c>
      <c r="J795" t="e">
        <f t="shared" ca="1" si="61"/>
        <v>#N/A</v>
      </c>
      <c r="K795" s="18" t="e">
        <f t="shared" ca="1" si="60"/>
        <v>#N/A</v>
      </c>
      <c r="L795" t="e">
        <f ca="1">IF(J795,Charms!B795,"")</f>
        <v>#N/A</v>
      </c>
      <c r="M795" t="str">
        <f t="shared" ca="1" si="62"/>
        <v>-</v>
      </c>
      <c r="N795" s="18" t="str">
        <f t="shared" si="63"/>
        <v>K791:L801</v>
      </c>
      <c r="O795" t="str">
        <f t="shared" si="64"/>
        <v>A791:A795</v>
      </c>
    </row>
    <row r="796" spans="1:15">
      <c r="A796" s="18" t="str">
        <f>Charms!K796</f>
        <v>SV Nightingale</v>
      </c>
      <c r="B796" t="str">
        <f>Charms!B796</f>
        <v>Haunting Heart-Rending Melody</v>
      </c>
      <c r="C796" t="b">
        <f ca="1">OR(Values!$S$98&gt;=Charms!M796,IFERROR(Charms!J796=OFFSET(Values!$A$24,MATCH("S",Values!$T$25:$T$50,0),0),FALSE))</f>
        <v>0</v>
      </c>
      <c r="D796" t="b">
        <f>VLOOKUP(Charms!J796,Values!$A$11:$S$59,19,0)&gt;=Charms!L796</f>
        <v>0</v>
      </c>
      <c r="E796" t="e">
        <f>OR(ISBLANK(Charms!I796),(VLOOKUP(Values!$S$6,Castes!$B$2:$F$25,4,0)=Charms!I796))</f>
        <v>#N/A</v>
      </c>
      <c r="J796" t="e">
        <f t="shared" ca="1" si="61"/>
        <v>#N/A</v>
      </c>
      <c r="K796" s="18" t="e">
        <f t="shared" ca="1" si="60"/>
        <v>#N/A</v>
      </c>
      <c r="L796" t="e">
        <f ca="1">IF(J796,Charms!B796,"")</f>
        <v>#N/A</v>
      </c>
      <c r="M796" t="str">
        <f t="shared" ca="1" si="62"/>
        <v>-</v>
      </c>
      <c r="N796" s="18" t="str">
        <f t="shared" si="63"/>
        <v>K791:L801</v>
      </c>
      <c r="O796" t="str">
        <f t="shared" si="64"/>
        <v>A791:A796</v>
      </c>
    </row>
    <row r="797" spans="1:15">
      <c r="A797" s="18" t="str">
        <f>Charms!K797</f>
        <v>SV Nightingale</v>
      </c>
      <c r="B797" t="str">
        <f>Charms!B797</f>
        <v>Flashing Blade Harmony</v>
      </c>
      <c r="C797" t="b">
        <f ca="1">OR(Values!$S$98&gt;=Charms!M797,IFERROR(Charms!J797=OFFSET(Values!$A$24,MATCH("S",Values!$T$25:$T$50,0),0),FALSE))</f>
        <v>0</v>
      </c>
      <c r="D797" t="b">
        <f>VLOOKUP(Charms!J797,Values!$A$11:$S$59,19,0)&gt;=Charms!L797</f>
        <v>0</v>
      </c>
      <c r="E797" t="e">
        <f>OR(ISBLANK(Charms!I797),(VLOOKUP(Values!$S$6,Castes!$B$2:$F$25,4,0)=Charms!I797))</f>
        <v>#N/A</v>
      </c>
      <c r="J797" t="e">
        <f t="shared" ca="1" si="61"/>
        <v>#N/A</v>
      </c>
      <c r="K797" s="18" t="e">
        <f t="shared" ca="1" si="60"/>
        <v>#N/A</v>
      </c>
      <c r="L797" t="e">
        <f ca="1">IF(J797,Charms!B797,"")</f>
        <v>#N/A</v>
      </c>
      <c r="M797" t="str">
        <f t="shared" ca="1" si="62"/>
        <v>-</v>
      </c>
      <c r="N797" s="18" t="str">
        <f t="shared" si="63"/>
        <v>K791:L801</v>
      </c>
      <c r="O797" t="str">
        <f t="shared" si="64"/>
        <v>A791:A797</v>
      </c>
    </row>
    <row r="798" spans="1:15">
      <c r="A798" s="18" t="str">
        <f>Charms!K798</f>
        <v>SV Nightingale</v>
      </c>
      <c r="B798" t="str">
        <f>Charms!B798</f>
        <v>Harmony in Opposition Stance</v>
      </c>
      <c r="C798" t="b">
        <f ca="1">OR(Values!$S$98&gt;=Charms!M798,IFERROR(Charms!J798=OFFSET(Values!$A$24,MATCH("S",Values!$T$25:$T$50,0),0),FALSE))</f>
        <v>0</v>
      </c>
      <c r="D798" t="b">
        <f>VLOOKUP(Charms!J798,Values!$A$11:$S$59,19,0)&gt;=Charms!L798</f>
        <v>0</v>
      </c>
      <c r="E798" t="e">
        <f>OR(ISBLANK(Charms!I798),(VLOOKUP(Values!$S$6,Castes!$B$2:$F$25,4,0)=Charms!I798))</f>
        <v>#N/A</v>
      </c>
      <c r="J798" t="e">
        <f t="shared" ca="1" si="61"/>
        <v>#N/A</v>
      </c>
      <c r="K798" s="18" t="e">
        <f t="shared" ca="1" si="60"/>
        <v>#N/A</v>
      </c>
      <c r="L798" t="e">
        <f ca="1">IF(J798,Charms!B798,"")</f>
        <v>#N/A</v>
      </c>
      <c r="M798" t="str">
        <f t="shared" ca="1" si="62"/>
        <v>-</v>
      </c>
      <c r="N798" s="18" t="str">
        <f t="shared" si="63"/>
        <v>K791:L801</v>
      </c>
      <c r="O798" t="str">
        <f t="shared" si="64"/>
        <v>A791:A798</v>
      </c>
    </row>
    <row r="799" spans="1:15">
      <c r="A799" s="18" t="str">
        <f>Charms!K799</f>
        <v>SV Nightingale</v>
      </c>
      <c r="B799" t="str">
        <f>Charms!B799</f>
        <v>Resounding Songbird's Cry</v>
      </c>
      <c r="C799" t="b">
        <f ca="1">OR(Values!$S$98&gt;=Charms!M799,IFERROR(Charms!J799=OFFSET(Values!$A$24,MATCH("S",Values!$T$25:$T$50,0),0),FALSE))</f>
        <v>0</v>
      </c>
      <c r="D799" t="b">
        <f>VLOOKUP(Charms!J799,Values!$A$11:$S$59,19,0)&gt;=Charms!L799</f>
        <v>0</v>
      </c>
      <c r="E799" t="e">
        <f>OR(ISBLANK(Charms!I799),(VLOOKUP(Values!$S$6,Castes!$B$2:$F$25,4,0)=Charms!I799))</f>
        <v>#N/A</v>
      </c>
      <c r="J799" t="e">
        <f t="shared" ca="1" si="61"/>
        <v>#N/A</v>
      </c>
      <c r="K799" s="18" t="e">
        <f t="shared" ca="1" si="60"/>
        <v>#N/A</v>
      </c>
      <c r="L799" t="e">
        <f ca="1">IF(J799,Charms!B799,"")</f>
        <v>#N/A</v>
      </c>
      <c r="M799" t="str">
        <f t="shared" ca="1" si="62"/>
        <v>-</v>
      </c>
      <c r="N799" s="18" t="str">
        <f t="shared" si="63"/>
        <v>K791:L801</v>
      </c>
      <c r="O799" t="str">
        <f t="shared" si="64"/>
        <v>A791:A799</v>
      </c>
    </row>
    <row r="800" spans="1:15">
      <c r="A800" s="18" t="str">
        <f>Charms!K800</f>
        <v>SV Nightingale</v>
      </c>
      <c r="B800" t="str">
        <f>Charms!B800</f>
        <v>Aria of Victory</v>
      </c>
      <c r="C800" t="b">
        <f ca="1">OR(Values!$S$98&gt;=Charms!M800,IFERROR(Charms!J800=OFFSET(Values!$A$24,MATCH("S",Values!$T$25:$T$50,0),0),FALSE))</f>
        <v>0</v>
      </c>
      <c r="D800" t="b">
        <f>VLOOKUP(Charms!J800,Values!$A$11:$S$59,19,0)&gt;=Charms!L800</f>
        <v>0</v>
      </c>
      <c r="E800" t="e">
        <f>OR(ISBLANK(Charms!I800),(VLOOKUP(Values!$S$6,Castes!$B$2:$F$25,4,0)=Charms!I800))</f>
        <v>#N/A</v>
      </c>
      <c r="J800" t="e">
        <f t="shared" ca="1" si="61"/>
        <v>#N/A</v>
      </c>
      <c r="K800" s="18" t="e">
        <f t="shared" ca="1" si="60"/>
        <v>#N/A</v>
      </c>
      <c r="L800" t="e">
        <f ca="1">IF(J800,Charms!B800,"")</f>
        <v>#N/A</v>
      </c>
      <c r="M800" t="str">
        <f t="shared" ca="1" si="62"/>
        <v>-</v>
      </c>
      <c r="N800" s="18" t="str">
        <f t="shared" si="63"/>
        <v>K791:L801</v>
      </c>
      <c r="O800" t="str">
        <f t="shared" si="64"/>
        <v>A791:A800</v>
      </c>
    </row>
    <row r="801" spans="1:15">
      <c r="A801" s="18" t="str">
        <f>Charms!K801</f>
        <v>SV Nightingale</v>
      </c>
      <c r="B801" t="str">
        <f>Charms!B801</f>
        <v>Shattering Discord Cacophony</v>
      </c>
      <c r="C801" t="b">
        <f ca="1">OR(Values!$S$98&gt;=Charms!M801,IFERROR(Charms!J801=OFFSET(Values!$A$24,MATCH("S",Values!$T$25:$T$50,0),0),FALSE))</f>
        <v>0</v>
      </c>
      <c r="D801" t="b">
        <f>VLOOKUP(Charms!J801,Values!$A$11:$S$59,19,0)&gt;=Charms!L801</f>
        <v>0</v>
      </c>
      <c r="E801" t="e">
        <f>OR(ISBLANK(Charms!I801),(VLOOKUP(Values!$S$6,Castes!$B$2:$F$25,4,0)=Charms!I801))</f>
        <v>#N/A</v>
      </c>
      <c r="J801" t="e">
        <f t="shared" ca="1" si="61"/>
        <v>#N/A</v>
      </c>
      <c r="K801" s="18" t="e">
        <f t="shared" ca="1" si="60"/>
        <v>#N/A</v>
      </c>
      <c r="L801" t="e">
        <f ca="1">IF(J801,Charms!B801,"")</f>
        <v>#N/A</v>
      </c>
      <c r="M801" t="str">
        <f t="shared" ca="1" si="62"/>
        <v>-</v>
      </c>
      <c r="N801" s="18" t="str">
        <f t="shared" si="63"/>
        <v>K791:L801</v>
      </c>
      <c r="O801" t="str">
        <f t="shared" si="64"/>
        <v>A791:A801</v>
      </c>
    </row>
    <row r="802" spans="1:15">
      <c r="A802" s="18" t="str">
        <f>Charms!K802</f>
        <v>Tiger</v>
      </c>
      <c r="B802" t="str">
        <f>Charms!B802</f>
        <v>Crimson Leaping Cat Technique</v>
      </c>
      <c r="C802" t="b">
        <f ca="1">OR(Values!$S$98&gt;=Charms!M802,IFERROR(Charms!J802=OFFSET(Values!$A$24,MATCH("S",Values!$T$25:$T$50,0),0),FALSE))</f>
        <v>1</v>
      </c>
      <c r="D802" t="b">
        <f>VLOOKUP(Charms!J802,Values!$A$11:$S$59,19,0)&gt;=Charms!L802</f>
        <v>0</v>
      </c>
      <c r="E802" t="e">
        <f>OR(ISBLANK(Charms!I802),(VLOOKUP(Values!$S$6,Castes!$B$2:$F$25,4,0)=Charms!I802))</f>
        <v>#N/A</v>
      </c>
      <c r="J802" t="e">
        <f t="shared" ca="1" si="61"/>
        <v>#N/A</v>
      </c>
      <c r="K802" s="18" t="e">
        <f t="shared" ca="1" si="60"/>
        <v>#N/A</v>
      </c>
      <c r="L802" t="e">
        <f ca="1">IF(J802,Charms!B802,"")</f>
        <v>#N/A</v>
      </c>
      <c r="M802" t="str">
        <f t="shared" ca="1" si="62"/>
        <v>-</v>
      </c>
      <c r="N802" s="18" t="str">
        <f t="shared" si="63"/>
        <v>K802:L812</v>
      </c>
      <c r="O802" t="str">
        <f t="shared" si="64"/>
        <v>A802:A802</v>
      </c>
    </row>
    <row r="803" spans="1:15">
      <c r="A803" s="18" t="str">
        <f>Charms!K803</f>
        <v>Tiger</v>
      </c>
      <c r="B803" t="str">
        <f>Charms!B803</f>
        <v>Striking Fury Claws</v>
      </c>
      <c r="C803" t="b">
        <f ca="1">OR(Values!$S$98&gt;=Charms!M803,IFERROR(Charms!J803=OFFSET(Values!$A$24,MATCH("S",Values!$T$25:$T$50,0),0),FALSE))</f>
        <v>1</v>
      </c>
      <c r="D803" t="b">
        <f>VLOOKUP(Charms!J803,Values!$A$11:$S$59,19,0)&gt;=Charms!L803</f>
        <v>0</v>
      </c>
      <c r="E803" t="e">
        <f>OR(ISBLANK(Charms!I803),(VLOOKUP(Values!$S$6,Castes!$B$2:$F$25,4,0)=Charms!I803))</f>
        <v>#N/A</v>
      </c>
      <c r="J803" t="e">
        <f t="shared" ca="1" si="61"/>
        <v>#N/A</v>
      </c>
      <c r="K803" s="18" t="e">
        <f t="shared" ca="1" si="60"/>
        <v>#N/A</v>
      </c>
      <c r="L803" t="e">
        <f ca="1">IF(J803,Charms!B803,"")</f>
        <v>#N/A</v>
      </c>
      <c r="M803" t="str">
        <f t="shared" ca="1" si="62"/>
        <v>-</v>
      </c>
      <c r="N803" s="18" t="str">
        <f t="shared" si="63"/>
        <v>K802:L812</v>
      </c>
      <c r="O803" t="str">
        <f t="shared" si="64"/>
        <v>A802:A803</v>
      </c>
    </row>
    <row r="804" spans="1:15">
      <c r="A804" s="18" t="str">
        <f>Charms!K804</f>
        <v>Tiger</v>
      </c>
      <c r="B804" t="str">
        <f>Charms!B804</f>
        <v>Tiger Form</v>
      </c>
      <c r="C804" t="b">
        <f ca="1">OR(Values!$S$98&gt;=Charms!M804,IFERROR(Charms!J804=OFFSET(Values!$A$24,MATCH("S",Values!$T$25:$T$50,0),0),FALSE))</f>
        <v>1</v>
      </c>
      <c r="D804" t="b">
        <f>VLOOKUP(Charms!J804,Values!$A$11:$S$59,19,0)&gt;=Charms!L804</f>
        <v>0</v>
      </c>
      <c r="E804" t="e">
        <f>OR(ISBLANK(Charms!I804),(VLOOKUP(Values!$S$6,Castes!$B$2:$F$25,4,0)=Charms!I804))</f>
        <v>#N/A</v>
      </c>
      <c r="J804" t="e">
        <f t="shared" ca="1" si="61"/>
        <v>#N/A</v>
      </c>
      <c r="K804" s="18" t="e">
        <f t="shared" ca="1" si="60"/>
        <v>#N/A</v>
      </c>
      <c r="L804" t="e">
        <f ca="1">IF(J804,Charms!B804,"")</f>
        <v>#N/A</v>
      </c>
      <c r="M804" t="str">
        <f t="shared" ca="1" si="62"/>
        <v>-</v>
      </c>
      <c r="N804" s="18" t="str">
        <f t="shared" si="63"/>
        <v>K802:L812</v>
      </c>
      <c r="O804" t="str">
        <f t="shared" si="64"/>
        <v>A802:A804</v>
      </c>
    </row>
    <row r="805" spans="1:15">
      <c r="A805" s="18" t="str">
        <f>Charms!K805</f>
        <v>Tiger</v>
      </c>
      <c r="B805" t="str">
        <f>Charms!B805</f>
        <v>Iron Claw Grip</v>
      </c>
      <c r="C805" t="b">
        <f ca="1">OR(Values!$S$98&gt;=Charms!M805,IFERROR(Charms!J805=OFFSET(Values!$A$24,MATCH("S",Values!$T$25:$T$50,0),0),FALSE))</f>
        <v>0</v>
      </c>
      <c r="D805" t="b">
        <f>VLOOKUP(Charms!J805,Values!$A$11:$S$59,19,0)&gt;=Charms!L805</f>
        <v>0</v>
      </c>
      <c r="E805" t="e">
        <f>OR(ISBLANK(Charms!I805),(VLOOKUP(Values!$S$6,Castes!$B$2:$F$25,4,0)=Charms!I805))</f>
        <v>#N/A</v>
      </c>
      <c r="J805" t="e">
        <f t="shared" ca="1" si="61"/>
        <v>#N/A</v>
      </c>
      <c r="K805" s="18" t="e">
        <f t="shared" ca="1" si="60"/>
        <v>#N/A</v>
      </c>
      <c r="L805" t="e">
        <f ca="1">IF(J805,Charms!B805,"")</f>
        <v>#N/A</v>
      </c>
      <c r="M805" t="str">
        <f t="shared" ca="1" si="62"/>
        <v>-</v>
      </c>
      <c r="N805" s="18" t="str">
        <f t="shared" si="63"/>
        <v>K802:L812</v>
      </c>
      <c r="O805" t="str">
        <f t="shared" si="64"/>
        <v>A802:A805</v>
      </c>
    </row>
    <row r="806" spans="1:15">
      <c r="A806" s="18" t="str">
        <f>Charms!K806</f>
        <v>Tiger</v>
      </c>
      <c r="B806" t="str">
        <f>Charms!B806</f>
        <v>Raging Tiger Pounce</v>
      </c>
      <c r="C806" t="b">
        <f ca="1">OR(Values!$S$98&gt;=Charms!M806,IFERROR(Charms!J806=OFFSET(Values!$A$24,MATCH("S",Values!$T$25:$T$50,0),0),FALSE))</f>
        <v>0</v>
      </c>
      <c r="D806" t="b">
        <f>VLOOKUP(Charms!J806,Values!$A$11:$S$59,19,0)&gt;=Charms!L806</f>
        <v>0</v>
      </c>
      <c r="E806" t="e">
        <f>OR(ISBLANK(Charms!I806),(VLOOKUP(Values!$S$6,Castes!$B$2:$F$25,4,0)=Charms!I806))</f>
        <v>#N/A</v>
      </c>
      <c r="J806" t="e">
        <f t="shared" ca="1" si="61"/>
        <v>#N/A</v>
      </c>
      <c r="K806" s="18" t="e">
        <f t="shared" ca="1" si="60"/>
        <v>#N/A</v>
      </c>
      <c r="L806" t="e">
        <f ca="1">IF(J806,Charms!B806,"")</f>
        <v>#N/A</v>
      </c>
      <c r="M806" t="str">
        <f t="shared" ca="1" si="62"/>
        <v>-</v>
      </c>
      <c r="N806" s="18" t="str">
        <f t="shared" si="63"/>
        <v>K802:L812</v>
      </c>
      <c r="O806" t="str">
        <f t="shared" si="64"/>
        <v>A802:A806</v>
      </c>
    </row>
    <row r="807" spans="1:15">
      <c r="A807" s="18" t="str">
        <f>Charms!K807</f>
        <v>Tiger</v>
      </c>
      <c r="B807" t="str">
        <f>Charms!B807</f>
        <v>Stalking Cat Movement Meditation</v>
      </c>
      <c r="C807" t="b">
        <f ca="1">OR(Values!$S$98&gt;=Charms!M807,IFERROR(Charms!J807=OFFSET(Values!$A$24,MATCH("S",Values!$T$25:$T$50,0),0),FALSE))</f>
        <v>0</v>
      </c>
      <c r="D807" t="b">
        <f>VLOOKUP(Charms!J807,Values!$A$11:$S$59,19,0)&gt;=Charms!L807</f>
        <v>0</v>
      </c>
      <c r="E807" t="e">
        <f>OR(ISBLANK(Charms!I807),(VLOOKUP(Values!$S$6,Castes!$B$2:$F$25,4,0)=Charms!I807))</f>
        <v>#N/A</v>
      </c>
      <c r="J807" t="e">
        <f t="shared" ca="1" si="61"/>
        <v>#N/A</v>
      </c>
      <c r="K807" s="18" t="e">
        <f t="shared" ca="1" si="60"/>
        <v>#N/A</v>
      </c>
      <c r="L807" t="e">
        <f ca="1">IF(J807,Charms!B807,"")</f>
        <v>#N/A</v>
      </c>
      <c r="M807" t="str">
        <f t="shared" ca="1" si="62"/>
        <v>-</v>
      </c>
      <c r="N807" s="18" t="str">
        <f t="shared" si="63"/>
        <v>K802:L812</v>
      </c>
      <c r="O807" t="str">
        <f t="shared" si="64"/>
        <v>A802:A807</v>
      </c>
    </row>
    <row r="808" spans="1:15">
      <c r="A808" s="18" t="str">
        <f>Charms!K808</f>
        <v>Tiger</v>
      </c>
      <c r="B808" t="str">
        <f>Charms!B808</f>
        <v>Celestial Tiger Hide</v>
      </c>
      <c r="C808" t="b">
        <f ca="1">OR(Values!$S$98&gt;=Charms!M808,IFERROR(Charms!J808=OFFSET(Values!$A$24,MATCH("S",Values!$T$25:$T$50,0),0),FALSE))</f>
        <v>0</v>
      </c>
      <c r="D808" t="b">
        <f>VLOOKUP(Charms!J808,Values!$A$11:$S$59,19,0)&gt;=Charms!L808</f>
        <v>0</v>
      </c>
      <c r="E808" t="e">
        <f>OR(ISBLANK(Charms!I808),(VLOOKUP(Values!$S$6,Castes!$B$2:$F$25,4,0)=Charms!I808))</f>
        <v>#N/A</v>
      </c>
      <c r="J808" t="e">
        <f t="shared" ca="1" si="61"/>
        <v>#N/A</v>
      </c>
      <c r="K808" s="18" t="e">
        <f t="shared" ca="1" si="60"/>
        <v>#N/A</v>
      </c>
      <c r="L808" t="e">
        <f ca="1">IF(J808,Charms!B808,"")</f>
        <v>#N/A</v>
      </c>
      <c r="M808" t="str">
        <f t="shared" ca="1" si="62"/>
        <v>-</v>
      </c>
      <c r="N808" s="18" t="str">
        <f t="shared" si="63"/>
        <v>K802:L812</v>
      </c>
      <c r="O808" t="str">
        <f t="shared" si="64"/>
        <v>A802:A808</v>
      </c>
    </row>
    <row r="809" spans="1:15">
      <c r="A809" s="18" t="str">
        <f>Charms!K809</f>
        <v>Tiger</v>
      </c>
      <c r="B809" t="str">
        <f>Charms!B809</f>
        <v>Prey-Maiming Frenzy</v>
      </c>
      <c r="C809" t="b">
        <f ca="1">OR(Values!$S$98&gt;=Charms!M809,IFERROR(Charms!J809=OFFSET(Values!$A$24,MATCH("S",Values!$T$25:$T$50,0),0),FALSE))</f>
        <v>0</v>
      </c>
      <c r="D809" t="b">
        <f>VLOOKUP(Charms!J809,Values!$A$11:$S$59,19,0)&gt;=Charms!L809</f>
        <v>0</v>
      </c>
      <c r="E809" t="e">
        <f>OR(ISBLANK(Charms!I809),(VLOOKUP(Values!$S$6,Castes!$B$2:$F$25,4,0)=Charms!I809))</f>
        <v>#N/A</v>
      </c>
      <c r="J809" t="e">
        <f t="shared" ca="1" si="61"/>
        <v>#N/A</v>
      </c>
      <c r="K809" s="18" t="e">
        <f t="shared" ca="1" si="60"/>
        <v>#N/A</v>
      </c>
      <c r="L809" t="e">
        <f ca="1">IF(J809,Charms!B809,"")</f>
        <v>#N/A</v>
      </c>
      <c r="M809" t="str">
        <f t="shared" ca="1" si="62"/>
        <v>-</v>
      </c>
      <c r="N809" s="18" t="str">
        <f t="shared" si="63"/>
        <v>K802:L812</v>
      </c>
      <c r="O809" t="str">
        <f t="shared" si="64"/>
        <v>A802:A809</v>
      </c>
    </row>
    <row r="810" spans="1:15">
      <c r="A810" s="18" t="str">
        <f>Charms!K810</f>
        <v>Tiger</v>
      </c>
      <c r="B810" t="str">
        <f>Charms!B810</f>
        <v>Spine-Shattering Bite</v>
      </c>
      <c r="C810" t="b">
        <f ca="1">OR(Values!$S$98&gt;=Charms!M810,IFERROR(Charms!J810=OFFSET(Values!$A$24,MATCH("S",Values!$T$25:$T$50,0),0),FALSE))</f>
        <v>0</v>
      </c>
      <c r="D810" t="b">
        <f>VLOOKUP(Charms!J810,Values!$A$11:$S$59,19,0)&gt;=Charms!L810</f>
        <v>0</v>
      </c>
      <c r="E810" t="e">
        <f>OR(ISBLANK(Charms!I810),(VLOOKUP(Values!$S$6,Castes!$B$2:$F$25,4,0)=Charms!I810))</f>
        <v>#N/A</v>
      </c>
      <c r="J810" t="e">
        <f t="shared" ca="1" si="61"/>
        <v>#N/A</v>
      </c>
      <c r="K810" s="18" t="e">
        <f t="shared" ca="1" si="60"/>
        <v>#N/A</v>
      </c>
      <c r="L810" t="e">
        <f ca="1">IF(J810,Charms!B810,"")</f>
        <v>#N/A</v>
      </c>
      <c r="M810" t="str">
        <f t="shared" ca="1" si="62"/>
        <v>-</v>
      </c>
      <c r="N810" s="18" t="str">
        <f t="shared" si="63"/>
        <v>K802:L812</v>
      </c>
      <c r="O810" t="str">
        <f t="shared" si="64"/>
        <v>A802:A810</v>
      </c>
    </row>
    <row r="811" spans="1:15">
      <c r="A811" s="18" t="str">
        <f>Charms!K811</f>
        <v>Tiger</v>
      </c>
      <c r="B811" t="str">
        <f>Charms!B811</f>
        <v>Leap From Cloaking Shadows</v>
      </c>
      <c r="C811" t="b">
        <f ca="1">OR(Values!$S$98&gt;=Charms!M811,IFERROR(Charms!J811=OFFSET(Values!$A$24,MATCH("S",Values!$T$25:$T$50,0),0),FALSE))</f>
        <v>0</v>
      </c>
      <c r="D811" t="b">
        <f>VLOOKUP(Charms!J811,Values!$A$11:$S$59,19,0)&gt;=Charms!L811</f>
        <v>0</v>
      </c>
      <c r="E811" t="e">
        <f>OR(ISBLANK(Charms!I811),(VLOOKUP(Values!$S$6,Castes!$B$2:$F$25,4,0)=Charms!I811))</f>
        <v>#N/A</v>
      </c>
      <c r="J811" t="e">
        <f t="shared" ca="1" si="61"/>
        <v>#N/A</v>
      </c>
      <c r="K811" s="18" t="e">
        <f t="shared" ca="1" si="60"/>
        <v>#N/A</v>
      </c>
      <c r="L811" t="e">
        <f ca="1">IF(J811,Charms!B811,"")</f>
        <v>#N/A</v>
      </c>
      <c r="M811" t="str">
        <f t="shared" ca="1" si="62"/>
        <v>-</v>
      </c>
      <c r="N811" s="18" t="str">
        <f t="shared" si="63"/>
        <v>K802:L812</v>
      </c>
      <c r="O811" t="str">
        <f t="shared" si="64"/>
        <v>A802:A811</v>
      </c>
    </row>
    <row r="812" spans="1:15">
      <c r="A812" s="18" t="str">
        <f>Charms!K812</f>
        <v>Tiger</v>
      </c>
      <c r="B812" t="str">
        <f>Charms!B812</f>
        <v>Angry Predator Frenzy</v>
      </c>
      <c r="C812" t="b">
        <f ca="1">OR(Values!$S$98&gt;=Charms!M812,IFERROR(Charms!J812=OFFSET(Values!$A$24,MATCH("S",Values!$T$25:$T$50,0),0),FALSE))</f>
        <v>0</v>
      </c>
      <c r="D812" t="b">
        <f>VLOOKUP(Charms!J812,Values!$A$11:$S$59,19,0)&gt;=Charms!L812</f>
        <v>0</v>
      </c>
      <c r="E812" t="e">
        <f>OR(ISBLANK(Charms!I812),(VLOOKUP(Values!$S$6,Castes!$B$2:$F$25,4,0)=Charms!I812))</f>
        <v>#N/A</v>
      </c>
      <c r="J812" t="e">
        <f t="shared" ca="1" si="61"/>
        <v>#N/A</v>
      </c>
      <c r="K812" s="18" t="e">
        <f t="shared" ca="1" si="60"/>
        <v>#N/A</v>
      </c>
      <c r="L812" t="e">
        <f ca="1">IF(J812,Charms!B812,"")</f>
        <v>#N/A</v>
      </c>
      <c r="M812" t="str">
        <f t="shared" ca="1" si="62"/>
        <v>-</v>
      </c>
      <c r="N812" s="18" t="str">
        <f t="shared" si="63"/>
        <v>K802:L812</v>
      </c>
      <c r="O812" t="str">
        <f t="shared" si="64"/>
        <v>A802:A812</v>
      </c>
    </row>
    <row r="813" spans="1:15">
      <c r="A813" s="18" t="str">
        <f>Charms!K813</f>
        <v>Water Dragon</v>
      </c>
      <c r="B813" t="str">
        <f>Charms!B813</f>
        <v>Flowing Water Defense</v>
      </c>
      <c r="C813" t="b">
        <f ca="1">OR(Values!$S$98&gt;=Charms!M813,IFERROR(Charms!J813=OFFSET(Values!$A$24,MATCH("S",Values!$T$25:$T$50,0),0),FALSE))</f>
        <v>1</v>
      </c>
      <c r="D813" t="b">
        <f>VLOOKUP(Charms!J813,Values!$A$11:$S$59,19,0)&gt;=Charms!L813</f>
        <v>0</v>
      </c>
      <c r="E813" t="e">
        <f>OR(ISBLANK(Charms!I813),(VLOOKUP(Values!$S$6,Castes!$B$2:$F$25,4,0)=Charms!I813))</f>
        <v>#N/A</v>
      </c>
      <c r="J813" t="e">
        <f t="shared" ca="1" si="61"/>
        <v>#N/A</v>
      </c>
      <c r="K813" s="18" t="e">
        <f t="shared" ca="1" si="60"/>
        <v>#N/A</v>
      </c>
      <c r="L813" t="e">
        <f ca="1">IF(J813,Charms!B813,"")</f>
        <v>#N/A</v>
      </c>
      <c r="M813" t="str">
        <f t="shared" ca="1" si="62"/>
        <v>-</v>
      </c>
      <c r="N813" s="18" t="str">
        <f t="shared" si="63"/>
        <v>K813:L824</v>
      </c>
      <c r="O813" t="str">
        <f t="shared" si="64"/>
        <v>A813:A813</v>
      </c>
    </row>
    <row r="814" spans="1:15">
      <c r="A814" s="18" t="str">
        <f>Charms!K814</f>
        <v>Water Dragon</v>
      </c>
      <c r="B814" t="str">
        <f>Charms!B814</f>
        <v>Rippling Water Strike</v>
      </c>
      <c r="C814" t="b">
        <f ca="1">OR(Values!$S$98&gt;=Charms!M814,IFERROR(Charms!J814=OFFSET(Values!$A$24,MATCH("S",Values!$T$25:$T$50,0),0),FALSE))</f>
        <v>1</v>
      </c>
      <c r="D814" t="b">
        <f>VLOOKUP(Charms!J814,Values!$A$11:$S$59,19,0)&gt;=Charms!L814</f>
        <v>0</v>
      </c>
      <c r="E814" t="e">
        <f>OR(ISBLANK(Charms!I814),(VLOOKUP(Values!$S$6,Castes!$B$2:$F$25,4,0)=Charms!I814))</f>
        <v>#N/A</v>
      </c>
      <c r="J814" t="e">
        <f t="shared" ca="1" si="61"/>
        <v>#N/A</v>
      </c>
      <c r="K814" s="18" t="e">
        <f t="shared" ca="1" si="60"/>
        <v>#N/A</v>
      </c>
      <c r="L814" t="e">
        <f ca="1">IF(J814,Charms!B814,"")</f>
        <v>#N/A</v>
      </c>
      <c r="M814" t="str">
        <f t="shared" ca="1" si="62"/>
        <v>-</v>
      </c>
      <c r="N814" s="18" t="str">
        <f t="shared" si="63"/>
        <v>K813:L824</v>
      </c>
      <c r="O814" t="str">
        <f t="shared" si="64"/>
        <v>A813:A814</v>
      </c>
    </row>
    <row r="815" spans="1:15">
      <c r="A815" s="18" t="str">
        <f>Charms!K815</f>
        <v>Water Dragon</v>
      </c>
      <c r="B815" t="str">
        <f>Charms!B815</f>
        <v>Drowning-in-Blood Technique</v>
      </c>
      <c r="C815" t="b">
        <f ca="1">OR(Values!$S$98&gt;=Charms!M815,IFERROR(Charms!J815=OFFSET(Values!$A$24,MATCH("S",Values!$T$25:$T$50,0),0),FALSE))</f>
        <v>0</v>
      </c>
      <c r="D815" t="b">
        <f>VLOOKUP(Charms!J815,Values!$A$11:$S$59,19,0)&gt;=Charms!L815</f>
        <v>0</v>
      </c>
      <c r="E815" t="e">
        <f>OR(ISBLANK(Charms!I815),(VLOOKUP(Values!$S$6,Castes!$B$2:$F$25,4,0)=Charms!I815))</f>
        <v>#N/A</v>
      </c>
      <c r="J815" t="e">
        <f t="shared" ca="1" si="61"/>
        <v>#N/A</v>
      </c>
      <c r="K815" s="18" t="e">
        <f t="shared" ca="1" si="60"/>
        <v>#N/A</v>
      </c>
      <c r="L815" t="e">
        <f ca="1">IF(J815,Charms!B815,"")</f>
        <v>#N/A</v>
      </c>
      <c r="M815" t="str">
        <f t="shared" ca="1" si="62"/>
        <v>-</v>
      </c>
      <c r="N815" s="18" t="str">
        <f t="shared" si="63"/>
        <v>K813:L824</v>
      </c>
      <c r="O815" t="str">
        <f t="shared" si="64"/>
        <v>A813:A815</v>
      </c>
    </row>
    <row r="816" spans="1:15">
      <c r="A816" s="18" t="str">
        <f>Charms!K816</f>
        <v>Water Dragon</v>
      </c>
      <c r="B816" t="str">
        <f>Charms!B816</f>
        <v>Shrugging Water-Dragon Escape</v>
      </c>
      <c r="C816" t="b">
        <f ca="1">OR(Values!$S$98&gt;=Charms!M816,IFERROR(Charms!J816=OFFSET(Values!$A$24,MATCH("S",Values!$T$25:$T$50,0),0),FALSE))</f>
        <v>0</v>
      </c>
      <c r="D816" t="b">
        <f>VLOOKUP(Charms!J816,Values!$A$11:$S$59,19,0)&gt;=Charms!L816</f>
        <v>0</v>
      </c>
      <c r="E816" t="e">
        <f>OR(ISBLANK(Charms!I816),(VLOOKUP(Values!$S$6,Castes!$B$2:$F$25,4,0)=Charms!I816))</f>
        <v>#N/A</v>
      </c>
      <c r="J816" t="e">
        <f t="shared" ca="1" si="61"/>
        <v>#N/A</v>
      </c>
      <c r="K816" s="18" t="e">
        <f t="shared" ca="1" si="60"/>
        <v>#N/A</v>
      </c>
      <c r="L816" t="e">
        <f ca="1">IF(J816,Charms!B816,"")</f>
        <v>#N/A</v>
      </c>
      <c r="M816" t="str">
        <f t="shared" ca="1" si="62"/>
        <v>-</v>
      </c>
      <c r="N816" s="18" t="str">
        <f t="shared" si="63"/>
        <v>K813:L824</v>
      </c>
      <c r="O816" t="str">
        <f t="shared" si="64"/>
        <v>A813:A816</v>
      </c>
    </row>
    <row r="817" spans="1:15">
      <c r="A817" s="18" t="str">
        <f>Charms!K817</f>
        <v>Water Dragon</v>
      </c>
      <c r="B817" t="str">
        <f>Charms!B817</f>
        <v>Water Dragon Form</v>
      </c>
      <c r="C817" t="b">
        <f ca="1">OR(Values!$S$98&gt;=Charms!M817,IFERROR(Charms!J817=OFFSET(Values!$A$24,MATCH("S",Values!$T$25:$T$50,0),0),FALSE))</f>
        <v>0</v>
      </c>
      <c r="D817" t="b">
        <f>VLOOKUP(Charms!J817,Values!$A$11:$S$59,19,0)&gt;=Charms!L817</f>
        <v>0</v>
      </c>
      <c r="E817" t="e">
        <f>OR(ISBLANK(Charms!I817),(VLOOKUP(Values!$S$6,Castes!$B$2:$F$25,4,0)=Charms!I817))</f>
        <v>#N/A</v>
      </c>
      <c r="J817" t="e">
        <f t="shared" ca="1" si="61"/>
        <v>#N/A</v>
      </c>
      <c r="K817" s="18" t="e">
        <f t="shared" ca="1" si="60"/>
        <v>#N/A</v>
      </c>
      <c r="L817" t="e">
        <f ca="1">IF(J817,Charms!B817,"")</f>
        <v>#N/A</v>
      </c>
      <c r="M817" t="str">
        <f t="shared" ca="1" si="62"/>
        <v>-</v>
      </c>
      <c r="N817" s="18" t="str">
        <f t="shared" si="63"/>
        <v>K813:L824</v>
      </c>
      <c r="O817" t="str">
        <f t="shared" si="64"/>
        <v>A813:A817</v>
      </c>
    </row>
    <row r="818" spans="1:15">
      <c r="A818" s="18" t="str">
        <f>Charms!K818</f>
        <v>Water Dragon</v>
      </c>
      <c r="B818" t="str">
        <f>Charms!B818</f>
        <v>Theft-of-Essence Method</v>
      </c>
      <c r="C818" t="b">
        <f ca="1">OR(Values!$S$98&gt;=Charms!M818,IFERROR(Charms!J818=OFFSET(Values!$A$24,MATCH("S",Values!$T$25:$T$50,0),0),FALSE))</f>
        <v>0</v>
      </c>
      <c r="D818" t="b">
        <f>VLOOKUP(Charms!J818,Values!$A$11:$S$59,19,0)&gt;=Charms!L818</f>
        <v>0</v>
      </c>
      <c r="E818" t="e">
        <f>OR(ISBLANK(Charms!I818),(VLOOKUP(Values!$S$6,Castes!$B$2:$F$25,4,0)=Charms!I818))</f>
        <v>#N/A</v>
      </c>
      <c r="J818" t="e">
        <f t="shared" ca="1" si="61"/>
        <v>#N/A</v>
      </c>
      <c r="K818" s="18" t="e">
        <f t="shared" ca="1" si="60"/>
        <v>#N/A</v>
      </c>
      <c r="L818" t="e">
        <f ca="1">IF(J818,Charms!B818,"")</f>
        <v>#N/A</v>
      </c>
      <c r="M818" t="str">
        <f t="shared" ca="1" si="62"/>
        <v>-</v>
      </c>
      <c r="N818" s="18" t="str">
        <f t="shared" si="63"/>
        <v>K813:L824</v>
      </c>
      <c r="O818" t="str">
        <f t="shared" si="64"/>
        <v>A813:A818</v>
      </c>
    </row>
    <row r="819" spans="1:15">
      <c r="A819" s="18" t="str">
        <f>Charms!K819</f>
        <v>Water Dragon</v>
      </c>
      <c r="B819" t="str">
        <f>Charms!B819</f>
        <v>Bottomless Depths Defense</v>
      </c>
      <c r="C819" t="b">
        <f ca="1">OR(Values!$S$98&gt;=Charms!M819,IFERROR(Charms!J819=OFFSET(Values!$A$24,MATCH("S",Values!$T$25:$T$50,0),0),FALSE))</f>
        <v>0</v>
      </c>
      <c r="D819" t="b">
        <f>VLOOKUP(Charms!J819,Values!$A$11:$S$59,19,0)&gt;=Charms!L819</f>
        <v>0</v>
      </c>
      <c r="E819" t="e">
        <f>OR(ISBLANK(Charms!I819),(VLOOKUP(Values!$S$6,Castes!$B$2:$F$25,4,0)=Charms!I819))</f>
        <v>#N/A</v>
      </c>
      <c r="J819" t="e">
        <f t="shared" ca="1" si="61"/>
        <v>#N/A</v>
      </c>
      <c r="K819" s="18" t="e">
        <f t="shared" ca="1" si="60"/>
        <v>#N/A</v>
      </c>
      <c r="L819" t="e">
        <f ca="1">IF(J819,Charms!B819,"")</f>
        <v>#N/A</v>
      </c>
      <c r="M819" t="str">
        <f t="shared" ca="1" si="62"/>
        <v>-</v>
      </c>
      <c r="N819" s="18" t="str">
        <f t="shared" si="63"/>
        <v>K813:L824</v>
      </c>
      <c r="O819" t="str">
        <f t="shared" si="64"/>
        <v>A813:A819</v>
      </c>
    </row>
    <row r="820" spans="1:15">
      <c r="A820" s="18" t="str">
        <f>Charms!K820</f>
        <v>Water Dragon</v>
      </c>
      <c r="B820" t="str">
        <f>Charms!B820</f>
        <v>Essence-Dousing Wave Attack</v>
      </c>
      <c r="C820" t="b">
        <f ca="1">OR(Values!$S$98&gt;=Charms!M820,IFERROR(Charms!J820=OFFSET(Values!$A$24,MATCH("S",Values!$T$25:$T$50,0),0),FALSE))</f>
        <v>0</v>
      </c>
      <c r="D820" t="b">
        <f>VLOOKUP(Charms!J820,Values!$A$11:$S$59,19,0)&gt;=Charms!L820</f>
        <v>0</v>
      </c>
      <c r="E820" t="e">
        <f>OR(ISBLANK(Charms!I820),(VLOOKUP(Values!$S$6,Castes!$B$2:$F$25,4,0)=Charms!I820))</f>
        <v>#N/A</v>
      </c>
      <c r="J820" t="e">
        <f t="shared" ca="1" si="61"/>
        <v>#N/A</v>
      </c>
      <c r="K820" s="18" t="e">
        <f t="shared" ca="1" si="60"/>
        <v>#N/A</v>
      </c>
      <c r="L820" t="e">
        <f ca="1">IF(J820,Charms!B820,"")</f>
        <v>#N/A</v>
      </c>
      <c r="M820" t="str">
        <f t="shared" ca="1" si="62"/>
        <v>-</v>
      </c>
      <c r="N820" s="18" t="str">
        <f t="shared" si="63"/>
        <v>K813:L824</v>
      </c>
      <c r="O820" t="str">
        <f t="shared" si="64"/>
        <v>A813:A820</v>
      </c>
    </row>
    <row r="821" spans="1:15">
      <c r="A821" s="18" t="str">
        <f>Charms!K821</f>
        <v>Water Dragon</v>
      </c>
      <c r="B821" t="str">
        <f>Charms!B821</f>
        <v>Flow Reversal Strike</v>
      </c>
      <c r="C821" t="b">
        <f ca="1">OR(Values!$S$98&gt;=Charms!M821,IFERROR(Charms!J821=OFFSET(Values!$A$24,MATCH("S",Values!$T$25:$T$50,0),0),FALSE))</f>
        <v>0</v>
      </c>
      <c r="D821" t="b">
        <f>VLOOKUP(Charms!J821,Values!$A$11:$S$59,19,0)&gt;=Charms!L821</f>
        <v>0</v>
      </c>
      <c r="E821" t="e">
        <f>OR(ISBLANK(Charms!I821),(VLOOKUP(Values!$S$6,Castes!$B$2:$F$25,4,0)=Charms!I821))</f>
        <v>#N/A</v>
      </c>
      <c r="J821" t="e">
        <f t="shared" ca="1" si="61"/>
        <v>#N/A</v>
      </c>
      <c r="K821" s="18" t="e">
        <f t="shared" ca="1" si="60"/>
        <v>#N/A</v>
      </c>
      <c r="L821" t="e">
        <f ca="1">IF(J821,Charms!B821,"")</f>
        <v>#N/A</v>
      </c>
      <c r="M821" t="str">
        <f t="shared" ca="1" si="62"/>
        <v>-</v>
      </c>
      <c r="N821" s="18" t="str">
        <f t="shared" si="63"/>
        <v>K813:L824</v>
      </c>
      <c r="O821" t="str">
        <f t="shared" si="64"/>
        <v>A813:A821</v>
      </c>
    </row>
    <row r="822" spans="1:15">
      <c r="A822" s="18" t="str">
        <f>Charms!K822</f>
        <v>Water Dragon</v>
      </c>
      <c r="B822" t="str">
        <f>Charms!B822</f>
        <v>Crashing Wave Style</v>
      </c>
      <c r="C822" t="b">
        <f ca="1">OR(Values!$S$98&gt;=Charms!M822,IFERROR(Charms!J822=OFFSET(Values!$A$24,MATCH("S",Values!$T$25:$T$50,0),0),FALSE))</f>
        <v>0</v>
      </c>
      <c r="D822" t="b">
        <f>VLOOKUP(Charms!J822,Values!$A$11:$S$59,19,0)&gt;=Charms!L822</f>
        <v>0</v>
      </c>
      <c r="E822" t="e">
        <f>OR(ISBLANK(Charms!I822),(VLOOKUP(Values!$S$6,Castes!$B$2:$F$25,4,0)=Charms!I822))</f>
        <v>#N/A</v>
      </c>
      <c r="J822" t="e">
        <f t="shared" ca="1" si="61"/>
        <v>#N/A</v>
      </c>
      <c r="K822" s="18" t="e">
        <f t="shared" ca="1" si="60"/>
        <v>#N/A</v>
      </c>
      <c r="L822" t="e">
        <f ca="1">IF(J822,Charms!B822,"")</f>
        <v>#N/A</v>
      </c>
      <c r="M822" t="str">
        <f t="shared" ca="1" si="62"/>
        <v>-</v>
      </c>
      <c r="N822" s="18" t="str">
        <f t="shared" si="63"/>
        <v>K813:L824</v>
      </c>
      <c r="O822" t="str">
        <f t="shared" si="64"/>
        <v>A813:A822</v>
      </c>
    </row>
    <row r="823" spans="1:15">
      <c r="A823" s="18" t="str">
        <f>Charms!K823</f>
        <v>Water Dragon</v>
      </c>
      <c r="B823" t="str">
        <f>Charms!B823</f>
        <v>Ghost-Restraining Whirlpool</v>
      </c>
      <c r="C823" t="b">
        <f ca="1">OR(Values!$S$98&gt;=Charms!M823,IFERROR(Charms!J823=OFFSET(Values!$A$24,MATCH("S",Values!$T$25:$T$50,0),0),FALSE))</f>
        <v>0</v>
      </c>
      <c r="D823" t="b">
        <f>VLOOKUP(Charms!J823,Values!$A$11:$S$59,19,0)&gt;=Charms!L823</f>
        <v>0</v>
      </c>
      <c r="E823" t="e">
        <f>OR(ISBLANK(Charms!I823),(VLOOKUP(Values!$S$6,Castes!$B$2:$F$25,4,0)=Charms!I823))</f>
        <v>#N/A</v>
      </c>
      <c r="J823" t="e">
        <f t="shared" ca="1" si="61"/>
        <v>#N/A</v>
      </c>
      <c r="K823" s="18" t="e">
        <f t="shared" ca="1" si="60"/>
        <v>#N/A</v>
      </c>
      <c r="L823" t="e">
        <f ca="1">IF(J823,Charms!B823,"")</f>
        <v>#N/A</v>
      </c>
      <c r="M823" t="str">
        <f t="shared" ca="1" si="62"/>
        <v>-</v>
      </c>
      <c r="N823" s="18" t="str">
        <f t="shared" si="63"/>
        <v>K813:L824</v>
      </c>
      <c r="O823" t="str">
        <f t="shared" si="64"/>
        <v>A813:A823</v>
      </c>
    </row>
    <row r="824" spans="1:15">
      <c r="A824" s="18" t="str">
        <f>Charms!K824</f>
        <v>Water Dragon</v>
      </c>
      <c r="B824" t="str">
        <f>Charms!B824</f>
        <v>Tsunami-Force Shout</v>
      </c>
      <c r="C824" t="b">
        <f ca="1">OR(Values!$S$98&gt;=Charms!M824,IFERROR(Charms!J824=OFFSET(Values!$A$24,MATCH("S",Values!$T$25:$T$50,0),0),FALSE))</f>
        <v>0</v>
      </c>
      <c r="D824" t="b">
        <f>VLOOKUP(Charms!J824,Values!$A$11:$S$59,19,0)&gt;=Charms!L824</f>
        <v>0</v>
      </c>
      <c r="E824" t="e">
        <f>OR(ISBLANK(Charms!I824),(VLOOKUP(Values!$S$6,Castes!$B$2:$F$25,4,0)=Charms!I824))</f>
        <v>#N/A</v>
      </c>
      <c r="J824" t="e">
        <f t="shared" ca="1" si="61"/>
        <v>#N/A</v>
      </c>
      <c r="K824" s="18" t="e">
        <f t="shared" ca="1" si="60"/>
        <v>#N/A</v>
      </c>
      <c r="L824" t="e">
        <f ca="1">IF(J824,Charms!B824,"")</f>
        <v>#N/A</v>
      </c>
      <c r="M824" t="str">
        <f t="shared" ca="1" si="62"/>
        <v>-</v>
      </c>
      <c r="N824" s="18" t="str">
        <f t="shared" si="63"/>
        <v>K813:L824</v>
      </c>
      <c r="O824" t="str">
        <f t="shared" si="64"/>
        <v>A813:A824</v>
      </c>
    </row>
    <row r="825" spans="1:15">
      <c r="A825" s="18" t="str">
        <f>Charms!K825</f>
        <v>White Veil</v>
      </c>
      <c r="B825" t="str">
        <f>Charms!B825</f>
        <v>Birdsong Over Blades</v>
      </c>
      <c r="C825" t="b">
        <f ca="1">OR(Values!$S$98&gt;=Charms!M825,IFERROR(Charms!J825=OFFSET(Values!$A$24,MATCH("S",Values!$T$25:$T$50,0),0),FALSE))</f>
        <v>1</v>
      </c>
      <c r="D825" t="b">
        <f>VLOOKUP(Charms!J825,Values!$A$11:$S$59,19,0)&gt;=Charms!L825</f>
        <v>0</v>
      </c>
      <c r="E825" t="e">
        <f>OR(ISBLANK(Charms!I825),(VLOOKUP(Values!$S$6,Castes!$B$2:$F$25,4,0)=Charms!I825))</f>
        <v>#N/A</v>
      </c>
      <c r="J825" t="e">
        <f t="shared" ca="1" si="61"/>
        <v>#N/A</v>
      </c>
      <c r="K825" s="18" t="e">
        <f t="shared" ca="1" si="60"/>
        <v>#N/A</v>
      </c>
      <c r="L825" t="e">
        <f ca="1">IF(J825,Charms!B825,"")</f>
        <v>#N/A</v>
      </c>
      <c r="M825" t="str">
        <f t="shared" ca="1" si="62"/>
        <v>-</v>
      </c>
      <c r="N825" s="18" t="str">
        <f t="shared" si="63"/>
        <v>K825:L834</v>
      </c>
      <c r="O825" t="str">
        <f t="shared" si="64"/>
        <v>A825:A825</v>
      </c>
    </row>
    <row r="826" spans="1:15">
      <c r="A826" s="18" t="str">
        <f>Charms!K826</f>
        <v>White Veil</v>
      </c>
      <c r="B826" t="str">
        <f>Charms!B826</f>
        <v>Owl Clutches at the Night</v>
      </c>
      <c r="C826" t="b">
        <f ca="1">OR(Values!$S$98&gt;=Charms!M826,IFERROR(Charms!J826=OFFSET(Values!$A$24,MATCH("S",Values!$T$25:$T$50,0),0),FALSE))</f>
        <v>1</v>
      </c>
      <c r="D826" t="b">
        <f>VLOOKUP(Charms!J826,Values!$A$11:$S$59,19,0)&gt;=Charms!L826</f>
        <v>0</v>
      </c>
      <c r="E826" t="e">
        <f>OR(ISBLANK(Charms!I826),(VLOOKUP(Values!$S$6,Castes!$B$2:$F$25,4,0)=Charms!I826))</f>
        <v>#N/A</v>
      </c>
      <c r="J826" t="e">
        <f t="shared" ca="1" si="61"/>
        <v>#N/A</v>
      </c>
      <c r="K826" s="18" t="e">
        <f t="shared" ca="1" si="60"/>
        <v>#N/A</v>
      </c>
      <c r="L826" t="e">
        <f ca="1">IF(J826,Charms!B826,"")</f>
        <v>#N/A</v>
      </c>
      <c r="M826" t="str">
        <f t="shared" ca="1" si="62"/>
        <v>-</v>
      </c>
      <c r="N826" s="18" t="str">
        <f t="shared" si="63"/>
        <v>K825:L834</v>
      </c>
      <c r="O826" t="str">
        <f t="shared" si="64"/>
        <v>A825:A826</v>
      </c>
    </row>
    <row r="827" spans="1:15">
      <c r="A827" s="18" t="str">
        <f>Charms!K827</f>
        <v>White Veil</v>
      </c>
      <c r="B827" t="str">
        <f>Charms!B827</f>
        <v>Alehouse Memory Stance</v>
      </c>
      <c r="C827" t="b">
        <f ca="1">OR(Values!$S$98&gt;=Charms!M827,IFERROR(Charms!J827=OFFSET(Values!$A$24,MATCH("S",Values!$T$25:$T$50,0),0),FALSE))</f>
        <v>1</v>
      </c>
      <c r="D827" t="b">
        <f>VLOOKUP(Charms!J827,Values!$A$11:$S$59,19,0)&gt;=Charms!L827</f>
        <v>0</v>
      </c>
      <c r="E827" t="e">
        <f>OR(ISBLANK(Charms!I827),(VLOOKUP(Values!$S$6,Castes!$B$2:$F$25,4,0)=Charms!I827))</f>
        <v>#N/A</v>
      </c>
      <c r="J827" t="e">
        <f t="shared" ca="1" si="61"/>
        <v>#N/A</v>
      </c>
      <c r="K827" s="18" t="e">
        <f t="shared" ca="1" si="60"/>
        <v>#N/A</v>
      </c>
      <c r="L827" t="e">
        <f ca="1">IF(J827,Charms!B827,"")</f>
        <v>#N/A</v>
      </c>
      <c r="M827" t="str">
        <f t="shared" ca="1" si="62"/>
        <v>-</v>
      </c>
      <c r="N827" s="18" t="str">
        <f t="shared" si="63"/>
        <v>K825:L834</v>
      </c>
      <c r="O827" t="str">
        <f t="shared" si="64"/>
        <v>A825:A827</v>
      </c>
    </row>
    <row r="828" spans="1:15">
      <c r="A828" s="18" t="str">
        <f>Charms!K828</f>
        <v>White Veil</v>
      </c>
      <c r="B828" t="str">
        <f>Charms!B828</f>
        <v>White Veil Form</v>
      </c>
      <c r="C828" t="b">
        <f ca="1">OR(Values!$S$98&gt;=Charms!M828,IFERROR(Charms!J828=OFFSET(Values!$A$24,MATCH("S",Values!$T$25:$T$50,0),0),FALSE))</f>
        <v>1</v>
      </c>
      <c r="D828" t="b">
        <f>VLOOKUP(Charms!J828,Values!$A$11:$S$59,19,0)&gt;=Charms!L828</f>
        <v>0</v>
      </c>
      <c r="E828" t="e">
        <f>OR(ISBLANK(Charms!I828),(VLOOKUP(Values!$S$6,Castes!$B$2:$F$25,4,0)=Charms!I828))</f>
        <v>#N/A</v>
      </c>
      <c r="J828" t="e">
        <f t="shared" ca="1" si="61"/>
        <v>#N/A</v>
      </c>
      <c r="K828" s="18" t="e">
        <f t="shared" ca="1" si="60"/>
        <v>#N/A</v>
      </c>
      <c r="L828" t="e">
        <f ca="1">IF(J828,Charms!B828,"")</f>
        <v>#N/A</v>
      </c>
      <c r="M828" t="str">
        <f t="shared" ca="1" si="62"/>
        <v>-</v>
      </c>
      <c r="N828" s="18" t="str">
        <f t="shared" si="63"/>
        <v>K825:L834</v>
      </c>
      <c r="O828" t="str">
        <f t="shared" si="64"/>
        <v>A825:A828</v>
      </c>
    </row>
    <row r="829" spans="1:15">
      <c r="A829" s="18" t="str">
        <f>Charms!K829</f>
        <v>White Veil</v>
      </c>
      <c r="B829" t="str">
        <f>Charms!B829</f>
        <v>Blithe Unruffled Plumage</v>
      </c>
      <c r="C829" t="b">
        <f ca="1">OR(Values!$S$98&gt;=Charms!M829,IFERROR(Charms!J829=OFFSET(Values!$A$24,MATCH("S",Values!$T$25:$T$50,0),0),FALSE))</f>
        <v>0</v>
      </c>
      <c r="D829" t="b">
        <f>VLOOKUP(Charms!J829,Values!$A$11:$S$59,19,0)&gt;=Charms!L829</f>
        <v>0</v>
      </c>
      <c r="E829" t="e">
        <f>OR(ISBLANK(Charms!I829),(VLOOKUP(Values!$S$6,Castes!$B$2:$F$25,4,0)=Charms!I829))</f>
        <v>#N/A</v>
      </c>
      <c r="J829" t="e">
        <f t="shared" ca="1" si="61"/>
        <v>#N/A</v>
      </c>
      <c r="K829" s="18" t="e">
        <f t="shared" ca="1" si="60"/>
        <v>#N/A</v>
      </c>
      <c r="L829" t="e">
        <f ca="1">IF(J829,Charms!B829,"")</f>
        <v>#N/A</v>
      </c>
      <c r="M829" t="str">
        <f t="shared" ca="1" si="62"/>
        <v>-</v>
      </c>
      <c r="N829" s="18" t="str">
        <f t="shared" si="63"/>
        <v>K825:L834</v>
      </c>
      <c r="O829" t="str">
        <f t="shared" si="64"/>
        <v>A825:A829</v>
      </c>
    </row>
    <row r="830" spans="1:15">
      <c r="A830" s="18" t="str">
        <f>Charms!K830</f>
        <v>White Veil</v>
      </c>
      <c r="B830" t="str">
        <f>Charms!B830</f>
        <v>Tickling the Dragon’s Throat</v>
      </c>
      <c r="C830" t="b">
        <f ca="1">OR(Values!$S$98&gt;=Charms!M830,IFERROR(Charms!J830=OFFSET(Values!$A$24,MATCH("S",Values!$T$25:$T$50,0),0),FALSE))</f>
        <v>0</v>
      </c>
      <c r="D830" t="b">
        <f>VLOOKUP(Charms!J830,Values!$A$11:$S$59,19,0)&gt;=Charms!L830</f>
        <v>0</v>
      </c>
      <c r="E830" t="e">
        <f>OR(ISBLANK(Charms!I830),(VLOOKUP(Values!$S$6,Castes!$B$2:$F$25,4,0)=Charms!I830))</f>
        <v>#N/A</v>
      </c>
      <c r="J830" t="e">
        <f t="shared" ca="1" si="61"/>
        <v>#N/A</v>
      </c>
      <c r="K830" s="18" t="e">
        <f t="shared" ca="1" si="60"/>
        <v>#N/A</v>
      </c>
      <c r="L830" t="e">
        <f ca="1">IF(J830,Charms!B830,"")</f>
        <v>#N/A</v>
      </c>
      <c r="M830" t="str">
        <f t="shared" ca="1" si="62"/>
        <v>-</v>
      </c>
      <c r="N830" s="18" t="str">
        <f t="shared" si="63"/>
        <v>K825:L834</v>
      </c>
      <c r="O830" t="str">
        <f t="shared" si="64"/>
        <v>A825:A830</v>
      </c>
    </row>
    <row r="831" spans="1:15">
      <c r="A831" s="18" t="str">
        <f>Charms!K831</f>
        <v>White Veil</v>
      </c>
      <c r="B831" t="str">
        <f>Charms!B831</f>
        <v>Blinded by Laughter</v>
      </c>
      <c r="C831" t="b">
        <f ca="1">OR(Values!$S$98&gt;=Charms!M831,IFERROR(Charms!J831=OFFSET(Values!$A$24,MATCH("S",Values!$T$25:$T$50,0),0),FALSE))</f>
        <v>0</v>
      </c>
      <c r="D831" t="b">
        <f>VLOOKUP(Charms!J831,Values!$A$11:$S$59,19,0)&gt;=Charms!L831</f>
        <v>0</v>
      </c>
      <c r="E831" t="e">
        <f>OR(ISBLANK(Charms!I831),(VLOOKUP(Values!$S$6,Castes!$B$2:$F$25,4,0)=Charms!I831))</f>
        <v>#N/A</v>
      </c>
      <c r="J831" t="e">
        <f t="shared" ca="1" si="61"/>
        <v>#N/A</v>
      </c>
      <c r="K831" s="18" t="e">
        <f t="shared" ca="1" si="60"/>
        <v>#N/A</v>
      </c>
      <c r="L831" t="e">
        <f ca="1">IF(J831,Charms!B831,"")</f>
        <v>#N/A</v>
      </c>
      <c r="M831" t="str">
        <f t="shared" ca="1" si="62"/>
        <v>-</v>
      </c>
      <c r="N831" s="18" t="str">
        <f t="shared" si="63"/>
        <v>K825:L834</v>
      </c>
      <c r="O831" t="str">
        <f t="shared" si="64"/>
        <v>A825:A831</v>
      </c>
    </row>
    <row r="832" spans="1:15">
      <c r="A832" s="18" t="str">
        <f>Charms!K832</f>
        <v>White Veil</v>
      </c>
      <c r="B832" t="str">
        <f>Charms!B832</f>
        <v>The Dragon Dies in Bed</v>
      </c>
      <c r="C832" t="b">
        <f ca="1">OR(Values!$S$98&gt;=Charms!M832,IFERROR(Charms!J832=OFFSET(Values!$A$24,MATCH("S",Values!$T$25:$T$50,0),0),FALSE))</f>
        <v>0</v>
      </c>
      <c r="D832" t="b">
        <f>VLOOKUP(Charms!J832,Values!$A$11:$S$59,19,0)&gt;=Charms!L832</f>
        <v>0</v>
      </c>
      <c r="E832" t="e">
        <f>OR(ISBLANK(Charms!I832),(VLOOKUP(Values!$S$6,Castes!$B$2:$F$25,4,0)=Charms!I832))</f>
        <v>#N/A</v>
      </c>
      <c r="J832" t="e">
        <f t="shared" ca="1" si="61"/>
        <v>#N/A</v>
      </c>
      <c r="K832" s="18" t="e">
        <f t="shared" ca="1" si="60"/>
        <v>#N/A</v>
      </c>
      <c r="L832" t="e">
        <f ca="1">IF(J832,Charms!B832,"")</f>
        <v>#N/A</v>
      </c>
      <c r="M832" t="str">
        <f t="shared" ca="1" si="62"/>
        <v>-</v>
      </c>
      <c r="N832" s="18" t="str">
        <f t="shared" si="63"/>
        <v>K825:L834</v>
      </c>
      <c r="O832" t="str">
        <f t="shared" si="64"/>
        <v>A825:A832</v>
      </c>
    </row>
    <row r="833" spans="1:15">
      <c r="A833" s="18" t="str">
        <f>Charms!K833</f>
        <v>White Veil</v>
      </c>
      <c r="B833" t="str">
        <f>Charms!B833</f>
        <v>The Dragon Dies Screaming</v>
      </c>
      <c r="C833" t="b">
        <f ca="1">OR(Values!$S$98&gt;=Charms!M833,IFERROR(Charms!J833=OFFSET(Values!$A$24,MATCH("S",Values!$T$25:$T$50,0),0),FALSE))</f>
        <v>0</v>
      </c>
      <c r="D833" t="b">
        <f>VLOOKUP(Charms!J833,Values!$A$11:$S$59,19,0)&gt;=Charms!L833</f>
        <v>0</v>
      </c>
      <c r="E833" t="e">
        <f>OR(ISBLANK(Charms!I833),(VLOOKUP(Values!$S$6,Castes!$B$2:$F$25,4,0)=Charms!I833))</f>
        <v>#N/A</v>
      </c>
      <c r="J833" t="e">
        <f t="shared" ca="1" si="61"/>
        <v>#N/A</v>
      </c>
      <c r="K833" s="18" t="e">
        <f t="shared" ca="1" si="60"/>
        <v>#N/A</v>
      </c>
      <c r="L833" t="e">
        <f ca="1">IF(J833,Charms!B833,"")</f>
        <v>#N/A</v>
      </c>
      <c r="M833" t="str">
        <f t="shared" ca="1" si="62"/>
        <v>-</v>
      </c>
      <c r="N833" s="18" t="str">
        <f t="shared" si="63"/>
        <v>K825:L834</v>
      </c>
      <c r="O833" t="str">
        <f t="shared" si="64"/>
        <v>A825:A833</v>
      </c>
    </row>
    <row r="834" spans="1:15">
      <c r="A834" s="18" t="str">
        <f>Charms!K834</f>
        <v>White Veil</v>
      </c>
      <c r="B834" t="str">
        <f>Charms!B834</f>
        <v>The Dragon Succumbs</v>
      </c>
      <c r="C834" t="b">
        <f ca="1">OR(Values!$S$98&gt;=Charms!M834,IFERROR(Charms!J834=OFFSET(Values!$A$24,MATCH("S",Values!$T$25:$T$50,0),0),FALSE))</f>
        <v>0</v>
      </c>
      <c r="D834" t="b">
        <f>VLOOKUP(Charms!J834,Values!$A$11:$S$59,19,0)&gt;=Charms!L834</f>
        <v>0</v>
      </c>
      <c r="E834" t="e">
        <f>OR(ISBLANK(Charms!I834),(VLOOKUP(Values!$S$6,Castes!$B$2:$F$25,4,0)=Charms!I834))</f>
        <v>#N/A</v>
      </c>
      <c r="J834" t="e">
        <f t="shared" ca="1" si="61"/>
        <v>#N/A</v>
      </c>
      <c r="K834" s="18" t="e">
        <f t="shared" ref="K834:K897" ca="1" si="65">IF(L834="","",COUNTIF(INDIRECT("J"&amp;MATCH(A834,A:A,0)&amp;":J"&amp;ROW()),J834))</f>
        <v>#N/A</v>
      </c>
      <c r="L834" t="e">
        <f ca="1">IF(J834,Charms!B834,"")</f>
        <v>#N/A</v>
      </c>
      <c r="M834" t="str">
        <f t="shared" ca="1" si="62"/>
        <v>-</v>
      </c>
      <c r="N834" s="18" t="str">
        <f t="shared" si="63"/>
        <v>K825:L834</v>
      </c>
      <c r="O834" t="str">
        <f t="shared" si="64"/>
        <v>A825:A834</v>
      </c>
    </row>
    <row r="835" spans="1:15">
      <c r="A835" s="18" t="str">
        <f>Charms!K835</f>
        <v>White Reaper</v>
      </c>
      <c r="B835" t="str">
        <f>Charms!B835</f>
        <v>Falling Scythe Flash</v>
      </c>
      <c r="C835" t="b">
        <f ca="1">OR(Values!$S$98&gt;=Charms!M835,IFERROR(Charms!J835=OFFSET(Values!$A$24,MATCH("S",Values!$T$25:$T$50,0),0),FALSE))</f>
        <v>1</v>
      </c>
      <c r="D835" t="b">
        <f>VLOOKUP(Charms!J835,Values!$A$11:$S$59,19,0)&gt;=Charms!L835</f>
        <v>0</v>
      </c>
      <c r="E835" t="e">
        <f>OR(ISBLANK(Charms!I835),(VLOOKUP(Values!$S$6,Castes!$B$2:$F$25,4,0)=Charms!I835))</f>
        <v>#N/A</v>
      </c>
      <c r="J835" t="e">
        <f t="shared" ref="J835:J898" ca="1" si="66">(C835+D835+E835+F835+G835+H835+I835)=3</f>
        <v>#N/A</v>
      </c>
      <c r="K835" s="18" t="e">
        <f t="shared" ca="1" si="65"/>
        <v>#N/A</v>
      </c>
      <c r="L835" t="e">
        <f ca="1">IF(J835,Charms!B835,"")</f>
        <v>#N/A</v>
      </c>
      <c r="M835" t="str">
        <f t="shared" ref="M835:M898" ca="1" si="67">IFERROR(VLOOKUP(COUNTIF(INDIRECT(O835),A835),INDIRECT(N835),2,0),"-")</f>
        <v>-</v>
      </c>
      <c r="N835" s="18" t="str">
        <f t="shared" ref="N835:N898" si="68">"K"&amp;MATCH(A835,A:A,0)&amp;":L"&amp;(MATCH(A835,A:A,0)+COUNTIF(A:A,A835)-1)</f>
        <v>K835:L843</v>
      </c>
      <c r="O835" t="str">
        <f t="shared" ref="O835:O898" si="69">"A"&amp;MATCH(A835,A:A,0)&amp;":A"&amp;ROW()</f>
        <v>A835:A835</v>
      </c>
    </row>
    <row r="836" spans="1:15">
      <c r="A836" s="18" t="str">
        <f>Charms!K836</f>
        <v>White Reaper</v>
      </c>
      <c r="B836" t="str">
        <f>Charms!B836</f>
        <v>Revolving Crescent Defense</v>
      </c>
      <c r="C836" t="b">
        <f ca="1">OR(Values!$S$98&gt;=Charms!M836,IFERROR(Charms!J836=OFFSET(Values!$A$24,MATCH("S",Values!$T$25:$T$50,0),0),FALSE))</f>
        <v>1</v>
      </c>
      <c r="D836" t="b">
        <f>VLOOKUP(Charms!J836,Values!$A$11:$S$59,19,0)&gt;=Charms!L836</f>
        <v>0</v>
      </c>
      <c r="E836" t="e">
        <f>OR(ISBLANK(Charms!I836),(VLOOKUP(Values!$S$6,Castes!$B$2:$F$25,4,0)=Charms!I836))</f>
        <v>#N/A</v>
      </c>
      <c r="J836" t="e">
        <f t="shared" ca="1" si="66"/>
        <v>#N/A</v>
      </c>
      <c r="K836" s="18" t="e">
        <f t="shared" ca="1" si="65"/>
        <v>#N/A</v>
      </c>
      <c r="L836" t="e">
        <f ca="1">IF(J836,Charms!B836,"")</f>
        <v>#N/A</v>
      </c>
      <c r="M836" t="str">
        <f t="shared" ca="1" si="67"/>
        <v>-</v>
      </c>
      <c r="N836" s="18" t="str">
        <f t="shared" si="68"/>
        <v>K835:L843</v>
      </c>
      <c r="O836" t="str">
        <f t="shared" si="69"/>
        <v>A835:A836</v>
      </c>
    </row>
    <row r="837" spans="1:15">
      <c r="A837" s="18" t="str">
        <f>Charms!K837</f>
        <v>White Reaper</v>
      </c>
      <c r="B837" t="str">
        <f>Charms!B837</f>
        <v>Flickering Corona Barrier</v>
      </c>
      <c r="C837" t="b">
        <f ca="1">OR(Values!$S$98&gt;=Charms!M837,IFERROR(Charms!J837=OFFSET(Values!$A$24,MATCH("S",Values!$T$25:$T$50,0),0),FALSE))</f>
        <v>0</v>
      </c>
      <c r="D837" t="b">
        <f>VLOOKUP(Charms!J837,Values!$A$11:$S$59,19,0)&gt;=Charms!L837</f>
        <v>0</v>
      </c>
      <c r="E837" t="e">
        <f>OR(ISBLANK(Charms!I837),(VLOOKUP(Values!$S$6,Castes!$B$2:$F$25,4,0)=Charms!I837))</f>
        <v>#N/A</v>
      </c>
      <c r="J837" t="e">
        <f t="shared" ca="1" si="66"/>
        <v>#N/A</v>
      </c>
      <c r="K837" s="18" t="e">
        <f t="shared" ca="1" si="65"/>
        <v>#N/A</v>
      </c>
      <c r="L837" t="e">
        <f ca="1">IF(J837,Charms!B837,"")</f>
        <v>#N/A</v>
      </c>
      <c r="M837" t="str">
        <f t="shared" ca="1" si="67"/>
        <v>-</v>
      </c>
      <c r="N837" s="18" t="str">
        <f t="shared" si="68"/>
        <v>K835:L843</v>
      </c>
      <c r="O837" t="str">
        <f t="shared" si="69"/>
        <v>A835:A837</v>
      </c>
    </row>
    <row r="838" spans="1:15">
      <c r="A838" s="18" t="str">
        <f>Charms!K838</f>
        <v>White Reaper</v>
      </c>
      <c r="B838" t="str">
        <f>Charms!B838</f>
        <v>White Reaper Form</v>
      </c>
      <c r="C838" t="b">
        <f ca="1">OR(Values!$S$98&gt;=Charms!M838,IFERROR(Charms!J838=OFFSET(Values!$A$24,MATCH("S",Values!$T$25:$T$50,0),0),FALSE))</f>
        <v>1</v>
      </c>
      <c r="D838" t="b">
        <f>VLOOKUP(Charms!J838,Values!$A$11:$S$59,19,0)&gt;=Charms!L838</f>
        <v>0</v>
      </c>
      <c r="E838" t="e">
        <f>OR(ISBLANK(Charms!I838),(VLOOKUP(Values!$S$6,Castes!$B$2:$F$25,4,0)=Charms!I838))</f>
        <v>#N/A</v>
      </c>
      <c r="J838" t="e">
        <f t="shared" ca="1" si="66"/>
        <v>#N/A</v>
      </c>
      <c r="K838" s="18" t="e">
        <f t="shared" ca="1" si="65"/>
        <v>#N/A</v>
      </c>
      <c r="L838" t="e">
        <f ca="1">IF(J838,Charms!B838,"")</f>
        <v>#N/A</v>
      </c>
      <c r="M838" t="str">
        <f t="shared" ca="1" si="67"/>
        <v>-</v>
      </c>
      <c r="N838" s="18" t="str">
        <f t="shared" si="68"/>
        <v>K835:L843</v>
      </c>
      <c r="O838" t="str">
        <f t="shared" si="69"/>
        <v>A835:A838</v>
      </c>
    </row>
    <row r="839" spans="1:15">
      <c r="A839" s="18" t="str">
        <f>Charms!K839</f>
        <v>White Reaper</v>
      </c>
      <c r="B839" t="str">
        <f>Charms!B839</f>
        <v>Bleeding Crescent Strike</v>
      </c>
      <c r="C839" t="b">
        <f ca="1">OR(Values!$S$98&gt;=Charms!M839,IFERROR(Charms!J839=OFFSET(Values!$A$24,MATCH("S",Values!$T$25:$T$50,0),0),FALSE))</f>
        <v>0</v>
      </c>
      <c r="D839" t="b">
        <f>VLOOKUP(Charms!J839,Values!$A$11:$S$59,19,0)&gt;=Charms!L839</f>
        <v>0</v>
      </c>
      <c r="E839" t="e">
        <f>OR(ISBLANK(Charms!I839),(VLOOKUP(Values!$S$6,Castes!$B$2:$F$25,4,0)=Charms!I839))</f>
        <v>#N/A</v>
      </c>
      <c r="J839" t="e">
        <f t="shared" ca="1" si="66"/>
        <v>#N/A</v>
      </c>
      <c r="K839" s="18" t="e">
        <f t="shared" ca="1" si="65"/>
        <v>#N/A</v>
      </c>
      <c r="L839" t="e">
        <f ca="1">IF(J839,Charms!B839,"")</f>
        <v>#N/A</v>
      </c>
      <c r="M839" t="str">
        <f t="shared" ca="1" si="67"/>
        <v>-</v>
      </c>
      <c r="N839" s="18" t="str">
        <f t="shared" si="68"/>
        <v>K835:L843</v>
      </c>
      <c r="O839" t="str">
        <f t="shared" si="69"/>
        <v>A835:A839</v>
      </c>
    </row>
    <row r="840" spans="1:15">
      <c r="A840" s="18" t="str">
        <f>Charms!K840</f>
        <v>White Reaper</v>
      </c>
      <c r="B840" t="str">
        <f>Charms!B840</f>
        <v>Impenetrable White Shroud</v>
      </c>
      <c r="C840" t="b">
        <f ca="1">OR(Values!$S$98&gt;=Charms!M840,IFERROR(Charms!J840=OFFSET(Values!$A$24,MATCH("S",Values!$T$25:$T$50,0),0),FALSE))</f>
        <v>0</v>
      </c>
      <c r="D840" t="b">
        <f>VLOOKUP(Charms!J840,Values!$A$11:$S$59,19,0)&gt;=Charms!L840</f>
        <v>0</v>
      </c>
      <c r="E840" t="e">
        <f>OR(ISBLANK(Charms!I840),(VLOOKUP(Values!$S$6,Castes!$B$2:$F$25,4,0)=Charms!I840))</f>
        <v>#N/A</v>
      </c>
      <c r="J840" t="e">
        <f t="shared" ca="1" si="66"/>
        <v>#N/A</v>
      </c>
      <c r="K840" s="18" t="e">
        <f t="shared" ca="1" si="65"/>
        <v>#N/A</v>
      </c>
      <c r="L840" t="e">
        <f ca="1">IF(J840,Charms!B840,"")</f>
        <v>#N/A</v>
      </c>
      <c r="M840" t="str">
        <f t="shared" ca="1" si="67"/>
        <v>-</v>
      </c>
      <c r="N840" s="18" t="str">
        <f t="shared" si="68"/>
        <v>K835:L843</v>
      </c>
      <c r="O840" t="str">
        <f t="shared" si="69"/>
        <v>A835:A840</v>
      </c>
    </row>
    <row r="841" spans="1:15">
      <c r="A841" s="18" t="str">
        <f>Charms!K841</f>
        <v>White Reaper</v>
      </c>
      <c r="B841" t="str">
        <f>Charms!B841</f>
        <v>Greatest Killer Attitude</v>
      </c>
      <c r="C841" t="b">
        <f ca="1">OR(Values!$S$98&gt;=Charms!M841,IFERROR(Charms!J841=OFFSET(Values!$A$24,MATCH("S",Values!$T$25:$T$50,0),0),FALSE))</f>
        <v>0</v>
      </c>
      <c r="D841" t="b">
        <f>VLOOKUP(Charms!J841,Values!$A$11:$S$59,19,0)&gt;=Charms!L841</f>
        <v>0</v>
      </c>
      <c r="E841" t="e">
        <f>OR(ISBLANK(Charms!I841),(VLOOKUP(Values!$S$6,Castes!$B$2:$F$25,4,0)=Charms!I841))</f>
        <v>#N/A</v>
      </c>
      <c r="J841" t="e">
        <f t="shared" ca="1" si="66"/>
        <v>#N/A</v>
      </c>
      <c r="K841" s="18" t="e">
        <f t="shared" ca="1" si="65"/>
        <v>#N/A</v>
      </c>
      <c r="L841" t="e">
        <f ca="1">IF(J841,Charms!B841,"")</f>
        <v>#N/A</v>
      </c>
      <c r="M841" t="str">
        <f t="shared" ca="1" si="67"/>
        <v>-</v>
      </c>
      <c r="N841" s="18" t="str">
        <f t="shared" si="68"/>
        <v>K835:L843</v>
      </c>
      <c r="O841" t="str">
        <f t="shared" si="69"/>
        <v>A835:A841</v>
      </c>
    </row>
    <row r="842" spans="1:15">
      <c r="A842" s="18" t="str">
        <f>Charms!K842</f>
        <v>White Reaper</v>
      </c>
      <c r="B842" t="str">
        <f>Charms!B842</f>
        <v>Enemies Like Grass</v>
      </c>
      <c r="C842" t="b">
        <f ca="1">OR(Values!$S$98&gt;=Charms!M842,IFERROR(Charms!J842=OFFSET(Values!$A$24,MATCH("S",Values!$T$25:$T$50,0),0),FALSE))</f>
        <v>0</v>
      </c>
      <c r="D842" t="b">
        <f>VLOOKUP(Charms!J842,Values!$A$11:$S$59,19,0)&gt;=Charms!L842</f>
        <v>0</v>
      </c>
      <c r="E842" t="e">
        <f>OR(ISBLANK(Charms!I842),(VLOOKUP(Values!$S$6,Castes!$B$2:$F$25,4,0)=Charms!I842))</f>
        <v>#N/A</v>
      </c>
      <c r="J842" t="e">
        <f t="shared" ca="1" si="66"/>
        <v>#N/A</v>
      </c>
      <c r="K842" s="18" t="e">
        <f t="shared" ca="1" si="65"/>
        <v>#N/A</v>
      </c>
      <c r="L842" t="e">
        <f ca="1">IF(J842,Charms!B842,"")</f>
        <v>#N/A</v>
      </c>
      <c r="M842" t="str">
        <f t="shared" ca="1" si="67"/>
        <v>-</v>
      </c>
      <c r="N842" s="18" t="str">
        <f t="shared" si="68"/>
        <v>K835:L843</v>
      </c>
      <c r="O842" t="str">
        <f t="shared" si="69"/>
        <v>A835:A842</v>
      </c>
    </row>
    <row r="843" spans="1:15">
      <c r="A843" s="18" t="str">
        <f>Charms!K843</f>
        <v>White Reaper</v>
      </c>
      <c r="B843" t="str">
        <f>Charms!B843</f>
        <v>Snow Follows Winter</v>
      </c>
      <c r="C843" t="b">
        <f ca="1">OR(Values!$S$98&gt;=Charms!M843,IFERROR(Charms!J843=OFFSET(Values!$A$24,MATCH("S",Values!$T$25:$T$50,0),0),FALSE))</f>
        <v>0</v>
      </c>
      <c r="D843" t="b">
        <f>VLOOKUP(Charms!J843,Values!$A$11:$S$59,19,0)&gt;=Charms!L843</f>
        <v>0</v>
      </c>
      <c r="E843" t="e">
        <f>OR(ISBLANK(Charms!I843),(VLOOKUP(Values!$S$6,Castes!$B$2:$F$25,4,0)=Charms!I843))</f>
        <v>#N/A</v>
      </c>
      <c r="J843" t="e">
        <f t="shared" ca="1" si="66"/>
        <v>#N/A</v>
      </c>
      <c r="K843" s="18" t="e">
        <f t="shared" ca="1" si="65"/>
        <v>#N/A</v>
      </c>
      <c r="L843" t="e">
        <f ca="1">IF(J843,Charms!B843,"")</f>
        <v>#N/A</v>
      </c>
      <c r="M843" t="str">
        <f t="shared" ca="1" si="67"/>
        <v>-</v>
      </c>
      <c r="N843" s="18" t="str">
        <f t="shared" si="68"/>
        <v>K835:L843</v>
      </c>
      <c r="O843" t="str">
        <f t="shared" si="69"/>
        <v>A835:A843</v>
      </c>
    </row>
    <row r="844" spans="1:15">
      <c r="A844" s="18" t="str">
        <f>Charms!K844</f>
        <v>Wood Dragon</v>
      </c>
      <c r="B844" t="str">
        <f>Charms!B844</f>
        <v>Wood Dragon Vitality</v>
      </c>
      <c r="C844" t="b">
        <f ca="1">OR(Values!$S$98&gt;=Charms!M844,IFERROR(Charms!J844=OFFSET(Values!$A$24,MATCH("S",Values!$T$25:$T$50,0),0),FALSE))</f>
        <v>1</v>
      </c>
      <c r="D844" t="b">
        <f>VLOOKUP(Charms!J844,Values!$A$11:$S$59,19,0)&gt;=Charms!L844</f>
        <v>0</v>
      </c>
      <c r="E844" t="e">
        <f>OR(ISBLANK(Charms!I844),(VLOOKUP(Values!$S$6,Castes!$B$2:$F$25,4,0)=Charms!I844))</f>
        <v>#N/A</v>
      </c>
      <c r="J844" t="e">
        <f t="shared" ca="1" si="66"/>
        <v>#N/A</v>
      </c>
      <c r="K844" s="18" t="e">
        <f t="shared" ca="1" si="65"/>
        <v>#N/A</v>
      </c>
      <c r="L844" t="e">
        <f ca="1">IF(J844,Charms!B844,"")</f>
        <v>#N/A</v>
      </c>
      <c r="M844" t="str">
        <f t="shared" ca="1" si="67"/>
        <v>-</v>
      </c>
      <c r="N844" s="18" t="str">
        <f t="shared" si="68"/>
        <v>K844:L855</v>
      </c>
      <c r="O844" t="str">
        <f t="shared" si="69"/>
        <v>A844:A844</v>
      </c>
    </row>
    <row r="845" spans="1:15">
      <c r="A845" s="18" t="str">
        <f>Charms!K845</f>
        <v>Wood Dragon</v>
      </c>
      <c r="B845" t="str">
        <f>Charms!B845</f>
        <v>Eyes of the Wood Dragon</v>
      </c>
      <c r="C845" t="b">
        <f ca="1">OR(Values!$S$98&gt;=Charms!M845,IFERROR(Charms!J845=OFFSET(Values!$A$24,MATCH("S",Values!$T$25:$T$50,0),0),FALSE))</f>
        <v>1</v>
      </c>
      <c r="D845" t="b">
        <f>VLOOKUP(Charms!J845,Values!$A$11:$S$59,19,0)&gt;=Charms!L845</f>
        <v>0</v>
      </c>
      <c r="E845" t="e">
        <f>OR(ISBLANK(Charms!I845),(VLOOKUP(Values!$S$6,Castes!$B$2:$F$25,4,0)=Charms!I845))</f>
        <v>#N/A</v>
      </c>
      <c r="J845" t="e">
        <f t="shared" ca="1" si="66"/>
        <v>#N/A</v>
      </c>
      <c r="K845" s="18" t="e">
        <f t="shared" ca="1" si="65"/>
        <v>#N/A</v>
      </c>
      <c r="L845" t="e">
        <f ca="1">IF(J845,Charms!B845,"")</f>
        <v>#N/A</v>
      </c>
      <c r="M845" t="str">
        <f t="shared" ca="1" si="67"/>
        <v>-</v>
      </c>
      <c r="N845" s="18" t="str">
        <f t="shared" si="68"/>
        <v>K844:L855</v>
      </c>
      <c r="O845" t="str">
        <f t="shared" si="69"/>
        <v>A844:A845</v>
      </c>
    </row>
    <row r="846" spans="1:15">
      <c r="A846" s="18" t="str">
        <f>Charms!K846</f>
        <v>Wood Dragon</v>
      </c>
      <c r="B846" t="str">
        <f>Charms!B846</f>
        <v>Mind-Over-Body Meditation</v>
      </c>
      <c r="C846" t="b">
        <f ca="1">OR(Values!$S$98&gt;=Charms!M846,IFERROR(Charms!J846=OFFSET(Values!$A$24,MATCH("S",Values!$T$25:$T$50,0),0),FALSE))</f>
        <v>0</v>
      </c>
      <c r="D846" t="b">
        <f>VLOOKUP(Charms!J846,Values!$A$11:$S$59,19,0)&gt;=Charms!L846</f>
        <v>0</v>
      </c>
      <c r="E846" t="e">
        <f>OR(ISBLANK(Charms!I846),(VLOOKUP(Values!$S$6,Castes!$B$2:$F$25,4,0)=Charms!I846))</f>
        <v>#N/A</v>
      </c>
      <c r="J846" t="e">
        <f t="shared" ca="1" si="66"/>
        <v>#N/A</v>
      </c>
      <c r="K846" s="18" t="e">
        <f t="shared" ca="1" si="65"/>
        <v>#N/A</v>
      </c>
      <c r="L846" t="e">
        <f ca="1">IF(J846,Charms!B846,"")</f>
        <v>#N/A</v>
      </c>
      <c r="M846" t="str">
        <f t="shared" ca="1" si="67"/>
        <v>-</v>
      </c>
      <c r="N846" s="18" t="str">
        <f t="shared" si="68"/>
        <v>K844:L855</v>
      </c>
      <c r="O846" t="str">
        <f t="shared" si="69"/>
        <v>A844:A846</v>
      </c>
    </row>
    <row r="847" spans="1:15">
      <c r="A847" s="18" t="str">
        <f>Charms!K847</f>
        <v>Wood Dragon</v>
      </c>
      <c r="B847" t="str">
        <f>Charms!B847</f>
        <v>Soul-Marking Style</v>
      </c>
      <c r="C847" t="b">
        <f ca="1">OR(Values!$S$98&gt;=Charms!M847,IFERROR(Charms!J847=OFFSET(Values!$A$24,MATCH("S",Values!$T$25:$T$50,0),0),FALSE))</f>
        <v>0</v>
      </c>
      <c r="D847" t="b">
        <f>VLOOKUP(Charms!J847,Values!$A$11:$S$59,19,0)&gt;=Charms!L847</f>
        <v>0</v>
      </c>
      <c r="E847" t="e">
        <f>OR(ISBLANK(Charms!I847),(VLOOKUP(Values!$S$6,Castes!$B$2:$F$25,4,0)=Charms!I847))</f>
        <v>#N/A</v>
      </c>
      <c r="J847" t="e">
        <f t="shared" ca="1" si="66"/>
        <v>#N/A</v>
      </c>
      <c r="K847" s="18" t="e">
        <f t="shared" ca="1" si="65"/>
        <v>#N/A</v>
      </c>
      <c r="L847" t="e">
        <f ca="1">IF(J847,Charms!B847,"")</f>
        <v>#N/A</v>
      </c>
      <c r="M847" t="str">
        <f t="shared" ca="1" si="67"/>
        <v>-</v>
      </c>
      <c r="N847" s="18" t="str">
        <f t="shared" si="68"/>
        <v>K844:L855</v>
      </c>
      <c r="O847" t="str">
        <f t="shared" si="69"/>
        <v>A844:A847</v>
      </c>
    </row>
    <row r="848" spans="1:15">
      <c r="A848" s="18" t="str">
        <f>Charms!K848</f>
        <v>Wood Dragon</v>
      </c>
      <c r="B848" t="str">
        <f>Charms!B848</f>
        <v>Wood Dragon Form</v>
      </c>
      <c r="C848" t="b">
        <f ca="1">OR(Values!$S$98&gt;=Charms!M848,IFERROR(Charms!J848=OFFSET(Values!$A$24,MATCH("S",Values!$T$25:$T$50,0),0),FALSE))</f>
        <v>0</v>
      </c>
      <c r="D848" t="b">
        <f>VLOOKUP(Charms!J848,Values!$A$11:$S$59,19,0)&gt;=Charms!L848</f>
        <v>0</v>
      </c>
      <c r="E848" t="e">
        <f>OR(ISBLANK(Charms!I848),(VLOOKUP(Values!$S$6,Castes!$B$2:$F$25,4,0)=Charms!I848))</f>
        <v>#N/A</v>
      </c>
      <c r="J848" t="e">
        <f t="shared" ca="1" si="66"/>
        <v>#N/A</v>
      </c>
      <c r="K848" s="18" t="e">
        <f t="shared" ca="1" si="65"/>
        <v>#N/A</v>
      </c>
      <c r="L848" t="e">
        <f ca="1">IF(J848,Charms!B848,"")</f>
        <v>#N/A</v>
      </c>
      <c r="M848" t="str">
        <f t="shared" ca="1" si="67"/>
        <v>-</v>
      </c>
      <c r="N848" s="18" t="str">
        <f t="shared" si="68"/>
        <v>K844:L855</v>
      </c>
      <c r="O848" t="str">
        <f t="shared" si="69"/>
        <v>A844:A848</v>
      </c>
    </row>
    <row r="849" spans="1:15">
      <c r="A849" s="18" t="str">
        <f>Charms!K849</f>
        <v>Wood Dragon</v>
      </c>
      <c r="B849" t="str">
        <f>Charms!B849</f>
        <v>Spirit-Wracking Method</v>
      </c>
      <c r="C849" t="b">
        <f ca="1">OR(Values!$S$98&gt;=Charms!M849,IFERROR(Charms!J849=OFFSET(Values!$A$24,MATCH("S",Values!$T$25:$T$50,0),0),FALSE))</f>
        <v>0</v>
      </c>
      <c r="D849" t="b">
        <f>VLOOKUP(Charms!J849,Values!$A$11:$S$59,19,0)&gt;=Charms!L849</f>
        <v>0</v>
      </c>
      <c r="E849" t="e">
        <f>OR(ISBLANK(Charms!I849),(VLOOKUP(Values!$S$6,Castes!$B$2:$F$25,4,0)=Charms!I849))</f>
        <v>#N/A</v>
      </c>
      <c r="J849" t="e">
        <f t="shared" ca="1" si="66"/>
        <v>#N/A</v>
      </c>
      <c r="K849" s="18" t="e">
        <f t="shared" ca="1" si="65"/>
        <v>#N/A</v>
      </c>
      <c r="L849" t="e">
        <f ca="1">IF(J849,Charms!B849,"")</f>
        <v>#N/A</v>
      </c>
      <c r="M849" t="str">
        <f t="shared" ca="1" si="67"/>
        <v>-</v>
      </c>
      <c r="N849" s="18" t="str">
        <f t="shared" si="68"/>
        <v>K844:L855</v>
      </c>
      <c r="O849" t="str">
        <f t="shared" si="69"/>
        <v>A844:A849</v>
      </c>
    </row>
    <row r="850" spans="1:15">
      <c r="A850" s="18" t="str">
        <f>Charms!K850</f>
        <v>Wood Dragon</v>
      </c>
      <c r="B850" t="str">
        <f>Charms!B850</f>
        <v>Death-Pattern-Sensing Attitude</v>
      </c>
      <c r="C850" t="b">
        <f ca="1">OR(Values!$S$98&gt;=Charms!M850,IFERROR(Charms!J850=OFFSET(Values!$A$24,MATCH("S",Values!$T$25:$T$50,0),0),FALSE))</f>
        <v>0</v>
      </c>
      <c r="D850" t="b">
        <f>VLOOKUP(Charms!J850,Values!$A$11:$S$59,19,0)&gt;=Charms!L850</f>
        <v>0</v>
      </c>
      <c r="E850" t="e">
        <f>OR(ISBLANK(Charms!I850),(VLOOKUP(Values!$S$6,Castes!$B$2:$F$25,4,0)=Charms!I850))</f>
        <v>#N/A</v>
      </c>
      <c r="J850" t="e">
        <f t="shared" ca="1" si="66"/>
        <v>#N/A</v>
      </c>
      <c r="K850" s="18" t="e">
        <f t="shared" ca="1" si="65"/>
        <v>#N/A</v>
      </c>
      <c r="L850" t="e">
        <f ca="1">IF(J850,Charms!B850,"")</f>
        <v>#N/A</v>
      </c>
      <c r="M850" t="str">
        <f t="shared" ca="1" si="67"/>
        <v>-</v>
      </c>
      <c r="N850" s="18" t="str">
        <f t="shared" si="68"/>
        <v>K844:L855</v>
      </c>
      <c r="O850" t="str">
        <f t="shared" si="69"/>
        <v>A844:A850</v>
      </c>
    </row>
    <row r="851" spans="1:15">
      <c r="A851" s="18" t="str">
        <f>Charms!K851</f>
        <v>Wood Dragon</v>
      </c>
      <c r="B851" t="str">
        <f>Charms!B851</f>
        <v>Spirit-Rending Technique</v>
      </c>
      <c r="C851" t="b">
        <f ca="1">OR(Values!$S$98&gt;=Charms!M851,IFERROR(Charms!J851=OFFSET(Values!$A$24,MATCH("S",Values!$T$25:$T$50,0),0),FALSE))</f>
        <v>0</v>
      </c>
      <c r="D851" t="b">
        <f>VLOOKUP(Charms!J851,Values!$A$11:$S$59,19,0)&gt;=Charms!L851</f>
        <v>0</v>
      </c>
      <c r="E851" t="e">
        <f>OR(ISBLANK(Charms!I851),(VLOOKUP(Values!$S$6,Castes!$B$2:$F$25,4,0)=Charms!I851))</f>
        <v>#N/A</v>
      </c>
      <c r="J851" t="e">
        <f t="shared" ca="1" si="66"/>
        <v>#N/A</v>
      </c>
      <c r="K851" s="18" t="e">
        <f t="shared" ca="1" si="65"/>
        <v>#N/A</v>
      </c>
      <c r="L851" t="e">
        <f ca="1">IF(J851,Charms!B851,"")</f>
        <v>#N/A</v>
      </c>
      <c r="M851" t="str">
        <f t="shared" ca="1" si="67"/>
        <v>-</v>
      </c>
      <c r="N851" s="18" t="str">
        <f t="shared" si="68"/>
        <v>K844:L855</v>
      </c>
      <c r="O851" t="str">
        <f t="shared" si="69"/>
        <v>A844:A851</v>
      </c>
    </row>
    <row r="852" spans="1:15">
      <c r="A852" s="18" t="str">
        <f>Charms!K852</f>
        <v>Wood Dragon</v>
      </c>
      <c r="B852" t="str">
        <f>Charms!B852</f>
        <v>Unbreakable Fascination Kata</v>
      </c>
      <c r="C852" t="b">
        <f ca="1">OR(Values!$S$98&gt;=Charms!M852,IFERROR(Charms!J852=OFFSET(Values!$A$24,MATCH("S",Values!$T$25:$T$50,0),0),FALSE))</f>
        <v>0</v>
      </c>
      <c r="D852" t="b">
        <f>VLOOKUP(Charms!J852,Values!$A$11:$S$59,19,0)&gt;=Charms!L852</f>
        <v>0</v>
      </c>
      <c r="E852" t="e">
        <f>OR(ISBLANK(Charms!I852),(VLOOKUP(Values!$S$6,Castes!$B$2:$F$25,4,0)=Charms!I852))</f>
        <v>#N/A</v>
      </c>
      <c r="J852" t="e">
        <f t="shared" ca="1" si="66"/>
        <v>#N/A</v>
      </c>
      <c r="K852" s="18" t="e">
        <f t="shared" ca="1" si="65"/>
        <v>#N/A</v>
      </c>
      <c r="L852" t="e">
        <f ca="1">IF(J852,Charms!B852,"")</f>
        <v>#N/A</v>
      </c>
      <c r="M852" t="str">
        <f t="shared" ca="1" si="67"/>
        <v>-</v>
      </c>
      <c r="N852" s="18" t="str">
        <f t="shared" si="68"/>
        <v>K844:L855</v>
      </c>
      <c r="O852" t="str">
        <f t="shared" si="69"/>
        <v>A844:A852</v>
      </c>
    </row>
    <row r="853" spans="1:15">
      <c r="A853" s="18" t="str">
        <f>Charms!K853</f>
        <v>Wood Dragon</v>
      </c>
      <c r="B853" t="str">
        <f>Charms!B853</f>
        <v>Enthralling Blow Attack</v>
      </c>
      <c r="C853" t="b">
        <f ca="1">OR(Values!$S$98&gt;=Charms!M853,IFERROR(Charms!J853=OFFSET(Values!$A$24,MATCH("S",Values!$T$25:$T$50,0),0),FALSE))</f>
        <v>0</v>
      </c>
      <c r="D853" t="b">
        <f>VLOOKUP(Charms!J853,Values!$A$11:$S$59,19,0)&gt;=Charms!L853</f>
        <v>0</v>
      </c>
      <c r="E853" t="e">
        <f>OR(ISBLANK(Charms!I853),(VLOOKUP(Values!$S$6,Castes!$B$2:$F$25,4,0)=Charms!I853))</f>
        <v>#N/A</v>
      </c>
      <c r="J853" t="e">
        <f t="shared" ca="1" si="66"/>
        <v>#N/A</v>
      </c>
      <c r="K853" s="18" t="e">
        <f t="shared" ca="1" si="65"/>
        <v>#N/A</v>
      </c>
      <c r="L853" t="e">
        <f ca="1">IF(J853,Charms!B853,"")</f>
        <v>#N/A</v>
      </c>
      <c r="M853" t="str">
        <f t="shared" ca="1" si="67"/>
        <v>-</v>
      </c>
      <c r="N853" s="18" t="str">
        <f t="shared" si="68"/>
        <v>K844:L855</v>
      </c>
      <c r="O853" t="str">
        <f t="shared" si="69"/>
        <v>A844:A853</v>
      </c>
    </row>
    <row r="854" spans="1:15">
      <c r="A854" s="18" t="str">
        <f>Charms!K854</f>
        <v>Wood Dragon</v>
      </c>
      <c r="B854" t="str">
        <f>Charms!B854</f>
        <v>Wood Dragon Succor</v>
      </c>
      <c r="C854" t="b">
        <f ca="1">OR(Values!$S$98&gt;=Charms!M854,IFERROR(Charms!J854=OFFSET(Values!$A$24,MATCH("S",Values!$T$25:$T$50,0),0),FALSE))</f>
        <v>0</v>
      </c>
      <c r="D854" t="b">
        <f>VLOOKUP(Charms!J854,Values!$A$11:$S$59,19,0)&gt;=Charms!L854</f>
        <v>0</v>
      </c>
      <c r="E854" t="e">
        <f>OR(ISBLANK(Charms!I854),(VLOOKUP(Values!$S$6,Castes!$B$2:$F$25,4,0)=Charms!I854))</f>
        <v>#N/A</v>
      </c>
      <c r="J854" t="e">
        <f t="shared" ca="1" si="66"/>
        <v>#N/A</v>
      </c>
      <c r="K854" s="18" t="e">
        <f t="shared" ca="1" si="65"/>
        <v>#N/A</v>
      </c>
      <c r="L854" t="e">
        <f ca="1">IF(J854,Charms!B854,"")</f>
        <v>#N/A</v>
      </c>
      <c r="M854" t="str">
        <f t="shared" ca="1" si="67"/>
        <v>-</v>
      </c>
      <c r="N854" s="18" t="str">
        <f t="shared" si="68"/>
        <v>K844:L855</v>
      </c>
      <c r="O854" t="str">
        <f t="shared" si="69"/>
        <v>A844:A854</v>
      </c>
    </row>
    <row r="855" spans="1:15">
      <c r="A855" s="18" t="str">
        <f>Charms!K855</f>
        <v>Wood Dragon</v>
      </c>
      <c r="B855" t="str">
        <f>Charms!B855</f>
        <v>Soul Mastery</v>
      </c>
      <c r="C855" t="b">
        <f ca="1">OR(Values!$S$98&gt;=Charms!M855,IFERROR(Charms!J855=OFFSET(Values!$A$24,MATCH("S",Values!$T$25:$T$50,0),0),FALSE))</f>
        <v>0</v>
      </c>
      <c r="D855" t="b">
        <f>VLOOKUP(Charms!J855,Values!$A$11:$S$59,19,0)&gt;=Charms!L855</f>
        <v>0</v>
      </c>
      <c r="E855" t="e">
        <f>OR(ISBLANK(Charms!I855),(VLOOKUP(Values!$S$6,Castes!$B$2:$F$25,4,0)=Charms!I855))</f>
        <v>#N/A</v>
      </c>
      <c r="J855" t="e">
        <f t="shared" ca="1" si="66"/>
        <v>#N/A</v>
      </c>
      <c r="K855" s="18" t="e">
        <f t="shared" ca="1" si="65"/>
        <v>#N/A</v>
      </c>
      <c r="L855" t="e">
        <f ca="1">IF(J855,Charms!B855,"")</f>
        <v>#N/A</v>
      </c>
      <c r="M855" t="str">
        <f t="shared" ca="1" si="67"/>
        <v>-</v>
      </c>
      <c r="N855" s="18" t="str">
        <f t="shared" si="68"/>
        <v>K844:L855</v>
      </c>
      <c r="O855" t="str">
        <f t="shared" si="69"/>
        <v>A844:A855</v>
      </c>
    </row>
    <row r="856" spans="1:15">
      <c r="A856" s="18" t="str">
        <f>Charms!K856</f>
        <v>Medicine</v>
      </c>
      <c r="B856" t="str">
        <f>Charms!B856</f>
        <v>Ailment-Rectifying Method</v>
      </c>
      <c r="C856" t="b">
        <f ca="1">OR(Values!$S$98&gt;=Charms!M856,IFERROR(Charms!J856=OFFSET(Values!$A$24,MATCH("S",Values!$T$25:$T$50,0),0),FALSE))</f>
        <v>1</v>
      </c>
      <c r="D856" t="b">
        <f>VLOOKUP(Charms!J856,Values!$A$11:$S$59,19,0)&gt;=Charms!L856</f>
        <v>0</v>
      </c>
      <c r="E856" t="e">
        <f>OR(ISBLANK(Charms!I856),(VLOOKUP(Values!$S$6,Castes!$B$2:$F$25,4,0)=Charms!I856))</f>
        <v>#N/A</v>
      </c>
      <c r="J856" t="e">
        <f t="shared" ca="1" si="66"/>
        <v>#N/A</v>
      </c>
      <c r="K856" s="18" t="e">
        <f t="shared" ca="1" si="65"/>
        <v>#N/A</v>
      </c>
      <c r="L856" t="e">
        <f ca="1">IF(J856,Charms!B856,"")</f>
        <v>#N/A</v>
      </c>
      <c r="M856" t="str">
        <f t="shared" ca="1" si="67"/>
        <v>-</v>
      </c>
      <c r="N856" s="18" t="str">
        <f t="shared" si="68"/>
        <v>K856:L898</v>
      </c>
      <c r="O856" t="str">
        <f t="shared" si="69"/>
        <v>A856:A856</v>
      </c>
    </row>
    <row r="857" spans="1:15">
      <c r="A857" s="18" t="str">
        <f>Charms!K857</f>
        <v>Medicine</v>
      </c>
      <c r="B857" t="str">
        <f>Charms!B857</f>
        <v>Flawless Diagnosis Technique</v>
      </c>
      <c r="C857" t="b">
        <f ca="1">OR(Values!$S$98&gt;=Charms!M857,IFERROR(Charms!J857=OFFSET(Values!$A$24,MATCH("S",Values!$T$25:$T$50,0),0),FALSE))</f>
        <v>1</v>
      </c>
      <c r="D857" t="b">
        <f>VLOOKUP(Charms!J857,Values!$A$11:$S$59,19,0)&gt;=Charms!L857</f>
        <v>0</v>
      </c>
      <c r="E857" t="e">
        <f>OR(ISBLANK(Charms!I857),(VLOOKUP(Values!$S$6,Castes!$B$2:$F$25,4,0)=Charms!I857))</f>
        <v>#N/A</v>
      </c>
      <c r="J857" t="e">
        <f t="shared" ca="1" si="66"/>
        <v>#N/A</v>
      </c>
      <c r="K857" s="18" t="e">
        <f t="shared" ca="1" si="65"/>
        <v>#N/A</v>
      </c>
      <c r="L857" t="e">
        <f ca="1">IF(J857,Charms!B857,"")</f>
        <v>#N/A</v>
      </c>
      <c r="M857" t="str">
        <f t="shared" ca="1" si="67"/>
        <v>-</v>
      </c>
      <c r="N857" s="18" t="str">
        <f t="shared" si="68"/>
        <v>K856:L898</v>
      </c>
      <c r="O857" t="str">
        <f t="shared" si="69"/>
        <v>A856:A857</v>
      </c>
    </row>
    <row r="858" spans="1:15">
      <c r="A858" s="18" t="str">
        <f>Charms!K858</f>
        <v>Medicine</v>
      </c>
      <c r="B858" t="str">
        <f>Charms!B858</f>
        <v>Plague-Banishing Incitation</v>
      </c>
      <c r="C858" t="b">
        <f ca="1">OR(Values!$S$98&gt;=Charms!M858,IFERROR(Charms!J858=OFFSET(Values!$A$24,MATCH("S",Values!$T$25:$T$50,0),0),FALSE))</f>
        <v>1</v>
      </c>
      <c r="D858" t="b">
        <f>VLOOKUP(Charms!J858,Values!$A$11:$S$59,19,0)&gt;=Charms!L858</f>
        <v>0</v>
      </c>
      <c r="E858" t="e">
        <f>OR(ISBLANK(Charms!I858),(VLOOKUP(Values!$S$6,Castes!$B$2:$F$25,4,0)=Charms!I858))</f>
        <v>#N/A</v>
      </c>
      <c r="J858" t="e">
        <f t="shared" ca="1" si="66"/>
        <v>#N/A</v>
      </c>
      <c r="K858" s="18" t="e">
        <f t="shared" ca="1" si="65"/>
        <v>#N/A</v>
      </c>
      <c r="L858" t="e">
        <f ca="1">IF(J858,Charms!B858,"")</f>
        <v>#N/A</v>
      </c>
      <c r="M858" t="str">
        <f t="shared" ca="1" si="67"/>
        <v>-</v>
      </c>
      <c r="N858" s="18" t="str">
        <f t="shared" si="68"/>
        <v>K856:L898</v>
      </c>
      <c r="O858" t="str">
        <f t="shared" si="69"/>
        <v>A856:A858</v>
      </c>
    </row>
    <row r="859" spans="1:15">
      <c r="A859" s="18" t="str">
        <f>Charms!K859</f>
        <v>Medicine</v>
      </c>
      <c r="B859" t="str">
        <f>Charms!B859</f>
        <v>Wound-Mending Care Technique</v>
      </c>
      <c r="C859" t="b">
        <f ca="1">OR(Values!$S$98&gt;=Charms!M859,IFERROR(Charms!J859=OFFSET(Values!$A$24,MATCH("S",Values!$T$25:$T$50,0),0),FALSE))</f>
        <v>1</v>
      </c>
      <c r="D859" t="b">
        <f>VLOOKUP(Charms!J859,Values!$A$11:$S$59,19,0)&gt;=Charms!L859</f>
        <v>0</v>
      </c>
      <c r="E859" t="e">
        <f>OR(ISBLANK(Charms!I859),(VLOOKUP(Values!$S$6,Castes!$B$2:$F$25,4,0)=Charms!I859))</f>
        <v>#N/A</v>
      </c>
      <c r="J859" t="e">
        <f t="shared" ca="1" si="66"/>
        <v>#N/A</v>
      </c>
      <c r="K859" s="18" t="e">
        <f t="shared" ca="1" si="65"/>
        <v>#N/A</v>
      </c>
      <c r="L859" t="e">
        <f ca="1">IF(J859,Charms!B859,"")</f>
        <v>#N/A</v>
      </c>
      <c r="M859" t="str">
        <f t="shared" ca="1" si="67"/>
        <v>-</v>
      </c>
      <c r="N859" s="18" t="str">
        <f t="shared" si="68"/>
        <v>K856:L898</v>
      </c>
      <c r="O859" t="str">
        <f t="shared" si="69"/>
        <v>A856:A859</v>
      </c>
    </row>
    <row r="860" spans="1:15">
      <c r="A860" s="18" t="str">
        <f>Charms!K860</f>
        <v>Medicine</v>
      </c>
      <c r="B860" t="str">
        <f>Charms!B860</f>
        <v>Wound-Cleansing Meditation</v>
      </c>
      <c r="C860" t="b">
        <f ca="1">OR(Values!$S$98&gt;=Charms!M860,IFERROR(Charms!J860=OFFSET(Values!$A$24,MATCH("S",Values!$T$25:$T$50,0),0),FALSE))</f>
        <v>1</v>
      </c>
      <c r="D860" t="b">
        <f>VLOOKUP(Charms!J860,Values!$A$11:$S$59,19,0)&gt;=Charms!L860</f>
        <v>0</v>
      </c>
      <c r="E860" t="e">
        <f>OR(ISBLANK(Charms!I860),(VLOOKUP(Values!$S$6,Castes!$B$2:$F$25,4,0)=Charms!I860))</f>
        <v>#N/A</v>
      </c>
      <c r="J860" t="e">
        <f t="shared" ca="1" si="66"/>
        <v>#N/A</v>
      </c>
      <c r="K860" s="18" t="e">
        <f t="shared" ca="1" si="65"/>
        <v>#N/A</v>
      </c>
      <c r="L860" t="e">
        <f ca="1">IF(J860,Charms!B860,"")</f>
        <v>#N/A</v>
      </c>
      <c r="M860" t="str">
        <f t="shared" ca="1" si="67"/>
        <v>-</v>
      </c>
      <c r="N860" s="18" t="str">
        <f t="shared" si="68"/>
        <v>K856:L898</v>
      </c>
      <c r="O860" t="str">
        <f t="shared" si="69"/>
        <v>A856:A860</v>
      </c>
    </row>
    <row r="861" spans="1:15">
      <c r="A861" s="18" t="str">
        <f>Charms!K861</f>
        <v>Medicine</v>
      </c>
      <c r="B861" t="str">
        <f>Charms!B861</f>
        <v>Touch of Blissful Release</v>
      </c>
      <c r="C861" t="b">
        <f ca="1">OR(Values!$S$98&gt;=Charms!M861,IFERROR(Charms!J861=OFFSET(Values!$A$24,MATCH("S",Values!$T$25:$T$50,0),0),FALSE))</f>
        <v>0</v>
      </c>
      <c r="D861" t="b">
        <f>VLOOKUP(Charms!J861,Values!$A$11:$S$59,19,0)&gt;=Charms!L861</f>
        <v>0</v>
      </c>
      <c r="E861" t="e">
        <f>OR(ISBLANK(Charms!I861),(VLOOKUP(Values!$S$6,Castes!$B$2:$F$25,4,0)=Charms!I861))</f>
        <v>#N/A</v>
      </c>
      <c r="J861" t="e">
        <f t="shared" ca="1" si="66"/>
        <v>#N/A</v>
      </c>
      <c r="K861" s="18" t="e">
        <f t="shared" ca="1" si="65"/>
        <v>#N/A</v>
      </c>
      <c r="L861" t="e">
        <f ca="1">IF(J861,Charms!B861,"")</f>
        <v>#N/A</v>
      </c>
      <c r="M861" t="str">
        <f t="shared" ca="1" si="67"/>
        <v>-</v>
      </c>
      <c r="N861" s="18" t="str">
        <f t="shared" si="68"/>
        <v>K856:L898</v>
      </c>
      <c r="O861" t="str">
        <f t="shared" si="69"/>
        <v>A856:A861</v>
      </c>
    </row>
    <row r="862" spans="1:15">
      <c r="A862" s="18" t="str">
        <f>Charms!K862</f>
        <v>Medicine</v>
      </c>
      <c r="B862" t="str">
        <f>Charms!B862</f>
        <v>Contagion-Curing Touch</v>
      </c>
      <c r="C862" t="b">
        <f ca="1">OR(Values!$S$98&gt;=Charms!M862,IFERROR(Charms!J862=OFFSET(Values!$A$24,MATCH("S",Values!$T$25:$T$50,0),0),FALSE))</f>
        <v>0</v>
      </c>
      <c r="D862" t="b">
        <f>VLOOKUP(Charms!J862,Values!$A$11:$S$59,19,0)&gt;=Charms!L862</f>
        <v>0</v>
      </c>
      <c r="E862" t="e">
        <f>OR(ISBLANK(Charms!I862),(VLOOKUP(Values!$S$6,Castes!$B$2:$F$25,4,0)=Charms!I862))</f>
        <v>#N/A</v>
      </c>
      <c r="J862" t="e">
        <f t="shared" ca="1" si="66"/>
        <v>#N/A</v>
      </c>
      <c r="K862" s="18" t="e">
        <f t="shared" ca="1" si="65"/>
        <v>#N/A</v>
      </c>
      <c r="L862" t="e">
        <f ca="1">IF(J862,Charms!B862,"")</f>
        <v>#N/A</v>
      </c>
      <c r="M862" t="str">
        <f t="shared" ca="1" si="67"/>
        <v>-</v>
      </c>
      <c r="N862" s="18" t="str">
        <f t="shared" si="68"/>
        <v>K856:L898</v>
      </c>
      <c r="O862" t="str">
        <f t="shared" si="69"/>
        <v>A856:A862</v>
      </c>
    </row>
    <row r="863" spans="1:15">
      <c r="A863" s="18" t="str">
        <f>Charms!K863</f>
        <v>Medicine</v>
      </c>
      <c r="B863" t="str">
        <f>Charms!B863</f>
        <v>Instant Treatment Methodology</v>
      </c>
      <c r="C863" t="b">
        <f ca="1">OR(Values!$S$98&gt;=Charms!M863,IFERROR(Charms!J863=OFFSET(Values!$A$24,MATCH("S",Values!$T$25:$T$50,0),0),FALSE))</f>
        <v>0</v>
      </c>
      <c r="D863" t="b">
        <f>VLOOKUP(Charms!J863,Values!$A$11:$S$59,19,0)&gt;=Charms!L863</f>
        <v>0</v>
      </c>
      <c r="E863" t="e">
        <f>OR(ISBLANK(Charms!I863),(VLOOKUP(Values!$S$6,Castes!$B$2:$F$25,4,0)=Charms!I863))</f>
        <v>#N/A</v>
      </c>
      <c r="J863" t="e">
        <f t="shared" ca="1" si="66"/>
        <v>#N/A</v>
      </c>
      <c r="K863" s="18" t="e">
        <f t="shared" ca="1" si="65"/>
        <v>#N/A</v>
      </c>
      <c r="L863" t="e">
        <f ca="1">IF(J863,Charms!B863,"")</f>
        <v>#N/A</v>
      </c>
      <c r="M863" t="str">
        <f t="shared" ca="1" si="67"/>
        <v>-</v>
      </c>
      <c r="N863" s="18" t="str">
        <f t="shared" si="68"/>
        <v>K856:L898</v>
      </c>
      <c r="O863" t="str">
        <f t="shared" si="69"/>
        <v>A856:A863</v>
      </c>
    </row>
    <row r="864" spans="1:15">
      <c r="A864" s="18" t="str">
        <f>Charms!K864</f>
        <v>Medicine</v>
      </c>
      <c r="B864" t="str">
        <f>Charms!B864</f>
        <v>Feit of Imparted Nature</v>
      </c>
      <c r="C864" t="b">
        <f ca="1">OR(Values!$S$98&gt;=Charms!M864,IFERROR(Charms!J864=OFFSET(Values!$A$24,MATCH("S",Values!$T$25:$T$50,0),0),FALSE))</f>
        <v>0</v>
      </c>
      <c r="D864" t="b">
        <f>VLOOKUP(Charms!J864,Values!$A$11:$S$59,19,0)&gt;=Charms!L864</f>
        <v>0</v>
      </c>
      <c r="E864" t="e">
        <f>OR(ISBLANK(Charms!I864),(VLOOKUP(Values!$S$6,Castes!$B$2:$F$25,4,0)=Charms!I864))</f>
        <v>#N/A</v>
      </c>
      <c r="J864" t="e">
        <f t="shared" ca="1" si="66"/>
        <v>#N/A</v>
      </c>
      <c r="K864" s="18" t="e">
        <f t="shared" ca="1" si="65"/>
        <v>#N/A</v>
      </c>
      <c r="L864" t="e">
        <f ca="1">IF(J864,Charms!B864,"")</f>
        <v>#N/A</v>
      </c>
      <c r="M864" t="str">
        <f t="shared" ca="1" si="67"/>
        <v>-</v>
      </c>
      <c r="N864" s="18" t="str">
        <f t="shared" si="68"/>
        <v>K856:L898</v>
      </c>
      <c r="O864" t="str">
        <f t="shared" si="69"/>
        <v>A856:A864</v>
      </c>
    </row>
    <row r="865" spans="1:15">
      <c r="A865" s="18" t="str">
        <f>Charms!K865</f>
        <v>Medicine</v>
      </c>
      <c r="B865" t="str">
        <f>Charms!B865</f>
        <v>Wound-Banishing Strike</v>
      </c>
      <c r="C865" t="b">
        <f ca="1">OR(Values!$S$98&gt;=Charms!M865,IFERROR(Charms!J865=OFFSET(Values!$A$24,MATCH("S",Values!$T$25:$T$50,0),0),FALSE))</f>
        <v>0</v>
      </c>
      <c r="D865" t="b">
        <f>VLOOKUP(Charms!J865,Values!$A$11:$S$59,19,0)&gt;=Charms!L865</f>
        <v>0</v>
      </c>
      <c r="E865" t="e">
        <f>OR(ISBLANK(Charms!I865),(VLOOKUP(Values!$S$6,Castes!$B$2:$F$25,4,0)=Charms!I865))</f>
        <v>#N/A</v>
      </c>
      <c r="J865" t="e">
        <f t="shared" ca="1" si="66"/>
        <v>#N/A</v>
      </c>
      <c r="K865" s="18" t="e">
        <f t="shared" ca="1" si="65"/>
        <v>#N/A</v>
      </c>
      <c r="L865" t="e">
        <f ca="1">IF(J865,Charms!B865,"")</f>
        <v>#N/A</v>
      </c>
      <c r="M865" t="str">
        <f t="shared" ca="1" si="67"/>
        <v>-</v>
      </c>
      <c r="N865" s="18" t="str">
        <f t="shared" si="68"/>
        <v>K856:L898</v>
      </c>
      <c r="O865" t="str">
        <f t="shared" si="69"/>
        <v>A856:A865</v>
      </c>
    </row>
    <row r="866" spans="1:15">
      <c r="A866" s="18" t="str">
        <f>Charms!K866</f>
        <v>Medicine</v>
      </c>
      <c r="B866" t="str">
        <f>Charms!B866</f>
        <v>Body-Purifying Admonitions</v>
      </c>
      <c r="C866" t="b">
        <f ca="1">OR(Values!$S$98&gt;=Charms!M866,IFERROR(Charms!J866=OFFSET(Values!$A$24,MATCH("S",Values!$T$25:$T$50,0),0),FALSE))</f>
        <v>0</v>
      </c>
      <c r="D866" t="b">
        <f>VLOOKUP(Charms!J866,Values!$A$11:$S$59,19,0)&gt;=Charms!L866</f>
        <v>0</v>
      </c>
      <c r="E866" t="e">
        <f>OR(ISBLANK(Charms!I866),(VLOOKUP(Values!$S$6,Castes!$B$2:$F$25,4,0)=Charms!I866))</f>
        <v>#N/A</v>
      </c>
      <c r="J866" t="e">
        <f t="shared" ca="1" si="66"/>
        <v>#N/A</v>
      </c>
      <c r="K866" s="18" t="e">
        <f t="shared" ca="1" si="65"/>
        <v>#N/A</v>
      </c>
      <c r="L866" t="e">
        <f ca="1">IF(J866,Charms!B866,"")</f>
        <v>#N/A</v>
      </c>
      <c r="M866" t="str">
        <f t="shared" ca="1" si="67"/>
        <v>-</v>
      </c>
      <c r="N866" s="18" t="str">
        <f t="shared" si="68"/>
        <v>K856:L898</v>
      </c>
      <c r="O866" t="str">
        <f t="shared" si="69"/>
        <v>A856:A866</v>
      </c>
    </row>
    <row r="867" spans="1:15">
      <c r="A867" s="18" t="str">
        <f>Charms!K867</f>
        <v>Medicine</v>
      </c>
      <c r="B867" t="str">
        <f>Charms!B867</f>
        <v>Anointment of Miraculous Health</v>
      </c>
      <c r="C867" t="b">
        <f ca="1">OR(Values!$S$98&gt;=Charms!M867,IFERROR(Charms!J867=OFFSET(Values!$A$24,MATCH("S",Values!$T$25:$T$50,0),0),FALSE))</f>
        <v>0</v>
      </c>
      <c r="D867" t="b">
        <f>VLOOKUP(Charms!J867,Values!$A$11:$S$59,19,0)&gt;=Charms!L867</f>
        <v>0</v>
      </c>
      <c r="E867" t="e">
        <f>OR(ISBLANK(Charms!I867),(VLOOKUP(Values!$S$6,Castes!$B$2:$F$25,4,0)=Charms!I867))</f>
        <v>#N/A</v>
      </c>
      <c r="J867" t="e">
        <f t="shared" ca="1" si="66"/>
        <v>#N/A</v>
      </c>
      <c r="K867" s="18" t="e">
        <f t="shared" ca="1" si="65"/>
        <v>#N/A</v>
      </c>
      <c r="L867" t="e">
        <f ca="1">IF(J867,Charms!B867,"")</f>
        <v>#N/A</v>
      </c>
      <c r="M867" t="str">
        <f t="shared" ca="1" si="67"/>
        <v>-</v>
      </c>
      <c r="N867" s="18" t="str">
        <f t="shared" si="68"/>
        <v>K856:L898</v>
      </c>
      <c r="O867" t="str">
        <f t="shared" si="69"/>
        <v>A856:A867</v>
      </c>
    </row>
    <row r="868" spans="1:15">
      <c r="A868" s="18" t="str">
        <f>Charms!K868</f>
        <v>Medicine</v>
      </c>
      <c r="B868" t="str">
        <f>Charms!B868</f>
        <v>Body-Sculpting Essence Method</v>
      </c>
      <c r="C868" t="b">
        <f ca="1">OR(Values!$S$98&gt;=Charms!M868,IFERROR(Charms!J868=OFFSET(Values!$A$24,MATCH("S",Values!$T$25:$T$50,0),0),FALSE))</f>
        <v>0</v>
      </c>
      <c r="D868" t="b">
        <f>VLOOKUP(Charms!J868,Values!$A$11:$S$59,19,0)&gt;=Charms!L868</f>
        <v>0</v>
      </c>
      <c r="E868" t="e">
        <f>OR(ISBLANK(Charms!I868),(VLOOKUP(Values!$S$6,Castes!$B$2:$F$25,4,0)=Charms!I868))</f>
        <v>#N/A</v>
      </c>
      <c r="J868" t="e">
        <f t="shared" ca="1" si="66"/>
        <v>#N/A</v>
      </c>
      <c r="K868" s="18" t="e">
        <f t="shared" ca="1" si="65"/>
        <v>#N/A</v>
      </c>
      <c r="L868" t="e">
        <f ca="1">IF(J868,Charms!B868,"")</f>
        <v>#N/A</v>
      </c>
      <c r="M868" t="str">
        <f t="shared" ca="1" si="67"/>
        <v>-</v>
      </c>
      <c r="N868" s="18" t="str">
        <f t="shared" si="68"/>
        <v>K856:L898</v>
      </c>
      <c r="O868" t="str">
        <f t="shared" si="69"/>
        <v>A856:A868</v>
      </c>
    </row>
    <row r="869" spans="1:15">
      <c r="A869" s="18" t="str">
        <f>Charms!K869</f>
        <v>Medicine</v>
      </c>
      <c r="B869" t="str">
        <f>Charms!B869</f>
        <v>Wholeness-Restoring Meditation</v>
      </c>
      <c r="C869" t="b">
        <f ca="1">OR(Values!$S$98&gt;=Charms!M869,IFERROR(Charms!J869=OFFSET(Values!$A$24,MATCH("S",Values!$T$25:$T$50,0),0),FALSE))</f>
        <v>0</v>
      </c>
      <c r="D869" t="b">
        <f>VLOOKUP(Charms!J869,Values!$A$11:$S$59,19,0)&gt;=Charms!L869</f>
        <v>0</v>
      </c>
      <c r="E869" t="e">
        <f>OR(ISBLANK(Charms!I869),(VLOOKUP(Values!$S$6,Castes!$B$2:$F$25,4,0)=Charms!I869))</f>
        <v>#N/A</v>
      </c>
      <c r="J869" t="e">
        <f t="shared" ca="1" si="66"/>
        <v>#N/A</v>
      </c>
      <c r="K869" s="18" t="e">
        <f t="shared" ca="1" si="65"/>
        <v>#N/A</v>
      </c>
      <c r="L869" t="e">
        <f ca="1">IF(J869,Charms!B869,"")</f>
        <v>#N/A</v>
      </c>
      <c r="M869" t="str">
        <f t="shared" ca="1" si="67"/>
        <v>-</v>
      </c>
      <c r="N869" s="18" t="str">
        <f t="shared" si="68"/>
        <v>K856:L898</v>
      </c>
      <c r="O869" t="str">
        <f t="shared" si="69"/>
        <v>A856:A869</v>
      </c>
    </row>
    <row r="870" spans="1:15">
      <c r="A870" s="18" t="str">
        <f>Charms!K870</f>
        <v>Medicine</v>
      </c>
      <c r="B870" t="str">
        <f>Charms!B870</f>
        <v>Healing Trance Meditation</v>
      </c>
      <c r="C870" t="b">
        <f ca="1">OR(Values!$S$98&gt;=Charms!M870,IFERROR(Charms!J870=OFFSET(Values!$A$24,MATCH("S",Values!$T$25:$T$50,0),0),FALSE))</f>
        <v>0</v>
      </c>
      <c r="D870" t="b">
        <f>VLOOKUP(Charms!J870,Values!$A$11:$S$59,19,0)&gt;=Charms!L870</f>
        <v>0</v>
      </c>
      <c r="E870" t="e">
        <f>OR(ISBLANK(Charms!I870),(VLOOKUP(Values!$S$6,Castes!$B$2:$F$25,4,0)=Charms!I870))</f>
        <v>#N/A</v>
      </c>
      <c r="J870" t="e">
        <f t="shared" ca="1" si="66"/>
        <v>#N/A</v>
      </c>
      <c r="K870" s="18" t="e">
        <f t="shared" ca="1" si="65"/>
        <v>#N/A</v>
      </c>
      <c r="L870" t="e">
        <f ca="1">IF(J870,Charms!B870,"")</f>
        <v>#N/A</v>
      </c>
      <c r="M870" t="str">
        <f t="shared" ca="1" si="67"/>
        <v>-</v>
      </c>
      <c r="N870" s="18" t="str">
        <f t="shared" si="68"/>
        <v>K856:L898</v>
      </c>
      <c r="O870" t="str">
        <f t="shared" si="69"/>
        <v>A856:A870</v>
      </c>
    </row>
    <row r="871" spans="1:15">
      <c r="A871" s="18" t="str">
        <f>Charms!K871</f>
        <v>Medicine</v>
      </c>
      <c r="B871" t="str">
        <f>Charms!B871</f>
        <v>Life-Exchanging Prana</v>
      </c>
      <c r="C871" t="b">
        <f ca="1">OR(Values!$S$98&gt;=Charms!M871,IFERROR(Charms!J871=OFFSET(Values!$A$24,MATCH("S",Values!$T$25:$T$50,0),0),FALSE))</f>
        <v>0</v>
      </c>
      <c r="D871" t="b">
        <f>VLOOKUP(Charms!J871,Values!$A$11:$S$59,19,0)&gt;=Charms!L871</f>
        <v>0</v>
      </c>
      <c r="E871" t="e">
        <f>OR(ISBLANK(Charms!I871),(VLOOKUP(Values!$S$6,Castes!$B$2:$F$25,4,0)=Charms!I871))</f>
        <v>#N/A</v>
      </c>
      <c r="J871" t="e">
        <f t="shared" ca="1" si="66"/>
        <v>#N/A</v>
      </c>
      <c r="K871" s="18" t="e">
        <f t="shared" ca="1" si="65"/>
        <v>#N/A</v>
      </c>
      <c r="L871" t="e">
        <f ca="1">IF(J871,Charms!B871,"")</f>
        <v>#N/A</v>
      </c>
      <c r="M871" t="str">
        <f t="shared" ca="1" si="67"/>
        <v>-</v>
      </c>
      <c r="N871" s="18" t="str">
        <f t="shared" si="68"/>
        <v>K856:L898</v>
      </c>
      <c r="O871" t="str">
        <f t="shared" si="69"/>
        <v>A856:A871</v>
      </c>
    </row>
    <row r="872" spans="1:15">
      <c r="A872" s="18" t="str">
        <f>Charms!K872</f>
        <v>Medicine</v>
      </c>
      <c r="B872" t="str">
        <f>Charms!B872</f>
        <v>Anodyne of Celestial Dreaming</v>
      </c>
      <c r="C872" t="b">
        <f ca="1">OR(Values!$S$98&gt;=Charms!M872,IFERROR(Charms!J872=OFFSET(Values!$A$24,MATCH("S",Values!$T$25:$T$50,0),0),FALSE))</f>
        <v>0</v>
      </c>
      <c r="D872" t="b">
        <f>VLOOKUP(Charms!J872,Values!$A$11:$S$59,19,0)&gt;=Charms!L872</f>
        <v>0</v>
      </c>
      <c r="E872" t="e">
        <f>OR(ISBLANK(Charms!I872),(VLOOKUP(Values!$S$6,Castes!$B$2:$F$25,4,0)=Charms!I872))</f>
        <v>#N/A</v>
      </c>
      <c r="J872" t="e">
        <f t="shared" ca="1" si="66"/>
        <v>#N/A</v>
      </c>
      <c r="K872" s="18" t="e">
        <f t="shared" ca="1" si="65"/>
        <v>#N/A</v>
      </c>
      <c r="L872" t="e">
        <f ca="1">IF(J872,Charms!B872,"")</f>
        <v>#N/A</v>
      </c>
      <c r="M872" t="str">
        <f t="shared" ca="1" si="67"/>
        <v>-</v>
      </c>
      <c r="N872" s="18" t="str">
        <f t="shared" si="68"/>
        <v>K856:L898</v>
      </c>
      <c r="O872" t="str">
        <f t="shared" si="69"/>
        <v>A856:A872</v>
      </c>
    </row>
    <row r="873" spans="1:15">
      <c r="A873" s="18" t="str">
        <f>Charms!K873</f>
        <v>Medicine</v>
      </c>
      <c r="B873" t="str">
        <f>Charms!B873</f>
        <v>Master Chirurgeon Meditation</v>
      </c>
      <c r="C873" t="b">
        <f ca="1">OR(Values!$S$98&gt;=Charms!M873,IFERROR(Charms!J873=OFFSET(Values!$A$24,MATCH("S",Values!$T$25:$T$50,0),0),FALSE))</f>
        <v>0</v>
      </c>
      <c r="D873" t="b">
        <f>VLOOKUP(Charms!J873,Values!$A$11:$S$59,19,0)&gt;=Charms!L873</f>
        <v>0</v>
      </c>
      <c r="E873" t="e">
        <f>OR(ISBLANK(Charms!I873),(VLOOKUP(Values!$S$6,Castes!$B$2:$F$25,4,0)=Charms!I873))</f>
        <v>#N/A</v>
      </c>
      <c r="J873" t="e">
        <f t="shared" ca="1" si="66"/>
        <v>#N/A</v>
      </c>
      <c r="K873" s="18" t="e">
        <f t="shared" ca="1" si="65"/>
        <v>#N/A</v>
      </c>
      <c r="L873" t="e">
        <f ca="1">IF(J873,Charms!B873,"")</f>
        <v>#N/A</v>
      </c>
      <c r="M873" t="str">
        <f t="shared" ca="1" si="67"/>
        <v>-</v>
      </c>
      <c r="N873" s="18" t="str">
        <f t="shared" si="68"/>
        <v>K856:L898</v>
      </c>
      <c r="O873" t="str">
        <f t="shared" si="69"/>
        <v>A856:A873</v>
      </c>
    </row>
    <row r="874" spans="1:15">
      <c r="A874" s="18" t="str">
        <f>Charms!K874</f>
        <v>Medicine</v>
      </c>
      <c r="B874" t="str">
        <f>Charms!B874</f>
        <v>Benison of Celestial Healing</v>
      </c>
      <c r="C874" t="b">
        <f ca="1">OR(Values!$S$98&gt;=Charms!M874,IFERROR(Charms!J874=OFFSET(Values!$A$24,MATCH("S",Values!$T$25:$T$50,0),0),FALSE))</f>
        <v>0</v>
      </c>
      <c r="D874" t="b">
        <f>VLOOKUP(Charms!J874,Values!$A$11:$S$59,19,0)&gt;=Charms!L874</f>
        <v>0</v>
      </c>
      <c r="E874" t="e">
        <f>OR(ISBLANK(Charms!I874),(VLOOKUP(Values!$S$6,Castes!$B$2:$F$25,4,0)=Charms!I874))</f>
        <v>#N/A</v>
      </c>
      <c r="J874" t="e">
        <f t="shared" ca="1" si="66"/>
        <v>#N/A</v>
      </c>
      <c r="K874" s="18" t="e">
        <f t="shared" ca="1" si="65"/>
        <v>#N/A</v>
      </c>
      <c r="L874" t="e">
        <f ca="1">IF(J874,Charms!B874,"")</f>
        <v>#N/A</v>
      </c>
      <c r="M874" t="str">
        <f t="shared" ca="1" si="67"/>
        <v>-</v>
      </c>
      <c r="N874" s="18" t="str">
        <f t="shared" si="68"/>
        <v>K856:L898</v>
      </c>
      <c r="O874" t="str">
        <f t="shared" si="69"/>
        <v>A856:A874</v>
      </c>
    </row>
    <row r="875" spans="1:15">
      <c r="A875" s="18" t="str">
        <f>Charms!K875</f>
        <v>Medicine</v>
      </c>
      <c r="B875" t="str">
        <f>Charms!B875</f>
        <v>Life-Sculpting Hands Technique</v>
      </c>
      <c r="C875" t="b">
        <f ca="1">OR(Values!$S$98&gt;=Charms!M875,IFERROR(Charms!J875=OFFSET(Values!$A$24,MATCH("S",Values!$T$25:$T$50,0),0),FALSE))</f>
        <v>0</v>
      </c>
      <c r="D875" t="b">
        <f>VLOOKUP(Charms!J875,Values!$A$11:$S$59,19,0)&gt;=Charms!L875</f>
        <v>0</v>
      </c>
      <c r="E875" t="e">
        <f>OR(ISBLANK(Charms!I875),(VLOOKUP(Values!$S$6,Castes!$B$2:$F$25,4,0)=Charms!I875))</f>
        <v>#N/A</v>
      </c>
      <c r="J875" t="e">
        <f t="shared" ca="1" si="66"/>
        <v>#N/A</v>
      </c>
      <c r="K875" s="18" t="e">
        <f t="shared" ca="1" si="65"/>
        <v>#N/A</v>
      </c>
      <c r="L875" t="e">
        <f ca="1">IF(J875,Charms!B875,"")</f>
        <v>#N/A</v>
      </c>
      <c r="M875" t="str">
        <f t="shared" ca="1" si="67"/>
        <v>-</v>
      </c>
      <c r="N875" s="18" t="str">
        <f t="shared" si="68"/>
        <v>K856:L898</v>
      </c>
      <c r="O875" t="str">
        <f t="shared" si="69"/>
        <v>A856:A875</v>
      </c>
    </row>
    <row r="876" spans="1:15">
      <c r="A876" s="18" t="str">
        <f>Charms!K876</f>
        <v>Medicine</v>
      </c>
      <c r="B876" t="str">
        <f>Charms!B876</f>
        <v>Healer's Unerring Hands</v>
      </c>
      <c r="C876" t="b">
        <f ca="1">OR(Values!$S$98&gt;=Charms!M876,IFERROR(Charms!J876=OFFSET(Values!$A$24,MATCH("S",Values!$T$25:$T$50,0),0),FALSE))</f>
        <v>0</v>
      </c>
      <c r="D876" t="b">
        <f>VLOOKUP(Charms!J876,Values!$A$11:$S$59,19,0)&gt;=Charms!L876</f>
        <v>0</v>
      </c>
      <c r="E876" t="e">
        <f>OR(ISBLANK(Charms!I876),(VLOOKUP(Values!$S$6,Castes!$B$2:$F$25,4,0)=Charms!I876))</f>
        <v>#N/A</v>
      </c>
      <c r="J876" t="e">
        <f t="shared" ca="1" si="66"/>
        <v>#N/A</v>
      </c>
      <c r="K876" s="18" t="e">
        <f t="shared" ca="1" si="65"/>
        <v>#N/A</v>
      </c>
      <c r="L876" t="e">
        <f ca="1">IF(J876,Charms!B876,"")</f>
        <v>#N/A</v>
      </c>
      <c r="M876" t="str">
        <f t="shared" ca="1" si="67"/>
        <v>-</v>
      </c>
      <c r="N876" s="18" t="str">
        <f t="shared" si="68"/>
        <v>K856:L898</v>
      </c>
      <c r="O876" t="str">
        <f t="shared" si="69"/>
        <v>A856:A876</v>
      </c>
    </row>
    <row r="877" spans="1:15">
      <c r="A877" s="18" t="str">
        <f>Charms!K877</f>
        <v>Medicine</v>
      </c>
      <c r="B877" t="str">
        <f>Charms!B877</f>
        <v>Immaculate Solar Physician</v>
      </c>
      <c r="C877" t="b">
        <f ca="1">OR(Values!$S$98&gt;=Charms!M877,IFERROR(Charms!J877=OFFSET(Values!$A$24,MATCH("S",Values!$T$25:$T$50,0),0),FALSE))</f>
        <v>0</v>
      </c>
      <c r="D877" t="b">
        <f>VLOOKUP(Charms!J877,Values!$A$11:$S$59,19,0)&gt;=Charms!L877</f>
        <v>0</v>
      </c>
      <c r="E877" t="e">
        <f>OR(ISBLANK(Charms!I877),(VLOOKUP(Values!$S$6,Castes!$B$2:$F$25,4,0)=Charms!I877))</f>
        <v>#N/A</v>
      </c>
      <c r="J877" t="e">
        <f t="shared" ca="1" si="66"/>
        <v>#N/A</v>
      </c>
      <c r="K877" s="18" t="e">
        <f t="shared" ca="1" si="65"/>
        <v>#N/A</v>
      </c>
      <c r="L877" t="e">
        <f ca="1">IF(J877,Charms!B877,"")</f>
        <v>#N/A</v>
      </c>
      <c r="M877" t="str">
        <f t="shared" ca="1" si="67"/>
        <v>-</v>
      </c>
      <c r="N877" s="18" t="str">
        <f t="shared" si="68"/>
        <v>K856:L898</v>
      </c>
      <c r="O877" t="str">
        <f t="shared" si="69"/>
        <v>A856:A877</v>
      </c>
    </row>
    <row r="878" spans="1:15">
      <c r="A878" s="18" t="str">
        <f>Charms!K878</f>
        <v>Medicine</v>
      </c>
      <c r="B878" t="str">
        <f>Charms!B878</f>
        <v>Perfect Celestial Chirurgeon</v>
      </c>
      <c r="C878" t="b">
        <f ca="1">OR(Values!$S$98&gt;=Charms!M878,IFERROR(Charms!J878=OFFSET(Values!$A$24,MATCH("S",Values!$T$25:$T$50,0),0),FALSE))</f>
        <v>0</v>
      </c>
      <c r="D878" t="b">
        <f>VLOOKUP(Charms!J878,Values!$A$11:$S$59,19,0)&gt;=Charms!L878</f>
        <v>0</v>
      </c>
      <c r="E878" t="e">
        <f>OR(ISBLANK(Charms!I878),(VLOOKUP(Values!$S$6,Castes!$B$2:$F$25,4,0)=Charms!I878))</f>
        <v>#N/A</v>
      </c>
      <c r="J878" t="e">
        <f t="shared" ca="1" si="66"/>
        <v>#N/A</v>
      </c>
      <c r="K878" s="18" t="e">
        <f t="shared" ca="1" si="65"/>
        <v>#N/A</v>
      </c>
      <c r="L878" t="e">
        <f ca="1">IF(J878,Charms!B878,"")</f>
        <v>#N/A</v>
      </c>
      <c r="M878" t="str">
        <f t="shared" ca="1" si="67"/>
        <v>-</v>
      </c>
      <c r="N878" s="18" t="str">
        <f t="shared" si="68"/>
        <v>K856:L898</v>
      </c>
      <c r="O878" t="str">
        <f t="shared" si="69"/>
        <v>A856:A878</v>
      </c>
    </row>
    <row r="879" spans="1:15">
      <c r="A879" s="18" t="str">
        <f>Charms!K879</f>
        <v>Medicine</v>
      </c>
      <c r="B879" t="str">
        <f>Charms!B879</f>
        <v>Time-Halting Flow</v>
      </c>
      <c r="C879" t="b">
        <f ca="1">OR(Values!$S$98&gt;=Charms!M879,IFERROR(Charms!J879=OFFSET(Values!$A$24,MATCH("S",Values!$T$25:$T$50,0),0),FALSE))</f>
        <v>0</v>
      </c>
      <c r="D879" t="b">
        <f>VLOOKUP(Charms!J879,Values!$A$11:$S$59,19,0)&gt;=Charms!L879</f>
        <v>0</v>
      </c>
      <c r="E879" t="e">
        <f>OR(ISBLANK(Charms!I879),(VLOOKUP(Values!$S$6,Castes!$B$2:$F$25,4,0)=Charms!I879))</f>
        <v>#N/A</v>
      </c>
      <c r="J879" t="e">
        <f t="shared" ca="1" si="66"/>
        <v>#N/A</v>
      </c>
      <c r="K879" s="18" t="e">
        <f t="shared" ca="1" si="65"/>
        <v>#N/A</v>
      </c>
      <c r="L879" t="e">
        <f ca="1">IF(J879,Charms!B879,"")</f>
        <v>#N/A</v>
      </c>
      <c r="M879" t="str">
        <f t="shared" ca="1" si="67"/>
        <v>-</v>
      </c>
      <c r="N879" s="18" t="str">
        <f t="shared" si="68"/>
        <v>K856:L898</v>
      </c>
      <c r="O879" t="str">
        <f t="shared" si="69"/>
        <v>A856:A879</v>
      </c>
    </row>
    <row r="880" spans="1:15">
      <c r="A880" s="18" t="str">
        <f>Charms!K880</f>
        <v>Medicine</v>
      </c>
      <c r="B880" t="str">
        <f>Charms!B880</f>
        <v>Master Healer Meditation</v>
      </c>
      <c r="C880" t="b">
        <f ca="1">OR(Values!$S$98&gt;=Charms!M880,IFERROR(Charms!J880=OFFSET(Values!$A$24,MATCH("S",Values!$T$25:$T$50,0),0),FALSE))</f>
        <v>1</v>
      </c>
      <c r="D880" t="b">
        <f>VLOOKUP(Charms!J880,Values!$A$11:$S$59,19,0)&gt;=Charms!L880</f>
        <v>0</v>
      </c>
      <c r="E880" t="e">
        <f>OR(ISBLANK(Charms!I880),(VLOOKUP(Values!$S$6,Castes!$B$2:$F$25,4,0)=Charms!I880))</f>
        <v>#N/A</v>
      </c>
      <c r="J880" t="e">
        <f t="shared" ca="1" si="66"/>
        <v>#N/A</v>
      </c>
      <c r="K880" s="18" t="e">
        <f t="shared" ca="1" si="65"/>
        <v>#N/A</v>
      </c>
      <c r="L880" t="e">
        <f ca="1">IF(J880,Charms!B880,"")</f>
        <v>#N/A</v>
      </c>
      <c r="M880" t="str">
        <f t="shared" ca="1" si="67"/>
        <v>-</v>
      </c>
      <c r="N880" s="18" t="str">
        <f t="shared" si="68"/>
        <v>K856:L898</v>
      </c>
      <c r="O880" t="str">
        <f t="shared" si="69"/>
        <v>A856:A880</v>
      </c>
    </row>
    <row r="881" spans="1:15">
      <c r="A881" s="18" t="str">
        <f>Charms!K881</f>
        <v>Medicine</v>
      </c>
      <c r="B881" t="str">
        <f>Charms!B881</f>
        <v>Disease-Banishing Technique</v>
      </c>
      <c r="C881" t="b">
        <f ca="1">OR(Values!$S$98&gt;=Charms!M881,IFERROR(Charms!J881=OFFSET(Values!$A$24,MATCH("S",Values!$T$25:$T$50,0),0),FALSE))</f>
        <v>1</v>
      </c>
      <c r="D881" t="b">
        <f>VLOOKUP(Charms!J881,Values!$A$11:$S$59,19,0)&gt;=Charms!L881</f>
        <v>0</v>
      </c>
      <c r="E881" t="e">
        <f>OR(ISBLANK(Charms!I881),(VLOOKUP(Values!$S$6,Castes!$B$2:$F$25,4,0)=Charms!I881))</f>
        <v>#N/A</v>
      </c>
      <c r="J881" t="e">
        <f t="shared" ca="1" si="66"/>
        <v>#N/A</v>
      </c>
      <c r="K881" s="18" t="e">
        <f t="shared" ca="1" si="65"/>
        <v>#N/A</v>
      </c>
      <c r="L881" t="e">
        <f ca="1">IF(J881,Charms!B881,"")</f>
        <v>#N/A</v>
      </c>
      <c r="M881" t="str">
        <f t="shared" ca="1" si="67"/>
        <v>-</v>
      </c>
      <c r="N881" s="18" t="str">
        <f t="shared" si="68"/>
        <v>K856:L898</v>
      </c>
      <c r="O881" t="str">
        <f t="shared" si="69"/>
        <v>A856:A881</v>
      </c>
    </row>
    <row r="882" spans="1:15">
      <c r="A882" s="18" t="str">
        <f>Charms!K882</f>
        <v>Medicine</v>
      </c>
      <c r="B882" t="str">
        <f>Charms!B882</f>
        <v>Venom Expulsion Method</v>
      </c>
      <c r="C882" t="b">
        <f ca="1">OR(Values!$S$98&gt;=Charms!M882,IFERROR(Charms!J882=OFFSET(Values!$A$24,MATCH("S",Values!$T$25:$T$50,0),0),FALSE))</f>
        <v>1</v>
      </c>
      <c r="D882" t="b">
        <f>VLOOKUP(Charms!J882,Values!$A$11:$S$59,19,0)&gt;=Charms!L882</f>
        <v>0</v>
      </c>
      <c r="E882" t="e">
        <f>OR(ISBLANK(Charms!I882),(VLOOKUP(Values!$S$6,Castes!$B$2:$F$25,4,0)=Charms!I882))</f>
        <v>#N/A</v>
      </c>
      <c r="J882" t="e">
        <f t="shared" ca="1" si="66"/>
        <v>#N/A</v>
      </c>
      <c r="K882" s="18" t="e">
        <f t="shared" ca="1" si="65"/>
        <v>#N/A</v>
      </c>
      <c r="L882" t="e">
        <f ca="1">IF(J882,Charms!B882,"")</f>
        <v>#N/A</v>
      </c>
      <c r="M882" t="str">
        <f t="shared" ca="1" si="67"/>
        <v>-</v>
      </c>
      <c r="N882" s="18" t="str">
        <f t="shared" si="68"/>
        <v>K856:L898</v>
      </c>
      <c r="O882" t="str">
        <f t="shared" si="69"/>
        <v>A856:A882</v>
      </c>
    </row>
    <row r="883" spans="1:15">
      <c r="A883" s="18" t="str">
        <f>Charms!K883</f>
        <v>Medicine</v>
      </c>
      <c r="B883" t="str">
        <f>Charms!B883</f>
        <v>Wound-Closing Technique</v>
      </c>
      <c r="C883" t="b">
        <f ca="1">OR(Values!$S$98&gt;=Charms!M883,IFERROR(Charms!J883=OFFSET(Values!$A$24,MATCH("S",Values!$T$25:$T$50,0),0),FALSE))</f>
        <v>1</v>
      </c>
      <c r="D883" t="b">
        <f>VLOOKUP(Charms!J883,Values!$A$11:$S$59,19,0)&gt;=Charms!L883</f>
        <v>0</v>
      </c>
      <c r="E883" t="e">
        <f>OR(ISBLANK(Charms!I883),(VLOOKUP(Values!$S$6,Castes!$B$2:$F$25,4,0)=Charms!I883))</f>
        <v>#N/A</v>
      </c>
      <c r="J883" t="e">
        <f t="shared" ca="1" si="66"/>
        <v>#N/A</v>
      </c>
      <c r="K883" s="18" t="e">
        <f t="shared" ca="1" si="65"/>
        <v>#N/A</v>
      </c>
      <c r="L883" t="e">
        <f ca="1">IF(J883,Charms!B883,"")</f>
        <v>#N/A</v>
      </c>
      <c r="M883" t="str">
        <f t="shared" ca="1" si="67"/>
        <v>-</v>
      </c>
      <c r="N883" s="18" t="str">
        <f t="shared" si="68"/>
        <v>K856:L898</v>
      </c>
      <c r="O883" t="str">
        <f t="shared" si="69"/>
        <v>A856:A883</v>
      </c>
    </row>
    <row r="884" spans="1:15">
      <c r="A884" s="18" t="str">
        <f>Charms!K884</f>
        <v>Medicine</v>
      </c>
      <c r="B884" t="str">
        <f>Charms!B884</f>
        <v>Nature’s Healing Bounty</v>
      </c>
      <c r="C884" t="b">
        <f ca="1">OR(Values!$S$98&gt;=Charms!M884,IFERROR(Charms!J884=OFFSET(Values!$A$24,MATCH("S",Values!$T$25:$T$50,0),0),FALSE))</f>
        <v>1</v>
      </c>
      <c r="D884" t="b">
        <f>VLOOKUP(Charms!J884,Values!$A$11:$S$59,19,0)&gt;=Charms!L884</f>
        <v>0</v>
      </c>
      <c r="E884" t="e">
        <f>OR(ISBLANK(Charms!I884),(VLOOKUP(Values!$S$6,Castes!$B$2:$F$25,4,0)=Charms!I884))</f>
        <v>#N/A</v>
      </c>
      <c r="J884" t="e">
        <f t="shared" ca="1" si="66"/>
        <v>#N/A</v>
      </c>
      <c r="K884" s="18" t="e">
        <f t="shared" ca="1" si="65"/>
        <v>#N/A</v>
      </c>
      <c r="L884" t="e">
        <f ca="1">IF(J884,Charms!B884,"")</f>
        <v>#N/A</v>
      </c>
      <c r="M884" t="str">
        <f t="shared" ca="1" si="67"/>
        <v>-</v>
      </c>
      <c r="N884" s="18" t="str">
        <f t="shared" si="68"/>
        <v>K856:L898</v>
      </c>
      <c r="O884" t="str">
        <f t="shared" si="69"/>
        <v>A856:A884</v>
      </c>
    </row>
    <row r="885" spans="1:15">
      <c r="A885" s="18" t="str">
        <f>Charms!K885</f>
        <v>Medicine</v>
      </c>
      <c r="B885" t="str">
        <f>Charms!B885</f>
        <v>Indomitable Vitality Discipline</v>
      </c>
      <c r="C885" t="b">
        <f ca="1">OR(Values!$S$98&gt;=Charms!M885,IFERROR(Charms!J885=OFFSET(Values!$A$24,MATCH("S",Values!$T$25:$T$50,0),0),FALSE))</f>
        <v>0</v>
      </c>
      <c r="D885" t="b">
        <f>VLOOKUP(Charms!J885,Values!$A$11:$S$59,19,0)&gt;=Charms!L885</f>
        <v>0</v>
      </c>
      <c r="E885" t="e">
        <f>OR(ISBLANK(Charms!I885),(VLOOKUP(Values!$S$6,Castes!$B$2:$F$25,4,0)=Charms!I885))</f>
        <v>#N/A</v>
      </c>
      <c r="J885" t="e">
        <f t="shared" ca="1" si="66"/>
        <v>#N/A</v>
      </c>
      <c r="K885" s="18" t="e">
        <f t="shared" ca="1" si="65"/>
        <v>#N/A</v>
      </c>
      <c r="L885" t="e">
        <f ca="1">IF(J885,Charms!B885,"")</f>
        <v>#N/A</v>
      </c>
      <c r="M885" t="str">
        <f t="shared" ca="1" si="67"/>
        <v>-</v>
      </c>
      <c r="N885" s="18" t="str">
        <f t="shared" si="68"/>
        <v>K856:L898</v>
      </c>
      <c r="O885" t="str">
        <f t="shared" si="69"/>
        <v>A856:A885</v>
      </c>
    </row>
    <row r="886" spans="1:15">
      <c r="A886" s="18" t="str">
        <f>Charms!K886</f>
        <v>Medicine</v>
      </c>
      <c r="B886" t="str">
        <f>Charms!B886</f>
        <v>Ailment-Sensing Meditation</v>
      </c>
      <c r="C886" t="b">
        <f ca="1">OR(Values!$S$98&gt;=Charms!M886,IFERROR(Charms!J886=OFFSET(Values!$A$24,MATCH("S",Values!$T$25:$T$50,0),0),FALSE))</f>
        <v>1</v>
      </c>
      <c r="D886" t="b">
        <f>VLOOKUP(Charms!J886,Values!$A$11:$S$59,19,0)&gt;=Charms!L886</f>
        <v>0</v>
      </c>
      <c r="E886" t="e">
        <f>OR(ISBLANK(Charms!I886),(VLOOKUP(Values!$S$6,Castes!$B$2:$F$25,4,0)=Charms!I886))</f>
        <v>#N/A</v>
      </c>
      <c r="J886" t="e">
        <f t="shared" ca="1" si="66"/>
        <v>#N/A</v>
      </c>
      <c r="K886" s="18" t="e">
        <f t="shared" ca="1" si="65"/>
        <v>#N/A</v>
      </c>
      <c r="L886" t="e">
        <f ca="1">IF(J886,Charms!B886,"")</f>
        <v>#N/A</v>
      </c>
      <c r="M886" t="str">
        <f t="shared" ca="1" si="67"/>
        <v>-</v>
      </c>
      <c r="N886" s="18" t="str">
        <f t="shared" si="68"/>
        <v>K856:L898</v>
      </c>
      <c r="O886" t="str">
        <f t="shared" si="69"/>
        <v>A856:A886</v>
      </c>
    </row>
    <row r="887" spans="1:15">
      <c r="A887" s="18" t="str">
        <f>Charms!K887</f>
        <v>Medicine</v>
      </c>
      <c r="B887" t="str">
        <f>Charms!B887</f>
        <v>Poisoner’s Deft Hand</v>
      </c>
      <c r="C887" t="b">
        <f ca="1">OR(Values!$S$98&gt;=Charms!M887,IFERROR(Charms!J887=OFFSET(Values!$A$24,MATCH("S",Values!$T$25:$T$50,0),0),FALSE))</f>
        <v>0</v>
      </c>
      <c r="D887" t="b">
        <f>VLOOKUP(Charms!J887,Values!$A$11:$S$59,19,0)&gt;=Charms!L887</f>
        <v>0</v>
      </c>
      <c r="E887" t="e">
        <f>OR(ISBLANK(Charms!I887),(VLOOKUP(Values!$S$6,Castes!$B$2:$F$25,4,0)=Charms!I887))</f>
        <v>#N/A</v>
      </c>
      <c r="J887" t="e">
        <f t="shared" ca="1" si="66"/>
        <v>#N/A</v>
      </c>
      <c r="K887" s="18" t="e">
        <f t="shared" ca="1" si="65"/>
        <v>#N/A</v>
      </c>
      <c r="L887" t="e">
        <f ca="1">IF(J887,Charms!B887,"")</f>
        <v>#N/A</v>
      </c>
      <c r="M887" t="str">
        <f t="shared" ca="1" si="67"/>
        <v>-</v>
      </c>
      <c r="N887" s="18" t="str">
        <f t="shared" si="68"/>
        <v>K856:L898</v>
      </c>
      <c r="O887" t="str">
        <f t="shared" si="69"/>
        <v>A856:A887</v>
      </c>
    </row>
    <row r="888" spans="1:15">
      <c r="A888" s="18" t="str">
        <f>Charms!K888</f>
        <v>Medicine</v>
      </c>
      <c r="B888" t="str">
        <f>Charms!B888</f>
        <v>Death-Defying Endeavor</v>
      </c>
      <c r="C888" t="b">
        <f ca="1">OR(Values!$S$98&gt;=Charms!M888,IFERROR(Charms!J888=OFFSET(Values!$A$24,MATCH("S",Values!$T$25:$T$50,0),0),FALSE))</f>
        <v>0</v>
      </c>
      <c r="D888" t="b">
        <f>VLOOKUP(Charms!J888,Values!$A$11:$S$59,19,0)&gt;=Charms!L888</f>
        <v>0</v>
      </c>
      <c r="E888" t="e">
        <f>OR(ISBLANK(Charms!I888),(VLOOKUP(Values!$S$6,Castes!$B$2:$F$25,4,0)=Charms!I888))</f>
        <v>#N/A</v>
      </c>
      <c r="J888" t="e">
        <f t="shared" ca="1" si="66"/>
        <v>#N/A</v>
      </c>
      <c r="K888" s="18" t="e">
        <f t="shared" ca="1" si="65"/>
        <v>#N/A</v>
      </c>
      <c r="L888" t="e">
        <f ca="1">IF(J888,Charms!B888,"")</f>
        <v>#N/A</v>
      </c>
      <c r="M888" t="str">
        <f t="shared" ca="1" si="67"/>
        <v>-</v>
      </c>
      <c r="N888" s="18" t="str">
        <f t="shared" si="68"/>
        <v>K856:L898</v>
      </c>
      <c r="O888" t="str">
        <f t="shared" si="69"/>
        <v>A856:A888</v>
      </c>
    </row>
    <row r="889" spans="1:15">
      <c r="A889" s="18" t="str">
        <f>Charms!K889</f>
        <v>Medicine</v>
      </c>
      <c r="B889" t="str">
        <f>Charms!B889</f>
        <v>Dread Infection Strike</v>
      </c>
      <c r="C889" t="b">
        <f ca="1">OR(Values!$S$98&gt;=Charms!M889,IFERROR(Charms!J889=OFFSET(Values!$A$24,MATCH("S",Values!$T$25:$T$50,0),0),FALSE))</f>
        <v>0</v>
      </c>
      <c r="D889" t="b">
        <f>VLOOKUP(Charms!J889,Values!$A$11:$S$59,19,0)&gt;=Charms!L889</f>
        <v>0</v>
      </c>
      <c r="E889" t="e">
        <f>OR(ISBLANK(Charms!I889),(VLOOKUP(Values!$S$6,Castes!$B$2:$F$25,4,0)=Charms!I889))</f>
        <v>#N/A</v>
      </c>
      <c r="J889" t="e">
        <f t="shared" ca="1" si="66"/>
        <v>#N/A</v>
      </c>
      <c r="K889" s="18" t="e">
        <f t="shared" ca="1" si="65"/>
        <v>#N/A</v>
      </c>
      <c r="L889" t="e">
        <f ca="1">IF(J889,Charms!B889,"")</f>
        <v>#N/A</v>
      </c>
      <c r="M889" t="str">
        <f t="shared" ca="1" si="67"/>
        <v>-</v>
      </c>
      <c r="N889" s="18" t="str">
        <f t="shared" si="68"/>
        <v>K856:L898</v>
      </c>
      <c r="O889" t="str">
        <f t="shared" si="69"/>
        <v>A856:A889</v>
      </c>
    </row>
    <row r="890" spans="1:15">
      <c r="A890" s="18" t="str">
        <f>Charms!K890</f>
        <v>Medicine</v>
      </c>
      <c r="B890" t="str">
        <f>Charms!B890</f>
        <v>Flesh-as-Stone Inurement</v>
      </c>
      <c r="C890" t="b">
        <f ca="1">OR(Values!$S$98&gt;=Charms!M890,IFERROR(Charms!J890=OFFSET(Values!$A$24,MATCH("S",Values!$T$25:$T$50,0),0),FALSE))</f>
        <v>0</v>
      </c>
      <c r="D890" t="b">
        <f>VLOOKUP(Charms!J890,Values!$A$11:$S$59,19,0)&gt;=Charms!L890</f>
        <v>0</v>
      </c>
      <c r="E890" t="e">
        <f>OR(ISBLANK(Charms!I890),(VLOOKUP(Values!$S$6,Castes!$B$2:$F$25,4,0)=Charms!I890))</f>
        <v>#N/A</v>
      </c>
      <c r="J890" t="e">
        <f t="shared" ca="1" si="66"/>
        <v>#N/A</v>
      </c>
      <c r="K890" s="18" t="e">
        <f t="shared" ca="1" si="65"/>
        <v>#N/A</v>
      </c>
      <c r="L890" t="e">
        <f ca="1">IF(J890,Charms!B890,"")</f>
        <v>#N/A</v>
      </c>
      <c r="M890" t="str">
        <f t="shared" ca="1" si="67"/>
        <v>-</v>
      </c>
      <c r="N890" s="18" t="str">
        <f t="shared" si="68"/>
        <v>K856:L898</v>
      </c>
      <c r="O890" t="str">
        <f t="shared" si="69"/>
        <v>A856:A890</v>
      </c>
    </row>
    <row r="891" spans="1:15">
      <c r="A891" s="18" t="str">
        <f>Charms!K891</f>
        <v>Medicine</v>
      </c>
      <c r="B891" t="str">
        <f>Charms!B891</f>
        <v>Grievous Wound Alteration Energy</v>
      </c>
      <c r="C891" t="b">
        <f ca="1">OR(Values!$S$98&gt;=Charms!M891,IFERROR(Charms!J891=OFFSET(Values!$A$24,MATCH("S",Values!$T$25:$T$50,0),0),FALSE))</f>
        <v>0</v>
      </c>
      <c r="D891" t="b">
        <f>VLOOKUP(Charms!J891,Values!$A$11:$S$59,19,0)&gt;=Charms!L891</f>
        <v>0</v>
      </c>
      <c r="E891" t="e">
        <f>OR(ISBLANK(Charms!I891),(VLOOKUP(Values!$S$6,Castes!$B$2:$F$25,4,0)=Charms!I891))</f>
        <v>#N/A</v>
      </c>
      <c r="J891" t="e">
        <f t="shared" ca="1" si="66"/>
        <v>#N/A</v>
      </c>
      <c r="K891" s="18" t="e">
        <f t="shared" ca="1" si="65"/>
        <v>#N/A</v>
      </c>
      <c r="L891" t="e">
        <f ca="1">IF(J891,Charms!B891,"")</f>
        <v>#N/A</v>
      </c>
      <c r="M891" t="str">
        <f t="shared" ca="1" si="67"/>
        <v>-</v>
      </c>
      <c r="N891" s="18" t="str">
        <f t="shared" si="68"/>
        <v>K856:L898</v>
      </c>
      <c r="O891" t="str">
        <f t="shared" si="69"/>
        <v>A856:A891</v>
      </c>
    </row>
    <row r="892" spans="1:15">
      <c r="A892" s="18" t="str">
        <f>Charms!K892</f>
        <v>Medicine</v>
      </c>
      <c r="B892" t="str">
        <f>Charms!B892</f>
        <v>Purity-of-Mind Method</v>
      </c>
      <c r="C892" t="b">
        <f ca="1">OR(Values!$S$98&gt;=Charms!M892,IFERROR(Charms!J892=OFFSET(Values!$A$24,MATCH("S",Values!$T$25:$T$50,0),0),FALSE))</f>
        <v>0</v>
      </c>
      <c r="D892" t="b">
        <f>VLOOKUP(Charms!J892,Values!$A$11:$S$59,19,0)&gt;=Charms!L892</f>
        <v>0</v>
      </c>
      <c r="E892" t="e">
        <f>OR(ISBLANK(Charms!I892),(VLOOKUP(Values!$S$6,Castes!$B$2:$F$25,4,0)=Charms!I892))</f>
        <v>#N/A</v>
      </c>
      <c r="J892" t="e">
        <f t="shared" ca="1" si="66"/>
        <v>#N/A</v>
      </c>
      <c r="K892" s="18" t="e">
        <f t="shared" ca="1" si="65"/>
        <v>#N/A</v>
      </c>
      <c r="L892" t="e">
        <f ca="1">IF(J892,Charms!B892,"")</f>
        <v>#N/A</v>
      </c>
      <c r="M892" t="str">
        <f t="shared" ca="1" si="67"/>
        <v>-</v>
      </c>
      <c r="N892" s="18" t="str">
        <f t="shared" si="68"/>
        <v>K856:L898</v>
      </c>
      <c r="O892" t="str">
        <f t="shared" si="69"/>
        <v>A856:A892</v>
      </c>
    </row>
    <row r="893" spans="1:15">
      <c r="A893" s="18" t="str">
        <f>Charms!K893</f>
        <v>Medicine</v>
      </c>
      <c r="B893" t="str">
        <f>Charms!B893</f>
        <v>Marmoreal Body Fortification</v>
      </c>
      <c r="C893" t="b">
        <f ca="1">OR(Values!$S$98&gt;=Charms!M893,IFERROR(Charms!J893=OFFSET(Values!$A$24,MATCH("S",Values!$T$25:$T$50,0),0),FALSE))</f>
        <v>0</v>
      </c>
      <c r="D893" t="b">
        <f>VLOOKUP(Charms!J893,Values!$A$11:$S$59,19,0)&gt;=Charms!L893</f>
        <v>0</v>
      </c>
      <c r="E893" t="e">
        <f>OR(ISBLANK(Charms!I893),(VLOOKUP(Values!$S$6,Castes!$B$2:$F$25,4,0)=Charms!I893))</f>
        <v>#N/A</v>
      </c>
      <c r="J893" t="e">
        <f t="shared" ca="1" si="66"/>
        <v>#N/A</v>
      </c>
      <c r="K893" s="18" t="e">
        <f t="shared" ca="1" si="65"/>
        <v>#N/A</v>
      </c>
      <c r="L893" t="e">
        <f ca="1">IF(J893,Charms!B893,"")</f>
        <v>#N/A</v>
      </c>
      <c r="M893" t="str">
        <f t="shared" ca="1" si="67"/>
        <v>-</v>
      </c>
      <c r="N893" s="18" t="str">
        <f t="shared" si="68"/>
        <v>K856:L898</v>
      </c>
      <c r="O893" t="str">
        <f t="shared" si="69"/>
        <v>A856:A893</v>
      </c>
    </row>
    <row r="894" spans="1:15">
      <c r="A894" s="18" t="str">
        <f>Charms!K894</f>
        <v>Medicine</v>
      </c>
      <c r="B894" t="str">
        <f>Charms!B894</f>
        <v>Unbinding the Inner Flame</v>
      </c>
      <c r="C894" t="b">
        <f ca="1">OR(Values!$S$98&gt;=Charms!M894,IFERROR(Charms!J894=OFFSET(Values!$A$24,MATCH("S",Values!$T$25:$T$50,0),0),FALSE))</f>
        <v>0</v>
      </c>
      <c r="D894" t="b">
        <f>VLOOKUP(Charms!J894,Values!$A$11:$S$59,19,0)&gt;=Charms!L894</f>
        <v>0</v>
      </c>
      <c r="E894" t="e">
        <f>OR(ISBLANK(Charms!I894),(VLOOKUP(Values!$S$6,Castes!$B$2:$F$25,4,0)=Charms!I894))</f>
        <v>#N/A</v>
      </c>
      <c r="J894" t="e">
        <f t="shared" ca="1" si="66"/>
        <v>#N/A</v>
      </c>
      <c r="K894" s="18" t="e">
        <f t="shared" ca="1" si="65"/>
        <v>#N/A</v>
      </c>
      <c r="L894" t="e">
        <f ca="1">IF(J894,Charms!B894,"")</f>
        <v>#N/A</v>
      </c>
      <c r="M894" t="str">
        <f t="shared" ca="1" si="67"/>
        <v>-</v>
      </c>
      <c r="N894" s="18" t="str">
        <f t="shared" si="68"/>
        <v>K856:L898</v>
      </c>
      <c r="O894" t="str">
        <f t="shared" si="69"/>
        <v>A856:A894</v>
      </c>
    </row>
    <row r="895" spans="1:15">
      <c r="A895" s="18" t="str">
        <f>Charms!K895</f>
        <v>Medicine</v>
      </c>
      <c r="B895" t="str">
        <f>Charms!B895</f>
        <v>Body-Cleansing Ablution</v>
      </c>
      <c r="C895" t="b">
        <f ca="1">OR(Values!$S$98&gt;=Charms!M895,IFERROR(Charms!J895=OFFSET(Values!$A$24,MATCH("S",Values!$T$25:$T$50,0),0),FALSE))</f>
        <v>0</v>
      </c>
      <c r="D895" t="b">
        <f>VLOOKUP(Charms!J895,Values!$A$11:$S$59,19,0)&gt;=Charms!L895</f>
        <v>0</v>
      </c>
      <c r="E895" t="e">
        <f>OR(ISBLANK(Charms!I895),(VLOOKUP(Values!$S$6,Castes!$B$2:$F$25,4,0)=Charms!I895))</f>
        <v>#N/A</v>
      </c>
      <c r="J895" t="e">
        <f t="shared" ca="1" si="66"/>
        <v>#N/A</v>
      </c>
      <c r="K895" s="18" t="e">
        <f t="shared" ca="1" si="65"/>
        <v>#N/A</v>
      </c>
      <c r="L895" t="e">
        <f ca="1">IF(J895,Charms!B895,"")</f>
        <v>#N/A</v>
      </c>
      <c r="M895" t="str">
        <f t="shared" ca="1" si="67"/>
        <v>-</v>
      </c>
      <c r="N895" s="18" t="str">
        <f t="shared" si="68"/>
        <v>K856:L898</v>
      </c>
      <c r="O895" t="str">
        <f t="shared" si="69"/>
        <v>A856:A895</v>
      </c>
    </row>
    <row r="896" spans="1:15">
      <c r="A896" s="18" t="str">
        <f>Charms!K896</f>
        <v>Medicine</v>
      </c>
      <c r="B896" t="str">
        <f>Charms!B896</f>
        <v>Rebirth of Flesh and Ivy</v>
      </c>
      <c r="C896" t="b">
        <f ca="1">OR(Values!$S$98&gt;=Charms!M896,IFERROR(Charms!J896=OFFSET(Values!$A$24,MATCH("S",Values!$T$25:$T$50,0),0),FALSE))</f>
        <v>0</v>
      </c>
      <c r="D896" t="b">
        <f>VLOOKUP(Charms!J896,Values!$A$11:$S$59,19,0)&gt;=Charms!L896</f>
        <v>0</v>
      </c>
      <c r="E896" t="e">
        <f>OR(ISBLANK(Charms!I896),(VLOOKUP(Values!$S$6,Castes!$B$2:$F$25,4,0)=Charms!I896))</f>
        <v>#N/A</v>
      </c>
      <c r="J896" t="e">
        <f t="shared" ca="1" si="66"/>
        <v>#N/A</v>
      </c>
      <c r="K896" s="18" t="e">
        <f t="shared" ca="1" si="65"/>
        <v>#N/A</v>
      </c>
      <c r="L896" t="e">
        <f ca="1">IF(J896,Charms!B896,"")</f>
        <v>#N/A</v>
      </c>
      <c r="M896" t="str">
        <f t="shared" ca="1" si="67"/>
        <v>-</v>
      </c>
      <c r="N896" s="18" t="str">
        <f t="shared" si="68"/>
        <v>K856:L898</v>
      </c>
      <c r="O896" t="str">
        <f t="shared" si="69"/>
        <v>A856:A896</v>
      </c>
    </row>
    <row r="897" spans="1:15">
      <c r="A897" s="18" t="str">
        <f>Charms!K897</f>
        <v>Medicine</v>
      </c>
      <c r="B897" t="str">
        <f>Charms!B897</f>
        <v>Jade Crucible Method</v>
      </c>
      <c r="C897" t="b">
        <f ca="1">OR(Values!$S$98&gt;=Charms!M897,IFERROR(Charms!J897=OFFSET(Values!$A$24,MATCH("S",Values!$T$25:$T$50,0),0),FALSE))</f>
        <v>0</v>
      </c>
      <c r="D897" t="b">
        <f>VLOOKUP(Charms!J897,Values!$A$11:$S$59,19,0)&gt;=Charms!L897</f>
        <v>0</v>
      </c>
      <c r="E897" t="e">
        <f>OR(ISBLANK(Charms!I897),(VLOOKUP(Values!$S$6,Castes!$B$2:$F$25,4,0)=Charms!I897))</f>
        <v>#N/A</v>
      </c>
      <c r="J897" t="e">
        <f t="shared" ca="1" si="66"/>
        <v>#N/A</v>
      </c>
      <c r="K897" s="18" t="e">
        <f t="shared" ca="1" si="65"/>
        <v>#N/A</v>
      </c>
      <c r="L897" t="e">
        <f ca="1">IF(J897,Charms!B897,"")</f>
        <v>#N/A</v>
      </c>
      <c r="M897" t="str">
        <f t="shared" ca="1" si="67"/>
        <v>-</v>
      </c>
      <c r="N897" s="18" t="str">
        <f t="shared" si="68"/>
        <v>K856:L898</v>
      </c>
      <c r="O897" t="str">
        <f t="shared" si="69"/>
        <v>A856:A897</v>
      </c>
    </row>
    <row r="898" spans="1:15">
      <c r="A898" s="18" t="str">
        <f>Charms!K898</f>
        <v>Medicine</v>
      </c>
      <c r="B898" t="str">
        <f>Charms!B898</f>
        <v>Most Beneficent Seed of the Five Dragons</v>
      </c>
      <c r="C898" t="b">
        <f ca="1">OR(Values!$S$98&gt;=Charms!M898,IFERROR(Charms!J898=OFFSET(Values!$A$24,MATCH("S",Values!$T$25:$T$50,0),0),FALSE))</f>
        <v>0</v>
      </c>
      <c r="D898" t="b">
        <f>VLOOKUP(Charms!J898,Values!$A$11:$S$59,19,0)&gt;=Charms!L898</f>
        <v>0</v>
      </c>
      <c r="E898" t="e">
        <f>OR(ISBLANK(Charms!I898),(VLOOKUP(Values!$S$6,Castes!$B$2:$F$25,4,0)=Charms!I898))</f>
        <v>#N/A</v>
      </c>
      <c r="J898" t="e">
        <f t="shared" ca="1" si="66"/>
        <v>#N/A</v>
      </c>
      <c r="K898" s="18" t="e">
        <f t="shared" ref="K898:K961" ca="1" si="70">IF(L898="","",COUNTIF(INDIRECT("J"&amp;MATCH(A898,A:A,0)&amp;":J"&amp;ROW()),J898))</f>
        <v>#N/A</v>
      </c>
      <c r="L898" t="e">
        <f ca="1">IF(J898,Charms!B898,"")</f>
        <v>#N/A</v>
      </c>
      <c r="M898" t="str">
        <f t="shared" ca="1" si="67"/>
        <v>-</v>
      </c>
      <c r="N898" s="18" t="str">
        <f t="shared" si="68"/>
        <v>K856:L898</v>
      </c>
      <c r="O898" t="str">
        <f t="shared" si="69"/>
        <v>A856:A898</v>
      </c>
    </row>
    <row r="899" spans="1:15">
      <c r="A899" s="18" t="str">
        <f>Charms!K899</f>
        <v>Melee</v>
      </c>
      <c r="B899" t="str">
        <f>Charms!B899</f>
        <v>Dipping Swallow Defense</v>
      </c>
      <c r="C899" t="b">
        <f ca="1">OR(Values!$S$98&gt;=Charms!M899,IFERROR(Charms!J899=OFFSET(Values!$A$24,MATCH("S",Values!$T$25:$T$50,0),0),FALSE))</f>
        <v>1</v>
      </c>
      <c r="D899" t="b">
        <f>VLOOKUP(Charms!J899,Values!$A$11:$S$59,19,0)&gt;=Charms!L899</f>
        <v>0</v>
      </c>
      <c r="E899" t="e">
        <f>OR(ISBLANK(Charms!I899),(VLOOKUP(Values!$S$6,Castes!$B$2:$F$25,4,0)=Charms!I899))</f>
        <v>#N/A</v>
      </c>
      <c r="J899" t="e">
        <f t="shared" ref="J899:J962" ca="1" si="71">(C899+D899+E899+F899+G899+H899+I899)=3</f>
        <v>#N/A</v>
      </c>
      <c r="K899" s="18" t="e">
        <f t="shared" ca="1" si="70"/>
        <v>#N/A</v>
      </c>
      <c r="L899" t="e">
        <f ca="1">IF(J899,Charms!B899,"")</f>
        <v>#N/A</v>
      </c>
      <c r="M899" t="str">
        <f t="shared" ref="M899:M962" ca="1" si="72">IFERROR(VLOOKUP(COUNTIF(INDIRECT(O899),A899),INDIRECT(N899),2,0),"-")</f>
        <v>-</v>
      </c>
      <c r="N899" s="18" t="str">
        <f t="shared" ref="N899:N962" si="73">"K"&amp;MATCH(A899,A:A,0)&amp;":L"&amp;(MATCH(A899,A:A,0)+COUNTIF(A:A,A899)-1)</f>
        <v>K899:L971</v>
      </c>
      <c r="O899" t="str">
        <f t="shared" ref="O899:O962" si="74">"A"&amp;MATCH(A899,A:A,0)&amp;":A"&amp;ROW()</f>
        <v>A899:A899</v>
      </c>
    </row>
    <row r="900" spans="1:15">
      <c r="A900" s="18" t="str">
        <f>Charms!K900</f>
        <v>Melee</v>
      </c>
      <c r="B900" t="str">
        <f>Charms!B900</f>
        <v>Call the Blade</v>
      </c>
      <c r="C900" t="b">
        <f ca="1">OR(Values!$S$98&gt;=Charms!M900,IFERROR(Charms!J900=OFFSET(Values!$A$24,MATCH("S",Values!$T$25:$T$50,0),0),FALSE))</f>
        <v>1</v>
      </c>
      <c r="D900" t="b">
        <f>VLOOKUP(Charms!J900,Values!$A$11:$S$59,19,0)&gt;=Charms!L900</f>
        <v>0</v>
      </c>
      <c r="E900" t="e">
        <f>OR(ISBLANK(Charms!I900),(VLOOKUP(Values!$S$6,Castes!$B$2:$F$25,4,0)=Charms!I900))</f>
        <v>#N/A</v>
      </c>
      <c r="J900" t="e">
        <f t="shared" ca="1" si="71"/>
        <v>#N/A</v>
      </c>
      <c r="K900" s="18" t="e">
        <f t="shared" ca="1" si="70"/>
        <v>#N/A</v>
      </c>
      <c r="L900" t="e">
        <f ca="1">IF(J900,Charms!B900,"")</f>
        <v>#N/A</v>
      </c>
      <c r="M900" t="str">
        <f t="shared" ca="1" si="72"/>
        <v>-</v>
      </c>
      <c r="N900" s="18" t="str">
        <f t="shared" si="73"/>
        <v>K899:L971</v>
      </c>
      <c r="O900" t="str">
        <f t="shared" si="74"/>
        <v>A899:A900</v>
      </c>
    </row>
    <row r="901" spans="1:15">
      <c r="A901" s="18" t="str">
        <f>Charms!K901</f>
        <v>Melee</v>
      </c>
      <c r="B901" t="str">
        <f>Charms!B901</f>
        <v>Nimble Reaving Wind</v>
      </c>
      <c r="C901" t="b">
        <f ca="1">OR(Values!$S$98&gt;=Charms!M901,IFERROR(Charms!J901=OFFSET(Values!$A$24,MATCH("S",Values!$T$25:$T$50,0),0),FALSE))</f>
        <v>1</v>
      </c>
      <c r="D901" t="b">
        <f>VLOOKUP(Charms!J901,Values!$A$11:$S$59,19,0)&gt;=Charms!L901</f>
        <v>0</v>
      </c>
      <c r="E901" t="e">
        <f>OR(ISBLANK(Charms!I901),(VLOOKUP(Values!$S$6,Castes!$B$2:$F$25,4,0)=Charms!I901))</f>
        <v>#N/A</v>
      </c>
      <c r="J901" t="e">
        <f t="shared" ca="1" si="71"/>
        <v>#N/A</v>
      </c>
      <c r="K901" s="18" t="e">
        <f t="shared" ca="1" si="70"/>
        <v>#N/A</v>
      </c>
      <c r="L901" t="e">
        <f ca="1">IF(J901,Charms!B901,"")</f>
        <v>#N/A</v>
      </c>
      <c r="M901" t="str">
        <f t="shared" ca="1" si="72"/>
        <v>-</v>
      </c>
      <c r="N901" s="18" t="str">
        <f t="shared" si="73"/>
        <v>K899:L971</v>
      </c>
      <c r="O901" t="str">
        <f t="shared" si="74"/>
        <v>A899:A901</v>
      </c>
    </row>
    <row r="902" spans="1:15">
      <c r="A902" s="18" t="str">
        <f>Charms!K902</f>
        <v>Melee</v>
      </c>
      <c r="B902" t="str">
        <f>Charms!B902</f>
        <v>Excellent Strike</v>
      </c>
      <c r="C902" t="b">
        <f ca="1">OR(Values!$S$98&gt;=Charms!M902,IFERROR(Charms!J902=OFFSET(Values!$A$24,MATCH("S",Values!$T$25:$T$50,0),0),FALSE))</f>
        <v>1</v>
      </c>
      <c r="D902" t="b">
        <f>VLOOKUP(Charms!J902,Values!$A$11:$S$59,19,0)&gt;=Charms!L902</f>
        <v>0</v>
      </c>
      <c r="E902" t="e">
        <f>OR(ISBLANK(Charms!I902),(VLOOKUP(Values!$S$6,Castes!$B$2:$F$25,4,0)=Charms!I902))</f>
        <v>#N/A</v>
      </c>
      <c r="J902" t="e">
        <f t="shared" ca="1" si="71"/>
        <v>#N/A</v>
      </c>
      <c r="K902" s="18" t="e">
        <f t="shared" ca="1" si="70"/>
        <v>#N/A</v>
      </c>
      <c r="L902" t="e">
        <f ca="1">IF(J902,Charms!B902,"")</f>
        <v>#N/A</v>
      </c>
      <c r="M902" t="str">
        <f t="shared" ca="1" si="72"/>
        <v>-</v>
      </c>
      <c r="N902" s="18" t="str">
        <f t="shared" si="73"/>
        <v>K899:L971</v>
      </c>
      <c r="O902" t="str">
        <f t="shared" si="74"/>
        <v>A899:A902</v>
      </c>
    </row>
    <row r="903" spans="1:15">
      <c r="A903" s="18" t="str">
        <f>Charms!K903</f>
        <v>Melee</v>
      </c>
      <c r="B903" t="str">
        <f>Charms!B903</f>
        <v>One Weapon, Two Blows</v>
      </c>
      <c r="C903" t="b">
        <f ca="1">OR(Values!$S$98&gt;=Charms!M903,IFERROR(Charms!J903=OFFSET(Values!$A$24,MATCH("S",Values!$T$25:$T$50,0),0),FALSE))</f>
        <v>1</v>
      </c>
      <c r="D903" t="b">
        <f>VLOOKUP(Charms!J903,Values!$A$11:$S$59,19,0)&gt;=Charms!L903</f>
        <v>0</v>
      </c>
      <c r="E903" t="e">
        <f>OR(ISBLANK(Charms!I903),(VLOOKUP(Values!$S$6,Castes!$B$2:$F$25,4,0)=Charms!I903))</f>
        <v>#N/A</v>
      </c>
      <c r="J903" t="e">
        <f t="shared" ca="1" si="71"/>
        <v>#N/A</v>
      </c>
      <c r="K903" s="18" t="e">
        <f t="shared" ca="1" si="70"/>
        <v>#N/A</v>
      </c>
      <c r="L903" t="e">
        <f ca="1">IF(J903,Charms!B903,"")</f>
        <v>#N/A</v>
      </c>
      <c r="M903" t="str">
        <f t="shared" ca="1" si="72"/>
        <v>-</v>
      </c>
      <c r="N903" s="18" t="str">
        <f t="shared" si="73"/>
        <v>K899:L971</v>
      </c>
      <c r="O903" t="str">
        <f t="shared" si="74"/>
        <v>A899:A903</v>
      </c>
    </row>
    <row r="904" spans="1:15">
      <c r="A904" s="18" t="str">
        <f>Charms!K904</f>
        <v>Melee</v>
      </c>
      <c r="B904" t="str">
        <f>Charms!B904</f>
        <v>Fire and Stones Strike</v>
      </c>
      <c r="C904" t="b">
        <f ca="1">OR(Values!$S$98&gt;=Charms!M904,IFERROR(Charms!J904=OFFSET(Values!$A$24,MATCH("S",Values!$T$25:$T$50,0),0),FALSE))</f>
        <v>1</v>
      </c>
      <c r="D904" t="b">
        <f>VLOOKUP(Charms!J904,Values!$A$11:$S$59,19,0)&gt;=Charms!L904</f>
        <v>0</v>
      </c>
      <c r="E904" t="e">
        <f>OR(ISBLANK(Charms!I904),(VLOOKUP(Values!$S$6,Castes!$B$2:$F$25,4,0)=Charms!I904))</f>
        <v>#N/A</v>
      </c>
      <c r="J904" t="e">
        <f t="shared" ca="1" si="71"/>
        <v>#N/A</v>
      </c>
      <c r="K904" s="18" t="e">
        <f t="shared" ca="1" si="70"/>
        <v>#N/A</v>
      </c>
      <c r="L904" t="e">
        <f ca="1">IF(J904,Charms!B904,"")</f>
        <v>#N/A</v>
      </c>
      <c r="M904" t="str">
        <f t="shared" ca="1" si="72"/>
        <v>-</v>
      </c>
      <c r="N904" s="18" t="str">
        <f t="shared" si="73"/>
        <v>K899:L971</v>
      </c>
      <c r="O904" t="str">
        <f t="shared" si="74"/>
        <v>A899:A904</v>
      </c>
    </row>
    <row r="905" spans="1:15">
      <c r="A905" s="18" t="str">
        <f>Charms!K905</f>
        <v>Melee</v>
      </c>
      <c r="B905" t="str">
        <f>Charms!B905</f>
        <v>Peony Blossom Technique</v>
      </c>
      <c r="C905" t="b">
        <f ca="1">OR(Values!$S$98&gt;=Charms!M905,IFERROR(Charms!J905=OFFSET(Values!$A$24,MATCH("S",Values!$T$25:$T$50,0),0),FALSE))</f>
        <v>1</v>
      </c>
      <c r="D905" t="b">
        <f>VLOOKUP(Charms!J905,Values!$A$11:$S$59,19,0)&gt;=Charms!L905</f>
        <v>0</v>
      </c>
      <c r="E905" t="e">
        <f>OR(ISBLANK(Charms!I905),(VLOOKUP(Values!$S$6,Castes!$B$2:$F$25,4,0)=Charms!I905))</f>
        <v>#N/A</v>
      </c>
      <c r="J905" t="e">
        <f t="shared" ca="1" si="71"/>
        <v>#N/A</v>
      </c>
      <c r="K905" s="18" t="e">
        <f t="shared" ca="1" si="70"/>
        <v>#N/A</v>
      </c>
      <c r="L905" t="e">
        <f ca="1">IF(J905,Charms!B905,"")</f>
        <v>#N/A</v>
      </c>
      <c r="M905" t="str">
        <f t="shared" ca="1" si="72"/>
        <v>-</v>
      </c>
      <c r="N905" s="18" t="str">
        <f t="shared" si="73"/>
        <v>K899:L971</v>
      </c>
      <c r="O905" t="str">
        <f t="shared" si="74"/>
        <v>A899:A905</v>
      </c>
    </row>
    <row r="906" spans="1:15">
      <c r="A906" s="18" t="str">
        <f>Charms!K906</f>
        <v>Melee</v>
      </c>
      <c r="B906" t="str">
        <f>Charms!B906</f>
        <v>Bulwark Stance</v>
      </c>
      <c r="C906" t="b">
        <f ca="1">OR(Values!$S$98&gt;=Charms!M906,IFERROR(Charms!J906=OFFSET(Values!$A$24,MATCH("S",Values!$T$25:$T$50,0),0),FALSE))</f>
        <v>1</v>
      </c>
      <c r="D906" t="b">
        <f>VLOOKUP(Charms!J906,Values!$A$11:$S$59,19,0)&gt;=Charms!L906</f>
        <v>0</v>
      </c>
      <c r="E906" t="e">
        <f>OR(ISBLANK(Charms!I906),(VLOOKUP(Values!$S$6,Castes!$B$2:$F$25,4,0)=Charms!I906))</f>
        <v>#N/A</v>
      </c>
      <c r="J906" t="e">
        <f t="shared" ca="1" si="71"/>
        <v>#N/A</v>
      </c>
      <c r="K906" s="18" t="e">
        <f t="shared" ca="1" si="70"/>
        <v>#N/A</v>
      </c>
      <c r="L906" t="e">
        <f ca="1">IF(J906,Charms!B906,"")</f>
        <v>#N/A</v>
      </c>
      <c r="M906" t="str">
        <f t="shared" ca="1" si="72"/>
        <v>-</v>
      </c>
      <c r="N906" s="18" t="str">
        <f t="shared" si="73"/>
        <v>K899:L971</v>
      </c>
      <c r="O906" t="str">
        <f t="shared" si="74"/>
        <v>A899:A906</v>
      </c>
    </row>
    <row r="907" spans="1:15">
      <c r="A907" s="18" t="str">
        <f>Charms!K907</f>
        <v>Melee</v>
      </c>
      <c r="B907" t="str">
        <f>Charms!B907</f>
        <v>Summoning the Loyal Steel</v>
      </c>
      <c r="C907" t="b">
        <f ca="1">OR(Values!$S$98&gt;=Charms!M907,IFERROR(Charms!J907=OFFSET(Values!$A$24,MATCH("S",Values!$T$25:$T$50,0),0),FALSE))</f>
        <v>1</v>
      </c>
      <c r="D907" t="b">
        <f>VLOOKUP(Charms!J907,Values!$A$11:$S$59,19,0)&gt;=Charms!L907</f>
        <v>0</v>
      </c>
      <c r="E907" t="e">
        <f>OR(ISBLANK(Charms!I907),(VLOOKUP(Values!$S$6,Castes!$B$2:$F$25,4,0)=Charms!I907))</f>
        <v>#N/A</v>
      </c>
      <c r="J907" t="e">
        <f t="shared" ca="1" si="71"/>
        <v>#N/A</v>
      </c>
      <c r="K907" s="18" t="e">
        <f t="shared" ca="1" si="70"/>
        <v>#N/A</v>
      </c>
      <c r="L907" t="e">
        <f ca="1">IF(J907,Charms!B907,"")</f>
        <v>#N/A</v>
      </c>
      <c r="M907" t="str">
        <f t="shared" ca="1" si="72"/>
        <v>-</v>
      </c>
      <c r="N907" s="18" t="str">
        <f t="shared" si="73"/>
        <v>K899:L971</v>
      </c>
      <c r="O907" t="str">
        <f t="shared" si="74"/>
        <v>A899:A907</v>
      </c>
    </row>
    <row r="908" spans="1:15">
      <c r="A908" s="18" t="str">
        <f>Charms!K908</f>
        <v>Melee</v>
      </c>
      <c r="B908" t="str">
        <f>Charms!B908</f>
        <v>Hail-Shattering Practice</v>
      </c>
      <c r="C908" t="b">
        <f ca="1">OR(Values!$S$98&gt;=Charms!M908,IFERROR(Charms!J908=OFFSET(Values!$A$24,MATCH("S",Values!$T$25:$T$50,0),0),FALSE))</f>
        <v>0</v>
      </c>
      <c r="D908" t="b">
        <f>VLOOKUP(Charms!J908,Values!$A$11:$S$59,19,0)&gt;=Charms!L908</f>
        <v>0</v>
      </c>
      <c r="E908" t="e">
        <f>OR(ISBLANK(Charms!I908),(VLOOKUP(Values!$S$6,Castes!$B$2:$F$25,4,0)=Charms!I908))</f>
        <v>#N/A</v>
      </c>
      <c r="J908" t="e">
        <f t="shared" ca="1" si="71"/>
        <v>#N/A</v>
      </c>
      <c r="K908" s="18" t="e">
        <f t="shared" ca="1" si="70"/>
        <v>#N/A</v>
      </c>
      <c r="L908" t="e">
        <f ca="1">IF(J908,Charms!B908,"")</f>
        <v>#N/A</v>
      </c>
      <c r="M908" t="str">
        <f t="shared" ca="1" si="72"/>
        <v>-</v>
      </c>
      <c r="N908" s="18" t="str">
        <f t="shared" si="73"/>
        <v>K899:L971</v>
      </c>
      <c r="O908" t="str">
        <f t="shared" si="74"/>
        <v>A899:A908</v>
      </c>
    </row>
    <row r="909" spans="1:15">
      <c r="A909" s="18" t="str">
        <f>Charms!K909</f>
        <v>Melee</v>
      </c>
      <c r="B909" t="str">
        <f>Charms!B909</f>
        <v>Glorious Solar Saber</v>
      </c>
      <c r="C909" t="b">
        <f ca="1">OR(Values!$S$98&gt;=Charms!M909,IFERROR(Charms!J909=OFFSET(Values!$A$24,MATCH("S",Values!$T$25:$T$50,0),0),FALSE))</f>
        <v>0</v>
      </c>
      <c r="D909" t="b">
        <f>VLOOKUP(Charms!J909,Values!$A$11:$S$59,19,0)&gt;=Charms!L909</f>
        <v>0</v>
      </c>
      <c r="E909" t="e">
        <f>OR(ISBLANK(Charms!I909),(VLOOKUP(Values!$S$6,Castes!$B$2:$F$25,4,0)=Charms!I909))</f>
        <v>#N/A</v>
      </c>
      <c r="J909" t="e">
        <f t="shared" ca="1" si="71"/>
        <v>#N/A</v>
      </c>
      <c r="K909" s="18" t="e">
        <f t="shared" ca="1" si="70"/>
        <v>#N/A</v>
      </c>
      <c r="L909" t="e">
        <f ca="1">IF(J909,Charms!B909,"")</f>
        <v>#N/A</v>
      </c>
      <c r="M909" t="str">
        <f t="shared" ca="1" si="72"/>
        <v>-</v>
      </c>
      <c r="N909" s="18" t="str">
        <f t="shared" si="73"/>
        <v>K899:L971</v>
      </c>
      <c r="O909" t="str">
        <f t="shared" si="74"/>
        <v>A899:A909</v>
      </c>
    </row>
    <row r="910" spans="1:15">
      <c r="A910" s="18" t="str">
        <f>Charms!K910</f>
        <v>Melee</v>
      </c>
      <c r="B910" t="str">
        <f>Charms!B910</f>
        <v>Arc Shedding Rain Technique</v>
      </c>
      <c r="C910" t="b">
        <f ca="1">OR(Values!$S$98&gt;=Charms!M910,IFERROR(Charms!J910=OFFSET(Values!$A$24,MATCH("S",Values!$T$25:$T$50,0),0),FALSE))</f>
        <v>1</v>
      </c>
      <c r="D910" t="b">
        <f>VLOOKUP(Charms!J910,Values!$A$11:$S$59,19,0)&gt;=Charms!L910</f>
        <v>0</v>
      </c>
      <c r="E910" t="e">
        <f>OR(ISBLANK(Charms!I910),(VLOOKUP(Values!$S$6,Castes!$B$2:$F$25,4,0)=Charms!I910))</f>
        <v>#N/A</v>
      </c>
      <c r="J910" t="e">
        <f t="shared" ca="1" si="71"/>
        <v>#N/A</v>
      </c>
      <c r="K910" s="18" t="e">
        <f t="shared" ca="1" si="70"/>
        <v>#N/A</v>
      </c>
      <c r="L910" t="e">
        <f ca="1">IF(J910,Charms!B910,"")</f>
        <v>#N/A</v>
      </c>
      <c r="M910" t="str">
        <f t="shared" ca="1" si="72"/>
        <v>-</v>
      </c>
      <c r="N910" s="18" t="str">
        <f t="shared" si="73"/>
        <v>K899:L971</v>
      </c>
      <c r="O910" t="str">
        <f t="shared" si="74"/>
        <v>A899:A910</v>
      </c>
    </row>
    <row r="911" spans="1:15">
      <c r="A911" s="18" t="str">
        <f>Charms!K911</f>
        <v>Melee</v>
      </c>
      <c r="B911" t="str">
        <f>Charms!B911</f>
        <v>War Lion Stance</v>
      </c>
      <c r="C911" t="b">
        <f ca="1">OR(Values!$S$98&gt;=Charms!M911,IFERROR(Charms!J911=OFFSET(Values!$A$24,MATCH("S",Values!$T$25:$T$50,0),0),FALSE))</f>
        <v>1</v>
      </c>
      <c r="D911" t="b">
        <f>VLOOKUP(Charms!J911,Values!$A$11:$S$59,19,0)&gt;=Charms!L911</f>
        <v>0</v>
      </c>
      <c r="E911" t="e">
        <f>OR(ISBLANK(Charms!I911),(VLOOKUP(Values!$S$6,Castes!$B$2:$F$25,4,0)=Charms!I911))</f>
        <v>#N/A</v>
      </c>
      <c r="J911" t="e">
        <f t="shared" ca="1" si="71"/>
        <v>#N/A</v>
      </c>
      <c r="K911" s="18" t="e">
        <f t="shared" ca="1" si="70"/>
        <v>#N/A</v>
      </c>
      <c r="L911" t="e">
        <f ca="1">IF(J911,Charms!B911,"")</f>
        <v>#N/A</v>
      </c>
      <c r="M911" t="str">
        <f t="shared" ca="1" si="72"/>
        <v>-</v>
      </c>
      <c r="N911" s="18" t="str">
        <f t="shared" si="73"/>
        <v>K899:L971</v>
      </c>
      <c r="O911" t="str">
        <f t="shared" si="74"/>
        <v>A899:A911</v>
      </c>
    </row>
    <row r="912" spans="1:15">
      <c r="A912" s="18" t="str">
        <f>Charms!K912</f>
        <v>Melee</v>
      </c>
      <c r="B912" t="str">
        <f>Charms!B912</f>
        <v>Solar Counterattack</v>
      </c>
      <c r="C912" t="b">
        <f ca="1">OR(Values!$S$98&gt;=Charms!M912,IFERROR(Charms!J912=OFFSET(Values!$A$24,MATCH("S",Values!$T$25:$T$50,0),0),FALSE))</f>
        <v>1</v>
      </c>
      <c r="D912" t="b">
        <f>VLOOKUP(Charms!J912,Values!$A$11:$S$59,19,0)&gt;=Charms!L912</f>
        <v>0</v>
      </c>
      <c r="E912" t="e">
        <f>OR(ISBLANK(Charms!I912),(VLOOKUP(Values!$S$6,Castes!$B$2:$F$25,4,0)=Charms!I912))</f>
        <v>#N/A</v>
      </c>
      <c r="J912" t="e">
        <f t="shared" ca="1" si="71"/>
        <v>#N/A</v>
      </c>
      <c r="K912" s="18" t="e">
        <f t="shared" ca="1" si="70"/>
        <v>#N/A</v>
      </c>
      <c r="L912" t="e">
        <f ca="1">IF(J912,Charms!B912,"")</f>
        <v>#N/A</v>
      </c>
      <c r="M912" t="str">
        <f t="shared" ca="1" si="72"/>
        <v>-</v>
      </c>
      <c r="N912" s="18" t="str">
        <f t="shared" si="73"/>
        <v>K899:L971</v>
      </c>
      <c r="O912" t="str">
        <f t="shared" si="74"/>
        <v>A899:A912</v>
      </c>
    </row>
    <row r="913" spans="1:15">
      <c r="A913" s="18" t="str">
        <f>Charms!K913</f>
        <v>Melee</v>
      </c>
      <c r="B913" t="str">
        <f>Charms!B913</f>
        <v>Rising Sun Slash</v>
      </c>
      <c r="C913" t="b">
        <f ca="1">OR(Values!$S$98&gt;=Charms!M913,IFERROR(Charms!J913=OFFSET(Values!$A$24,MATCH("S",Values!$T$25:$T$50,0),0),FALSE))</f>
        <v>0</v>
      </c>
      <c r="D913" t="b">
        <f>VLOOKUP(Charms!J913,Values!$A$11:$S$59,19,0)&gt;=Charms!L913</f>
        <v>0</v>
      </c>
      <c r="E913" t="e">
        <f>OR(ISBLANK(Charms!I913),(VLOOKUP(Values!$S$6,Castes!$B$2:$F$25,4,0)=Charms!I913))</f>
        <v>#N/A</v>
      </c>
      <c r="J913" t="e">
        <f t="shared" ca="1" si="71"/>
        <v>#N/A</v>
      </c>
      <c r="K913" s="18" t="e">
        <f t="shared" ca="1" si="70"/>
        <v>#N/A</v>
      </c>
      <c r="L913" t="e">
        <f ca="1">IF(J913,Charms!B913,"")</f>
        <v>#N/A</v>
      </c>
      <c r="M913" t="str">
        <f t="shared" ca="1" si="72"/>
        <v>-</v>
      </c>
      <c r="N913" s="18" t="str">
        <f t="shared" si="73"/>
        <v>K899:L971</v>
      </c>
      <c r="O913" t="str">
        <f t="shared" si="74"/>
        <v>A899:A913</v>
      </c>
    </row>
    <row r="914" spans="1:15">
      <c r="A914" s="18" t="str">
        <f>Charms!K914</f>
        <v>Melee</v>
      </c>
      <c r="B914" t="str">
        <f>Charms!B914</f>
        <v>Calm and Ready Focus</v>
      </c>
      <c r="C914" t="b">
        <f ca="1">OR(Values!$S$98&gt;=Charms!M914,IFERROR(Charms!J914=OFFSET(Values!$A$24,MATCH("S",Values!$T$25:$T$50,0),0),FALSE))</f>
        <v>0</v>
      </c>
      <c r="D914" t="b">
        <f>VLOOKUP(Charms!J914,Values!$A$11:$S$59,19,0)&gt;=Charms!L914</f>
        <v>0</v>
      </c>
      <c r="E914" t="e">
        <f>OR(ISBLANK(Charms!I914),(VLOOKUP(Values!$S$6,Castes!$B$2:$F$25,4,0)=Charms!I914))</f>
        <v>#N/A</v>
      </c>
      <c r="J914" t="e">
        <f t="shared" ca="1" si="71"/>
        <v>#N/A</v>
      </c>
      <c r="K914" s="18" t="e">
        <f t="shared" ca="1" si="70"/>
        <v>#N/A</v>
      </c>
      <c r="L914" t="e">
        <f ca="1">IF(J914,Charms!B914,"")</f>
        <v>#N/A</v>
      </c>
      <c r="M914" t="str">
        <f t="shared" ca="1" si="72"/>
        <v>-</v>
      </c>
      <c r="N914" s="18" t="str">
        <f t="shared" si="73"/>
        <v>K899:L971</v>
      </c>
      <c r="O914" t="str">
        <f t="shared" si="74"/>
        <v>A899:A914</v>
      </c>
    </row>
    <row r="915" spans="1:15">
      <c r="A915" s="18" t="str">
        <f>Charms!K915</f>
        <v>Melee</v>
      </c>
      <c r="B915" t="str">
        <f>Charms!B915</f>
        <v>Iron Raptor Technique</v>
      </c>
      <c r="C915" t="b">
        <f ca="1">OR(Values!$S$98&gt;=Charms!M915,IFERROR(Charms!J915=OFFSET(Values!$A$24,MATCH("S",Values!$T$25:$T$50,0),0),FALSE))</f>
        <v>0</v>
      </c>
      <c r="D915" t="b">
        <f>VLOOKUP(Charms!J915,Values!$A$11:$S$59,19,0)&gt;=Charms!L915</f>
        <v>0</v>
      </c>
      <c r="E915" t="e">
        <f>OR(ISBLANK(Charms!I915),(VLOOKUP(Values!$S$6,Castes!$B$2:$F$25,4,0)=Charms!I915))</f>
        <v>#N/A</v>
      </c>
      <c r="J915" t="e">
        <f t="shared" ca="1" si="71"/>
        <v>#N/A</v>
      </c>
      <c r="K915" s="18" t="e">
        <f t="shared" ca="1" si="70"/>
        <v>#N/A</v>
      </c>
      <c r="L915" t="e">
        <f ca="1">IF(J915,Charms!B915,"")</f>
        <v>#N/A</v>
      </c>
      <c r="M915" t="str">
        <f t="shared" ca="1" si="72"/>
        <v>-</v>
      </c>
      <c r="N915" s="18" t="str">
        <f t="shared" si="73"/>
        <v>K899:L971</v>
      </c>
      <c r="O915" t="str">
        <f t="shared" si="74"/>
        <v>A899:A915</v>
      </c>
    </row>
    <row r="916" spans="1:15">
      <c r="A916" s="18" t="str">
        <f>Charms!K916</f>
        <v>Melee</v>
      </c>
      <c r="B916" t="str">
        <f>Charms!B916</f>
        <v>Sandstorm-Wind Attack</v>
      </c>
      <c r="C916" t="b">
        <f ca="1">OR(Values!$S$98&gt;=Charms!M916,IFERROR(Charms!J916=OFFSET(Values!$A$24,MATCH("S",Values!$T$25:$T$50,0),0),FALSE))</f>
        <v>0</v>
      </c>
      <c r="D916" t="b">
        <f>VLOOKUP(Charms!J916,Values!$A$11:$S$59,19,0)&gt;=Charms!L916</f>
        <v>0</v>
      </c>
      <c r="E916" t="e">
        <f>OR(ISBLANK(Charms!I916),(VLOOKUP(Values!$S$6,Castes!$B$2:$F$25,4,0)=Charms!I916))</f>
        <v>#N/A</v>
      </c>
      <c r="J916" t="e">
        <f t="shared" ca="1" si="71"/>
        <v>#N/A</v>
      </c>
      <c r="K916" s="18" t="e">
        <f t="shared" ca="1" si="70"/>
        <v>#N/A</v>
      </c>
      <c r="L916" t="e">
        <f ca="1">IF(J916,Charms!B916,"")</f>
        <v>#N/A</v>
      </c>
      <c r="M916" t="str">
        <f t="shared" ca="1" si="72"/>
        <v>-</v>
      </c>
      <c r="N916" s="18" t="str">
        <f t="shared" si="73"/>
        <v>K899:L971</v>
      </c>
      <c r="O916" t="str">
        <f t="shared" si="74"/>
        <v>A899:A916</v>
      </c>
    </row>
    <row r="917" spans="1:15">
      <c r="A917" s="18" t="str">
        <f>Charms!K917</f>
        <v>Melee</v>
      </c>
      <c r="B917" t="str">
        <f>Charms!B917</f>
        <v>Edge of Morning Sunlight</v>
      </c>
      <c r="C917" t="b">
        <f ca="1">OR(Values!$S$98&gt;=Charms!M917,IFERROR(Charms!J917=OFFSET(Values!$A$24,MATCH("S",Values!$T$25:$T$50,0),0),FALSE))</f>
        <v>0</v>
      </c>
      <c r="D917" t="b">
        <f>VLOOKUP(Charms!J917,Values!$A$11:$S$59,19,0)&gt;=Charms!L917</f>
        <v>0</v>
      </c>
      <c r="E917" t="e">
        <f>OR(ISBLANK(Charms!I917),(VLOOKUP(Values!$S$6,Castes!$B$2:$F$25,4,0)=Charms!I917))</f>
        <v>#N/A</v>
      </c>
      <c r="J917" t="e">
        <f t="shared" ca="1" si="71"/>
        <v>#N/A</v>
      </c>
      <c r="K917" s="18" t="e">
        <f t="shared" ca="1" si="70"/>
        <v>#N/A</v>
      </c>
      <c r="L917" t="e">
        <f ca="1">IF(J917,Charms!B917,"")</f>
        <v>#N/A</v>
      </c>
      <c r="M917" t="str">
        <f t="shared" ca="1" si="72"/>
        <v>-</v>
      </c>
      <c r="N917" s="18" t="str">
        <f t="shared" si="73"/>
        <v>K899:L971</v>
      </c>
      <c r="O917" t="str">
        <f t="shared" si="74"/>
        <v>A899:A917</v>
      </c>
    </row>
    <row r="918" spans="1:15">
      <c r="A918" s="18" t="str">
        <f>Charms!K918</f>
        <v>Melee</v>
      </c>
      <c r="B918" t="str">
        <f>Charms!B918</f>
        <v>Gleaming Sever</v>
      </c>
      <c r="C918" t="b">
        <f ca="1">OR(Values!$S$98&gt;=Charms!M918,IFERROR(Charms!J918=OFFSET(Values!$A$24,MATCH("S",Values!$T$25:$T$50,0),0),FALSE))</f>
        <v>1</v>
      </c>
      <c r="D918" t="b">
        <f>VLOOKUP(Charms!J918,Values!$A$11:$S$59,19,0)&gt;=Charms!L918</f>
        <v>0</v>
      </c>
      <c r="E918" t="e">
        <f>OR(ISBLANK(Charms!I918),(VLOOKUP(Values!$S$6,Castes!$B$2:$F$25,4,0)=Charms!I918))</f>
        <v>#N/A</v>
      </c>
      <c r="J918" t="e">
        <f t="shared" ca="1" si="71"/>
        <v>#N/A</v>
      </c>
      <c r="K918" s="18" t="e">
        <f t="shared" ca="1" si="70"/>
        <v>#N/A</v>
      </c>
      <c r="L918" t="e">
        <f ca="1">IF(J918,Charms!B918,"")</f>
        <v>#N/A</v>
      </c>
      <c r="M918" t="str">
        <f t="shared" ca="1" si="72"/>
        <v>-</v>
      </c>
      <c r="N918" s="18" t="str">
        <f t="shared" si="73"/>
        <v>K899:L971</v>
      </c>
      <c r="O918" t="str">
        <f t="shared" si="74"/>
        <v>A899:A918</v>
      </c>
    </row>
    <row r="919" spans="1:15">
      <c r="A919" s="18" t="str">
        <f>Charms!K919</f>
        <v>Melee</v>
      </c>
      <c r="B919" t="str">
        <f>Charms!B919</f>
        <v>Stark Truth of Steel Method</v>
      </c>
      <c r="C919" t="b">
        <f ca="1">OR(Values!$S$98&gt;=Charms!M919,IFERROR(Charms!J919=OFFSET(Values!$A$24,MATCH("S",Values!$T$25:$T$50,0),0),FALSE))</f>
        <v>0</v>
      </c>
      <c r="D919" t="b">
        <f>VLOOKUP(Charms!J919,Values!$A$11:$S$59,19,0)&gt;=Charms!L919</f>
        <v>0</v>
      </c>
      <c r="E919" t="e">
        <f>OR(ISBLANK(Charms!I919),(VLOOKUP(Values!$S$6,Castes!$B$2:$F$25,4,0)=Charms!I919))</f>
        <v>#N/A</v>
      </c>
      <c r="J919" t="e">
        <f t="shared" ca="1" si="71"/>
        <v>#N/A</v>
      </c>
      <c r="K919" s="18" t="e">
        <f t="shared" ca="1" si="70"/>
        <v>#N/A</v>
      </c>
      <c r="L919" t="e">
        <f ca="1">IF(J919,Charms!B919,"")</f>
        <v>#N/A</v>
      </c>
      <c r="M919" t="str">
        <f t="shared" ca="1" si="72"/>
        <v>-</v>
      </c>
      <c r="N919" s="18" t="str">
        <f t="shared" si="73"/>
        <v>K899:L971</v>
      </c>
      <c r="O919" t="str">
        <f t="shared" si="74"/>
        <v>A899:A919</v>
      </c>
    </row>
    <row r="920" spans="1:15">
      <c r="A920" s="18" t="str">
        <f>Charms!K920</f>
        <v>Melee</v>
      </c>
      <c r="B920" t="str">
        <f>Charms!B920</f>
        <v>Guard-Breaking Technique</v>
      </c>
      <c r="C920" t="b">
        <f ca="1">OR(Values!$S$98&gt;=Charms!M920,IFERROR(Charms!J920=OFFSET(Values!$A$24,MATCH("S",Values!$T$25:$T$50,0),0),FALSE))</f>
        <v>1</v>
      </c>
      <c r="D920" t="b">
        <f>VLOOKUP(Charms!J920,Values!$A$11:$S$59,19,0)&gt;=Charms!L920</f>
        <v>0</v>
      </c>
      <c r="E920" t="e">
        <f>OR(ISBLANK(Charms!I920),(VLOOKUP(Values!$S$6,Castes!$B$2:$F$25,4,0)=Charms!I920))</f>
        <v>#N/A</v>
      </c>
      <c r="J920" t="e">
        <f t="shared" ca="1" si="71"/>
        <v>#N/A</v>
      </c>
      <c r="K920" s="18" t="e">
        <f t="shared" ca="1" si="70"/>
        <v>#N/A</v>
      </c>
      <c r="L920" t="e">
        <f ca="1">IF(J920,Charms!B920,"")</f>
        <v>#N/A</v>
      </c>
      <c r="M920" t="str">
        <f t="shared" ca="1" si="72"/>
        <v>-</v>
      </c>
      <c r="N920" s="18" t="str">
        <f t="shared" si="73"/>
        <v>K899:L971</v>
      </c>
      <c r="O920" t="str">
        <f t="shared" si="74"/>
        <v>A899:A920</v>
      </c>
    </row>
    <row r="921" spans="1:15">
      <c r="A921" s="18" t="str">
        <f>Charms!K921</f>
        <v>Melee</v>
      </c>
      <c r="B921" t="str">
        <f>Charms!B921</f>
        <v>Agile Dragonfly Blade</v>
      </c>
      <c r="C921" t="b">
        <f ca="1">OR(Values!$S$98&gt;=Charms!M921,IFERROR(Charms!J921=OFFSET(Values!$A$24,MATCH("S",Values!$T$25:$T$50,0),0),FALSE))</f>
        <v>0</v>
      </c>
      <c r="D921" t="b">
        <f>VLOOKUP(Charms!J921,Values!$A$11:$S$59,19,0)&gt;=Charms!L921</f>
        <v>0</v>
      </c>
      <c r="E921" t="e">
        <f>OR(ISBLANK(Charms!I921),(VLOOKUP(Values!$S$6,Castes!$B$2:$F$25,4,0)=Charms!I921))</f>
        <v>#N/A</v>
      </c>
      <c r="J921" t="e">
        <f t="shared" ca="1" si="71"/>
        <v>#N/A</v>
      </c>
      <c r="K921" s="18" t="e">
        <f t="shared" ca="1" si="70"/>
        <v>#N/A</v>
      </c>
      <c r="L921" t="e">
        <f ca="1">IF(J921,Charms!B921,"")</f>
        <v>#N/A</v>
      </c>
      <c r="M921" t="str">
        <f t="shared" ca="1" si="72"/>
        <v>-</v>
      </c>
      <c r="N921" s="18" t="str">
        <f t="shared" si="73"/>
        <v>K899:L971</v>
      </c>
      <c r="O921" t="str">
        <f t="shared" si="74"/>
        <v>A899:A921</v>
      </c>
    </row>
    <row r="922" spans="1:15">
      <c r="A922" s="18" t="str">
        <f>Charms!K922</f>
        <v>Melee</v>
      </c>
      <c r="B922" t="str">
        <f>Charms!B922</f>
        <v>Iron Whirlwind Attack</v>
      </c>
      <c r="C922" t="b">
        <f ca="1">OR(Values!$S$98&gt;=Charms!M922,IFERROR(Charms!J922=OFFSET(Values!$A$24,MATCH("S",Values!$T$25:$T$50,0),0),FALSE))</f>
        <v>0</v>
      </c>
      <c r="D922" t="b">
        <f>VLOOKUP(Charms!J922,Values!$A$11:$S$59,19,0)&gt;=Charms!L922</f>
        <v>0</v>
      </c>
      <c r="E922" t="e">
        <f>OR(ISBLANK(Charms!I922),(VLOOKUP(Values!$S$6,Castes!$B$2:$F$25,4,0)=Charms!I922))</f>
        <v>#N/A</v>
      </c>
      <c r="J922" t="e">
        <f t="shared" ca="1" si="71"/>
        <v>#N/A</v>
      </c>
      <c r="K922" s="18" t="e">
        <f t="shared" ca="1" si="70"/>
        <v>#N/A</v>
      </c>
      <c r="L922" t="e">
        <f ca="1">IF(J922,Charms!B922,"")</f>
        <v>#N/A</v>
      </c>
      <c r="M922" t="str">
        <f t="shared" ca="1" si="72"/>
        <v>-</v>
      </c>
      <c r="N922" s="18" t="str">
        <f t="shared" si="73"/>
        <v>K899:L971</v>
      </c>
      <c r="O922" t="str">
        <f t="shared" si="74"/>
        <v>A899:A922</v>
      </c>
    </row>
    <row r="923" spans="1:15">
      <c r="A923" s="18" t="str">
        <f>Charms!K923</f>
        <v>Melee</v>
      </c>
      <c r="B923" t="str">
        <f>Charms!B923</f>
        <v>Fivefold Bulwark Stance</v>
      </c>
      <c r="C923" t="b">
        <f ca="1">OR(Values!$S$98&gt;=Charms!M923,IFERROR(Charms!J923=OFFSET(Values!$A$24,MATCH("S",Values!$T$25:$T$50,0),0),FALSE))</f>
        <v>0</v>
      </c>
      <c r="D923" t="b">
        <f>VLOOKUP(Charms!J923,Values!$A$11:$S$59,19,0)&gt;=Charms!L923</f>
        <v>0</v>
      </c>
      <c r="E923" t="e">
        <f>OR(ISBLANK(Charms!I923),(VLOOKUP(Values!$S$6,Castes!$B$2:$F$25,4,0)=Charms!I923))</f>
        <v>#N/A</v>
      </c>
      <c r="J923" t="e">
        <f t="shared" ca="1" si="71"/>
        <v>#N/A</v>
      </c>
      <c r="K923" s="18" t="e">
        <f t="shared" ca="1" si="70"/>
        <v>#N/A</v>
      </c>
      <c r="L923" t="e">
        <f ca="1">IF(J923,Charms!B923,"")</f>
        <v>#N/A</v>
      </c>
      <c r="M923" t="str">
        <f t="shared" ca="1" si="72"/>
        <v>-</v>
      </c>
      <c r="N923" s="18" t="str">
        <f t="shared" si="73"/>
        <v>K899:L971</v>
      </c>
      <c r="O923" t="str">
        <f t="shared" si="74"/>
        <v>A899:A923</v>
      </c>
    </row>
    <row r="924" spans="1:15">
      <c r="A924" s="18" t="str">
        <f>Charms!K924</f>
        <v>Melee</v>
      </c>
      <c r="B924" t="str">
        <f>Charms!B924</f>
        <v>Heavenly Guardian Defense</v>
      </c>
      <c r="C924" t="b">
        <f ca="1">OR(Values!$S$98&gt;=Charms!M924,IFERROR(Charms!J924=OFFSET(Values!$A$24,MATCH("S",Values!$T$25:$T$50,0),0),FALSE))</f>
        <v>0</v>
      </c>
      <c r="D924" t="b">
        <f>VLOOKUP(Charms!J924,Values!$A$11:$S$59,19,0)&gt;=Charms!L924</f>
        <v>0</v>
      </c>
      <c r="E924" t="e">
        <f>OR(ISBLANK(Charms!I924),(VLOOKUP(Values!$S$6,Castes!$B$2:$F$25,4,0)=Charms!I924))</f>
        <v>#N/A</v>
      </c>
      <c r="J924" t="e">
        <f t="shared" ca="1" si="71"/>
        <v>#N/A</v>
      </c>
      <c r="K924" s="18" t="e">
        <f t="shared" ca="1" si="70"/>
        <v>#N/A</v>
      </c>
      <c r="L924" t="e">
        <f ca="1">IF(J924,Charms!B924,"")</f>
        <v>#N/A</v>
      </c>
      <c r="M924" t="str">
        <f t="shared" ca="1" si="72"/>
        <v>-</v>
      </c>
      <c r="N924" s="18" t="str">
        <f t="shared" si="73"/>
        <v>K899:L971</v>
      </c>
      <c r="O924" t="str">
        <f t="shared" si="74"/>
        <v>A899:A924</v>
      </c>
    </row>
    <row r="925" spans="1:15">
      <c r="A925" s="18" t="str">
        <f>Charms!K925</f>
        <v>Melee</v>
      </c>
      <c r="B925" t="str">
        <f>Charms!B925</f>
        <v>Unassailable Guardian Posture</v>
      </c>
      <c r="C925" t="b">
        <f ca="1">OR(Values!$S$98&gt;=Charms!M925,IFERROR(Charms!J925=OFFSET(Values!$A$24,MATCH("S",Values!$T$25:$T$50,0),0),FALSE))</f>
        <v>0</v>
      </c>
      <c r="D925" t="b">
        <f>VLOOKUP(Charms!J925,Values!$A$11:$S$59,19,0)&gt;=Charms!L925</f>
        <v>0</v>
      </c>
      <c r="E925" t="e">
        <f>OR(ISBLANK(Charms!I925),(VLOOKUP(Values!$S$6,Castes!$B$2:$F$25,4,0)=Charms!I925))</f>
        <v>#N/A</v>
      </c>
      <c r="J925" t="e">
        <f t="shared" ca="1" si="71"/>
        <v>#N/A</v>
      </c>
      <c r="K925" s="18" t="e">
        <f t="shared" ca="1" si="70"/>
        <v>#N/A</v>
      </c>
      <c r="L925" t="e">
        <f ca="1">IF(J925,Charms!B925,"")</f>
        <v>#N/A</v>
      </c>
      <c r="M925" t="str">
        <f t="shared" ca="1" si="72"/>
        <v>-</v>
      </c>
      <c r="N925" s="18" t="str">
        <f t="shared" si="73"/>
        <v>K899:L971</v>
      </c>
      <c r="O925" t="str">
        <f t="shared" si="74"/>
        <v>A899:A925</v>
      </c>
    </row>
    <row r="926" spans="1:15">
      <c r="A926" s="18" t="str">
        <f>Charms!K926</f>
        <v>Melee</v>
      </c>
      <c r="B926" t="str">
        <f>Charms!B926</f>
        <v>Ready in Eight Directions Stance</v>
      </c>
      <c r="C926" t="b">
        <f ca="1">OR(Values!$S$98&gt;=Charms!M926,IFERROR(Charms!J926=OFFSET(Values!$A$24,MATCH("S",Values!$T$25:$T$50,0),0),FALSE))</f>
        <v>0</v>
      </c>
      <c r="D926" t="b">
        <f>VLOOKUP(Charms!J926,Values!$A$11:$S$59,19,0)&gt;=Charms!L926</f>
        <v>0</v>
      </c>
      <c r="E926" t="e">
        <f>OR(ISBLANK(Charms!I926),(VLOOKUP(Values!$S$6,Castes!$B$2:$F$25,4,0)=Charms!I926))</f>
        <v>#N/A</v>
      </c>
      <c r="J926" t="e">
        <f t="shared" ca="1" si="71"/>
        <v>#N/A</v>
      </c>
      <c r="K926" s="18" t="e">
        <f t="shared" ca="1" si="70"/>
        <v>#N/A</v>
      </c>
      <c r="L926" t="e">
        <f ca="1">IF(J926,Charms!B926,"")</f>
        <v>#N/A</v>
      </c>
      <c r="M926" t="str">
        <f t="shared" ca="1" si="72"/>
        <v>-</v>
      </c>
      <c r="N926" s="18" t="str">
        <f t="shared" si="73"/>
        <v>K899:L971</v>
      </c>
      <c r="O926" t="str">
        <f t="shared" si="74"/>
        <v>A899:A926</v>
      </c>
    </row>
    <row r="927" spans="1:15">
      <c r="A927" s="18" t="str">
        <f>Charms!K927</f>
        <v>Melee</v>
      </c>
      <c r="B927" t="str">
        <f>Charms!B927</f>
        <v>Foe-Cleaving Focus</v>
      </c>
      <c r="C927" t="b">
        <f ca="1">OR(Values!$S$98&gt;=Charms!M927,IFERROR(Charms!J927=OFFSET(Values!$A$24,MATCH("S",Values!$T$25:$T$50,0),0),FALSE))</f>
        <v>0</v>
      </c>
      <c r="D927" t="b">
        <f>VLOOKUP(Charms!J927,Values!$A$11:$S$59,19,0)&gt;=Charms!L927</f>
        <v>0</v>
      </c>
      <c r="E927" t="e">
        <f>OR(ISBLANK(Charms!I927),(VLOOKUP(Values!$S$6,Castes!$B$2:$F$25,4,0)=Charms!I927))</f>
        <v>#N/A</v>
      </c>
      <c r="J927" t="e">
        <f t="shared" ca="1" si="71"/>
        <v>#N/A</v>
      </c>
      <c r="K927" s="18" t="e">
        <f t="shared" ca="1" si="70"/>
        <v>#N/A</v>
      </c>
      <c r="L927" t="e">
        <f ca="1">IF(J927,Charms!B927,"")</f>
        <v>#N/A</v>
      </c>
      <c r="M927" t="str">
        <f t="shared" ca="1" si="72"/>
        <v>-</v>
      </c>
      <c r="N927" s="18" t="str">
        <f t="shared" si="73"/>
        <v>K899:L971</v>
      </c>
      <c r="O927" t="str">
        <f t="shared" si="74"/>
        <v>A899:A927</v>
      </c>
    </row>
    <row r="928" spans="1:15">
      <c r="A928" s="18" t="str">
        <f>Charms!K928</f>
        <v>Melee</v>
      </c>
      <c r="B928" t="str">
        <f>Charms!B928</f>
        <v>Hungry Tiger Technique</v>
      </c>
      <c r="C928" t="b">
        <f ca="1">OR(Values!$S$98&gt;=Charms!M928,IFERROR(Charms!J928=OFFSET(Values!$A$24,MATCH("S",Values!$T$25:$T$50,0),0),FALSE))</f>
        <v>0</v>
      </c>
      <c r="D928" t="b">
        <f>VLOOKUP(Charms!J928,Values!$A$11:$S$59,19,0)&gt;=Charms!L928</f>
        <v>0</v>
      </c>
      <c r="E928" t="e">
        <f>OR(ISBLANK(Charms!I928),(VLOOKUP(Values!$S$6,Castes!$B$2:$F$25,4,0)=Charms!I928))</f>
        <v>#N/A</v>
      </c>
      <c r="J928" t="e">
        <f t="shared" ca="1" si="71"/>
        <v>#N/A</v>
      </c>
      <c r="K928" s="18" t="e">
        <f t="shared" ca="1" si="70"/>
        <v>#N/A</v>
      </c>
      <c r="L928" t="e">
        <f ca="1">IF(J928,Charms!B928,"")</f>
        <v>#N/A</v>
      </c>
      <c r="M928" t="str">
        <f t="shared" ca="1" si="72"/>
        <v>-</v>
      </c>
      <c r="N928" s="18" t="str">
        <f t="shared" si="73"/>
        <v>K899:L971</v>
      </c>
      <c r="O928" t="str">
        <f t="shared" si="74"/>
        <v>A899:A928</v>
      </c>
    </row>
    <row r="929" spans="1:15">
      <c r="A929" s="18" t="str">
        <f>Charms!K929</f>
        <v>Melee</v>
      </c>
      <c r="B929" t="str">
        <f>Charms!B929</f>
        <v>Invincible Fury of the Dawn</v>
      </c>
      <c r="C929" t="b">
        <f ca="1">OR(Values!$S$98&gt;=Charms!M929,IFERROR(Charms!J929=OFFSET(Values!$A$24,MATCH("S",Values!$T$25:$T$50,0),0),FALSE))</f>
        <v>0</v>
      </c>
      <c r="D929" t="b">
        <f>VLOOKUP(Charms!J929,Values!$A$11:$S$59,19,0)&gt;=Charms!L929</f>
        <v>0</v>
      </c>
      <c r="E929" t="e">
        <f>OR(ISBLANK(Charms!I929),(VLOOKUP(Values!$S$6,Castes!$B$2:$F$25,4,0)=Charms!I929))</f>
        <v>#N/A</v>
      </c>
      <c r="J929" t="e">
        <f t="shared" ca="1" si="71"/>
        <v>#N/A</v>
      </c>
      <c r="K929" s="18" t="e">
        <f t="shared" ca="1" si="70"/>
        <v>#N/A</v>
      </c>
      <c r="L929" t="e">
        <f ca="1">IF(J929,Charms!B929,"")</f>
        <v>#N/A</v>
      </c>
      <c r="M929" t="str">
        <f t="shared" ca="1" si="72"/>
        <v>-</v>
      </c>
      <c r="N929" s="18" t="str">
        <f t="shared" si="73"/>
        <v>K899:L971</v>
      </c>
      <c r="O929" t="str">
        <f t="shared" si="74"/>
        <v>A899:A929</v>
      </c>
    </row>
    <row r="930" spans="1:15">
      <c r="A930" s="18" t="str">
        <f>Charms!K930</f>
        <v>Melee</v>
      </c>
      <c r="B930" t="str">
        <f>Charms!B930</f>
        <v>Perfect Strike Discipline</v>
      </c>
      <c r="C930" t="b">
        <f ca="1">OR(Values!$S$98&gt;=Charms!M930,IFERROR(Charms!J930=OFFSET(Values!$A$24,MATCH("S",Values!$T$25:$T$50,0),0),FALSE))</f>
        <v>0</v>
      </c>
      <c r="D930" t="b">
        <f>VLOOKUP(Charms!J930,Values!$A$11:$S$59,19,0)&gt;=Charms!L930</f>
        <v>0</v>
      </c>
      <c r="E930" t="e">
        <f>OR(ISBLANK(Charms!I930),(VLOOKUP(Values!$S$6,Castes!$B$2:$F$25,4,0)=Charms!I930))</f>
        <v>#N/A</v>
      </c>
      <c r="J930" t="e">
        <f t="shared" ca="1" si="71"/>
        <v>#N/A</v>
      </c>
      <c r="K930" s="18" t="e">
        <f t="shared" ca="1" si="70"/>
        <v>#N/A</v>
      </c>
      <c r="L930" t="e">
        <f ca="1">IF(J930,Charms!B930,"")</f>
        <v>#N/A</v>
      </c>
      <c r="M930" t="str">
        <f t="shared" ca="1" si="72"/>
        <v>-</v>
      </c>
      <c r="N930" s="18" t="str">
        <f t="shared" si="73"/>
        <v>K899:L971</v>
      </c>
      <c r="O930" t="str">
        <f t="shared" si="74"/>
        <v>A899:A930</v>
      </c>
    </row>
    <row r="931" spans="1:15">
      <c r="A931" s="18" t="str">
        <f>Charms!K931</f>
        <v>Melee</v>
      </c>
      <c r="B931" t="str">
        <f>Charms!B931</f>
        <v>Flashing Edge of Dawn</v>
      </c>
      <c r="C931" t="b">
        <f ca="1">OR(Values!$S$98&gt;=Charms!M931,IFERROR(Charms!J931=OFFSET(Values!$A$24,MATCH("S",Values!$T$25:$T$50,0),0),FALSE))</f>
        <v>0</v>
      </c>
      <c r="D931" t="b">
        <f>VLOOKUP(Charms!J931,Values!$A$11:$S$59,19,0)&gt;=Charms!L931</f>
        <v>0</v>
      </c>
      <c r="E931" t="e">
        <f>OR(ISBLANK(Charms!I931),(VLOOKUP(Values!$S$6,Castes!$B$2:$F$25,4,0)=Charms!I931))</f>
        <v>#N/A</v>
      </c>
      <c r="J931" t="e">
        <f t="shared" ca="1" si="71"/>
        <v>#N/A</v>
      </c>
      <c r="K931" s="18" t="e">
        <f t="shared" ca="1" si="70"/>
        <v>#N/A</v>
      </c>
      <c r="L931" t="e">
        <f ca="1">IF(J931,Charms!B931,"")</f>
        <v>#N/A</v>
      </c>
      <c r="M931" t="str">
        <f t="shared" ca="1" si="72"/>
        <v>-</v>
      </c>
      <c r="N931" s="18" t="str">
        <f t="shared" si="73"/>
        <v>K899:L971</v>
      </c>
      <c r="O931" t="str">
        <f t="shared" si="74"/>
        <v>A899:A931</v>
      </c>
    </row>
    <row r="932" spans="1:15">
      <c r="A932" s="18" t="str">
        <f>Charms!K932</f>
        <v>Melee</v>
      </c>
      <c r="B932" t="str">
        <f>Charms!B932</f>
        <v>Fervent Blow</v>
      </c>
      <c r="C932" t="b">
        <f ca="1">OR(Values!$S$98&gt;=Charms!M932,IFERROR(Charms!J932=OFFSET(Values!$A$24,MATCH("S",Values!$T$25:$T$50,0),0),FALSE))</f>
        <v>0</v>
      </c>
      <c r="D932" t="b">
        <f>VLOOKUP(Charms!J932,Values!$A$11:$S$59,19,0)&gt;=Charms!L932</f>
        <v>0</v>
      </c>
      <c r="E932" t="e">
        <f>OR(ISBLANK(Charms!I932),(VLOOKUP(Values!$S$6,Castes!$B$2:$F$25,4,0)=Charms!I932))</f>
        <v>#N/A</v>
      </c>
      <c r="J932" t="e">
        <f t="shared" ca="1" si="71"/>
        <v>#N/A</v>
      </c>
      <c r="K932" s="18" t="e">
        <f t="shared" ca="1" si="70"/>
        <v>#N/A</v>
      </c>
      <c r="L932" t="e">
        <f ca="1">IF(J932,Charms!B932,"")</f>
        <v>#N/A</v>
      </c>
      <c r="M932" t="str">
        <f t="shared" ca="1" si="72"/>
        <v>-</v>
      </c>
      <c r="N932" s="18" t="str">
        <f t="shared" si="73"/>
        <v>K899:L971</v>
      </c>
      <c r="O932" t="str">
        <f t="shared" si="74"/>
        <v>A899:A932</v>
      </c>
    </row>
    <row r="933" spans="1:15">
      <c r="A933" s="18" t="str">
        <f>Charms!K933</f>
        <v>Melee</v>
      </c>
      <c r="B933" t="str">
        <f>Charms!B933</f>
        <v>Over-and-Under Method</v>
      </c>
      <c r="C933" t="b">
        <f ca="1">OR(Values!$S$98&gt;=Charms!M933,IFERROR(Charms!J933=OFFSET(Values!$A$24,MATCH("S",Values!$T$25:$T$50,0),0),FALSE))</f>
        <v>0</v>
      </c>
      <c r="D933" t="b">
        <f>VLOOKUP(Charms!J933,Values!$A$11:$S$59,19,0)&gt;=Charms!L933</f>
        <v>0</v>
      </c>
      <c r="E933" t="e">
        <f>OR(ISBLANK(Charms!I933),(VLOOKUP(Values!$S$6,Castes!$B$2:$F$25,4,0)=Charms!I933))</f>
        <v>#N/A</v>
      </c>
      <c r="J933" t="e">
        <f t="shared" ca="1" si="71"/>
        <v>#N/A</v>
      </c>
      <c r="K933" s="18" t="e">
        <f t="shared" ca="1" si="70"/>
        <v>#N/A</v>
      </c>
      <c r="L933" t="e">
        <f ca="1">IF(J933,Charms!B933,"")</f>
        <v>#N/A</v>
      </c>
      <c r="M933" t="str">
        <f t="shared" ca="1" si="72"/>
        <v>-</v>
      </c>
      <c r="N933" s="18" t="str">
        <f t="shared" si="73"/>
        <v>K899:L971</v>
      </c>
      <c r="O933" t="str">
        <f t="shared" si="74"/>
        <v>A899:A933</v>
      </c>
    </row>
    <row r="934" spans="1:15">
      <c r="A934" s="18" t="str">
        <f>Charms!K934</f>
        <v>Melee</v>
      </c>
      <c r="B934" t="str">
        <f>Charms!B934</f>
        <v>Immortal Blade Triumphant</v>
      </c>
      <c r="C934" t="b">
        <f ca="1">OR(Values!$S$98&gt;=Charms!M934,IFERROR(Charms!J934=OFFSET(Values!$A$24,MATCH("S",Values!$T$25:$T$50,0),0),FALSE))</f>
        <v>0</v>
      </c>
      <c r="D934" t="b">
        <f>VLOOKUP(Charms!J934,Values!$A$11:$S$59,19,0)&gt;=Charms!L934</f>
        <v>0</v>
      </c>
      <c r="E934" t="e">
        <f>OR(ISBLANK(Charms!I934),(VLOOKUP(Values!$S$6,Castes!$B$2:$F$25,4,0)=Charms!I934))</f>
        <v>#N/A</v>
      </c>
      <c r="J934" t="e">
        <f t="shared" ca="1" si="71"/>
        <v>#N/A</v>
      </c>
      <c r="K934" s="18" t="e">
        <f t="shared" ca="1" si="70"/>
        <v>#N/A</v>
      </c>
      <c r="L934" t="e">
        <f ca="1">IF(J934,Charms!B934,"")</f>
        <v>#N/A</v>
      </c>
      <c r="M934" t="str">
        <f t="shared" ca="1" si="72"/>
        <v>-</v>
      </c>
      <c r="N934" s="18" t="str">
        <f t="shared" si="73"/>
        <v>K899:L971</v>
      </c>
      <c r="O934" t="str">
        <f t="shared" si="74"/>
        <v>A899:A934</v>
      </c>
    </row>
    <row r="935" spans="1:15">
      <c r="A935" s="18" t="str">
        <f>Charms!K935</f>
        <v>Melee</v>
      </c>
      <c r="B935" t="str">
        <f>Charms!B935</f>
        <v>Corona of Radiance</v>
      </c>
      <c r="C935" t="b">
        <f ca="1">OR(Values!$S$98&gt;=Charms!M935,IFERROR(Charms!J935=OFFSET(Values!$A$24,MATCH("S",Values!$T$25:$T$50,0),0),FALSE))</f>
        <v>0</v>
      </c>
      <c r="D935" t="b">
        <f>VLOOKUP(Charms!J935,Values!$A$11:$S$59,19,0)&gt;=Charms!L935</f>
        <v>0</v>
      </c>
      <c r="E935" t="e">
        <f>OR(ISBLANK(Charms!I935),(VLOOKUP(Values!$S$6,Castes!$B$2:$F$25,4,0)=Charms!I935))</f>
        <v>#N/A</v>
      </c>
      <c r="J935" t="e">
        <f t="shared" ca="1" si="71"/>
        <v>#N/A</v>
      </c>
      <c r="K935" s="18" t="e">
        <f t="shared" ca="1" si="70"/>
        <v>#N/A</v>
      </c>
      <c r="L935" t="e">
        <f ca="1">IF(J935,Charms!B935,"")</f>
        <v>#N/A</v>
      </c>
      <c r="M935" t="str">
        <f t="shared" ca="1" si="72"/>
        <v>-</v>
      </c>
      <c r="N935" s="18" t="str">
        <f t="shared" si="73"/>
        <v>K899:L971</v>
      </c>
      <c r="O935" t="str">
        <f t="shared" si="74"/>
        <v>A899:A935</v>
      </c>
    </row>
    <row r="936" spans="1:15">
      <c r="A936" s="18" t="str">
        <f>Charms!K936</f>
        <v>Melee</v>
      </c>
      <c r="B936" t="str">
        <f>Charms!B936</f>
        <v>Sharp Light of Judgment Stance</v>
      </c>
      <c r="C936" t="b">
        <f ca="1">OR(Values!$S$98&gt;=Charms!M936,IFERROR(Charms!J936=OFFSET(Values!$A$24,MATCH("S",Values!$T$25:$T$50,0),0),FALSE))</f>
        <v>0</v>
      </c>
      <c r="D936" t="b">
        <f>VLOOKUP(Charms!J936,Values!$A$11:$S$59,19,0)&gt;=Charms!L936</f>
        <v>0</v>
      </c>
      <c r="E936" t="e">
        <f>OR(ISBLANK(Charms!I936),(VLOOKUP(Values!$S$6,Castes!$B$2:$F$25,4,0)=Charms!I936))</f>
        <v>#N/A</v>
      </c>
      <c r="J936" t="e">
        <f t="shared" ca="1" si="71"/>
        <v>#N/A</v>
      </c>
      <c r="K936" s="18" t="e">
        <f t="shared" ca="1" si="70"/>
        <v>#N/A</v>
      </c>
      <c r="L936" t="e">
        <f ca="1">IF(J936,Charms!B936,"")</f>
        <v>#N/A</v>
      </c>
      <c r="M936" t="str">
        <f t="shared" ca="1" si="72"/>
        <v>-</v>
      </c>
      <c r="N936" s="18" t="str">
        <f t="shared" si="73"/>
        <v>K899:L971</v>
      </c>
      <c r="O936" t="str">
        <f t="shared" si="74"/>
        <v>A899:A936</v>
      </c>
    </row>
    <row r="937" spans="1:15">
      <c r="A937" s="18" t="str">
        <f>Charms!K937</f>
        <v>Melee</v>
      </c>
      <c r="B937" t="str">
        <f>Charms!B937</f>
        <v>Blazing Solar Bolt</v>
      </c>
      <c r="C937" t="b">
        <f ca="1">OR(Values!$S$98&gt;=Charms!M937,IFERROR(Charms!J937=OFFSET(Values!$A$24,MATCH("S",Values!$T$25:$T$50,0),0),FALSE))</f>
        <v>0</v>
      </c>
      <c r="D937" t="b">
        <f>VLOOKUP(Charms!J937,Values!$A$11:$S$59,19,0)&gt;=Charms!L937</f>
        <v>0</v>
      </c>
      <c r="E937" t="e">
        <f>OR(ISBLANK(Charms!I937),(VLOOKUP(Values!$S$6,Castes!$B$2:$F$25,4,0)=Charms!I937))</f>
        <v>#N/A</v>
      </c>
      <c r="J937" t="e">
        <f t="shared" ca="1" si="71"/>
        <v>#N/A</v>
      </c>
      <c r="K937" s="18" t="e">
        <f t="shared" ca="1" si="70"/>
        <v>#N/A</v>
      </c>
      <c r="L937" t="e">
        <f ca="1">IF(J937,Charms!B937,"")</f>
        <v>#N/A</v>
      </c>
      <c r="M937" t="str">
        <f t="shared" ca="1" si="72"/>
        <v>-</v>
      </c>
      <c r="N937" s="18" t="str">
        <f t="shared" si="73"/>
        <v>K899:L971</v>
      </c>
      <c r="O937" t="str">
        <f t="shared" si="74"/>
        <v>A899:A937</v>
      </c>
    </row>
    <row r="938" spans="1:15">
      <c r="A938" s="18" t="str">
        <f>Charms!K938</f>
        <v>Melee</v>
      </c>
      <c r="B938" t="str">
        <f>Charms!B938</f>
        <v>Heaven Sword Flash</v>
      </c>
      <c r="C938" t="b">
        <f ca="1">OR(Values!$S$98&gt;=Charms!M938,IFERROR(Charms!J938=OFFSET(Values!$A$24,MATCH("S",Values!$T$25:$T$50,0),0),FALSE))</f>
        <v>0</v>
      </c>
      <c r="D938" t="b">
        <f>VLOOKUP(Charms!J938,Values!$A$11:$S$59,19,0)&gt;=Charms!L938</f>
        <v>0</v>
      </c>
      <c r="E938" t="e">
        <f>OR(ISBLANK(Charms!I938),(VLOOKUP(Values!$S$6,Castes!$B$2:$F$25,4,0)=Charms!I938))</f>
        <v>#N/A</v>
      </c>
      <c r="J938" t="e">
        <f t="shared" ca="1" si="71"/>
        <v>#N/A</v>
      </c>
      <c r="K938" s="18" t="e">
        <f t="shared" ca="1" si="70"/>
        <v>#N/A</v>
      </c>
      <c r="L938" t="e">
        <f ca="1">IF(J938,Charms!B938,"")</f>
        <v>#N/A</v>
      </c>
      <c r="M938" t="str">
        <f t="shared" ca="1" si="72"/>
        <v>-</v>
      </c>
      <c r="N938" s="18" t="str">
        <f t="shared" si="73"/>
        <v>K899:L971</v>
      </c>
      <c r="O938" t="str">
        <f t="shared" si="74"/>
        <v>A899:A938</v>
      </c>
    </row>
    <row r="939" spans="1:15">
      <c r="A939" s="18" t="str">
        <f>Charms!K939</f>
        <v>Melee</v>
      </c>
      <c r="B939" t="str">
        <f>Charms!B939</f>
        <v>Circle of Bright Reaving</v>
      </c>
      <c r="C939" t="b">
        <f ca="1">OR(Values!$S$98&gt;=Charms!M939,IFERROR(Charms!J939=OFFSET(Values!$A$24,MATCH("S",Values!$T$25:$T$50,0),0),FALSE))</f>
        <v>0</v>
      </c>
      <c r="D939" t="b">
        <f>VLOOKUP(Charms!J939,Values!$A$11:$S$59,19,0)&gt;=Charms!L939</f>
        <v>0</v>
      </c>
      <c r="E939" t="e">
        <f>OR(ISBLANK(Charms!I939),(VLOOKUP(Values!$S$6,Castes!$B$2:$F$25,4,0)=Charms!I939))</f>
        <v>#N/A</v>
      </c>
      <c r="J939" t="e">
        <f t="shared" ca="1" si="71"/>
        <v>#N/A</v>
      </c>
      <c r="K939" s="18" t="e">
        <f t="shared" ca="1" si="70"/>
        <v>#N/A</v>
      </c>
      <c r="L939" t="e">
        <f ca="1">IF(J939,Charms!B939,"")</f>
        <v>#N/A</v>
      </c>
      <c r="M939" t="str">
        <f t="shared" ca="1" si="72"/>
        <v>-</v>
      </c>
      <c r="N939" s="18" t="str">
        <f t="shared" si="73"/>
        <v>K899:L971</v>
      </c>
      <c r="O939" t="str">
        <f t="shared" si="74"/>
        <v>A899:A939</v>
      </c>
    </row>
    <row r="940" spans="1:15">
      <c r="A940" s="18" t="str">
        <f>Charms!K940</f>
        <v>Melee</v>
      </c>
      <c r="B940" t="str">
        <f>Charms!B940</f>
        <v>Protection of Celestial Bliss</v>
      </c>
      <c r="C940" t="b">
        <f ca="1">OR(Values!$S$98&gt;=Charms!M940,IFERROR(Charms!J940=OFFSET(Values!$A$24,MATCH("S",Values!$T$25:$T$50,0),0),FALSE))</f>
        <v>0</v>
      </c>
      <c r="D940" t="b">
        <f>VLOOKUP(Charms!J940,Values!$A$11:$S$59,19,0)&gt;=Charms!L940</f>
        <v>0</v>
      </c>
      <c r="E940" t="e">
        <f>OR(ISBLANK(Charms!I940),(VLOOKUP(Values!$S$6,Castes!$B$2:$F$25,4,0)=Charms!I940))</f>
        <v>#N/A</v>
      </c>
      <c r="J940" t="e">
        <f t="shared" ca="1" si="71"/>
        <v>#N/A</v>
      </c>
      <c r="K940" s="18" t="e">
        <f t="shared" ca="1" si="70"/>
        <v>#N/A</v>
      </c>
      <c r="L940" t="e">
        <f ca="1">IF(J940,Charms!B940,"")</f>
        <v>#N/A</v>
      </c>
      <c r="M940" t="str">
        <f t="shared" ca="1" si="72"/>
        <v>-</v>
      </c>
      <c r="N940" s="18" t="str">
        <f t="shared" si="73"/>
        <v>K899:L971</v>
      </c>
      <c r="O940" t="str">
        <f t="shared" si="74"/>
        <v>A899:A940</v>
      </c>
    </row>
    <row r="941" spans="1:15">
      <c r="A941" s="18" t="str">
        <f>Charms!K941</f>
        <v>Melee</v>
      </c>
      <c r="B941" t="str">
        <f>Charms!B941</f>
        <v>Victorious Wreath (Against the World Stance)</v>
      </c>
      <c r="C941" t="b">
        <f ca="1">OR(Values!$S$98&gt;=Charms!M941,IFERROR(Charms!J941=OFFSET(Values!$A$24,MATCH("S",Values!$T$25:$T$50,0),0),FALSE))</f>
        <v>0</v>
      </c>
      <c r="D941" t="b">
        <f>VLOOKUP(Charms!J941,Values!$A$11:$S$59,19,0)&gt;=Charms!L941</f>
        <v>0</v>
      </c>
      <c r="E941" t="e">
        <f>OR(ISBLANK(Charms!I941),(VLOOKUP(Values!$S$6,Castes!$B$2:$F$25,4,0)=Charms!I941))</f>
        <v>#N/A</v>
      </c>
      <c r="J941" t="e">
        <f t="shared" ca="1" si="71"/>
        <v>#N/A</v>
      </c>
      <c r="K941" s="18" t="e">
        <f t="shared" ca="1" si="70"/>
        <v>#N/A</v>
      </c>
      <c r="L941" t="e">
        <f ca="1">IF(J941,Charms!B941,"")</f>
        <v>#N/A</v>
      </c>
      <c r="M941" t="str">
        <f t="shared" ca="1" si="72"/>
        <v>-</v>
      </c>
      <c r="N941" s="18" t="str">
        <f t="shared" si="73"/>
        <v>K899:L971</v>
      </c>
      <c r="O941" t="str">
        <f t="shared" si="74"/>
        <v>A899:A941</v>
      </c>
    </row>
    <row r="942" spans="1:15">
      <c r="A942" s="18" t="str">
        <f>Charms!K942</f>
        <v>Melee</v>
      </c>
      <c r="B942" t="str">
        <f>Charms!B942</f>
        <v>Whirlwind-Tempest Deflection</v>
      </c>
      <c r="C942" t="b">
        <f ca="1">OR(Values!$S$98&gt;=Charms!M942,IFERROR(Charms!J942=OFFSET(Values!$A$24,MATCH("S",Values!$T$25:$T$50,0),0),FALSE))</f>
        <v>0</v>
      </c>
      <c r="D942" t="b">
        <f>VLOOKUP(Charms!J942,Values!$A$11:$S$59,19,0)&gt;=Charms!L942</f>
        <v>0</v>
      </c>
      <c r="E942" t="e">
        <f>OR(ISBLANK(Charms!I942),(VLOOKUP(Values!$S$6,Castes!$B$2:$F$25,4,0)=Charms!I942))</f>
        <v>#N/A</v>
      </c>
      <c r="J942" t="e">
        <f t="shared" ca="1" si="71"/>
        <v>#N/A</v>
      </c>
      <c r="K942" s="18" t="e">
        <f t="shared" ca="1" si="70"/>
        <v>#N/A</v>
      </c>
      <c r="L942" t="e">
        <f ca="1">IF(J942,Charms!B942,"")</f>
        <v>#N/A</v>
      </c>
      <c r="M942" t="str">
        <f t="shared" ca="1" si="72"/>
        <v>-</v>
      </c>
      <c r="N942" s="18" t="str">
        <f t="shared" si="73"/>
        <v>K899:L971</v>
      </c>
      <c r="O942" t="str">
        <f t="shared" si="74"/>
        <v>A899:A942</v>
      </c>
    </row>
    <row r="943" spans="1:15">
      <c r="A943" s="18" t="str">
        <f>Charms!K943</f>
        <v>Melee</v>
      </c>
      <c r="B943" t="str">
        <f>Charms!B943</f>
        <v>Shattering Clash</v>
      </c>
      <c r="C943" t="b">
        <f ca="1">OR(Values!$S$98&gt;=Charms!M943,IFERROR(Charms!J943=OFFSET(Values!$A$24,MATCH("S",Values!$T$25:$T$50,0),0),FALSE))</f>
        <v>0</v>
      </c>
      <c r="D943" t="b">
        <f>VLOOKUP(Charms!J943,Values!$A$11:$S$59,19,0)&gt;=Charms!L943</f>
        <v>0</v>
      </c>
      <c r="E943" t="e">
        <f>OR(ISBLANK(Charms!I943),(VLOOKUP(Values!$S$6,Castes!$B$2:$F$25,4,0)=Charms!I943))</f>
        <v>#N/A</v>
      </c>
      <c r="J943" t="e">
        <f t="shared" ca="1" si="71"/>
        <v>#N/A</v>
      </c>
      <c r="K943" s="18" t="e">
        <f t="shared" ca="1" si="70"/>
        <v>#N/A</v>
      </c>
      <c r="L943" t="e">
        <f ca="1">IF(J943,Charms!B943,"")</f>
        <v>#N/A</v>
      </c>
      <c r="M943" t="str">
        <f t="shared" ca="1" si="72"/>
        <v>-</v>
      </c>
      <c r="N943" s="18" t="str">
        <f t="shared" si="73"/>
        <v>K899:L971</v>
      </c>
      <c r="O943" t="str">
        <f t="shared" si="74"/>
        <v>A899:A943</v>
      </c>
    </row>
    <row r="944" spans="1:15">
      <c r="A944" s="18" t="str">
        <f>Charms!K944</f>
        <v>Melee</v>
      </c>
      <c r="B944" t="str">
        <f>Charms!B944</f>
        <v>Omniscient Focus Attack</v>
      </c>
      <c r="C944" t="b">
        <f ca="1">OR(Values!$S$98&gt;=Charms!M944,IFERROR(Charms!J944=OFFSET(Values!$A$24,MATCH("S",Values!$T$25:$T$50,0),0),FALSE))</f>
        <v>0</v>
      </c>
      <c r="D944" t="b">
        <f>VLOOKUP(Charms!J944,Values!$A$11:$S$59,19,0)&gt;=Charms!L944</f>
        <v>0</v>
      </c>
      <c r="E944" t="e">
        <f>OR(ISBLANK(Charms!I944),(VLOOKUP(Values!$S$6,Castes!$B$2:$F$25,4,0)=Charms!I944))</f>
        <v>#N/A</v>
      </c>
      <c r="J944" t="e">
        <f t="shared" ca="1" si="71"/>
        <v>#N/A</v>
      </c>
      <c r="K944" s="18" t="e">
        <f t="shared" ca="1" si="70"/>
        <v>#N/A</v>
      </c>
      <c r="L944" t="e">
        <f ca="1">IF(J944,Charms!B944,"")</f>
        <v>#N/A</v>
      </c>
      <c r="M944" t="str">
        <f t="shared" ca="1" si="72"/>
        <v>-</v>
      </c>
      <c r="N944" s="18" t="str">
        <f t="shared" si="73"/>
        <v>K899:L971</v>
      </c>
      <c r="O944" t="str">
        <f t="shared" si="74"/>
        <v>A899:A944</v>
      </c>
    </row>
    <row r="945" spans="1:15">
      <c r="A945" s="18" t="str">
        <f>Charms!K945</f>
        <v>Melee</v>
      </c>
      <c r="B945" t="str">
        <f>Charms!B945</f>
        <v>All-Sundering Strike</v>
      </c>
      <c r="C945" t="b">
        <f ca="1">OR(Values!$S$98&gt;=Charms!M945,IFERROR(Charms!J945=OFFSET(Values!$A$24,MATCH("S",Values!$T$25:$T$50,0),0),FALSE))</f>
        <v>0</v>
      </c>
      <c r="D945" t="b">
        <f>VLOOKUP(Charms!J945,Values!$A$11:$S$59,19,0)&gt;=Charms!L945</f>
        <v>0</v>
      </c>
      <c r="E945" t="e">
        <f>OR(ISBLANK(Charms!I945),(VLOOKUP(Values!$S$6,Castes!$B$2:$F$25,4,0)=Charms!I945))</f>
        <v>#N/A</v>
      </c>
      <c r="J945" t="e">
        <f t="shared" ca="1" si="71"/>
        <v>#N/A</v>
      </c>
      <c r="K945" s="18" t="e">
        <f t="shared" ca="1" si="70"/>
        <v>#N/A</v>
      </c>
      <c r="L945" t="e">
        <f ca="1">IF(J945,Charms!B945,"")</f>
        <v>#N/A</v>
      </c>
      <c r="M945" t="str">
        <f t="shared" ca="1" si="72"/>
        <v>-</v>
      </c>
      <c r="N945" s="18" t="str">
        <f t="shared" si="73"/>
        <v>K899:L971</v>
      </c>
      <c r="O945" t="str">
        <f t="shared" si="74"/>
        <v>A899:A945</v>
      </c>
    </row>
    <row r="946" spans="1:15">
      <c r="A946" s="18" t="str">
        <f>Charms!K946</f>
        <v>Melee</v>
      </c>
      <c r="B946" t="str">
        <f>Charms!B946</f>
        <v>Divine Executioner Stance</v>
      </c>
      <c r="C946" t="b">
        <f ca="1">OR(Values!$S$98&gt;=Charms!M946,IFERROR(Charms!J946=OFFSET(Values!$A$24,MATCH("S",Values!$T$25:$T$50,0),0),FALSE))</f>
        <v>0</v>
      </c>
      <c r="D946" t="b">
        <f>VLOOKUP(Charms!J946,Values!$A$11:$S$59,19,0)&gt;=Charms!L946</f>
        <v>0</v>
      </c>
      <c r="E946" t="e">
        <f>OR(ISBLANK(Charms!I946),(VLOOKUP(Values!$S$6,Castes!$B$2:$F$25,4,0)=Charms!I946))</f>
        <v>#N/A</v>
      </c>
      <c r="J946" t="e">
        <f t="shared" ca="1" si="71"/>
        <v>#N/A</v>
      </c>
      <c r="K946" s="18" t="e">
        <f t="shared" ca="1" si="70"/>
        <v>#N/A</v>
      </c>
      <c r="L946" t="e">
        <f ca="1">IF(J946,Charms!B946,"")</f>
        <v>#N/A</v>
      </c>
      <c r="M946" t="str">
        <f t="shared" ca="1" si="72"/>
        <v>-</v>
      </c>
      <c r="N946" s="18" t="str">
        <f t="shared" si="73"/>
        <v>K899:L971</v>
      </c>
      <c r="O946" t="str">
        <f t="shared" si="74"/>
        <v>A899:A946</v>
      </c>
    </row>
    <row r="947" spans="1:15">
      <c r="A947" s="18" t="str">
        <f>Charms!K947</f>
        <v>Melee</v>
      </c>
      <c r="B947" t="str">
        <f>Charms!B947</f>
        <v>Stoking Bonfire Style</v>
      </c>
      <c r="C947" t="b">
        <f ca="1">OR(Values!$S$98&gt;=Charms!M947,IFERROR(Charms!J947=OFFSET(Values!$A$24,MATCH("S",Values!$T$25:$T$50,0),0),FALSE))</f>
        <v>1</v>
      </c>
      <c r="D947" t="b">
        <f>VLOOKUP(Charms!J947,Values!$A$11:$S$59,19,0)&gt;=Charms!L947</f>
        <v>0</v>
      </c>
      <c r="E947" t="e">
        <f>OR(ISBLANK(Charms!I947),(VLOOKUP(Values!$S$6,Castes!$B$2:$F$25,4,0)=Charms!I947))</f>
        <v>#N/A</v>
      </c>
      <c r="J947" t="e">
        <f t="shared" ca="1" si="71"/>
        <v>#N/A</v>
      </c>
      <c r="K947" s="18" t="e">
        <f t="shared" ca="1" si="70"/>
        <v>#N/A</v>
      </c>
      <c r="L947" t="e">
        <f ca="1">IF(J947,Charms!B947,"")</f>
        <v>#N/A</v>
      </c>
      <c r="M947" t="str">
        <f t="shared" ca="1" si="72"/>
        <v>-</v>
      </c>
      <c r="N947" s="18" t="str">
        <f t="shared" si="73"/>
        <v>K899:L971</v>
      </c>
      <c r="O947" t="str">
        <f t="shared" si="74"/>
        <v>A899:A947</v>
      </c>
    </row>
    <row r="948" spans="1:15">
      <c r="A948" s="18" t="str">
        <f>Charms!K948</f>
        <v>Melee</v>
      </c>
      <c r="B948" t="str">
        <f>Charms!B948</f>
        <v>Burning Fury Wreath</v>
      </c>
      <c r="C948" t="b">
        <f ca="1">OR(Values!$S$98&gt;=Charms!M948,IFERROR(Charms!J948=OFFSET(Values!$A$24,MATCH("S",Values!$T$25:$T$50,0),0),FALSE))</f>
        <v>1</v>
      </c>
      <c r="D948" t="b">
        <f>VLOOKUP(Charms!J948,Values!$A$11:$S$59,19,0)&gt;=Charms!L948</f>
        <v>0</v>
      </c>
      <c r="E948" t="e">
        <f>OR(ISBLANK(Charms!I948),(VLOOKUP(Values!$S$6,Castes!$B$2:$F$25,4,0)=Charms!I948))</f>
        <v>#N/A</v>
      </c>
      <c r="J948" t="e">
        <f t="shared" ca="1" si="71"/>
        <v>#N/A</v>
      </c>
      <c r="K948" s="18" t="e">
        <f t="shared" ca="1" si="70"/>
        <v>#N/A</v>
      </c>
      <c r="L948" t="e">
        <f ca="1">IF(J948,Charms!B948,"")</f>
        <v>#N/A</v>
      </c>
      <c r="M948" t="str">
        <f t="shared" ca="1" si="72"/>
        <v>-</v>
      </c>
      <c r="N948" s="18" t="str">
        <f t="shared" si="73"/>
        <v>K899:L971</v>
      </c>
      <c r="O948" t="str">
        <f t="shared" si="74"/>
        <v>A899:A948</v>
      </c>
    </row>
    <row r="949" spans="1:15">
      <c r="A949" s="18" t="str">
        <f>Charms!K949</f>
        <v>Melee</v>
      </c>
      <c r="B949" t="str">
        <f>Charms!B949</f>
        <v>Flame-Borne Interception</v>
      </c>
      <c r="C949" t="b">
        <f ca="1">OR(Values!$S$98&gt;=Charms!M949,IFERROR(Charms!J949=OFFSET(Values!$A$24,MATCH("S",Values!$T$25:$T$50,0),0),FALSE))</f>
        <v>1</v>
      </c>
      <c r="D949" t="b">
        <f>VLOOKUP(Charms!J949,Values!$A$11:$S$59,19,0)&gt;=Charms!L949</f>
        <v>0</v>
      </c>
      <c r="E949" t="e">
        <f>OR(ISBLANK(Charms!I949),(VLOOKUP(Values!$S$6,Castes!$B$2:$F$25,4,0)=Charms!I949))</f>
        <v>#N/A</v>
      </c>
      <c r="J949" t="e">
        <f t="shared" ca="1" si="71"/>
        <v>#N/A</v>
      </c>
      <c r="K949" s="18" t="e">
        <f t="shared" ca="1" si="70"/>
        <v>#N/A</v>
      </c>
      <c r="L949" t="e">
        <f ca="1">IF(J949,Charms!B949,"")</f>
        <v>#N/A</v>
      </c>
      <c r="M949" t="str">
        <f t="shared" ca="1" si="72"/>
        <v>-</v>
      </c>
      <c r="N949" s="18" t="str">
        <f t="shared" si="73"/>
        <v>K899:L971</v>
      </c>
      <c r="O949" t="str">
        <f t="shared" si="74"/>
        <v>A899:A949</v>
      </c>
    </row>
    <row r="950" spans="1:15">
      <c r="A950" s="18" t="str">
        <f>Charms!K950</f>
        <v>Melee</v>
      </c>
      <c r="B950" t="str">
        <f>Charms!B950</f>
        <v>Blinding Spark Distraction</v>
      </c>
      <c r="C950" t="b">
        <f ca="1">OR(Values!$S$98&gt;=Charms!M950,IFERROR(Charms!J950=OFFSET(Values!$A$24,MATCH("S",Values!$T$25:$T$50,0),0),FALSE))</f>
        <v>1</v>
      </c>
      <c r="D950" t="b">
        <f>VLOOKUP(Charms!J950,Values!$A$11:$S$59,19,0)&gt;=Charms!L950</f>
        <v>0</v>
      </c>
      <c r="E950" t="e">
        <f>OR(ISBLANK(Charms!I950),(VLOOKUP(Values!$S$6,Castes!$B$2:$F$25,4,0)=Charms!I950))</f>
        <v>#N/A</v>
      </c>
      <c r="J950" t="e">
        <f t="shared" ca="1" si="71"/>
        <v>#N/A</v>
      </c>
      <c r="K950" s="18" t="e">
        <f t="shared" ca="1" si="70"/>
        <v>#N/A</v>
      </c>
      <c r="L950" t="e">
        <f ca="1">IF(J950,Charms!B950,"")</f>
        <v>#N/A</v>
      </c>
      <c r="M950" t="str">
        <f t="shared" ca="1" si="72"/>
        <v>-</v>
      </c>
      <c r="N950" s="18" t="str">
        <f t="shared" si="73"/>
        <v>K899:L971</v>
      </c>
      <c r="O950" t="str">
        <f t="shared" si="74"/>
        <v>A899:A950</v>
      </c>
    </row>
    <row r="951" spans="1:15">
      <c r="A951" s="18" t="str">
        <f>Charms!K951</f>
        <v>Melee</v>
      </c>
      <c r="B951" t="str">
        <f>Charms!B951</f>
        <v>Graceful Flowing Defense</v>
      </c>
      <c r="C951" t="b">
        <f ca="1">OR(Values!$S$98&gt;=Charms!M951,IFERROR(Charms!J951=OFFSET(Values!$A$24,MATCH("S",Values!$T$25:$T$50,0),0),FALSE))</f>
        <v>1</v>
      </c>
      <c r="D951" t="b">
        <f>VLOOKUP(Charms!J951,Values!$A$11:$S$59,19,0)&gt;=Charms!L951</f>
        <v>0</v>
      </c>
      <c r="E951" t="e">
        <f>OR(ISBLANK(Charms!I951),(VLOOKUP(Values!$S$6,Castes!$B$2:$F$25,4,0)=Charms!I951))</f>
        <v>#N/A</v>
      </c>
      <c r="J951" t="e">
        <f t="shared" ca="1" si="71"/>
        <v>#N/A</v>
      </c>
      <c r="K951" s="18" t="e">
        <f t="shared" ca="1" si="70"/>
        <v>#N/A</v>
      </c>
      <c r="L951" t="e">
        <f ca="1">IF(J951,Charms!B951,"")</f>
        <v>#N/A</v>
      </c>
      <c r="M951" t="str">
        <f t="shared" ca="1" si="72"/>
        <v>-</v>
      </c>
      <c r="N951" s="18" t="str">
        <f t="shared" si="73"/>
        <v>K899:L971</v>
      </c>
      <c r="O951" t="str">
        <f t="shared" si="74"/>
        <v>A899:A951</v>
      </c>
    </row>
    <row r="952" spans="1:15">
      <c r="A952" s="18" t="str">
        <f>Charms!K952</f>
        <v>Melee</v>
      </c>
      <c r="B952" t="str">
        <f>Charms!B952</f>
        <v>Crimson Fang Bite</v>
      </c>
      <c r="C952" t="b">
        <f ca="1">OR(Values!$S$98&gt;=Charms!M952,IFERROR(Charms!J952=OFFSET(Values!$A$24,MATCH("S",Values!$T$25:$T$50,0),0),FALSE))</f>
        <v>0</v>
      </c>
      <c r="D952" t="b">
        <f>VLOOKUP(Charms!J952,Values!$A$11:$S$59,19,0)&gt;=Charms!L952</f>
        <v>0</v>
      </c>
      <c r="E952" t="e">
        <f>OR(ISBLANK(Charms!I952),(VLOOKUP(Values!$S$6,Castes!$B$2:$F$25,4,0)=Charms!I952))</f>
        <v>#N/A</v>
      </c>
      <c r="J952" t="e">
        <f t="shared" ca="1" si="71"/>
        <v>#N/A</v>
      </c>
      <c r="K952" s="18" t="e">
        <f t="shared" ca="1" si="70"/>
        <v>#N/A</v>
      </c>
      <c r="L952" t="e">
        <f ca="1">IF(J952,Charms!B952,"")</f>
        <v>#N/A</v>
      </c>
      <c r="M952" t="str">
        <f t="shared" ca="1" si="72"/>
        <v>-</v>
      </c>
      <c r="N952" s="18" t="str">
        <f t="shared" si="73"/>
        <v>K899:L971</v>
      </c>
      <c r="O952" t="str">
        <f t="shared" si="74"/>
        <v>A899:A952</v>
      </c>
    </row>
    <row r="953" spans="1:15">
      <c r="A953" s="18" t="str">
        <f>Charms!K953</f>
        <v>Melee</v>
      </c>
      <c r="B953" t="str">
        <f>Charms!B953</f>
        <v>Elemental Sheath</v>
      </c>
      <c r="C953" t="b">
        <f ca="1">OR(Values!$S$98&gt;=Charms!M953,IFERROR(Charms!J953=OFFSET(Values!$A$24,MATCH("S",Values!$T$25:$T$50,0),0),FALSE))</f>
        <v>0</v>
      </c>
      <c r="D953" t="b">
        <f>VLOOKUP(Charms!J953,Values!$A$11:$S$59,19,0)&gt;=Charms!L953</f>
        <v>0</v>
      </c>
      <c r="E953" t="e">
        <f>OR(ISBLANK(Charms!I953),(VLOOKUP(Values!$S$6,Castes!$B$2:$F$25,4,0)=Charms!I953))</f>
        <v>#N/A</v>
      </c>
      <c r="J953" t="e">
        <f t="shared" ca="1" si="71"/>
        <v>#N/A</v>
      </c>
      <c r="K953" s="18" t="e">
        <f t="shared" ca="1" si="70"/>
        <v>#N/A</v>
      </c>
      <c r="L953" t="e">
        <f ca="1">IF(J953,Charms!B953,"")</f>
        <v>#N/A</v>
      </c>
      <c r="M953" t="str">
        <f t="shared" ca="1" si="72"/>
        <v>-</v>
      </c>
      <c r="N953" s="18" t="str">
        <f t="shared" si="73"/>
        <v>K899:L971</v>
      </c>
      <c r="O953" t="str">
        <f t="shared" si="74"/>
        <v>A899:A953</v>
      </c>
    </row>
    <row r="954" spans="1:15">
      <c r="A954" s="18" t="str">
        <f>Charms!K954</f>
        <v>Melee</v>
      </c>
      <c r="B954" t="str">
        <f>Charms!B954</f>
        <v>Dragon-Graced Weapon</v>
      </c>
      <c r="C954" t="b">
        <f ca="1">OR(Values!$S$98&gt;=Charms!M954,IFERROR(Charms!J954=OFFSET(Values!$A$24,MATCH("S",Values!$T$25:$T$50,0),0),FALSE))</f>
        <v>0</v>
      </c>
      <c r="D954" t="b">
        <f>VLOOKUP(Charms!J954,Values!$A$11:$S$59,19,0)&gt;=Charms!L954</f>
        <v>0</v>
      </c>
      <c r="E954" t="e">
        <f>OR(ISBLANK(Charms!I954),(VLOOKUP(Values!$S$6,Castes!$B$2:$F$25,4,0)=Charms!I954))</f>
        <v>#N/A</v>
      </c>
      <c r="J954" t="e">
        <f t="shared" ca="1" si="71"/>
        <v>#N/A</v>
      </c>
      <c r="K954" s="18" t="e">
        <f t="shared" ca="1" si="70"/>
        <v>#N/A</v>
      </c>
      <c r="L954" t="e">
        <f ca="1">IF(J954,Charms!B954,"")</f>
        <v>#N/A</v>
      </c>
      <c r="M954" t="str">
        <f t="shared" ca="1" si="72"/>
        <v>-</v>
      </c>
      <c r="N954" s="18" t="str">
        <f t="shared" si="73"/>
        <v>K899:L971</v>
      </c>
      <c r="O954" t="str">
        <f t="shared" si="74"/>
        <v>A899:A954</v>
      </c>
    </row>
    <row r="955" spans="1:15">
      <c r="A955" s="18" t="str">
        <f>Charms!K955</f>
        <v>Melee</v>
      </c>
      <c r="B955" t="str">
        <f>Charms!B955</f>
        <v>Demon-Crushing Wolf Bite</v>
      </c>
      <c r="C955" t="b">
        <f ca="1">OR(Values!$S$98&gt;=Charms!M955,IFERROR(Charms!J955=OFFSET(Values!$A$24,MATCH("S",Values!$T$25:$T$50,0),0),FALSE))</f>
        <v>0</v>
      </c>
      <c r="D955" t="b">
        <f>VLOOKUP(Charms!J955,Values!$A$11:$S$59,19,0)&gt;=Charms!L955</f>
        <v>0</v>
      </c>
      <c r="E955" t="e">
        <f>OR(ISBLANK(Charms!I955),(VLOOKUP(Values!$S$6,Castes!$B$2:$F$25,4,0)=Charms!I955))</f>
        <v>#N/A</v>
      </c>
      <c r="J955" t="e">
        <f t="shared" ca="1" si="71"/>
        <v>#N/A</v>
      </c>
      <c r="K955" s="18" t="e">
        <f t="shared" ca="1" si="70"/>
        <v>#N/A</v>
      </c>
      <c r="L955" t="e">
        <f ca="1">IF(J955,Charms!B955,"")</f>
        <v>#N/A</v>
      </c>
      <c r="M955" t="str">
        <f t="shared" ca="1" si="72"/>
        <v>-</v>
      </c>
      <c r="N955" s="18" t="str">
        <f t="shared" si="73"/>
        <v>K899:L971</v>
      </c>
      <c r="O955" t="str">
        <f t="shared" si="74"/>
        <v>A899:A955</v>
      </c>
    </row>
    <row r="956" spans="1:15">
      <c r="A956" s="18" t="str">
        <f>Charms!K956</f>
        <v>Melee</v>
      </c>
      <c r="B956" t="str">
        <f>Charms!B956</f>
        <v>Crossfire Flash</v>
      </c>
      <c r="C956" t="b">
        <f ca="1">OR(Values!$S$98&gt;=Charms!M956,IFERROR(Charms!J956=OFFSET(Values!$A$24,MATCH("S",Values!$T$25:$T$50,0),0),FALSE))</f>
        <v>0</v>
      </c>
      <c r="D956" t="b">
        <f>VLOOKUP(Charms!J956,Values!$A$11:$S$59,19,0)&gt;=Charms!L956</f>
        <v>0</v>
      </c>
      <c r="E956" t="e">
        <f>OR(ISBLANK(Charms!I956),(VLOOKUP(Values!$S$6,Castes!$B$2:$F$25,4,0)=Charms!I956))</f>
        <v>#N/A</v>
      </c>
      <c r="J956" t="e">
        <f t="shared" ca="1" si="71"/>
        <v>#N/A</v>
      </c>
      <c r="K956" s="18" t="e">
        <f t="shared" ca="1" si="70"/>
        <v>#N/A</v>
      </c>
      <c r="L956" t="e">
        <f ca="1">IF(J956,Charms!B956,"")</f>
        <v>#N/A</v>
      </c>
      <c r="M956" t="str">
        <f t="shared" ca="1" si="72"/>
        <v>-</v>
      </c>
      <c r="N956" s="18" t="str">
        <f t="shared" si="73"/>
        <v>K899:L971</v>
      </c>
      <c r="O956" t="str">
        <f t="shared" si="74"/>
        <v>A899:A956</v>
      </c>
    </row>
    <row r="957" spans="1:15">
      <c r="A957" s="18" t="str">
        <f>Charms!K957</f>
        <v>Melee</v>
      </c>
      <c r="B957" t="str">
        <f>Charms!B957</f>
        <v>Flame Warden Stance</v>
      </c>
      <c r="C957" t="b">
        <f ca="1">OR(Values!$S$98&gt;=Charms!M957,IFERROR(Charms!J957=OFFSET(Values!$A$24,MATCH("S",Values!$T$25:$T$50,0),0),FALSE))</f>
        <v>0</v>
      </c>
      <c r="D957" t="b">
        <f>VLOOKUP(Charms!J957,Values!$A$11:$S$59,19,0)&gt;=Charms!L957</f>
        <v>0</v>
      </c>
      <c r="E957" t="e">
        <f>OR(ISBLANK(Charms!I957),(VLOOKUP(Values!$S$6,Castes!$B$2:$F$25,4,0)=Charms!I957))</f>
        <v>#N/A</v>
      </c>
      <c r="J957" t="e">
        <f t="shared" ca="1" si="71"/>
        <v>#N/A</v>
      </c>
      <c r="K957" s="18" t="e">
        <f t="shared" ca="1" si="70"/>
        <v>#N/A</v>
      </c>
      <c r="L957" t="e">
        <f ca="1">IF(J957,Charms!B957,"")</f>
        <v>#N/A</v>
      </c>
      <c r="M957" t="str">
        <f t="shared" ca="1" si="72"/>
        <v>-</v>
      </c>
      <c r="N957" s="18" t="str">
        <f t="shared" si="73"/>
        <v>K899:L971</v>
      </c>
      <c r="O957" t="str">
        <f t="shared" si="74"/>
        <v>A899:A957</v>
      </c>
    </row>
    <row r="958" spans="1:15">
      <c r="A958" s="18" t="str">
        <f>Charms!K958</f>
        <v>Melee</v>
      </c>
      <c r="B958" t="str">
        <f>Charms!B958</f>
        <v>Dragon Soul Burst</v>
      </c>
      <c r="C958" t="b">
        <f ca="1">OR(Values!$S$98&gt;=Charms!M958,IFERROR(Charms!J958=OFFSET(Values!$A$24,MATCH("S",Values!$T$25:$T$50,0),0),FALSE))</f>
        <v>0</v>
      </c>
      <c r="D958" t="b">
        <f>VLOOKUP(Charms!J958,Values!$A$11:$S$59,19,0)&gt;=Charms!L958</f>
        <v>0</v>
      </c>
      <c r="E958" t="e">
        <f>OR(ISBLANK(Charms!I958),(VLOOKUP(Values!$S$6,Castes!$B$2:$F$25,4,0)=Charms!I958))</f>
        <v>#N/A</v>
      </c>
      <c r="J958" t="e">
        <f t="shared" ca="1" si="71"/>
        <v>#N/A</v>
      </c>
      <c r="K958" s="18" t="e">
        <f t="shared" ca="1" si="70"/>
        <v>#N/A</v>
      </c>
      <c r="L958" t="e">
        <f ca="1">IF(J958,Charms!B958,"")</f>
        <v>#N/A</v>
      </c>
      <c r="M958" t="str">
        <f t="shared" ca="1" si="72"/>
        <v>-</v>
      </c>
      <c r="N958" s="18" t="str">
        <f t="shared" si="73"/>
        <v>K899:L971</v>
      </c>
      <c r="O958" t="str">
        <f t="shared" si="74"/>
        <v>A899:A958</v>
      </c>
    </row>
    <row r="959" spans="1:15">
      <c r="A959" s="18" t="str">
        <f>Charms!K959</f>
        <v>Melee</v>
      </c>
      <c r="B959" t="str">
        <f>Charms!B959</f>
        <v>Root-and-Hand Merging</v>
      </c>
      <c r="C959" t="b">
        <f ca="1">OR(Values!$S$98&gt;=Charms!M959,IFERROR(Charms!J959=OFFSET(Values!$A$24,MATCH("S",Values!$T$25:$T$50,0),0),FALSE))</f>
        <v>0</v>
      </c>
      <c r="D959" t="b">
        <f>VLOOKUP(Charms!J959,Values!$A$11:$S$59,19,0)&gt;=Charms!L959</f>
        <v>0</v>
      </c>
      <c r="E959" t="e">
        <f>OR(ISBLANK(Charms!I959),(VLOOKUP(Values!$S$6,Castes!$B$2:$F$25,4,0)=Charms!I959))</f>
        <v>#N/A</v>
      </c>
      <c r="J959" t="e">
        <f t="shared" ca="1" si="71"/>
        <v>#N/A</v>
      </c>
      <c r="K959" s="18" t="e">
        <f t="shared" ca="1" si="70"/>
        <v>#N/A</v>
      </c>
      <c r="L959" t="e">
        <f ca="1">IF(J959,Charms!B959,"")</f>
        <v>#N/A</v>
      </c>
      <c r="M959" t="str">
        <f t="shared" ca="1" si="72"/>
        <v>-</v>
      </c>
      <c r="N959" s="18" t="str">
        <f t="shared" si="73"/>
        <v>K899:L971</v>
      </c>
      <c r="O959" t="str">
        <f t="shared" si="74"/>
        <v>A899:A959</v>
      </c>
    </row>
    <row r="960" spans="1:15">
      <c r="A960" s="18" t="str">
        <f>Charms!K960</f>
        <v>Melee</v>
      </c>
      <c r="B960" t="str">
        <f>Charms!B960</f>
        <v>Blazing Interception</v>
      </c>
      <c r="C960" t="b">
        <f ca="1">OR(Values!$S$98&gt;=Charms!M960,IFERROR(Charms!J960=OFFSET(Values!$A$24,MATCH("S",Values!$T$25:$T$50,0),0),FALSE))</f>
        <v>0</v>
      </c>
      <c r="D960" t="b">
        <f>VLOOKUP(Charms!J960,Values!$A$11:$S$59,19,0)&gt;=Charms!L960</f>
        <v>0</v>
      </c>
      <c r="E960" t="e">
        <f>OR(ISBLANK(Charms!I960),(VLOOKUP(Values!$S$6,Castes!$B$2:$F$25,4,0)=Charms!I960))</f>
        <v>#N/A</v>
      </c>
      <c r="J960" t="e">
        <f t="shared" ca="1" si="71"/>
        <v>#N/A</v>
      </c>
      <c r="K960" s="18" t="e">
        <f t="shared" ca="1" si="70"/>
        <v>#N/A</v>
      </c>
      <c r="L960" t="e">
        <f ca="1">IF(J960,Charms!B960,"")</f>
        <v>#N/A</v>
      </c>
      <c r="M960" t="str">
        <f t="shared" ca="1" si="72"/>
        <v>-</v>
      </c>
      <c r="N960" s="18" t="str">
        <f t="shared" si="73"/>
        <v>K899:L971</v>
      </c>
      <c r="O960" t="str">
        <f t="shared" si="74"/>
        <v>A899:A960</v>
      </c>
    </row>
    <row r="961" spans="1:15">
      <c r="A961" s="18" t="str">
        <f>Charms!K961</f>
        <v>Melee</v>
      </c>
      <c r="B961" t="str">
        <f>Charms!B961</f>
        <v>Steel Tempest Strike</v>
      </c>
      <c r="C961" t="b">
        <f ca="1">OR(Values!$S$98&gt;=Charms!M961,IFERROR(Charms!J961=OFFSET(Values!$A$24,MATCH("S",Values!$T$25:$T$50,0),0),FALSE))</f>
        <v>0</v>
      </c>
      <c r="D961" t="b">
        <f>VLOOKUP(Charms!J961,Values!$A$11:$S$59,19,0)&gt;=Charms!L961</f>
        <v>0</v>
      </c>
      <c r="E961" t="e">
        <f>OR(ISBLANK(Charms!I961),(VLOOKUP(Values!$S$6,Castes!$B$2:$F$25,4,0)=Charms!I961))</f>
        <v>#N/A</v>
      </c>
      <c r="J961" t="e">
        <f t="shared" ca="1" si="71"/>
        <v>#N/A</v>
      </c>
      <c r="K961" s="18" t="e">
        <f t="shared" ca="1" si="70"/>
        <v>#N/A</v>
      </c>
      <c r="L961" t="e">
        <f ca="1">IF(J961,Charms!B961,"")</f>
        <v>#N/A</v>
      </c>
      <c r="M961" t="str">
        <f t="shared" ca="1" si="72"/>
        <v>-</v>
      </c>
      <c r="N961" s="18" t="str">
        <f t="shared" si="73"/>
        <v>K899:L971</v>
      </c>
      <c r="O961" t="str">
        <f t="shared" si="74"/>
        <v>A899:A961</v>
      </c>
    </row>
    <row r="962" spans="1:15">
      <c r="A962" s="18" t="str">
        <f>Charms!K962</f>
        <v>Melee</v>
      </c>
      <c r="B962" t="str">
        <f>Charms!B962</f>
        <v>Harnessed Firestorm Assault</v>
      </c>
      <c r="C962" t="b">
        <f ca="1">OR(Values!$S$98&gt;=Charms!M962,IFERROR(Charms!J962=OFFSET(Values!$A$24,MATCH("S",Values!$T$25:$T$50,0),0),FALSE))</f>
        <v>0</v>
      </c>
      <c r="D962" t="b">
        <f>VLOOKUP(Charms!J962,Values!$A$11:$S$59,19,0)&gt;=Charms!L962</f>
        <v>0</v>
      </c>
      <c r="E962" t="e">
        <f>OR(ISBLANK(Charms!I962),(VLOOKUP(Values!$S$6,Castes!$B$2:$F$25,4,0)=Charms!I962))</f>
        <v>#N/A</v>
      </c>
      <c r="J962" t="e">
        <f t="shared" ca="1" si="71"/>
        <v>#N/A</v>
      </c>
      <c r="K962" s="18" t="e">
        <f t="shared" ref="K962:K1025" ca="1" si="75">IF(L962="","",COUNTIF(INDIRECT("J"&amp;MATCH(A962,A:A,0)&amp;":J"&amp;ROW()),J962))</f>
        <v>#N/A</v>
      </c>
      <c r="L962" t="e">
        <f ca="1">IF(J962,Charms!B962,"")</f>
        <v>#N/A</v>
      </c>
      <c r="M962" t="str">
        <f t="shared" ca="1" si="72"/>
        <v>-</v>
      </c>
      <c r="N962" s="18" t="str">
        <f t="shared" si="73"/>
        <v>K899:L971</v>
      </c>
      <c r="O962" t="str">
        <f t="shared" si="74"/>
        <v>A899:A962</v>
      </c>
    </row>
    <row r="963" spans="1:15">
      <c r="A963" s="18" t="str">
        <f>Charms!K963</f>
        <v>Melee</v>
      </c>
      <c r="B963" t="str">
        <f>Charms!B963</f>
        <v>Falling Mountain Fang</v>
      </c>
      <c r="C963" t="b">
        <f ca="1">OR(Values!$S$98&gt;=Charms!M963,IFERROR(Charms!J963=OFFSET(Values!$A$24,MATCH("S",Values!$T$25:$T$50,0),0),FALSE))</f>
        <v>0</v>
      </c>
      <c r="D963" t="b">
        <f>VLOOKUP(Charms!J963,Values!$A$11:$S$59,19,0)&gt;=Charms!L963</f>
        <v>0</v>
      </c>
      <c r="E963" t="e">
        <f>OR(ISBLANK(Charms!I963),(VLOOKUP(Values!$S$6,Castes!$B$2:$F$25,4,0)=Charms!I963))</f>
        <v>#N/A</v>
      </c>
      <c r="J963" t="e">
        <f t="shared" ref="J963:J1026" ca="1" si="76">(C963+D963+E963+F963+G963+H963+I963)=3</f>
        <v>#N/A</v>
      </c>
      <c r="K963" s="18" t="e">
        <f t="shared" ca="1" si="75"/>
        <v>#N/A</v>
      </c>
      <c r="L963" t="e">
        <f ca="1">IF(J963,Charms!B963,"")</f>
        <v>#N/A</v>
      </c>
      <c r="M963" t="str">
        <f t="shared" ref="M963:M1026" ca="1" si="77">IFERROR(VLOOKUP(COUNTIF(INDIRECT(O963),A963),INDIRECT(N963),2,0),"-")</f>
        <v>-</v>
      </c>
      <c r="N963" s="18" t="str">
        <f t="shared" ref="N963:N1026" si="78">"K"&amp;MATCH(A963,A:A,0)&amp;":L"&amp;(MATCH(A963,A:A,0)+COUNTIF(A:A,A963)-1)</f>
        <v>K899:L971</v>
      </c>
      <c r="O963" t="str">
        <f t="shared" ref="O963:O1026" si="79">"A"&amp;MATCH(A963,A:A,0)&amp;":A"&amp;ROW()</f>
        <v>A899:A963</v>
      </c>
    </row>
    <row r="964" spans="1:15">
      <c r="A964" s="18" t="str">
        <f>Charms!K964</f>
        <v>Melee</v>
      </c>
      <c r="B964" t="str">
        <f>Charms!B964</f>
        <v>Roaring River Slash</v>
      </c>
      <c r="C964" t="b">
        <f ca="1">OR(Values!$S$98&gt;=Charms!M964,IFERROR(Charms!J964=OFFSET(Values!$A$24,MATCH("S",Values!$T$25:$T$50,0),0),FALSE))</f>
        <v>0</v>
      </c>
      <c r="D964" t="b">
        <f>VLOOKUP(Charms!J964,Values!$A$11:$S$59,19,0)&gt;=Charms!L964</f>
        <v>0</v>
      </c>
      <c r="E964" t="e">
        <f>OR(ISBLANK(Charms!I964),(VLOOKUP(Values!$S$6,Castes!$B$2:$F$25,4,0)=Charms!I964))</f>
        <v>#N/A</v>
      </c>
      <c r="J964" t="e">
        <f t="shared" ca="1" si="76"/>
        <v>#N/A</v>
      </c>
      <c r="K964" s="18" t="e">
        <f t="shared" ca="1" si="75"/>
        <v>#N/A</v>
      </c>
      <c r="L964" t="e">
        <f ca="1">IF(J964,Charms!B964,"")</f>
        <v>#N/A</v>
      </c>
      <c r="M964" t="str">
        <f t="shared" ca="1" si="77"/>
        <v>-</v>
      </c>
      <c r="N964" s="18" t="str">
        <f t="shared" si="78"/>
        <v>K899:L971</v>
      </c>
      <c r="O964" t="str">
        <f t="shared" si="79"/>
        <v>A899:A964</v>
      </c>
    </row>
    <row r="965" spans="1:15">
      <c r="A965" s="18" t="str">
        <f>Charms!K965</f>
        <v>Melee</v>
      </c>
      <c r="B965" t="str">
        <f>Charms!B965</f>
        <v>Aura of Grasping Branches</v>
      </c>
      <c r="C965" t="b">
        <f ca="1">OR(Values!$S$98&gt;=Charms!M965,IFERROR(Charms!J965=OFFSET(Values!$A$24,MATCH("S",Values!$T$25:$T$50,0),0),FALSE))</f>
        <v>0</v>
      </c>
      <c r="D965" t="b">
        <f>VLOOKUP(Charms!J965,Values!$A$11:$S$59,19,0)&gt;=Charms!L965</f>
        <v>0</v>
      </c>
      <c r="E965" t="e">
        <f>OR(ISBLANK(Charms!I965),(VLOOKUP(Values!$S$6,Castes!$B$2:$F$25,4,0)=Charms!I965))</f>
        <v>#N/A</v>
      </c>
      <c r="J965" t="e">
        <f t="shared" ca="1" si="76"/>
        <v>#N/A</v>
      </c>
      <c r="K965" s="18" t="e">
        <f t="shared" ca="1" si="75"/>
        <v>#N/A</v>
      </c>
      <c r="L965" t="e">
        <f ca="1">IF(J965,Charms!B965,"")</f>
        <v>#N/A</v>
      </c>
      <c r="M965" t="str">
        <f t="shared" ca="1" si="77"/>
        <v>-</v>
      </c>
      <c r="N965" s="18" t="str">
        <f t="shared" si="78"/>
        <v>K899:L971</v>
      </c>
      <c r="O965" t="str">
        <f t="shared" si="79"/>
        <v>A899:A965</v>
      </c>
    </row>
    <row r="966" spans="1:15">
      <c r="A966" s="18" t="str">
        <f>Charms!K966</f>
        <v>Melee</v>
      </c>
      <c r="B966" t="str">
        <f>Charms!B966</f>
        <v>Smoldering Essence Attack</v>
      </c>
      <c r="C966" t="b">
        <f ca="1">OR(Values!$S$98&gt;=Charms!M966,IFERROR(Charms!J966=OFFSET(Values!$A$24,MATCH("S",Values!$T$25:$T$50,0),0),FALSE))</f>
        <v>0</v>
      </c>
      <c r="D966" t="b">
        <f>VLOOKUP(Charms!J966,Values!$A$11:$S$59,19,0)&gt;=Charms!L966</f>
        <v>0</v>
      </c>
      <c r="E966" t="e">
        <f>OR(ISBLANK(Charms!I966),(VLOOKUP(Values!$S$6,Castes!$B$2:$F$25,4,0)=Charms!I966))</f>
        <v>#N/A</v>
      </c>
      <c r="J966" t="e">
        <f t="shared" ca="1" si="76"/>
        <v>#N/A</v>
      </c>
      <c r="K966" s="18" t="e">
        <f t="shared" ca="1" si="75"/>
        <v>#N/A</v>
      </c>
      <c r="L966" t="e">
        <f ca="1">IF(J966,Charms!B966,"")</f>
        <v>#N/A</v>
      </c>
      <c r="M966" t="str">
        <f t="shared" ca="1" si="77"/>
        <v>-</v>
      </c>
      <c r="N966" s="18" t="str">
        <f t="shared" si="78"/>
        <v>K899:L971</v>
      </c>
      <c r="O966" t="str">
        <f t="shared" si="79"/>
        <v>A899:A966</v>
      </c>
    </row>
    <row r="967" spans="1:15">
      <c r="A967" s="18" t="str">
        <f>Charms!K967</f>
        <v>Melee</v>
      </c>
      <c r="B967" t="str">
        <f>Charms!B967</f>
        <v>Burning Pinnacle Strike</v>
      </c>
      <c r="C967" t="b">
        <f ca="1">OR(Values!$S$98&gt;=Charms!M967,IFERROR(Charms!J967=OFFSET(Values!$A$24,MATCH("S",Values!$T$25:$T$50,0),0),FALSE))</f>
        <v>0</v>
      </c>
      <c r="D967" t="b">
        <f>VLOOKUP(Charms!J967,Values!$A$11:$S$59,19,0)&gt;=Charms!L967</f>
        <v>0</v>
      </c>
      <c r="E967" t="e">
        <f>OR(ISBLANK(Charms!I967),(VLOOKUP(Values!$S$6,Castes!$B$2:$F$25,4,0)=Charms!I967))</f>
        <v>#N/A</v>
      </c>
      <c r="J967" t="e">
        <f t="shared" ca="1" si="76"/>
        <v>#N/A</v>
      </c>
      <c r="K967" s="18" t="e">
        <f t="shared" ca="1" si="75"/>
        <v>#N/A</v>
      </c>
      <c r="L967" t="e">
        <f ca="1">IF(J967,Charms!B967,"")</f>
        <v>#N/A</v>
      </c>
      <c r="M967" t="str">
        <f t="shared" ca="1" si="77"/>
        <v>-</v>
      </c>
      <c r="N967" s="18" t="str">
        <f t="shared" si="78"/>
        <v>K899:L971</v>
      </c>
      <c r="O967" t="str">
        <f t="shared" si="79"/>
        <v>A899:A967</v>
      </c>
    </row>
    <row r="968" spans="1:15">
      <c r="A968" s="18" t="str">
        <f>Charms!K968</f>
        <v>Melee</v>
      </c>
      <c r="B968" t="str">
        <f>Charms!B968</f>
        <v>Portentous Comet Deflection</v>
      </c>
      <c r="C968" t="b">
        <f ca="1">OR(Values!$S$98&gt;=Charms!M968,IFERROR(Charms!J968=OFFSET(Values!$A$24,MATCH("S",Values!$T$25:$T$50,0),0),FALSE))</f>
        <v>0</v>
      </c>
      <c r="D968" t="b">
        <f>VLOOKUP(Charms!J968,Values!$A$11:$S$59,19,0)&gt;=Charms!L968</f>
        <v>0</v>
      </c>
      <c r="E968" t="e">
        <f>OR(ISBLANK(Charms!I968),(VLOOKUP(Values!$S$6,Castes!$B$2:$F$25,4,0)=Charms!I968))</f>
        <v>#N/A</v>
      </c>
      <c r="J968" t="e">
        <f t="shared" ca="1" si="76"/>
        <v>#N/A</v>
      </c>
      <c r="K968" s="18" t="e">
        <f t="shared" ca="1" si="75"/>
        <v>#N/A</v>
      </c>
      <c r="L968" t="e">
        <f ca="1">IF(J968,Charms!B968,"")</f>
        <v>#N/A</v>
      </c>
      <c r="M968" t="str">
        <f t="shared" ca="1" si="77"/>
        <v>-</v>
      </c>
      <c r="N968" s="18" t="str">
        <f t="shared" si="78"/>
        <v>K899:L971</v>
      </c>
      <c r="O968" t="str">
        <f t="shared" si="79"/>
        <v>A899:A968</v>
      </c>
    </row>
    <row r="969" spans="1:15">
      <c r="A969" s="18" t="str">
        <f>Charms!K969</f>
        <v>Melee</v>
      </c>
      <c r="B969" t="str">
        <f>Charms!B969</f>
        <v>Fire Incites Water to a Riot of Clouds</v>
      </c>
      <c r="C969" t="b">
        <f ca="1">OR(Values!$S$98&gt;=Charms!M969,IFERROR(Charms!J969=OFFSET(Values!$A$24,MATCH("S",Values!$T$25:$T$50,0),0),FALSE))</f>
        <v>0</v>
      </c>
      <c r="D969" t="b">
        <f>VLOOKUP(Charms!J969,Values!$A$11:$S$59,19,0)&gt;=Charms!L969</f>
        <v>0</v>
      </c>
      <c r="E969" t="e">
        <f>OR(ISBLANK(Charms!I969),(VLOOKUP(Values!$S$6,Castes!$B$2:$F$25,4,0)=Charms!I969))</f>
        <v>#N/A</v>
      </c>
      <c r="J969" t="e">
        <f t="shared" ca="1" si="76"/>
        <v>#N/A</v>
      </c>
      <c r="K969" s="18" t="e">
        <f t="shared" ca="1" si="75"/>
        <v>#N/A</v>
      </c>
      <c r="L969" t="e">
        <f ca="1">IF(J969,Charms!B969,"")</f>
        <v>#N/A</v>
      </c>
      <c r="M969" t="str">
        <f t="shared" ca="1" si="77"/>
        <v>-</v>
      </c>
      <c r="N969" s="18" t="str">
        <f t="shared" si="78"/>
        <v>K899:L971</v>
      </c>
      <c r="O969" t="str">
        <f t="shared" si="79"/>
        <v>A899:A969</v>
      </c>
    </row>
    <row r="970" spans="1:15">
      <c r="A970" s="18" t="str">
        <f>Charms!K970</f>
        <v>Melee</v>
      </c>
      <c r="B970" t="str">
        <f>Charms!B970</f>
        <v>Mela’s Flashing Tongue</v>
      </c>
      <c r="C970" t="b">
        <f ca="1">OR(Values!$S$98&gt;=Charms!M970,IFERROR(Charms!J970=OFFSET(Values!$A$24,MATCH("S",Values!$T$25:$T$50,0),0),FALSE))</f>
        <v>0</v>
      </c>
      <c r="D970" t="b">
        <f>VLOOKUP(Charms!J970,Values!$A$11:$S$59,19,0)&gt;=Charms!L970</f>
        <v>0</v>
      </c>
      <c r="E970" t="e">
        <f>OR(ISBLANK(Charms!I970),(VLOOKUP(Values!$S$6,Castes!$B$2:$F$25,4,0)=Charms!I970))</f>
        <v>#N/A</v>
      </c>
      <c r="J970" t="e">
        <f t="shared" ca="1" si="76"/>
        <v>#N/A</v>
      </c>
      <c r="K970" s="18" t="e">
        <f t="shared" ca="1" si="75"/>
        <v>#N/A</v>
      </c>
      <c r="L970" t="e">
        <f ca="1">IF(J970,Charms!B970,"")</f>
        <v>#N/A</v>
      </c>
      <c r="M970" t="str">
        <f t="shared" ca="1" si="77"/>
        <v>-</v>
      </c>
      <c r="N970" s="18" t="str">
        <f t="shared" si="78"/>
        <v>K899:L971</v>
      </c>
      <c r="O970" t="str">
        <f t="shared" si="79"/>
        <v>A899:A970</v>
      </c>
    </row>
    <row r="971" spans="1:15">
      <c r="A971" s="18" t="str">
        <f>Charms!K971</f>
        <v>Melee</v>
      </c>
      <c r="B971" t="str">
        <f>Charms!B971</f>
        <v>Mirror-on-Water Focus</v>
      </c>
      <c r="C971" t="b">
        <f ca="1">OR(Values!$S$98&gt;=Charms!M971,IFERROR(Charms!J971=OFFSET(Values!$A$24,MATCH("S",Values!$T$25:$T$50,0),0),FALSE))</f>
        <v>0</v>
      </c>
      <c r="D971" t="b">
        <f>VLOOKUP(Charms!J971,Values!$A$11:$S$59,19,0)&gt;=Charms!L971</f>
        <v>0</v>
      </c>
      <c r="E971" t="e">
        <f>OR(ISBLANK(Charms!I971),(VLOOKUP(Values!$S$6,Castes!$B$2:$F$25,4,0)=Charms!I971))</f>
        <v>#N/A</v>
      </c>
      <c r="J971" t="e">
        <f t="shared" ca="1" si="76"/>
        <v>#N/A</v>
      </c>
      <c r="K971" s="18" t="e">
        <f t="shared" ca="1" si="75"/>
        <v>#N/A</v>
      </c>
      <c r="L971" t="e">
        <f ca="1">IF(J971,Charms!B971,"")</f>
        <v>#N/A</v>
      </c>
      <c r="M971" t="str">
        <f t="shared" ca="1" si="77"/>
        <v>-</v>
      </c>
      <c r="N971" s="18" t="str">
        <f t="shared" si="78"/>
        <v>K899:L971</v>
      </c>
      <c r="O971" t="str">
        <f t="shared" si="79"/>
        <v>A899:A971</v>
      </c>
    </row>
    <row r="972" spans="1:15">
      <c r="A972" s="18" t="str">
        <f>Charms!K972</f>
        <v>Occult</v>
      </c>
      <c r="B972" t="str">
        <f>Charms!B972</f>
        <v>Spirit-Detecting Glance</v>
      </c>
      <c r="C972" t="b">
        <f ca="1">OR(Values!$S$98&gt;=Charms!M972,IFERROR(Charms!J972=OFFSET(Values!$A$24,MATCH("S",Values!$T$25:$T$50,0),0),FALSE))</f>
        <v>1</v>
      </c>
      <c r="D972" t="b">
        <f>VLOOKUP(Charms!J972,Values!$A$11:$S$59,19,0)&gt;=Charms!L972</f>
        <v>0</v>
      </c>
      <c r="E972" t="e">
        <f>OR(ISBLANK(Charms!I972),(VLOOKUP(Values!$S$6,Castes!$B$2:$F$25,4,0)=Charms!I972))</f>
        <v>#N/A</v>
      </c>
      <c r="J972" t="e">
        <f t="shared" ca="1" si="76"/>
        <v>#N/A</v>
      </c>
      <c r="K972" s="18" t="e">
        <f t="shared" ca="1" si="75"/>
        <v>#N/A</v>
      </c>
      <c r="L972" t="e">
        <f ca="1">IF(J972,Charms!B972,"")</f>
        <v>#N/A</v>
      </c>
      <c r="M972" t="str">
        <f t="shared" ca="1" si="77"/>
        <v>-</v>
      </c>
      <c r="N972" s="18" t="str">
        <f t="shared" si="78"/>
        <v>K972:L1033</v>
      </c>
      <c r="O972" t="str">
        <f t="shared" si="79"/>
        <v>A972:A972</v>
      </c>
    </row>
    <row r="973" spans="1:15">
      <c r="A973" s="18" t="str">
        <f>Charms!K973</f>
        <v>Occult</v>
      </c>
      <c r="B973" t="str">
        <f>Charms!B973</f>
        <v>Uncanny Perception Technique</v>
      </c>
      <c r="C973" t="b">
        <f ca="1">OR(Values!$S$98&gt;=Charms!M973,IFERROR(Charms!J973=OFFSET(Values!$A$24,MATCH("S",Values!$T$25:$T$50,0),0),FALSE))</f>
        <v>1</v>
      </c>
      <c r="D973" t="b">
        <f>VLOOKUP(Charms!J973,Values!$A$11:$S$59,19,0)&gt;=Charms!L973</f>
        <v>0</v>
      </c>
      <c r="E973" t="e">
        <f>OR(ISBLANK(Charms!I973),(VLOOKUP(Values!$S$6,Castes!$B$2:$F$25,4,0)=Charms!I973))</f>
        <v>#N/A</v>
      </c>
      <c r="J973" t="e">
        <f t="shared" ca="1" si="76"/>
        <v>#N/A</v>
      </c>
      <c r="K973" s="18" t="e">
        <f t="shared" ca="1" si="75"/>
        <v>#N/A</v>
      </c>
      <c r="L973" t="e">
        <f ca="1">IF(J973,Charms!B973,"")</f>
        <v>#N/A</v>
      </c>
      <c r="M973" t="str">
        <f t="shared" ca="1" si="77"/>
        <v>-</v>
      </c>
      <c r="N973" s="18" t="str">
        <f t="shared" si="78"/>
        <v>K972:L1033</v>
      </c>
      <c r="O973" t="str">
        <f t="shared" si="79"/>
        <v>A972:A973</v>
      </c>
    </row>
    <row r="974" spans="1:15">
      <c r="A974" s="18" t="str">
        <f>Charms!K974</f>
        <v>Occult</v>
      </c>
      <c r="B974" t="str">
        <f>Charms!B974</f>
        <v>Spirit-Cutting Attack</v>
      </c>
      <c r="C974" t="b">
        <f ca="1">OR(Values!$S$98&gt;=Charms!M974,IFERROR(Charms!J974=OFFSET(Values!$A$24,MATCH("S",Values!$T$25:$T$50,0),0),FALSE))</f>
        <v>1</v>
      </c>
      <c r="D974" t="b">
        <f>VLOOKUP(Charms!J974,Values!$A$11:$S$59,19,0)&gt;=Charms!L974</f>
        <v>0</v>
      </c>
      <c r="E974" t="e">
        <f>OR(ISBLANK(Charms!I974),(VLOOKUP(Values!$S$6,Castes!$B$2:$F$25,4,0)=Charms!I974))</f>
        <v>#N/A</v>
      </c>
      <c r="J974" t="e">
        <f t="shared" ca="1" si="76"/>
        <v>#N/A</v>
      </c>
      <c r="K974" s="18" t="e">
        <f t="shared" ca="1" si="75"/>
        <v>#N/A</v>
      </c>
      <c r="L974" t="e">
        <f ca="1">IF(J974,Charms!B974,"")</f>
        <v>#N/A</v>
      </c>
      <c r="M974" t="str">
        <f t="shared" ca="1" si="77"/>
        <v>-</v>
      </c>
      <c r="N974" s="18" t="str">
        <f t="shared" si="78"/>
        <v>K972:L1033</v>
      </c>
      <c r="O974" t="str">
        <f t="shared" si="79"/>
        <v>A972:A974</v>
      </c>
    </row>
    <row r="975" spans="1:15">
      <c r="A975" s="18" t="str">
        <f>Charms!K975</f>
        <v>Occult</v>
      </c>
      <c r="B975" t="str">
        <f>Charms!B975</f>
        <v>Spirit-Manifesting Word</v>
      </c>
      <c r="C975" t="b">
        <f ca="1">OR(Values!$S$98&gt;=Charms!M975,IFERROR(Charms!J975=OFFSET(Values!$A$24,MATCH("S",Values!$T$25:$T$50,0),0),FALSE))</f>
        <v>1</v>
      </c>
      <c r="D975" t="b">
        <f>VLOOKUP(Charms!J975,Values!$A$11:$S$59,19,0)&gt;=Charms!L975</f>
        <v>0</v>
      </c>
      <c r="E975" t="e">
        <f>OR(ISBLANK(Charms!I975),(VLOOKUP(Values!$S$6,Castes!$B$2:$F$25,4,0)=Charms!I975))</f>
        <v>#N/A</v>
      </c>
      <c r="J975" t="e">
        <f t="shared" ca="1" si="76"/>
        <v>#N/A</v>
      </c>
      <c r="K975" s="18" t="e">
        <f t="shared" ca="1" si="75"/>
        <v>#N/A</v>
      </c>
      <c r="L975" t="e">
        <f ca="1">IF(J975,Charms!B975,"")</f>
        <v>#N/A</v>
      </c>
      <c r="M975" t="str">
        <f t="shared" ca="1" si="77"/>
        <v>-</v>
      </c>
      <c r="N975" s="18" t="str">
        <f t="shared" si="78"/>
        <v>K972:L1033</v>
      </c>
      <c r="O975" t="str">
        <f t="shared" si="79"/>
        <v>A972:A975</v>
      </c>
    </row>
    <row r="976" spans="1:15">
      <c r="A976" s="18" t="str">
        <f>Charms!K976</f>
        <v>Occult</v>
      </c>
      <c r="B976" t="str">
        <f>Charms!B976</f>
        <v>Keen Unnatural Eye</v>
      </c>
      <c r="C976" t="b">
        <f ca="1">OR(Values!$S$98&gt;=Charms!M976,IFERROR(Charms!J976=OFFSET(Values!$A$24,MATCH("S",Values!$T$25:$T$50,0),0),FALSE))</f>
        <v>1</v>
      </c>
      <c r="D976" t="b">
        <f>VLOOKUP(Charms!J976,Values!$A$11:$S$59,19,0)&gt;=Charms!L976</f>
        <v>0</v>
      </c>
      <c r="E976" t="e">
        <f>OR(ISBLANK(Charms!I976),(VLOOKUP(Values!$S$6,Castes!$B$2:$F$25,4,0)=Charms!I976))</f>
        <v>#N/A</v>
      </c>
      <c r="J976" t="e">
        <f t="shared" ca="1" si="76"/>
        <v>#N/A</v>
      </c>
      <c r="K976" s="18" t="e">
        <f t="shared" ca="1" si="75"/>
        <v>#N/A</v>
      </c>
      <c r="L976" t="e">
        <f ca="1">IF(J976,Charms!B976,"")</f>
        <v>#N/A</v>
      </c>
      <c r="M976" t="str">
        <f t="shared" ca="1" si="77"/>
        <v>-</v>
      </c>
      <c r="N976" s="18" t="str">
        <f t="shared" si="78"/>
        <v>K972:L1033</v>
      </c>
      <c r="O976" t="str">
        <f t="shared" si="79"/>
        <v>A972:A976</v>
      </c>
    </row>
    <row r="977" spans="1:15">
      <c r="A977" s="18" t="str">
        <f>Charms!K977</f>
        <v>Occult</v>
      </c>
      <c r="B977" t="str">
        <f>Charms!B977</f>
        <v>Spirit-Draining Stance</v>
      </c>
      <c r="C977" t="b">
        <f ca="1">OR(Values!$S$98&gt;=Charms!M977,IFERROR(Charms!J977=OFFSET(Values!$A$24,MATCH("S",Values!$T$25:$T$50,0),0),FALSE))</f>
        <v>1</v>
      </c>
      <c r="D977" t="b">
        <f>VLOOKUP(Charms!J977,Values!$A$11:$S$59,19,0)&gt;=Charms!L977</f>
        <v>0</v>
      </c>
      <c r="E977" t="e">
        <f>OR(ISBLANK(Charms!I977),(VLOOKUP(Values!$S$6,Castes!$B$2:$F$25,4,0)=Charms!I977))</f>
        <v>#N/A</v>
      </c>
      <c r="J977" t="e">
        <f t="shared" ca="1" si="76"/>
        <v>#N/A</v>
      </c>
      <c r="K977" s="18" t="e">
        <f t="shared" ca="1" si="75"/>
        <v>#N/A</v>
      </c>
      <c r="L977" t="e">
        <f ca="1">IF(J977,Charms!B977,"")</f>
        <v>#N/A</v>
      </c>
      <c r="M977" t="str">
        <f t="shared" ca="1" si="77"/>
        <v>-</v>
      </c>
      <c r="N977" s="18" t="str">
        <f t="shared" si="78"/>
        <v>K972:L1033</v>
      </c>
      <c r="O977" t="str">
        <f t="shared" si="79"/>
        <v>A972:A977</v>
      </c>
    </row>
    <row r="978" spans="1:15">
      <c r="A978" s="18" t="str">
        <f>Charms!K978</f>
        <v>Occult</v>
      </c>
      <c r="B978" t="str">
        <f>Charms!B978</f>
        <v>Ghost-Eating Technique</v>
      </c>
      <c r="C978" t="b">
        <f ca="1">OR(Values!$S$98&gt;=Charms!M978,IFERROR(Charms!J978=OFFSET(Values!$A$24,MATCH("S",Values!$T$25:$T$50,0),0),FALSE))</f>
        <v>1</v>
      </c>
      <c r="D978" t="b">
        <f>VLOOKUP(Charms!J978,Values!$A$11:$S$59,19,0)&gt;=Charms!L978</f>
        <v>0</v>
      </c>
      <c r="E978" t="e">
        <f>OR(ISBLANK(Charms!I978),(VLOOKUP(Values!$S$6,Castes!$B$2:$F$25,4,0)=Charms!I978))</f>
        <v>#N/A</v>
      </c>
      <c r="J978" t="e">
        <f t="shared" ca="1" si="76"/>
        <v>#N/A</v>
      </c>
      <c r="K978" s="18" t="e">
        <f t="shared" ca="1" si="75"/>
        <v>#N/A</v>
      </c>
      <c r="L978" t="e">
        <f ca="1">IF(J978,Charms!B978,"")</f>
        <v>#N/A</v>
      </c>
      <c r="M978" t="str">
        <f t="shared" ca="1" si="77"/>
        <v>-</v>
      </c>
      <c r="N978" s="18" t="str">
        <f t="shared" si="78"/>
        <v>K972:L1033</v>
      </c>
      <c r="O978" t="str">
        <f t="shared" si="79"/>
        <v>A972:A978</v>
      </c>
    </row>
    <row r="979" spans="1:15">
      <c r="A979" s="18" t="str">
        <f>Charms!K979</f>
        <v>Occult</v>
      </c>
      <c r="B979" t="str">
        <f>Charms!B979</f>
        <v>Uncanny Shroud Defense</v>
      </c>
      <c r="C979" t="b">
        <f ca="1">OR(Values!$S$98&gt;=Charms!M979,IFERROR(Charms!J979=OFFSET(Values!$A$24,MATCH("S",Values!$T$25:$T$50,0),0),FALSE))</f>
        <v>1</v>
      </c>
      <c r="D979" t="b">
        <f>VLOOKUP(Charms!J979,Values!$A$11:$S$59,19,0)&gt;=Charms!L979</f>
        <v>0</v>
      </c>
      <c r="E979" t="e">
        <f>OR(ISBLANK(Charms!I979),(VLOOKUP(Values!$S$6,Castes!$B$2:$F$25,4,0)=Charms!I979))</f>
        <v>#N/A</v>
      </c>
      <c r="J979" t="e">
        <f t="shared" ca="1" si="76"/>
        <v>#N/A</v>
      </c>
      <c r="K979" s="18" t="e">
        <f t="shared" ca="1" si="75"/>
        <v>#N/A</v>
      </c>
      <c r="L979" t="e">
        <f ca="1">IF(J979,Charms!B979,"")</f>
        <v>#N/A</v>
      </c>
      <c r="M979" t="str">
        <f t="shared" ca="1" si="77"/>
        <v>-</v>
      </c>
      <c r="N979" s="18" t="str">
        <f t="shared" si="78"/>
        <v>K972:L1033</v>
      </c>
      <c r="O979" t="str">
        <f t="shared" si="79"/>
        <v>A972:A979</v>
      </c>
    </row>
    <row r="980" spans="1:15">
      <c r="A980" s="18" t="str">
        <f>Charms!K980</f>
        <v>Occult</v>
      </c>
      <c r="B980" t="str">
        <f>Charms!B980</f>
        <v>Ancient Tongue Understanding</v>
      </c>
      <c r="C980" t="b">
        <f ca="1">OR(Values!$S$98&gt;=Charms!M980,IFERROR(Charms!J980=OFFSET(Values!$A$24,MATCH("S",Values!$T$25:$T$50,0),0),FALSE))</f>
        <v>1</v>
      </c>
      <c r="D980" t="b">
        <f>VLOOKUP(Charms!J980,Values!$A$11:$S$59,19,0)&gt;=Charms!L980</f>
        <v>0</v>
      </c>
      <c r="E980" t="e">
        <f>OR(ISBLANK(Charms!I980),(VLOOKUP(Values!$S$6,Castes!$B$2:$F$25,4,0)=Charms!I980))</f>
        <v>#N/A</v>
      </c>
      <c r="J980" t="e">
        <f t="shared" ca="1" si="76"/>
        <v>#N/A</v>
      </c>
      <c r="K980" s="18" t="e">
        <f t="shared" ca="1" si="75"/>
        <v>#N/A</v>
      </c>
      <c r="L980" t="e">
        <f ca="1">IF(J980,Charms!B980,"")</f>
        <v>#N/A</v>
      </c>
      <c r="M980" t="str">
        <f t="shared" ca="1" si="77"/>
        <v>-</v>
      </c>
      <c r="N980" s="18" t="str">
        <f t="shared" si="78"/>
        <v>K972:L1033</v>
      </c>
      <c r="O980" t="str">
        <f t="shared" si="79"/>
        <v>A972:A980</v>
      </c>
    </row>
    <row r="981" spans="1:15">
      <c r="A981" s="18" t="str">
        <f>Charms!K981</f>
        <v>Occult</v>
      </c>
      <c r="B981" t="str">
        <f>Charms!B981</f>
        <v>Spirit-Repelling Diagram</v>
      </c>
      <c r="C981" t="b">
        <f ca="1">OR(Values!$S$98&gt;=Charms!M981,IFERROR(Charms!J981=OFFSET(Values!$A$24,MATCH("S",Values!$T$25:$T$50,0),0),FALSE))</f>
        <v>0</v>
      </c>
      <c r="D981" t="b">
        <f>VLOOKUP(Charms!J981,Values!$A$11:$S$59,19,0)&gt;=Charms!L981</f>
        <v>0</v>
      </c>
      <c r="E981" t="e">
        <f>OR(ISBLANK(Charms!I981),(VLOOKUP(Values!$S$6,Castes!$B$2:$F$25,4,0)=Charms!I981))</f>
        <v>#N/A</v>
      </c>
      <c r="J981" t="e">
        <f t="shared" ca="1" si="76"/>
        <v>#N/A</v>
      </c>
      <c r="K981" s="18" t="e">
        <f t="shared" ca="1" si="75"/>
        <v>#N/A</v>
      </c>
      <c r="L981" t="e">
        <f ca="1">IF(J981,Charms!B981,"")</f>
        <v>#N/A</v>
      </c>
      <c r="M981" t="str">
        <f t="shared" ca="1" si="77"/>
        <v>-</v>
      </c>
      <c r="N981" s="18" t="str">
        <f t="shared" si="78"/>
        <v>K972:L1033</v>
      </c>
      <c r="O981" t="str">
        <f t="shared" si="79"/>
        <v>A972:A981</v>
      </c>
    </row>
    <row r="982" spans="1:15">
      <c r="A982" s="18" t="str">
        <f>Charms!K982</f>
        <v>Occult</v>
      </c>
      <c r="B982" t="str">
        <f>Charms!B982</f>
        <v>Terrestrial Circle Sorcery</v>
      </c>
      <c r="C982" t="b">
        <f ca="1">OR(Values!$S$98&gt;=Charms!M982,IFERROR(Charms!J982=OFFSET(Values!$A$24,MATCH("S",Values!$T$25:$T$50,0),0),FALSE))</f>
        <v>1</v>
      </c>
      <c r="D982" t="b">
        <f>VLOOKUP(Charms!J982,Values!$A$11:$S$59,19,0)&gt;=Charms!L982</f>
        <v>0</v>
      </c>
      <c r="E982" t="e">
        <f>OR(ISBLANK(Charms!I982),(VLOOKUP(Values!$S$6,Castes!$B$2:$F$25,4,0)=Charms!I982))</f>
        <v>#N/A</v>
      </c>
      <c r="J982" t="e">
        <f t="shared" ca="1" si="76"/>
        <v>#N/A</v>
      </c>
      <c r="K982" s="18" t="e">
        <f t="shared" ca="1" si="75"/>
        <v>#N/A</v>
      </c>
      <c r="L982" t="e">
        <f ca="1">IF(J982,Charms!B982,"")</f>
        <v>#N/A</v>
      </c>
      <c r="M982" t="str">
        <f t="shared" ca="1" si="77"/>
        <v>-</v>
      </c>
      <c r="N982" s="18" t="str">
        <f t="shared" si="78"/>
        <v>K972:L1033</v>
      </c>
      <c r="O982" t="str">
        <f t="shared" si="79"/>
        <v>A972:A982</v>
      </c>
    </row>
    <row r="983" spans="1:15">
      <c r="A983" s="18" t="str">
        <f>Charms!K983</f>
        <v>Occult</v>
      </c>
      <c r="B983" t="str">
        <f>Charms!B983</f>
        <v>Phantom-Seizing Strike</v>
      </c>
      <c r="C983" t="b">
        <f ca="1">OR(Values!$S$98&gt;=Charms!M983,IFERROR(Charms!J983=OFFSET(Values!$A$24,MATCH("S",Values!$T$25:$T$50,0),0),FALSE))</f>
        <v>1</v>
      </c>
      <c r="D983" t="b">
        <f>VLOOKUP(Charms!J983,Values!$A$11:$S$59,19,0)&gt;=Charms!L983</f>
        <v>0</v>
      </c>
      <c r="E983" t="e">
        <f>OR(ISBLANK(Charms!I983),(VLOOKUP(Values!$S$6,Castes!$B$2:$F$25,4,0)=Charms!I983))</f>
        <v>#N/A</v>
      </c>
      <c r="J983" t="e">
        <f t="shared" ca="1" si="76"/>
        <v>#N/A</v>
      </c>
      <c r="K983" s="18" t="e">
        <f t="shared" ca="1" si="75"/>
        <v>#N/A</v>
      </c>
      <c r="L983" t="e">
        <f ca="1">IF(J983,Charms!B983,"")</f>
        <v>#N/A</v>
      </c>
      <c r="M983" t="str">
        <f t="shared" ca="1" si="77"/>
        <v>-</v>
      </c>
      <c r="N983" s="18" t="str">
        <f t="shared" si="78"/>
        <v>K972:L1033</v>
      </c>
      <c r="O983" t="str">
        <f t="shared" si="79"/>
        <v>A972:A983</v>
      </c>
    </row>
    <row r="984" spans="1:15">
      <c r="A984" s="18" t="str">
        <f>Charms!K984</f>
        <v>Occult</v>
      </c>
      <c r="B984" t="str">
        <f>Charms!B984</f>
        <v>Breath-Drinker Method</v>
      </c>
      <c r="C984" t="b">
        <f ca="1">OR(Values!$S$98&gt;=Charms!M984,IFERROR(Charms!J984=OFFSET(Values!$A$24,MATCH("S",Values!$T$25:$T$50,0),0),FALSE))</f>
        <v>0</v>
      </c>
      <c r="D984" t="b">
        <f>VLOOKUP(Charms!J984,Values!$A$11:$S$59,19,0)&gt;=Charms!L984</f>
        <v>0</v>
      </c>
      <c r="E984" t="e">
        <f>OR(ISBLANK(Charms!I984),(VLOOKUP(Values!$S$6,Castes!$B$2:$F$25,4,0)=Charms!I984))</f>
        <v>#N/A</v>
      </c>
      <c r="J984" t="e">
        <f t="shared" ca="1" si="76"/>
        <v>#N/A</v>
      </c>
      <c r="K984" s="18" t="e">
        <f t="shared" ca="1" si="75"/>
        <v>#N/A</v>
      </c>
      <c r="L984" t="e">
        <f ca="1">IF(J984,Charms!B984,"")</f>
        <v>#N/A</v>
      </c>
      <c r="M984" t="str">
        <f t="shared" ca="1" si="77"/>
        <v>-</v>
      </c>
      <c r="N984" s="18" t="str">
        <f t="shared" si="78"/>
        <v>K972:L1033</v>
      </c>
      <c r="O984" t="str">
        <f t="shared" si="79"/>
        <v>A972:A984</v>
      </c>
    </row>
    <row r="985" spans="1:15">
      <c r="A985" s="18" t="str">
        <f>Charms!K985</f>
        <v>Occult</v>
      </c>
      <c r="B985" t="str">
        <f>Charms!B985</f>
        <v>Nine Specters Ban</v>
      </c>
      <c r="C985" t="b">
        <f ca="1">OR(Values!$S$98&gt;=Charms!M985,IFERROR(Charms!J985=OFFSET(Values!$A$24,MATCH("S",Values!$T$25:$T$50,0),0),FALSE))</f>
        <v>0</v>
      </c>
      <c r="D985" t="b">
        <f>VLOOKUP(Charms!J985,Values!$A$11:$S$59,19,0)&gt;=Charms!L985</f>
        <v>0</v>
      </c>
      <c r="E985" t="e">
        <f>OR(ISBLANK(Charms!I985),(VLOOKUP(Values!$S$6,Castes!$B$2:$F$25,4,0)=Charms!I985))</f>
        <v>#N/A</v>
      </c>
      <c r="J985" t="e">
        <f t="shared" ca="1" si="76"/>
        <v>#N/A</v>
      </c>
      <c r="K985" s="18" t="e">
        <f t="shared" ca="1" si="75"/>
        <v>#N/A</v>
      </c>
      <c r="L985" t="e">
        <f ca="1">IF(J985,Charms!B985,"")</f>
        <v>#N/A</v>
      </c>
      <c r="M985" t="str">
        <f t="shared" ca="1" si="77"/>
        <v>-</v>
      </c>
      <c r="N985" s="18" t="str">
        <f t="shared" si="78"/>
        <v>K972:L1033</v>
      </c>
      <c r="O985" t="str">
        <f t="shared" si="79"/>
        <v>A972:A985</v>
      </c>
    </row>
    <row r="986" spans="1:15">
      <c r="A986" s="18" t="str">
        <f>Charms!K986</f>
        <v>Occult</v>
      </c>
      <c r="B986" t="str">
        <f>Charms!B986</f>
        <v>Spirit-Caging Mandala</v>
      </c>
      <c r="C986" t="b">
        <f ca="1">OR(Values!$S$98&gt;=Charms!M986,IFERROR(Charms!J986=OFFSET(Values!$A$24,MATCH("S",Values!$T$25:$T$50,0),0),FALSE))</f>
        <v>0</v>
      </c>
      <c r="D986" t="b">
        <f>VLOOKUP(Charms!J986,Values!$A$11:$S$59,19,0)&gt;=Charms!L986</f>
        <v>0</v>
      </c>
      <c r="E986" t="e">
        <f>OR(ISBLANK(Charms!I986),(VLOOKUP(Values!$S$6,Castes!$B$2:$F$25,4,0)=Charms!I986))</f>
        <v>#N/A</v>
      </c>
      <c r="J986" t="e">
        <f t="shared" ca="1" si="76"/>
        <v>#N/A</v>
      </c>
      <c r="K986" s="18" t="e">
        <f t="shared" ca="1" si="75"/>
        <v>#N/A</v>
      </c>
      <c r="L986" t="e">
        <f ca="1">IF(J986,Charms!B986,"")</f>
        <v>#N/A</v>
      </c>
      <c r="M986" t="str">
        <f t="shared" ca="1" si="77"/>
        <v>-</v>
      </c>
      <c r="N986" s="18" t="str">
        <f t="shared" si="78"/>
        <v>K972:L1033</v>
      </c>
      <c r="O986" t="str">
        <f t="shared" si="79"/>
        <v>A972:A986</v>
      </c>
    </row>
    <row r="987" spans="1:15">
      <c r="A987" s="18" t="str">
        <f>Charms!K987</f>
        <v>Occult</v>
      </c>
      <c r="B987" t="str">
        <f>Charms!B987</f>
        <v>Material Exegesis Prana</v>
      </c>
      <c r="C987" t="b">
        <f ca="1">OR(Values!$S$98&gt;=Charms!M987,IFERROR(Charms!J987=OFFSET(Values!$A$24,MATCH("S",Values!$T$25:$T$50,0),0),FALSE))</f>
        <v>0</v>
      </c>
      <c r="D987" t="b">
        <f>VLOOKUP(Charms!J987,Values!$A$11:$S$59,19,0)&gt;=Charms!L987</f>
        <v>0</v>
      </c>
      <c r="E987" t="e">
        <f>OR(ISBLANK(Charms!I987),(VLOOKUP(Values!$S$6,Castes!$B$2:$F$25,4,0)=Charms!I987))</f>
        <v>#N/A</v>
      </c>
      <c r="J987" t="e">
        <f t="shared" ca="1" si="76"/>
        <v>#N/A</v>
      </c>
      <c r="K987" s="18" t="e">
        <f t="shared" ca="1" si="75"/>
        <v>#N/A</v>
      </c>
      <c r="L987" t="e">
        <f ca="1">IF(J987,Charms!B987,"")</f>
        <v>#N/A</v>
      </c>
      <c r="M987" t="str">
        <f t="shared" ca="1" si="77"/>
        <v>-</v>
      </c>
      <c r="N987" s="18" t="str">
        <f t="shared" si="78"/>
        <v>K972:L1033</v>
      </c>
      <c r="O987" t="str">
        <f t="shared" si="79"/>
        <v>A972:A987</v>
      </c>
    </row>
    <row r="988" spans="1:15">
      <c r="A988" s="18" t="str">
        <f>Charms!K988</f>
        <v>Occult</v>
      </c>
      <c r="B988" t="str">
        <f>Charms!B988</f>
        <v>Dark-Minder's Observances</v>
      </c>
      <c r="C988" t="b">
        <f ca="1">OR(Values!$S$98&gt;=Charms!M988,IFERROR(Charms!J988=OFFSET(Values!$A$24,MATCH("S",Values!$T$25:$T$50,0),0),FALSE))</f>
        <v>0</v>
      </c>
      <c r="D988" t="b">
        <f>VLOOKUP(Charms!J988,Values!$A$11:$S$59,19,0)&gt;=Charms!L988</f>
        <v>0</v>
      </c>
      <c r="E988" t="e">
        <f>OR(ISBLANK(Charms!I988),(VLOOKUP(Values!$S$6,Castes!$B$2:$F$25,4,0)=Charms!I988))</f>
        <v>#N/A</v>
      </c>
      <c r="J988" t="e">
        <f t="shared" ca="1" si="76"/>
        <v>#N/A</v>
      </c>
      <c r="K988" s="18" t="e">
        <f t="shared" ca="1" si="75"/>
        <v>#N/A</v>
      </c>
      <c r="L988" t="e">
        <f ca="1">IF(J988,Charms!B988,"")</f>
        <v>#N/A</v>
      </c>
      <c r="M988" t="str">
        <f t="shared" ca="1" si="77"/>
        <v>-</v>
      </c>
      <c r="N988" s="18" t="str">
        <f t="shared" si="78"/>
        <v>K972:L1033</v>
      </c>
      <c r="O988" t="str">
        <f t="shared" si="79"/>
        <v>A972:A988</v>
      </c>
    </row>
    <row r="989" spans="1:15">
      <c r="A989" s="18" t="str">
        <f>Charms!K989</f>
        <v>Occult</v>
      </c>
      <c r="B989" t="str">
        <f>Charms!B989</f>
        <v>Celestial Circle Sorcery</v>
      </c>
      <c r="C989" t="b">
        <f ca="1">OR(Values!$S$98&gt;=Charms!M989,IFERROR(Charms!J989=OFFSET(Values!$A$24,MATCH("S",Values!$T$25:$T$50,0),0),FALSE))</f>
        <v>0</v>
      </c>
      <c r="D989" t="b">
        <f>VLOOKUP(Charms!J989,Values!$A$11:$S$59,19,0)&gt;=Charms!L989</f>
        <v>0</v>
      </c>
      <c r="E989" t="e">
        <f>OR(ISBLANK(Charms!I989),(VLOOKUP(Values!$S$6,Castes!$B$2:$F$25,4,0)=Charms!I989))</f>
        <v>#N/A</v>
      </c>
      <c r="J989" t="e">
        <f t="shared" ca="1" si="76"/>
        <v>#N/A</v>
      </c>
      <c r="K989" s="18" t="e">
        <f t="shared" ca="1" si="75"/>
        <v>#N/A</v>
      </c>
      <c r="L989" t="e">
        <f ca="1">IF(J989,Charms!B989,"")</f>
        <v>#N/A</v>
      </c>
      <c r="M989" t="str">
        <f t="shared" ca="1" si="77"/>
        <v>-</v>
      </c>
      <c r="N989" s="18" t="str">
        <f t="shared" si="78"/>
        <v>K972:L1033</v>
      </c>
      <c r="O989" t="str">
        <f t="shared" si="79"/>
        <v>A972:A989</v>
      </c>
    </row>
    <row r="990" spans="1:15">
      <c r="A990" s="18" t="str">
        <f>Charms!K990</f>
        <v>Occult</v>
      </c>
      <c r="B990" t="str">
        <f>Charms!B990</f>
        <v>Spirit-Slaying Stance</v>
      </c>
      <c r="C990" t="b">
        <f ca="1">OR(Values!$S$98&gt;=Charms!M990,IFERROR(Charms!J990=OFFSET(Values!$A$24,MATCH("S",Values!$T$25:$T$50,0),0),FALSE))</f>
        <v>1</v>
      </c>
      <c r="D990" t="b">
        <f>VLOOKUP(Charms!J990,Values!$A$11:$S$59,19,0)&gt;=Charms!L990</f>
        <v>0</v>
      </c>
      <c r="E990" t="e">
        <f>OR(ISBLANK(Charms!I990),(VLOOKUP(Values!$S$6,Castes!$B$2:$F$25,4,0)=Charms!I990))</f>
        <v>#N/A</v>
      </c>
      <c r="J990" t="e">
        <f t="shared" ca="1" si="76"/>
        <v>#N/A</v>
      </c>
      <c r="K990" s="18" t="e">
        <f t="shared" ca="1" si="75"/>
        <v>#N/A</v>
      </c>
      <c r="L990" t="e">
        <f ca="1">IF(J990,Charms!B990,"")</f>
        <v>#N/A</v>
      </c>
      <c r="M990" t="str">
        <f t="shared" ca="1" si="77"/>
        <v>-</v>
      </c>
      <c r="N990" s="18" t="str">
        <f t="shared" si="78"/>
        <v>K972:L1033</v>
      </c>
      <c r="O990" t="str">
        <f t="shared" si="79"/>
        <v>A972:A990</v>
      </c>
    </row>
    <row r="991" spans="1:15">
      <c r="A991" s="18" t="str">
        <f>Charms!K991</f>
        <v>Occult</v>
      </c>
      <c r="B991" t="str">
        <f>Charms!B991</f>
        <v>Supernal Control Method</v>
      </c>
      <c r="C991" t="b">
        <f ca="1">OR(Values!$S$98&gt;=Charms!M991,IFERROR(Charms!J991=OFFSET(Values!$A$24,MATCH("S",Values!$T$25:$T$50,0),0),FALSE))</f>
        <v>1</v>
      </c>
      <c r="D991" t="b">
        <f>VLOOKUP(Charms!J991,Values!$A$11:$S$59,19,0)&gt;=Charms!L991</f>
        <v>0</v>
      </c>
      <c r="E991" t="e">
        <f>OR(ISBLANK(Charms!I991),(VLOOKUP(Values!$S$6,Castes!$B$2:$F$25,4,0)=Charms!I991))</f>
        <v>#N/A</v>
      </c>
      <c r="J991" t="e">
        <f t="shared" ca="1" si="76"/>
        <v>#N/A</v>
      </c>
      <c r="K991" s="18" t="e">
        <f t="shared" ca="1" si="75"/>
        <v>#N/A</v>
      </c>
      <c r="L991" t="e">
        <f ca="1">IF(J991,Charms!B991,"")</f>
        <v>#N/A</v>
      </c>
      <c r="M991" t="str">
        <f t="shared" ca="1" si="77"/>
        <v>-</v>
      </c>
      <c r="N991" s="18" t="str">
        <f t="shared" si="78"/>
        <v>K972:L1033</v>
      </c>
      <c r="O991" t="str">
        <f t="shared" si="79"/>
        <v>A972:A991</v>
      </c>
    </row>
    <row r="992" spans="1:15">
      <c r="A992" s="18" t="str">
        <f>Charms!K992</f>
        <v>Occult</v>
      </c>
      <c r="B992" t="str">
        <f>Charms!B992</f>
        <v>All-Encompassing Sorcerer's Sight</v>
      </c>
      <c r="C992" t="b">
        <f ca="1">OR(Values!$S$98&gt;=Charms!M992,IFERROR(Charms!J992=OFFSET(Values!$A$24,MATCH("S",Values!$T$25:$T$50,0),0),FALSE))</f>
        <v>0</v>
      </c>
      <c r="D992" t="b">
        <f>VLOOKUP(Charms!J992,Values!$A$11:$S$59,19,0)&gt;=Charms!L992</f>
        <v>0</v>
      </c>
      <c r="E992" t="e">
        <f>OR(ISBLANK(Charms!I992),(VLOOKUP(Values!$S$6,Castes!$B$2:$F$25,4,0)=Charms!I992))</f>
        <v>#N/A</v>
      </c>
      <c r="J992" t="e">
        <f t="shared" ca="1" si="76"/>
        <v>#N/A</v>
      </c>
      <c r="K992" s="18" t="e">
        <f t="shared" ca="1" si="75"/>
        <v>#N/A</v>
      </c>
      <c r="L992" t="e">
        <f ca="1">IF(J992,Charms!B992,"")</f>
        <v>#N/A</v>
      </c>
      <c r="M992" t="str">
        <f t="shared" ca="1" si="77"/>
        <v>-</v>
      </c>
      <c r="N992" s="18" t="str">
        <f t="shared" si="78"/>
        <v>K972:L1033</v>
      </c>
      <c r="O992" t="str">
        <f t="shared" si="79"/>
        <v>A972:A992</v>
      </c>
    </row>
    <row r="993" spans="1:15">
      <c r="A993" s="18" t="str">
        <f>Charms!K993</f>
        <v>Occult</v>
      </c>
      <c r="B993" t="str">
        <f>Charms!B993</f>
        <v>Carnal Spirit Rending</v>
      </c>
      <c r="C993" t="b">
        <f ca="1">OR(Values!$S$98&gt;=Charms!M993,IFERROR(Charms!J993=OFFSET(Values!$A$24,MATCH("S",Values!$T$25:$T$50,0),0),FALSE))</f>
        <v>0</v>
      </c>
      <c r="D993" t="b">
        <f>VLOOKUP(Charms!J993,Values!$A$11:$S$59,19,0)&gt;=Charms!L993</f>
        <v>0</v>
      </c>
      <c r="E993" t="e">
        <f>OR(ISBLANK(Charms!I993),(VLOOKUP(Values!$S$6,Castes!$B$2:$F$25,4,0)=Charms!I993))</f>
        <v>#N/A</v>
      </c>
      <c r="J993" t="e">
        <f t="shared" ca="1" si="76"/>
        <v>#N/A</v>
      </c>
      <c r="K993" s="18" t="e">
        <f t="shared" ca="1" si="75"/>
        <v>#N/A</v>
      </c>
      <c r="L993" t="e">
        <f ca="1">IF(J993,Charms!B993,"")</f>
        <v>#N/A</v>
      </c>
      <c r="M993" t="str">
        <f t="shared" ca="1" si="77"/>
        <v>-</v>
      </c>
      <c r="N993" s="18" t="str">
        <f t="shared" si="78"/>
        <v>K972:L1033</v>
      </c>
      <c r="O993" t="str">
        <f t="shared" si="79"/>
        <v>A972:A993</v>
      </c>
    </row>
    <row r="994" spans="1:15">
      <c r="A994" s="18" t="str">
        <f>Charms!K994</f>
        <v>Occult</v>
      </c>
      <c r="B994" t="str">
        <f>Charms!B994</f>
        <v>Burning Exorcism Technique</v>
      </c>
      <c r="C994" t="b">
        <f ca="1">OR(Values!$S$98&gt;=Charms!M994,IFERROR(Charms!J994=OFFSET(Values!$A$24,MATCH("S",Values!$T$25:$T$50,0),0),FALSE))</f>
        <v>0</v>
      </c>
      <c r="D994" t="b">
        <f>VLOOKUP(Charms!J994,Values!$A$11:$S$59,19,0)&gt;=Charms!L994</f>
        <v>0</v>
      </c>
      <c r="E994" t="e">
        <f>OR(ISBLANK(Charms!I994),(VLOOKUP(Values!$S$6,Castes!$B$2:$F$25,4,0)=Charms!I994))</f>
        <v>#N/A</v>
      </c>
      <c r="J994" t="e">
        <f t="shared" ca="1" si="76"/>
        <v>#N/A</v>
      </c>
      <c r="K994" s="18" t="e">
        <f t="shared" ca="1" si="75"/>
        <v>#N/A</v>
      </c>
      <c r="L994" t="e">
        <f ca="1">IF(J994,Charms!B994,"")</f>
        <v>#N/A</v>
      </c>
      <c r="M994" t="str">
        <f t="shared" ca="1" si="77"/>
        <v>-</v>
      </c>
      <c r="N994" s="18" t="str">
        <f t="shared" si="78"/>
        <v>K972:L1033</v>
      </c>
      <c r="O994" t="str">
        <f t="shared" si="79"/>
        <v>A972:A994</v>
      </c>
    </row>
    <row r="995" spans="1:15">
      <c r="A995" s="18" t="str">
        <f>Charms!K995</f>
        <v>Occult</v>
      </c>
      <c r="B995" t="str">
        <f>Charms!B995</f>
        <v>Burning Eye of the Deliverer</v>
      </c>
      <c r="C995" t="b">
        <f ca="1">OR(Values!$S$98&gt;=Charms!M995,IFERROR(Charms!J995=OFFSET(Values!$A$24,MATCH("S",Values!$T$25:$T$50,0),0),FALSE))</f>
        <v>0</v>
      </c>
      <c r="D995" t="b">
        <f>VLOOKUP(Charms!J995,Values!$A$11:$S$59,19,0)&gt;=Charms!L995</f>
        <v>0</v>
      </c>
      <c r="E995" t="e">
        <f>OR(ISBLANK(Charms!I995),(VLOOKUP(Values!$S$6,Castes!$B$2:$F$25,4,0)=Charms!I995))</f>
        <v>#N/A</v>
      </c>
      <c r="J995" t="e">
        <f t="shared" ca="1" si="76"/>
        <v>#N/A</v>
      </c>
      <c r="K995" s="18" t="e">
        <f t="shared" ca="1" si="75"/>
        <v>#N/A</v>
      </c>
      <c r="L995" t="e">
        <f ca="1">IF(J995,Charms!B995,"")</f>
        <v>#N/A</v>
      </c>
      <c r="M995" t="str">
        <f t="shared" ca="1" si="77"/>
        <v>-</v>
      </c>
      <c r="N995" s="18" t="str">
        <f t="shared" si="78"/>
        <v>K972:L1033</v>
      </c>
      <c r="O995" t="str">
        <f t="shared" si="79"/>
        <v>A972:A995</v>
      </c>
    </row>
    <row r="996" spans="1:15">
      <c r="A996" s="18" t="str">
        <f>Charms!K996</f>
        <v>Occult</v>
      </c>
      <c r="B996" t="str">
        <f>Charms!B996</f>
        <v>Soul Projection Method</v>
      </c>
      <c r="C996" t="b">
        <f ca="1">OR(Values!$S$98&gt;=Charms!M996,IFERROR(Charms!J996=OFFSET(Values!$A$24,MATCH("S",Values!$T$25:$T$50,0),0),FALSE))</f>
        <v>0</v>
      </c>
      <c r="D996" t="b">
        <f>VLOOKUP(Charms!J996,Values!$A$11:$S$59,19,0)&gt;=Charms!L996</f>
        <v>0</v>
      </c>
      <c r="E996" t="e">
        <f>OR(ISBLANK(Charms!I996),(VLOOKUP(Values!$S$6,Castes!$B$2:$F$25,4,0)=Charms!I996))</f>
        <v>#N/A</v>
      </c>
      <c r="J996" t="e">
        <f t="shared" ca="1" si="76"/>
        <v>#N/A</v>
      </c>
      <c r="K996" s="18" t="e">
        <f t="shared" ca="1" si="75"/>
        <v>#N/A</v>
      </c>
      <c r="L996" t="e">
        <f ca="1">IF(J996,Charms!B996,"")</f>
        <v>#N/A</v>
      </c>
      <c r="M996" t="str">
        <f t="shared" ca="1" si="77"/>
        <v>-</v>
      </c>
      <c r="N996" s="18" t="str">
        <f t="shared" si="78"/>
        <v>K972:L1033</v>
      </c>
      <c r="O996" t="str">
        <f t="shared" si="79"/>
        <v>A972:A996</v>
      </c>
    </row>
    <row r="997" spans="1:15">
      <c r="A997" s="18" t="str">
        <f>Charms!K997</f>
        <v>Occult</v>
      </c>
      <c r="B997" t="str">
        <f>Charms!B997</f>
        <v>Wyld-Binding Prana</v>
      </c>
      <c r="C997" t="b">
        <f ca="1">OR(Values!$S$98&gt;=Charms!M997,IFERROR(Charms!J997=OFFSET(Values!$A$24,MATCH("S",Values!$T$25:$T$50,0),0),FALSE))</f>
        <v>0</v>
      </c>
      <c r="D997" t="b">
        <f>VLOOKUP(Charms!J997,Values!$A$11:$S$59,19,0)&gt;=Charms!L997</f>
        <v>0</v>
      </c>
      <c r="E997" t="e">
        <f>OR(ISBLANK(Charms!I997),(VLOOKUP(Values!$S$6,Castes!$B$2:$F$25,4,0)=Charms!I997))</f>
        <v>#N/A</v>
      </c>
      <c r="J997" t="e">
        <f t="shared" ca="1" si="76"/>
        <v>#N/A</v>
      </c>
      <c r="K997" s="18" t="e">
        <f t="shared" ca="1" si="75"/>
        <v>#N/A</v>
      </c>
      <c r="L997" t="e">
        <f ca="1">IF(J997,Charms!B997,"")</f>
        <v>#N/A</v>
      </c>
      <c r="M997" t="str">
        <f t="shared" ca="1" si="77"/>
        <v>-</v>
      </c>
      <c r="N997" s="18" t="str">
        <f t="shared" si="78"/>
        <v>K972:L1033</v>
      </c>
      <c r="O997" t="str">
        <f t="shared" si="79"/>
        <v>A972:A997</v>
      </c>
    </row>
    <row r="998" spans="1:15">
      <c r="A998" s="18" t="str">
        <f>Charms!K998</f>
        <v>Occult</v>
      </c>
      <c r="B998" t="str">
        <f>Charms!B998</f>
        <v>Spirit-Draining Mudra</v>
      </c>
      <c r="C998" t="b">
        <f ca="1">OR(Values!$S$98&gt;=Charms!M998,IFERROR(Charms!J998=OFFSET(Values!$A$24,MATCH("S",Values!$T$25:$T$50,0),0),FALSE))</f>
        <v>0</v>
      </c>
      <c r="D998" t="b">
        <f>VLOOKUP(Charms!J998,Values!$A$11:$S$59,19,0)&gt;=Charms!L998</f>
        <v>0</v>
      </c>
      <c r="E998" t="e">
        <f>OR(ISBLANK(Charms!I998),(VLOOKUP(Values!$S$6,Castes!$B$2:$F$25,4,0)=Charms!I998))</f>
        <v>#N/A</v>
      </c>
      <c r="J998" t="e">
        <f t="shared" ca="1" si="76"/>
        <v>#N/A</v>
      </c>
      <c r="K998" s="18" t="e">
        <f t="shared" ca="1" si="75"/>
        <v>#N/A</v>
      </c>
      <c r="L998" t="e">
        <f ca="1">IF(J998,Charms!B998,"")</f>
        <v>#N/A</v>
      </c>
      <c r="M998" t="str">
        <f t="shared" ca="1" si="77"/>
        <v>-</v>
      </c>
      <c r="N998" s="18" t="str">
        <f t="shared" si="78"/>
        <v>K972:L1033</v>
      </c>
      <c r="O998" t="str">
        <f t="shared" si="79"/>
        <v>A972:A998</v>
      </c>
    </row>
    <row r="999" spans="1:15">
      <c r="A999" s="18" t="str">
        <f>Charms!K999</f>
        <v>Occult</v>
      </c>
      <c r="B999" t="str">
        <f>Charms!B999</f>
        <v>Demon-Compelling Noose</v>
      </c>
      <c r="C999" t="b">
        <f ca="1">OR(Values!$S$98&gt;=Charms!M999,IFERROR(Charms!J999=OFFSET(Values!$A$24,MATCH("S",Values!$T$25:$T$50,0),0),FALSE))</f>
        <v>0</v>
      </c>
      <c r="D999" t="b">
        <f>VLOOKUP(Charms!J999,Values!$A$11:$S$59,19,0)&gt;=Charms!L999</f>
        <v>0</v>
      </c>
      <c r="E999" t="e">
        <f>OR(ISBLANK(Charms!I999),(VLOOKUP(Values!$S$6,Castes!$B$2:$F$25,4,0)=Charms!I999))</f>
        <v>#N/A</v>
      </c>
      <c r="J999" t="e">
        <f t="shared" ca="1" si="76"/>
        <v>#N/A</v>
      </c>
      <c r="K999" s="18" t="e">
        <f t="shared" ca="1" si="75"/>
        <v>#N/A</v>
      </c>
      <c r="L999" t="e">
        <f ca="1">IF(J999,Charms!B999,"")</f>
        <v>#N/A</v>
      </c>
      <c r="M999" t="str">
        <f t="shared" ca="1" si="77"/>
        <v>-</v>
      </c>
      <c r="N999" s="18" t="str">
        <f t="shared" si="78"/>
        <v>K972:L1033</v>
      </c>
      <c r="O999" t="str">
        <f t="shared" si="79"/>
        <v>A972:A999</v>
      </c>
    </row>
    <row r="1000" spans="1:15">
      <c r="A1000" s="18" t="str">
        <f>Charms!K1000</f>
        <v>Occult</v>
      </c>
      <c r="B1000" t="str">
        <f>Charms!B1000</f>
        <v>All Souls Benediction</v>
      </c>
      <c r="C1000" t="b">
        <f ca="1">OR(Values!$S$98&gt;=Charms!M1000,IFERROR(Charms!J1000=OFFSET(Values!$A$24,MATCH("S",Values!$T$25:$T$50,0),0),FALSE))</f>
        <v>0</v>
      </c>
      <c r="D1000" t="b">
        <f>VLOOKUP(Charms!J1000,Values!$A$11:$S$59,19,0)&gt;=Charms!L1000</f>
        <v>0</v>
      </c>
      <c r="E1000" t="e">
        <f>OR(ISBLANK(Charms!I1000),(VLOOKUP(Values!$S$6,Castes!$B$2:$F$25,4,0)=Charms!I1000))</f>
        <v>#N/A</v>
      </c>
      <c r="J1000" t="e">
        <f t="shared" ca="1" si="76"/>
        <v>#N/A</v>
      </c>
      <c r="K1000" s="18" t="e">
        <f t="shared" ca="1" si="75"/>
        <v>#N/A</v>
      </c>
      <c r="L1000" t="e">
        <f ca="1">IF(J1000,Charms!B1000,"")</f>
        <v>#N/A</v>
      </c>
      <c r="M1000" t="str">
        <f t="shared" ca="1" si="77"/>
        <v>-</v>
      </c>
      <c r="N1000" s="18" t="str">
        <f t="shared" si="78"/>
        <v>K972:L1033</v>
      </c>
      <c r="O1000" t="str">
        <f t="shared" si="79"/>
        <v>A972:A1000</v>
      </c>
    </row>
    <row r="1001" spans="1:15">
      <c r="A1001" s="18" t="str">
        <f>Charms!K1001</f>
        <v>Occult</v>
      </c>
      <c r="B1001" t="str">
        <f>Charms!B1001</f>
        <v>Gloaming Eye Understanding</v>
      </c>
      <c r="C1001" t="b">
        <f ca="1">OR(Values!$S$98&gt;=Charms!M1001,IFERROR(Charms!J1001=OFFSET(Values!$A$24,MATCH("S",Values!$T$25:$T$50,0),0),FALSE))</f>
        <v>0</v>
      </c>
      <c r="D1001" t="b">
        <f>VLOOKUP(Charms!J1001,Values!$A$11:$S$59,19,0)&gt;=Charms!L1001</f>
        <v>0</v>
      </c>
      <c r="E1001" t="e">
        <f>OR(ISBLANK(Charms!I1001),(VLOOKUP(Values!$S$6,Castes!$B$2:$F$25,4,0)=Charms!I1001))</f>
        <v>#N/A</v>
      </c>
      <c r="J1001" t="e">
        <f t="shared" ca="1" si="76"/>
        <v>#N/A</v>
      </c>
      <c r="K1001" s="18" t="e">
        <f t="shared" ca="1" si="75"/>
        <v>#N/A</v>
      </c>
      <c r="L1001" t="e">
        <f ca="1">IF(J1001,Charms!B1001,"")</f>
        <v>#N/A</v>
      </c>
      <c r="M1001" t="str">
        <f t="shared" ca="1" si="77"/>
        <v>-</v>
      </c>
      <c r="N1001" s="18" t="str">
        <f t="shared" si="78"/>
        <v>K972:L1033</v>
      </c>
      <c r="O1001" t="str">
        <f t="shared" si="79"/>
        <v>A972:A1001</v>
      </c>
    </row>
    <row r="1002" spans="1:15">
      <c r="A1002" s="18" t="str">
        <f>Charms!K1002</f>
        <v>Occult</v>
      </c>
      <c r="B1002" t="str">
        <f>Charms!B1002</f>
        <v>Sorcerer's Burning Chakra</v>
      </c>
      <c r="C1002" t="b">
        <f ca="1">OR(Values!$S$98&gt;=Charms!M1002,IFERROR(Charms!J1002=OFFSET(Values!$A$24,MATCH("S",Values!$T$25:$T$50,0),0),FALSE))</f>
        <v>0</v>
      </c>
      <c r="D1002" t="b">
        <f>VLOOKUP(Charms!J1002,Values!$A$11:$S$59,19,0)&gt;=Charms!L1002</f>
        <v>0</v>
      </c>
      <c r="E1002" t="e">
        <f>OR(ISBLANK(Charms!I1002),(VLOOKUP(Values!$S$6,Castes!$B$2:$F$25,4,0)=Charms!I1002))</f>
        <v>#N/A</v>
      </c>
      <c r="J1002" t="e">
        <f t="shared" ca="1" si="76"/>
        <v>#N/A</v>
      </c>
      <c r="K1002" s="18" t="e">
        <f t="shared" ca="1" si="75"/>
        <v>#N/A</v>
      </c>
      <c r="L1002" t="e">
        <f ca="1">IF(J1002,Charms!B1002,"")</f>
        <v>#N/A</v>
      </c>
      <c r="M1002" t="str">
        <f t="shared" ca="1" si="77"/>
        <v>-</v>
      </c>
      <c r="N1002" s="18" t="str">
        <f t="shared" si="78"/>
        <v>K972:L1033</v>
      </c>
      <c r="O1002" t="str">
        <f t="shared" si="79"/>
        <v>A972:A1002</v>
      </c>
    </row>
    <row r="1003" spans="1:15">
      <c r="A1003" s="18" t="str">
        <f>Charms!K1003</f>
        <v>Occult</v>
      </c>
      <c r="B1003" t="str">
        <f>Charms!B1003</f>
        <v>Immortal Soul Vigil</v>
      </c>
      <c r="C1003" t="b">
        <f ca="1">OR(Values!$S$98&gt;=Charms!M1003,IFERROR(Charms!J1003=OFFSET(Values!$A$24,MATCH("S",Values!$T$25:$T$50,0),0),FALSE))</f>
        <v>0</v>
      </c>
      <c r="D1003" t="b">
        <f>VLOOKUP(Charms!J1003,Values!$A$11:$S$59,19,0)&gt;=Charms!L1003</f>
        <v>0</v>
      </c>
      <c r="E1003" t="e">
        <f>OR(ISBLANK(Charms!I1003),(VLOOKUP(Values!$S$6,Castes!$B$2:$F$25,4,0)=Charms!I1003))</f>
        <v>#N/A</v>
      </c>
      <c r="J1003" t="e">
        <f t="shared" ca="1" si="76"/>
        <v>#N/A</v>
      </c>
      <c r="K1003" s="18" t="e">
        <f t="shared" ca="1" si="75"/>
        <v>#N/A</v>
      </c>
      <c r="L1003" t="e">
        <f ca="1">IF(J1003,Charms!B1003,"")</f>
        <v>#N/A</v>
      </c>
      <c r="M1003" t="str">
        <f t="shared" ca="1" si="77"/>
        <v>-</v>
      </c>
      <c r="N1003" s="18" t="str">
        <f t="shared" si="78"/>
        <v>K972:L1033</v>
      </c>
      <c r="O1003" t="str">
        <f t="shared" si="79"/>
        <v>A972:A1003</v>
      </c>
    </row>
    <row r="1004" spans="1:15">
      <c r="A1004" s="18" t="str">
        <f>Charms!K1004</f>
        <v>Occult</v>
      </c>
      <c r="B1004" t="str">
        <f>Charms!B1004</f>
        <v>Spirit-Shredding Exorcism</v>
      </c>
      <c r="C1004" t="b">
        <f ca="1">OR(Values!$S$98&gt;=Charms!M1004,IFERROR(Charms!J1004=OFFSET(Values!$A$24,MATCH("S",Values!$T$25:$T$50,0),0),FALSE))</f>
        <v>0</v>
      </c>
      <c r="D1004" t="b">
        <f>VLOOKUP(Charms!J1004,Values!$A$11:$S$59,19,0)&gt;=Charms!L1004</f>
        <v>0</v>
      </c>
      <c r="E1004" t="e">
        <f>OR(ISBLANK(Charms!I1004),(VLOOKUP(Values!$S$6,Castes!$B$2:$F$25,4,0)=Charms!I1004))</f>
        <v>#N/A</v>
      </c>
      <c r="J1004" t="e">
        <f t="shared" ca="1" si="76"/>
        <v>#N/A</v>
      </c>
      <c r="K1004" s="18" t="e">
        <f t="shared" ca="1" si="75"/>
        <v>#N/A</v>
      </c>
      <c r="L1004" t="e">
        <f ca="1">IF(J1004,Charms!B1004,"")</f>
        <v>#N/A</v>
      </c>
      <c r="M1004" t="str">
        <f t="shared" ca="1" si="77"/>
        <v>-</v>
      </c>
      <c r="N1004" s="18" t="str">
        <f t="shared" si="78"/>
        <v>K972:L1033</v>
      </c>
      <c r="O1004" t="str">
        <f t="shared" si="79"/>
        <v>A972:A1004</v>
      </c>
    </row>
    <row r="1005" spans="1:15">
      <c r="A1005" s="18" t="str">
        <f>Charms!K1005</f>
        <v>Occult</v>
      </c>
      <c r="B1005" t="str">
        <f>Charms!B1005</f>
        <v>Spirit-Drawing Oculus</v>
      </c>
      <c r="C1005" t="b">
        <f ca="1">OR(Values!$S$98&gt;=Charms!M1005,IFERROR(Charms!J1005=OFFSET(Values!$A$24,MATCH("S",Values!$T$25:$T$50,0),0),FALSE))</f>
        <v>0</v>
      </c>
      <c r="D1005" t="b">
        <f>VLOOKUP(Charms!J1005,Values!$A$11:$S$59,19,0)&gt;=Charms!L1005</f>
        <v>0</v>
      </c>
      <c r="E1005" t="e">
        <f>OR(ISBLANK(Charms!I1005),(VLOOKUP(Values!$S$6,Castes!$B$2:$F$25,4,0)=Charms!I1005))</f>
        <v>#N/A</v>
      </c>
      <c r="J1005" t="e">
        <f t="shared" ca="1" si="76"/>
        <v>#N/A</v>
      </c>
      <c r="K1005" s="18" t="e">
        <f t="shared" ca="1" si="75"/>
        <v>#N/A</v>
      </c>
      <c r="L1005" t="e">
        <f ca="1">IF(J1005,Charms!B1005,"")</f>
        <v>#N/A</v>
      </c>
      <c r="M1005" t="str">
        <f t="shared" ca="1" si="77"/>
        <v>-</v>
      </c>
      <c r="N1005" s="18" t="str">
        <f t="shared" si="78"/>
        <v>K972:L1033</v>
      </c>
      <c r="O1005" t="str">
        <f t="shared" si="79"/>
        <v>A972:A1005</v>
      </c>
    </row>
    <row r="1006" spans="1:15">
      <c r="A1006" s="18" t="str">
        <f>Charms!K1006</f>
        <v>Occult</v>
      </c>
      <c r="B1006" t="str">
        <f>Charms!B1006</f>
        <v>Ephemeral Induction Technique</v>
      </c>
      <c r="C1006" t="b">
        <f ca="1">OR(Values!$S$98&gt;=Charms!M1006,IFERROR(Charms!J1006=OFFSET(Values!$A$24,MATCH("S",Values!$T$25:$T$50,0),0),FALSE))</f>
        <v>0</v>
      </c>
      <c r="D1006" t="b">
        <f>VLOOKUP(Charms!J1006,Values!$A$11:$S$59,19,0)&gt;=Charms!L1006</f>
        <v>0</v>
      </c>
      <c r="E1006" t="e">
        <f>OR(ISBLANK(Charms!I1006),(VLOOKUP(Values!$S$6,Castes!$B$2:$F$25,4,0)=Charms!I1006))</f>
        <v>#N/A</v>
      </c>
      <c r="J1006" t="e">
        <f t="shared" ca="1" si="76"/>
        <v>#N/A</v>
      </c>
      <c r="K1006" s="18" t="e">
        <f t="shared" ca="1" si="75"/>
        <v>#N/A</v>
      </c>
      <c r="L1006" t="e">
        <f ca="1">IF(J1006,Charms!B1006,"")</f>
        <v>#N/A</v>
      </c>
      <c r="M1006" t="str">
        <f t="shared" ca="1" si="77"/>
        <v>-</v>
      </c>
      <c r="N1006" s="18" t="str">
        <f t="shared" si="78"/>
        <v>K972:L1033</v>
      </c>
      <c r="O1006" t="str">
        <f t="shared" si="79"/>
        <v>A972:A1006</v>
      </c>
    </row>
    <row r="1007" spans="1:15">
      <c r="A1007" s="18" t="str">
        <f>Charms!K1007</f>
        <v>Occult</v>
      </c>
      <c r="B1007" t="str">
        <f>Charms!B1007</f>
        <v>Solar Circle Sorcery</v>
      </c>
      <c r="C1007" t="b">
        <f ca="1">OR(Values!$S$98&gt;=Charms!M1007,IFERROR(Charms!J1007=OFFSET(Values!$A$24,MATCH("S",Values!$T$25:$T$50,0),0),FALSE))</f>
        <v>0</v>
      </c>
      <c r="D1007" t="b">
        <f>VLOOKUP(Charms!J1007,Values!$A$11:$S$59,19,0)&gt;=Charms!L1007</f>
        <v>0</v>
      </c>
      <c r="E1007" t="e">
        <f>OR(ISBLANK(Charms!I1007),(VLOOKUP(Values!$S$6,Castes!$B$2:$F$25,4,0)=Charms!I1007))</f>
        <v>#N/A</v>
      </c>
      <c r="J1007" t="e">
        <f t="shared" ca="1" si="76"/>
        <v>#N/A</v>
      </c>
      <c r="K1007" s="18" t="e">
        <f t="shared" ca="1" si="75"/>
        <v>#N/A</v>
      </c>
      <c r="L1007" t="e">
        <f ca="1">IF(J1007,Charms!B1007,"")</f>
        <v>#N/A</v>
      </c>
      <c r="M1007" t="str">
        <f t="shared" ca="1" si="77"/>
        <v>-</v>
      </c>
      <c r="N1007" s="18" t="str">
        <f t="shared" si="78"/>
        <v>K972:L1033</v>
      </c>
      <c r="O1007" t="str">
        <f t="shared" si="79"/>
        <v>A972:A1007</v>
      </c>
    </row>
    <row r="1008" spans="1:15">
      <c r="A1008" s="18" t="str">
        <f>Charms!K1008</f>
        <v>Occult</v>
      </c>
      <c r="B1008" t="str">
        <f>Charms!B1008</f>
        <v>Six Eternities’ Travail</v>
      </c>
      <c r="C1008" t="b">
        <f ca="1">OR(Values!$S$98&gt;=Charms!M1008,IFERROR(Charms!J1008=OFFSET(Values!$A$24,MATCH("S",Values!$T$25:$T$50,0),0),FALSE))</f>
        <v>0</v>
      </c>
      <c r="D1008" t="b">
        <f>VLOOKUP(Charms!J1008,Values!$A$11:$S$59,19,0)&gt;=Charms!L1008</f>
        <v>0</v>
      </c>
      <c r="E1008" t="e">
        <f>OR(ISBLANK(Charms!I1008),(VLOOKUP(Values!$S$6,Castes!$B$2:$F$25,4,0)=Charms!I1008))</f>
        <v>#N/A</v>
      </c>
      <c r="J1008" t="e">
        <f t="shared" ca="1" si="76"/>
        <v>#N/A</v>
      </c>
      <c r="K1008" s="18" t="e">
        <f t="shared" ca="1" si="75"/>
        <v>#N/A</v>
      </c>
      <c r="L1008" t="e">
        <f ca="1">IF(J1008,Charms!B1008,"")</f>
        <v>#N/A</v>
      </c>
      <c r="M1008" t="str">
        <f t="shared" ca="1" si="77"/>
        <v>-</v>
      </c>
      <c r="N1008" s="18" t="str">
        <f t="shared" si="78"/>
        <v>K972:L1033</v>
      </c>
      <c r="O1008" t="str">
        <f t="shared" si="79"/>
        <v>A972:A1008</v>
      </c>
    </row>
    <row r="1009" spans="1:15">
      <c r="A1009" s="18" t="str">
        <f>Charms!K1009</f>
        <v>Occult</v>
      </c>
      <c r="B1009" t="str">
        <f>Charms!B1009</f>
        <v>Anima-Suffused Spirit</v>
      </c>
      <c r="C1009" t="b">
        <f ca="1">OR(Values!$S$98&gt;=Charms!M1009,IFERROR(Charms!J1009=OFFSET(Values!$A$24,MATCH("S",Values!$T$25:$T$50,0),0),FALSE))</f>
        <v>0</v>
      </c>
      <c r="D1009" t="b">
        <f>VLOOKUP(Charms!J1009,Values!$A$11:$S$59,19,0)&gt;=Charms!L1009</f>
        <v>0</v>
      </c>
      <c r="E1009" t="e">
        <f>OR(ISBLANK(Charms!I1009),(VLOOKUP(Values!$S$6,Castes!$B$2:$F$25,4,0)=Charms!I1009))</f>
        <v>#N/A</v>
      </c>
      <c r="J1009" t="e">
        <f t="shared" ca="1" si="76"/>
        <v>#N/A</v>
      </c>
      <c r="K1009" s="18" t="e">
        <f t="shared" ca="1" si="75"/>
        <v>#N/A</v>
      </c>
      <c r="L1009" t="e">
        <f ca="1">IF(J1009,Charms!B1009,"")</f>
        <v>#N/A</v>
      </c>
      <c r="M1009" t="str">
        <f t="shared" ca="1" si="77"/>
        <v>-</v>
      </c>
      <c r="N1009" s="18" t="str">
        <f t="shared" si="78"/>
        <v>K972:L1033</v>
      </c>
      <c r="O1009" t="str">
        <f t="shared" si="79"/>
        <v>A972:A1009</v>
      </c>
    </row>
    <row r="1010" spans="1:15">
      <c r="A1010" s="18" t="str">
        <f>Charms!K1010</f>
        <v>Occult</v>
      </c>
      <c r="B1010" t="str">
        <f>Charms!B1010</f>
        <v>What Light Reveals (Living Specter’s Flame)</v>
      </c>
      <c r="C1010" t="b">
        <f ca="1">OR(Values!$S$98&gt;=Charms!M1010,IFERROR(Charms!J1010=OFFSET(Values!$A$24,MATCH("S",Values!$T$25:$T$50,0),0),FALSE))</f>
        <v>0</v>
      </c>
      <c r="D1010" t="b">
        <f>VLOOKUP(Charms!J1010,Values!$A$11:$S$59,19,0)&gt;=Charms!L1010</f>
        <v>0</v>
      </c>
      <c r="E1010" t="e">
        <f>OR(ISBLANK(Charms!I1010),(VLOOKUP(Values!$S$6,Castes!$B$2:$F$25,4,0)=Charms!I1010))</f>
        <v>#N/A</v>
      </c>
      <c r="J1010" t="e">
        <f t="shared" ca="1" si="76"/>
        <v>#N/A</v>
      </c>
      <c r="K1010" s="18" t="e">
        <f t="shared" ca="1" si="75"/>
        <v>#N/A</v>
      </c>
      <c r="L1010" t="e">
        <f ca="1">IF(J1010,Charms!B1010,"")</f>
        <v>#N/A</v>
      </c>
      <c r="M1010" t="str">
        <f t="shared" ca="1" si="77"/>
        <v>-</v>
      </c>
      <c r="N1010" s="18" t="str">
        <f t="shared" si="78"/>
        <v>K972:L1033</v>
      </c>
      <c r="O1010" t="str">
        <f t="shared" si="79"/>
        <v>A972:A1010</v>
      </c>
    </row>
    <row r="1011" spans="1:15">
      <c r="A1011" s="18" t="str">
        <f>Charms!K1011</f>
        <v>Occult</v>
      </c>
      <c r="B1011" t="str">
        <f>Charms!B1011</f>
        <v>Hidden Secrets Whisper</v>
      </c>
      <c r="C1011" t="b">
        <f ca="1">OR(Values!$S$98&gt;=Charms!M1011,IFERROR(Charms!J1011=OFFSET(Values!$A$24,MATCH("S",Values!$T$25:$T$50,0),0),FALSE))</f>
        <v>1</v>
      </c>
      <c r="D1011" t="b">
        <f>VLOOKUP(Charms!J1011,Values!$A$11:$S$59,19,0)&gt;=Charms!L1011</f>
        <v>0</v>
      </c>
      <c r="E1011" t="e">
        <f>OR(ISBLANK(Charms!I1011),(VLOOKUP(Values!$S$6,Castes!$B$2:$F$25,4,0)=Charms!I1011))</f>
        <v>#N/A</v>
      </c>
      <c r="J1011" t="e">
        <f t="shared" ca="1" si="76"/>
        <v>#N/A</v>
      </c>
      <c r="K1011" s="18" t="e">
        <f t="shared" ca="1" si="75"/>
        <v>#N/A</v>
      </c>
      <c r="L1011" t="e">
        <f ca="1">IF(J1011,Charms!B1011,"")</f>
        <v>#N/A</v>
      </c>
      <c r="M1011" t="str">
        <f t="shared" ca="1" si="77"/>
        <v>-</v>
      </c>
      <c r="N1011" s="18" t="str">
        <f t="shared" si="78"/>
        <v>K972:L1033</v>
      </c>
      <c r="O1011" t="str">
        <f t="shared" si="79"/>
        <v>A972:A1011</v>
      </c>
    </row>
    <row r="1012" spans="1:15">
      <c r="A1012" s="18" t="str">
        <f>Charms!K1012</f>
        <v>Occult</v>
      </c>
      <c r="B1012" t="str">
        <f>Charms!B1012</f>
        <v>Spirit-Detecting Mirror Technique</v>
      </c>
      <c r="C1012" t="b">
        <f ca="1">OR(Values!$S$98&gt;=Charms!M1012,IFERROR(Charms!J1012=OFFSET(Values!$A$24,MATCH("S",Values!$T$25:$T$50,0),0),FALSE))</f>
        <v>1</v>
      </c>
      <c r="D1012" t="b">
        <f>VLOOKUP(Charms!J1012,Values!$A$11:$S$59,19,0)&gt;=Charms!L1012</f>
        <v>0</v>
      </c>
      <c r="E1012" t="e">
        <f>OR(ISBLANK(Charms!I1012),(VLOOKUP(Values!$S$6,Castes!$B$2:$F$25,4,0)=Charms!I1012))</f>
        <v>#N/A</v>
      </c>
      <c r="J1012" t="e">
        <f t="shared" ca="1" si="76"/>
        <v>#N/A</v>
      </c>
      <c r="K1012" s="18" t="e">
        <f t="shared" ca="1" si="75"/>
        <v>#N/A</v>
      </c>
      <c r="L1012" t="e">
        <f ca="1">IF(J1012,Charms!B1012,"")</f>
        <v>#N/A</v>
      </c>
      <c r="M1012" t="str">
        <f t="shared" ca="1" si="77"/>
        <v>-</v>
      </c>
      <c r="N1012" s="18" t="str">
        <f t="shared" si="78"/>
        <v>K972:L1033</v>
      </c>
      <c r="O1012" t="str">
        <f t="shared" si="79"/>
        <v>A972:A1012</v>
      </c>
    </row>
    <row r="1013" spans="1:15">
      <c r="A1013" s="18" t="str">
        <f>Charms!K1013</f>
        <v>Occult</v>
      </c>
      <c r="B1013" t="str">
        <f>Charms!B1013</f>
        <v>Soul-Fire Cremation Technique</v>
      </c>
      <c r="C1013" t="b">
        <f ca="1">OR(Values!$S$98&gt;=Charms!M1013,IFERROR(Charms!J1013=OFFSET(Values!$A$24,MATCH("S",Values!$T$25:$T$50,0),0),FALSE))</f>
        <v>1</v>
      </c>
      <c r="D1013" t="b">
        <f>VLOOKUP(Charms!J1013,Values!$A$11:$S$59,19,0)&gt;=Charms!L1013</f>
        <v>0</v>
      </c>
      <c r="E1013" t="e">
        <f>OR(ISBLANK(Charms!I1013),(VLOOKUP(Values!$S$6,Castes!$B$2:$F$25,4,0)=Charms!I1013))</f>
        <v>#N/A</v>
      </c>
      <c r="J1013" t="e">
        <f t="shared" ca="1" si="76"/>
        <v>#N/A</v>
      </c>
      <c r="K1013" s="18" t="e">
        <f t="shared" ca="1" si="75"/>
        <v>#N/A</v>
      </c>
      <c r="L1013" t="e">
        <f ca="1">IF(J1013,Charms!B1013,"")</f>
        <v>#N/A</v>
      </c>
      <c r="M1013" t="str">
        <f t="shared" ca="1" si="77"/>
        <v>-</v>
      </c>
      <c r="N1013" s="18" t="str">
        <f t="shared" si="78"/>
        <v>K972:L1033</v>
      </c>
      <c r="O1013" t="str">
        <f t="shared" si="79"/>
        <v>A972:A1013</v>
      </c>
    </row>
    <row r="1014" spans="1:15">
      <c r="A1014" s="18" t="str">
        <f>Charms!K1014</f>
        <v>Occult</v>
      </c>
      <c r="B1014" t="str">
        <f>Charms!B1014</f>
        <v>Spirit-Grounding Shout</v>
      </c>
      <c r="C1014" t="b">
        <f ca="1">OR(Values!$S$98&gt;=Charms!M1014,IFERROR(Charms!J1014=OFFSET(Values!$A$24,MATCH("S",Values!$T$25:$T$50,0),0),FALSE))</f>
        <v>1</v>
      </c>
      <c r="D1014" t="b">
        <f>VLOOKUP(Charms!J1014,Values!$A$11:$S$59,19,0)&gt;=Charms!L1014</f>
        <v>0</v>
      </c>
      <c r="E1014" t="e">
        <f>OR(ISBLANK(Charms!I1014),(VLOOKUP(Values!$S$6,Castes!$B$2:$F$25,4,0)=Charms!I1014))</f>
        <v>#N/A</v>
      </c>
      <c r="J1014" t="e">
        <f t="shared" ca="1" si="76"/>
        <v>#N/A</v>
      </c>
      <c r="K1014" s="18" t="e">
        <f t="shared" ca="1" si="75"/>
        <v>#N/A</v>
      </c>
      <c r="L1014" t="e">
        <f ca="1">IF(J1014,Charms!B1014,"")</f>
        <v>#N/A</v>
      </c>
      <c r="M1014" t="str">
        <f t="shared" ca="1" si="77"/>
        <v>-</v>
      </c>
      <c r="N1014" s="18" t="str">
        <f t="shared" si="78"/>
        <v>K972:L1033</v>
      </c>
      <c r="O1014" t="str">
        <f t="shared" si="79"/>
        <v>A972:A1014</v>
      </c>
    </row>
    <row r="1015" spans="1:15">
      <c r="A1015" s="18" t="str">
        <f>Charms!K1015</f>
        <v>Occult</v>
      </c>
      <c r="B1015" t="str">
        <f>Charms!B1015</f>
        <v>Seed and Salt Warding</v>
      </c>
      <c r="C1015" t="b">
        <f ca="1">OR(Values!$S$98&gt;=Charms!M1015,IFERROR(Charms!J1015=OFFSET(Values!$A$24,MATCH("S",Values!$T$25:$T$50,0),0),FALSE))</f>
        <v>1</v>
      </c>
      <c r="D1015" t="b">
        <f>VLOOKUP(Charms!J1015,Values!$A$11:$S$59,19,0)&gt;=Charms!L1015</f>
        <v>0</v>
      </c>
      <c r="E1015" t="e">
        <f>OR(ISBLANK(Charms!I1015),(VLOOKUP(Values!$S$6,Castes!$B$2:$F$25,4,0)=Charms!I1015))</f>
        <v>#N/A</v>
      </c>
      <c r="J1015" t="e">
        <f t="shared" ca="1" si="76"/>
        <v>#N/A</v>
      </c>
      <c r="K1015" s="18" t="e">
        <f t="shared" ca="1" si="75"/>
        <v>#N/A</v>
      </c>
      <c r="L1015" t="e">
        <f ca="1">IF(J1015,Charms!B1015,"")</f>
        <v>#N/A</v>
      </c>
      <c r="M1015" t="str">
        <f t="shared" ca="1" si="77"/>
        <v>-</v>
      </c>
      <c r="N1015" s="18" t="str">
        <f t="shared" si="78"/>
        <v>K972:L1033</v>
      </c>
      <c r="O1015" t="str">
        <f t="shared" si="79"/>
        <v>A972:A1015</v>
      </c>
    </row>
    <row r="1016" spans="1:15">
      <c r="A1016" s="18" t="str">
        <f>Charms!K1016</f>
        <v>Occult</v>
      </c>
      <c r="B1016" t="str">
        <f>Charms!B1016</f>
        <v>Fivefold Resonance Sense</v>
      </c>
      <c r="C1016" t="b">
        <f ca="1">OR(Values!$S$98&gt;=Charms!M1016,IFERROR(Charms!J1016=OFFSET(Values!$A$24,MATCH("S",Values!$T$25:$T$50,0),0),FALSE))</f>
        <v>0</v>
      </c>
      <c r="D1016" t="b">
        <f>VLOOKUP(Charms!J1016,Values!$A$11:$S$59,19,0)&gt;=Charms!L1016</f>
        <v>0</v>
      </c>
      <c r="E1016" t="e">
        <f>OR(ISBLANK(Charms!I1016),(VLOOKUP(Values!$S$6,Castes!$B$2:$F$25,4,0)=Charms!I1016))</f>
        <v>#N/A</v>
      </c>
      <c r="J1016" t="e">
        <f t="shared" ca="1" si="76"/>
        <v>#N/A</v>
      </c>
      <c r="K1016" s="18" t="e">
        <f t="shared" ca="1" si="75"/>
        <v>#N/A</v>
      </c>
      <c r="L1016" t="e">
        <f ca="1">IF(J1016,Charms!B1016,"")</f>
        <v>#N/A</v>
      </c>
      <c r="M1016" t="str">
        <f t="shared" ca="1" si="77"/>
        <v>-</v>
      </c>
      <c r="N1016" s="18" t="str">
        <f t="shared" si="78"/>
        <v>K972:L1033</v>
      </c>
      <c r="O1016" t="str">
        <f t="shared" si="79"/>
        <v>A972:A1016</v>
      </c>
    </row>
    <row r="1017" spans="1:15">
      <c r="A1017" s="18" t="str">
        <f>Charms!K1017</f>
        <v>Occult</v>
      </c>
      <c r="B1017" t="str">
        <f>Charms!B1017</f>
        <v>Secret Wind Revelation</v>
      </c>
      <c r="C1017" t="b">
        <f ca="1">OR(Values!$S$98&gt;=Charms!M1017,IFERROR(Charms!J1017=OFFSET(Values!$A$24,MATCH("S",Values!$T$25:$T$50,0),0),FALSE))</f>
        <v>1</v>
      </c>
      <c r="D1017" t="b">
        <f>VLOOKUP(Charms!J1017,Values!$A$11:$S$59,19,0)&gt;=Charms!L1017</f>
        <v>0</v>
      </c>
      <c r="E1017" t="e">
        <f>OR(ISBLANK(Charms!I1017),(VLOOKUP(Values!$S$6,Castes!$B$2:$F$25,4,0)=Charms!I1017))</f>
        <v>#N/A</v>
      </c>
      <c r="J1017" t="e">
        <f t="shared" ca="1" si="76"/>
        <v>#N/A</v>
      </c>
      <c r="K1017" s="18" t="e">
        <f t="shared" ca="1" si="75"/>
        <v>#N/A</v>
      </c>
      <c r="L1017" t="e">
        <f ca="1">IF(J1017,Charms!B1017,"")</f>
        <v>#N/A</v>
      </c>
      <c r="M1017" t="str">
        <f t="shared" ca="1" si="77"/>
        <v>-</v>
      </c>
      <c r="N1017" s="18" t="str">
        <f t="shared" si="78"/>
        <v>K972:L1033</v>
      </c>
      <c r="O1017" t="str">
        <f t="shared" si="79"/>
        <v>A972:A1017</v>
      </c>
    </row>
    <row r="1018" spans="1:15">
      <c r="A1018" s="18" t="str">
        <f>Charms!K1018</f>
        <v>Occult</v>
      </c>
      <c r="B1018" t="str">
        <f>Charms!B1018</f>
        <v>Dragon’s Sacred Talon</v>
      </c>
      <c r="C1018" t="b">
        <f ca="1">OR(Values!$S$98&gt;=Charms!M1018,IFERROR(Charms!J1018=OFFSET(Values!$A$24,MATCH("S",Values!$T$25:$T$50,0),0),FALSE))</f>
        <v>0</v>
      </c>
      <c r="D1018" t="b">
        <f>VLOOKUP(Charms!J1018,Values!$A$11:$S$59,19,0)&gt;=Charms!L1018</f>
        <v>0</v>
      </c>
      <c r="E1018" t="e">
        <f>OR(ISBLANK(Charms!I1018),(VLOOKUP(Values!$S$6,Castes!$B$2:$F$25,4,0)=Charms!I1018))</f>
        <v>#N/A</v>
      </c>
      <c r="J1018" t="e">
        <f t="shared" ca="1" si="76"/>
        <v>#N/A</v>
      </c>
      <c r="K1018" s="18" t="e">
        <f t="shared" ca="1" si="75"/>
        <v>#N/A</v>
      </c>
      <c r="L1018" t="e">
        <f ca="1">IF(J1018,Charms!B1018,"")</f>
        <v>#N/A</v>
      </c>
      <c r="M1018" t="str">
        <f t="shared" ca="1" si="77"/>
        <v>-</v>
      </c>
      <c r="N1018" s="18" t="str">
        <f t="shared" si="78"/>
        <v>K972:L1033</v>
      </c>
      <c r="O1018" t="str">
        <f t="shared" si="79"/>
        <v>A972:A1018</v>
      </c>
    </row>
    <row r="1019" spans="1:15">
      <c r="A1019" s="18" t="str">
        <f>Charms!K1019</f>
        <v>Occult</v>
      </c>
      <c r="B1019" t="str">
        <f>Charms!B1019</f>
        <v>Spirit-Chaining Strike</v>
      </c>
      <c r="C1019" t="b">
        <f ca="1">OR(Values!$S$98&gt;=Charms!M1019,IFERROR(Charms!J1019=OFFSET(Values!$A$24,MATCH("S",Values!$T$25:$T$50,0),0),FALSE))</f>
        <v>0</v>
      </c>
      <c r="D1019" t="b">
        <f>VLOOKUP(Charms!J1019,Values!$A$11:$S$59,19,0)&gt;=Charms!L1019</f>
        <v>0</v>
      </c>
      <c r="E1019" t="e">
        <f>OR(ISBLANK(Charms!I1019),(VLOOKUP(Values!$S$6,Castes!$B$2:$F$25,4,0)=Charms!I1019))</f>
        <v>#N/A</v>
      </c>
      <c r="J1019" t="e">
        <f t="shared" ca="1" si="76"/>
        <v>#N/A</v>
      </c>
      <c r="K1019" s="18" t="e">
        <f t="shared" ca="1" si="75"/>
        <v>#N/A</v>
      </c>
      <c r="L1019" t="e">
        <f ca="1">IF(J1019,Charms!B1019,"")</f>
        <v>#N/A</v>
      </c>
      <c r="M1019" t="str">
        <f t="shared" ca="1" si="77"/>
        <v>-</v>
      </c>
      <c r="N1019" s="18" t="str">
        <f t="shared" si="78"/>
        <v>K972:L1033</v>
      </c>
      <c r="O1019" t="str">
        <f t="shared" si="79"/>
        <v>A972:A1019</v>
      </c>
    </row>
    <row r="1020" spans="1:15">
      <c r="A1020" s="18" t="str">
        <f>Charms!K1020</f>
        <v>Occult</v>
      </c>
      <c r="B1020" t="str">
        <f>Charms!B1020</f>
        <v>Terrestrial Circle Sorcery</v>
      </c>
      <c r="C1020" t="b">
        <f ca="1">OR(Values!$S$98&gt;=Charms!M1020,IFERROR(Charms!J1020=OFFSET(Values!$A$24,MATCH("S",Values!$T$25:$T$50,0),0),FALSE))</f>
        <v>1</v>
      </c>
      <c r="D1020" t="b">
        <f>VLOOKUP(Charms!J1020,Values!$A$11:$S$59,19,0)&gt;=Charms!L1020</f>
        <v>0</v>
      </c>
      <c r="E1020" t="e">
        <f>OR(ISBLANK(Charms!I1020),(VLOOKUP(Values!$S$6,Castes!$B$2:$F$25,4,0)=Charms!I1020))</f>
        <v>#N/A</v>
      </c>
      <c r="J1020" t="e">
        <f t="shared" ca="1" si="76"/>
        <v>#N/A</v>
      </c>
      <c r="K1020" s="18" t="e">
        <f t="shared" ca="1" si="75"/>
        <v>#N/A</v>
      </c>
      <c r="L1020" t="e">
        <f ca="1">IF(J1020,Charms!B1020,"")</f>
        <v>#N/A</v>
      </c>
      <c r="M1020" t="str">
        <f t="shared" ca="1" si="77"/>
        <v>-</v>
      </c>
      <c r="N1020" s="18" t="str">
        <f t="shared" si="78"/>
        <v>K972:L1033</v>
      </c>
      <c r="O1020" t="str">
        <f t="shared" si="79"/>
        <v>A972:A1020</v>
      </c>
    </row>
    <row r="1021" spans="1:15">
      <c r="A1021" s="18" t="str">
        <f>Charms!K1021</f>
        <v>Occult</v>
      </c>
      <c r="B1021" t="str">
        <f>Charms!B1021</f>
        <v>Blazing Purification Chant</v>
      </c>
      <c r="C1021" t="b">
        <f ca="1">OR(Values!$S$98&gt;=Charms!M1021,IFERROR(Charms!J1021=OFFSET(Values!$A$24,MATCH("S",Values!$T$25:$T$50,0),0),FALSE))</f>
        <v>0</v>
      </c>
      <c r="D1021" t="b">
        <f>VLOOKUP(Charms!J1021,Values!$A$11:$S$59,19,0)&gt;=Charms!L1021</f>
        <v>0</v>
      </c>
      <c r="E1021" t="e">
        <f>OR(ISBLANK(Charms!I1021),(VLOOKUP(Values!$S$6,Castes!$B$2:$F$25,4,0)=Charms!I1021))</f>
        <v>#N/A</v>
      </c>
      <c r="J1021" t="e">
        <f t="shared" ca="1" si="76"/>
        <v>#N/A</v>
      </c>
      <c r="K1021" s="18" t="e">
        <f t="shared" ca="1" si="75"/>
        <v>#N/A</v>
      </c>
      <c r="L1021" t="e">
        <f ca="1">IF(J1021,Charms!B1021,"")</f>
        <v>#N/A</v>
      </c>
      <c r="M1021" t="str">
        <f t="shared" ca="1" si="77"/>
        <v>-</v>
      </c>
      <c r="N1021" s="18" t="str">
        <f t="shared" si="78"/>
        <v>K972:L1033</v>
      </c>
      <c r="O1021" t="str">
        <f t="shared" si="79"/>
        <v>A972:A1021</v>
      </c>
    </row>
    <row r="1022" spans="1:15">
      <c r="A1022" s="18" t="str">
        <f>Charms!K1022</f>
        <v>Occult</v>
      </c>
      <c r="B1022" t="str">
        <f>Charms!B1022</f>
        <v>Spirit-Shredding Attack</v>
      </c>
      <c r="C1022" t="b">
        <f ca="1">OR(Values!$S$98&gt;=Charms!M1022,IFERROR(Charms!J1022=OFFSET(Values!$A$24,MATCH("S",Values!$T$25:$T$50,0),0),FALSE))</f>
        <v>0</v>
      </c>
      <c r="D1022" t="b">
        <f>VLOOKUP(Charms!J1022,Values!$A$11:$S$59,19,0)&gt;=Charms!L1022</f>
        <v>0</v>
      </c>
      <c r="E1022" t="e">
        <f>OR(ISBLANK(Charms!I1022),(VLOOKUP(Values!$S$6,Castes!$B$2:$F$25,4,0)=Charms!I1022))</f>
        <v>#N/A</v>
      </c>
      <c r="J1022" t="e">
        <f t="shared" ca="1" si="76"/>
        <v>#N/A</v>
      </c>
      <c r="K1022" s="18" t="e">
        <f t="shared" ca="1" si="75"/>
        <v>#N/A</v>
      </c>
      <c r="L1022" t="e">
        <f ca="1">IF(J1022,Charms!B1022,"")</f>
        <v>#N/A</v>
      </c>
      <c r="M1022" t="str">
        <f t="shared" ca="1" si="77"/>
        <v>-</v>
      </c>
      <c r="N1022" s="18" t="str">
        <f t="shared" si="78"/>
        <v>K972:L1033</v>
      </c>
      <c r="O1022" t="str">
        <f t="shared" si="79"/>
        <v>A972:A1022</v>
      </c>
    </row>
    <row r="1023" spans="1:15">
      <c r="A1023" s="18" t="str">
        <f>Charms!K1023</f>
        <v>Occult</v>
      </c>
      <c r="B1023" t="str">
        <f>Charms!B1023</f>
        <v>Hundred Devils Whirlwind</v>
      </c>
      <c r="C1023" t="b">
        <f ca="1">OR(Values!$S$98&gt;=Charms!M1023,IFERROR(Charms!J1023=OFFSET(Values!$A$24,MATCH("S",Values!$T$25:$T$50,0),0),FALSE))</f>
        <v>0</v>
      </c>
      <c r="D1023" t="b">
        <f>VLOOKUP(Charms!J1023,Values!$A$11:$S$59,19,0)&gt;=Charms!L1023</f>
        <v>0</v>
      </c>
      <c r="E1023" t="e">
        <f>OR(ISBLANK(Charms!I1023),(VLOOKUP(Values!$S$6,Castes!$B$2:$F$25,4,0)=Charms!I1023))</f>
        <v>#N/A</v>
      </c>
      <c r="J1023" t="e">
        <f t="shared" ca="1" si="76"/>
        <v>#N/A</v>
      </c>
      <c r="K1023" s="18" t="e">
        <f t="shared" ca="1" si="75"/>
        <v>#N/A</v>
      </c>
      <c r="L1023" t="e">
        <f ca="1">IF(J1023,Charms!B1023,"")</f>
        <v>#N/A</v>
      </c>
      <c r="M1023" t="str">
        <f t="shared" ca="1" si="77"/>
        <v>-</v>
      </c>
      <c r="N1023" s="18" t="str">
        <f t="shared" si="78"/>
        <v>K972:L1033</v>
      </c>
      <c r="O1023" t="str">
        <f t="shared" si="79"/>
        <v>A972:A1023</v>
      </c>
    </row>
    <row r="1024" spans="1:15">
      <c r="A1024" s="18" t="str">
        <f>Charms!K1024</f>
        <v>Occult</v>
      </c>
      <c r="B1024" t="str">
        <f>Charms!B1024</f>
        <v>Sage of Iron Meditation</v>
      </c>
      <c r="C1024" t="b">
        <f ca="1">OR(Values!$S$98&gt;=Charms!M1024,IFERROR(Charms!J1024=OFFSET(Values!$A$24,MATCH("S",Values!$T$25:$T$50,0),0),FALSE))</f>
        <v>0</v>
      </c>
      <c r="D1024" t="b">
        <f>VLOOKUP(Charms!J1024,Values!$A$11:$S$59,19,0)&gt;=Charms!L1024</f>
        <v>0</v>
      </c>
      <c r="E1024" t="e">
        <f>OR(ISBLANK(Charms!I1024),(VLOOKUP(Values!$S$6,Castes!$B$2:$F$25,4,0)=Charms!I1024))</f>
        <v>#N/A</v>
      </c>
      <c r="J1024" t="e">
        <f t="shared" ca="1" si="76"/>
        <v>#N/A</v>
      </c>
      <c r="K1024" s="18" t="e">
        <f t="shared" ca="1" si="75"/>
        <v>#N/A</v>
      </c>
      <c r="L1024" t="e">
        <f ca="1">IF(J1024,Charms!B1024,"")</f>
        <v>#N/A</v>
      </c>
      <c r="M1024" t="str">
        <f t="shared" ca="1" si="77"/>
        <v>-</v>
      </c>
      <c r="N1024" s="18" t="str">
        <f t="shared" si="78"/>
        <v>K972:L1033</v>
      </c>
      <c r="O1024" t="str">
        <f t="shared" si="79"/>
        <v>A972:A1024</v>
      </c>
    </row>
    <row r="1025" spans="1:15">
      <c r="A1025" s="18" t="str">
        <f>Charms!K1025</f>
        <v>Occult</v>
      </c>
      <c r="B1025" t="str">
        <f>Charms!B1025</f>
        <v>Smoke Ascends to Heaven</v>
      </c>
      <c r="C1025" t="b">
        <f ca="1">OR(Values!$S$98&gt;=Charms!M1025,IFERROR(Charms!J1025=OFFSET(Values!$A$24,MATCH("S",Values!$T$25:$T$50,0),0),FALSE))</f>
        <v>0</v>
      </c>
      <c r="D1025" t="b">
        <f>VLOOKUP(Charms!J1025,Values!$A$11:$S$59,19,0)&gt;=Charms!L1025</f>
        <v>0</v>
      </c>
      <c r="E1025" t="e">
        <f>OR(ISBLANK(Charms!I1025),(VLOOKUP(Values!$S$6,Castes!$B$2:$F$25,4,0)=Charms!I1025))</f>
        <v>#N/A</v>
      </c>
      <c r="J1025" t="e">
        <f t="shared" ca="1" si="76"/>
        <v>#N/A</v>
      </c>
      <c r="K1025" s="18" t="e">
        <f t="shared" ca="1" si="75"/>
        <v>#N/A</v>
      </c>
      <c r="L1025" t="e">
        <f ca="1">IF(J1025,Charms!B1025,"")</f>
        <v>#N/A</v>
      </c>
      <c r="M1025" t="str">
        <f t="shared" ca="1" si="77"/>
        <v>-</v>
      </c>
      <c r="N1025" s="18" t="str">
        <f t="shared" si="78"/>
        <v>K972:L1033</v>
      </c>
      <c r="O1025" t="str">
        <f t="shared" si="79"/>
        <v>A972:A1025</v>
      </c>
    </row>
    <row r="1026" spans="1:15">
      <c r="A1026" s="18" t="str">
        <f>Charms!K1026</f>
        <v>Occult</v>
      </c>
      <c r="B1026" t="str">
        <f>Charms!B1026</f>
        <v>Crashing Wave-Dragons Warding</v>
      </c>
      <c r="C1026" t="b">
        <f ca="1">OR(Values!$S$98&gt;=Charms!M1026,IFERROR(Charms!J1026=OFFSET(Values!$A$24,MATCH("S",Values!$T$25:$T$50,0),0),FALSE))</f>
        <v>0</v>
      </c>
      <c r="D1026" t="b">
        <f>VLOOKUP(Charms!J1026,Values!$A$11:$S$59,19,0)&gt;=Charms!L1026</f>
        <v>0</v>
      </c>
      <c r="E1026" t="e">
        <f>OR(ISBLANK(Charms!I1026),(VLOOKUP(Values!$S$6,Castes!$B$2:$F$25,4,0)=Charms!I1026))</f>
        <v>#N/A</v>
      </c>
      <c r="J1026" t="e">
        <f t="shared" ca="1" si="76"/>
        <v>#N/A</v>
      </c>
      <c r="K1026" s="18" t="e">
        <f t="shared" ref="K1026:K1089" ca="1" si="80">IF(L1026="","",COUNTIF(INDIRECT("J"&amp;MATCH(A1026,A:A,0)&amp;":J"&amp;ROW()),J1026))</f>
        <v>#N/A</v>
      </c>
      <c r="L1026" t="e">
        <f ca="1">IF(J1026,Charms!B1026,"")</f>
        <v>#N/A</v>
      </c>
      <c r="M1026" t="str">
        <f t="shared" ca="1" si="77"/>
        <v>-</v>
      </c>
      <c r="N1026" s="18" t="str">
        <f t="shared" si="78"/>
        <v>K972:L1033</v>
      </c>
      <c r="O1026" t="str">
        <f t="shared" si="79"/>
        <v>A972:A1026</v>
      </c>
    </row>
    <row r="1027" spans="1:15">
      <c r="A1027" s="18" t="str">
        <f>Charms!K1027</f>
        <v>Occult</v>
      </c>
      <c r="B1027" t="str">
        <f>Charms!B1027</f>
        <v>Eternal Death-Banishing Blossom</v>
      </c>
      <c r="C1027" t="b">
        <f ca="1">OR(Values!$S$98&gt;=Charms!M1027,IFERROR(Charms!J1027=OFFSET(Values!$A$24,MATCH("S",Values!$T$25:$T$50,0),0),FALSE))</f>
        <v>0</v>
      </c>
      <c r="D1027" t="b">
        <f>VLOOKUP(Charms!J1027,Values!$A$11:$S$59,19,0)&gt;=Charms!L1027</f>
        <v>0</v>
      </c>
      <c r="E1027" t="e">
        <f>OR(ISBLANK(Charms!I1027),(VLOOKUP(Values!$S$6,Castes!$B$2:$F$25,4,0)=Charms!I1027))</f>
        <v>#N/A</v>
      </c>
      <c r="J1027" t="e">
        <f t="shared" ref="J1027:J1090" ca="1" si="81">(C1027+D1027+E1027+F1027+G1027+H1027+I1027)=3</f>
        <v>#N/A</v>
      </c>
      <c r="K1027" s="18" t="e">
        <f t="shared" ca="1" si="80"/>
        <v>#N/A</v>
      </c>
      <c r="L1027" t="e">
        <f ca="1">IF(J1027,Charms!B1027,"")</f>
        <v>#N/A</v>
      </c>
      <c r="M1027" t="str">
        <f t="shared" ref="M1027:M1090" ca="1" si="82">IFERROR(VLOOKUP(COUNTIF(INDIRECT(O1027),A1027),INDIRECT(N1027),2,0),"-")</f>
        <v>-</v>
      </c>
      <c r="N1027" s="18" t="str">
        <f t="shared" ref="N1027:N1090" si="83">"K"&amp;MATCH(A1027,A:A,0)&amp;":L"&amp;(MATCH(A1027,A:A,0)+COUNTIF(A:A,A1027)-1)</f>
        <v>K972:L1033</v>
      </c>
      <c r="O1027" t="str">
        <f t="shared" ref="O1027:O1090" si="84">"A"&amp;MATCH(A1027,A:A,0)&amp;":A"&amp;ROW()</f>
        <v>A972:A1027</v>
      </c>
    </row>
    <row r="1028" spans="1:15">
      <c r="A1028" s="18" t="str">
        <f>Charms!K1028</f>
        <v>Occult</v>
      </c>
      <c r="B1028" t="str">
        <f>Charms!B1028</f>
        <v>Seal of Heavenly Binding</v>
      </c>
      <c r="C1028" t="b">
        <f ca="1">OR(Values!$S$98&gt;=Charms!M1028,IFERROR(Charms!J1028=OFFSET(Values!$A$24,MATCH("S",Values!$T$25:$T$50,0),0),FALSE))</f>
        <v>0</v>
      </c>
      <c r="D1028" t="b">
        <f>VLOOKUP(Charms!J1028,Values!$A$11:$S$59,19,0)&gt;=Charms!L1028</f>
        <v>0</v>
      </c>
      <c r="E1028" t="e">
        <f>OR(ISBLANK(Charms!I1028),(VLOOKUP(Values!$S$6,Castes!$B$2:$F$25,4,0)=Charms!I1028))</f>
        <v>#N/A</v>
      </c>
      <c r="J1028" t="e">
        <f t="shared" ca="1" si="81"/>
        <v>#N/A</v>
      </c>
      <c r="K1028" s="18" t="e">
        <f t="shared" ca="1" si="80"/>
        <v>#N/A</v>
      </c>
      <c r="L1028" t="e">
        <f ca="1">IF(J1028,Charms!B1028,"")</f>
        <v>#N/A</v>
      </c>
      <c r="M1028" t="str">
        <f t="shared" ca="1" si="82"/>
        <v>-</v>
      </c>
      <c r="N1028" s="18" t="str">
        <f t="shared" si="83"/>
        <v>K972:L1033</v>
      </c>
      <c r="O1028" t="str">
        <f t="shared" si="84"/>
        <v>A972:A1028</v>
      </c>
    </row>
    <row r="1029" spans="1:15">
      <c r="A1029" s="18" t="str">
        <f>Charms!K1029</f>
        <v>Occult</v>
      </c>
      <c r="B1029" t="str">
        <f>Charms!B1029</f>
        <v>Chaos-Banishing Revelation Gesture</v>
      </c>
      <c r="C1029" t="b">
        <f ca="1">OR(Values!$S$98&gt;=Charms!M1029,IFERROR(Charms!J1029=OFFSET(Values!$A$24,MATCH("S",Values!$T$25:$T$50,0),0),FALSE))</f>
        <v>0</v>
      </c>
      <c r="D1029" t="b">
        <f>VLOOKUP(Charms!J1029,Values!$A$11:$S$59,19,0)&gt;=Charms!L1029</f>
        <v>0</v>
      </c>
      <c r="E1029" t="e">
        <f>OR(ISBLANK(Charms!I1029),(VLOOKUP(Values!$S$6,Castes!$B$2:$F$25,4,0)=Charms!I1029))</f>
        <v>#N/A</v>
      </c>
      <c r="J1029" t="e">
        <f t="shared" ca="1" si="81"/>
        <v>#N/A</v>
      </c>
      <c r="K1029" s="18" t="e">
        <f t="shared" ca="1" si="80"/>
        <v>#N/A</v>
      </c>
      <c r="L1029" t="e">
        <f ca="1">IF(J1029,Charms!B1029,"")</f>
        <v>#N/A</v>
      </c>
      <c r="M1029" t="str">
        <f t="shared" ca="1" si="82"/>
        <v>-</v>
      </c>
      <c r="N1029" s="18" t="str">
        <f t="shared" si="83"/>
        <v>K972:L1033</v>
      </c>
      <c r="O1029" t="str">
        <f t="shared" si="84"/>
        <v>A972:A1029</v>
      </c>
    </row>
    <row r="1030" spans="1:15">
      <c r="A1030" s="18" t="str">
        <f>Charms!K1030</f>
        <v>Occult</v>
      </c>
      <c r="B1030" t="str">
        <f>Charms!B1030</f>
        <v>Purifying Dragon Suspiration</v>
      </c>
      <c r="C1030" t="b">
        <f ca="1">OR(Values!$S$98&gt;=Charms!M1030,IFERROR(Charms!J1030=OFFSET(Values!$A$24,MATCH("S",Values!$T$25:$T$50,0),0),FALSE))</f>
        <v>0</v>
      </c>
      <c r="D1030" t="b">
        <f>VLOOKUP(Charms!J1030,Values!$A$11:$S$59,19,0)&gt;=Charms!L1030</f>
        <v>0</v>
      </c>
      <c r="E1030" t="e">
        <f>OR(ISBLANK(Charms!I1030),(VLOOKUP(Values!$S$6,Castes!$B$2:$F$25,4,0)=Charms!I1030))</f>
        <v>#N/A</v>
      </c>
      <c r="J1030" t="e">
        <f t="shared" ca="1" si="81"/>
        <v>#N/A</v>
      </c>
      <c r="K1030" s="18" t="e">
        <f t="shared" ca="1" si="80"/>
        <v>#N/A</v>
      </c>
      <c r="L1030" t="e">
        <f ca="1">IF(J1030,Charms!B1030,"")</f>
        <v>#N/A</v>
      </c>
      <c r="M1030" t="str">
        <f t="shared" ca="1" si="82"/>
        <v>-</v>
      </c>
      <c r="N1030" s="18" t="str">
        <f t="shared" si="83"/>
        <v>K972:L1033</v>
      </c>
      <c r="O1030" t="str">
        <f t="shared" si="84"/>
        <v>A972:A1030</v>
      </c>
    </row>
    <row r="1031" spans="1:15">
      <c r="A1031" s="18" t="str">
        <f>Charms!K1031</f>
        <v>Occult</v>
      </c>
      <c r="B1031" t="str">
        <f>Charms!B1031</f>
        <v>Anathema-Sealing Tomb</v>
      </c>
      <c r="C1031" t="b">
        <f ca="1">OR(Values!$S$98&gt;=Charms!M1031,IFERROR(Charms!J1031=OFFSET(Values!$A$24,MATCH("S",Values!$T$25:$T$50,0),0),FALSE))</f>
        <v>0</v>
      </c>
      <c r="D1031" t="b">
        <f>VLOOKUP(Charms!J1031,Values!$A$11:$S$59,19,0)&gt;=Charms!L1031</f>
        <v>0</v>
      </c>
      <c r="E1031" t="e">
        <f>OR(ISBLANK(Charms!I1031),(VLOOKUP(Values!$S$6,Castes!$B$2:$F$25,4,0)=Charms!I1031))</f>
        <v>#N/A</v>
      </c>
      <c r="J1031" t="e">
        <f t="shared" ca="1" si="81"/>
        <v>#N/A</v>
      </c>
      <c r="K1031" s="18" t="e">
        <f t="shared" ca="1" si="80"/>
        <v>#N/A</v>
      </c>
      <c r="L1031" t="e">
        <f ca="1">IF(J1031,Charms!B1031,"")</f>
        <v>#N/A</v>
      </c>
      <c r="M1031" t="str">
        <f t="shared" ca="1" si="82"/>
        <v>-</v>
      </c>
      <c r="N1031" s="18" t="str">
        <f t="shared" si="83"/>
        <v>K972:L1033</v>
      </c>
      <c r="O1031" t="str">
        <f t="shared" si="84"/>
        <v>A972:A1031</v>
      </c>
    </row>
    <row r="1032" spans="1:15">
      <c r="A1032" s="18" t="str">
        <f>Charms!K1032</f>
        <v>Occult</v>
      </c>
      <c r="B1032" t="str">
        <f>Charms!B1032</f>
        <v>Five Winds Raiment</v>
      </c>
      <c r="C1032" t="b">
        <f ca="1">OR(Values!$S$98&gt;=Charms!M1032,IFERROR(Charms!J1032=OFFSET(Values!$A$24,MATCH("S",Values!$T$25:$T$50,0),0),FALSE))</f>
        <v>0</v>
      </c>
      <c r="D1032" t="b">
        <f>VLOOKUP(Charms!J1032,Values!$A$11:$S$59,19,0)&gt;=Charms!L1032</f>
        <v>0</v>
      </c>
      <c r="E1032" t="e">
        <f>OR(ISBLANK(Charms!I1032),(VLOOKUP(Values!$S$6,Castes!$B$2:$F$25,4,0)=Charms!I1032))</f>
        <v>#N/A</v>
      </c>
      <c r="J1032" t="e">
        <f t="shared" ca="1" si="81"/>
        <v>#N/A</v>
      </c>
      <c r="K1032" s="18" t="e">
        <f t="shared" ca="1" si="80"/>
        <v>#N/A</v>
      </c>
      <c r="L1032" t="e">
        <f ca="1">IF(J1032,Charms!B1032,"")</f>
        <v>#N/A</v>
      </c>
      <c r="M1032" t="str">
        <f t="shared" ca="1" si="82"/>
        <v>-</v>
      </c>
      <c r="N1032" s="18" t="str">
        <f t="shared" si="83"/>
        <v>K972:L1033</v>
      </c>
      <c r="O1032" t="str">
        <f t="shared" si="84"/>
        <v>A972:A1032</v>
      </c>
    </row>
    <row r="1033" spans="1:15">
      <c r="A1033" s="18" t="str">
        <f>Charms!K1033</f>
        <v>Occult</v>
      </c>
      <c r="B1033" t="str">
        <f>Charms!B1033</f>
        <v>Dragon-Sorcerer Puissance</v>
      </c>
      <c r="C1033" t="b">
        <f ca="1">OR(Values!$S$98&gt;=Charms!M1033,IFERROR(Charms!J1033=OFFSET(Values!$A$24,MATCH("S",Values!$T$25:$T$50,0),0),FALSE))</f>
        <v>0</v>
      </c>
      <c r="D1033" t="b">
        <f>VLOOKUP(Charms!J1033,Values!$A$11:$S$59,19,0)&gt;=Charms!L1033</f>
        <v>0</v>
      </c>
      <c r="E1033" t="e">
        <f>OR(ISBLANK(Charms!I1033),(VLOOKUP(Values!$S$6,Castes!$B$2:$F$25,4,0)=Charms!I1033))</f>
        <v>#N/A</v>
      </c>
      <c r="J1033" t="e">
        <f t="shared" ca="1" si="81"/>
        <v>#N/A</v>
      </c>
      <c r="K1033" s="18" t="e">
        <f t="shared" ca="1" si="80"/>
        <v>#N/A</v>
      </c>
      <c r="L1033" t="e">
        <f ca="1">IF(J1033,Charms!B1033,"")</f>
        <v>#N/A</v>
      </c>
      <c r="M1033" t="str">
        <f t="shared" ca="1" si="82"/>
        <v>-</v>
      </c>
      <c r="N1033" s="18" t="str">
        <f t="shared" si="83"/>
        <v>K972:L1033</v>
      </c>
      <c r="O1033" t="str">
        <f t="shared" si="84"/>
        <v>A972:A1033</v>
      </c>
    </row>
    <row r="1034" spans="1:15">
      <c r="A1034" s="18" t="str">
        <f>Charms!K1034</f>
        <v>Performance</v>
      </c>
      <c r="B1034" t="str">
        <f>Charms!B1034</f>
        <v>Respect-Commanding Attitude</v>
      </c>
      <c r="C1034" t="b">
        <f ca="1">OR(Values!$S$98&gt;=Charms!M1034,IFERROR(Charms!J1034=OFFSET(Values!$A$24,MATCH("S",Values!$T$25:$T$50,0),0),FALSE))</f>
        <v>1</v>
      </c>
      <c r="D1034" t="b">
        <f>VLOOKUP(Charms!J1034,Values!$A$11:$S$59,19,0)&gt;=Charms!L1034</f>
        <v>0</v>
      </c>
      <c r="E1034" t="e">
        <f>OR(ISBLANK(Charms!I1034),(VLOOKUP(Values!$S$6,Castes!$B$2:$F$25,4,0)=Charms!I1034))</f>
        <v>#N/A</v>
      </c>
      <c r="J1034" t="e">
        <f t="shared" ca="1" si="81"/>
        <v>#N/A</v>
      </c>
      <c r="K1034" s="18" t="e">
        <f t="shared" ca="1" si="80"/>
        <v>#N/A</v>
      </c>
      <c r="L1034" t="e">
        <f ca="1">IF(J1034,Charms!B1034,"")</f>
        <v>#N/A</v>
      </c>
      <c r="M1034" t="str">
        <f t="shared" ca="1" si="82"/>
        <v>-</v>
      </c>
      <c r="N1034" s="18" t="str">
        <f t="shared" si="83"/>
        <v>K1034:L1104</v>
      </c>
      <c r="O1034" t="str">
        <f t="shared" si="84"/>
        <v>A1034:A1034</v>
      </c>
    </row>
    <row r="1035" spans="1:15">
      <c r="A1035" s="18" t="str">
        <f>Charms!K1035</f>
        <v>Performance</v>
      </c>
      <c r="B1035" t="str">
        <f>Charms!B1035</f>
        <v>Masterful Performance Exercise</v>
      </c>
      <c r="C1035" t="b">
        <f ca="1">OR(Values!$S$98&gt;=Charms!M1035,IFERROR(Charms!J1035=OFFSET(Values!$A$24,MATCH("S",Values!$T$25:$T$50,0),0),FALSE))</f>
        <v>1</v>
      </c>
      <c r="D1035" t="b">
        <f>VLOOKUP(Charms!J1035,Values!$A$11:$S$59,19,0)&gt;=Charms!L1035</f>
        <v>0</v>
      </c>
      <c r="E1035" t="e">
        <f>OR(ISBLANK(Charms!I1035),(VLOOKUP(Values!$S$6,Castes!$B$2:$F$25,4,0)=Charms!I1035))</f>
        <v>#N/A</v>
      </c>
      <c r="J1035" t="e">
        <f t="shared" ca="1" si="81"/>
        <v>#N/A</v>
      </c>
      <c r="K1035" s="18" t="e">
        <f t="shared" ca="1" si="80"/>
        <v>#N/A</v>
      </c>
      <c r="L1035" t="e">
        <f ca="1">IF(J1035,Charms!B1035,"")</f>
        <v>#N/A</v>
      </c>
      <c r="M1035" t="str">
        <f t="shared" ca="1" si="82"/>
        <v>-</v>
      </c>
      <c r="N1035" s="18" t="str">
        <f t="shared" si="83"/>
        <v>K1034:L1104</v>
      </c>
      <c r="O1035" t="str">
        <f t="shared" si="84"/>
        <v>A1034:A1035</v>
      </c>
    </row>
    <row r="1036" spans="1:15">
      <c r="A1036" s="18" t="str">
        <f>Charms!K1036</f>
        <v>Performance</v>
      </c>
      <c r="B1036" t="str">
        <f>Charms!B1036</f>
        <v>Impassioned Orator Technique</v>
      </c>
      <c r="C1036" t="b">
        <f ca="1">OR(Values!$S$98&gt;=Charms!M1036,IFERROR(Charms!J1036=OFFSET(Values!$A$24,MATCH("S",Values!$T$25:$T$50,0),0),FALSE))</f>
        <v>1</v>
      </c>
      <c r="D1036" t="b">
        <f>VLOOKUP(Charms!J1036,Values!$A$11:$S$59,19,0)&gt;=Charms!L1036</f>
        <v>0</v>
      </c>
      <c r="E1036" t="e">
        <f>OR(ISBLANK(Charms!I1036),(VLOOKUP(Values!$S$6,Castes!$B$2:$F$25,4,0)=Charms!I1036))</f>
        <v>#N/A</v>
      </c>
      <c r="J1036" t="e">
        <f t="shared" ca="1" si="81"/>
        <v>#N/A</v>
      </c>
      <c r="K1036" s="18" t="e">
        <f t="shared" ca="1" si="80"/>
        <v>#N/A</v>
      </c>
      <c r="L1036" t="e">
        <f ca="1">IF(J1036,Charms!B1036,"")</f>
        <v>#N/A</v>
      </c>
      <c r="M1036" t="str">
        <f t="shared" ca="1" si="82"/>
        <v>-</v>
      </c>
      <c r="N1036" s="18" t="str">
        <f t="shared" si="83"/>
        <v>K1034:L1104</v>
      </c>
      <c r="O1036" t="str">
        <f t="shared" si="84"/>
        <v>A1034:A1036</v>
      </c>
    </row>
    <row r="1037" spans="1:15">
      <c r="A1037" s="18" t="str">
        <f>Charms!K1037</f>
        <v>Performance</v>
      </c>
      <c r="B1037" t="str">
        <f>Charms!B1037</f>
        <v>Perfect Harmony Technique</v>
      </c>
      <c r="C1037" t="b">
        <f ca="1">OR(Values!$S$98&gt;=Charms!M1037,IFERROR(Charms!J1037=OFFSET(Values!$A$24,MATCH("S",Values!$T$25:$T$50,0),0),FALSE))</f>
        <v>1</v>
      </c>
      <c r="D1037" t="b">
        <f>VLOOKUP(Charms!J1037,Values!$A$11:$S$59,19,0)&gt;=Charms!L1037</f>
        <v>0</v>
      </c>
      <c r="E1037" t="e">
        <f>OR(ISBLANK(Charms!I1037),(VLOOKUP(Values!$S$6,Castes!$B$2:$F$25,4,0)=Charms!I1037))</f>
        <v>#N/A</v>
      </c>
      <c r="J1037" t="e">
        <f t="shared" ca="1" si="81"/>
        <v>#N/A</v>
      </c>
      <c r="K1037" s="18" t="e">
        <f t="shared" ca="1" si="80"/>
        <v>#N/A</v>
      </c>
      <c r="L1037" t="e">
        <f ca="1">IF(J1037,Charms!B1037,"")</f>
        <v>#N/A</v>
      </c>
      <c r="M1037" t="str">
        <f t="shared" ca="1" si="82"/>
        <v>-</v>
      </c>
      <c r="N1037" s="18" t="str">
        <f t="shared" si="83"/>
        <v>K1034:L1104</v>
      </c>
      <c r="O1037" t="str">
        <f t="shared" si="84"/>
        <v>A1034:A1037</v>
      </c>
    </row>
    <row r="1038" spans="1:15">
      <c r="A1038" s="18" t="str">
        <f>Charms!K1038</f>
        <v>Performance</v>
      </c>
      <c r="B1038" t="str">
        <f>Charms!B1038</f>
        <v>Graceful Reed Dancing</v>
      </c>
      <c r="C1038" t="b">
        <f ca="1">OR(Values!$S$98&gt;=Charms!M1038,IFERROR(Charms!J1038=OFFSET(Values!$A$24,MATCH("S",Values!$T$25:$T$50,0),0),FALSE))</f>
        <v>1</v>
      </c>
      <c r="D1038" t="b">
        <f>VLOOKUP(Charms!J1038,Values!$A$11:$S$59,19,0)&gt;=Charms!L1038</f>
        <v>0</v>
      </c>
      <c r="E1038" t="e">
        <f>OR(ISBLANK(Charms!I1038),(VLOOKUP(Values!$S$6,Castes!$B$2:$F$25,4,0)=Charms!I1038))</f>
        <v>#N/A</v>
      </c>
      <c r="J1038" t="e">
        <f t="shared" ca="1" si="81"/>
        <v>#N/A</v>
      </c>
      <c r="K1038" s="18" t="e">
        <f t="shared" ca="1" si="80"/>
        <v>#N/A</v>
      </c>
      <c r="L1038" t="e">
        <f ca="1">IF(J1038,Charms!B1038,"")</f>
        <v>#N/A</v>
      </c>
      <c r="M1038" t="str">
        <f t="shared" ca="1" si="82"/>
        <v>-</v>
      </c>
      <c r="N1038" s="18" t="str">
        <f t="shared" si="83"/>
        <v>K1034:L1104</v>
      </c>
      <c r="O1038" t="str">
        <f t="shared" si="84"/>
        <v>A1034:A1038</v>
      </c>
    </row>
    <row r="1039" spans="1:15">
      <c r="A1039" s="18" t="str">
        <f>Charms!K1039</f>
        <v>Performance</v>
      </c>
      <c r="B1039" t="str">
        <f>Charms!B1039</f>
        <v>Cunning Mimicry Technique</v>
      </c>
      <c r="C1039" t="b">
        <f ca="1">OR(Values!$S$98&gt;=Charms!M1039,IFERROR(Charms!J1039=OFFSET(Values!$A$24,MATCH("S",Values!$T$25:$T$50,0),0),FALSE))</f>
        <v>1</v>
      </c>
      <c r="D1039" t="b">
        <f>VLOOKUP(Charms!J1039,Values!$A$11:$S$59,19,0)&gt;=Charms!L1039</f>
        <v>0</v>
      </c>
      <c r="E1039" t="e">
        <f>OR(ISBLANK(Charms!I1039),(VLOOKUP(Values!$S$6,Castes!$B$2:$F$25,4,0)=Charms!I1039))</f>
        <v>#N/A</v>
      </c>
      <c r="J1039" t="e">
        <f t="shared" ca="1" si="81"/>
        <v>#N/A</v>
      </c>
      <c r="K1039" s="18" t="e">
        <f t="shared" ca="1" si="80"/>
        <v>#N/A</v>
      </c>
      <c r="L1039" t="e">
        <f ca="1">IF(J1039,Charms!B1039,"")</f>
        <v>#N/A</v>
      </c>
      <c r="M1039" t="str">
        <f t="shared" ca="1" si="82"/>
        <v>-</v>
      </c>
      <c r="N1039" s="18" t="str">
        <f t="shared" si="83"/>
        <v>K1034:L1104</v>
      </c>
      <c r="O1039" t="str">
        <f t="shared" si="84"/>
        <v>A1034:A1039</v>
      </c>
    </row>
    <row r="1040" spans="1:15">
      <c r="A1040" s="18" t="str">
        <f>Charms!K1040</f>
        <v>Performance</v>
      </c>
      <c r="B1040" t="str">
        <f>Charms!B1040</f>
        <v>Thousand Courtesan Ways</v>
      </c>
      <c r="C1040" t="b">
        <f ca="1">OR(Values!$S$98&gt;=Charms!M1040,IFERROR(Charms!J1040=OFFSET(Values!$A$24,MATCH("S",Values!$T$25:$T$50,0),0),FALSE))</f>
        <v>1</v>
      </c>
      <c r="D1040" t="b">
        <f>VLOOKUP(Charms!J1040,Values!$A$11:$S$59,19,0)&gt;=Charms!L1040</f>
        <v>0</v>
      </c>
      <c r="E1040" t="e">
        <f>OR(ISBLANK(Charms!I1040),(VLOOKUP(Values!$S$6,Castes!$B$2:$F$25,4,0)=Charms!I1040))</f>
        <v>#N/A</v>
      </c>
      <c r="J1040" t="e">
        <f t="shared" ca="1" si="81"/>
        <v>#N/A</v>
      </c>
      <c r="K1040" s="18" t="e">
        <f t="shared" ca="1" si="80"/>
        <v>#N/A</v>
      </c>
      <c r="L1040" t="e">
        <f ca="1">IF(J1040,Charms!B1040,"")</f>
        <v>#N/A</v>
      </c>
      <c r="M1040" t="str">
        <f t="shared" ca="1" si="82"/>
        <v>-</v>
      </c>
      <c r="N1040" s="18" t="str">
        <f t="shared" si="83"/>
        <v>K1034:L1104</v>
      </c>
      <c r="O1040" t="str">
        <f t="shared" si="84"/>
        <v>A1034:A1040</v>
      </c>
    </row>
    <row r="1041" spans="1:15">
      <c r="A1041" s="18" t="str">
        <f>Charms!K1041</f>
        <v>Performance</v>
      </c>
      <c r="B1041" t="str">
        <f>Charms!B1041</f>
        <v>Stillness-Drawing Meditation</v>
      </c>
      <c r="C1041" t="b">
        <f ca="1">OR(Values!$S$98&gt;=Charms!M1041,IFERROR(Charms!J1041=OFFSET(Values!$A$24,MATCH("S",Values!$T$25:$T$50,0),0),FALSE))</f>
        <v>0</v>
      </c>
      <c r="D1041" t="b">
        <f>VLOOKUP(Charms!J1041,Values!$A$11:$S$59,19,0)&gt;=Charms!L1041</f>
        <v>0</v>
      </c>
      <c r="E1041" t="e">
        <f>OR(ISBLANK(Charms!I1041),(VLOOKUP(Values!$S$6,Castes!$B$2:$F$25,4,0)=Charms!I1041))</f>
        <v>#N/A</v>
      </c>
      <c r="J1041" t="e">
        <f t="shared" ca="1" si="81"/>
        <v>#N/A</v>
      </c>
      <c r="K1041" s="18" t="e">
        <f t="shared" ca="1" si="80"/>
        <v>#N/A</v>
      </c>
      <c r="L1041" t="e">
        <f ca="1">IF(J1041,Charms!B1041,"")</f>
        <v>#N/A</v>
      </c>
      <c r="M1041" t="str">
        <f t="shared" ca="1" si="82"/>
        <v>-</v>
      </c>
      <c r="N1041" s="18" t="str">
        <f t="shared" si="83"/>
        <v>K1034:L1104</v>
      </c>
      <c r="O1041" t="str">
        <f t="shared" si="84"/>
        <v>A1034:A1041</v>
      </c>
    </row>
    <row r="1042" spans="1:15">
      <c r="A1042" s="18" t="str">
        <f>Charms!K1042</f>
        <v>Performance</v>
      </c>
      <c r="B1042" t="str">
        <f>Charms!B1042</f>
        <v>Phantom-Conjuring Performance</v>
      </c>
      <c r="C1042" t="b">
        <f ca="1">OR(Values!$S$98&gt;=Charms!M1042,IFERROR(Charms!J1042=OFFSET(Values!$A$24,MATCH("S",Values!$T$25:$T$50,0),0),FALSE))</f>
        <v>0</v>
      </c>
      <c r="D1042" t="b">
        <f>VLOOKUP(Charms!J1042,Values!$A$11:$S$59,19,0)&gt;=Charms!L1042</f>
        <v>0</v>
      </c>
      <c r="E1042" t="e">
        <f>OR(ISBLANK(Charms!I1042),(VLOOKUP(Values!$S$6,Castes!$B$2:$F$25,4,0)=Charms!I1042))</f>
        <v>#N/A</v>
      </c>
      <c r="J1042" t="e">
        <f t="shared" ca="1" si="81"/>
        <v>#N/A</v>
      </c>
      <c r="K1042" s="18" t="e">
        <f t="shared" ca="1" si="80"/>
        <v>#N/A</v>
      </c>
      <c r="L1042" t="e">
        <f ca="1">IF(J1042,Charms!B1042,"")</f>
        <v>#N/A</v>
      </c>
      <c r="M1042" t="str">
        <f t="shared" ca="1" si="82"/>
        <v>-</v>
      </c>
      <c r="N1042" s="18" t="str">
        <f t="shared" si="83"/>
        <v>K1034:L1104</v>
      </c>
      <c r="O1042" t="str">
        <f t="shared" si="84"/>
        <v>A1034:A1042</v>
      </c>
    </row>
    <row r="1043" spans="1:15">
      <c r="A1043" s="18" t="str">
        <f>Charms!K1043</f>
        <v>Performance</v>
      </c>
      <c r="B1043" t="str">
        <f>Charms!B1043</f>
        <v>Fury Inciting Speech</v>
      </c>
      <c r="C1043" t="b">
        <f ca="1">OR(Values!$S$98&gt;=Charms!M1043,IFERROR(Charms!J1043=OFFSET(Values!$A$24,MATCH("S",Values!$T$25:$T$50,0),0),FALSE))</f>
        <v>0</v>
      </c>
      <c r="D1043" t="b">
        <f>VLOOKUP(Charms!J1043,Values!$A$11:$S$59,19,0)&gt;=Charms!L1043</f>
        <v>0</v>
      </c>
      <c r="E1043" t="e">
        <f>OR(ISBLANK(Charms!I1043),(VLOOKUP(Values!$S$6,Castes!$B$2:$F$25,4,0)=Charms!I1043))</f>
        <v>#N/A</v>
      </c>
      <c r="J1043" t="e">
        <f t="shared" ca="1" si="81"/>
        <v>#N/A</v>
      </c>
      <c r="K1043" s="18" t="e">
        <f t="shared" ca="1" si="80"/>
        <v>#N/A</v>
      </c>
      <c r="L1043" t="e">
        <f ca="1">IF(J1043,Charms!B1043,"")</f>
        <v>#N/A</v>
      </c>
      <c r="M1043" t="str">
        <f t="shared" ca="1" si="82"/>
        <v>-</v>
      </c>
      <c r="N1043" s="18" t="str">
        <f t="shared" si="83"/>
        <v>K1034:L1104</v>
      </c>
      <c r="O1043" t="str">
        <f t="shared" si="84"/>
        <v>A1034:A1043</v>
      </c>
    </row>
    <row r="1044" spans="1:15">
      <c r="A1044" s="18" t="str">
        <f>Charms!K1044</f>
        <v>Performance</v>
      </c>
      <c r="B1044" t="str">
        <f>Charms!B1044</f>
        <v>Mood-Inducing Music</v>
      </c>
      <c r="C1044" t="b">
        <f ca="1">OR(Values!$S$98&gt;=Charms!M1044,IFERROR(Charms!J1044=OFFSET(Values!$A$24,MATCH("S",Values!$T$25:$T$50,0),0),FALSE))</f>
        <v>1</v>
      </c>
      <c r="D1044" t="b">
        <f>VLOOKUP(Charms!J1044,Values!$A$11:$S$59,19,0)&gt;=Charms!L1044</f>
        <v>0</v>
      </c>
      <c r="E1044" t="e">
        <f>OR(ISBLANK(Charms!I1044),(VLOOKUP(Values!$S$6,Castes!$B$2:$F$25,4,0)=Charms!I1044))</f>
        <v>#N/A</v>
      </c>
      <c r="J1044" t="e">
        <f t="shared" ca="1" si="81"/>
        <v>#N/A</v>
      </c>
      <c r="K1044" s="18" t="e">
        <f t="shared" ca="1" si="80"/>
        <v>#N/A</v>
      </c>
      <c r="L1044" t="e">
        <f ca="1">IF(J1044,Charms!B1044,"")</f>
        <v>#N/A</v>
      </c>
      <c r="M1044" t="str">
        <f t="shared" ca="1" si="82"/>
        <v>-</v>
      </c>
      <c r="N1044" s="18" t="str">
        <f t="shared" si="83"/>
        <v>K1034:L1104</v>
      </c>
      <c r="O1044" t="str">
        <f t="shared" si="84"/>
        <v>A1034:A1044</v>
      </c>
    </row>
    <row r="1045" spans="1:15">
      <c r="A1045" s="18" t="str">
        <f>Charms!K1045</f>
        <v>Performance</v>
      </c>
      <c r="B1045" t="str">
        <f>Charms!B1045</f>
        <v>Heart-Compelling Method</v>
      </c>
      <c r="C1045" t="b">
        <f ca="1">OR(Values!$S$98&gt;=Charms!M1045,IFERROR(Charms!J1045=OFFSET(Values!$A$24,MATCH("S",Values!$T$25:$T$50,0),0),FALSE))</f>
        <v>0</v>
      </c>
      <c r="D1045" t="b">
        <f>VLOOKUP(Charms!J1045,Values!$A$11:$S$59,19,0)&gt;=Charms!L1045</f>
        <v>0</v>
      </c>
      <c r="E1045" t="e">
        <f>OR(ISBLANK(Charms!I1045),(VLOOKUP(Values!$S$6,Castes!$B$2:$F$25,4,0)=Charms!I1045))</f>
        <v>#N/A</v>
      </c>
      <c r="J1045" t="e">
        <f t="shared" ca="1" si="81"/>
        <v>#N/A</v>
      </c>
      <c r="K1045" s="18" t="e">
        <f t="shared" ca="1" si="80"/>
        <v>#N/A</v>
      </c>
      <c r="L1045" t="e">
        <f ca="1">IF(J1045,Charms!B1045,"")</f>
        <v>#N/A</v>
      </c>
      <c r="M1045" t="str">
        <f t="shared" ca="1" si="82"/>
        <v>-</v>
      </c>
      <c r="N1045" s="18" t="str">
        <f t="shared" si="83"/>
        <v>K1034:L1104</v>
      </c>
      <c r="O1045" t="str">
        <f t="shared" si="84"/>
        <v>A1034:A1045</v>
      </c>
    </row>
    <row r="1046" spans="1:15">
      <c r="A1046" s="18" t="str">
        <f>Charms!K1046</f>
        <v>Performance</v>
      </c>
      <c r="B1046" t="str">
        <f>Charms!B1046</f>
        <v>Battle-Dancer Method</v>
      </c>
      <c r="C1046" t="b">
        <f ca="1">OR(Values!$S$98&gt;=Charms!M1046,IFERROR(Charms!J1046=OFFSET(Values!$A$24,MATCH("S",Values!$T$25:$T$50,0),0),FALSE))</f>
        <v>1</v>
      </c>
      <c r="D1046" t="b">
        <f>VLOOKUP(Charms!J1046,Values!$A$11:$S$59,19,0)&gt;=Charms!L1046</f>
        <v>0</v>
      </c>
      <c r="E1046" t="e">
        <f>OR(ISBLANK(Charms!I1046),(VLOOKUP(Values!$S$6,Castes!$B$2:$F$25,4,0)=Charms!I1046))</f>
        <v>#N/A</v>
      </c>
      <c r="J1046" t="e">
        <f t="shared" ca="1" si="81"/>
        <v>#N/A</v>
      </c>
      <c r="K1046" s="18" t="e">
        <f t="shared" ca="1" si="80"/>
        <v>#N/A</v>
      </c>
      <c r="L1046" t="e">
        <f ca="1">IF(J1046,Charms!B1046,"")</f>
        <v>#N/A</v>
      </c>
      <c r="M1046" t="str">
        <f t="shared" ca="1" si="82"/>
        <v>-</v>
      </c>
      <c r="N1046" s="18" t="str">
        <f t="shared" si="83"/>
        <v>K1034:L1104</v>
      </c>
      <c r="O1046" t="str">
        <f t="shared" si="84"/>
        <v>A1034:A1046</v>
      </c>
    </row>
    <row r="1047" spans="1:15">
      <c r="A1047" s="18" t="str">
        <f>Charms!K1047</f>
        <v>Performance</v>
      </c>
      <c r="B1047" t="str">
        <f>Charms!B1047</f>
        <v>Shining Expression Style</v>
      </c>
      <c r="C1047" t="b">
        <f ca="1">OR(Values!$S$98&gt;=Charms!M1047,IFERROR(Charms!J1047=OFFSET(Values!$A$24,MATCH("S",Values!$T$25:$T$50,0),0),FALSE))</f>
        <v>1</v>
      </c>
      <c r="D1047" t="b">
        <f>VLOOKUP(Charms!J1047,Values!$A$11:$S$59,19,0)&gt;=Charms!L1047</f>
        <v>0</v>
      </c>
      <c r="E1047" t="e">
        <f>OR(ISBLANK(Charms!I1047),(VLOOKUP(Values!$S$6,Castes!$B$2:$F$25,4,0)=Charms!I1047))</f>
        <v>#N/A</v>
      </c>
      <c r="J1047" t="e">
        <f t="shared" ca="1" si="81"/>
        <v>#N/A</v>
      </c>
      <c r="K1047" s="18" t="e">
        <f t="shared" ca="1" si="80"/>
        <v>#N/A</v>
      </c>
      <c r="L1047" t="e">
        <f ca="1">IF(J1047,Charms!B1047,"")</f>
        <v>#N/A</v>
      </c>
      <c r="M1047" t="str">
        <f t="shared" ca="1" si="82"/>
        <v>-</v>
      </c>
      <c r="N1047" s="18" t="str">
        <f t="shared" si="83"/>
        <v>K1034:L1104</v>
      </c>
      <c r="O1047" t="str">
        <f t="shared" si="84"/>
        <v>A1034:A1047</v>
      </c>
    </row>
    <row r="1048" spans="1:15">
      <c r="A1048" s="18" t="str">
        <f>Charms!K1048</f>
        <v>Performance</v>
      </c>
      <c r="B1048" t="str">
        <f>Charms!B1048</f>
        <v>Master Thespian Style</v>
      </c>
      <c r="C1048" t="b">
        <f ca="1">OR(Values!$S$98&gt;=Charms!M1048,IFERROR(Charms!J1048=OFFSET(Values!$A$24,MATCH("S",Values!$T$25:$T$50,0),0),FALSE))</f>
        <v>0</v>
      </c>
      <c r="D1048" t="b">
        <f>VLOOKUP(Charms!J1048,Values!$A$11:$S$59,19,0)&gt;=Charms!L1048</f>
        <v>0</v>
      </c>
      <c r="E1048" t="e">
        <f>OR(ISBLANK(Charms!I1048),(VLOOKUP(Values!$S$6,Castes!$B$2:$F$25,4,0)=Charms!I1048))</f>
        <v>#N/A</v>
      </c>
      <c r="J1048" t="e">
        <f t="shared" ca="1" si="81"/>
        <v>#N/A</v>
      </c>
      <c r="K1048" s="18" t="e">
        <f t="shared" ca="1" si="80"/>
        <v>#N/A</v>
      </c>
      <c r="L1048" t="e">
        <f ca="1">IF(J1048,Charms!B1048,"")</f>
        <v>#N/A</v>
      </c>
      <c r="M1048" t="str">
        <f t="shared" ca="1" si="82"/>
        <v>-</v>
      </c>
      <c r="N1048" s="18" t="str">
        <f t="shared" si="83"/>
        <v>K1034:L1104</v>
      </c>
      <c r="O1048" t="str">
        <f t="shared" si="84"/>
        <v>A1034:A1048</v>
      </c>
    </row>
    <row r="1049" spans="1:15">
      <c r="A1049" s="18" t="str">
        <f>Charms!K1049</f>
        <v>Performance</v>
      </c>
      <c r="B1049" t="str">
        <f>Charms!B1049</f>
        <v>Voice-Hurling Method</v>
      </c>
      <c r="C1049" t="b">
        <f ca="1">OR(Values!$S$98&gt;=Charms!M1049,IFERROR(Charms!J1049=OFFSET(Values!$A$24,MATCH("S",Values!$T$25:$T$50,0),0),FALSE))</f>
        <v>1</v>
      </c>
      <c r="D1049" t="b">
        <f>VLOOKUP(Charms!J1049,Values!$A$11:$S$59,19,0)&gt;=Charms!L1049</f>
        <v>0</v>
      </c>
      <c r="E1049" t="e">
        <f>OR(ISBLANK(Charms!I1049),(VLOOKUP(Values!$S$6,Castes!$B$2:$F$25,4,0)=Charms!I1049))</f>
        <v>#N/A</v>
      </c>
      <c r="J1049" t="e">
        <f t="shared" ca="1" si="81"/>
        <v>#N/A</v>
      </c>
      <c r="K1049" s="18" t="e">
        <f t="shared" ca="1" si="80"/>
        <v>#N/A</v>
      </c>
      <c r="L1049" t="e">
        <f ca="1">IF(J1049,Charms!B1049,"")</f>
        <v>#N/A</v>
      </c>
      <c r="M1049" t="str">
        <f t="shared" ca="1" si="82"/>
        <v>-</v>
      </c>
      <c r="N1049" s="18" t="str">
        <f t="shared" si="83"/>
        <v>K1034:L1104</v>
      </c>
      <c r="O1049" t="str">
        <f t="shared" si="84"/>
        <v>A1034:A1049</v>
      </c>
    </row>
    <row r="1050" spans="1:15">
      <c r="A1050" s="18" t="str">
        <f>Charms!K1050</f>
        <v>Performance</v>
      </c>
      <c r="B1050" t="str">
        <f>Charms!B1050</f>
        <v>Splendid Magpie Approach</v>
      </c>
      <c r="C1050" t="b">
        <f ca="1">OR(Values!$S$98&gt;=Charms!M1050,IFERROR(Charms!J1050=OFFSET(Values!$A$24,MATCH("S",Values!$T$25:$T$50,0),0),FALSE))</f>
        <v>1</v>
      </c>
      <c r="D1050" t="b">
        <f>VLOOKUP(Charms!J1050,Values!$A$11:$S$59,19,0)&gt;=Charms!L1050</f>
        <v>0</v>
      </c>
      <c r="E1050" t="e">
        <f>OR(ISBLANK(Charms!I1050),(VLOOKUP(Values!$S$6,Castes!$B$2:$F$25,4,0)=Charms!I1050))</f>
        <v>#N/A</v>
      </c>
      <c r="J1050" t="e">
        <f t="shared" ca="1" si="81"/>
        <v>#N/A</v>
      </c>
      <c r="K1050" s="18" t="e">
        <f t="shared" ca="1" si="80"/>
        <v>#N/A</v>
      </c>
      <c r="L1050" t="e">
        <f ca="1">IF(J1050,Charms!B1050,"")</f>
        <v>#N/A</v>
      </c>
      <c r="M1050" t="str">
        <f t="shared" ca="1" si="82"/>
        <v>-</v>
      </c>
      <c r="N1050" s="18" t="str">
        <f t="shared" si="83"/>
        <v>K1034:L1104</v>
      </c>
      <c r="O1050" t="str">
        <f t="shared" si="84"/>
        <v>A1034:A1050</v>
      </c>
    </row>
    <row r="1051" spans="1:15">
      <c r="A1051" s="18" t="str">
        <f>Charms!K1051</f>
        <v>Performance</v>
      </c>
      <c r="B1051" t="str">
        <f>Charms!B1051</f>
        <v>Celestial Bliss Trick</v>
      </c>
      <c r="C1051" t="b">
        <f ca="1">OR(Values!$S$98&gt;=Charms!M1051,IFERROR(Charms!J1051=OFFSET(Values!$A$24,MATCH("S",Values!$T$25:$T$50,0),0),FALSE))</f>
        <v>1</v>
      </c>
      <c r="D1051" t="b">
        <f>VLOOKUP(Charms!J1051,Values!$A$11:$S$59,19,0)&gt;=Charms!L1051</f>
        <v>0</v>
      </c>
      <c r="E1051" t="e">
        <f>OR(ISBLANK(Charms!I1051),(VLOOKUP(Values!$S$6,Castes!$B$2:$F$25,4,0)=Charms!I1051))</f>
        <v>#N/A</v>
      </c>
      <c r="J1051" t="e">
        <f t="shared" ca="1" si="81"/>
        <v>#N/A</v>
      </c>
      <c r="K1051" s="18" t="e">
        <f t="shared" ca="1" si="80"/>
        <v>#N/A</v>
      </c>
      <c r="L1051" t="e">
        <f ca="1">IF(J1051,Charms!B1051,"")</f>
        <v>#N/A</v>
      </c>
      <c r="M1051" t="str">
        <f t="shared" ca="1" si="82"/>
        <v>-</v>
      </c>
      <c r="N1051" s="18" t="str">
        <f t="shared" si="83"/>
        <v>K1034:L1104</v>
      </c>
      <c r="O1051" t="str">
        <f t="shared" si="84"/>
        <v>A1034:A1051</v>
      </c>
    </row>
    <row r="1052" spans="1:15">
      <c r="A1052" s="18" t="str">
        <f>Charms!K1052</f>
        <v>Performance</v>
      </c>
      <c r="B1052" t="str">
        <f>Charms!B1052</f>
        <v>Divine Instrument</v>
      </c>
      <c r="C1052" t="b">
        <f ca="1">OR(Values!$S$98&gt;=Charms!M1052,IFERROR(Charms!J1052=OFFSET(Values!$A$24,MATCH("S",Values!$T$25:$T$50,0),0),FALSE))</f>
        <v>0</v>
      </c>
      <c r="D1052" t="b">
        <f>VLOOKUP(Charms!J1052,Values!$A$11:$S$59,19,0)&gt;=Charms!L1052</f>
        <v>0</v>
      </c>
      <c r="E1052" t="e">
        <f>OR(ISBLANK(Charms!I1052),(VLOOKUP(Values!$S$6,Castes!$B$2:$F$25,4,0)=Charms!I1052))</f>
        <v>#N/A</v>
      </c>
      <c r="J1052" t="e">
        <f t="shared" ca="1" si="81"/>
        <v>#N/A</v>
      </c>
      <c r="K1052" s="18" t="e">
        <f t="shared" ca="1" si="80"/>
        <v>#N/A</v>
      </c>
      <c r="L1052" t="e">
        <f ca="1">IF(J1052,Charms!B1052,"")</f>
        <v>#N/A</v>
      </c>
      <c r="M1052" t="str">
        <f t="shared" ca="1" si="82"/>
        <v>-</v>
      </c>
      <c r="N1052" s="18" t="str">
        <f t="shared" si="83"/>
        <v>K1034:L1104</v>
      </c>
      <c r="O1052" t="str">
        <f t="shared" si="84"/>
        <v>A1034:A1052</v>
      </c>
    </row>
    <row r="1053" spans="1:15">
      <c r="A1053" s="18" t="str">
        <f>Charms!K1053</f>
        <v>Performance</v>
      </c>
      <c r="B1053" t="str">
        <f>Charms!B1053</f>
        <v>Drama-Fueling Ardor</v>
      </c>
      <c r="C1053" t="b">
        <f ca="1">OR(Values!$S$98&gt;=Charms!M1053,IFERROR(Charms!J1053=OFFSET(Values!$A$24,MATCH("S",Values!$T$25:$T$50,0),0),FALSE))</f>
        <v>0</v>
      </c>
      <c r="D1053" t="b">
        <f>VLOOKUP(Charms!J1053,Values!$A$11:$S$59,19,0)&gt;=Charms!L1053</f>
        <v>0</v>
      </c>
      <c r="E1053" t="e">
        <f>OR(ISBLANK(Charms!I1053),(VLOOKUP(Values!$S$6,Castes!$B$2:$F$25,4,0)=Charms!I1053))</f>
        <v>#N/A</v>
      </c>
      <c r="J1053" t="e">
        <f t="shared" ca="1" si="81"/>
        <v>#N/A</v>
      </c>
      <c r="K1053" s="18" t="e">
        <f t="shared" ca="1" si="80"/>
        <v>#N/A</v>
      </c>
      <c r="L1053" t="e">
        <f ca="1">IF(J1053,Charms!B1053,"")</f>
        <v>#N/A</v>
      </c>
      <c r="M1053" t="str">
        <f t="shared" ca="1" si="82"/>
        <v>-</v>
      </c>
      <c r="N1053" s="18" t="str">
        <f t="shared" si="83"/>
        <v>K1034:L1104</v>
      </c>
      <c r="O1053" t="str">
        <f t="shared" si="84"/>
        <v>A1034:A1053</v>
      </c>
    </row>
    <row r="1054" spans="1:15">
      <c r="A1054" s="18" t="str">
        <f>Charms!K1054</f>
        <v>Performance</v>
      </c>
      <c r="B1054" t="str">
        <f>Charms!B1054</f>
        <v>Soul-Firing Performance</v>
      </c>
      <c r="C1054" t="b">
        <f ca="1">OR(Values!$S$98&gt;=Charms!M1054,IFERROR(Charms!J1054=OFFSET(Values!$A$24,MATCH("S",Values!$T$25:$T$50,0),0),FALSE))</f>
        <v>1</v>
      </c>
      <c r="D1054" t="b">
        <f>VLOOKUP(Charms!J1054,Values!$A$11:$S$59,19,0)&gt;=Charms!L1054</f>
        <v>0</v>
      </c>
      <c r="E1054" t="e">
        <f>OR(ISBLANK(Charms!I1054),(VLOOKUP(Values!$S$6,Castes!$B$2:$F$25,4,0)=Charms!I1054))</f>
        <v>#N/A</v>
      </c>
      <c r="J1054" t="e">
        <f t="shared" ca="1" si="81"/>
        <v>#N/A</v>
      </c>
      <c r="K1054" s="18" t="e">
        <f t="shared" ca="1" si="80"/>
        <v>#N/A</v>
      </c>
      <c r="L1054" t="e">
        <f ca="1">IF(J1054,Charms!B1054,"")</f>
        <v>#N/A</v>
      </c>
      <c r="M1054" t="str">
        <f t="shared" ca="1" si="82"/>
        <v>-</v>
      </c>
      <c r="N1054" s="18" t="str">
        <f t="shared" si="83"/>
        <v>K1034:L1104</v>
      </c>
      <c r="O1054" t="str">
        <f t="shared" si="84"/>
        <v>A1034:A1054</v>
      </c>
    </row>
    <row r="1055" spans="1:15">
      <c r="A1055" s="18" t="str">
        <f>Charms!K1055</f>
        <v>Performance</v>
      </c>
      <c r="B1055" t="str">
        <f>Charms!B1055</f>
        <v>Trance of Fugue Vision</v>
      </c>
      <c r="C1055" t="b">
        <f ca="1">OR(Values!$S$98&gt;=Charms!M1055,IFERROR(Charms!J1055=OFFSET(Values!$A$24,MATCH("S",Values!$T$25:$T$50,0),0),FALSE))</f>
        <v>0</v>
      </c>
      <c r="D1055" t="b">
        <f>VLOOKUP(Charms!J1055,Values!$A$11:$S$59,19,0)&gt;=Charms!L1055</f>
        <v>0</v>
      </c>
      <c r="E1055" t="e">
        <f>OR(ISBLANK(Charms!I1055),(VLOOKUP(Values!$S$6,Castes!$B$2:$F$25,4,0)=Charms!I1055))</f>
        <v>#N/A</v>
      </c>
      <c r="J1055" t="e">
        <f t="shared" ca="1" si="81"/>
        <v>#N/A</v>
      </c>
      <c r="K1055" s="18" t="e">
        <f t="shared" ca="1" si="80"/>
        <v>#N/A</v>
      </c>
      <c r="L1055" t="e">
        <f ca="1">IF(J1055,Charms!B1055,"")</f>
        <v>#N/A</v>
      </c>
      <c r="M1055" t="str">
        <f t="shared" ca="1" si="82"/>
        <v>-</v>
      </c>
      <c r="N1055" s="18" t="str">
        <f t="shared" si="83"/>
        <v>K1034:L1104</v>
      </c>
      <c r="O1055" t="str">
        <f t="shared" si="84"/>
        <v>A1034:A1055</v>
      </c>
    </row>
    <row r="1056" spans="1:15">
      <c r="A1056" s="18" t="str">
        <f>Charms!K1056</f>
        <v>Performance</v>
      </c>
      <c r="B1056" t="str">
        <f>Charms!B1056</f>
        <v>Penultimate Unity of Form</v>
      </c>
      <c r="C1056" t="b">
        <f ca="1">OR(Values!$S$98&gt;=Charms!M1056,IFERROR(Charms!J1056=OFFSET(Values!$A$24,MATCH("S",Values!$T$25:$T$50,0),0),FALSE))</f>
        <v>0</v>
      </c>
      <c r="D1056" t="b">
        <f>VLOOKUP(Charms!J1056,Values!$A$11:$S$59,19,0)&gt;=Charms!L1056</f>
        <v>0</v>
      </c>
      <c r="E1056" t="e">
        <f>OR(ISBLANK(Charms!I1056),(VLOOKUP(Values!$S$6,Castes!$B$2:$F$25,4,0)=Charms!I1056))</f>
        <v>#N/A</v>
      </c>
      <c r="J1056" t="e">
        <f t="shared" ca="1" si="81"/>
        <v>#N/A</v>
      </c>
      <c r="K1056" s="18" t="e">
        <f t="shared" ca="1" si="80"/>
        <v>#N/A</v>
      </c>
      <c r="L1056" t="e">
        <f ca="1">IF(J1056,Charms!B1056,"")</f>
        <v>#N/A</v>
      </c>
      <c r="M1056" t="str">
        <f t="shared" ca="1" si="82"/>
        <v>-</v>
      </c>
      <c r="N1056" s="18" t="str">
        <f t="shared" si="83"/>
        <v>K1034:L1104</v>
      </c>
      <c r="O1056" t="str">
        <f t="shared" si="84"/>
        <v>A1034:A1056</v>
      </c>
    </row>
    <row r="1057" spans="1:15">
      <c r="A1057" s="18" t="str">
        <f>Charms!K1057</f>
        <v>Performance</v>
      </c>
      <c r="B1057" t="str">
        <f>Charms!B1057</f>
        <v>Soul-Bracing Momentous Power</v>
      </c>
      <c r="C1057" t="b">
        <f ca="1">OR(Values!$S$98&gt;=Charms!M1057,IFERROR(Charms!J1057=OFFSET(Values!$A$24,MATCH("S",Values!$T$25:$T$50,0),0),FALSE))</f>
        <v>0</v>
      </c>
      <c r="D1057" t="b">
        <f>VLOOKUP(Charms!J1057,Values!$A$11:$S$59,19,0)&gt;=Charms!L1057</f>
        <v>0</v>
      </c>
      <c r="E1057" t="e">
        <f>OR(ISBLANK(Charms!I1057),(VLOOKUP(Values!$S$6,Castes!$B$2:$F$25,4,0)=Charms!I1057))</f>
        <v>#N/A</v>
      </c>
      <c r="J1057" t="e">
        <f t="shared" ca="1" si="81"/>
        <v>#N/A</v>
      </c>
      <c r="K1057" s="18" t="e">
        <f t="shared" ca="1" si="80"/>
        <v>#N/A</v>
      </c>
      <c r="L1057" t="e">
        <f ca="1">IF(J1057,Charms!B1057,"")</f>
        <v>#N/A</v>
      </c>
      <c r="M1057" t="str">
        <f t="shared" ca="1" si="82"/>
        <v>-</v>
      </c>
      <c r="N1057" s="18" t="str">
        <f t="shared" si="83"/>
        <v>K1034:L1104</v>
      </c>
      <c r="O1057" t="str">
        <f t="shared" si="84"/>
        <v>A1034:A1057</v>
      </c>
    </row>
    <row r="1058" spans="1:15">
      <c r="A1058" s="18" t="str">
        <f>Charms!K1058</f>
        <v>Performance</v>
      </c>
      <c r="B1058" t="str">
        <f>Charms!B1058</f>
        <v>Unmatched Showmanship Style</v>
      </c>
      <c r="C1058" t="b">
        <f ca="1">OR(Values!$S$98&gt;=Charms!M1058,IFERROR(Charms!J1058=OFFSET(Values!$A$24,MATCH("S",Values!$T$25:$T$50,0),0),FALSE))</f>
        <v>0</v>
      </c>
      <c r="D1058" t="b">
        <f>VLOOKUP(Charms!J1058,Values!$A$11:$S$59,19,0)&gt;=Charms!L1058</f>
        <v>0</v>
      </c>
      <c r="E1058" t="e">
        <f>OR(ISBLANK(Charms!I1058),(VLOOKUP(Values!$S$6,Castes!$B$2:$F$25,4,0)=Charms!I1058))</f>
        <v>#N/A</v>
      </c>
      <c r="J1058" t="e">
        <f t="shared" ca="1" si="81"/>
        <v>#N/A</v>
      </c>
      <c r="K1058" s="18" t="e">
        <f t="shared" ca="1" si="80"/>
        <v>#N/A</v>
      </c>
      <c r="L1058" t="e">
        <f ca="1">IF(J1058,Charms!B1058,"")</f>
        <v>#N/A</v>
      </c>
      <c r="M1058" t="str">
        <f t="shared" ca="1" si="82"/>
        <v>-</v>
      </c>
      <c r="N1058" s="18" t="str">
        <f t="shared" si="83"/>
        <v>K1034:L1104</v>
      </c>
      <c r="O1058" t="str">
        <f t="shared" si="84"/>
        <v>A1034:A1058</v>
      </c>
    </row>
    <row r="1059" spans="1:15">
      <c r="A1059" s="18" t="str">
        <f>Charms!K1059</f>
        <v>Performance</v>
      </c>
      <c r="B1059" t="str">
        <f>Charms!B1059</f>
        <v>Soul Voice</v>
      </c>
      <c r="C1059" t="b">
        <f ca="1">OR(Values!$S$98&gt;=Charms!M1059,IFERROR(Charms!J1059=OFFSET(Values!$A$24,MATCH("S",Values!$T$25:$T$50,0),0),FALSE))</f>
        <v>0</v>
      </c>
      <c r="D1059" t="b">
        <f>VLOOKUP(Charms!J1059,Values!$A$11:$S$59,19,0)&gt;=Charms!L1059</f>
        <v>0</v>
      </c>
      <c r="E1059" t="e">
        <f>OR(ISBLANK(Charms!I1059),(VLOOKUP(Values!$S$6,Castes!$B$2:$F$25,4,0)=Charms!I1059))</f>
        <v>#N/A</v>
      </c>
      <c r="J1059" t="e">
        <f t="shared" ca="1" si="81"/>
        <v>#N/A</v>
      </c>
      <c r="K1059" s="18" t="e">
        <f t="shared" ca="1" si="80"/>
        <v>#N/A</v>
      </c>
      <c r="L1059" t="e">
        <f ca="1">IF(J1059,Charms!B1059,"")</f>
        <v>#N/A</v>
      </c>
      <c r="M1059" t="str">
        <f t="shared" ca="1" si="82"/>
        <v>-</v>
      </c>
      <c r="N1059" s="18" t="str">
        <f t="shared" si="83"/>
        <v>K1034:L1104</v>
      </c>
      <c r="O1059" t="str">
        <f t="shared" si="84"/>
        <v>A1034:A1059</v>
      </c>
    </row>
    <row r="1060" spans="1:15">
      <c r="A1060" s="18" t="str">
        <f>Charms!K1060</f>
        <v>Performance</v>
      </c>
      <c r="B1060" t="str">
        <f>Charms!B1060</f>
        <v>Pivotal Encore Performance</v>
      </c>
      <c r="C1060" t="b">
        <f ca="1">OR(Values!$S$98&gt;=Charms!M1060,IFERROR(Charms!J1060=OFFSET(Values!$A$24,MATCH("S",Values!$T$25:$T$50,0),0),FALSE))</f>
        <v>0</v>
      </c>
      <c r="D1060" t="b">
        <f>VLOOKUP(Charms!J1060,Values!$A$11:$S$59,19,0)&gt;=Charms!L1060</f>
        <v>0</v>
      </c>
      <c r="E1060" t="e">
        <f>OR(ISBLANK(Charms!I1060),(VLOOKUP(Values!$S$6,Castes!$B$2:$F$25,4,0)=Charms!I1060))</f>
        <v>#N/A</v>
      </c>
      <c r="J1060" t="e">
        <f t="shared" ca="1" si="81"/>
        <v>#N/A</v>
      </c>
      <c r="K1060" s="18" t="e">
        <f t="shared" ca="1" si="80"/>
        <v>#N/A</v>
      </c>
      <c r="L1060" t="e">
        <f ca="1">IF(J1060,Charms!B1060,"")</f>
        <v>#N/A</v>
      </c>
      <c r="M1060" t="str">
        <f t="shared" ca="1" si="82"/>
        <v>-</v>
      </c>
      <c r="N1060" s="18" t="str">
        <f t="shared" si="83"/>
        <v>K1034:L1104</v>
      </c>
      <c r="O1060" t="str">
        <f t="shared" si="84"/>
        <v>A1034:A1060</v>
      </c>
    </row>
    <row r="1061" spans="1:15">
      <c r="A1061" s="18" t="str">
        <f>Charms!K1061</f>
        <v>Performance</v>
      </c>
      <c r="B1061" t="str">
        <f>Charms!B1061</f>
        <v>Memory-Reweaving Discipline</v>
      </c>
      <c r="C1061" t="b">
        <f ca="1">OR(Values!$S$98&gt;=Charms!M1061,IFERROR(Charms!J1061=OFFSET(Values!$A$24,MATCH("S",Values!$T$25:$T$50,0),0),FALSE))</f>
        <v>0</v>
      </c>
      <c r="D1061" t="b">
        <f>VLOOKUP(Charms!J1061,Values!$A$11:$S$59,19,0)&gt;=Charms!L1061</f>
        <v>0</v>
      </c>
      <c r="E1061" t="e">
        <f>OR(ISBLANK(Charms!I1061),(VLOOKUP(Values!$S$6,Castes!$B$2:$F$25,4,0)=Charms!I1061))</f>
        <v>#N/A</v>
      </c>
      <c r="J1061" t="e">
        <f t="shared" ca="1" si="81"/>
        <v>#N/A</v>
      </c>
      <c r="K1061" s="18" t="e">
        <f t="shared" ca="1" si="80"/>
        <v>#N/A</v>
      </c>
      <c r="L1061" t="e">
        <f ca="1">IF(J1061,Charms!B1061,"")</f>
        <v>#N/A</v>
      </c>
      <c r="M1061" t="str">
        <f t="shared" ca="1" si="82"/>
        <v>-</v>
      </c>
      <c r="N1061" s="18" t="str">
        <f t="shared" si="83"/>
        <v>K1034:L1104</v>
      </c>
      <c r="O1061" t="str">
        <f t="shared" si="84"/>
        <v>A1034:A1061</v>
      </c>
    </row>
    <row r="1062" spans="1:15">
      <c r="A1062" s="18" t="str">
        <f>Charms!K1062</f>
        <v>Performance</v>
      </c>
      <c r="B1062" t="str">
        <f>Charms!B1062</f>
        <v>Demon Wracking Shout</v>
      </c>
      <c r="C1062" t="b">
        <f ca="1">OR(Values!$S$98&gt;=Charms!M1062,IFERROR(Charms!J1062=OFFSET(Values!$A$24,MATCH("S",Values!$T$25:$T$50,0),0),FALSE))</f>
        <v>0</v>
      </c>
      <c r="D1062" t="b">
        <f>VLOOKUP(Charms!J1062,Values!$A$11:$S$59,19,0)&gt;=Charms!L1062</f>
        <v>0</v>
      </c>
      <c r="E1062" t="e">
        <f>OR(ISBLANK(Charms!I1062),(VLOOKUP(Values!$S$6,Castes!$B$2:$F$25,4,0)=Charms!I1062))</f>
        <v>#N/A</v>
      </c>
      <c r="J1062" t="e">
        <f t="shared" ca="1" si="81"/>
        <v>#N/A</v>
      </c>
      <c r="K1062" s="18" t="e">
        <f t="shared" ca="1" si="80"/>
        <v>#N/A</v>
      </c>
      <c r="L1062" t="e">
        <f ca="1">IF(J1062,Charms!B1062,"")</f>
        <v>#N/A</v>
      </c>
      <c r="M1062" t="str">
        <f t="shared" ca="1" si="82"/>
        <v>-</v>
      </c>
      <c r="N1062" s="18" t="str">
        <f t="shared" si="83"/>
        <v>K1034:L1104</v>
      </c>
      <c r="O1062" t="str">
        <f t="shared" si="84"/>
        <v>A1034:A1062</v>
      </c>
    </row>
    <row r="1063" spans="1:15">
      <c r="A1063" s="18" t="str">
        <f>Charms!K1063</f>
        <v>Performance</v>
      </c>
      <c r="B1063" t="str">
        <f>Charms!B1063</f>
        <v>Dogmatic Contagion Discipline</v>
      </c>
      <c r="C1063" t="b">
        <f ca="1">OR(Values!$S$98&gt;=Charms!M1063,IFERROR(Charms!J1063=OFFSET(Values!$A$24,MATCH("S",Values!$T$25:$T$50,0),0),FALSE))</f>
        <v>0</v>
      </c>
      <c r="D1063" t="b">
        <f>VLOOKUP(Charms!J1063,Values!$A$11:$S$59,19,0)&gt;=Charms!L1063</f>
        <v>0</v>
      </c>
      <c r="E1063" t="e">
        <f>OR(ISBLANK(Charms!I1063),(VLOOKUP(Values!$S$6,Castes!$B$2:$F$25,4,0)=Charms!I1063))</f>
        <v>#N/A</v>
      </c>
      <c r="J1063" t="e">
        <f t="shared" ca="1" si="81"/>
        <v>#N/A</v>
      </c>
      <c r="K1063" s="18" t="e">
        <f t="shared" ca="1" si="80"/>
        <v>#N/A</v>
      </c>
      <c r="L1063" t="e">
        <f ca="1">IF(J1063,Charms!B1063,"")</f>
        <v>#N/A</v>
      </c>
      <c r="M1063" t="str">
        <f t="shared" ca="1" si="82"/>
        <v>-</v>
      </c>
      <c r="N1063" s="18" t="str">
        <f t="shared" si="83"/>
        <v>K1034:L1104</v>
      </c>
      <c r="O1063" t="str">
        <f t="shared" si="84"/>
        <v>A1034:A1063</v>
      </c>
    </row>
    <row r="1064" spans="1:15">
      <c r="A1064" s="18" t="str">
        <f>Charms!K1064</f>
        <v>Performance</v>
      </c>
      <c r="B1064" t="str">
        <f>Charms!B1064</f>
        <v>Infectious Zealotry Approach</v>
      </c>
      <c r="C1064" t="b">
        <f ca="1">OR(Values!$S$98&gt;=Charms!M1064,IFERROR(Charms!J1064=OFFSET(Values!$A$24,MATCH("S",Values!$T$25:$T$50,0),0),FALSE))</f>
        <v>0</v>
      </c>
      <c r="D1064" t="b">
        <f>VLOOKUP(Charms!J1064,Values!$A$11:$S$59,19,0)&gt;=Charms!L1064</f>
        <v>0</v>
      </c>
      <c r="E1064" t="e">
        <f>OR(ISBLANK(Charms!I1064),(VLOOKUP(Values!$S$6,Castes!$B$2:$F$25,4,0)=Charms!I1064))</f>
        <v>#N/A</v>
      </c>
      <c r="J1064" t="e">
        <f t="shared" ca="1" si="81"/>
        <v>#N/A</v>
      </c>
      <c r="K1064" s="18" t="e">
        <f t="shared" ca="1" si="80"/>
        <v>#N/A</v>
      </c>
      <c r="L1064" t="e">
        <f ca="1">IF(J1064,Charms!B1064,"")</f>
        <v>#N/A</v>
      </c>
      <c r="M1064" t="str">
        <f t="shared" ca="1" si="82"/>
        <v>-</v>
      </c>
      <c r="N1064" s="18" t="str">
        <f t="shared" si="83"/>
        <v>K1034:L1104</v>
      </c>
      <c r="O1064" t="str">
        <f t="shared" si="84"/>
        <v>A1034:A1064</v>
      </c>
    </row>
    <row r="1065" spans="1:15">
      <c r="A1065" s="18" t="str">
        <f>Charms!K1065</f>
        <v>Performance</v>
      </c>
      <c r="B1065" t="str">
        <f>Charms!B1065</f>
        <v>Battle Anthem (of the Solar Exalted)</v>
      </c>
      <c r="C1065" t="b">
        <f ca="1">OR(Values!$S$98&gt;=Charms!M1065,IFERROR(Charms!J1065=OFFSET(Values!$A$24,MATCH("S",Values!$T$25:$T$50,0),0),FALSE))</f>
        <v>0</v>
      </c>
      <c r="D1065" t="b">
        <f>VLOOKUP(Charms!J1065,Values!$A$11:$S$59,19,0)&gt;=Charms!L1065</f>
        <v>0</v>
      </c>
      <c r="E1065" t="e">
        <f>OR(ISBLANK(Charms!I1065),(VLOOKUP(Values!$S$6,Castes!$B$2:$F$25,4,0)=Charms!I1065))</f>
        <v>#N/A</v>
      </c>
      <c r="J1065" t="e">
        <f t="shared" ca="1" si="81"/>
        <v>#N/A</v>
      </c>
      <c r="K1065" s="18" t="e">
        <f t="shared" ca="1" si="80"/>
        <v>#N/A</v>
      </c>
      <c r="L1065" t="e">
        <f ca="1">IF(J1065,Charms!B1065,"")</f>
        <v>#N/A</v>
      </c>
      <c r="M1065" t="str">
        <f t="shared" ca="1" si="82"/>
        <v>-</v>
      </c>
      <c r="N1065" s="18" t="str">
        <f t="shared" si="83"/>
        <v>K1034:L1104</v>
      </c>
      <c r="O1065" t="str">
        <f t="shared" si="84"/>
        <v>A1034:A1065</v>
      </c>
    </row>
    <row r="1066" spans="1:15">
      <c r="A1066" s="18" t="str">
        <f>Charms!K1066</f>
        <v>Performance</v>
      </c>
      <c r="B1066" t="str">
        <f>Charms!B1066</f>
        <v>Plectral Harbinger's Approach</v>
      </c>
      <c r="C1066" t="b">
        <f ca="1">OR(Values!$S$98&gt;=Charms!M1066,IFERROR(Charms!J1066=OFFSET(Values!$A$24,MATCH("S",Values!$T$25:$T$50,0),0),FALSE))</f>
        <v>0</v>
      </c>
      <c r="D1066" t="b">
        <f>VLOOKUP(Charms!J1066,Values!$A$11:$S$59,19,0)&gt;=Charms!L1066</f>
        <v>0</v>
      </c>
      <c r="E1066" t="e">
        <f>OR(ISBLANK(Charms!I1066),(VLOOKUP(Values!$S$6,Castes!$B$2:$F$25,4,0)=Charms!I1066))</f>
        <v>#N/A</v>
      </c>
      <c r="J1066" t="e">
        <f t="shared" ca="1" si="81"/>
        <v>#N/A</v>
      </c>
      <c r="K1066" s="18" t="e">
        <f t="shared" ca="1" si="80"/>
        <v>#N/A</v>
      </c>
      <c r="L1066" t="e">
        <f ca="1">IF(J1066,Charms!B1066,"")</f>
        <v>#N/A</v>
      </c>
      <c r="M1066" t="str">
        <f t="shared" ca="1" si="82"/>
        <v>-</v>
      </c>
      <c r="N1066" s="18" t="str">
        <f t="shared" si="83"/>
        <v>K1034:L1104</v>
      </c>
      <c r="O1066" t="str">
        <f t="shared" si="84"/>
        <v>A1034:A1066</v>
      </c>
    </row>
    <row r="1067" spans="1:15">
      <c r="A1067" s="18" t="str">
        <f>Charms!K1067</f>
        <v>Performance</v>
      </c>
      <c r="B1067" t="str">
        <f>Charms!B1067</f>
        <v>Soul-Stirring Cantata</v>
      </c>
      <c r="C1067" t="b">
        <f ca="1">OR(Values!$S$98&gt;=Charms!M1067,IFERROR(Charms!J1067=OFFSET(Values!$A$24,MATCH("S",Values!$T$25:$T$50,0),0),FALSE))</f>
        <v>0</v>
      </c>
      <c r="D1067" t="b">
        <f>VLOOKUP(Charms!J1067,Values!$A$11:$S$59,19,0)&gt;=Charms!L1067</f>
        <v>0</v>
      </c>
      <c r="E1067" t="e">
        <f>OR(ISBLANK(Charms!I1067),(VLOOKUP(Values!$S$6,Castes!$B$2:$F$25,4,0)=Charms!I1067))</f>
        <v>#N/A</v>
      </c>
      <c r="J1067" t="e">
        <f t="shared" ca="1" si="81"/>
        <v>#N/A</v>
      </c>
      <c r="K1067" s="18" t="e">
        <f t="shared" ca="1" si="80"/>
        <v>#N/A</v>
      </c>
      <c r="L1067" t="e">
        <f ca="1">IF(J1067,Charms!B1067,"")</f>
        <v>#N/A</v>
      </c>
      <c r="M1067" t="str">
        <f t="shared" ca="1" si="82"/>
        <v>-</v>
      </c>
      <c r="N1067" s="18" t="str">
        <f t="shared" si="83"/>
        <v>K1034:L1104</v>
      </c>
      <c r="O1067" t="str">
        <f t="shared" si="84"/>
        <v>A1034:A1067</v>
      </c>
    </row>
    <row r="1068" spans="1:15">
      <c r="A1068" s="18" t="str">
        <f>Charms!K1068</f>
        <v>Performance</v>
      </c>
      <c r="B1068" t="str">
        <f>Charms!B1068</f>
        <v>Heroism-Encouraging Ballad</v>
      </c>
      <c r="C1068" t="b">
        <f ca="1">OR(Values!$S$98&gt;=Charms!M1068,IFERROR(Charms!J1068=OFFSET(Values!$A$24,MATCH("S",Values!$T$25:$T$50,0),0),FALSE))</f>
        <v>0</v>
      </c>
      <c r="D1068" t="b">
        <f>VLOOKUP(Charms!J1068,Values!$A$11:$S$59,19,0)&gt;=Charms!L1068</f>
        <v>0</v>
      </c>
      <c r="E1068" t="e">
        <f>OR(ISBLANK(Charms!I1068),(VLOOKUP(Values!$S$6,Castes!$B$2:$F$25,4,0)=Charms!I1068))</f>
        <v>#N/A</v>
      </c>
      <c r="J1068" t="e">
        <f t="shared" ca="1" si="81"/>
        <v>#N/A</v>
      </c>
      <c r="K1068" s="18" t="e">
        <f t="shared" ca="1" si="80"/>
        <v>#N/A</v>
      </c>
      <c r="L1068" t="e">
        <f ca="1">IF(J1068,Charms!B1068,"")</f>
        <v>#N/A</v>
      </c>
      <c r="M1068" t="str">
        <f t="shared" ca="1" si="82"/>
        <v>-</v>
      </c>
      <c r="N1068" s="18" t="str">
        <f t="shared" si="83"/>
        <v>K1034:L1104</v>
      </c>
      <c r="O1068" t="str">
        <f t="shared" si="84"/>
        <v>A1034:A1068</v>
      </c>
    </row>
    <row r="1069" spans="1:15">
      <c r="A1069" s="18" t="str">
        <f>Charms!K1069</f>
        <v>Performance</v>
      </c>
      <c r="B1069" t="str">
        <f>Charms!B1069</f>
        <v>Winding Sinuous Motion</v>
      </c>
      <c r="C1069" t="b">
        <f ca="1">OR(Values!$S$98&gt;=Charms!M1069,IFERROR(Charms!J1069=OFFSET(Values!$A$24,MATCH("S",Values!$T$25:$T$50,0),0),FALSE))</f>
        <v>0</v>
      </c>
      <c r="D1069" t="b">
        <f>VLOOKUP(Charms!J1069,Values!$A$11:$S$59,19,0)&gt;=Charms!L1069</f>
        <v>0</v>
      </c>
      <c r="E1069" t="e">
        <f>OR(ISBLANK(Charms!I1069),(VLOOKUP(Values!$S$6,Castes!$B$2:$F$25,4,0)=Charms!I1069))</f>
        <v>#N/A</v>
      </c>
      <c r="J1069" t="e">
        <f t="shared" ca="1" si="81"/>
        <v>#N/A</v>
      </c>
      <c r="K1069" s="18" t="e">
        <f t="shared" ca="1" si="80"/>
        <v>#N/A</v>
      </c>
      <c r="L1069" t="e">
        <f ca="1">IF(J1069,Charms!B1069,"")</f>
        <v>#N/A</v>
      </c>
      <c r="M1069" t="str">
        <f t="shared" ca="1" si="82"/>
        <v>-</v>
      </c>
      <c r="N1069" s="18" t="str">
        <f t="shared" si="83"/>
        <v>K1034:L1104</v>
      </c>
      <c r="O1069" t="str">
        <f t="shared" si="84"/>
        <v>A1034:A1069</v>
      </c>
    </row>
    <row r="1070" spans="1:15">
      <c r="A1070" s="18" t="str">
        <f>Charms!K1070</f>
        <v>Performance</v>
      </c>
      <c r="B1070" t="str">
        <f>Charms!B1070</f>
        <v>Monk-Seducing Demon Dance</v>
      </c>
      <c r="C1070" t="b">
        <f ca="1">OR(Values!$S$98&gt;=Charms!M1070,IFERROR(Charms!J1070=OFFSET(Values!$A$24,MATCH("S",Values!$T$25:$T$50,0),0),FALSE))</f>
        <v>0</v>
      </c>
      <c r="D1070" t="b">
        <f>VLOOKUP(Charms!J1070,Values!$A$11:$S$59,19,0)&gt;=Charms!L1070</f>
        <v>0</v>
      </c>
      <c r="E1070" t="e">
        <f>OR(ISBLANK(Charms!I1070),(VLOOKUP(Values!$S$6,Castes!$B$2:$F$25,4,0)=Charms!I1070))</f>
        <v>#N/A</v>
      </c>
      <c r="J1070" t="e">
        <f t="shared" ca="1" si="81"/>
        <v>#N/A</v>
      </c>
      <c r="K1070" s="18" t="e">
        <f t="shared" ca="1" si="80"/>
        <v>#N/A</v>
      </c>
      <c r="L1070" t="e">
        <f ca="1">IF(J1070,Charms!B1070,"")</f>
        <v>#N/A</v>
      </c>
      <c r="M1070" t="str">
        <f t="shared" ca="1" si="82"/>
        <v>-</v>
      </c>
      <c r="N1070" s="18" t="str">
        <f t="shared" si="83"/>
        <v>K1034:L1104</v>
      </c>
      <c r="O1070" t="str">
        <f t="shared" si="84"/>
        <v>A1034:A1070</v>
      </c>
    </row>
    <row r="1071" spans="1:15">
      <c r="A1071" s="18" t="str">
        <f>Charms!K1071</f>
        <v>Performance</v>
      </c>
      <c r="B1071" t="str">
        <f>Charms!B1071</f>
        <v>Most Excellent Mockingbird</v>
      </c>
      <c r="C1071" t="b">
        <f ca="1">OR(Values!$S$98&gt;=Charms!M1071,IFERROR(Charms!J1071=OFFSET(Values!$A$24,MATCH("S",Values!$T$25:$T$50,0),0),FALSE))</f>
        <v>1</v>
      </c>
      <c r="D1071" t="b">
        <f>VLOOKUP(Charms!J1071,Values!$A$11:$S$59,19,0)&gt;=Charms!L1071</f>
        <v>0</v>
      </c>
      <c r="E1071" t="e">
        <f>OR(ISBLANK(Charms!I1071),(VLOOKUP(Values!$S$6,Castes!$B$2:$F$25,4,0)=Charms!I1071))</f>
        <v>#N/A</v>
      </c>
      <c r="J1071" t="e">
        <f t="shared" ca="1" si="81"/>
        <v>#N/A</v>
      </c>
      <c r="K1071" s="18" t="e">
        <f t="shared" ca="1" si="80"/>
        <v>#N/A</v>
      </c>
      <c r="L1071" t="e">
        <f ca="1">IF(J1071,Charms!B1071,"")</f>
        <v>#N/A</v>
      </c>
      <c r="M1071" t="str">
        <f t="shared" ca="1" si="82"/>
        <v>-</v>
      </c>
      <c r="N1071" s="18" t="str">
        <f t="shared" si="83"/>
        <v>K1034:L1104</v>
      </c>
      <c r="O1071" t="str">
        <f t="shared" si="84"/>
        <v>A1034:A1071</v>
      </c>
    </row>
    <row r="1072" spans="1:15">
      <c r="A1072" s="18" t="str">
        <f>Charms!K1072</f>
        <v>Performance</v>
      </c>
      <c r="B1072" t="str">
        <f>Charms!B1072</f>
        <v>Seventeen Cycles Symphony</v>
      </c>
      <c r="C1072" t="b">
        <f ca="1">OR(Values!$S$98&gt;=Charms!M1072,IFERROR(Charms!J1072=OFFSET(Values!$A$24,MATCH("S",Values!$T$25:$T$50,0),0),FALSE))</f>
        <v>0</v>
      </c>
      <c r="D1072" t="b">
        <f>VLOOKUP(Charms!J1072,Values!$A$11:$S$59,19,0)&gt;=Charms!L1072</f>
        <v>0</v>
      </c>
      <c r="E1072" t="e">
        <f>OR(ISBLANK(Charms!I1072),(VLOOKUP(Values!$S$6,Castes!$B$2:$F$25,4,0)=Charms!I1072))</f>
        <v>#N/A</v>
      </c>
      <c r="J1072" t="e">
        <f t="shared" ca="1" si="81"/>
        <v>#N/A</v>
      </c>
      <c r="K1072" s="18" t="e">
        <f t="shared" ca="1" si="80"/>
        <v>#N/A</v>
      </c>
      <c r="L1072" t="e">
        <f ca="1">IF(J1072,Charms!B1072,"")</f>
        <v>#N/A</v>
      </c>
      <c r="M1072" t="str">
        <f t="shared" ca="1" si="82"/>
        <v>-</v>
      </c>
      <c r="N1072" s="18" t="str">
        <f t="shared" si="83"/>
        <v>K1034:L1104</v>
      </c>
      <c r="O1072" t="str">
        <f t="shared" si="84"/>
        <v>A1034:A1072</v>
      </c>
    </row>
    <row r="1073" spans="1:15">
      <c r="A1073" s="18" t="str">
        <f>Charms!K1073</f>
        <v>Performance</v>
      </c>
      <c r="B1073" t="str">
        <f>Charms!B1073</f>
        <v>Divinely-Inspired Performance</v>
      </c>
      <c r="C1073" t="b">
        <f ca="1">OR(Values!$S$98&gt;=Charms!M1073,IFERROR(Charms!J1073=OFFSET(Values!$A$24,MATCH("S",Values!$T$25:$T$50,0),0),FALSE))</f>
        <v>0</v>
      </c>
      <c r="D1073" t="b">
        <f>VLOOKUP(Charms!J1073,Values!$A$11:$S$59,19,0)&gt;=Charms!L1073</f>
        <v>0</v>
      </c>
      <c r="E1073" t="e">
        <f>OR(ISBLANK(Charms!I1073),(VLOOKUP(Values!$S$6,Castes!$B$2:$F$25,4,0)=Charms!I1073))</f>
        <v>#N/A</v>
      </c>
      <c r="J1073" t="e">
        <f t="shared" ca="1" si="81"/>
        <v>#N/A</v>
      </c>
      <c r="K1073" s="18" t="e">
        <f t="shared" ca="1" si="80"/>
        <v>#N/A</v>
      </c>
      <c r="L1073" t="e">
        <f ca="1">IF(J1073,Charms!B1073,"")</f>
        <v>#N/A</v>
      </c>
      <c r="M1073" t="str">
        <f t="shared" ca="1" si="82"/>
        <v>-</v>
      </c>
      <c r="N1073" s="18" t="str">
        <f t="shared" si="83"/>
        <v>K1034:L1104</v>
      </c>
      <c r="O1073" t="str">
        <f t="shared" si="84"/>
        <v>A1034:A1073</v>
      </c>
    </row>
    <row r="1074" spans="1:15">
      <c r="A1074" s="18" t="str">
        <f>Charms!K1074</f>
        <v>Performance</v>
      </c>
      <c r="B1074" t="str">
        <f>Charms!B1074</f>
        <v>Seven Thunders Voice</v>
      </c>
      <c r="C1074" t="b">
        <f ca="1">OR(Values!$S$98&gt;=Charms!M1074,IFERROR(Charms!J1074=OFFSET(Values!$A$24,MATCH("S",Values!$T$25:$T$50,0),0),FALSE))</f>
        <v>0</v>
      </c>
      <c r="D1074" t="b">
        <f>VLOOKUP(Charms!J1074,Values!$A$11:$S$59,19,0)&gt;=Charms!L1074</f>
        <v>0</v>
      </c>
      <c r="E1074" t="e">
        <f>OR(ISBLANK(Charms!I1074),(VLOOKUP(Values!$S$6,Castes!$B$2:$F$25,4,0)=Charms!I1074))</f>
        <v>#N/A</v>
      </c>
      <c r="J1074" t="e">
        <f t="shared" ca="1" si="81"/>
        <v>#N/A</v>
      </c>
      <c r="K1074" s="18" t="e">
        <f t="shared" ca="1" si="80"/>
        <v>#N/A</v>
      </c>
      <c r="L1074" t="e">
        <f ca="1">IF(J1074,Charms!B1074,"")</f>
        <v>#N/A</v>
      </c>
      <c r="M1074" t="str">
        <f t="shared" ca="1" si="82"/>
        <v>-</v>
      </c>
      <c r="N1074" s="18" t="str">
        <f t="shared" si="83"/>
        <v>K1034:L1104</v>
      </c>
      <c r="O1074" t="str">
        <f t="shared" si="84"/>
        <v>A1034:A1074</v>
      </c>
    </row>
    <row r="1075" spans="1:15">
      <c r="A1075" s="18" t="str">
        <f>Charms!K1075</f>
        <v>Performance</v>
      </c>
      <c r="B1075" t="str">
        <f>Charms!B1075</f>
        <v>Audience-Enthusing Display</v>
      </c>
      <c r="C1075" t="b">
        <f ca="1">OR(Values!$S$98&gt;=Charms!M1075,IFERROR(Charms!J1075=OFFSET(Values!$A$24,MATCH("S",Values!$T$25:$T$50,0),0),FALSE))</f>
        <v>1</v>
      </c>
      <c r="D1075" t="b">
        <f>VLOOKUP(Charms!J1075,Values!$A$11:$S$59,19,0)&gt;=Charms!L1075</f>
        <v>0</v>
      </c>
      <c r="E1075" t="e">
        <f>OR(ISBLANK(Charms!I1075),(VLOOKUP(Values!$S$6,Castes!$B$2:$F$25,4,0)=Charms!I1075))</f>
        <v>#N/A</v>
      </c>
      <c r="J1075" t="e">
        <f t="shared" ca="1" si="81"/>
        <v>#N/A</v>
      </c>
      <c r="K1075" s="18" t="e">
        <f t="shared" ca="1" si="80"/>
        <v>#N/A</v>
      </c>
      <c r="L1075" t="e">
        <f ca="1">IF(J1075,Charms!B1075,"")</f>
        <v>#N/A</v>
      </c>
      <c r="M1075" t="str">
        <f t="shared" ca="1" si="82"/>
        <v>-</v>
      </c>
      <c r="N1075" s="18" t="str">
        <f t="shared" si="83"/>
        <v>K1034:L1104</v>
      </c>
      <c r="O1075" t="str">
        <f t="shared" si="84"/>
        <v>A1034:A1075</v>
      </c>
    </row>
    <row r="1076" spans="1:15">
      <c r="A1076" s="18" t="str">
        <f>Charms!K1076</f>
        <v>Performance</v>
      </c>
      <c r="B1076" t="str">
        <f>Charms!B1076</f>
        <v>Lightning Declamation Style</v>
      </c>
      <c r="C1076" t="b">
        <f ca="1">OR(Values!$S$98&gt;=Charms!M1076,IFERROR(Charms!J1076=OFFSET(Values!$A$24,MATCH("S",Values!$T$25:$T$50,0),0),FALSE))</f>
        <v>1</v>
      </c>
      <c r="D1076" t="b">
        <f>VLOOKUP(Charms!J1076,Values!$A$11:$S$59,19,0)&gt;=Charms!L1076</f>
        <v>0</v>
      </c>
      <c r="E1076" t="e">
        <f>OR(ISBLANK(Charms!I1076),(VLOOKUP(Values!$S$6,Castes!$B$2:$F$25,4,0)=Charms!I1076))</f>
        <v>#N/A</v>
      </c>
      <c r="J1076" t="e">
        <f t="shared" ca="1" si="81"/>
        <v>#N/A</v>
      </c>
      <c r="K1076" s="18" t="e">
        <f t="shared" ca="1" si="80"/>
        <v>#N/A</v>
      </c>
      <c r="L1076" t="e">
        <f ca="1">IF(J1076,Charms!B1076,"")</f>
        <v>#N/A</v>
      </c>
      <c r="M1076" t="str">
        <f t="shared" ca="1" si="82"/>
        <v>-</v>
      </c>
      <c r="N1076" s="18" t="str">
        <f t="shared" si="83"/>
        <v>K1034:L1104</v>
      </c>
      <c r="O1076" t="str">
        <f t="shared" si="84"/>
        <v>A1034:A1076</v>
      </c>
    </row>
    <row r="1077" spans="1:15">
      <c r="A1077" s="18" t="str">
        <f>Charms!K1077</f>
        <v>Performance</v>
      </c>
      <c r="B1077" t="str">
        <f>Charms!B1077</f>
        <v>Swaying Boughs Arabesque</v>
      </c>
      <c r="C1077" t="b">
        <f ca="1">OR(Values!$S$98&gt;=Charms!M1077,IFERROR(Charms!J1077=OFFSET(Values!$A$24,MATCH("S",Values!$T$25:$T$50,0),0),FALSE))</f>
        <v>1</v>
      </c>
      <c r="D1077" t="b">
        <f>VLOOKUP(Charms!J1077,Values!$A$11:$S$59,19,0)&gt;=Charms!L1077</f>
        <v>0</v>
      </c>
      <c r="E1077" t="e">
        <f>OR(ISBLANK(Charms!I1077),(VLOOKUP(Values!$S$6,Castes!$B$2:$F$25,4,0)=Charms!I1077))</f>
        <v>#N/A</v>
      </c>
      <c r="J1077" t="e">
        <f t="shared" ca="1" si="81"/>
        <v>#N/A</v>
      </c>
      <c r="K1077" s="18" t="e">
        <f t="shared" ca="1" si="80"/>
        <v>#N/A</v>
      </c>
      <c r="L1077" t="e">
        <f ca="1">IF(J1077,Charms!B1077,"")</f>
        <v>#N/A</v>
      </c>
      <c r="M1077" t="str">
        <f t="shared" ca="1" si="82"/>
        <v>-</v>
      </c>
      <c r="N1077" s="18" t="str">
        <f t="shared" si="83"/>
        <v>K1034:L1104</v>
      </c>
      <c r="O1077" t="str">
        <f t="shared" si="84"/>
        <v>A1034:A1077</v>
      </c>
    </row>
    <row r="1078" spans="1:15">
      <c r="A1078" s="18" t="str">
        <f>Charms!K1078</f>
        <v>Performance</v>
      </c>
      <c r="B1078" t="str">
        <f>Charms!B1078</f>
        <v>Petal-Strewn Pavane</v>
      </c>
      <c r="C1078" t="b">
        <f ca="1">OR(Values!$S$98&gt;=Charms!M1078,IFERROR(Charms!J1078=OFFSET(Values!$A$24,MATCH("S",Values!$T$25:$T$50,0),0),FALSE))</f>
        <v>1</v>
      </c>
      <c r="D1078" t="b">
        <f>VLOOKUP(Charms!J1078,Values!$A$11:$S$59,19,0)&gt;=Charms!L1078</f>
        <v>0</v>
      </c>
      <c r="E1078" t="e">
        <f>OR(ISBLANK(Charms!I1078),(VLOOKUP(Values!$S$6,Castes!$B$2:$F$25,4,0)=Charms!I1078))</f>
        <v>#N/A</v>
      </c>
      <c r="J1078" t="e">
        <f t="shared" ca="1" si="81"/>
        <v>#N/A</v>
      </c>
      <c r="K1078" s="18" t="e">
        <f t="shared" ca="1" si="80"/>
        <v>#N/A</v>
      </c>
      <c r="L1078" t="e">
        <f ca="1">IF(J1078,Charms!B1078,"")</f>
        <v>#N/A</v>
      </c>
      <c r="M1078" t="str">
        <f t="shared" ca="1" si="82"/>
        <v>-</v>
      </c>
      <c r="N1078" s="18" t="str">
        <f t="shared" si="83"/>
        <v>K1034:L1104</v>
      </c>
      <c r="O1078" t="str">
        <f t="shared" si="84"/>
        <v>A1034:A1078</v>
      </c>
    </row>
    <row r="1079" spans="1:15">
      <c r="A1079" s="18" t="str">
        <f>Charms!K1079</f>
        <v>Performance</v>
      </c>
      <c r="B1079" t="str">
        <f>Charms!B1079</f>
        <v>Hidden Petal Aria</v>
      </c>
      <c r="C1079" t="b">
        <f ca="1">OR(Values!$S$98&gt;=Charms!M1079,IFERROR(Charms!J1079=OFFSET(Values!$A$24,MATCH("S",Values!$T$25:$T$50,0),0),FALSE))</f>
        <v>1</v>
      </c>
      <c r="D1079" t="b">
        <f>VLOOKUP(Charms!J1079,Values!$A$11:$S$59,19,0)&gt;=Charms!L1079</f>
        <v>0</v>
      </c>
      <c r="E1079" t="e">
        <f>OR(ISBLANK(Charms!I1079),(VLOOKUP(Values!$S$6,Castes!$B$2:$F$25,4,0)=Charms!I1079))</f>
        <v>#N/A</v>
      </c>
      <c r="J1079" t="e">
        <f t="shared" ca="1" si="81"/>
        <v>#N/A</v>
      </c>
      <c r="K1079" s="18" t="e">
        <f t="shared" ca="1" si="80"/>
        <v>#N/A</v>
      </c>
      <c r="L1079" t="e">
        <f ca="1">IF(J1079,Charms!B1079,"")</f>
        <v>#N/A</v>
      </c>
      <c r="M1079" t="str">
        <f t="shared" ca="1" si="82"/>
        <v>-</v>
      </c>
      <c r="N1079" s="18" t="str">
        <f t="shared" si="83"/>
        <v>K1034:L1104</v>
      </c>
      <c r="O1079" t="str">
        <f t="shared" si="84"/>
        <v>A1034:A1079</v>
      </c>
    </row>
    <row r="1080" spans="1:15">
      <c r="A1080" s="18" t="str">
        <f>Charms!K1080</f>
        <v>Performance</v>
      </c>
      <c r="B1080" t="str">
        <f>Charms!B1080</f>
        <v>Invisible Street Performer Technique</v>
      </c>
      <c r="C1080" t="b">
        <f ca="1">OR(Values!$S$98&gt;=Charms!M1080,IFERROR(Charms!J1080=OFFSET(Values!$A$24,MATCH("S",Values!$T$25:$T$50,0),0),FALSE))</f>
        <v>1</v>
      </c>
      <c r="D1080" t="b">
        <f>VLOOKUP(Charms!J1080,Values!$A$11:$S$59,19,0)&gt;=Charms!L1080</f>
        <v>0</v>
      </c>
      <c r="E1080" t="e">
        <f>OR(ISBLANK(Charms!I1080),(VLOOKUP(Values!$S$6,Castes!$B$2:$F$25,4,0)=Charms!I1080))</f>
        <v>#N/A</v>
      </c>
      <c r="J1080" t="e">
        <f t="shared" ca="1" si="81"/>
        <v>#N/A</v>
      </c>
      <c r="K1080" s="18" t="e">
        <f t="shared" ca="1" si="80"/>
        <v>#N/A</v>
      </c>
      <c r="L1080" t="e">
        <f ca="1">IF(J1080,Charms!B1080,"")</f>
        <v>#N/A</v>
      </c>
      <c r="M1080" t="str">
        <f t="shared" ca="1" si="82"/>
        <v>-</v>
      </c>
      <c r="N1080" s="18" t="str">
        <f t="shared" si="83"/>
        <v>K1034:L1104</v>
      </c>
      <c r="O1080" t="str">
        <f t="shared" si="84"/>
        <v>A1034:A1080</v>
      </c>
    </row>
    <row r="1081" spans="1:15">
      <c r="A1081" s="18" t="str">
        <f>Charms!K1081</f>
        <v>Performance</v>
      </c>
      <c r="B1081" t="str">
        <f>Charms!B1081</f>
        <v>Legend-Hewn Wisdom</v>
      </c>
      <c r="C1081" t="b">
        <f ca="1">OR(Values!$S$98&gt;=Charms!M1081,IFERROR(Charms!J1081=OFFSET(Values!$A$24,MATCH("S",Values!$T$25:$T$50,0),0),FALSE))</f>
        <v>1</v>
      </c>
      <c r="D1081" t="b">
        <f>VLOOKUP(Charms!J1081,Values!$A$11:$S$59,19,0)&gt;=Charms!L1081</f>
        <v>0</v>
      </c>
      <c r="E1081" t="e">
        <f>OR(ISBLANK(Charms!I1081),(VLOOKUP(Values!$S$6,Castes!$B$2:$F$25,4,0)=Charms!I1081))</f>
        <v>#N/A</v>
      </c>
      <c r="J1081" t="e">
        <f t="shared" ca="1" si="81"/>
        <v>#N/A</v>
      </c>
      <c r="K1081" s="18" t="e">
        <f t="shared" ca="1" si="80"/>
        <v>#N/A</v>
      </c>
      <c r="L1081" t="e">
        <f ca="1">IF(J1081,Charms!B1081,"")</f>
        <v>#N/A</v>
      </c>
      <c r="M1081" t="str">
        <f t="shared" ca="1" si="82"/>
        <v>-</v>
      </c>
      <c r="N1081" s="18" t="str">
        <f t="shared" si="83"/>
        <v>K1034:L1104</v>
      </c>
      <c r="O1081" t="str">
        <f t="shared" si="84"/>
        <v>A1034:A1081</v>
      </c>
    </row>
    <row r="1082" spans="1:15">
      <c r="A1082" s="18" t="str">
        <f>Charms!K1082</f>
        <v>Performance</v>
      </c>
      <c r="B1082" t="str">
        <f>Charms!B1082</f>
        <v>Storm-Gathering Fervor</v>
      </c>
      <c r="C1082" t="b">
        <f ca="1">OR(Values!$S$98&gt;=Charms!M1082,IFERROR(Charms!J1082=OFFSET(Values!$A$24,MATCH("S",Values!$T$25:$T$50,0),0),FALSE))</f>
        <v>0</v>
      </c>
      <c r="D1082" t="b">
        <f>VLOOKUP(Charms!J1082,Values!$A$11:$S$59,19,0)&gt;=Charms!L1082</f>
        <v>0</v>
      </c>
      <c r="E1082" t="e">
        <f>OR(ISBLANK(Charms!I1082),(VLOOKUP(Values!$S$6,Castes!$B$2:$F$25,4,0)=Charms!I1082))</f>
        <v>#N/A</v>
      </c>
      <c r="J1082" t="e">
        <f t="shared" ca="1" si="81"/>
        <v>#N/A</v>
      </c>
      <c r="K1082" s="18" t="e">
        <f t="shared" ca="1" si="80"/>
        <v>#N/A</v>
      </c>
      <c r="L1082" t="e">
        <f ca="1">IF(J1082,Charms!B1082,"")</f>
        <v>#N/A</v>
      </c>
      <c r="M1082" t="str">
        <f t="shared" ca="1" si="82"/>
        <v>-</v>
      </c>
      <c r="N1082" s="18" t="str">
        <f t="shared" si="83"/>
        <v>K1034:L1104</v>
      </c>
      <c r="O1082" t="str">
        <f t="shared" si="84"/>
        <v>A1034:A1082</v>
      </c>
    </row>
    <row r="1083" spans="1:15">
      <c r="A1083" s="18" t="str">
        <f>Charms!K1083</f>
        <v>Performance</v>
      </c>
      <c r="B1083" t="str">
        <f>Charms!B1083</f>
        <v>Sanxian-Charming Fingers</v>
      </c>
      <c r="C1083" t="b">
        <f ca="1">OR(Values!$S$98&gt;=Charms!M1083,IFERROR(Charms!J1083=OFFSET(Values!$A$24,MATCH("S",Values!$T$25:$T$50,0),0),FALSE))</f>
        <v>1</v>
      </c>
      <c r="D1083" t="b">
        <f>VLOOKUP(Charms!J1083,Values!$A$11:$S$59,19,0)&gt;=Charms!L1083</f>
        <v>0</v>
      </c>
      <c r="E1083" t="e">
        <f>OR(ISBLANK(Charms!I1083),(VLOOKUP(Values!$S$6,Castes!$B$2:$F$25,4,0)=Charms!I1083))</f>
        <v>#N/A</v>
      </c>
      <c r="J1083" t="e">
        <f t="shared" ca="1" si="81"/>
        <v>#N/A</v>
      </c>
      <c r="K1083" s="18" t="e">
        <f t="shared" ca="1" si="80"/>
        <v>#N/A</v>
      </c>
      <c r="L1083" t="e">
        <f ca="1">IF(J1083,Charms!B1083,"")</f>
        <v>#N/A</v>
      </c>
      <c r="M1083" t="str">
        <f t="shared" ca="1" si="82"/>
        <v>-</v>
      </c>
      <c r="N1083" s="18" t="str">
        <f t="shared" si="83"/>
        <v>K1034:L1104</v>
      </c>
      <c r="O1083" t="str">
        <f t="shared" si="84"/>
        <v>A1034:A1083</v>
      </c>
    </row>
    <row r="1084" spans="1:15">
      <c r="A1084" s="18" t="str">
        <f>Charms!K1084</f>
        <v>Performance</v>
      </c>
      <c r="B1084" t="str">
        <f>Charms!B1084</f>
        <v>Voice-Uplifting Aspect</v>
      </c>
      <c r="C1084" t="b">
        <f ca="1">OR(Values!$S$98&gt;=Charms!M1084,IFERROR(Charms!J1084=OFFSET(Values!$A$24,MATCH("S",Values!$T$25:$T$50,0),0),FALSE))</f>
        <v>1</v>
      </c>
      <c r="D1084" t="b">
        <f>VLOOKUP(Charms!J1084,Values!$A$11:$S$59,19,0)&gt;=Charms!L1084</f>
        <v>0</v>
      </c>
      <c r="E1084" t="e">
        <f>OR(ISBLANK(Charms!I1084),(VLOOKUP(Values!$S$6,Castes!$B$2:$F$25,4,0)=Charms!I1084))</f>
        <v>#N/A</v>
      </c>
      <c r="J1084" t="e">
        <f t="shared" ca="1" si="81"/>
        <v>#N/A</v>
      </c>
      <c r="K1084" s="18" t="e">
        <f t="shared" ca="1" si="80"/>
        <v>#N/A</v>
      </c>
      <c r="L1084" t="e">
        <f ca="1">IF(J1084,Charms!B1084,"")</f>
        <v>#N/A</v>
      </c>
      <c r="M1084" t="str">
        <f t="shared" ca="1" si="82"/>
        <v>-</v>
      </c>
      <c r="N1084" s="18" t="str">
        <f t="shared" si="83"/>
        <v>K1034:L1104</v>
      </c>
      <c r="O1084" t="str">
        <f t="shared" si="84"/>
        <v>A1034:A1084</v>
      </c>
    </row>
    <row r="1085" spans="1:15">
      <c r="A1085" s="18" t="str">
        <f>Charms!K1085</f>
        <v>Performance</v>
      </c>
      <c r="B1085" t="str">
        <f>Charms!B1085</f>
        <v>Dance of Flashing Swords</v>
      </c>
      <c r="C1085" t="b">
        <f ca="1">OR(Values!$S$98&gt;=Charms!M1085,IFERROR(Charms!J1085=OFFSET(Values!$A$24,MATCH("S",Values!$T$25:$T$50,0),0),FALSE))</f>
        <v>0</v>
      </c>
      <c r="D1085" t="b">
        <f>VLOOKUP(Charms!J1085,Values!$A$11:$S$59,19,0)&gt;=Charms!L1085</f>
        <v>0</v>
      </c>
      <c r="E1085" t="e">
        <f>OR(ISBLANK(Charms!I1085),(VLOOKUP(Values!$S$6,Castes!$B$2:$F$25,4,0)=Charms!I1085))</f>
        <v>#N/A</v>
      </c>
      <c r="J1085" t="e">
        <f t="shared" ca="1" si="81"/>
        <v>#N/A</v>
      </c>
      <c r="K1085" s="18" t="e">
        <f t="shared" ca="1" si="80"/>
        <v>#N/A</v>
      </c>
      <c r="L1085" t="e">
        <f ca="1">IF(J1085,Charms!B1085,"")</f>
        <v>#N/A</v>
      </c>
      <c r="M1085" t="str">
        <f t="shared" ca="1" si="82"/>
        <v>-</v>
      </c>
      <c r="N1085" s="18" t="str">
        <f t="shared" si="83"/>
        <v>K1034:L1104</v>
      </c>
      <c r="O1085" t="str">
        <f t="shared" si="84"/>
        <v>A1034:A1085</v>
      </c>
    </row>
    <row r="1086" spans="1:15">
      <c r="A1086" s="18" t="str">
        <f>Charms!K1086</f>
        <v>Performance</v>
      </c>
      <c r="B1086" t="str">
        <f>Charms!B1086</f>
        <v>Talented Improvisation</v>
      </c>
      <c r="C1086" t="b">
        <f ca="1">OR(Values!$S$98&gt;=Charms!M1086,IFERROR(Charms!J1086=OFFSET(Values!$A$24,MATCH("S",Values!$T$25:$T$50,0),0),FALSE))</f>
        <v>0</v>
      </c>
      <c r="D1086" t="b">
        <f>VLOOKUP(Charms!J1086,Values!$A$11:$S$59,19,0)&gt;=Charms!L1086</f>
        <v>0</v>
      </c>
      <c r="E1086" t="e">
        <f>OR(ISBLANK(Charms!I1086),(VLOOKUP(Values!$S$6,Castes!$B$2:$F$25,4,0)=Charms!I1086))</f>
        <v>#N/A</v>
      </c>
      <c r="J1086" t="e">
        <f t="shared" ca="1" si="81"/>
        <v>#N/A</v>
      </c>
      <c r="K1086" s="18" t="e">
        <f t="shared" ca="1" si="80"/>
        <v>#N/A</v>
      </c>
      <c r="L1086" t="e">
        <f ca="1">IF(J1086,Charms!B1086,"")</f>
        <v>#N/A</v>
      </c>
      <c r="M1086" t="str">
        <f t="shared" ca="1" si="82"/>
        <v>-</v>
      </c>
      <c r="N1086" s="18" t="str">
        <f t="shared" si="83"/>
        <v>K1034:L1104</v>
      </c>
      <c r="O1086" t="str">
        <f t="shared" si="84"/>
        <v>A1034:A1086</v>
      </c>
    </row>
    <row r="1087" spans="1:15">
      <c r="A1087" s="18" t="str">
        <f>Charms!K1087</f>
        <v>Performance</v>
      </c>
      <c r="B1087" t="str">
        <f>Charms!B1087</f>
        <v>Epoch Saga Memory</v>
      </c>
      <c r="C1087" t="b">
        <f ca="1">OR(Values!$S$98&gt;=Charms!M1087,IFERROR(Charms!J1087=OFFSET(Values!$A$24,MATCH("S",Values!$T$25:$T$50,0),0),FALSE))</f>
        <v>0</v>
      </c>
      <c r="D1087" t="b">
        <f>VLOOKUP(Charms!J1087,Values!$A$11:$S$59,19,0)&gt;=Charms!L1087</f>
        <v>0</v>
      </c>
      <c r="E1087" t="e">
        <f>OR(ISBLANK(Charms!I1087),(VLOOKUP(Values!$S$6,Castes!$B$2:$F$25,4,0)=Charms!I1087))</f>
        <v>#N/A</v>
      </c>
      <c r="J1087" t="e">
        <f t="shared" ca="1" si="81"/>
        <v>#N/A</v>
      </c>
      <c r="K1087" s="18" t="e">
        <f t="shared" ca="1" si="80"/>
        <v>#N/A</v>
      </c>
      <c r="L1087" t="e">
        <f ca="1">IF(J1087,Charms!B1087,"")</f>
        <v>#N/A</v>
      </c>
      <c r="M1087" t="str">
        <f t="shared" ca="1" si="82"/>
        <v>-</v>
      </c>
      <c r="N1087" s="18" t="str">
        <f t="shared" si="83"/>
        <v>K1034:L1104</v>
      </c>
      <c r="O1087" t="str">
        <f t="shared" si="84"/>
        <v>A1034:A1087</v>
      </c>
    </row>
    <row r="1088" spans="1:15">
      <c r="A1088" s="18" t="str">
        <f>Charms!K1088</f>
        <v>Performance</v>
      </c>
      <c r="B1088" t="str">
        <f>Charms!B1088</f>
        <v>Blossoming Instrument Evocation</v>
      </c>
      <c r="C1088" t="b">
        <f ca="1">OR(Values!$S$98&gt;=Charms!M1088,IFERROR(Charms!J1088=OFFSET(Values!$A$24,MATCH("S",Values!$T$25:$T$50,0),0),FALSE))</f>
        <v>0</v>
      </c>
      <c r="D1088" t="b">
        <f>VLOOKUP(Charms!J1088,Values!$A$11:$S$59,19,0)&gt;=Charms!L1088</f>
        <v>0</v>
      </c>
      <c r="E1088" t="e">
        <f>OR(ISBLANK(Charms!I1088),(VLOOKUP(Values!$S$6,Castes!$B$2:$F$25,4,0)=Charms!I1088))</f>
        <v>#N/A</v>
      </c>
      <c r="J1088" t="e">
        <f t="shared" ca="1" si="81"/>
        <v>#N/A</v>
      </c>
      <c r="K1088" s="18" t="e">
        <f t="shared" ca="1" si="80"/>
        <v>#N/A</v>
      </c>
      <c r="L1088" t="e">
        <f ca="1">IF(J1088,Charms!B1088,"")</f>
        <v>#N/A</v>
      </c>
      <c r="M1088" t="str">
        <f t="shared" ca="1" si="82"/>
        <v>-</v>
      </c>
      <c r="N1088" s="18" t="str">
        <f t="shared" si="83"/>
        <v>K1034:L1104</v>
      </c>
      <c r="O1088" t="str">
        <f t="shared" si="84"/>
        <v>A1034:A1088</v>
      </c>
    </row>
    <row r="1089" spans="1:15">
      <c r="A1089" s="18" t="str">
        <f>Charms!K1089</f>
        <v>Performance</v>
      </c>
      <c r="B1089" t="str">
        <f>Charms!B1089</f>
        <v>Soul-Stirring Performance</v>
      </c>
      <c r="C1089" t="b">
        <f ca="1">OR(Values!$S$98&gt;=Charms!M1089,IFERROR(Charms!J1089=OFFSET(Values!$A$24,MATCH("S",Values!$T$25:$T$50,0),0),FALSE))</f>
        <v>0</v>
      </c>
      <c r="D1089" t="b">
        <f>VLOOKUP(Charms!J1089,Values!$A$11:$S$59,19,0)&gt;=Charms!L1089</f>
        <v>0</v>
      </c>
      <c r="E1089" t="e">
        <f>OR(ISBLANK(Charms!I1089),(VLOOKUP(Values!$S$6,Castes!$B$2:$F$25,4,0)=Charms!I1089))</f>
        <v>#N/A</v>
      </c>
      <c r="J1089" t="e">
        <f t="shared" ca="1" si="81"/>
        <v>#N/A</v>
      </c>
      <c r="K1089" s="18" t="e">
        <f t="shared" ca="1" si="80"/>
        <v>#N/A</v>
      </c>
      <c r="L1089" t="e">
        <f ca="1">IF(J1089,Charms!B1089,"")</f>
        <v>#N/A</v>
      </c>
      <c r="M1089" t="str">
        <f t="shared" ca="1" si="82"/>
        <v>-</v>
      </c>
      <c r="N1089" s="18" t="str">
        <f t="shared" si="83"/>
        <v>K1034:L1104</v>
      </c>
      <c r="O1089" t="str">
        <f t="shared" si="84"/>
        <v>A1034:A1089</v>
      </c>
    </row>
    <row r="1090" spans="1:15">
      <c r="A1090" s="18" t="str">
        <f>Charms!K1090</f>
        <v>Performance</v>
      </c>
      <c r="B1090" t="str">
        <f>Charms!B1090</f>
        <v>Heart-Strengthening Defense</v>
      </c>
      <c r="C1090" t="b">
        <f ca="1">OR(Values!$S$98&gt;=Charms!M1090,IFERROR(Charms!J1090=OFFSET(Values!$A$24,MATCH("S",Values!$T$25:$T$50,0),0),FALSE))</f>
        <v>0</v>
      </c>
      <c r="D1090" t="b">
        <f>VLOOKUP(Charms!J1090,Values!$A$11:$S$59,19,0)&gt;=Charms!L1090</f>
        <v>0</v>
      </c>
      <c r="E1090" t="e">
        <f>OR(ISBLANK(Charms!I1090),(VLOOKUP(Values!$S$6,Castes!$B$2:$F$25,4,0)=Charms!I1090))</f>
        <v>#N/A</v>
      </c>
      <c r="J1090" t="e">
        <f t="shared" ca="1" si="81"/>
        <v>#N/A</v>
      </c>
      <c r="K1090" s="18" t="e">
        <f t="shared" ref="K1090:K1153" ca="1" si="85">IF(L1090="","",COUNTIF(INDIRECT("J"&amp;MATCH(A1090,A:A,0)&amp;":J"&amp;ROW()),J1090))</f>
        <v>#N/A</v>
      </c>
      <c r="L1090" t="e">
        <f ca="1">IF(J1090,Charms!B1090,"")</f>
        <v>#N/A</v>
      </c>
      <c r="M1090" t="str">
        <f t="shared" ca="1" si="82"/>
        <v>-</v>
      </c>
      <c r="N1090" s="18" t="str">
        <f t="shared" si="83"/>
        <v>K1034:L1104</v>
      </c>
      <c r="O1090" t="str">
        <f t="shared" si="84"/>
        <v>A1034:A1090</v>
      </c>
    </row>
    <row r="1091" spans="1:15">
      <c r="A1091" s="18" t="str">
        <f>Charms!K1091</f>
        <v>Performance</v>
      </c>
      <c r="B1091" t="str">
        <f>Charms!B1091</f>
        <v>Harmonious Life-Affirming Song</v>
      </c>
      <c r="C1091" t="b">
        <f ca="1">OR(Values!$S$98&gt;=Charms!M1091,IFERROR(Charms!J1091=OFFSET(Values!$A$24,MATCH("S",Values!$T$25:$T$50,0),0),FALSE))</f>
        <v>0</v>
      </c>
      <c r="D1091" t="b">
        <f>VLOOKUP(Charms!J1091,Values!$A$11:$S$59,19,0)&gt;=Charms!L1091</f>
        <v>0</v>
      </c>
      <c r="E1091" t="e">
        <f>OR(ISBLANK(Charms!I1091),(VLOOKUP(Values!$S$6,Castes!$B$2:$F$25,4,0)=Charms!I1091))</f>
        <v>#N/A</v>
      </c>
      <c r="J1091" t="e">
        <f t="shared" ref="J1091:J1154" ca="1" si="86">(C1091+D1091+E1091+F1091+G1091+H1091+I1091)=3</f>
        <v>#N/A</v>
      </c>
      <c r="K1091" s="18" t="e">
        <f t="shared" ca="1" si="85"/>
        <v>#N/A</v>
      </c>
      <c r="L1091" t="e">
        <f ca="1">IF(J1091,Charms!B1091,"")</f>
        <v>#N/A</v>
      </c>
      <c r="M1091" t="str">
        <f t="shared" ref="M1091:M1154" ca="1" si="87">IFERROR(VLOOKUP(COUNTIF(INDIRECT(O1091),A1091),INDIRECT(N1091),2,0),"-")</f>
        <v>-</v>
      </c>
      <c r="N1091" s="18" t="str">
        <f t="shared" ref="N1091:N1154" si="88">"K"&amp;MATCH(A1091,A:A,0)&amp;":L"&amp;(MATCH(A1091,A:A,0)+COUNTIF(A:A,A1091)-1)</f>
        <v>K1034:L1104</v>
      </c>
      <c r="O1091" t="str">
        <f t="shared" ref="O1091:O1154" si="89">"A"&amp;MATCH(A1091,A:A,0)&amp;":A"&amp;ROW()</f>
        <v>A1034:A1091</v>
      </c>
    </row>
    <row r="1092" spans="1:15">
      <c r="A1092" s="18" t="str">
        <f>Charms!K1092</f>
        <v>Performance</v>
      </c>
      <c r="B1092" t="str">
        <f>Charms!B1092</f>
        <v>Irresistible Whirlpool Diversion</v>
      </c>
      <c r="C1092" t="b">
        <f ca="1">OR(Values!$S$98&gt;=Charms!M1092,IFERROR(Charms!J1092=OFFSET(Values!$A$24,MATCH("S",Values!$T$25:$T$50,0),0),FALSE))</f>
        <v>0</v>
      </c>
      <c r="D1092" t="b">
        <f>VLOOKUP(Charms!J1092,Values!$A$11:$S$59,19,0)&gt;=Charms!L1092</f>
        <v>0</v>
      </c>
      <c r="E1092" t="e">
        <f>OR(ISBLANK(Charms!I1092),(VLOOKUP(Values!$S$6,Castes!$B$2:$F$25,4,0)=Charms!I1092))</f>
        <v>#N/A</v>
      </c>
      <c r="J1092" t="e">
        <f t="shared" ca="1" si="86"/>
        <v>#N/A</v>
      </c>
      <c r="K1092" s="18" t="e">
        <f t="shared" ca="1" si="85"/>
        <v>#N/A</v>
      </c>
      <c r="L1092" t="e">
        <f ca="1">IF(J1092,Charms!B1092,"")</f>
        <v>#N/A</v>
      </c>
      <c r="M1092" t="str">
        <f t="shared" ca="1" si="87"/>
        <v>-</v>
      </c>
      <c r="N1092" s="18" t="str">
        <f t="shared" si="88"/>
        <v>K1034:L1104</v>
      </c>
      <c r="O1092" t="str">
        <f t="shared" si="89"/>
        <v>A1034:A1092</v>
      </c>
    </row>
    <row r="1093" spans="1:15">
      <c r="A1093" s="18" t="str">
        <f>Charms!K1093</f>
        <v>Performance</v>
      </c>
      <c r="B1093" t="str">
        <f>Charms!B1093</f>
        <v>Thundering Dragon Proclamation</v>
      </c>
      <c r="C1093" t="b">
        <f ca="1">OR(Values!$S$98&gt;=Charms!M1093,IFERROR(Charms!J1093=OFFSET(Values!$A$24,MATCH("S",Values!$T$25:$T$50,0),0),FALSE))</f>
        <v>0</v>
      </c>
      <c r="D1093" t="b">
        <f>VLOOKUP(Charms!J1093,Values!$A$11:$S$59,19,0)&gt;=Charms!L1093</f>
        <v>0</v>
      </c>
      <c r="E1093" t="e">
        <f>OR(ISBLANK(Charms!I1093),(VLOOKUP(Values!$S$6,Castes!$B$2:$F$25,4,0)=Charms!I1093))</f>
        <v>#N/A</v>
      </c>
      <c r="J1093" t="e">
        <f t="shared" ca="1" si="86"/>
        <v>#N/A</v>
      </c>
      <c r="K1093" s="18" t="e">
        <f t="shared" ca="1" si="85"/>
        <v>#N/A</v>
      </c>
      <c r="L1093" t="e">
        <f ca="1">IF(J1093,Charms!B1093,"")</f>
        <v>#N/A</v>
      </c>
      <c r="M1093" t="str">
        <f t="shared" ca="1" si="87"/>
        <v>-</v>
      </c>
      <c r="N1093" s="18" t="str">
        <f t="shared" si="88"/>
        <v>K1034:L1104</v>
      </c>
      <c r="O1093" t="str">
        <f t="shared" si="89"/>
        <v>A1034:A1093</v>
      </c>
    </row>
    <row r="1094" spans="1:15">
      <c r="A1094" s="18" t="str">
        <f>Charms!K1094</f>
        <v>Performance</v>
      </c>
      <c r="B1094" t="str">
        <f>Charms!B1094</f>
        <v>Tears-From-Stone Eloquence</v>
      </c>
      <c r="C1094" t="b">
        <f ca="1">OR(Values!$S$98&gt;=Charms!M1094,IFERROR(Charms!J1094=OFFSET(Values!$A$24,MATCH("S",Values!$T$25:$T$50,0),0),FALSE))</f>
        <v>0</v>
      </c>
      <c r="D1094" t="b">
        <f>VLOOKUP(Charms!J1094,Values!$A$11:$S$59,19,0)&gt;=Charms!L1094</f>
        <v>0</v>
      </c>
      <c r="E1094" t="e">
        <f>OR(ISBLANK(Charms!I1094),(VLOOKUP(Values!$S$6,Castes!$B$2:$F$25,4,0)=Charms!I1094))</f>
        <v>#N/A</v>
      </c>
      <c r="J1094" t="e">
        <f t="shared" ca="1" si="86"/>
        <v>#N/A</v>
      </c>
      <c r="K1094" s="18" t="e">
        <f t="shared" ca="1" si="85"/>
        <v>#N/A</v>
      </c>
      <c r="L1094" t="e">
        <f ca="1">IF(J1094,Charms!B1094,"")</f>
        <v>#N/A</v>
      </c>
      <c r="M1094" t="str">
        <f t="shared" ca="1" si="87"/>
        <v>-</v>
      </c>
      <c r="N1094" s="18" t="str">
        <f t="shared" si="88"/>
        <v>K1034:L1104</v>
      </c>
      <c r="O1094" t="str">
        <f t="shared" si="89"/>
        <v>A1034:A1094</v>
      </c>
    </row>
    <row r="1095" spans="1:15">
      <c r="A1095" s="18" t="str">
        <f>Charms!K1095</f>
        <v>Performance</v>
      </c>
      <c r="B1095" t="str">
        <f>Charms!B1095</f>
        <v>Immolating Passion Alleluia</v>
      </c>
      <c r="C1095" t="b">
        <f ca="1">OR(Values!$S$98&gt;=Charms!M1095,IFERROR(Charms!J1095=OFFSET(Values!$A$24,MATCH("S",Values!$T$25:$T$50,0),0),FALSE))</f>
        <v>0</v>
      </c>
      <c r="D1095" t="b">
        <f>VLOOKUP(Charms!J1095,Values!$A$11:$S$59,19,0)&gt;=Charms!L1095</f>
        <v>0</v>
      </c>
      <c r="E1095" t="e">
        <f>OR(ISBLANK(Charms!I1095),(VLOOKUP(Values!$S$6,Castes!$B$2:$F$25,4,0)=Charms!I1095))</f>
        <v>#N/A</v>
      </c>
      <c r="J1095" t="e">
        <f t="shared" ca="1" si="86"/>
        <v>#N/A</v>
      </c>
      <c r="K1095" s="18" t="e">
        <f t="shared" ca="1" si="85"/>
        <v>#N/A</v>
      </c>
      <c r="L1095" t="e">
        <f ca="1">IF(J1095,Charms!B1095,"")</f>
        <v>#N/A</v>
      </c>
      <c r="M1095" t="str">
        <f t="shared" ca="1" si="87"/>
        <v>-</v>
      </c>
      <c r="N1095" s="18" t="str">
        <f t="shared" si="88"/>
        <v>K1034:L1104</v>
      </c>
      <c r="O1095" t="str">
        <f t="shared" si="89"/>
        <v>A1034:A1095</v>
      </c>
    </row>
    <row r="1096" spans="1:15">
      <c r="A1096" s="18" t="str">
        <f>Charms!K1096</f>
        <v>Performance</v>
      </c>
      <c r="B1096" t="str">
        <f>Charms!B1096</f>
        <v>Mesmerizing Siren Call</v>
      </c>
      <c r="C1096" t="b">
        <f ca="1">OR(Values!$S$98&gt;=Charms!M1096,IFERROR(Charms!J1096=OFFSET(Values!$A$24,MATCH("S",Values!$T$25:$T$50,0),0),FALSE))</f>
        <v>0</v>
      </c>
      <c r="D1096" t="b">
        <f>VLOOKUP(Charms!J1096,Values!$A$11:$S$59,19,0)&gt;=Charms!L1096</f>
        <v>0</v>
      </c>
      <c r="E1096" t="e">
        <f>OR(ISBLANK(Charms!I1096),(VLOOKUP(Values!$S$6,Castes!$B$2:$F$25,4,0)=Charms!I1096))</f>
        <v>#N/A</v>
      </c>
      <c r="J1096" t="e">
        <f t="shared" ca="1" si="86"/>
        <v>#N/A</v>
      </c>
      <c r="K1096" s="18" t="e">
        <f t="shared" ca="1" si="85"/>
        <v>#N/A</v>
      </c>
      <c r="L1096" t="e">
        <f ca="1">IF(J1096,Charms!B1096,"")</f>
        <v>#N/A</v>
      </c>
      <c r="M1096" t="str">
        <f t="shared" ca="1" si="87"/>
        <v>-</v>
      </c>
      <c r="N1096" s="18" t="str">
        <f t="shared" si="88"/>
        <v>K1034:L1104</v>
      </c>
      <c r="O1096" t="str">
        <f t="shared" si="89"/>
        <v>A1034:A1096</v>
      </c>
    </row>
    <row r="1097" spans="1:15">
      <c r="A1097" s="18" t="str">
        <f>Charms!K1097</f>
        <v>Performance</v>
      </c>
      <c r="B1097" t="str">
        <f>Charms!B1097</f>
        <v>Life-Spirit Symphony</v>
      </c>
      <c r="C1097" t="b">
        <f ca="1">OR(Values!$S$98&gt;=Charms!M1097,IFERROR(Charms!J1097=OFFSET(Values!$A$24,MATCH("S",Values!$T$25:$T$50,0),0),FALSE))</f>
        <v>0</v>
      </c>
      <c r="D1097" t="b">
        <f>VLOOKUP(Charms!J1097,Values!$A$11:$S$59,19,0)&gt;=Charms!L1097</f>
        <v>0</v>
      </c>
      <c r="E1097" t="e">
        <f>OR(ISBLANK(Charms!I1097),(VLOOKUP(Values!$S$6,Castes!$B$2:$F$25,4,0)=Charms!I1097))</f>
        <v>#N/A</v>
      </c>
      <c r="J1097" t="e">
        <f t="shared" ca="1" si="86"/>
        <v>#N/A</v>
      </c>
      <c r="K1097" s="18" t="e">
        <f t="shared" ca="1" si="85"/>
        <v>#N/A</v>
      </c>
      <c r="L1097" t="e">
        <f ca="1">IF(J1097,Charms!B1097,"")</f>
        <v>#N/A</v>
      </c>
      <c r="M1097" t="str">
        <f t="shared" ca="1" si="87"/>
        <v>-</v>
      </c>
      <c r="N1097" s="18" t="str">
        <f t="shared" si="88"/>
        <v>K1034:L1104</v>
      </c>
      <c r="O1097" t="str">
        <f t="shared" si="89"/>
        <v>A1034:A1097</v>
      </c>
    </row>
    <row r="1098" spans="1:15">
      <c r="A1098" s="18" t="str">
        <f>Charms!K1098</f>
        <v>Performance</v>
      </c>
      <c r="B1098" t="str">
        <f>Charms!B1098</f>
        <v>Blossom Hides Thorns</v>
      </c>
      <c r="C1098" t="b">
        <f ca="1">OR(Values!$S$98&gt;=Charms!M1098,IFERROR(Charms!J1098=OFFSET(Values!$A$24,MATCH("S",Values!$T$25:$T$50,0),0),FALSE))</f>
        <v>0</v>
      </c>
      <c r="D1098" t="b">
        <f>VLOOKUP(Charms!J1098,Values!$A$11:$S$59,19,0)&gt;=Charms!L1098</f>
        <v>0</v>
      </c>
      <c r="E1098" t="e">
        <f>OR(ISBLANK(Charms!I1098),(VLOOKUP(Values!$S$6,Castes!$B$2:$F$25,4,0)=Charms!I1098))</f>
        <v>#N/A</v>
      </c>
      <c r="J1098" t="e">
        <f t="shared" ca="1" si="86"/>
        <v>#N/A</v>
      </c>
      <c r="K1098" s="18" t="e">
        <f t="shared" ca="1" si="85"/>
        <v>#N/A</v>
      </c>
      <c r="L1098" t="e">
        <f ca="1">IF(J1098,Charms!B1098,"")</f>
        <v>#N/A</v>
      </c>
      <c r="M1098" t="str">
        <f t="shared" ca="1" si="87"/>
        <v>-</v>
      </c>
      <c r="N1098" s="18" t="str">
        <f t="shared" si="88"/>
        <v>K1034:L1104</v>
      </c>
      <c r="O1098" t="str">
        <f t="shared" si="89"/>
        <v>A1034:A1098</v>
      </c>
    </row>
    <row r="1099" spans="1:15">
      <c r="A1099" s="18" t="str">
        <f>Charms!K1099</f>
        <v>Performance</v>
      </c>
      <c r="B1099" t="str">
        <f>Charms!B1099</f>
        <v>Puissant Precursor’s Monologue</v>
      </c>
      <c r="C1099" t="b">
        <f ca="1">OR(Values!$S$98&gt;=Charms!M1099,IFERROR(Charms!J1099=OFFSET(Values!$A$24,MATCH("S",Values!$T$25:$T$50,0),0),FALSE))</f>
        <v>0</v>
      </c>
      <c r="D1099" t="b">
        <f>VLOOKUP(Charms!J1099,Values!$A$11:$S$59,19,0)&gt;=Charms!L1099</f>
        <v>0</v>
      </c>
      <c r="E1099" t="e">
        <f>OR(ISBLANK(Charms!I1099),(VLOOKUP(Values!$S$6,Castes!$B$2:$F$25,4,0)=Charms!I1099))</f>
        <v>#N/A</v>
      </c>
      <c r="J1099" t="e">
        <f t="shared" ca="1" si="86"/>
        <v>#N/A</v>
      </c>
      <c r="K1099" s="18" t="e">
        <f t="shared" ca="1" si="85"/>
        <v>#N/A</v>
      </c>
      <c r="L1099" t="e">
        <f ca="1">IF(J1099,Charms!B1099,"")</f>
        <v>#N/A</v>
      </c>
      <c r="M1099" t="str">
        <f t="shared" ca="1" si="87"/>
        <v>-</v>
      </c>
      <c r="N1099" s="18" t="str">
        <f t="shared" si="88"/>
        <v>K1034:L1104</v>
      </c>
      <c r="O1099" t="str">
        <f t="shared" si="89"/>
        <v>A1034:A1099</v>
      </c>
    </row>
    <row r="1100" spans="1:15">
      <c r="A1100" s="18" t="str">
        <f>Charms!K1100</f>
        <v>Performance</v>
      </c>
      <c r="B1100" t="str">
        <f>Charms!B1100</f>
        <v>Vibrating Strings Defense</v>
      </c>
      <c r="C1100" t="b">
        <f ca="1">OR(Values!$S$98&gt;=Charms!M1100,IFERROR(Charms!J1100=OFFSET(Values!$A$24,MATCH("S",Values!$T$25:$T$50,0),0),FALSE))</f>
        <v>0</v>
      </c>
      <c r="D1100" t="b">
        <f>VLOOKUP(Charms!J1100,Values!$A$11:$S$59,19,0)&gt;=Charms!L1100</f>
        <v>0</v>
      </c>
      <c r="E1100" t="e">
        <f>OR(ISBLANK(Charms!I1100),(VLOOKUP(Values!$S$6,Castes!$B$2:$F$25,4,0)=Charms!I1100))</f>
        <v>#N/A</v>
      </c>
      <c r="J1100" t="e">
        <f t="shared" ca="1" si="86"/>
        <v>#N/A</v>
      </c>
      <c r="K1100" s="18" t="e">
        <f t="shared" ca="1" si="85"/>
        <v>#N/A</v>
      </c>
      <c r="L1100" t="e">
        <f ca="1">IF(J1100,Charms!B1100,"")</f>
        <v>#N/A</v>
      </c>
      <c r="M1100" t="str">
        <f t="shared" ca="1" si="87"/>
        <v>-</v>
      </c>
      <c r="N1100" s="18" t="str">
        <f t="shared" si="88"/>
        <v>K1034:L1104</v>
      </c>
      <c r="O1100" t="str">
        <f t="shared" si="89"/>
        <v>A1034:A1100</v>
      </c>
    </row>
    <row r="1101" spans="1:15">
      <c r="A1101" s="18" t="str">
        <f>Charms!K1101</f>
        <v>Performance</v>
      </c>
      <c r="B1101" t="str">
        <f>Charms!B1101</f>
        <v>Three-String Sword Prana</v>
      </c>
      <c r="C1101" t="b">
        <f ca="1">OR(Values!$S$98&gt;=Charms!M1101,IFERROR(Charms!J1101=OFFSET(Values!$A$24,MATCH("S",Values!$T$25:$T$50,0),0),FALSE))</f>
        <v>0</v>
      </c>
      <c r="D1101" t="b">
        <f>VLOOKUP(Charms!J1101,Values!$A$11:$S$59,19,0)&gt;=Charms!L1101</f>
        <v>0</v>
      </c>
      <c r="E1101" t="e">
        <f>OR(ISBLANK(Charms!I1101),(VLOOKUP(Values!$S$6,Castes!$B$2:$F$25,4,0)=Charms!I1101))</f>
        <v>#N/A</v>
      </c>
      <c r="J1101" t="e">
        <f t="shared" ca="1" si="86"/>
        <v>#N/A</v>
      </c>
      <c r="K1101" s="18" t="e">
        <f t="shared" ca="1" si="85"/>
        <v>#N/A</v>
      </c>
      <c r="L1101" t="e">
        <f ca="1">IF(J1101,Charms!B1101,"")</f>
        <v>#N/A</v>
      </c>
      <c r="M1101" t="str">
        <f t="shared" ca="1" si="87"/>
        <v>-</v>
      </c>
      <c r="N1101" s="18" t="str">
        <f t="shared" si="88"/>
        <v>K1034:L1104</v>
      </c>
      <c r="O1101" t="str">
        <f t="shared" si="89"/>
        <v>A1034:A1101</v>
      </c>
    </row>
    <row r="1102" spans="1:15">
      <c r="A1102" s="18" t="str">
        <f>Charms!K1102</f>
        <v>Performance</v>
      </c>
      <c r="B1102" t="str">
        <f>Charms!B1102</f>
        <v>Battle Anthem of Ten Thousand Dragons</v>
      </c>
      <c r="C1102" t="b">
        <f ca="1">OR(Values!$S$98&gt;=Charms!M1102,IFERROR(Charms!J1102=OFFSET(Values!$A$24,MATCH("S",Values!$T$25:$T$50,0),0),FALSE))</f>
        <v>0</v>
      </c>
      <c r="D1102" t="b">
        <f>VLOOKUP(Charms!J1102,Values!$A$11:$S$59,19,0)&gt;=Charms!L1102</f>
        <v>0</v>
      </c>
      <c r="E1102" t="e">
        <f>OR(ISBLANK(Charms!I1102),(VLOOKUP(Values!$S$6,Castes!$B$2:$F$25,4,0)=Charms!I1102))</f>
        <v>#N/A</v>
      </c>
      <c r="J1102" t="e">
        <f t="shared" ca="1" si="86"/>
        <v>#N/A</v>
      </c>
      <c r="K1102" s="18" t="e">
        <f t="shared" ca="1" si="85"/>
        <v>#N/A</v>
      </c>
      <c r="L1102" t="e">
        <f ca="1">IF(J1102,Charms!B1102,"")</f>
        <v>#N/A</v>
      </c>
      <c r="M1102" t="str">
        <f t="shared" ca="1" si="87"/>
        <v>-</v>
      </c>
      <c r="N1102" s="18" t="str">
        <f t="shared" si="88"/>
        <v>K1034:L1104</v>
      </c>
      <c r="O1102" t="str">
        <f t="shared" si="89"/>
        <v>A1034:A1102</v>
      </c>
    </row>
    <row r="1103" spans="1:15">
      <c r="A1103" s="18" t="str">
        <f>Charms!K1103</f>
        <v>Performance</v>
      </c>
      <c r="B1103" t="str">
        <f>Charms!B1103</f>
        <v>Falling Leaves Sway</v>
      </c>
      <c r="C1103" t="b">
        <f ca="1">OR(Values!$S$98&gt;=Charms!M1103,IFERROR(Charms!J1103=OFFSET(Values!$A$24,MATCH("S",Values!$T$25:$T$50,0),0),FALSE))</f>
        <v>0</v>
      </c>
      <c r="D1103" t="b">
        <f>VLOOKUP(Charms!J1103,Values!$A$11:$S$59,19,0)&gt;=Charms!L1103</f>
        <v>0</v>
      </c>
      <c r="E1103" t="e">
        <f>OR(ISBLANK(Charms!I1103),(VLOOKUP(Values!$S$6,Castes!$B$2:$F$25,4,0)=Charms!I1103))</f>
        <v>#N/A</v>
      </c>
      <c r="J1103" t="e">
        <f t="shared" ca="1" si="86"/>
        <v>#N/A</v>
      </c>
      <c r="K1103" s="18" t="e">
        <f t="shared" ca="1" si="85"/>
        <v>#N/A</v>
      </c>
      <c r="L1103" t="e">
        <f ca="1">IF(J1103,Charms!B1103,"")</f>
        <v>#N/A</v>
      </c>
      <c r="M1103" t="str">
        <f t="shared" ca="1" si="87"/>
        <v>-</v>
      </c>
      <c r="N1103" s="18" t="str">
        <f t="shared" si="88"/>
        <v>K1034:L1104</v>
      </c>
      <c r="O1103" t="str">
        <f t="shared" si="89"/>
        <v>A1034:A1103</v>
      </c>
    </row>
    <row r="1104" spans="1:15">
      <c r="A1104" s="18" t="str">
        <f>Charms!K1104</f>
        <v>Performance</v>
      </c>
      <c r="B1104" t="str">
        <f>Charms!B1104</f>
        <v>Waltz of Honeyed Wine</v>
      </c>
      <c r="C1104" t="b">
        <f ca="1">OR(Values!$S$98&gt;=Charms!M1104,IFERROR(Charms!J1104=OFFSET(Values!$A$24,MATCH("S",Values!$T$25:$T$50,0),0),FALSE))</f>
        <v>0</v>
      </c>
      <c r="D1104" t="b">
        <f>VLOOKUP(Charms!J1104,Values!$A$11:$S$59,19,0)&gt;=Charms!L1104</f>
        <v>0</v>
      </c>
      <c r="E1104" t="e">
        <f>OR(ISBLANK(Charms!I1104),(VLOOKUP(Values!$S$6,Castes!$B$2:$F$25,4,0)=Charms!I1104))</f>
        <v>#N/A</v>
      </c>
      <c r="J1104" t="e">
        <f t="shared" ca="1" si="86"/>
        <v>#N/A</v>
      </c>
      <c r="K1104" s="18" t="e">
        <f t="shared" ca="1" si="85"/>
        <v>#N/A</v>
      </c>
      <c r="L1104" t="e">
        <f ca="1">IF(J1104,Charms!B1104,"")</f>
        <v>#N/A</v>
      </c>
      <c r="M1104" t="str">
        <f t="shared" ca="1" si="87"/>
        <v>-</v>
      </c>
      <c r="N1104" s="18" t="str">
        <f t="shared" si="88"/>
        <v>K1034:L1104</v>
      </c>
      <c r="O1104" t="str">
        <f t="shared" si="89"/>
        <v>A1034:A1104</v>
      </c>
    </row>
    <row r="1105" spans="1:15">
      <c r="A1105" s="18" t="str">
        <f>Charms!K1105</f>
        <v>Presence</v>
      </c>
      <c r="B1105" t="str">
        <f>Charms!B1105</f>
        <v>Harmonious Presence Meditation</v>
      </c>
      <c r="C1105" t="b">
        <f ca="1">OR(Values!$S$98&gt;=Charms!M1105,IFERROR(Charms!J1105=OFFSET(Values!$A$24,MATCH("S",Values!$T$25:$T$50,0),0),FALSE))</f>
        <v>1</v>
      </c>
      <c r="D1105" t="b">
        <f>VLOOKUP(Charms!J1105,Values!$A$11:$S$59,19,0)&gt;=Charms!L1105</f>
        <v>0</v>
      </c>
      <c r="E1105" t="e">
        <f>OR(ISBLANK(Charms!I1105),(VLOOKUP(Values!$S$6,Castes!$B$2:$F$25,4,0)=Charms!I1105))</f>
        <v>#N/A</v>
      </c>
      <c r="J1105" t="e">
        <f t="shared" ca="1" si="86"/>
        <v>#N/A</v>
      </c>
      <c r="K1105" s="18" t="e">
        <f t="shared" ca="1" si="85"/>
        <v>#N/A</v>
      </c>
      <c r="L1105" t="e">
        <f ca="1">IF(J1105,Charms!B1105,"")</f>
        <v>#N/A</v>
      </c>
      <c r="M1105" t="str">
        <f t="shared" ca="1" si="87"/>
        <v>-</v>
      </c>
      <c r="N1105" s="18" t="str">
        <f t="shared" si="88"/>
        <v>K1105:L1157</v>
      </c>
      <c r="O1105" t="str">
        <f t="shared" si="89"/>
        <v>A1105:A1105</v>
      </c>
    </row>
    <row r="1106" spans="1:15">
      <c r="A1106" s="18" t="str">
        <f>Charms!K1106</f>
        <v>Presence</v>
      </c>
      <c r="B1106" t="str">
        <f>Charms!B1106</f>
        <v>Listener-Swaying Argument</v>
      </c>
      <c r="C1106" t="b">
        <f ca="1">OR(Values!$S$98&gt;=Charms!M1106,IFERROR(Charms!J1106=OFFSET(Values!$A$24,MATCH("S",Values!$T$25:$T$50,0),0),FALSE))</f>
        <v>1</v>
      </c>
      <c r="D1106" t="b">
        <f>VLOOKUP(Charms!J1106,Values!$A$11:$S$59,19,0)&gt;=Charms!L1106</f>
        <v>0</v>
      </c>
      <c r="E1106" t="e">
        <f>OR(ISBLANK(Charms!I1106),(VLOOKUP(Values!$S$6,Castes!$B$2:$F$25,4,0)=Charms!I1106))</f>
        <v>#N/A</v>
      </c>
      <c r="J1106" t="e">
        <f t="shared" ca="1" si="86"/>
        <v>#N/A</v>
      </c>
      <c r="K1106" s="18" t="e">
        <f t="shared" ca="1" si="85"/>
        <v>#N/A</v>
      </c>
      <c r="L1106" t="e">
        <f ca="1">IF(J1106,Charms!B1106,"")</f>
        <v>#N/A</v>
      </c>
      <c r="M1106" t="str">
        <f t="shared" ca="1" si="87"/>
        <v>-</v>
      </c>
      <c r="N1106" s="18" t="str">
        <f t="shared" si="88"/>
        <v>K1105:L1157</v>
      </c>
      <c r="O1106" t="str">
        <f t="shared" si="89"/>
        <v>A1105:A1106</v>
      </c>
    </row>
    <row r="1107" spans="1:15">
      <c r="A1107" s="18" t="str">
        <f>Charms!K1107</f>
        <v>Presence</v>
      </c>
      <c r="B1107" t="str">
        <f>Charms!B1107</f>
        <v>Tiger's Dread Symmetry</v>
      </c>
      <c r="C1107" t="b">
        <f ca="1">OR(Values!$S$98&gt;=Charms!M1107,IFERROR(Charms!J1107=OFFSET(Values!$A$24,MATCH("S",Values!$T$25:$T$50,0),0),FALSE))</f>
        <v>1</v>
      </c>
      <c r="D1107" t="b">
        <f>VLOOKUP(Charms!J1107,Values!$A$11:$S$59,19,0)&gt;=Charms!L1107</f>
        <v>0</v>
      </c>
      <c r="E1107" t="e">
        <f>OR(ISBLANK(Charms!I1107),(VLOOKUP(Values!$S$6,Castes!$B$2:$F$25,4,0)=Charms!I1107))</f>
        <v>#N/A</v>
      </c>
      <c r="J1107" t="e">
        <f t="shared" ca="1" si="86"/>
        <v>#N/A</v>
      </c>
      <c r="K1107" s="18" t="e">
        <f t="shared" ca="1" si="85"/>
        <v>#N/A</v>
      </c>
      <c r="L1107" t="e">
        <f ca="1">IF(J1107,Charms!B1107,"")</f>
        <v>#N/A</v>
      </c>
      <c r="M1107" t="str">
        <f t="shared" ca="1" si="87"/>
        <v>-</v>
      </c>
      <c r="N1107" s="18" t="str">
        <f t="shared" si="88"/>
        <v>K1105:L1157</v>
      </c>
      <c r="O1107" t="str">
        <f t="shared" si="89"/>
        <v>A1105:A1107</v>
      </c>
    </row>
    <row r="1108" spans="1:15">
      <c r="A1108" s="18" t="str">
        <f>Charms!K1108</f>
        <v>Presence</v>
      </c>
      <c r="B1108" t="str">
        <f>Charms!B1108</f>
        <v>Impassioned Discourse Technique</v>
      </c>
      <c r="C1108" t="b">
        <f ca="1">OR(Values!$S$98&gt;=Charms!M1108,IFERROR(Charms!J1108=OFFSET(Values!$A$24,MATCH("S",Values!$T$25:$T$50,0),0),FALSE))</f>
        <v>0</v>
      </c>
      <c r="D1108" t="b">
        <f>VLOOKUP(Charms!J1108,Values!$A$11:$S$59,19,0)&gt;=Charms!L1108</f>
        <v>0</v>
      </c>
      <c r="E1108" t="e">
        <f>OR(ISBLANK(Charms!I1108),(VLOOKUP(Values!$S$6,Castes!$B$2:$F$25,4,0)=Charms!I1108))</f>
        <v>#N/A</v>
      </c>
      <c r="J1108" t="e">
        <f t="shared" ca="1" si="86"/>
        <v>#N/A</v>
      </c>
      <c r="K1108" s="18" t="e">
        <f t="shared" ca="1" si="85"/>
        <v>#N/A</v>
      </c>
      <c r="L1108" t="e">
        <f ca="1">IF(J1108,Charms!B1108,"")</f>
        <v>#N/A</v>
      </c>
      <c r="M1108" t="str">
        <f t="shared" ca="1" si="87"/>
        <v>-</v>
      </c>
      <c r="N1108" s="18" t="str">
        <f t="shared" si="88"/>
        <v>K1105:L1157</v>
      </c>
      <c r="O1108" t="str">
        <f t="shared" si="89"/>
        <v>A1105:A1108</v>
      </c>
    </row>
    <row r="1109" spans="1:15">
      <c r="A1109" s="18" t="str">
        <f>Charms!K1109</f>
        <v>Presence</v>
      </c>
      <c r="B1109" t="str">
        <f>Charms!B1109</f>
        <v>Majestic Radiant Presence</v>
      </c>
      <c r="C1109" t="b">
        <f ca="1">OR(Values!$S$98&gt;=Charms!M1109,IFERROR(Charms!J1109=OFFSET(Values!$A$24,MATCH("S",Values!$T$25:$T$50,0),0),FALSE))</f>
        <v>0</v>
      </c>
      <c r="D1109" t="b">
        <f>VLOOKUP(Charms!J1109,Values!$A$11:$S$59,19,0)&gt;=Charms!L1109</f>
        <v>0</v>
      </c>
      <c r="E1109" t="e">
        <f>OR(ISBLANK(Charms!I1109),(VLOOKUP(Values!$S$6,Castes!$B$2:$F$25,4,0)=Charms!I1109))</f>
        <v>#N/A</v>
      </c>
      <c r="J1109" t="e">
        <f t="shared" ca="1" si="86"/>
        <v>#N/A</v>
      </c>
      <c r="K1109" s="18" t="e">
        <f t="shared" ca="1" si="85"/>
        <v>#N/A</v>
      </c>
      <c r="L1109" t="e">
        <f ca="1">IF(J1109,Charms!B1109,"")</f>
        <v>#N/A</v>
      </c>
      <c r="M1109" t="str">
        <f t="shared" ca="1" si="87"/>
        <v>-</v>
      </c>
      <c r="N1109" s="18" t="str">
        <f t="shared" si="88"/>
        <v>K1105:L1157</v>
      </c>
      <c r="O1109" t="str">
        <f t="shared" si="89"/>
        <v>A1105:A1109</v>
      </c>
    </row>
    <row r="1110" spans="1:15">
      <c r="A1110" s="18" t="str">
        <f>Charms!K1110</f>
        <v>Presence</v>
      </c>
      <c r="B1110" t="str">
        <f>Charms!B1110</f>
        <v>Threefold Magnetic Ardor</v>
      </c>
      <c r="C1110" t="b">
        <f ca="1">OR(Values!$S$98&gt;=Charms!M1110,IFERROR(Charms!J1110=OFFSET(Values!$A$24,MATCH("S",Values!$T$25:$T$50,0),0),FALSE))</f>
        <v>0</v>
      </c>
      <c r="D1110" t="b">
        <f>VLOOKUP(Charms!J1110,Values!$A$11:$S$59,19,0)&gt;=Charms!L1110</f>
        <v>0</v>
      </c>
      <c r="E1110" t="e">
        <f>OR(ISBLANK(Charms!I1110),(VLOOKUP(Values!$S$6,Castes!$B$2:$F$25,4,0)=Charms!I1110))</f>
        <v>#N/A</v>
      </c>
      <c r="J1110" t="e">
        <f t="shared" ca="1" si="86"/>
        <v>#N/A</v>
      </c>
      <c r="K1110" s="18" t="e">
        <f t="shared" ca="1" si="85"/>
        <v>#N/A</v>
      </c>
      <c r="L1110" t="e">
        <f ca="1">IF(J1110,Charms!B1110,"")</f>
        <v>#N/A</v>
      </c>
      <c r="M1110" t="str">
        <f t="shared" ca="1" si="87"/>
        <v>-</v>
      </c>
      <c r="N1110" s="18" t="str">
        <f t="shared" si="88"/>
        <v>K1105:L1157</v>
      </c>
      <c r="O1110" t="str">
        <f t="shared" si="89"/>
        <v>A1105:A1110</v>
      </c>
    </row>
    <row r="1111" spans="1:15">
      <c r="A1111" s="18" t="str">
        <f>Charms!K1111</f>
        <v>Presence</v>
      </c>
      <c r="B1111" t="str">
        <f>Charms!B1111</f>
        <v>Poised Lion Attitude</v>
      </c>
      <c r="C1111" t="b">
        <f ca="1">OR(Values!$S$98&gt;=Charms!M1111,IFERROR(Charms!J1111=OFFSET(Values!$A$24,MATCH("S",Values!$T$25:$T$50,0),0),FALSE))</f>
        <v>1</v>
      </c>
      <c r="D1111" t="b">
        <f>VLOOKUP(Charms!J1111,Values!$A$11:$S$59,19,0)&gt;=Charms!L1111</f>
        <v>0</v>
      </c>
      <c r="E1111" t="e">
        <f>OR(ISBLANK(Charms!I1111),(VLOOKUP(Values!$S$6,Castes!$B$2:$F$25,4,0)=Charms!I1111))</f>
        <v>#N/A</v>
      </c>
      <c r="J1111" t="e">
        <f t="shared" ca="1" si="86"/>
        <v>#N/A</v>
      </c>
      <c r="K1111" s="18" t="e">
        <f t="shared" ca="1" si="85"/>
        <v>#N/A</v>
      </c>
      <c r="L1111" t="e">
        <f ca="1">IF(J1111,Charms!B1111,"")</f>
        <v>#N/A</v>
      </c>
      <c r="M1111" t="str">
        <f t="shared" ca="1" si="87"/>
        <v>-</v>
      </c>
      <c r="N1111" s="18" t="str">
        <f t="shared" si="88"/>
        <v>K1105:L1157</v>
      </c>
      <c r="O1111" t="str">
        <f t="shared" si="89"/>
        <v>A1105:A1111</v>
      </c>
    </row>
    <row r="1112" spans="1:15">
      <c r="A1112" s="18" t="str">
        <f>Charms!K1112</f>
        <v>Presence</v>
      </c>
      <c r="B1112" t="str">
        <f>Charms!B1112</f>
        <v>Excellent Friend Approach</v>
      </c>
      <c r="C1112" t="b">
        <f ca="1">OR(Values!$S$98&gt;=Charms!M1112,IFERROR(Charms!J1112=OFFSET(Values!$A$24,MATCH("S",Values!$T$25:$T$50,0),0),FALSE))</f>
        <v>1</v>
      </c>
      <c r="D1112" t="b">
        <f>VLOOKUP(Charms!J1112,Values!$A$11:$S$59,19,0)&gt;=Charms!L1112</f>
        <v>0</v>
      </c>
      <c r="E1112" t="e">
        <f>OR(ISBLANK(Charms!I1112),(VLOOKUP(Values!$S$6,Castes!$B$2:$F$25,4,0)=Charms!I1112))</f>
        <v>#N/A</v>
      </c>
      <c r="J1112" t="e">
        <f t="shared" ca="1" si="86"/>
        <v>#N/A</v>
      </c>
      <c r="K1112" s="18" t="e">
        <f t="shared" ca="1" si="85"/>
        <v>#N/A</v>
      </c>
      <c r="L1112" t="e">
        <f ca="1">IF(J1112,Charms!B1112,"")</f>
        <v>#N/A</v>
      </c>
      <c r="M1112" t="str">
        <f t="shared" ca="1" si="87"/>
        <v>-</v>
      </c>
      <c r="N1112" s="18" t="str">
        <f t="shared" si="88"/>
        <v>K1105:L1157</v>
      </c>
      <c r="O1112" t="str">
        <f t="shared" si="89"/>
        <v>A1105:A1112</v>
      </c>
    </row>
    <row r="1113" spans="1:15">
      <c r="A1113" s="18" t="str">
        <f>Charms!K1113</f>
        <v>Presence</v>
      </c>
      <c r="B1113" t="str">
        <f>Charms!B1113</f>
        <v>Empowering Shout</v>
      </c>
      <c r="C1113" t="b">
        <f ca="1">OR(Values!$S$98&gt;=Charms!M1113,IFERROR(Charms!J1113=OFFSET(Values!$A$24,MATCH("S",Values!$T$25:$T$50,0),0),FALSE))</f>
        <v>0</v>
      </c>
      <c r="D1113" t="b">
        <f>VLOOKUP(Charms!J1113,Values!$A$11:$S$59,19,0)&gt;=Charms!L1113</f>
        <v>0</v>
      </c>
      <c r="E1113" t="e">
        <f>OR(ISBLANK(Charms!I1113),(VLOOKUP(Values!$S$6,Castes!$B$2:$F$25,4,0)=Charms!I1113))</f>
        <v>#N/A</v>
      </c>
      <c r="J1113" t="e">
        <f t="shared" ca="1" si="86"/>
        <v>#N/A</v>
      </c>
      <c r="K1113" s="18" t="e">
        <f t="shared" ca="1" si="85"/>
        <v>#N/A</v>
      </c>
      <c r="L1113" t="e">
        <f ca="1">IF(J1113,Charms!B1113,"")</f>
        <v>#N/A</v>
      </c>
      <c r="M1113" t="str">
        <f t="shared" ca="1" si="87"/>
        <v>-</v>
      </c>
      <c r="N1113" s="18" t="str">
        <f t="shared" si="88"/>
        <v>K1105:L1157</v>
      </c>
      <c r="O1113" t="str">
        <f t="shared" si="89"/>
        <v>A1105:A1113</v>
      </c>
    </row>
    <row r="1114" spans="1:15">
      <c r="A1114" s="18" t="str">
        <f>Charms!K1114</f>
        <v>Presence</v>
      </c>
      <c r="B1114" t="str">
        <f>Charms!B1114</f>
        <v>Underling-Promoting Touch</v>
      </c>
      <c r="C1114" t="b">
        <f ca="1">OR(Values!$S$98&gt;=Charms!M1114,IFERROR(Charms!J1114=OFFSET(Values!$A$24,MATCH("S",Values!$T$25:$T$50,0),0),FALSE))</f>
        <v>0</v>
      </c>
      <c r="D1114" t="b">
        <f>VLOOKUP(Charms!J1114,Values!$A$11:$S$59,19,0)&gt;=Charms!L1114</f>
        <v>0</v>
      </c>
      <c r="E1114" t="e">
        <f>OR(ISBLANK(Charms!I1114),(VLOOKUP(Values!$S$6,Castes!$B$2:$F$25,4,0)=Charms!I1114))</f>
        <v>#N/A</v>
      </c>
      <c r="J1114" t="e">
        <f t="shared" ca="1" si="86"/>
        <v>#N/A</v>
      </c>
      <c r="K1114" s="18" t="e">
        <f t="shared" ca="1" si="85"/>
        <v>#N/A</v>
      </c>
      <c r="L1114" t="e">
        <f ca="1">IF(J1114,Charms!B1114,"")</f>
        <v>#N/A</v>
      </c>
      <c r="M1114" t="str">
        <f t="shared" ca="1" si="87"/>
        <v>-</v>
      </c>
      <c r="N1114" s="18" t="str">
        <f t="shared" si="88"/>
        <v>K1105:L1157</v>
      </c>
      <c r="O1114" t="str">
        <f t="shared" si="89"/>
        <v>A1105:A1114</v>
      </c>
    </row>
    <row r="1115" spans="1:15">
      <c r="A1115" s="18" t="str">
        <f>Charms!K1115</f>
        <v>Presence</v>
      </c>
      <c r="B1115" t="str">
        <f>Charms!B1115</f>
        <v>Awakened Carnal Demiurge</v>
      </c>
      <c r="C1115" t="b">
        <f ca="1">OR(Values!$S$98&gt;=Charms!M1115,IFERROR(Charms!J1115=OFFSET(Values!$A$24,MATCH("S",Values!$T$25:$T$50,0),0),FALSE))</f>
        <v>0</v>
      </c>
      <c r="D1115" t="b">
        <f>VLOOKUP(Charms!J1115,Values!$A$11:$S$59,19,0)&gt;=Charms!L1115</f>
        <v>0</v>
      </c>
      <c r="E1115" t="e">
        <f>OR(ISBLANK(Charms!I1115),(VLOOKUP(Values!$S$6,Castes!$B$2:$F$25,4,0)=Charms!I1115))</f>
        <v>#N/A</v>
      </c>
      <c r="J1115" t="e">
        <f t="shared" ca="1" si="86"/>
        <v>#N/A</v>
      </c>
      <c r="K1115" s="18" t="e">
        <f t="shared" ca="1" si="85"/>
        <v>#N/A</v>
      </c>
      <c r="L1115" t="e">
        <f ca="1">IF(J1115,Charms!B1115,"")</f>
        <v>#N/A</v>
      </c>
      <c r="M1115" t="str">
        <f t="shared" ca="1" si="87"/>
        <v>-</v>
      </c>
      <c r="N1115" s="18" t="str">
        <f t="shared" si="88"/>
        <v>K1105:L1157</v>
      </c>
      <c r="O1115" t="str">
        <f t="shared" si="89"/>
        <v>A1105:A1115</v>
      </c>
    </row>
    <row r="1116" spans="1:15">
      <c r="A1116" s="18" t="str">
        <f>Charms!K1116</f>
        <v>Presence</v>
      </c>
      <c r="B1116" t="str">
        <f>Charms!B1116</f>
        <v>Enemy-Castigating Solar Judgment</v>
      </c>
      <c r="C1116" t="b">
        <f ca="1">OR(Values!$S$98&gt;=Charms!M1116,IFERROR(Charms!J1116=OFFSET(Values!$A$24,MATCH("S",Values!$T$25:$T$50,0),0),FALSE))</f>
        <v>0</v>
      </c>
      <c r="D1116" t="b">
        <f>VLOOKUP(Charms!J1116,Values!$A$11:$S$59,19,0)&gt;=Charms!L1116</f>
        <v>0</v>
      </c>
      <c r="E1116" t="e">
        <f>OR(ISBLANK(Charms!I1116),(VLOOKUP(Values!$S$6,Castes!$B$2:$F$25,4,0)=Charms!I1116))</f>
        <v>#N/A</v>
      </c>
      <c r="J1116" t="e">
        <f t="shared" ca="1" si="86"/>
        <v>#N/A</v>
      </c>
      <c r="K1116" s="18" t="e">
        <f t="shared" ca="1" si="85"/>
        <v>#N/A</v>
      </c>
      <c r="L1116" t="e">
        <f ca="1">IF(J1116,Charms!B1116,"")</f>
        <v>#N/A</v>
      </c>
      <c r="M1116" t="str">
        <f t="shared" ca="1" si="87"/>
        <v>-</v>
      </c>
      <c r="N1116" s="18" t="str">
        <f t="shared" si="88"/>
        <v>K1105:L1157</v>
      </c>
      <c r="O1116" t="str">
        <f t="shared" si="89"/>
        <v>A1105:A1116</v>
      </c>
    </row>
    <row r="1117" spans="1:15">
      <c r="A1117" s="18" t="str">
        <f>Charms!K1117</f>
        <v>Presence</v>
      </c>
      <c r="B1117" t="str">
        <f>Charms!B1117</f>
        <v>Fulminating Word</v>
      </c>
      <c r="C1117" t="b">
        <f ca="1">OR(Values!$S$98&gt;=Charms!M1117,IFERROR(Charms!J1117=OFFSET(Values!$A$24,MATCH("S",Values!$T$25:$T$50,0),0),FALSE))</f>
        <v>0</v>
      </c>
      <c r="D1117" t="b">
        <f>VLOOKUP(Charms!J1117,Values!$A$11:$S$59,19,0)&gt;=Charms!L1117</f>
        <v>0</v>
      </c>
      <c r="E1117" t="e">
        <f>OR(ISBLANK(Charms!I1117),(VLOOKUP(Values!$S$6,Castes!$B$2:$F$25,4,0)=Charms!I1117))</f>
        <v>#N/A</v>
      </c>
      <c r="J1117" t="e">
        <f t="shared" ca="1" si="86"/>
        <v>#N/A</v>
      </c>
      <c r="K1117" s="18" t="e">
        <f t="shared" ca="1" si="85"/>
        <v>#N/A</v>
      </c>
      <c r="L1117" t="e">
        <f ca="1">IF(J1117,Charms!B1117,"")</f>
        <v>#N/A</v>
      </c>
      <c r="M1117" t="str">
        <f t="shared" ca="1" si="87"/>
        <v>-</v>
      </c>
      <c r="N1117" s="18" t="str">
        <f t="shared" si="88"/>
        <v>K1105:L1157</v>
      </c>
      <c r="O1117" t="str">
        <f t="shared" si="89"/>
        <v>A1105:A1117</v>
      </c>
    </row>
    <row r="1118" spans="1:15">
      <c r="A1118" s="18" t="str">
        <f>Charms!K1118</f>
        <v>Presence</v>
      </c>
      <c r="B1118" t="str">
        <f>Charms!B1118</f>
        <v>Authority-Radiating Stance</v>
      </c>
      <c r="C1118" t="b">
        <f ca="1">OR(Values!$S$98&gt;=Charms!M1118,IFERROR(Charms!J1118=OFFSET(Values!$A$24,MATCH("S",Values!$T$25:$T$50,0),0),FALSE))</f>
        <v>0</v>
      </c>
      <c r="D1118" t="b">
        <f>VLOOKUP(Charms!J1118,Values!$A$11:$S$59,19,0)&gt;=Charms!L1118</f>
        <v>0</v>
      </c>
      <c r="E1118" t="e">
        <f>OR(ISBLANK(Charms!I1118),(VLOOKUP(Values!$S$6,Castes!$B$2:$F$25,4,0)=Charms!I1118))</f>
        <v>#N/A</v>
      </c>
      <c r="J1118" t="e">
        <f t="shared" ca="1" si="86"/>
        <v>#N/A</v>
      </c>
      <c r="K1118" s="18" t="e">
        <f t="shared" ca="1" si="85"/>
        <v>#N/A</v>
      </c>
      <c r="L1118" t="e">
        <f ca="1">IF(J1118,Charms!B1118,"")</f>
        <v>#N/A</v>
      </c>
      <c r="M1118" t="str">
        <f t="shared" ca="1" si="87"/>
        <v>-</v>
      </c>
      <c r="N1118" s="18" t="str">
        <f t="shared" si="88"/>
        <v>K1105:L1157</v>
      </c>
      <c r="O1118" t="str">
        <f t="shared" si="89"/>
        <v>A1105:A1118</v>
      </c>
    </row>
    <row r="1119" spans="1:15">
      <c r="A1119" s="18" t="str">
        <f>Charms!K1119</f>
        <v>Presence</v>
      </c>
      <c r="B1119" t="str">
        <f>Charms!B1119</f>
        <v>Terrifying Apparition of Glory</v>
      </c>
      <c r="C1119" t="b">
        <f ca="1">OR(Values!$S$98&gt;=Charms!M1119,IFERROR(Charms!J1119=OFFSET(Values!$A$24,MATCH("S",Values!$T$25:$T$50,0),0),FALSE))</f>
        <v>0</v>
      </c>
      <c r="D1119" t="b">
        <f>VLOOKUP(Charms!J1119,Values!$A$11:$S$59,19,0)&gt;=Charms!L1119</f>
        <v>0</v>
      </c>
      <c r="E1119" t="e">
        <f>OR(ISBLANK(Charms!I1119),(VLOOKUP(Values!$S$6,Castes!$B$2:$F$25,4,0)=Charms!I1119))</f>
        <v>#N/A</v>
      </c>
      <c r="J1119" t="e">
        <f t="shared" ca="1" si="86"/>
        <v>#N/A</v>
      </c>
      <c r="K1119" s="18" t="e">
        <f t="shared" ca="1" si="85"/>
        <v>#N/A</v>
      </c>
      <c r="L1119" t="e">
        <f ca="1">IF(J1119,Charms!B1119,"")</f>
        <v>#N/A</v>
      </c>
      <c r="M1119" t="str">
        <f t="shared" ca="1" si="87"/>
        <v>-</v>
      </c>
      <c r="N1119" s="18" t="str">
        <f t="shared" si="88"/>
        <v>K1105:L1157</v>
      </c>
      <c r="O1119" t="str">
        <f t="shared" si="89"/>
        <v>A1105:A1119</v>
      </c>
    </row>
    <row r="1120" spans="1:15">
      <c r="A1120" s="18" t="str">
        <f>Charms!K1120</f>
        <v>Presence</v>
      </c>
      <c r="B1120" t="str">
        <f>Charms!B1120</f>
        <v>Blazing Glorious Icon</v>
      </c>
      <c r="C1120" t="b">
        <f ca="1">OR(Values!$S$98&gt;=Charms!M1120,IFERROR(Charms!J1120=OFFSET(Values!$A$24,MATCH("S",Values!$T$25:$T$50,0),0),FALSE))</f>
        <v>0</v>
      </c>
      <c r="D1120" t="b">
        <f>VLOOKUP(Charms!J1120,Values!$A$11:$S$59,19,0)&gt;=Charms!L1120</f>
        <v>0</v>
      </c>
      <c r="E1120" t="e">
        <f>OR(ISBLANK(Charms!I1120),(VLOOKUP(Values!$S$6,Castes!$B$2:$F$25,4,0)=Charms!I1120))</f>
        <v>#N/A</v>
      </c>
      <c r="J1120" t="e">
        <f t="shared" ca="1" si="86"/>
        <v>#N/A</v>
      </c>
      <c r="K1120" s="18" t="e">
        <f t="shared" ca="1" si="85"/>
        <v>#N/A</v>
      </c>
      <c r="L1120" t="e">
        <f ca="1">IF(J1120,Charms!B1120,"")</f>
        <v>#N/A</v>
      </c>
      <c r="M1120" t="str">
        <f t="shared" ca="1" si="87"/>
        <v>-</v>
      </c>
      <c r="N1120" s="18" t="str">
        <f t="shared" si="88"/>
        <v>K1105:L1157</v>
      </c>
      <c r="O1120" t="str">
        <f t="shared" si="89"/>
        <v>A1105:A1120</v>
      </c>
    </row>
    <row r="1121" spans="1:15">
      <c r="A1121" s="18" t="str">
        <f>Charms!K1121</f>
        <v>Presence</v>
      </c>
      <c r="B1121" t="str">
        <f>Charms!B1121</f>
        <v>Mind-Wiping Gaze</v>
      </c>
      <c r="C1121" t="b">
        <f ca="1">OR(Values!$S$98&gt;=Charms!M1121,IFERROR(Charms!J1121=OFFSET(Values!$A$24,MATCH("S",Values!$T$25:$T$50,0),0),FALSE))</f>
        <v>0</v>
      </c>
      <c r="D1121" t="b">
        <f>VLOOKUP(Charms!J1121,Values!$A$11:$S$59,19,0)&gt;=Charms!L1121</f>
        <v>0</v>
      </c>
      <c r="E1121" t="e">
        <f>OR(ISBLANK(Charms!I1121),(VLOOKUP(Values!$S$6,Castes!$B$2:$F$25,4,0)=Charms!I1121))</f>
        <v>#N/A</v>
      </c>
      <c r="J1121" t="e">
        <f t="shared" ca="1" si="86"/>
        <v>#N/A</v>
      </c>
      <c r="K1121" s="18" t="e">
        <f t="shared" ca="1" si="85"/>
        <v>#N/A</v>
      </c>
      <c r="L1121" t="e">
        <f ca="1">IF(J1121,Charms!B1121,"")</f>
        <v>#N/A</v>
      </c>
      <c r="M1121" t="str">
        <f t="shared" ca="1" si="87"/>
        <v>-</v>
      </c>
      <c r="N1121" s="18" t="str">
        <f t="shared" si="88"/>
        <v>K1105:L1157</v>
      </c>
      <c r="O1121" t="str">
        <f t="shared" si="89"/>
        <v>A1105:A1121</v>
      </c>
    </row>
    <row r="1122" spans="1:15">
      <c r="A1122" s="18" t="str">
        <f>Charms!K1122</f>
        <v>Presence</v>
      </c>
      <c r="B1122" t="str">
        <f>Charms!B1122</f>
        <v>Hypnotic Tongue Technique</v>
      </c>
      <c r="C1122" t="b">
        <f ca="1">OR(Values!$S$98&gt;=Charms!M1122,IFERROR(Charms!J1122=OFFSET(Values!$A$24,MATCH("S",Values!$T$25:$T$50,0),0),FALSE))</f>
        <v>0</v>
      </c>
      <c r="D1122" t="b">
        <f>VLOOKUP(Charms!J1122,Values!$A$11:$S$59,19,0)&gt;=Charms!L1122</f>
        <v>0</v>
      </c>
      <c r="E1122" t="e">
        <f>OR(ISBLANK(Charms!I1122),(VLOOKUP(Values!$S$6,Castes!$B$2:$F$25,4,0)=Charms!I1122))</f>
        <v>#N/A</v>
      </c>
      <c r="J1122" t="e">
        <f t="shared" ca="1" si="86"/>
        <v>#N/A</v>
      </c>
      <c r="K1122" s="18" t="e">
        <f t="shared" ca="1" si="85"/>
        <v>#N/A</v>
      </c>
      <c r="L1122" t="e">
        <f ca="1">IF(J1122,Charms!B1122,"")</f>
        <v>#N/A</v>
      </c>
      <c r="M1122" t="str">
        <f t="shared" ca="1" si="87"/>
        <v>-</v>
      </c>
      <c r="N1122" s="18" t="str">
        <f t="shared" si="88"/>
        <v>K1105:L1157</v>
      </c>
      <c r="O1122" t="str">
        <f t="shared" si="89"/>
        <v>A1105:A1122</v>
      </c>
    </row>
    <row r="1123" spans="1:15">
      <c r="A1123" s="18" t="str">
        <f>Charms!K1123</f>
        <v>Presence</v>
      </c>
      <c r="B1123" t="str">
        <f>Charms!B1123</f>
        <v>Worshipful Lackey Acquisition</v>
      </c>
      <c r="C1123" t="b">
        <f ca="1">OR(Values!$S$98&gt;=Charms!M1123,IFERROR(Charms!J1123=OFFSET(Values!$A$24,MATCH("S",Values!$T$25:$T$50,0),0),FALSE))</f>
        <v>0</v>
      </c>
      <c r="D1123" t="b">
        <f>VLOOKUP(Charms!J1123,Values!$A$11:$S$59,19,0)&gt;=Charms!L1123</f>
        <v>0</v>
      </c>
      <c r="E1123" t="e">
        <f>OR(ISBLANK(Charms!I1123),(VLOOKUP(Values!$S$6,Castes!$B$2:$F$25,4,0)=Charms!I1123))</f>
        <v>#N/A</v>
      </c>
      <c r="J1123" t="e">
        <f t="shared" ca="1" si="86"/>
        <v>#N/A</v>
      </c>
      <c r="K1123" s="18" t="e">
        <f t="shared" ca="1" si="85"/>
        <v>#N/A</v>
      </c>
      <c r="L1123" t="e">
        <f ca="1">IF(J1123,Charms!B1123,"")</f>
        <v>#N/A</v>
      </c>
      <c r="M1123" t="str">
        <f t="shared" ca="1" si="87"/>
        <v>-</v>
      </c>
      <c r="N1123" s="18" t="str">
        <f t="shared" si="88"/>
        <v>K1105:L1157</v>
      </c>
      <c r="O1123" t="str">
        <f t="shared" si="89"/>
        <v>A1105:A1123</v>
      </c>
    </row>
    <row r="1124" spans="1:15">
      <c r="A1124" s="18" t="str">
        <f>Charms!K1124</f>
        <v>Presence</v>
      </c>
      <c r="B1124" t="str">
        <f>Charms!B1124</f>
        <v>Prophet-Uplifting Evocation</v>
      </c>
      <c r="C1124" t="b">
        <f ca="1">OR(Values!$S$98&gt;=Charms!M1124,IFERROR(Charms!J1124=OFFSET(Values!$A$24,MATCH("S",Values!$T$25:$T$50,0),0),FALSE))</f>
        <v>0</v>
      </c>
      <c r="D1124" t="b">
        <f>VLOOKUP(Charms!J1124,Values!$A$11:$S$59,19,0)&gt;=Charms!L1124</f>
        <v>0</v>
      </c>
      <c r="E1124" t="e">
        <f>OR(ISBLANK(Charms!I1124),(VLOOKUP(Values!$S$6,Castes!$B$2:$F$25,4,0)=Charms!I1124))</f>
        <v>#N/A</v>
      </c>
      <c r="J1124" t="e">
        <f t="shared" ca="1" si="86"/>
        <v>#N/A</v>
      </c>
      <c r="K1124" s="18" t="e">
        <f t="shared" ca="1" si="85"/>
        <v>#N/A</v>
      </c>
      <c r="L1124" t="e">
        <f ca="1">IF(J1124,Charms!B1124,"")</f>
        <v>#N/A</v>
      </c>
      <c r="M1124" t="str">
        <f t="shared" ca="1" si="87"/>
        <v>-</v>
      </c>
      <c r="N1124" s="18" t="str">
        <f t="shared" si="88"/>
        <v>K1105:L1157</v>
      </c>
      <c r="O1124" t="str">
        <f t="shared" si="89"/>
        <v>A1105:A1124</v>
      </c>
    </row>
    <row r="1125" spans="1:15">
      <c r="A1125" s="18" t="str">
        <f>Charms!K1125</f>
        <v>Presence</v>
      </c>
      <c r="B1125" t="str">
        <f>Charms!B1125</f>
        <v>Shedding Infinite Radiance</v>
      </c>
      <c r="C1125" t="b">
        <f ca="1">OR(Values!$S$98&gt;=Charms!M1125,IFERROR(Charms!J1125=OFFSET(Values!$A$24,MATCH("S",Values!$T$25:$T$50,0),0),FALSE))</f>
        <v>0</v>
      </c>
      <c r="D1125" t="b">
        <f>VLOOKUP(Charms!J1125,Values!$A$11:$S$59,19,0)&gt;=Charms!L1125</f>
        <v>0</v>
      </c>
      <c r="E1125" t="e">
        <f>OR(ISBLANK(Charms!I1125),(VLOOKUP(Values!$S$6,Castes!$B$2:$F$25,4,0)=Charms!I1125))</f>
        <v>#N/A</v>
      </c>
      <c r="J1125" t="e">
        <f t="shared" ca="1" si="86"/>
        <v>#N/A</v>
      </c>
      <c r="K1125" s="18" t="e">
        <f t="shared" ca="1" si="85"/>
        <v>#N/A</v>
      </c>
      <c r="L1125" t="e">
        <f ca="1">IF(J1125,Charms!B1125,"")</f>
        <v>#N/A</v>
      </c>
      <c r="M1125" t="str">
        <f t="shared" ca="1" si="87"/>
        <v>-</v>
      </c>
      <c r="N1125" s="18" t="str">
        <f t="shared" si="88"/>
        <v>K1105:L1157</v>
      </c>
      <c r="O1125" t="str">
        <f t="shared" si="89"/>
        <v>A1105:A1125</v>
      </c>
    </row>
    <row r="1126" spans="1:15">
      <c r="A1126" s="18" t="str">
        <f>Charms!K1126</f>
        <v>Presence</v>
      </c>
      <c r="B1126" t="str">
        <f>Charms!B1126</f>
        <v>Rose-Lipped Seduction Style</v>
      </c>
      <c r="C1126" t="b">
        <f ca="1">OR(Values!$S$98&gt;=Charms!M1126,IFERROR(Charms!J1126=OFFSET(Values!$A$24,MATCH("S",Values!$T$25:$T$50,0),0),FALSE))</f>
        <v>0</v>
      </c>
      <c r="D1126" t="b">
        <f>VLOOKUP(Charms!J1126,Values!$A$11:$S$59,19,0)&gt;=Charms!L1126</f>
        <v>0</v>
      </c>
      <c r="E1126" t="e">
        <f>OR(ISBLANK(Charms!I1126),(VLOOKUP(Values!$S$6,Castes!$B$2:$F$25,4,0)=Charms!I1126))</f>
        <v>#N/A</v>
      </c>
      <c r="J1126" t="e">
        <f t="shared" ca="1" si="86"/>
        <v>#N/A</v>
      </c>
      <c r="K1126" s="18" t="e">
        <f t="shared" ca="1" si="85"/>
        <v>#N/A</v>
      </c>
      <c r="L1126" t="e">
        <f ca="1">IF(J1126,Charms!B1126,"")</f>
        <v>#N/A</v>
      </c>
      <c r="M1126" t="str">
        <f t="shared" ca="1" si="87"/>
        <v>-</v>
      </c>
      <c r="N1126" s="18" t="str">
        <f t="shared" si="88"/>
        <v>K1105:L1157</v>
      </c>
      <c r="O1126" t="str">
        <f t="shared" si="89"/>
        <v>A1105:A1126</v>
      </c>
    </row>
    <row r="1127" spans="1:15">
      <c r="A1127" s="18" t="str">
        <f>Charms!K1127</f>
        <v>Presence</v>
      </c>
      <c r="B1127" t="str">
        <f>Charms!B1127</f>
        <v>Crowned King of Eternity</v>
      </c>
      <c r="C1127" t="b">
        <f ca="1">OR(Values!$S$98&gt;=Charms!M1127,IFERROR(Charms!J1127=OFFSET(Values!$A$24,MATCH("S",Values!$T$25:$T$50,0),0),FALSE))</f>
        <v>0</v>
      </c>
      <c r="D1127" t="b">
        <f>VLOOKUP(Charms!J1127,Values!$A$11:$S$59,19,0)&gt;=Charms!L1127</f>
        <v>0</v>
      </c>
      <c r="E1127" t="e">
        <f>OR(ISBLANK(Charms!I1127),(VLOOKUP(Values!$S$6,Castes!$B$2:$F$25,4,0)=Charms!I1127))</f>
        <v>#N/A</v>
      </c>
      <c r="J1127" t="e">
        <f t="shared" ca="1" si="86"/>
        <v>#N/A</v>
      </c>
      <c r="K1127" s="18" t="e">
        <f t="shared" ca="1" si="85"/>
        <v>#N/A</v>
      </c>
      <c r="L1127" t="e">
        <f ca="1">IF(J1127,Charms!B1127,"")</f>
        <v>#N/A</v>
      </c>
      <c r="M1127" t="str">
        <f t="shared" ca="1" si="87"/>
        <v>-</v>
      </c>
      <c r="N1127" s="18" t="str">
        <f t="shared" si="88"/>
        <v>K1105:L1157</v>
      </c>
      <c r="O1127" t="str">
        <f t="shared" si="89"/>
        <v>A1105:A1127</v>
      </c>
    </row>
    <row r="1128" spans="1:15">
      <c r="A1128" s="18" t="str">
        <f>Charms!K1128</f>
        <v>Presence</v>
      </c>
      <c r="B1128" t="str">
        <f>Charms!B1128</f>
        <v>Favor-Conferring Prana</v>
      </c>
      <c r="C1128" t="b">
        <f ca="1">OR(Values!$S$98&gt;=Charms!M1128,IFERROR(Charms!J1128=OFFSET(Values!$A$24,MATCH("S",Values!$T$25:$T$50,0),0),FALSE))</f>
        <v>0</v>
      </c>
      <c r="D1128" t="b">
        <f>VLOOKUP(Charms!J1128,Values!$A$11:$S$59,19,0)&gt;=Charms!L1128</f>
        <v>0</v>
      </c>
      <c r="E1128" t="e">
        <f>OR(ISBLANK(Charms!I1128),(VLOOKUP(Values!$S$6,Castes!$B$2:$F$25,4,0)=Charms!I1128))</f>
        <v>#N/A</v>
      </c>
      <c r="J1128" t="e">
        <f t="shared" ca="1" si="86"/>
        <v>#N/A</v>
      </c>
      <c r="K1128" s="18" t="e">
        <f t="shared" ca="1" si="85"/>
        <v>#N/A</v>
      </c>
      <c r="L1128" t="e">
        <f ca="1">IF(J1128,Charms!B1128,"")</f>
        <v>#N/A</v>
      </c>
      <c r="M1128" t="str">
        <f t="shared" ca="1" si="87"/>
        <v>-</v>
      </c>
      <c r="N1128" s="18" t="str">
        <f t="shared" si="88"/>
        <v>K1105:L1157</v>
      </c>
      <c r="O1128" t="str">
        <f t="shared" si="89"/>
        <v>A1105:A1128</v>
      </c>
    </row>
    <row r="1129" spans="1:15">
      <c r="A1129" s="18" t="str">
        <f>Charms!K1129</f>
        <v>Presence</v>
      </c>
      <c r="B1129" t="str">
        <f>Charms!B1129</f>
        <v>Countenance of Vast Wrath</v>
      </c>
      <c r="C1129" t="b">
        <f ca="1">OR(Values!$S$98&gt;=Charms!M1129,IFERROR(Charms!J1129=OFFSET(Values!$A$24,MATCH("S",Values!$T$25:$T$50,0),0),FALSE))</f>
        <v>0</v>
      </c>
      <c r="D1129" t="b">
        <f>VLOOKUP(Charms!J1129,Values!$A$11:$S$59,19,0)&gt;=Charms!L1129</f>
        <v>0</v>
      </c>
      <c r="E1129" t="e">
        <f>OR(ISBLANK(Charms!I1129),(VLOOKUP(Values!$S$6,Castes!$B$2:$F$25,4,0)=Charms!I1129))</f>
        <v>#N/A</v>
      </c>
      <c r="J1129" t="e">
        <f t="shared" ca="1" si="86"/>
        <v>#N/A</v>
      </c>
      <c r="K1129" s="18" t="e">
        <f t="shared" ca="1" si="85"/>
        <v>#N/A</v>
      </c>
      <c r="L1129" t="e">
        <f ca="1">IF(J1129,Charms!B1129,"")</f>
        <v>#N/A</v>
      </c>
      <c r="M1129" t="str">
        <f t="shared" ca="1" si="87"/>
        <v>-</v>
      </c>
      <c r="N1129" s="18" t="str">
        <f t="shared" si="88"/>
        <v>K1105:L1157</v>
      </c>
      <c r="O1129" t="str">
        <f t="shared" si="89"/>
        <v>A1105:A1129</v>
      </c>
    </row>
    <row r="1130" spans="1:15">
      <c r="A1130" s="18" t="str">
        <f>Charms!K1130</f>
        <v>Presence</v>
      </c>
      <c r="B1130" t="str">
        <f>Charms!B1130</f>
        <v>Holy Touch</v>
      </c>
      <c r="C1130" t="b">
        <f ca="1">OR(Values!$S$98&gt;=Charms!M1130,IFERROR(Charms!J1130=OFFSET(Values!$A$24,MATCH("S",Values!$T$25:$T$50,0),0),FALSE))</f>
        <v>0</v>
      </c>
      <c r="D1130" t="b">
        <f>VLOOKUP(Charms!J1130,Values!$A$11:$S$59,19,0)&gt;=Charms!L1130</f>
        <v>0</v>
      </c>
      <c r="E1130" t="e">
        <f>OR(ISBLANK(Charms!I1130),(VLOOKUP(Values!$S$6,Castes!$B$2:$F$25,4,0)=Charms!I1130))</f>
        <v>#N/A</v>
      </c>
      <c r="J1130" t="e">
        <f t="shared" ca="1" si="86"/>
        <v>#N/A</v>
      </c>
      <c r="K1130" s="18" t="e">
        <f t="shared" ca="1" si="85"/>
        <v>#N/A</v>
      </c>
      <c r="L1130" t="e">
        <f ca="1">IF(J1130,Charms!B1130,"")</f>
        <v>#N/A</v>
      </c>
      <c r="M1130" t="str">
        <f t="shared" ca="1" si="87"/>
        <v>-</v>
      </c>
      <c r="N1130" s="18" t="str">
        <f t="shared" si="88"/>
        <v>K1105:L1157</v>
      </c>
      <c r="O1130" t="str">
        <f t="shared" si="89"/>
        <v>A1105:A1130</v>
      </c>
    </row>
    <row r="1131" spans="1:15">
      <c r="A1131" s="18" t="str">
        <f>Charms!K1131</f>
        <v>Presence</v>
      </c>
      <c r="B1131" t="str">
        <f>Charms!B1131</f>
        <v>God-Heeling Gesture</v>
      </c>
      <c r="C1131" t="b">
        <f ca="1">OR(Values!$S$98&gt;=Charms!M1131,IFERROR(Charms!J1131=OFFSET(Values!$A$24,MATCH("S",Values!$T$25:$T$50,0),0),FALSE))</f>
        <v>0</v>
      </c>
      <c r="D1131" t="b">
        <f>VLOOKUP(Charms!J1131,Values!$A$11:$S$59,19,0)&gt;=Charms!L1131</f>
        <v>0</v>
      </c>
      <c r="E1131" t="e">
        <f>OR(ISBLANK(Charms!I1131),(VLOOKUP(Values!$S$6,Castes!$B$2:$F$25,4,0)=Charms!I1131))</f>
        <v>#N/A</v>
      </c>
      <c r="J1131" t="e">
        <f t="shared" ca="1" si="86"/>
        <v>#N/A</v>
      </c>
      <c r="K1131" s="18" t="e">
        <f t="shared" ca="1" si="85"/>
        <v>#N/A</v>
      </c>
      <c r="L1131" t="e">
        <f ca="1">IF(J1131,Charms!B1131,"")</f>
        <v>#N/A</v>
      </c>
      <c r="M1131" t="str">
        <f t="shared" ca="1" si="87"/>
        <v>-</v>
      </c>
      <c r="N1131" s="18" t="str">
        <f t="shared" si="88"/>
        <v>K1105:L1157</v>
      </c>
      <c r="O1131" t="str">
        <f t="shared" si="89"/>
        <v>A1105:A1131</v>
      </c>
    </row>
    <row r="1132" spans="1:15">
      <c r="A1132" s="18" t="str">
        <f>Charms!K1132</f>
        <v>Presence</v>
      </c>
      <c r="B1132" t="str">
        <f>Charms!B1132</f>
        <v>Unnerving Solar Presence</v>
      </c>
      <c r="C1132" t="b">
        <f ca="1">OR(Values!$S$98&gt;=Charms!M1132,IFERROR(Charms!J1132=OFFSET(Values!$A$24,MATCH("S",Values!$T$25:$T$50,0),0),FALSE))</f>
        <v>0</v>
      </c>
      <c r="D1132" t="b">
        <f>VLOOKUP(Charms!J1132,Values!$A$11:$S$59,19,0)&gt;=Charms!L1132</f>
        <v>0</v>
      </c>
      <c r="E1132" t="e">
        <f>OR(ISBLANK(Charms!I1132),(VLOOKUP(Values!$S$6,Castes!$B$2:$F$25,4,0)=Charms!I1132))</f>
        <v>#N/A</v>
      </c>
      <c r="J1132" t="e">
        <f t="shared" ca="1" si="86"/>
        <v>#N/A</v>
      </c>
      <c r="K1132" s="18" t="e">
        <f t="shared" ca="1" si="85"/>
        <v>#N/A</v>
      </c>
      <c r="L1132" t="e">
        <f ca="1">IF(J1132,Charms!B1132,"")</f>
        <v>#N/A</v>
      </c>
      <c r="M1132" t="str">
        <f t="shared" ca="1" si="87"/>
        <v>-</v>
      </c>
      <c r="N1132" s="18" t="str">
        <f t="shared" si="88"/>
        <v>K1105:L1157</v>
      </c>
      <c r="O1132" t="str">
        <f t="shared" si="89"/>
        <v>A1105:A1132</v>
      </c>
    </row>
    <row r="1133" spans="1:15">
      <c r="A1133" s="18" t="str">
        <f>Charms!K1133</f>
        <v>Presence</v>
      </c>
      <c r="B1133" t="str">
        <f>Charms!B1133</f>
        <v>Voice-Empowering Aspect (Aspect-Imbued Voice)</v>
      </c>
      <c r="C1133" t="b">
        <f ca="1">OR(Values!$S$98&gt;=Charms!M1133,IFERROR(Charms!J1133=OFFSET(Values!$A$24,MATCH("S",Values!$T$25:$T$50,0),0),FALSE))</f>
        <v>0</v>
      </c>
      <c r="D1133" t="b">
        <f>VLOOKUP(Charms!J1133,Values!$A$11:$S$59,19,0)&gt;=Charms!L1133</f>
        <v>0</v>
      </c>
      <c r="E1133" t="e">
        <f>OR(ISBLANK(Charms!I1133),(VLOOKUP(Values!$S$6,Castes!$B$2:$F$25,4,0)=Charms!I1133))</f>
        <v>#N/A</v>
      </c>
      <c r="J1133" t="e">
        <f t="shared" ca="1" si="86"/>
        <v>#N/A</v>
      </c>
      <c r="K1133" s="18" t="e">
        <f t="shared" ca="1" si="85"/>
        <v>#N/A</v>
      </c>
      <c r="L1133" t="e">
        <f ca="1">IF(J1133,Charms!B1133,"")</f>
        <v>#N/A</v>
      </c>
      <c r="M1133" t="str">
        <f t="shared" ca="1" si="87"/>
        <v>-</v>
      </c>
      <c r="N1133" s="18" t="str">
        <f t="shared" si="88"/>
        <v>K1105:L1157</v>
      </c>
      <c r="O1133" t="str">
        <f t="shared" si="89"/>
        <v>A1105:A1133</v>
      </c>
    </row>
    <row r="1134" spans="1:15">
      <c r="A1134" s="18" t="str">
        <f>Charms!K1134</f>
        <v>Presence</v>
      </c>
      <c r="B1134" t="str">
        <f>Charms!B1134</f>
        <v>Divinity-Conferring Touch (Celestial Exaltation Method)</v>
      </c>
      <c r="C1134" t="b">
        <f ca="1">OR(Values!$S$98&gt;=Charms!M1134,IFERROR(Charms!J1134=OFFSET(Values!$A$24,MATCH("S",Values!$T$25:$T$50,0),0),FALSE))</f>
        <v>0</v>
      </c>
      <c r="D1134" t="b">
        <f>VLOOKUP(Charms!J1134,Values!$A$11:$S$59,19,0)&gt;=Charms!L1134</f>
        <v>0</v>
      </c>
      <c r="E1134" t="e">
        <f>OR(ISBLANK(Charms!I1134),(VLOOKUP(Values!$S$6,Castes!$B$2:$F$25,4,0)=Charms!I1134))</f>
        <v>#N/A</v>
      </c>
      <c r="J1134" t="e">
        <f t="shared" ca="1" si="86"/>
        <v>#N/A</v>
      </c>
      <c r="K1134" s="18" t="e">
        <f t="shared" ca="1" si="85"/>
        <v>#N/A</v>
      </c>
      <c r="L1134" t="e">
        <f ca="1">IF(J1134,Charms!B1134,"")</f>
        <v>#N/A</v>
      </c>
      <c r="M1134" t="str">
        <f t="shared" ca="1" si="87"/>
        <v>-</v>
      </c>
      <c r="N1134" s="18" t="str">
        <f t="shared" si="88"/>
        <v>K1105:L1157</v>
      </c>
      <c r="O1134" t="str">
        <f t="shared" si="89"/>
        <v>A1105:A1134</v>
      </c>
    </row>
    <row r="1135" spans="1:15">
      <c r="A1135" s="18" t="str">
        <f>Charms!K1135</f>
        <v>Presence</v>
      </c>
      <c r="B1135" t="str">
        <f>Charms!B1135</f>
        <v>Glowing Coal Radiance</v>
      </c>
      <c r="C1135" t="b">
        <f ca="1">OR(Values!$S$98&gt;=Charms!M1135,IFERROR(Charms!J1135=OFFSET(Values!$A$24,MATCH("S",Values!$T$25:$T$50,0),0),FALSE))</f>
        <v>1</v>
      </c>
      <c r="D1135" t="b">
        <f>VLOOKUP(Charms!J1135,Values!$A$11:$S$59,19,0)&gt;=Charms!L1135</f>
        <v>0</v>
      </c>
      <c r="E1135" t="e">
        <f>OR(ISBLANK(Charms!I1135),(VLOOKUP(Values!$S$6,Castes!$B$2:$F$25,4,0)=Charms!I1135))</f>
        <v>#N/A</v>
      </c>
      <c r="J1135" t="e">
        <f t="shared" ca="1" si="86"/>
        <v>#N/A</v>
      </c>
      <c r="K1135" s="18" t="e">
        <f t="shared" ca="1" si="85"/>
        <v>#N/A</v>
      </c>
      <c r="L1135" t="e">
        <f ca="1">IF(J1135,Charms!B1135,"")</f>
        <v>#N/A</v>
      </c>
      <c r="M1135" t="str">
        <f t="shared" ca="1" si="87"/>
        <v>-</v>
      </c>
      <c r="N1135" s="18" t="str">
        <f t="shared" si="88"/>
        <v>K1105:L1157</v>
      </c>
      <c r="O1135" t="str">
        <f t="shared" si="89"/>
        <v>A1105:A1135</v>
      </c>
    </row>
    <row r="1136" spans="1:15">
      <c r="A1136" s="18" t="str">
        <f>Charms!K1136</f>
        <v>Presence</v>
      </c>
      <c r="B1136" t="str">
        <f>Charms!B1136</f>
        <v>Eternally Argumentative Flame</v>
      </c>
      <c r="C1136" t="b">
        <f ca="1">OR(Values!$S$98&gt;=Charms!M1136,IFERROR(Charms!J1136=OFFSET(Values!$A$24,MATCH("S",Values!$T$25:$T$50,0),0),FALSE))</f>
        <v>1</v>
      </c>
      <c r="D1136" t="b">
        <f>VLOOKUP(Charms!J1136,Values!$A$11:$S$59,19,0)&gt;=Charms!L1136</f>
        <v>0</v>
      </c>
      <c r="E1136" t="e">
        <f>OR(ISBLANK(Charms!I1136),(VLOOKUP(Values!$S$6,Castes!$B$2:$F$25,4,0)=Charms!I1136))</f>
        <v>#N/A</v>
      </c>
      <c r="J1136" t="e">
        <f t="shared" ca="1" si="86"/>
        <v>#N/A</v>
      </c>
      <c r="K1136" s="18" t="e">
        <f t="shared" ca="1" si="85"/>
        <v>#N/A</v>
      </c>
      <c r="L1136" t="e">
        <f ca="1">IF(J1136,Charms!B1136,"")</f>
        <v>#N/A</v>
      </c>
      <c r="M1136" t="str">
        <f t="shared" ca="1" si="87"/>
        <v>-</v>
      </c>
      <c r="N1136" s="18" t="str">
        <f t="shared" si="88"/>
        <v>K1105:L1157</v>
      </c>
      <c r="O1136" t="str">
        <f t="shared" si="89"/>
        <v>A1105:A1136</v>
      </c>
    </row>
    <row r="1137" spans="1:15">
      <c r="A1137" s="18" t="str">
        <f>Charms!K1137</f>
        <v>Presence</v>
      </c>
      <c r="B1137" t="str">
        <f>Charms!B1137</f>
        <v>Unbearable Taunt Technique</v>
      </c>
      <c r="C1137" t="b">
        <f ca="1">OR(Values!$S$98&gt;=Charms!M1137,IFERROR(Charms!J1137=OFFSET(Values!$A$24,MATCH("S",Values!$T$25:$T$50,0),0),FALSE))</f>
        <v>1</v>
      </c>
      <c r="D1137" t="b">
        <f>VLOOKUP(Charms!J1137,Values!$A$11:$S$59,19,0)&gt;=Charms!L1137</f>
        <v>0</v>
      </c>
      <c r="E1137" t="e">
        <f>OR(ISBLANK(Charms!I1137),(VLOOKUP(Values!$S$6,Castes!$B$2:$F$25,4,0)=Charms!I1137))</f>
        <v>#N/A</v>
      </c>
      <c r="J1137" t="e">
        <f t="shared" ca="1" si="86"/>
        <v>#N/A</v>
      </c>
      <c r="K1137" s="18" t="e">
        <f t="shared" ca="1" si="85"/>
        <v>#N/A</v>
      </c>
      <c r="L1137" t="e">
        <f ca="1">IF(J1137,Charms!B1137,"")</f>
        <v>#N/A</v>
      </c>
      <c r="M1137" t="str">
        <f t="shared" ca="1" si="87"/>
        <v>-</v>
      </c>
      <c r="N1137" s="18" t="str">
        <f t="shared" si="88"/>
        <v>K1105:L1157</v>
      </c>
      <c r="O1137" t="str">
        <f t="shared" si="89"/>
        <v>A1105:A1137</v>
      </c>
    </row>
    <row r="1138" spans="1:15">
      <c r="A1138" s="18" t="str">
        <f>Charms!K1138</f>
        <v>Presence</v>
      </c>
      <c r="B1138" t="str">
        <f>Charms!B1138</f>
        <v>Burning Dragon Mien</v>
      </c>
      <c r="C1138" t="b">
        <f ca="1">OR(Values!$S$98&gt;=Charms!M1138,IFERROR(Charms!J1138=OFFSET(Values!$A$24,MATCH("S",Values!$T$25:$T$50,0),0),FALSE))</f>
        <v>1</v>
      </c>
      <c r="D1138" t="b">
        <f>VLOOKUP(Charms!J1138,Values!$A$11:$S$59,19,0)&gt;=Charms!L1138</f>
        <v>0</v>
      </c>
      <c r="E1138" t="e">
        <f>OR(ISBLANK(Charms!I1138),(VLOOKUP(Values!$S$6,Castes!$B$2:$F$25,4,0)=Charms!I1138))</f>
        <v>#N/A</v>
      </c>
      <c r="J1138" t="e">
        <f t="shared" ca="1" si="86"/>
        <v>#N/A</v>
      </c>
      <c r="K1138" s="18" t="e">
        <f t="shared" ca="1" si="85"/>
        <v>#N/A</v>
      </c>
      <c r="L1138" t="e">
        <f ca="1">IF(J1138,Charms!B1138,"")</f>
        <v>#N/A</v>
      </c>
      <c r="M1138" t="str">
        <f t="shared" ca="1" si="87"/>
        <v>-</v>
      </c>
      <c r="N1138" s="18" t="str">
        <f t="shared" si="88"/>
        <v>K1105:L1157</v>
      </c>
      <c r="O1138" t="str">
        <f t="shared" si="89"/>
        <v>A1105:A1138</v>
      </c>
    </row>
    <row r="1139" spans="1:15">
      <c r="A1139" s="18" t="str">
        <f>Charms!K1139</f>
        <v>Presence</v>
      </c>
      <c r="B1139" t="str">
        <f>Charms!B1139</f>
        <v>Warm-Faced Seduction Style</v>
      </c>
      <c r="C1139" t="b">
        <f ca="1">OR(Values!$S$98&gt;=Charms!M1139,IFERROR(Charms!J1139=OFFSET(Values!$A$24,MATCH("S",Values!$T$25:$T$50,0),0),FALSE))</f>
        <v>1</v>
      </c>
      <c r="D1139" t="b">
        <f>VLOOKUP(Charms!J1139,Values!$A$11:$S$59,19,0)&gt;=Charms!L1139</f>
        <v>0</v>
      </c>
      <c r="E1139" t="e">
        <f>OR(ISBLANK(Charms!I1139),(VLOOKUP(Values!$S$6,Castes!$B$2:$F$25,4,0)=Charms!I1139))</f>
        <v>#N/A</v>
      </c>
      <c r="J1139" t="e">
        <f t="shared" ca="1" si="86"/>
        <v>#N/A</v>
      </c>
      <c r="K1139" s="18" t="e">
        <f t="shared" ca="1" si="85"/>
        <v>#N/A</v>
      </c>
      <c r="L1139" t="e">
        <f ca="1">IF(J1139,Charms!B1139,"")</f>
        <v>#N/A</v>
      </c>
      <c r="M1139" t="str">
        <f t="shared" ca="1" si="87"/>
        <v>-</v>
      </c>
      <c r="N1139" s="18" t="str">
        <f t="shared" si="88"/>
        <v>K1105:L1157</v>
      </c>
      <c r="O1139" t="str">
        <f t="shared" si="89"/>
        <v>A1105:A1139</v>
      </c>
    </row>
    <row r="1140" spans="1:15">
      <c r="A1140" s="18" t="str">
        <f>Charms!K1140</f>
        <v>Presence</v>
      </c>
      <c r="B1140" t="str">
        <f>Charms!B1140</f>
        <v>Debate-Sparking Bonfire</v>
      </c>
      <c r="C1140" t="b">
        <f ca="1">OR(Values!$S$98&gt;=Charms!M1140,IFERROR(Charms!J1140=OFFSET(Values!$A$24,MATCH("S",Values!$T$25:$T$50,0),0),FALSE))</f>
        <v>0</v>
      </c>
      <c r="D1140" t="b">
        <f>VLOOKUP(Charms!J1140,Values!$A$11:$S$59,19,0)&gt;=Charms!L1140</f>
        <v>0</v>
      </c>
      <c r="E1140" t="e">
        <f>OR(ISBLANK(Charms!I1140),(VLOOKUP(Values!$S$6,Castes!$B$2:$F$25,4,0)=Charms!I1140))</f>
        <v>#N/A</v>
      </c>
      <c r="J1140" t="e">
        <f t="shared" ca="1" si="86"/>
        <v>#N/A</v>
      </c>
      <c r="K1140" s="18" t="e">
        <f t="shared" ca="1" si="85"/>
        <v>#N/A</v>
      </c>
      <c r="L1140" t="e">
        <f ca="1">IF(J1140,Charms!B1140,"")</f>
        <v>#N/A</v>
      </c>
      <c r="M1140" t="str">
        <f t="shared" ca="1" si="87"/>
        <v>-</v>
      </c>
      <c r="N1140" s="18" t="str">
        <f t="shared" si="88"/>
        <v>K1105:L1157</v>
      </c>
      <c r="O1140" t="str">
        <f t="shared" si="89"/>
        <v>A1105:A1140</v>
      </c>
    </row>
    <row r="1141" spans="1:15">
      <c r="A1141" s="18" t="str">
        <f>Charms!K1141</f>
        <v>Presence</v>
      </c>
      <c r="B1141" t="str">
        <f>Charms!B1141</f>
        <v>Hot-Blooded Ardor</v>
      </c>
      <c r="C1141" t="b">
        <f ca="1">OR(Values!$S$98&gt;=Charms!M1141,IFERROR(Charms!J1141=OFFSET(Values!$A$24,MATCH("S",Values!$T$25:$T$50,0),0),FALSE))</f>
        <v>0</v>
      </c>
      <c r="D1141" t="b">
        <f>VLOOKUP(Charms!J1141,Values!$A$11:$S$59,19,0)&gt;=Charms!L1141</f>
        <v>0</v>
      </c>
      <c r="E1141" t="e">
        <f>OR(ISBLANK(Charms!I1141),(VLOOKUP(Values!$S$6,Castes!$B$2:$F$25,4,0)=Charms!I1141))</f>
        <v>#N/A</v>
      </c>
      <c r="J1141" t="e">
        <f t="shared" ca="1" si="86"/>
        <v>#N/A</v>
      </c>
      <c r="K1141" s="18" t="e">
        <f t="shared" ca="1" si="85"/>
        <v>#N/A</v>
      </c>
      <c r="L1141" t="e">
        <f ca="1">IF(J1141,Charms!B1141,"")</f>
        <v>#N/A</v>
      </c>
      <c r="M1141" t="str">
        <f t="shared" ca="1" si="87"/>
        <v>-</v>
      </c>
      <c r="N1141" s="18" t="str">
        <f t="shared" si="88"/>
        <v>K1105:L1157</v>
      </c>
      <c r="O1141" t="str">
        <f t="shared" si="89"/>
        <v>A1105:A1141</v>
      </c>
    </row>
    <row r="1142" spans="1:15">
      <c r="A1142" s="18" t="str">
        <f>Charms!K1142</f>
        <v>Presence</v>
      </c>
      <c r="B1142" t="str">
        <f>Charms!B1142</f>
        <v>Passion-Transmuting Nuance</v>
      </c>
      <c r="C1142" t="b">
        <f ca="1">OR(Values!$S$98&gt;=Charms!M1142,IFERROR(Charms!J1142=OFFSET(Values!$A$24,MATCH("S",Values!$T$25:$T$50,0),0),FALSE))</f>
        <v>0</v>
      </c>
      <c r="D1142" t="b">
        <f>VLOOKUP(Charms!J1142,Values!$A$11:$S$59,19,0)&gt;=Charms!L1142</f>
        <v>0</v>
      </c>
      <c r="E1142" t="e">
        <f>OR(ISBLANK(Charms!I1142),(VLOOKUP(Values!$S$6,Castes!$B$2:$F$25,4,0)=Charms!I1142))</f>
        <v>#N/A</v>
      </c>
      <c r="J1142" t="e">
        <f t="shared" ca="1" si="86"/>
        <v>#N/A</v>
      </c>
      <c r="K1142" s="18" t="e">
        <f t="shared" ca="1" si="85"/>
        <v>#N/A</v>
      </c>
      <c r="L1142" t="e">
        <f ca="1">IF(J1142,Charms!B1142,"")</f>
        <v>#N/A</v>
      </c>
      <c r="M1142" t="str">
        <f t="shared" ca="1" si="87"/>
        <v>-</v>
      </c>
      <c r="N1142" s="18" t="str">
        <f t="shared" si="88"/>
        <v>K1105:L1157</v>
      </c>
      <c r="O1142" t="str">
        <f t="shared" si="89"/>
        <v>A1105:A1142</v>
      </c>
    </row>
    <row r="1143" spans="1:15">
      <c r="A1143" s="18" t="str">
        <f>Charms!K1143</f>
        <v>Presence</v>
      </c>
      <c r="B1143" t="str">
        <f>Charms!B1143</f>
        <v>Fearsome Dragon Presence</v>
      </c>
      <c r="C1143" t="b">
        <f ca="1">OR(Values!$S$98&gt;=Charms!M1143,IFERROR(Charms!J1143=OFFSET(Values!$A$24,MATCH("S",Values!$T$25:$T$50,0),0),FALSE))</f>
        <v>0</v>
      </c>
      <c r="D1143" t="b">
        <f>VLOOKUP(Charms!J1143,Values!$A$11:$S$59,19,0)&gt;=Charms!L1143</f>
        <v>0</v>
      </c>
      <c r="E1143" t="e">
        <f>OR(ISBLANK(Charms!I1143),(VLOOKUP(Values!$S$6,Castes!$B$2:$F$25,4,0)=Charms!I1143))</f>
        <v>#N/A</v>
      </c>
      <c r="J1143" t="e">
        <f t="shared" ca="1" si="86"/>
        <v>#N/A</v>
      </c>
      <c r="K1143" s="18" t="e">
        <f t="shared" ca="1" si="85"/>
        <v>#N/A</v>
      </c>
      <c r="L1143" t="e">
        <f ca="1">IF(J1143,Charms!B1143,"")</f>
        <v>#N/A</v>
      </c>
      <c r="M1143" t="str">
        <f t="shared" ca="1" si="87"/>
        <v>-</v>
      </c>
      <c r="N1143" s="18" t="str">
        <f t="shared" si="88"/>
        <v>K1105:L1157</v>
      </c>
      <c r="O1143" t="str">
        <f t="shared" si="89"/>
        <v>A1105:A1143</v>
      </c>
    </row>
    <row r="1144" spans="1:15">
      <c r="A1144" s="18" t="str">
        <f>Charms!K1144</f>
        <v>Presence</v>
      </c>
      <c r="B1144" t="str">
        <f>Charms!B1144</f>
        <v>Moth to the Candle</v>
      </c>
      <c r="C1144" t="b">
        <f ca="1">OR(Values!$S$98&gt;=Charms!M1144,IFERROR(Charms!J1144=OFFSET(Values!$A$24,MATCH("S",Values!$T$25:$T$50,0),0),FALSE))</f>
        <v>0</v>
      </c>
      <c r="D1144" t="b">
        <f>VLOOKUP(Charms!J1144,Values!$A$11:$S$59,19,0)&gt;=Charms!L1144</f>
        <v>0</v>
      </c>
      <c r="E1144" t="e">
        <f>OR(ISBLANK(Charms!I1144),(VLOOKUP(Values!$S$6,Castes!$B$2:$F$25,4,0)=Charms!I1144))</f>
        <v>#N/A</v>
      </c>
      <c r="J1144" t="e">
        <f t="shared" ca="1" si="86"/>
        <v>#N/A</v>
      </c>
      <c r="K1144" s="18" t="e">
        <f t="shared" ca="1" si="85"/>
        <v>#N/A</v>
      </c>
      <c r="L1144" t="e">
        <f ca="1">IF(J1144,Charms!B1144,"")</f>
        <v>#N/A</v>
      </c>
      <c r="M1144" t="str">
        <f t="shared" ca="1" si="87"/>
        <v>-</v>
      </c>
      <c r="N1144" s="18" t="str">
        <f t="shared" si="88"/>
        <v>K1105:L1157</v>
      </c>
      <c r="O1144" t="str">
        <f t="shared" si="89"/>
        <v>A1105:A1144</v>
      </c>
    </row>
    <row r="1145" spans="1:15">
      <c r="A1145" s="18" t="str">
        <f>Charms!K1145</f>
        <v>Presence</v>
      </c>
      <c r="B1145" t="str">
        <f>Charms!B1145</f>
        <v>Blazing Heart Ascendancy</v>
      </c>
      <c r="C1145" t="b">
        <f ca="1">OR(Values!$S$98&gt;=Charms!M1145,IFERROR(Charms!J1145=OFFSET(Values!$A$24,MATCH("S",Values!$T$25:$T$50,0),0),FALSE))</f>
        <v>0</v>
      </c>
      <c r="D1145" t="b">
        <f>VLOOKUP(Charms!J1145,Values!$A$11:$S$59,19,0)&gt;=Charms!L1145</f>
        <v>0</v>
      </c>
      <c r="E1145" t="e">
        <f>OR(ISBLANK(Charms!I1145),(VLOOKUP(Values!$S$6,Castes!$B$2:$F$25,4,0)=Charms!I1145))</f>
        <v>#N/A</v>
      </c>
      <c r="J1145" t="e">
        <f t="shared" ca="1" si="86"/>
        <v>#N/A</v>
      </c>
      <c r="K1145" s="18" t="e">
        <f t="shared" ca="1" si="85"/>
        <v>#N/A</v>
      </c>
      <c r="L1145" t="e">
        <f ca="1">IF(J1145,Charms!B1145,"")</f>
        <v>#N/A</v>
      </c>
      <c r="M1145" t="str">
        <f t="shared" ca="1" si="87"/>
        <v>-</v>
      </c>
      <c r="N1145" s="18" t="str">
        <f t="shared" si="88"/>
        <v>K1105:L1157</v>
      </c>
      <c r="O1145" t="str">
        <f t="shared" si="89"/>
        <v>A1105:A1145</v>
      </c>
    </row>
    <row r="1146" spans="1:15">
      <c r="A1146" s="18" t="str">
        <f>Charms!K1146</f>
        <v>Presence</v>
      </c>
      <c r="B1146" t="str">
        <f>Charms!B1146</f>
        <v>Heartstring-Pulling Approach</v>
      </c>
      <c r="C1146" t="b">
        <f ca="1">OR(Values!$S$98&gt;=Charms!M1146,IFERROR(Charms!J1146=OFFSET(Values!$A$24,MATCH("S",Values!$T$25:$T$50,0),0),FALSE))</f>
        <v>0</v>
      </c>
      <c r="D1146" t="b">
        <f>VLOOKUP(Charms!J1146,Values!$A$11:$S$59,19,0)&gt;=Charms!L1146</f>
        <v>0</v>
      </c>
      <c r="E1146" t="e">
        <f>OR(ISBLANK(Charms!I1146),(VLOOKUP(Values!$S$6,Castes!$B$2:$F$25,4,0)=Charms!I1146))</f>
        <v>#N/A</v>
      </c>
      <c r="J1146" t="e">
        <f t="shared" ca="1" si="86"/>
        <v>#N/A</v>
      </c>
      <c r="K1146" s="18" t="e">
        <f t="shared" ca="1" si="85"/>
        <v>#N/A</v>
      </c>
      <c r="L1146" t="e">
        <f ca="1">IF(J1146,Charms!B1146,"")</f>
        <v>#N/A</v>
      </c>
      <c r="M1146" t="str">
        <f t="shared" ca="1" si="87"/>
        <v>-</v>
      </c>
      <c r="N1146" s="18" t="str">
        <f t="shared" si="88"/>
        <v>K1105:L1157</v>
      </c>
      <c r="O1146" t="str">
        <f t="shared" si="89"/>
        <v>A1105:A1146</v>
      </c>
    </row>
    <row r="1147" spans="1:15">
      <c r="A1147" s="18" t="str">
        <f>Charms!K1147</f>
        <v>Presence</v>
      </c>
      <c r="B1147" t="str">
        <f>Charms!B1147</f>
        <v>Grinding Millstone Argument</v>
      </c>
      <c r="C1147" t="b">
        <f ca="1">OR(Values!$S$98&gt;=Charms!M1147,IFERROR(Charms!J1147=OFFSET(Values!$A$24,MATCH("S",Values!$T$25:$T$50,0),0),FALSE))</f>
        <v>0</v>
      </c>
      <c r="D1147" t="b">
        <f>VLOOKUP(Charms!J1147,Values!$A$11:$S$59,19,0)&gt;=Charms!L1147</f>
        <v>0</v>
      </c>
      <c r="E1147" t="e">
        <f>OR(ISBLANK(Charms!I1147),(VLOOKUP(Values!$S$6,Castes!$B$2:$F$25,4,0)=Charms!I1147))</f>
        <v>#N/A</v>
      </c>
      <c r="J1147" t="e">
        <f t="shared" ca="1" si="86"/>
        <v>#N/A</v>
      </c>
      <c r="K1147" s="18" t="e">
        <f t="shared" ca="1" si="85"/>
        <v>#N/A</v>
      </c>
      <c r="L1147" t="e">
        <f ca="1">IF(J1147,Charms!B1147,"")</f>
        <v>#N/A</v>
      </c>
      <c r="M1147" t="str">
        <f t="shared" ca="1" si="87"/>
        <v>-</v>
      </c>
      <c r="N1147" s="18" t="str">
        <f t="shared" si="88"/>
        <v>K1105:L1157</v>
      </c>
      <c r="O1147" t="str">
        <f t="shared" si="89"/>
        <v>A1105:A1147</v>
      </c>
    </row>
    <row r="1148" spans="1:15">
      <c r="A1148" s="18" t="str">
        <f>Charms!K1148</f>
        <v>Presence</v>
      </c>
      <c r="B1148" t="str">
        <f>Charms!B1148</f>
        <v>Haunting Words Infliction</v>
      </c>
      <c r="C1148" t="b">
        <f ca="1">OR(Values!$S$98&gt;=Charms!M1148,IFERROR(Charms!J1148=OFFSET(Values!$A$24,MATCH("S",Values!$T$25:$T$50,0),0),FALSE))</f>
        <v>0</v>
      </c>
      <c r="D1148" t="b">
        <f>VLOOKUP(Charms!J1148,Values!$A$11:$S$59,19,0)&gt;=Charms!L1148</f>
        <v>0</v>
      </c>
      <c r="E1148" t="e">
        <f>OR(ISBLANK(Charms!I1148),(VLOOKUP(Values!$S$6,Castes!$B$2:$F$25,4,0)=Charms!I1148))</f>
        <v>#N/A</v>
      </c>
      <c r="J1148" t="e">
        <f t="shared" ca="1" si="86"/>
        <v>#N/A</v>
      </c>
      <c r="K1148" s="18" t="e">
        <f t="shared" ca="1" si="85"/>
        <v>#N/A</v>
      </c>
      <c r="L1148" t="e">
        <f ca="1">IF(J1148,Charms!B1148,"")</f>
        <v>#N/A</v>
      </c>
      <c r="M1148" t="str">
        <f t="shared" ca="1" si="87"/>
        <v>-</v>
      </c>
      <c r="N1148" s="18" t="str">
        <f t="shared" si="88"/>
        <v>K1105:L1157</v>
      </c>
      <c r="O1148" t="str">
        <f t="shared" si="89"/>
        <v>A1105:A1148</v>
      </c>
    </row>
    <row r="1149" spans="1:15">
      <c r="A1149" s="18" t="str">
        <f>Charms!K1149</f>
        <v>Presence</v>
      </c>
      <c r="B1149" t="str">
        <f>Charms!B1149</f>
        <v>Virtuous Mountain’s Shadow</v>
      </c>
      <c r="C1149" t="b">
        <f ca="1">OR(Values!$S$98&gt;=Charms!M1149,IFERROR(Charms!J1149=OFFSET(Values!$A$24,MATCH("S",Values!$T$25:$T$50,0),0),FALSE))</f>
        <v>0</v>
      </c>
      <c r="D1149" t="b">
        <f>VLOOKUP(Charms!J1149,Values!$A$11:$S$59,19,0)&gt;=Charms!L1149</f>
        <v>0</v>
      </c>
      <c r="E1149" t="e">
        <f>OR(ISBLANK(Charms!I1149),(VLOOKUP(Values!$S$6,Castes!$B$2:$F$25,4,0)=Charms!I1149))</f>
        <v>#N/A</v>
      </c>
      <c r="J1149" t="e">
        <f t="shared" ca="1" si="86"/>
        <v>#N/A</v>
      </c>
      <c r="K1149" s="18" t="e">
        <f t="shared" ca="1" si="85"/>
        <v>#N/A</v>
      </c>
      <c r="L1149" t="e">
        <f ca="1">IF(J1149,Charms!B1149,"")</f>
        <v>#N/A</v>
      </c>
      <c r="M1149" t="str">
        <f t="shared" ca="1" si="87"/>
        <v>-</v>
      </c>
      <c r="N1149" s="18" t="str">
        <f t="shared" si="88"/>
        <v>K1105:L1157</v>
      </c>
      <c r="O1149" t="str">
        <f t="shared" si="89"/>
        <v>A1105:A1149</v>
      </c>
    </row>
    <row r="1150" spans="1:15">
      <c r="A1150" s="18" t="str">
        <f>Charms!K1150</f>
        <v>Presence</v>
      </c>
      <c r="B1150" t="str">
        <f>Charms!B1150</f>
        <v>Terrifying Fire-Dragon Roar</v>
      </c>
      <c r="C1150" t="b">
        <f ca="1">OR(Values!$S$98&gt;=Charms!M1150,IFERROR(Charms!J1150=OFFSET(Values!$A$24,MATCH("S",Values!$T$25:$T$50,0),0),FALSE))</f>
        <v>0</v>
      </c>
      <c r="D1150" t="b">
        <f>VLOOKUP(Charms!J1150,Values!$A$11:$S$59,19,0)&gt;=Charms!L1150</f>
        <v>0</v>
      </c>
      <c r="E1150" t="e">
        <f>OR(ISBLANK(Charms!I1150),(VLOOKUP(Values!$S$6,Castes!$B$2:$F$25,4,0)=Charms!I1150))</f>
        <v>#N/A</v>
      </c>
      <c r="J1150" t="e">
        <f t="shared" ca="1" si="86"/>
        <v>#N/A</v>
      </c>
      <c r="K1150" s="18" t="e">
        <f t="shared" ca="1" si="85"/>
        <v>#N/A</v>
      </c>
      <c r="L1150" t="e">
        <f ca="1">IF(J1150,Charms!B1150,"")</f>
        <v>#N/A</v>
      </c>
      <c r="M1150" t="str">
        <f t="shared" ca="1" si="87"/>
        <v>-</v>
      </c>
      <c r="N1150" s="18" t="str">
        <f t="shared" si="88"/>
        <v>K1105:L1157</v>
      </c>
      <c r="O1150" t="str">
        <f t="shared" si="89"/>
        <v>A1105:A1150</v>
      </c>
    </row>
    <row r="1151" spans="1:15">
      <c r="A1151" s="18" t="str">
        <f>Charms!K1151</f>
        <v>Presence</v>
      </c>
      <c r="B1151" t="str">
        <f>Charms!B1151</f>
        <v>Fluid Recollection Insinuation</v>
      </c>
      <c r="C1151" t="b">
        <f ca="1">OR(Values!$S$98&gt;=Charms!M1151,IFERROR(Charms!J1151=OFFSET(Values!$A$24,MATCH("S",Values!$T$25:$T$50,0),0),FALSE))</f>
        <v>0</v>
      </c>
      <c r="D1151" t="b">
        <f>VLOOKUP(Charms!J1151,Values!$A$11:$S$59,19,0)&gt;=Charms!L1151</f>
        <v>0</v>
      </c>
      <c r="E1151" t="e">
        <f>OR(ISBLANK(Charms!I1151),(VLOOKUP(Values!$S$6,Castes!$B$2:$F$25,4,0)=Charms!I1151))</f>
        <v>#N/A</v>
      </c>
      <c r="J1151" t="e">
        <f t="shared" ca="1" si="86"/>
        <v>#N/A</v>
      </c>
      <c r="K1151" s="18" t="e">
        <f t="shared" ca="1" si="85"/>
        <v>#N/A</v>
      </c>
      <c r="L1151" t="e">
        <f ca="1">IF(J1151,Charms!B1151,"")</f>
        <v>#N/A</v>
      </c>
      <c r="M1151" t="str">
        <f t="shared" ca="1" si="87"/>
        <v>-</v>
      </c>
      <c r="N1151" s="18" t="str">
        <f t="shared" si="88"/>
        <v>K1105:L1157</v>
      </c>
      <c r="O1151" t="str">
        <f t="shared" si="89"/>
        <v>A1105:A1151</v>
      </c>
    </row>
    <row r="1152" spans="1:15">
      <c r="A1152" s="18" t="str">
        <f>Charms!K1152</f>
        <v>Presence</v>
      </c>
      <c r="B1152" t="str">
        <f>Charms!B1152</f>
        <v>Spirit-Cultivating Leadership</v>
      </c>
      <c r="C1152" t="b">
        <f ca="1">OR(Values!$S$98&gt;=Charms!M1152,IFERROR(Charms!J1152=OFFSET(Values!$A$24,MATCH("S",Values!$T$25:$T$50,0),0),FALSE))</f>
        <v>0</v>
      </c>
      <c r="D1152" t="b">
        <f>VLOOKUP(Charms!J1152,Values!$A$11:$S$59,19,0)&gt;=Charms!L1152</f>
        <v>0</v>
      </c>
      <c r="E1152" t="e">
        <f>OR(ISBLANK(Charms!I1152),(VLOOKUP(Values!$S$6,Castes!$B$2:$F$25,4,0)=Charms!I1152))</f>
        <v>#N/A</v>
      </c>
      <c r="J1152" t="e">
        <f t="shared" ca="1" si="86"/>
        <v>#N/A</v>
      </c>
      <c r="K1152" s="18" t="e">
        <f t="shared" ca="1" si="85"/>
        <v>#N/A</v>
      </c>
      <c r="L1152" t="e">
        <f ca="1">IF(J1152,Charms!B1152,"")</f>
        <v>#N/A</v>
      </c>
      <c r="M1152" t="str">
        <f t="shared" ca="1" si="87"/>
        <v>-</v>
      </c>
      <c r="N1152" s="18" t="str">
        <f t="shared" si="88"/>
        <v>K1105:L1157</v>
      </c>
      <c r="O1152" t="str">
        <f t="shared" si="89"/>
        <v>A1105:A1152</v>
      </c>
    </row>
    <row r="1153" spans="1:15">
      <c r="A1153" s="18" t="str">
        <f>Charms!K1153</f>
        <v>Presence</v>
      </c>
      <c r="B1153" t="str">
        <f>Charms!B1153</f>
        <v>Aura of Invulnerability</v>
      </c>
      <c r="C1153" t="b">
        <f ca="1">OR(Values!$S$98&gt;=Charms!M1153,IFERROR(Charms!J1153=OFFSET(Values!$A$24,MATCH("S",Values!$T$25:$T$50,0),0),FALSE))</f>
        <v>0</v>
      </c>
      <c r="D1153" t="b">
        <f>VLOOKUP(Charms!J1153,Values!$A$11:$S$59,19,0)&gt;=Charms!L1153</f>
        <v>0</v>
      </c>
      <c r="E1153" t="e">
        <f>OR(ISBLANK(Charms!I1153),(VLOOKUP(Values!$S$6,Castes!$B$2:$F$25,4,0)=Charms!I1153))</f>
        <v>#N/A</v>
      </c>
      <c r="J1153" t="e">
        <f t="shared" ca="1" si="86"/>
        <v>#N/A</v>
      </c>
      <c r="K1153" s="18" t="e">
        <f t="shared" ca="1" si="85"/>
        <v>#N/A</v>
      </c>
      <c r="L1153" t="e">
        <f ca="1">IF(J1153,Charms!B1153,"")</f>
        <v>#N/A</v>
      </c>
      <c r="M1153" t="str">
        <f t="shared" ca="1" si="87"/>
        <v>-</v>
      </c>
      <c r="N1153" s="18" t="str">
        <f t="shared" si="88"/>
        <v>K1105:L1157</v>
      </c>
      <c r="O1153" t="str">
        <f t="shared" si="89"/>
        <v>A1105:A1153</v>
      </c>
    </row>
    <row r="1154" spans="1:15">
      <c r="A1154" s="18" t="str">
        <f>Charms!K1154</f>
        <v>Presence</v>
      </c>
      <c r="B1154" t="str">
        <f>Charms!B1154</f>
        <v>Vivacious Dragon Beauty</v>
      </c>
      <c r="C1154" t="b">
        <f ca="1">OR(Values!$S$98&gt;=Charms!M1154,IFERROR(Charms!J1154=OFFSET(Values!$A$24,MATCH("S",Values!$T$25:$T$50,0),0),FALSE))</f>
        <v>0</v>
      </c>
      <c r="D1154" t="b">
        <f>VLOOKUP(Charms!J1154,Values!$A$11:$S$59,19,0)&gt;=Charms!L1154</f>
        <v>0</v>
      </c>
      <c r="E1154" t="e">
        <f>OR(ISBLANK(Charms!I1154),(VLOOKUP(Values!$S$6,Castes!$B$2:$F$25,4,0)=Charms!I1154))</f>
        <v>#N/A</v>
      </c>
      <c r="J1154" t="e">
        <f t="shared" ca="1" si="86"/>
        <v>#N/A</v>
      </c>
      <c r="K1154" s="18" t="e">
        <f t="shared" ref="K1154:K1217" ca="1" si="90">IF(L1154="","",COUNTIF(INDIRECT("J"&amp;MATCH(A1154,A:A,0)&amp;":J"&amp;ROW()),J1154))</f>
        <v>#N/A</v>
      </c>
      <c r="L1154" t="e">
        <f ca="1">IF(J1154,Charms!B1154,"")</f>
        <v>#N/A</v>
      </c>
      <c r="M1154" t="str">
        <f t="shared" ca="1" si="87"/>
        <v>-</v>
      </c>
      <c r="N1154" s="18" t="str">
        <f t="shared" si="88"/>
        <v>K1105:L1157</v>
      </c>
      <c r="O1154" t="str">
        <f t="shared" si="89"/>
        <v>A1105:A1154</v>
      </c>
    </row>
    <row r="1155" spans="1:15">
      <c r="A1155" s="18" t="str">
        <f>Charms!K1155</f>
        <v>Presence</v>
      </c>
      <c r="B1155" t="str">
        <f>Charms!B1155</f>
        <v>Minds Like Fertile Fields</v>
      </c>
      <c r="C1155" t="b">
        <f ca="1">OR(Values!$S$98&gt;=Charms!M1155,IFERROR(Charms!J1155=OFFSET(Values!$A$24,MATCH("S",Values!$T$25:$T$50,0),0),FALSE))</f>
        <v>0</v>
      </c>
      <c r="D1155" t="b">
        <f>VLOOKUP(Charms!J1155,Values!$A$11:$S$59,19,0)&gt;=Charms!L1155</f>
        <v>0</v>
      </c>
      <c r="E1155" t="e">
        <f>OR(ISBLANK(Charms!I1155),(VLOOKUP(Values!$S$6,Castes!$B$2:$F$25,4,0)=Charms!I1155))</f>
        <v>#N/A</v>
      </c>
      <c r="J1155" t="e">
        <f t="shared" ref="J1155:J1218" ca="1" si="91">(C1155+D1155+E1155+F1155+G1155+H1155+I1155)=3</f>
        <v>#N/A</v>
      </c>
      <c r="K1155" s="18" t="e">
        <f t="shared" ca="1" si="90"/>
        <v>#N/A</v>
      </c>
      <c r="L1155" t="e">
        <f ca="1">IF(J1155,Charms!B1155,"")</f>
        <v>#N/A</v>
      </c>
      <c r="M1155" t="str">
        <f t="shared" ref="M1155:M1218" ca="1" si="92">IFERROR(VLOOKUP(COUNTIF(INDIRECT(O1155),A1155),INDIRECT(N1155),2,0),"-")</f>
        <v>-</v>
      </c>
      <c r="N1155" s="18" t="str">
        <f t="shared" ref="N1155:N1218" si="93">"K"&amp;MATCH(A1155,A:A,0)&amp;":L"&amp;(MATCH(A1155,A:A,0)+COUNTIF(A:A,A1155)-1)</f>
        <v>K1105:L1157</v>
      </c>
      <c r="O1155" t="str">
        <f t="shared" ref="O1155:O1218" si="94">"A"&amp;MATCH(A1155,A:A,0)&amp;":A"&amp;ROW()</f>
        <v>A1105:A1155</v>
      </c>
    </row>
    <row r="1156" spans="1:15">
      <c r="A1156" s="18" t="str">
        <f>Charms!K1156</f>
        <v>Presence</v>
      </c>
      <c r="B1156" t="str">
        <f>Charms!B1156</f>
        <v>Entombed Mind Technique</v>
      </c>
      <c r="C1156" t="b">
        <f ca="1">OR(Values!$S$98&gt;=Charms!M1156,IFERROR(Charms!J1156=OFFSET(Values!$A$24,MATCH("S",Values!$T$25:$T$50,0),0),FALSE))</f>
        <v>0</v>
      </c>
      <c r="D1156" t="b">
        <f>VLOOKUP(Charms!J1156,Values!$A$11:$S$59,19,0)&gt;=Charms!L1156</f>
        <v>0</v>
      </c>
      <c r="E1156" t="e">
        <f>OR(ISBLANK(Charms!I1156),(VLOOKUP(Values!$S$6,Castes!$B$2:$F$25,4,0)=Charms!I1156))</f>
        <v>#N/A</v>
      </c>
      <c r="J1156" t="e">
        <f t="shared" ca="1" si="91"/>
        <v>#N/A</v>
      </c>
      <c r="K1156" s="18" t="e">
        <f t="shared" ca="1" si="90"/>
        <v>#N/A</v>
      </c>
      <c r="L1156" t="e">
        <f ca="1">IF(J1156,Charms!B1156,"")</f>
        <v>#N/A</v>
      </c>
      <c r="M1156" t="str">
        <f t="shared" ca="1" si="92"/>
        <v>-</v>
      </c>
      <c r="N1156" s="18" t="str">
        <f t="shared" si="93"/>
        <v>K1105:L1157</v>
      </c>
      <c r="O1156" t="str">
        <f t="shared" si="94"/>
        <v>A1105:A1156</v>
      </c>
    </row>
    <row r="1157" spans="1:15">
      <c r="A1157" s="18" t="str">
        <f>Charms!K1157</f>
        <v>Presence</v>
      </c>
      <c r="B1157" t="str">
        <f>Charms!B1157</f>
        <v>Dragon Warlord’s Convocation</v>
      </c>
      <c r="C1157" t="b">
        <f ca="1">OR(Values!$S$98&gt;=Charms!M1157,IFERROR(Charms!J1157=OFFSET(Values!$A$24,MATCH("S",Values!$T$25:$T$50,0),0),FALSE))</f>
        <v>0</v>
      </c>
      <c r="D1157" t="b">
        <f>VLOOKUP(Charms!J1157,Values!$A$11:$S$59,19,0)&gt;=Charms!L1157</f>
        <v>0</v>
      </c>
      <c r="E1157" t="e">
        <f>OR(ISBLANK(Charms!I1157),(VLOOKUP(Values!$S$6,Castes!$B$2:$F$25,4,0)=Charms!I1157))</f>
        <v>#N/A</v>
      </c>
      <c r="J1157" t="e">
        <f t="shared" ca="1" si="91"/>
        <v>#N/A</v>
      </c>
      <c r="K1157" s="18" t="e">
        <f t="shared" ca="1" si="90"/>
        <v>#N/A</v>
      </c>
      <c r="L1157" t="e">
        <f ca="1">IF(J1157,Charms!B1157,"")</f>
        <v>#N/A</v>
      </c>
      <c r="M1157" t="str">
        <f t="shared" ca="1" si="92"/>
        <v>-</v>
      </c>
      <c r="N1157" s="18" t="str">
        <f t="shared" si="93"/>
        <v>K1105:L1157</v>
      </c>
      <c r="O1157" t="str">
        <f t="shared" si="94"/>
        <v>A1105:A1157</v>
      </c>
    </row>
    <row r="1158" spans="1:15">
      <c r="A1158" s="18" t="str">
        <f>Charms!K1158</f>
        <v>Resistance</v>
      </c>
      <c r="B1158" t="str">
        <f>Charms!B1158</f>
        <v>Ox-Body Technique</v>
      </c>
      <c r="C1158" t="b">
        <f ca="1">OR(Values!$S$98&gt;=Charms!M1158,IFERROR(Charms!J1158=OFFSET(Values!$A$24,MATCH("S",Values!$T$25:$T$50,0),0),FALSE))</f>
        <v>1</v>
      </c>
      <c r="D1158" t="b">
        <f>VLOOKUP(Charms!J1158,Values!$A$11:$S$59,19,0)&gt;=Charms!L1158</f>
        <v>0</v>
      </c>
      <c r="E1158" t="e">
        <f>OR(ISBLANK(Charms!I1158),(VLOOKUP(Values!$S$6,Castes!$B$2:$F$25,4,0)=Charms!I1158))</f>
        <v>#N/A</v>
      </c>
      <c r="J1158" t="e">
        <f t="shared" ca="1" si="91"/>
        <v>#N/A</v>
      </c>
      <c r="K1158" s="18" t="e">
        <f t="shared" ca="1" si="90"/>
        <v>#N/A</v>
      </c>
      <c r="L1158" t="e">
        <f ca="1">IF(J1158,Charms!B1158,"")</f>
        <v>#N/A</v>
      </c>
      <c r="M1158" t="str">
        <f t="shared" ca="1" si="92"/>
        <v>-</v>
      </c>
      <c r="N1158" s="18" t="str">
        <f t="shared" si="93"/>
        <v>K1158:L1210</v>
      </c>
      <c r="O1158" t="str">
        <f t="shared" si="94"/>
        <v>A1158:A1158</v>
      </c>
    </row>
    <row r="1159" spans="1:15">
      <c r="A1159" s="18" t="str">
        <f>Charms!K1159</f>
        <v>Resistance</v>
      </c>
      <c r="B1159" t="str">
        <f>Charms!B1159</f>
        <v>Whirlwind Armor-Donning Prana</v>
      </c>
      <c r="C1159" t="b">
        <f ca="1">OR(Values!$S$98&gt;=Charms!M1159,IFERROR(Charms!J1159=OFFSET(Values!$A$24,MATCH("S",Values!$T$25:$T$50,0),0),FALSE))</f>
        <v>1</v>
      </c>
      <c r="D1159" t="b">
        <f>VLOOKUP(Charms!J1159,Values!$A$11:$S$59,19,0)&gt;=Charms!L1159</f>
        <v>0</v>
      </c>
      <c r="E1159" t="e">
        <f>OR(ISBLANK(Charms!I1159),(VLOOKUP(Values!$S$6,Castes!$B$2:$F$25,4,0)=Charms!I1159))</f>
        <v>#N/A</v>
      </c>
      <c r="J1159" t="e">
        <f t="shared" ca="1" si="91"/>
        <v>#N/A</v>
      </c>
      <c r="K1159" s="18" t="e">
        <f t="shared" ca="1" si="90"/>
        <v>#N/A</v>
      </c>
      <c r="L1159" t="e">
        <f ca="1">IF(J1159,Charms!B1159,"")</f>
        <v>#N/A</v>
      </c>
      <c r="M1159" t="str">
        <f t="shared" ca="1" si="92"/>
        <v>-</v>
      </c>
      <c r="N1159" s="18" t="str">
        <f t="shared" si="93"/>
        <v>K1158:L1210</v>
      </c>
      <c r="O1159" t="str">
        <f t="shared" si="94"/>
        <v>A1158:A1159</v>
      </c>
    </row>
    <row r="1160" spans="1:15">
      <c r="A1160" s="18" t="str">
        <f>Charms!K1160</f>
        <v>Resistance</v>
      </c>
      <c r="B1160" t="str">
        <f>Charms!B1160</f>
        <v>Durability of Oak Meditation</v>
      </c>
      <c r="C1160" t="b">
        <f ca="1">OR(Values!$S$98&gt;=Charms!M1160,IFERROR(Charms!J1160=OFFSET(Values!$A$24,MATCH("S",Values!$T$25:$T$50,0),0),FALSE))</f>
        <v>1</v>
      </c>
      <c r="D1160" t="b">
        <f>VLOOKUP(Charms!J1160,Values!$A$11:$S$59,19,0)&gt;=Charms!L1160</f>
        <v>0</v>
      </c>
      <c r="E1160" t="e">
        <f>OR(ISBLANK(Charms!I1160),(VLOOKUP(Values!$S$6,Castes!$B$2:$F$25,4,0)=Charms!I1160))</f>
        <v>#N/A</v>
      </c>
      <c r="J1160" t="e">
        <f t="shared" ca="1" si="91"/>
        <v>#N/A</v>
      </c>
      <c r="K1160" s="18" t="e">
        <f t="shared" ca="1" si="90"/>
        <v>#N/A</v>
      </c>
      <c r="L1160" t="e">
        <f ca="1">IF(J1160,Charms!B1160,"")</f>
        <v>#N/A</v>
      </c>
      <c r="M1160" t="str">
        <f t="shared" ca="1" si="92"/>
        <v>-</v>
      </c>
      <c r="N1160" s="18" t="str">
        <f t="shared" si="93"/>
        <v>K1158:L1210</v>
      </c>
      <c r="O1160" t="str">
        <f t="shared" si="94"/>
        <v>A1158:A1160</v>
      </c>
    </row>
    <row r="1161" spans="1:15">
      <c r="A1161" s="18" t="str">
        <f>Charms!K1161</f>
        <v>Resistance</v>
      </c>
      <c r="B1161" t="str">
        <f>Charms!B1161</f>
        <v>Spirit Strengthens the Skin</v>
      </c>
      <c r="C1161" t="b">
        <f ca="1">OR(Values!$S$98&gt;=Charms!M1161,IFERROR(Charms!J1161=OFFSET(Values!$A$24,MATCH("S",Values!$T$25:$T$50,0),0),FALSE))</f>
        <v>1</v>
      </c>
      <c r="D1161" t="b">
        <f>VLOOKUP(Charms!J1161,Values!$A$11:$S$59,19,0)&gt;=Charms!L1161</f>
        <v>0</v>
      </c>
      <c r="E1161" t="e">
        <f>OR(ISBLANK(Charms!I1161),(VLOOKUP(Values!$S$6,Castes!$B$2:$F$25,4,0)=Charms!I1161))</f>
        <v>#N/A</v>
      </c>
      <c r="J1161" t="e">
        <f t="shared" ca="1" si="91"/>
        <v>#N/A</v>
      </c>
      <c r="K1161" s="18" t="e">
        <f t="shared" ca="1" si="90"/>
        <v>#N/A</v>
      </c>
      <c r="L1161" t="e">
        <f ca="1">IF(J1161,Charms!B1161,"")</f>
        <v>#N/A</v>
      </c>
      <c r="M1161" t="str">
        <f t="shared" ca="1" si="92"/>
        <v>-</v>
      </c>
      <c r="N1161" s="18" t="str">
        <f t="shared" si="93"/>
        <v>K1158:L1210</v>
      </c>
      <c r="O1161" t="str">
        <f t="shared" si="94"/>
        <v>A1158:A1161</v>
      </c>
    </row>
    <row r="1162" spans="1:15">
      <c r="A1162" s="18" t="str">
        <f>Charms!K1162</f>
        <v>Resistance</v>
      </c>
      <c r="B1162" t="str">
        <f>Charms!B1162</f>
        <v>Body-Mending Meditation</v>
      </c>
      <c r="C1162" t="b">
        <f ca="1">OR(Values!$S$98&gt;=Charms!M1162,IFERROR(Charms!J1162=OFFSET(Values!$A$24,MATCH("S",Values!$T$25:$T$50,0),0),FALSE))</f>
        <v>1</v>
      </c>
      <c r="D1162" t="b">
        <f>VLOOKUP(Charms!J1162,Values!$A$11:$S$59,19,0)&gt;=Charms!L1162</f>
        <v>0</v>
      </c>
      <c r="E1162" t="e">
        <f>OR(ISBLANK(Charms!I1162),(VLOOKUP(Values!$S$6,Castes!$B$2:$F$25,4,0)=Charms!I1162))</f>
        <v>#N/A</v>
      </c>
      <c r="J1162" t="e">
        <f t="shared" ca="1" si="91"/>
        <v>#N/A</v>
      </c>
      <c r="K1162" s="18" t="e">
        <f t="shared" ca="1" si="90"/>
        <v>#N/A</v>
      </c>
      <c r="L1162" t="e">
        <f ca="1">IF(J1162,Charms!B1162,"")</f>
        <v>#N/A</v>
      </c>
      <c r="M1162" t="str">
        <f t="shared" ca="1" si="92"/>
        <v>-</v>
      </c>
      <c r="N1162" s="18" t="str">
        <f t="shared" si="93"/>
        <v>K1158:L1210</v>
      </c>
      <c r="O1162" t="str">
        <f t="shared" si="94"/>
        <v>A1158:A1162</v>
      </c>
    </row>
    <row r="1163" spans="1:15">
      <c r="A1163" s="18" t="str">
        <f>Charms!K1163</f>
        <v>Resistance</v>
      </c>
      <c r="B1163" t="str">
        <f>Charms!B1163</f>
        <v>Armed and Ready Discipline</v>
      </c>
      <c r="C1163" t="b">
        <f ca="1">OR(Values!$S$98&gt;=Charms!M1163,IFERROR(Charms!J1163=OFFSET(Values!$A$24,MATCH("S",Values!$T$25:$T$50,0),0),FALSE))</f>
        <v>1</v>
      </c>
      <c r="D1163" t="b">
        <f>VLOOKUP(Charms!J1163,Values!$A$11:$S$59,19,0)&gt;=Charms!L1163</f>
        <v>0</v>
      </c>
      <c r="E1163" t="e">
        <f>OR(ISBLANK(Charms!I1163),(VLOOKUP(Values!$S$6,Castes!$B$2:$F$25,4,0)=Charms!I1163))</f>
        <v>#N/A</v>
      </c>
      <c r="J1163" t="e">
        <f t="shared" ca="1" si="91"/>
        <v>#N/A</v>
      </c>
      <c r="K1163" s="18" t="e">
        <f t="shared" ca="1" si="90"/>
        <v>#N/A</v>
      </c>
      <c r="L1163" t="e">
        <f ca="1">IF(J1163,Charms!B1163,"")</f>
        <v>#N/A</v>
      </c>
      <c r="M1163" t="str">
        <f t="shared" ca="1" si="92"/>
        <v>-</v>
      </c>
      <c r="N1163" s="18" t="str">
        <f t="shared" si="93"/>
        <v>K1158:L1210</v>
      </c>
      <c r="O1163" t="str">
        <f t="shared" si="94"/>
        <v>A1158:A1163</v>
      </c>
    </row>
    <row r="1164" spans="1:15">
      <c r="A1164" s="18" t="str">
        <f>Charms!K1164</f>
        <v>Resistance</v>
      </c>
      <c r="B1164" t="str">
        <f>Charms!B1164</f>
        <v>Iron Skin Concentration</v>
      </c>
      <c r="C1164" t="b">
        <f ca="1">OR(Values!$S$98&gt;=Charms!M1164,IFERROR(Charms!J1164=OFFSET(Values!$A$24,MATCH("S",Values!$T$25:$T$50,0),0),FALSE))</f>
        <v>1</v>
      </c>
      <c r="D1164" t="b">
        <f>VLOOKUP(Charms!J1164,Values!$A$11:$S$59,19,0)&gt;=Charms!L1164</f>
        <v>0</v>
      </c>
      <c r="E1164" t="e">
        <f>OR(ISBLANK(Charms!I1164),(VLOOKUP(Values!$S$6,Castes!$B$2:$F$25,4,0)=Charms!I1164))</f>
        <v>#N/A</v>
      </c>
      <c r="J1164" t="e">
        <f t="shared" ca="1" si="91"/>
        <v>#N/A</v>
      </c>
      <c r="K1164" s="18" t="e">
        <f t="shared" ca="1" si="90"/>
        <v>#N/A</v>
      </c>
      <c r="L1164" t="e">
        <f ca="1">IF(J1164,Charms!B1164,"")</f>
        <v>#N/A</v>
      </c>
      <c r="M1164" t="str">
        <f t="shared" ca="1" si="92"/>
        <v>-</v>
      </c>
      <c r="N1164" s="18" t="str">
        <f t="shared" si="93"/>
        <v>K1158:L1210</v>
      </c>
      <c r="O1164" t="str">
        <f t="shared" si="94"/>
        <v>A1158:A1164</v>
      </c>
    </row>
    <row r="1165" spans="1:15">
      <c r="A1165" s="18" t="str">
        <f>Charms!K1165</f>
        <v>Resistance</v>
      </c>
      <c r="B1165" t="str">
        <f>Charms!B1165</f>
        <v>Front-Line Warrior's Stamina</v>
      </c>
      <c r="C1165" t="b">
        <f ca="1">OR(Values!$S$98&gt;=Charms!M1165,IFERROR(Charms!J1165=OFFSET(Values!$A$24,MATCH("S",Values!$T$25:$T$50,0),0),FALSE))</f>
        <v>1</v>
      </c>
      <c r="D1165" t="b">
        <f>VLOOKUP(Charms!J1165,Values!$A$11:$S$59,19,0)&gt;=Charms!L1165</f>
        <v>0</v>
      </c>
      <c r="E1165" t="e">
        <f>OR(ISBLANK(Charms!I1165),(VLOOKUP(Values!$S$6,Castes!$B$2:$F$25,4,0)=Charms!I1165))</f>
        <v>#N/A</v>
      </c>
      <c r="J1165" t="e">
        <f t="shared" ca="1" si="91"/>
        <v>#N/A</v>
      </c>
      <c r="K1165" s="18" t="e">
        <f t="shared" ca="1" si="90"/>
        <v>#N/A</v>
      </c>
      <c r="L1165" t="e">
        <f ca="1">IF(J1165,Charms!B1165,"")</f>
        <v>#N/A</v>
      </c>
      <c r="M1165" t="str">
        <f t="shared" ca="1" si="92"/>
        <v>-</v>
      </c>
      <c r="N1165" s="18" t="str">
        <f t="shared" si="93"/>
        <v>K1158:L1210</v>
      </c>
      <c r="O1165" t="str">
        <f t="shared" si="94"/>
        <v>A1158:A1165</v>
      </c>
    </row>
    <row r="1166" spans="1:15">
      <c r="A1166" s="18" t="str">
        <f>Charms!K1166</f>
        <v>Resistance</v>
      </c>
      <c r="B1166" t="str">
        <f>Charms!B1166</f>
        <v>Armored Scout's Invigoration</v>
      </c>
      <c r="C1166" t="b">
        <f ca="1">OR(Values!$S$98&gt;=Charms!M1166,IFERROR(Charms!J1166=OFFSET(Values!$A$24,MATCH("S",Values!$T$25:$T$50,0),0),FALSE))</f>
        <v>1</v>
      </c>
      <c r="D1166" t="b">
        <f>VLOOKUP(Charms!J1166,Values!$A$11:$S$59,19,0)&gt;=Charms!L1166</f>
        <v>0</v>
      </c>
      <c r="E1166" t="e">
        <f>OR(ISBLANK(Charms!I1166),(VLOOKUP(Values!$S$6,Castes!$B$2:$F$25,4,0)=Charms!I1166))</f>
        <v>#N/A</v>
      </c>
      <c r="J1166" t="e">
        <f t="shared" ca="1" si="91"/>
        <v>#N/A</v>
      </c>
      <c r="K1166" s="18" t="e">
        <f t="shared" ca="1" si="90"/>
        <v>#N/A</v>
      </c>
      <c r="L1166" t="e">
        <f ca="1">IF(J1166,Charms!B1166,"")</f>
        <v>#N/A</v>
      </c>
      <c r="M1166" t="str">
        <f t="shared" ca="1" si="92"/>
        <v>-</v>
      </c>
      <c r="N1166" s="18" t="str">
        <f t="shared" si="93"/>
        <v>K1158:L1210</v>
      </c>
      <c r="O1166" t="str">
        <f t="shared" si="94"/>
        <v>A1158:A1166</v>
      </c>
    </row>
    <row r="1167" spans="1:15">
      <c r="A1167" s="18" t="str">
        <f>Charms!K1167</f>
        <v>Resistance</v>
      </c>
      <c r="B1167" t="str">
        <f>Charms!B1167</f>
        <v>Poison-Resisting Meditation</v>
      </c>
      <c r="C1167" t="b">
        <f ca="1">OR(Values!$S$98&gt;=Charms!M1167,IFERROR(Charms!J1167=OFFSET(Values!$A$24,MATCH("S",Values!$T$25:$T$50,0),0),FALSE))</f>
        <v>1</v>
      </c>
      <c r="D1167" t="b">
        <f>VLOOKUP(Charms!J1167,Values!$A$11:$S$59,19,0)&gt;=Charms!L1167</f>
        <v>0</v>
      </c>
      <c r="E1167" t="e">
        <f>OR(ISBLANK(Charms!I1167),(VLOOKUP(Values!$S$6,Castes!$B$2:$F$25,4,0)=Charms!I1167))</f>
        <v>#N/A</v>
      </c>
      <c r="J1167" t="e">
        <f t="shared" ca="1" si="91"/>
        <v>#N/A</v>
      </c>
      <c r="K1167" s="18" t="e">
        <f t="shared" ca="1" si="90"/>
        <v>#N/A</v>
      </c>
      <c r="L1167" t="e">
        <f ca="1">IF(J1167,Charms!B1167,"")</f>
        <v>#N/A</v>
      </c>
      <c r="M1167" t="str">
        <f t="shared" ca="1" si="92"/>
        <v>-</v>
      </c>
      <c r="N1167" s="18" t="str">
        <f t="shared" si="93"/>
        <v>K1158:L1210</v>
      </c>
      <c r="O1167" t="str">
        <f t="shared" si="94"/>
        <v>A1158:A1167</v>
      </c>
    </row>
    <row r="1168" spans="1:15">
      <c r="A1168" s="18" t="str">
        <f>Charms!K1168</f>
        <v>Resistance</v>
      </c>
      <c r="B1168" t="str">
        <f>Charms!B1168</f>
        <v>Essence-Gathering Temper</v>
      </c>
      <c r="C1168" t="b">
        <f ca="1">OR(Values!$S$98&gt;=Charms!M1168,IFERROR(Charms!J1168=OFFSET(Values!$A$24,MATCH("S",Values!$T$25:$T$50,0),0),FALSE))</f>
        <v>1</v>
      </c>
      <c r="D1168" t="b">
        <f>VLOOKUP(Charms!J1168,Values!$A$11:$S$59,19,0)&gt;=Charms!L1168</f>
        <v>0</v>
      </c>
      <c r="E1168" t="e">
        <f>OR(ISBLANK(Charms!I1168),(VLOOKUP(Values!$S$6,Castes!$B$2:$F$25,4,0)=Charms!I1168))</f>
        <v>#N/A</v>
      </c>
      <c r="J1168" t="e">
        <f t="shared" ca="1" si="91"/>
        <v>#N/A</v>
      </c>
      <c r="K1168" s="18" t="e">
        <f t="shared" ca="1" si="90"/>
        <v>#N/A</v>
      </c>
      <c r="L1168" t="e">
        <f ca="1">IF(J1168,Charms!B1168,"")</f>
        <v>#N/A</v>
      </c>
      <c r="M1168" t="str">
        <f t="shared" ca="1" si="92"/>
        <v>-</v>
      </c>
      <c r="N1168" s="18" t="str">
        <f t="shared" si="93"/>
        <v>K1158:L1210</v>
      </c>
      <c r="O1168" t="str">
        <f t="shared" si="94"/>
        <v>A1158:A1168</v>
      </c>
    </row>
    <row r="1169" spans="1:15">
      <c r="A1169" s="18" t="str">
        <f>Charms!K1169</f>
        <v>Resistance</v>
      </c>
      <c r="B1169" t="str">
        <f>Charms!B1169</f>
        <v>Hauberk-Summoning Gesture</v>
      </c>
      <c r="C1169" t="b">
        <f ca="1">OR(Values!$S$98&gt;=Charms!M1169,IFERROR(Charms!J1169=OFFSET(Values!$A$24,MATCH("S",Values!$T$25:$T$50,0),0),FALSE))</f>
        <v>0</v>
      </c>
      <c r="D1169" t="b">
        <f>VLOOKUP(Charms!J1169,Values!$A$11:$S$59,19,0)&gt;=Charms!L1169</f>
        <v>0</v>
      </c>
      <c r="E1169" t="e">
        <f>OR(ISBLANK(Charms!I1169),(VLOOKUP(Values!$S$6,Castes!$B$2:$F$25,4,0)=Charms!I1169))</f>
        <v>#N/A</v>
      </c>
      <c r="J1169" t="e">
        <f t="shared" ca="1" si="91"/>
        <v>#N/A</v>
      </c>
      <c r="K1169" s="18" t="e">
        <f t="shared" ca="1" si="90"/>
        <v>#N/A</v>
      </c>
      <c r="L1169" t="e">
        <f ca="1">IF(J1169,Charms!B1169,"")</f>
        <v>#N/A</v>
      </c>
      <c r="M1169" t="str">
        <f t="shared" ca="1" si="92"/>
        <v>-</v>
      </c>
      <c r="N1169" s="18" t="str">
        <f t="shared" si="93"/>
        <v>K1158:L1210</v>
      </c>
      <c r="O1169" t="str">
        <f t="shared" si="94"/>
        <v>A1158:A1169</v>
      </c>
    </row>
    <row r="1170" spans="1:15">
      <c r="A1170" s="18" t="str">
        <f>Charms!K1170</f>
        <v>Resistance</v>
      </c>
      <c r="B1170" t="str">
        <f>Charms!B1170</f>
        <v>Diamond-Body Prana</v>
      </c>
      <c r="C1170" t="b">
        <f ca="1">OR(Values!$S$98&gt;=Charms!M1170,IFERROR(Charms!J1170=OFFSET(Values!$A$24,MATCH("S",Values!$T$25:$T$50,0),0),FALSE))</f>
        <v>0</v>
      </c>
      <c r="D1170" t="b">
        <f>VLOOKUP(Charms!J1170,Values!$A$11:$S$59,19,0)&gt;=Charms!L1170</f>
        <v>0</v>
      </c>
      <c r="E1170" t="e">
        <f>OR(ISBLANK(Charms!I1170),(VLOOKUP(Values!$S$6,Castes!$B$2:$F$25,4,0)=Charms!I1170))</f>
        <v>#N/A</v>
      </c>
      <c r="J1170" t="e">
        <f t="shared" ca="1" si="91"/>
        <v>#N/A</v>
      </c>
      <c r="K1170" s="18" t="e">
        <f t="shared" ca="1" si="90"/>
        <v>#N/A</v>
      </c>
      <c r="L1170" t="e">
        <f ca="1">IF(J1170,Charms!B1170,"")</f>
        <v>#N/A</v>
      </c>
      <c r="M1170" t="str">
        <f t="shared" ca="1" si="92"/>
        <v>-</v>
      </c>
      <c r="N1170" s="18" t="str">
        <f t="shared" si="93"/>
        <v>K1158:L1210</v>
      </c>
      <c r="O1170" t="str">
        <f t="shared" si="94"/>
        <v>A1158:A1170</v>
      </c>
    </row>
    <row r="1171" spans="1:15">
      <c r="A1171" s="18" t="str">
        <f>Charms!K1171</f>
        <v>Resistance</v>
      </c>
      <c r="B1171" t="str">
        <f>Charms!B1171</f>
        <v>Iron Kettle Body</v>
      </c>
      <c r="C1171" t="b">
        <f ca="1">OR(Values!$S$98&gt;=Charms!M1171,IFERROR(Charms!J1171=OFFSET(Values!$A$24,MATCH("S",Values!$T$25:$T$50,0),0),FALSE))</f>
        <v>0</v>
      </c>
      <c r="D1171" t="b">
        <f>VLOOKUP(Charms!J1171,Values!$A$11:$S$59,19,0)&gt;=Charms!L1171</f>
        <v>0</v>
      </c>
      <c r="E1171" t="e">
        <f>OR(ISBLANK(Charms!I1171),(VLOOKUP(Values!$S$6,Castes!$B$2:$F$25,4,0)=Charms!I1171))</f>
        <v>#N/A</v>
      </c>
      <c r="J1171" t="e">
        <f t="shared" ca="1" si="91"/>
        <v>#N/A</v>
      </c>
      <c r="K1171" s="18" t="e">
        <f t="shared" ca="1" si="90"/>
        <v>#N/A</v>
      </c>
      <c r="L1171" t="e">
        <f ca="1">IF(J1171,Charms!B1171,"")</f>
        <v>#N/A</v>
      </c>
      <c r="M1171" t="str">
        <f t="shared" ca="1" si="92"/>
        <v>-</v>
      </c>
      <c r="N1171" s="18" t="str">
        <f t="shared" si="93"/>
        <v>K1158:L1210</v>
      </c>
      <c r="O1171" t="str">
        <f t="shared" si="94"/>
        <v>A1158:A1171</v>
      </c>
    </row>
    <row r="1172" spans="1:15">
      <c r="A1172" s="18" t="str">
        <f>Charms!K1172</f>
        <v>Resistance</v>
      </c>
      <c r="B1172" t="str">
        <f>Charms!B1172</f>
        <v>Illness-Resisting Meditation</v>
      </c>
      <c r="C1172" t="b">
        <f ca="1">OR(Values!$S$98&gt;=Charms!M1172,IFERROR(Charms!J1172=OFFSET(Values!$A$24,MATCH("S",Values!$T$25:$T$50,0),0),FALSE))</f>
        <v>0</v>
      </c>
      <c r="D1172" t="b">
        <f>VLOOKUP(Charms!J1172,Values!$A$11:$S$59,19,0)&gt;=Charms!L1172</f>
        <v>0</v>
      </c>
      <c r="E1172" t="e">
        <f>OR(ISBLANK(Charms!I1172),(VLOOKUP(Values!$S$6,Castes!$B$2:$F$25,4,0)=Charms!I1172))</f>
        <v>#N/A</v>
      </c>
      <c r="J1172" t="e">
        <f t="shared" ca="1" si="91"/>
        <v>#N/A</v>
      </c>
      <c r="K1172" s="18" t="e">
        <f t="shared" ca="1" si="90"/>
        <v>#N/A</v>
      </c>
      <c r="L1172" t="e">
        <f ca="1">IF(J1172,Charms!B1172,"")</f>
        <v>#N/A</v>
      </c>
      <c r="M1172" t="str">
        <f t="shared" ca="1" si="92"/>
        <v>-</v>
      </c>
      <c r="N1172" s="18" t="str">
        <f t="shared" si="93"/>
        <v>K1158:L1210</v>
      </c>
      <c r="O1172" t="str">
        <f t="shared" si="94"/>
        <v>A1158:A1172</v>
      </c>
    </row>
    <row r="1173" spans="1:15">
      <c r="A1173" s="18" t="str">
        <f>Charms!K1173</f>
        <v>Resistance</v>
      </c>
      <c r="B1173" t="str">
        <f>Charms!B1173</f>
        <v>Willpower-Enhancing Spirit</v>
      </c>
      <c r="C1173" t="b">
        <f ca="1">OR(Values!$S$98&gt;=Charms!M1173,IFERROR(Charms!J1173=OFFSET(Values!$A$24,MATCH("S",Values!$T$25:$T$50,0),0),FALSE))</f>
        <v>0</v>
      </c>
      <c r="D1173" t="b">
        <f>VLOOKUP(Charms!J1173,Values!$A$11:$S$59,19,0)&gt;=Charms!L1173</f>
        <v>0</v>
      </c>
      <c r="E1173" t="e">
        <f>OR(ISBLANK(Charms!I1173),(VLOOKUP(Values!$S$6,Castes!$B$2:$F$25,4,0)=Charms!I1173))</f>
        <v>#N/A</v>
      </c>
      <c r="J1173" t="e">
        <f t="shared" ca="1" si="91"/>
        <v>#N/A</v>
      </c>
      <c r="K1173" s="18" t="e">
        <f t="shared" ca="1" si="90"/>
        <v>#N/A</v>
      </c>
      <c r="L1173" t="e">
        <f ca="1">IF(J1173,Charms!B1173,"")</f>
        <v>#N/A</v>
      </c>
      <c r="M1173" t="str">
        <f t="shared" ca="1" si="92"/>
        <v>-</v>
      </c>
      <c r="N1173" s="18" t="str">
        <f t="shared" si="93"/>
        <v>K1158:L1210</v>
      </c>
      <c r="O1173" t="str">
        <f t="shared" si="94"/>
        <v>A1158:A1173</v>
      </c>
    </row>
    <row r="1174" spans="1:15">
      <c r="A1174" s="18" t="str">
        <f>Charms!K1174</f>
        <v>Resistance</v>
      </c>
      <c r="B1174" t="str">
        <f>Charms!B1174</f>
        <v>Glorious Solar Plate</v>
      </c>
      <c r="C1174" t="b">
        <f ca="1">OR(Values!$S$98&gt;=Charms!M1174,IFERROR(Charms!J1174=OFFSET(Values!$A$24,MATCH("S",Values!$T$25:$T$50,0),0),FALSE))</f>
        <v>0</v>
      </c>
      <c r="D1174" t="b">
        <f>VLOOKUP(Charms!J1174,Values!$A$11:$S$59,19,0)&gt;=Charms!L1174</f>
        <v>0</v>
      </c>
      <c r="E1174" t="e">
        <f>OR(ISBLANK(Charms!I1174),(VLOOKUP(Values!$S$6,Castes!$B$2:$F$25,4,0)=Charms!I1174))</f>
        <v>#N/A</v>
      </c>
      <c r="J1174" t="e">
        <f t="shared" ca="1" si="91"/>
        <v>#N/A</v>
      </c>
      <c r="K1174" s="18" t="e">
        <f t="shared" ca="1" si="90"/>
        <v>#N/A</v>
      </c>
      <c r="L1174" t="e">
        <f ca="1">IF(J1174,Charms!B1174,"")</f>
        <v>#N/A</v>
      </c>
      <c r="M1174" t="str">
        <f t="shared" ca="1" si="92"/>
        <v>-</v>
      </c>
      <c r="N1174" s="18" t="str">
        <f t="shared" si="93"/>
        <v>K1158:L1210</v>
      </c>
      <c r="O1174" t="str">
        <f t="shared" si="94"/>
        <v>A1158:A1174</v>
      </c>
    </row>
    <row r="1175" spans="1:15">
      <c r="A1175" s="18" t="str">
        <f>Charms!K1175</f>
        <v>Resistance</v>
      </c>
      <c r="B1175" t="str">
        <f>Charms!B1175</f>
        <v>Blade-Turning Body Technique</v>
      </c>
      <c r="C1175" t="b">
        <f ca="1">OR(Values!$S$98&gt;=Charms!M1175,IFERROR(Charms!J1175=OFFSET(Values!$A$24,MATCH("S",Values!$T$25:$T$50,0),0),FALSE))</f>
        <v>0</v>
      </c>
      <c r="D1175" t="b">
        <f>VLOOKUP(Charms!J1175,Values!$A$11:$S$59,19,0)&gt;=Charms!L1175</f>
        <v>0</v>
      </c>
      <c r="E1175" t="e">
        <f>OR(ISBLANK(Charms!I1175),(VLOOKUP(Values!$S$6,Castes!$B$2:$F$25,4,0)=Charms!I1175))</f>
        <v>#N/A</v>
      </c>
      <c r="J1175" t="e">
        <f t="shared" ca="1" si="91"/>
        <v>#N/A</v>
      </c>
      <c r="K1175" s="18" t="e">
        <f t="shared" ca="1" si="90"/>
        <v>#N/A</v>
      </c>
      <c r="L1175" t="e">
        <f ca="1">IF(J1175,Charms!B1175,"")</f>
        <v>#N/A</v>
      </c>
      <c r="M1175" t="str">
        <f t="shared" ca="1" si="92"/>
        <v>-</v>
      </c>
      <c r="N1175" s="18" t="str">
        <f t="shared" si="93"/>
        <v>K1158:L1210</v>
      </c>
      <c r="O1175" t="str">
        <f t="shared" si="94"/>
        <v>A1158:A1175</v>
      </c>
    </row>
    <row r="1176" spans="1:15">
      <c r="A1176" s="18" t="str">
        <f>Charms!K1176</f>
        <v>Resistance</v>
      </c>
      <c r="B1176" t="str">
        <f>Charms!B1176</f>
        <v>Adamant Skin Technique</v>
      </c>
      <c r="C1176" t="b">
        <f ca="1">OR(Values!$S$98&gt;=Charms!M1176,IFERROR(Charms!J1176=OFFSET(Values!$A$24,MATCH("S",Values!$T$25:$T$50,0),0),FALSE))</f>
        <v>0</v>
      </c>
      <c r="D1176" t="b">
        <f>VLOOKUP(Charms!J1176,Values!$A$11:$S$59,19,0)&gt;=Charms!L1176</f>
        <v>0</v>
      </c>
      <c r="E1176" t="e">
        <f>OR(ISBLANK(Charms!I1176),(VLOOKUP(Values!$S$6,Castes!$B$2:$F$25,4,0)=Charms!I1176))</f>
        <v>#N/A</v>
      </c>
      <c r="J1176" t="e">
        <f t="shared" ca="1" si="91"/>
        <v>#N/A</v>
      </c>
      <c r="K1176" s="18" t="e">
        <f t="shared" ca="1" si="90"/>
        <v>#N/A</v>
      </c>
      <c r="L1176" t="e">
        <f ca="1">IF(J1176,Charms!B1176,"")</f>
        <v>#N/A</v>
      </c>
      <c r="M1176" t="str">
        <f t="shared" ca="1" si="92"/>
        <v>-</v>
      </c>
      <c r="N1176" s="18" t="str">
        <f t="shared" si="93"/>
        <v>K1158:L1210</v>
      </c>
      <c r="O1176" t="str">
        <f t="shared" si="94"/>
        <v>A1158:A1176</v>
      </c>
    </row>
    <row r="1177" spans="1:15">
      <c r="A1177" s="18" t="str">
        <f>Charms!K1177</f>
        <v>Resistance</v>
      </c>
      <c r="B1177" t="str">
        <f>Charms!B1177</f>
        <v>Tiger Warrior's Endurance</v>
      </c>
      <c r="C1177" t="b">
        <f ca="1">OR(Values!$S$98&gt;=Charms!M1177,IFERROR(Charms!J1177=OFFSET(Values!$A$24,MATCH("S",Values!$T$25:$T$50,0),0),FALSE))</f>
        <v>0</v>
      </c>
      <c r="D1177" t="b">
        <f>VLOOKUP(Charms!J1177,Values!$A$11:$S$59,19,0)&gt;=Charms!L1177</f>
        <v>0</v>
      </c>
      <c r="E1177" t="e">
        <f>OR(ISBLANK(Charms!I1177),(VLOOKUP(Values!$S$6,Castes!$B$2:$F$25,4,0)=Charms!I1177))</f>
        <v>#N/A</v>
      </c>
      <c r="J1177" t="e">
        <f t="shared" ca="1" si="91"/>
        <v>#N/A</v>
      </c>
      <c r="K1177" s="18" t="e">
        <f t="shared" ca="1" si="90"/>
        <v>#N/A</v>
      </c>
      <c r="L1177" t="e">
        <f ca="1">IF(J1177,Charms!B1177,"")</f>
        <v>#N/A</v>
      </c>
      <c r="M1177" t="str">
        <f t="shared" ca="1" si="92"/>
        <v>-</v>
      </c>
      <c r="N1177" s="18" t="str">
        <f t="shared" si="93"/>
        <v>K1158:L1210</v>
      </c>
      <c r="O1177" t="str">
        <f t="shared" si="94"/>
        <v>A1158:A1177</v>
      </c>
    </row>
    <row r="1178" spans="1:15">
      <c r="A1178" s="18" t="str">
        <f>Charms!K1178</f>
        <v>Resistance</v>
      </c>
      <c r="B1178" t="str">
        <f>Charms!B1178</f>
        <v>Battle Fury Focus</v>
      </c>
      <c r="C1178" t="b">
        <f ca="1">OR(Values!$S$98&gt;=Charms!M1178,IFERROR(Charms!J1178=OFFSET(Values!$A$24,MATCH("S",Values!$T$25:$T$50,0),0),FALSE))</f>
        <v>0</v>
      </c>
      <c r="D1178" t="b">
        <f>VLOOKUP(Charms!J1178,Values!$A$11:$S$59,19,0)&gt;=Charms!L1178</f>
        <v>0</v>
      </c>
      <c r="E1178" t="e">
        <f>OR(ISBLANK(Charms!I1178),(VLOOKUP(Values!$S$6,Castes!$B$2:$F$25,4,0)=Charms!I1178))</f>
        <v>#N/A</v>
      </c>
      <c r="J1178" t="e">
        <f t="shared" ca="1" si="91"/>
        <v>#N/A</v>
      </c>
      <c r="K1178" s="18" t="e">
        <f t="shared" ca="1" si="90"/>
        <v>#N/A</v>
      </c>
      <c r="L1178" t="e">
        <f ca="1">IF(J1178,Charms!B1178,"")</f>
        <v>#N/A</v>
      </c>
      <c r="M1178" t="str">
        <f t="shared" ca="1" si="92"/>
        <v>-</v>
      </c>
      <c r="N1178" s="18" t="str">
        <f t="shared" si="93"/>
        <v>K1158:L1210</v>
      </c>
      <c r="O1178" t="str">
        <f t="shared" si="94"/>
        <v>A1158:A1178</v>
      </c>
    </row>
    <row r="1179" spans="1:15">
      <c r="A1179" s="18" t="str">
        <f>Charms!K1179</f>
        <v>Resistance</v>
      </c>
      <c r="B1179" t="str">
        <f>Charms!B1179</f>
        <v>Wound-Knitting Exercise</v>
      </c>
      <c r="C1179" t="b">
        <f ca="1">OR(Values!$S$98&gt;=Charms!M1179,IFERROR(Charms!J1179=OFFSET(Values!$A$24,MATCH("S",Values!$T$25:$T$50,0),0),FALSE))</f>
        <v>0</v>
      </c>
      <c r="D1179" t="b">
        <f>VLOOKUP(Charms!J1179,Values!$A$11:$S$59,19,0)&gt;=Charms!L1179</f>
        <v>0</v>
      </c>
      <c r="E1179" t="e">
        <f>OR(ISBLANK(Charms!I1179),(VLOOKUP(Values!$S$6,Castes!$B$2:$F$25,4,0)=Charms!I1179))</f>
        <v>#N/A</v>
      </c>
      <c r="J1179" t="e">
        <f t="shared" ca="1" si="91"/>
        <v>#N/A</v>
      </c>
      <c r="K1179" s="18" t="e">
        <f t="shared" ca="1" si="90"/>
        <v>#N/A</v>
      </c>
      <c r="L1179" t="e">
        <f ca="1">IF(J1179,Charms!B1179,"")</f>
        <v>#N/A</v>
      </c>
      <c r="M1179" t="str">
        <f t="shared" ca="1" si="92"/>
        <v>-</v>
      </c>
      <c r="N1179" s="18" t="str">
        <f t="shared" si="93"/>
        <v>K1158:L1210</v>
      </c>
      <c r="O1179" t="str">
        <f t="shared" si="94"/>
        <v>A1158:A1179</v>
      </c>
    </row>
    <row r="1180" spans="1:15">
      <c r="A1180" s="18" t="str">
        <f>Charms!K1180</f>
        <v>Resistance</v>
      </c>
      <c r="B1180" t="str">
        <f>Charms!B1180</f>
        <v>Unbreakable Warrior's Mastery</v>
      </c>
      <c r="C1180" t="b">
        <f ca="1">OR(Values!$S$98&gt;=Charms!M1180,IFERROR(Charms!J1180=OFFSET(Values!$A$24,MATCH("S",Values!$T$25:$T$50,0),0),FALSE))</f>
        <v>0</v>
      </c>
      <c r="D1180" t="b">
        <f>VLOOKUP(Charms!J1180,Values!$A$11:$S$59,19,0)&gt;=Charms!L1180</f>
        <v>0</v>
      </c>
      <c r="E1180" t="e">
        <f>OR(ISBLANK(Charms!I1180),(VLOOKUP(Values!$S$6,Castes!$B$2:$F$25,4,0)=Charms!I1180))</f>
        <v>#N/A</v>
      </c>
      <c r="J1180" t="e">
        <f t="shared" ca="1" si="91"/>
        <v>#N/A</v>
      </c>
      <c r="K1180" s="18" t="e">
        <f t="shared" ca="1" si="90"/>
        <v>#N/A</v>
      </c>
      <c r="L1180" t="e">
        <f ca="1">IF(J1180,Charms!B1180,"")</f>
        <v>#N/A</v>
      </c>
      <c r="M1180" t="str">
        <f t="shared" ca="1" si="92"/>
        <v>-</v>
      </c>
      <c r="N1180" s="18" t="str">
        <f t="shared" si="93"/>
        <v>K1158:L1210</v>
      </c>
      <c r="O1180" t="str">
        <f t="shared" si="94"/>
        <v>A1158:A1180</v>
      </c>
    </row>
    <row r="1181" spans="1:15">
      <c r="A1181" s="18" t="str">
        <f>Charms!K1181</f>
        <v>Resistance</v>
      </c>
      <c r="B1181" t="str">
        <f>Charms!B1181</f>
        <v>Ruin-Abasing Shrug</v>
      </c>
      <c r="C1181" t="b">
        <f ca="1">OR(Values!$S$98&gt;=Charms!M1181,IFERROR(Charms!J1181=OFFSET(Values!$A$24,MATCH("S",Values!$T$25:$T$50,0),0),FALSE))</f>
        <v>0</v>
      </c>
      <c r="D1181" t="b">
        <f>VLOOKUP(Charms!J1181,Values!$A$11:$S$59,19,0)&gt;=Charms!L1181</f>
        <v>0</v>
      </c>
      <c r="E1181" t="e">
        <f>OR(ISBLANK(Charms!I1181),(VLOOKUP(Values!$S$6,Castes!$B$2:$F$25,4,0)=Charms!I1181))</f>
        <v>#N/A</v>
      </c>
      <c r="J1181" t="e">
        <f t="shared" ca="1" si="91"/>
        <v>#N/A</v>
      </c>
      <c r="K1181" s="18" t="e">
        <f t="shared" ca="1" si="90"/>
        <v>#N/A</v>
      </c>
      <c r="L1181" t="e">
        <f ca="1">IF(J1181,Charms!B1181,"")</f>
        <v>#N/A</v>
      </c>
      <c r="M1181" t="str">
        <f t="shared" ca="1" si="92"/>
        <v>-</v>
      </c>
      <c r="N1181" s="18" t="str">
        <f t="shared" si="93"/>
        <v>K1158:L1210</v>
      </c>
      <c r="O1181" t="str">
        <f t="shared" si="94"/>
        <v>A1158:A1181</v>
      </c>
    </row>
    <row r="1182" spans="1:15">
      <c r="A1182" s="18" t="str">
        <f>Charms!K1182</f>
        <v>Resistance</v>
      </c>
      <c r="B1182" t="str">
        <f>Charms!B1182</f>
        <v>Immunity to Everything Technique</v>
      </c>
      <c r="C1182" t="b">
        <f ca="1">OR(Values!$S$98&gt;=Charms!M1182,IFERROR(Charms!J1182=OFFSET(Values!$A$24,MATCH("S",Values!$T$25:$T$50,0),0),FALSE))</f>
        <v>0</v>
      </c>
      <c r="D1182" t="b">
        <f>VLOOKUP(Charms!J1182,Values!$A$11:$S$59,19,0)&gt;=Charms!L1182</f>
        <v>0</v>
      </c>
      <c r="E1182" t="e">
        <f>OR(ISBLANK(Charms!I1182),(VLOOKUP(Values!$S$6,Castes!$B$2:$F$25,4,0)=Charms!I1182))</f>
        <v>#N/A</v>
      </c>
      <c r="J1182" t="e">
        <f t="shared" ca="1" si="91"/>
        <v>#N/A</v>
      </c>
      <c r="K1182" s="18" t="e">
        <f t="shared" ca="1" si="90"/>
        <v>#N/A</v>
      </c>
      <c r="L1182" t="e">
        <f ca="1">IF(J1182,Charms!B1182,"")</f>
        <v>#N/A</v>
      </c>
      <c r="M1182" t="str">
        <f t="shared" ca="1" si="92"/>
        <v>-</v>
      </c>
      <c r="N1182" s="18" t="str">
        <f t="shared" si="93"/>
        <v>K1158:L1210</v>
      </c>
      <c r="O1182" t="str">
        <f t="shared" si="94"/>
        <v>A1158:A1182</v>
      </c>
    </row>
    <row r="1183" spans="1:15">
      <c r="A1183" s="18" t="str">
        <f>Charms!K1183</f>
        <v>Resistance</v>
      </c>
      <c r="B1183" t="str">
        <f>Charms!B1183</f>
        <v>Fury-Fed Ardor</v>
      </c>
      <c r="C1183" t="b">
        <f ca="1">OR(Values!$S$98&gt;=Charms!M1183,IFERROR(Charms!J1183=OFFSET(Values!$A$24,MATCH("S",Values!$T$25:$T$50,0),0),FALSE))</f>
        <v>0</v>
      </c>
      <c r="D1183" t="b">
        <f>VLOOKUP(Charms!J1183,Values!$A$11:$S$59,19,0)&gt;=Charms!L1183</f>
        <v>0</v>
      </c>
      <c r="E1183" t="e">
        <f>OR(ISBLANK(Charms!I1183),(VLOOKUP(Values!$S$6,Castes!$B$2:$F$25,4,0)=Charms!I1183))</f>
        <v>#N/A</v>
      </c>
      <c r="J1183" t="e">
        <f t="shared" ca="1" si="91"/>
        <v>#N/A</v>
      </c>
      <c r="K1183" s="18" t="e">
        <f t="shared" ca="1" si="90"/>
        <v>#N/A</v>
      </c>
      <c r="L1183" t="e">
        <f ca="1">IF(J1183,Charms!B1183,"")</f>
        <v>#N/A</v>
      </c>
      <c r="M1183" t="str">
        <f t="shared" ca="1" si="92"/>
        <v>-</v>
      </c>
      <c r="N1183" s="18" t="str">
        <f t="shared" si="93"/>
        <v>K1158:L1210</v>
      </c>
      <c r="O1183" t="str">
        <f t="shared" si="94"/>
        <v>A1158:A1183</v>
      </c>
    </row>
    <row r="1184" spans="1:15">
      <c r="A1184" s="18" t="str">
        <f>Charms!K1184</f>
        <v>Resistance</v>
      </c>
      <c r="B1184" t="str">
        <f>Charms!B1184</f>
        <v>Bloodthirsty Sword-Dancer Spirit</v>
      </c>
      <c r="C1184" t="b">
        <f ca="1">OR(Values!$S$98&gt;=Charms!M1184,IFERROR(Charms!J1184=OFFSET(Values!$A$24,MATCH("S",Values!$T$25:$T$50,0),0),FALSE))</f>
        <v>0</v>
      </c>
      <c r="D1184" t="b">
        <f>VLOOKUP(Charms!J1184,Values!$A$11:$S$59,19,0)&gt;=Charms!L1184</f>
        <v>0</v>
      </c>
      <c r="E1184" t="e">
        <f>OR(ISBLANK(Charms!I1184),(VLOOKUP(Values!$S$6,Castes!$B$2:$F$25,4,0)=Charms!I1184))</f>
        <v>#N/A</v>
      </c>
      <c r="J1184" t="e">
        <f t="shared" ca="1" si="91"/>
        <v>#N/A</v>
      </c>
      <c r="K1184" s="18" t="e">
        <f t="shared" ca="1" si="90"/>
        <v>#N/A</v>
      </c>
      <c r="L1184" t="e">
        <f ca="1">IF(J1184,Charms!B1184,"")</f>
        <v>#N/A</v>
      </c>
      <c r="M1184" t="str">
        <f t="shared" ca="1" si="92"/>
        <v>-</v>
      </c>
      <c r="N1184" s="18" t="str">
        <f t="shared" si="93"/>
        <v>K1158:L1210</v>
      </c>
      <c r="O1184" t="str">
        <f t="shared" si="94"/>
        <v>A1158:A1184</v>
      </c>
    </row>
    <row r="1185" spans="1:15">
      <c r="A1185" s="18" t="str">
        <f>Charms!K1185</f>
        <v>Resistance</v>
      </c>
      <c r="B1185" t="str">
        <f>Charms!B1185</f>
        <v>Aegis of Invincible Might</v>
      </c>
      <c r="C1185" t="b">
        <f ca="1">OR(Values!$S$98&gt;=Charms!M1185,IFERROR(Charms!J1185=OFFSET(Values!$A$24,MATCH("S",Values!$T$25:$T$50,0),0),FALSE))</f>
        <v>0</v>
      </c>
      <c r="D1185" t="b">
        <f>VLOOKUP(Charms!J1185,Values!$A$11:$S$59,19,0)&gt;=Charms!L1185</f>
        <v>0</v>
      </c>
      <c r="E1185" t="e">
        <f>OR(ISBLANK(Charms!I1185),(VLOOKUP(Values!$S$6,Castes!$B$2:$F$25,4,0)=Charms!I1185))</f>
        <v>#N/A</v>
      </c>
      <c r="J1185" t="e">
        <f t="shared" ca="1" si="91"/>
        <v>#N/A</v>
      </c>
      <c r="K1185" s="18" t="e">
        <f t="shared" ca="1" si="90"/>
        <v>#N/A</v>
      </c>
      <c r="L1185" t="e">
        <f ca="1">IF(J1185,Charms!B1185,"")</f>
        <v>#N/A</v>
      </c>
      <c r="M1185" t="str">
        <f t="shared" ca="1" si="92"/>
        <v>-</v>
      </c>
      <c r="N1185" s="18" t="str">
        <f t="shared" si="93"/>
        <v>K1158:L1210</v>
      </c>
      <c r="O1185" t="str">
        <f t="shared" si="94"/>
        <v>A1158:A1185</v>
      </c>
    </row>
    <row r="1186" spans="1:15">
      <c r="A1186" s="18" t="str">
        <f>Charms!K1186</f>
        <v>Resistance</v>
      </c>
      <c r="B1186" t="str">
        <f>Charms!B1186</f>
        <v>Fortress-Body Discipline</v>
      </c>
      <c r="C1186" t="b">
        <f ca="1">OR(Values!$S$98&gt;=Charms!M1186,IFERROR(Charms!J1186=OFFSET(Values!$A$24,MATCH("S",Values!$T$25:$T$50,0),0),FALSE))</f>
        <v>0</v>
      </c>
      <c r="D1186" t="b">
        <f>VLOOKUP(Charms!J1186,Values!$A$11:$S$59,19,0)&gt;=Charms!L1186</f>
        <v>0</v>
      </c>
      <c r="E1186" t="e">
        <f>OR(ISBLANK(Charms!I1186),(VLOOKUP(Values!$S$6,Castes!$B$2:$F$25,4,0)=Charms!I1186))</f>
        <v>#N/A</v>
      </c>
      <c r="J1186" t="e">
        <f t="shared" ca="1" si="91"/>
        <v>#N/A</v>
      </c>
      <c r="K1186" s="18" t="e">
        <f t="shared" ca="1" si="90"/>
        <v>#N/A</v>
      </c>
      <c r="L1186" t="e">
        <f ca="1">IF(J1186,Charms!B1186,"")</f>
        <v>#N/A</v>
      </c>
      <c r="M1186" t="str">
        <f t="shared" ca="1" si="92"/>
        <v>-</v>
      </c>
      <c r="N1186" s="18" t="str">
        <f t="shared" si="93"/>
        <v>K1158:L1210</v>
      </c>
      <c r="O1186" t="str">
        <f t="shared" si="94"/>
        <v>A1158:A1186</v>
      </c>
    </row>
    <row r="1187" spans="1:15">
      <c r="A1187" s="18" t="str">
        <f>Charms!K1187</f>
        <v>Resistance</v>
      </c>
      <c r="B1187" t="str">
        <f>Charms!B1187</f>
        <v>Ox-Body Technique</v>
      </c>
      <c r="C1187" t="b">
        <f ca="1">OR(Values!$S$98&gt;=Charms!M1187,IFERROR(Charms!J1187=OFFSET(Values!$A$24,MATCH("S",Values!$T$25:$T$50,0),0),FALSE))</f>
        <v>1</v>
      </c>
      <c r="D1187" t="b">
        <f>VLOOKUP(Charms!J1187,Values!$A$11:$S$59,19,0)&gt;=Charms!L1187</f>
        <v>0</v>
      </c>
      <c r="E1187" t="e">
        <f>OR(ISBLANK(Charms!I1187),(VLOOKUP(Values!$S$6,Castes!$B$2:$F$25,4,0)=Charms!I1187))</f>
        <v>#N/A</v>
      </c>
      <c r="J1187" t="e">
        <f t="shared" ca="1" si="91"/>
        <v>#N/A</v>
      </c>
      <c r="K1187" s="18" t="e">
        <f t="shared" ca="1" si="90"/>
        <v>#N/A</v>
      </c>
      <c r="L1187" t="e">
        <f ca="1">IF(J1187,Charms!B1187,"")</f>
        <v>#N/A</v>
      </c>
      <c r="M1187" t="str">
        <f t="shared" ca="1" si="92"/>
        <v>-</v>
      </c>
      <c r="N1187" s="18" t="str">
        <f t="shared" si="93"/>
        <v>K1158:L1210</v>
      </c>
      <c r="O1187" t="str">
        <f t="shared" si="94"/>
        <v>A1158:A1187</v>
      </c>
    </row>
    <row r="1188" spans="1:15">
      <c r="A1188" s="18" t="str">
        <f>Charms!K1188</f>
        <v>Resistance</v>
      </c>
      <c r="B1188" t="str">
        <f>Charms!B1188</f>
        <v>Purifying Blood Ascendancy</v>
      </c>
      <c r="C1188" t="b">
        <f ca="1">OR(Values!$S$98&gt;=Charms!M1188,IFERROR(Charms!J1188=OFFSET(Values!$A$24,MATCH("S",Values!$T$25:$T$50,0),0),FALSE))</f>
        <v>1</v>
      </c>
      <c r="D1188" t="b">
        <f>VLOOKUP(Charms!J1188,Values!$A$11:$S$59,19,0)&gt;=Charms!L1188</f>
        <v>0</v>
      </c>
      <c r="E1188" t="e">
        <f>OR(ISBLANK(Charms!I1188),(VLOOKUP(Values!$S$6,Castes!$B$2:$F$25,4,0)=Charms!I1188))</f>
        <v>#N/A</v>
      </c>
      <c r="J1188" t="e">
        <f t="shared" ca="1" si="91"/>
        <v>#N/A</v>
      </c>
      <c r="K1188" s="18" t="e">
        <f t="shared" ca="1" si="90"/>
        <v>#N/A</v>
      </c>
      <c r="L1188" t="e">
        <f ca="1">IF(J1188,Charms!B1188,"")</f>
        <v>#N/A</v>
      </c>
      <c r="M1188" t="str">
        <f t="shared" ca="1" si="92"/>
        <v>-</v>
      </c>
      <c r="N1188" s="18" t="str">
        <f t="shared" si="93"/>
        <v>K1158:L1210</v>
      </c>
      <c r="O1188" t="str">
        <f t="shared" si="94"/>
        <v>A1158:A1188</v>
      </c>
    </row>
    <row r="1189" spans="1:15">
      <c r="A1189" s="18" t="str">
        <f>Charms!K1189</f>
        <v>Resistance</v>
      </c>
      <c r="B1189" t="str">
        <f>Charms!B1189</f>
        <v>Uneating Earth Meditation</v>
      </c>
      <c r="C1189" t="b">
        <f ca="1">OR(Values!$S$98&gt;=Charms!M1189,IFERROR(Charms!J1189=OFFSET(Values!$A$24,MATCH("S",Values!$T$25:$T$50,0),0),FALSE))</f>
        <v>1</v>
      </c>
      <c r="D1189" t="b">
        <f>VLOOKUP(Charms!J1189,Values!$A$11:$S$59,19,0)&gt;=Charms!L1189</f>
        <v>0</v>
      </c>
      <c r="E1189" t="e">
        <f>OR(ISBLANK(Charms!I1189),(VLOOKUP(Values!$S$6,Castes!$B$2:$F$25,4,0)=Charms!I1189))</f>
        <v>#N/A</v>
      </c>
      <c r="J1189" t="e">
        <f t="shared" ca="1" si="91"/>
        <v>#N/A</v>
      </c>
      <c r="K1189" s="18" t="e">
        <f t="shared" ca="1" si="90"/>
        <v>#N/A</v>
      </c>
      <c r="L1189" t="e">
        <f ca="1">IF(J1189,Charms!B1189,"")</f>
        <v>#N/A</v>
      </c>
      <c r="M1189" t="str">
        <f t="shared" ca="1" si="92"/>
        <v>-</v>
      </c>
      <c r="N1189" s="18" t="str">
        <f t="shared" si="93"/>
        <v>K1158:L1210</v>
      </c>
      <c r="O1189" t="str">
        <f t="shared" si="94"/>
        <v>A1158:A1189</v>
      </c>
    </row>
    <row r="1190" spans="1:15">
      <c r="A1190" s="18" t="str">
        <f>Charms!K1190</f>
        <v>Resistance</v>
      </c>
      <c r="B1190" t="str">
        <f>Charms!B1190</f>
        <v>Untiring Earth Meditation</v>
      </c>
      <c r="C1190" t="b">
        <f ca="1">OR(Values!$S$98&gt;=Charms!M1190,IFERROR(Charms!J1190=OFFSET(Values!$A$24,MATCH("S",Values!$T$25:$T$50,0),0),FALSE))</f>
        <v>1</v>
      </c>
      <c r="D1190" t="b">
        <f>VLOOKUP(Charms!J1190,Values!$A$11:$S$59,19,0)&gt;=Charms!L1190</f>
        <v>0</v>
      </c>
      <c r="E1190" t="e">
        <f>OR(ISBLANK(Charms!I1190),(VLOOKUP(Values!$S$6,Castes!$B$2:$F$25,4,0)=Charms!I1190))</f>
        <v>#N/A</v>
      </c>
      <c r="J1190" t="e">
        <f t="shared" ca="1" si="91"/>
        <v>#N/A</v>
      </c>
      <c r="K1190" s="18" t="e">
        <f t="shared" ca="1" si="90"/>
        <v>#N/A</v>
      </c>
      <c r="L1190" t="e">
        <f ca="1">IF(J1190,Charms!B1190,"")</f>
        <v>#N/A</v>
      </c>
      <c r="M1190" t="str">
        <f t="shared" ca="1" si="92"/>
        <v>-</v>
      </c>
      <c r="N1190" s="18" t="str">
        <f t="shared" si="93"/>
        <v>K1158:L1210</v>
      </c>
      <c r="O1190" t="str">
        <f t="shared" si="94"/>
        <v>A1158:A1190</v>
      </c>
    </row>
    <row r="1191" spans="1:15">
      <c r="A1191" s="18" t="str">
        <f>Charms!K1191</f>
        <v>Resistance</v>
      </c>
      <c r="B1191" t="str">
        <f>Charms!B1191</f>
        <v>Impervious Skin of Stone</v>
      </c>
      <c r="C1191" t="b">
        <f ca="1">OR(Values!$S$98&gt;=Charms!M1191,IFERROR(Charms!J1191=OFFSET(Values!$A$24,MATCH("S",Values!$T$25:$T$50,0),0),FALSE))</f>
        <v>1</v>
      </c>
      <c r="D1191" t="b">
        <f>VLOOKUP(Charms!J1191,Values!$A$11:$S$59,19,0)&gt;=Charms!L1191</f>
        <v>0</v>
      </c>
      <c r="E1191" t="e">
        <f>OR(ISBLANK(Charms!I1191),(VLOOKUP(Values!$S$6,Castes!$B$2:$F$25,4,0)=Charms!I1191))</f>
        <v>#N/A</v>
      </c>
      <c r="J1191" t="e">
        <f t="shared" ca="1" si="91"/>
        <v>#N/A</v>
      </c>
      <c r="K1191" s="18" t="e">
        <f t="shared" ca="1" si="90"/>
        <v>#N/A</v>
      </c>
      <c r="L1191" t="e">
        <f ca="1">IF(J1191,Charms!B1191,"")</f>
        <v>#N/A</v>
      </c>
      <c r="M1191" t="str">
        <f t="shared" ca="1" si="92"/>
        <v>-</v>
      </c>
      <c r="N1191" s="18" t="str">
        <f t="shared" si="93"/>
        <v>K1158:L1210</v>
      </c>
      <c r="O1191" t="str">
        <f t="shared" si="94"/>
        <v>A1158:A1191</v>
      </c>
    </row>
    <row r="1192" spans="1:15">
      <c r="A1192" s="18" t="str">
        <f>Charms!K1192</f>
        <v>Resistance</v>
      </c>
      <c r="B1192" t="str">
        <f>Charms!B1192</f>
        <v>Eternal Tide Endurance</v>
      </c>
      <c r="C1192" t="b">
        <f ca="1">OR(Values!$S$98&gt;=Charms!M1192,IFERROR(Charms!J1192=OFFSET(Values!$A$24,MATCH("S",Values!$T$25:$T$50,0),0),FALSE))</f>
        <v>1</v>
      </c>
      <c r="D1192" t="b">
        <f>VLOOKUP(Charms!J1192,Values!$A$11:$S$59,19,0)&gt;=Charms!L1192</f>
        <v>0</v>
      </c>
      <c r="E1192" t="e">
        <f>OR(ISBLANK(Charms!I1192),(VLOOKUP(Values!$S$6,Castes!$B$2:$F$25,4,0)=Charms!I1192))</f>
        <v>#N/A</v>
      </c>
      <c r="J1192" t="e">
        <f t="shared" ca="1" si="91"/>
        <v>#N/A</v>
      </c>
      <c r="K1192" s="18" t="e">
        <f t="shared" ca="1" si="90"/>
        <v>#N/A</v>
      </c>
      <c r="L1192" t="e">
        <f ca="1">IF(J1192,Charms!B1192,"")</f>
        <v>#N/A</v>
      </c>
      <c r="M1192" t="str">
        <f t="shared" ca="1" si="92"/>
        <v>-</v>
      </c>
      <c r="N1192" s="18" t="str">
        <f t="shared" si="93"/>
        <v>K1158:L1210</v>
      </c>
      <c r="O1192" t="str">
        <f t="shared" si="94"/>
        <v>A1158:A1192</v>
      </c>
    </row>
    <row r="1193" spans="1:15">
      <c r="A1193" s="18" t="str">
        <f>Charms!K1193</f>
        <v>Resistance</v>
      </c>
      <c r="B1193" t="str">
        <f>Charms!B1193</f>
        <v>Body-Cleansing Prana</v>
      </c>
      <c r="C1193" t="b">
        <f ca="1">OR(Values!$S$98&gt;=Charms!M1193,IFERROR(Charms!J1193=OFFSET(Values!$A$24,MATCH("S",Values!$T$25:$T$50,0),0),FALSE))</f>
        <v>1</v>
      </c>
      <c r="D1193" t="b">
        <f>VLOOKUP(Charms!J1193,Values!$A$11:$S$59,19,0)&gt;=Charms!L1193</f>
        <v>0</v>
      </c>
      <c r="E1193" t="e">
        <f>OR(ISBLANK(Charms!I1193),(VLOOKUP(Values!$S$6,Castes!$B$2:$F$25,4,0)=Charms!I1193))</f>
        <v>#N/A</v>
      </c>
      <c r="J1193" t="e">
        <f t="shared" ca="1" si="91"/>
        <v>#N/A</v>
      </c>
      <c r="K1193" s="18" t="e">
        <f t="shared" ca="1" si="90"/>
        <v>#N/A</v>
      </c>
      <c r="L1193" t="e">
        <f ca="1">IF(J1193,Charms!B1193,"")</f>
        <v>#N/A</v>
      </c>
      <c r="M1193" t="str">
        <f t="shared" ca="1" si="92"/>
        <v>-</v>
      </c>
      <c r="N1193" s="18" t="str">
        <f t="shared" si="93"/>
        <v>K1158:L1210</v>
      </c>
      <c r="O1193" t="str">
        <f t="shared" si="94"/>
        <v>A1158:A1193</v>
      </c>
    </row>
    <row r="1194" spans="1:15">
      <c r="A1194" s="18" t="str">
        <f>Charms!K1194</f>
        <v>Resistance</v>
      </c>
      <c r="B1194" t="str">
        <f>Charms!B1194</f>
        <v>Supple Viridian Scales</v>
      </c>
      <c r="C1194" t="b">
        <f ca="1">OR(Values!$S$98&gt;=Charms!M1194,IFERROR(Charms!J1194=OFFSET(Values!$A$24,MATCH("S",Values!$T$25:$T$50,0),0),FALSE))</f>
        <v>1</v>
      </c>
      <c r="D1194" t="b">
        <f>VLOOKUP(Charms!J1194,Values!$A$11:$S$59,19,0)&gt;=Charms!L1194</f>
        <v>0</v>
      </c>
      <c r="E1194" t="e">
        <f>OR(ISBLANK(Charms!I1194),(VLOOKUP(Values!$S$6,Castes!$B$2:$F$25,4,0)=Charms!I1194))</f>
        <v>#N/A</v>
      </c>
      <c r="J1194" t="e">
        <f t="shared" ca="1" si="91"/>
        <v>#N/A</v>
      </c>
      <c r="K1194" s="18" t="e">
        <f t="shared" ca="1" si="90"/>
        <v>#N/A</v>
      </c>
      <c r="L1194" t="e">
        <f ca="1">IF(J1194,Charms!B1194,"")</f>
        <v>#N/A</v>
      </c>
      <c r="M1194" t="str">
        <f t="shared" ca="1" si="92"/>
        <v>-</v>
      </c>
      <c r="N1194" s="18" t="str">
        <f t="shared" si="93"/>
        <v>K1158:L1210</v>
      </c>
      <c r="O1194" t="str">
        <f t="shared" si="94"/>
        <v>A1158:A1194</v>
      </c>
    </row>
    <row r="1195" spans="1:15">
      <c r="A1195" s="18" t="str">
        <f>Charms!K1195</f>
        <v>Resistance</v>
      </c>
      <c r="B1195" t="str">
        <f>Charms!B1195</f>
        <v>(Element) Protection Technique</v>
      </c>
      <c r="C1195" t="b">
        <f ca="1">OR(Values!$S$98&gt;=Charms!M1195,IFERROR(Charms!J1195=OFFSET(Values!$A$24,MATCH("S",Values!$T$25:$T$50,0),0),FALSE))</f>
        <v>0</v>
      </c>
      <c r="D1195" t="b">
        <f>VLOOKUP(Charms!J1195,Values!$A$11:$S$59,19,0)&gt;=Charms!L1195</f>
        <v>0</v>
      </c>
      <c r="E1195" t="e">
        <f>OR(ISBLANK(Charms!I1195),(VLOOKUP(Values!$S$6,Castes!$B$2:$F$25,4,0)=Charms!I1195))</f>
        <v>#N/A</v>
      </c>
      <c r="J1195" t="e">
        <f t="shared" ca="1" si="91"/>
        <v>#N/A</v>
      </c>
      <c r="K1195" s="18" t="e">
        <f t="shared" ca="1" si="90"/>
        <v>#N/A</v>
      </c>
      <c r="L1195" t="e">
        <f ca="1">IF(J1195,Charms!B1195,"")</f>
        <v>#N/A</v>
      </c>
      <c r="M1195" t="str">
        <f t="shared" ca="1" si="92"/>
        <v>-</v>
      </c>
      <c r="N1195" s="18" t="str">
        <f t="shared" si="93"/>
        <v>K1158:L1210</v>
      </c>
      <c r="O1195" t="str">
        <f t="shared" si="94"/>
        <v>A1158:A1195</v>
      </c>
    </row>
    <row r="1196" spans="1:15">
      <c r="A1196" s="18" t="str">
        <f>Charms!K1196</f>
        <v>Resistance</v>
      </c>
      <c r="B1196" t="str">
        <f>Charms!B1196</f>
        <v>Elemental Aegis</v>
      </c>
      <c r="C1196" t="b">
        <f ca="1">OR(Values!$S$98&gt;=Charms!M1196,IFERROR(Charms!J1196=OFFSET(Values!$A$24,MATCH("S",Values!$T$25:$T$50,0),0),FALSE))</f>
        <v>0</v>
      </c>
      <c r="D1196" t="b">
        <f>VLOOKUP(Charms!J1196,Values!$A$11:$S$59,19,0)&gt;=Charms!L1196</f>
        <v>0</v>
      </c>
      <c r="E1196" t="e">
        <f>OR(ISBLANK(Charms!I1196),(VLOOKUP(Values!$S$6,Castes!$B$2:$F$25,4,0)=Charms!I1196))</f>
        <v>#N/A</v>
      </c>
      <c r="J1196" t="e">
        <f t="shared" ca="1" si="91"/>
        <v>#N/A</v>
      </c>
      <c r="K1196" s="18" t="e">
        <f t="shared" ca="1" si="90"/>
        <v>#N/A</v>
      </c>
      <c r="L1196" t="e">
        <f ca="1">IF(J1196,Charms!B1196,"")</f>
        <v>#N/A</v>
      </c>
      <c r="M1196" t="str">
        <f t="shared" ca="1" si="92"/>
        <v>-</v>
      </c>
      <c r="N1196" s="18" t="str">
        <f t="shared" si="93"/>
        <v>K1158:L1210</v>
      </c>
      <c r="O1196" t="str">
        <f t="shared" si="94"/>
        <v>A1158:A1196</v>
      </c>
    </row>
    <row r="1197" spans="1:15">
      <c r="A1197" s="18" t="str">
        <f>Charms!K1197</f>
        <v>Resistance</v>
      </c>
      <c r="B1197" t="str">
        <f>Charms!B1197</f>
        <v>Unsleeping Earth Meditation</v>
      </c>
      <c r="C1197" t="b">
        <f ca="1">OR(Values!$S$98&gt;=Charms!M1197,IFERROR(Charms!J1197=OFFSET(Values!$A$24,MATCH("S",Values!$T$25:$T$50,0),0),FALSE))</f>
        <v>0</v>
      </c>
      <c r="D1197" t="b">
        <f>VLOOKUP(Charms!J1197,Values!$A$11:$S$59,19,0)&gt;=Charms!L1197</f>
        <v>0</v>
      </c>
      <c r="E1197" t="e">
        <f>OR(ISBLANK(Charms!I1197),(VLOOKUP(Values!$S$6,Castes!$B$2:$F$25,4,0)=Charms!I1197))</f>
        <v>#N/A</v>
      </c>
      <c r="J1197" t="e">
        <f t="shared" ca="1" si="91"/>
        <v>#N/A</v>
      </c>
      <c r="K1197" s="18" t="e">
        <f t="shared" ca="1" si="90"/>
        <v>#N/A</v>
      </c>
      <c r="L1197" t="e">
        <f ca="1">IF(J1197,Charms!B1197,"")</f>
        <v>#N/A</v>
      </c>
      <c r="M1197" t="str">
        <f t="shared" ca="1" si="92"/>
        <v>-</v>
      </c>
      <c r="N1197" s="18" t="str">
        <f t="shared" si="93"/>
        <v>K1158:L1210</v>
      </c>
      <c r="O1197" t="str">
        <f t="shared" si="94"/>
        <v>A1158:A1197</v>
      </c>
    </row>
    <row r="1198" spans="1:15">
      <c r="A1198" s="18" t="str">
        <f>Charms!K1198</f>
        <v>Resistance</v>
      </c>
      <c r="B1198" t="str">
        <f>Charms!B1198</f>
        <v>Unbreathing Earth Meditation</v>
      </c>
      <c r="C1198" t="b">
        <f ca="1">OR(Values!$S$98&gt;=Charms!M1198,IFERROR(Charms!J1198=OFFSET(Values!$A$24,MATCH("S",Values!$T$25:$T$50,0),0),FALSE))</f>
        <v>0</v>
      </c>
      <c r="D1198" t="b">
        <f>VLOOKUP(Charms!J1198,Values!$A$11:$S$59,19,0)&gt;=Charms!L1198</f>
        <v>0</v>
      </c>
      <c r="E1198" t="e">
        <f>OR(ISBLANK(Charms!I1198),(VLOOKUP(Values!$S$6,Castes!$B$2:$F$25,4,0)=Charms!I1198))</f>
        <v>#N/A</v>
      </c>
      <c r="J1198" t="e">
        <f t="shared" ca="1" si="91"/>
        <v>#N/A</v>
      </c>
      <c r="K1198" s="18" t="e">
        <f t="shared" ca="1" si="90"/>
        <v>#N/A</v>
      </c>
      <c r="L1198" t="e">
        <f ca="1">IF(J1198,Charms!B1198,"")</f>
        <v>#N/A</v>
      </c>
      <c r="M1198" t="str">
        <f t="shared" ca="1" si="92"/>
        <v>-</v>
      </c>
      <c r="N1198" s="18" t="str">
        <f t="shared" si="93"/>
        <v>K1158:L1210</v>
      </c>
      <c r="O1198" t="str">
        <f t="shared" si="94"/>
        <v>A1158:A1198</v>
      </c>
    </row>
    <row r="1199" spans="1:15">
      <c r="A1199" s="18" t="str">
        <f>Charms!K1199</f>
        <v>Resistance</v>
      </c>
      <c r="B1199" t="str">
        <f>Charms!B1199</f>
        <v>Earth Bears Witness</v>
      </c>
      <c r="C1199" t="b">
        <f ca="1">OR(Values!$S$98&gt;=Charms!M1199,IFERROR(Charms!J1199=OFFSET(Values!$A$24,MATCH("S",Values!$T$25:$T$50,0),0),FALSE))</f>
        <v>0</v>
      </c>
      <c r="D1199" t="b">
        <f>VLOOKUP(Charms!J1199,Values!$A$11:$S$59,19,0)&gt;=Charms!L1199</f>
        <v>0</v>
      </c>
      <c r="E1199" t="e">
        <f>OR(ISBLANK(Charms!I1199),(VLOOKUP(Values!$S$6,Castes!$B$2:$F$25,4,0)=Charms!I1199))</f>
        <v>#N/A</v>
      </c>
      <c r="J1199" t="e">
        <f t="shared" ca="1" si="91"/>
        <v>#N/A</v>
      </c>
      <c r="K1199" s="18" t="e">
        <f t="shared" ca="1" si="90"/>
        <v>#N/A</v>
      </c>
      <c r="L1199" t="e">
        <f ca="1">IF(J1199,Charms!B1199,"")</f>
        <v>#N/A</v>
      </c>
      <c r="M1199" t="str">
        <f t="shared" ca="1" si="92"/>
        <v>-</v>
      </c>
      <c r="N1199" s="18" t="str">
        <f t="shared" si="93"/>
        <v>K1158:L1210</v>
      </c>
      <c r="O1199" t="str">
        <f t="shared" si="94"/>
        <v>A1158:A1199</v>
      </c>
    </row>
    <row r="1200" spans="1:15">
      <c r="A1200" s="18" t="str">
        <f>Charms!K1200</f>
        <v>Resistance</v>
      </c>
      <c r="B1200" t="str">
        <f>Charms!B1200</f>
        <v>Immovable Mountain Technique</v>
      </c>
      <c r="C1200" t="b">
        <f ca="1">OR(Values!$S$98&gt;=Charms!M1200,IFERROR(Charms!J1200=OFFSET(Values!$A$24,MATCH("S",Values!$T$25:$T$50,0),0),FALSE))</f>
        <v>0</v>
      </c>
      <c r="D1200" t="b">
        <f>VLOOKUP(Charms!J1200,Values!$A$11:$S$59,19,0)&gt;=Charms!L1200</f>
        <v>0</v>
      </c>
      <c r="E1200" t="e">
        <f>OR(ISBLANK(Charms!I1200),(VLOOKUP(Values!$S$6,Castes!$B$2:$F$25,4,0)=Charms!I1200))</f>
        <v>#N/A</v>
      </c>
      <c r="J1200" t="e">
        <f t="shared" ca="1" si="91"/>
        <v>#N/A</v>
      </c>
      <c r="K1200" s="18" t="e">
        <f t="shared" ca="1" si="90"/>
        <v>#N/A</v>
      </c>
      <c r="L1200" t="e">
        <f ca="1">IF(J1200,Charms!B1200,"")</f>
        <v>#N/A</v>
      </c>
      <c r="M1200" t="str">
        <f t="shared" ca="1" si="92"/>
        <v>-</v>
      </c>
      <c r="N1200" s="18" t="str">
        <f t="shared" si="93"/>
        <v>K1158:L1210</v>
      </c>
      <c r="O1200" t="str">
        <f t="shared" si="94"/>
        <v>A1158:A1200</v>
      </c>
    </row>
    <row r="1201" spans="1:15">
      <c r="A1201" s="18" t="str">
        <f>Charms!K1201</f>
        <v>Resistance</v>
      </c>
      <c r="B1201" t="str">
        <f>Charms!B1201</f>
        <v>Unfeeling Earth Meditation</v>
      </c>
      <c r="C1201" t="b">
        <f ca="1">OR(Values!$S$98&gt;=Charms!M1201,IFERROR(Charms!J1201=OFFSET(Values!$A$24,MATCH("S",Values!$T$25:$T$50,0),0),FALSE))</f>
        <v>0</v>
      </c>
      <c r="D1201" t="b">
        <f>VLOOKUP(Charms!J1201,Values!$A$11:$S$59,19,0)&gt;=Charms!L1201</f>
        <v>0</v>
      </c>
      <c r="E1201" t="e">
        <f>OR(ISBLANK(Charms!I1201),(VLOOKUP(Values!$S$6,Castes!$B$2:$F$25,4,0)=Charms!I1201))</f>
        <v>#N/A</v>
      </c>
      <c r="J1201" t="e">
        <f t="shared" ca="1" si="91"/>
        <v>#N/A</v>
      </c>
      <c r="K1201" s="18" t="e">
        <f t="shared" ca="1" si="90"/>
        <v>#N/A</v>
      </c>
      <c r="L1201" t="e">
        <f ca="1">IF(J1201,Charms!B1201,"")</f>
        <v>#N/A</v>
      </c>
      <c r="M1201" t="str">
        <f t="shared" ca="1" si="92"/>
        <v>-</v>
      </c>
      <c r="N1201" s="18" t="str">
        <f t="shared" si="93"/>
        <v>K1158:L1210</v>
      </c>
      <c r="O1201" t="str">
        <f t="shared" si="94"/>
        <v>A1158:A1201</v>
      </c>
    </row>
    <row r="1202" spans="1:15">
      <c r="A1202" s="18" t="str">
        <f>Charms!K1202</f>
        <v>Resistance</v>
      </c>
      <c r="B1202" t="str">
        <f>Charms!B1202</f>
        <v>Body-Like-Clouds Meditation</v>
      </c>
      <c r="C1202" t="b">
        <f ca="1">OR(Values!$S$98&gt;=Charms!M1202,IFERROR(Charms!J1202=OFFSET(Values!$A$24,MATCH("S",Values!$T$25:$T$50,0),0),FALSE))</f>
        <v>0</v>
      </c>
      <c r="D1202" t="b">
        <f>VLOOKUP(Charms!J1202,Values!$A$11:$S$59,19,0)&gt;=Charms!L1202</f>
        <v>0</v>
      </c>
      <c r="E1202" t="e">
        <f>OR(ISBLANK(Charms!I1202),(VLOOKUP(Values!$S$6,Castes!$B$2:$F$25,4,0)=Charms!I1202))</f>
        <v>#N/A</v>
      </c>
      <c r="J1202" t="e">
        <f t="shared" ca="1" si="91"/>
        <v>#N/A</v>
      </c>
      <c r="K1202" s="18" t="e">
        <f t="shared" ca="1" si="90"/>
        <v>#N/A</v>
      </c>
      <c r="L1202" t="e">
        <f ca="1">IF(J1202,Charms!B1202,"")</f>
        <v>#N/A</v>
      </c>
      <c r="M1202" t="str">
        <f t="shared" ca="1" si="92"/>
        <v>-</v>
      </c>
      <c r="N1202" s="18" t="str">
        <f t="shared" si="93"/>
        <v>K1158:L1210</v>
      </c>
      <c r="O1202" t="str">
        <f t="shared" si="94"/>
        <v>A1158:A1202</v>
      </c>
    </row>
    <row r="1203" spans="1:15">
      <c r="A1203" s="18" t="str">
        <f>Charms!K1203</f>
        <v>Resistance</v>
      </c>
      <c r="B1203" t="str">
        <f>Charms!B1203</f>
        <v>Perfected Scales of the Dragon</v>
      </c>
      <c r="C1203" t="b">
        <f ca="1">OR(Values!$S$98&gt;=Charms!M1203,IFERROR(Charms!J1203=OFFSET(Values!$A$24,MATCH("S",Values!$T$25:$T$50,0),0),FALSE))</f>
        <v>0</v>
      </c>
      <c r="D1203" t="b">
        <f>VLOOKUP(Charms!J1203,Values!$A$11:$S$59,19,0)&gt;=Charms!L1203</f>
        <v>0</v>
      </c>
      <c r="E1203" t="e">
        <f>OR(ISBLANK(Charms!I1203),(VLOOKUP(Values!$S$6,Castes!$B$2:$F$25,4,0)=Charms!I1203))</f>
        <v>#N/A</v>
      </c>
      <c r="J1203" t="e">
        <f t="shared" ca="1" si="91"/>
        <v>#N/A</v>
      </c>
      <c r="K1203" s="18" t="e">
        <f t="shared" ca="1" si="90"/>
        <v>#N/A</v>
      </c>
      <c r="L1203" t="e">
        <f ca="1">IF(J1203,Charms!B1203,"")</f>
        <v>#N/A</v>
      </c>
      <c r="M1203" t="str">
        <f t="shared" ca="1" si="92"/>
        <v>-</v>
      </c>
      <c r="N1203" s="18" t="str">
        <f t="shared" si="93"/>
        <v>K1158:L1210</v>
      </c>
      <c r="O1203" t="str">
        <f t="shared" si="94"/>
        <v>A1158:A1203</v>
      </c>
    </row>
    <row r="1204" spans="1:15">
      <c r="A1204" s="18" t="str">
        <f>Charms!K1204</f>
        <v>Resistance</v>
      </c>
      <c r="B1204" t="str">
        <f>Charms!B1204</f>
        <v>Raging Fire-Dragon Spirit</v>
      </c>
      <c r="C1204" t="b">
        <f ca="1">OR(Values!$S$98&gt;=Charms!M1204,IFERROR(Charms!J1204=OFFSET(Values!$A$24,MATCH("S",Values!$T$25:$T$50,0),0),FALSE))</f>
        <v>0</v>
      </c>
      <c r="D1204" t="b">
        <f>VLOOKUP(Charms!J1204,Values!$A$11:$S$59,19,0)&gt;=Charms!L1204</f>
        <v>0</v>
      </c>
      <c r="E1204" t="e">
        <f>OR(ISBLANK(Charms!I1204),(VLOOKUP(Values!$S$6,Castes!$B$2:$F$25,4,0)=Charms!I1204))</f>
        <v>#N/A</v>
      </c>
      <c r="J1204" t="e">
        <f t="shared" ca="1" si="91"/>
        <v>#N/A</v>
      </c>
      <c r="K1204" s="18" t="e">
        <f t="shared" ca="1" si="90"/>
        <v>#N/A</v>
      </c>
      <c r="L1204" t="e">
        <f ca="1">IF(J1204,Charms!B1204,"")</f>
        <v>#N/A</v>
      </c>
      <c r="M1204" t="str">
        <f t="shared" ca="1" si="92"/>
        <v>-</v>
      </c>
      <c r="N1204" s="18" t="str">
        <f t="shared" si="93"/>
        <v>K1158:L1210</v>
      </c>
      <c r="O1204" t="str">
        <f t="shared" si="94"/>
        <v>A1158:A1204</v>
      </c>
    </row>
    <row r="1205" spans="1:15">
      <c r="A1205" s="18" t="str">
        <f>Charms!K1205</f>
        <v>Resistance</v>
      </c>
      <c r="B1205" t="str">
        <f>Charms!B1205</f>
        <v>Fathomless Depths Replenishment</v>
      </c>
      <c r="C1205" t="b">
        <f ca="1">OR(Values!$S$98&gt;=Charms!M1205,IFERROR(Charms!J1205=OFFSET(Values!$A$24,MATCH("S",Values!$T$25:$T$50,0),0),FALSE))</f>
        <v>0</v>
      </c>
      <c r="D1205" t="b">
        <f>VLOOKUP(Charms!J1205,Values!$A$11:$S$59,19,0)&gt;=Charms!L1205</f>
        <v>0</v>
      </c>
      <c r="E1205" t="e">
        <f>OR(ISBLANK(Charms!I1205),(VLOOKUP(Values!$S$6,Castes!$B$2:$F$25,4,0)=Charms!I1205))</f>
        <v>#N/A</v>
      </c>
      <c r="J1205" t="e">
        <f t="shared" ca="1" si="91"/>
        <v>#N/A</v>
      </c>
      <c r="K1205" s="18" t="e">
        <f t="shared" ca="1" si="90"/>
        <v>#N/A</v>
      </c>
      <c r="L1205" t="e">
        <f ca="1">IF(J1205,Charms!B1205,"")</f>
        <v>#N/A</v>
      </c>
      <c r="M1205" t="str">
        <f t="shared" ca="1" si="92"/>
        <v>-</v>
      </c>
      <c r="N1205" s="18" t="str">
        <f t="shared" si="93"/>
        <v>K1158:L1210</v>
      </c>
      <c r="O1205" t="str">
        <f t="shared" si="94"/>
        <v>A1158:A1205</v>
      </c>
    </row>
    <row r="1206" spans="1:15">
      <c r="A1206" s="18" t="str">
        <f>Charms!K1206</f>
        <v>Resistance</v>
      </c>
      <c r="B1206" t="str">
        <f>Charms!B1206</f>
        <v>Well-Tended Garden of the Soul</v>
      </c>
      <c r="C1206" t="b">
        <f ca="1">OR(Values!$S$98&gt;=Charms!M1206,IFERROR(Charms!J1206=OFFSET(Values!$A$24,MATCH("S",Values!$T$25:$T$50,0),0),FALSE))</f>
        <v>0</v>
      </c>
      <c r="D1206" t="b">
        <f>VLOOKUP(Charms!J1206,Values!$A$11:$S$59,19,0)&gt;=Charms!L1206</f>
        <v>0</v>
      </c>
      <c r="E1206" t="e">
        <f>OR(ISBLANK(Charms!I1206),(VLOOKUP(Values!$S$6,Castes!$B$2:$F$25,4,0)=Charms!I1206))</f>
        <v>#N/A</v>
      </c>
      <c r="J1206" t="e">
        <f t="shared" ca="1" si="91"/>
        <v>#N/A</v>
      </c>
      <c r="K1206" s="18" t="e">
        <f t="shared" ca="1" si="90"/>
        <v>#N/A</v>
      </c>
      <c r="L1206" t="e">
        <f ca="1">IF(J1206,Charms!B1206,"")</f>
        <v>#N/A</v>
      </c>
      <c r="M1206" t="str">
        <f t="shared" ca="1" si="92"/>
        <v>-</v>
      </c>
      <c r="N1206" s="18" t="str">
        <f t="shared" si="93"/>
        <v>K1158:L1210</v>
      </c>
      <c r="O1206" t="str">
        <f t="shared" si="94"/>
        <v>A1158:A1206</v>
      </c>
    </row>
    <row r="1207" spans="1:15">
      <c r="A1207" s="18" t="str">
        <f>Charms!K1207</f>
        <v>Resistance</v>
      </c>
      <c r="B1207" t="str">
        <f>Charms!B1207</f>
        <v>Ripples-on-Water Defense</v>
      </c>
      <c r="C1207" t="b">
        <f ca="1">OR(Values!$S$98&gt;=Charms!M1207,IFERROR(Charms!J1207=OFFSET(Values!$A$24,MATCH("S",Values!$T$25:$T$50,0),0),FALSE))</f>
        <v>0</v>
      </c>
      <c r="D1207" t="b">
        <f>VLOOKUP(Charms!J1207,Values!$A$11:$S$59,19,0)&gt;=Charms!L1207</f>
        <v>0</v>
      </c>
      <c r="E1207" t="e">
        <f>OR(ISBLANK(Charms!I1207),(VLOOKUP(Values!$S$6,Castes!$B$2:$F$25,4,0)=Charms!I1207))</f>
        <v>#N/A</v>
      </c>
      <c r="J1207" t="e">
        <f t="shared" ca="1" si="91"/>
        <v>#N/A</v>
      </c>
      <c r="K1207" s="18" t="e">
        <f t="shared" ca="1" si="90"/>
        <v>#N/A</v>
      </c>
      <c r="L1207" t="e">
        <f ca="1">IF(J1207,Charms!B1207,"")</f>
        <v>#N/A</v>
      </c>
      <c r="M1207" t="str">
        <f t="shared" ca="1" si="92"/>
        <v>-</v>
      </c>
      <c r="N1207" s="18" t="str">
        <f t="shared" si="93"/>
        <v>K1158:L1210</v>
      </c>
      <c r="O1207" t="str">
        <f t="shared" si="94"/>
        <v>A1158:A1207</v>
      </c>
    </row>
    <row r="1208" spans="1:15">
      <c r="A1208" s="18" t="str">
        <f>Charms!K1208</f>
        <v>Resistance</v>
      </c>
      <c r="B1208" t="str">
        <f>Charms!B1208</f>
        <v>Dragon’s Unfailing Vigor</v>
      </c>
      <c r="C1208" t="b">
        <f ca="1">OR(Values!$S$98&gt;=Charms!M1208,IFERROR(Charms!J1208=OFFSET(Values!$A$24,MATCH("S",Values!$T$25:$T$50,0),0),FALSE))</f>
        <v>0</v>
      </c>
      <c r="D1208" t="b">
        <f>VLOOKUP(Charms!J1208,Values!$A$11:$S$59,19,0)&gt;=Charms!L1208</f>
        <v>0</v>
      </c>
      <c r="E1208" t="e">
        <f>OR(ISBLANK(Charms!I1208),(VLOOKUP(Values!$S$6,Castes!$B$2:$F$25,4,0)=Charms!I1208))</f>
        <v>#N/A</v>
      </c>
      <c r="J1208" t="e">
        <f t="shared" ca="1" si="91"/>
        <v>#N/A</v>
      </c>
      <c r="K1208" s="18" t="e">
        <f t="shared" ca="1" si="90"/>
        <v>#N/A</v>
      </c>
      <c r="L1208" t="e">
        <f ca="1">IF(J1208,Charms!B1208,"")</f>
        <v>#N/A</v>
      </c>
      <c r="M1208" t="str">
        <f t="shared" ca="1" si="92"/>
        <v>-</v>
      </c>
      <c r="N1208" s="18" t="str">
        <f t="shared" si="93"/>
        <v>K1158:L1210</v>
      </c>
      <c r="O1208" t="str">
        <f t="shared" si="94"/>
        <v>A1158:A1208</v>
      </c>
    </row>
    <row r="1209" spans="1:15">
      <c r="A1209" s="18" t="str">
        <f>Charms!K1209</f>
        <v>Resistance</v>
      </c>
      <c r="B1209" t="str">
        <f>Charms!B1209</f>
        <v>Flowing Dragon-Body Endurance</v>
      </c>
      <c r="C1209" t="b">
        <f ca="1">OR(Values!$S$98&gt;=Charms!M1209,IFERROR(Charms!J1209=OFFSET(Values!$A$24,MATCH("S",Values!$T$25:$T$50,0),0),FALSE))</f>
        <v>0</v>
      </c>
      <c r="D1209" t="b">
        <f>VLOOKUP(Charms!J1209,Values!$A$11:$S$59,19,0)&gt;=Charms!L1209</f>
        <v>0</v>
      </c>
      <c r="E1209" t="e">
        <f>OR(ISBLANK(Charms!I1209),(VLOOKUP(Values!$S$6,Castes!$B$2:$F$25,4,0)=Charms!I1209))</f>
        <v>#N/A</v>
      </c>
      <c r="J1209" t="e">
        <f t="shared" ca="1" si="91"/>
        <v>#N/A</v>
      </c>
      <c r="K1209" s="18" t="e">
        <f t="shared" ca="1" si="90"/>
        <v>#N/A</v>
      </c>
      <c r="L1209" t="e">
        <f ca="1">IF(J1209,Charms!B1209,"")</f>
        <v>#N/A</v>
      </c>
      <c r="M1209" t="str">
        <f t="shared" ca="1" si="92"/>
        <v>-</v>
      </c>
      <c r="N1209" s="18" t="str">
        <f t="shared" si="93"/>
        <v>K1158:L1210</v>
      </c>
      <c r="O1209" t="str">
        <f t="shared" si="94"/>
        <v>A1158:A1209</v>
      </c>
    </row>
    <row r="1210" spans="1:15">
      <c r="A1210" s="18" t="str">
        <f>Charms!K1210</f>
        <v>Resistance</v>
      </c>
      <c r="B1210" t="str">
        <f>Charms!B1210</f>
        <v>Revolving-Hurricane-Force Defense</v>
      </c>
      <c r="C1210" t="b">
        <f ca="1">OR(Values!$S$98&gt;=Charms!M1210,IFERROR(Charms!J1210=OFFSET(Values!$A$24,MATCH("S",Values!$T$25:$T$50,0),0),FALSE))</f>
        <v>0</v>
      </c>
      <c r="D1210" t="b">
        <f>VLOOKUP(Charms!J1210,Values!$A$11:$S$59,19,0)&gt;=Charms!L1210</f>
        <v>0</v>
      </c>
      <c r="E1210" t="e">
        <f>OR(ISBLANK(Charms!I1210),(VLOOKUP(Values!$S$6,Castes!$B$2:$F$25,4,0)=Charms!I1210))</f>
        <v>#N/A</v>
      </c>
      <c r="J1210" t="e">
        <f t="shared" ca="1" si="91"/>
        <v>#N/A</v>
      </c>
      <c r="K1210" s="18" t="e">
        <f t="shared" ca="1" si="90"/>
        <v>#N/A</v>
      </c>
      <c r="L1210" t="e">
        <f ca="1">IF(J1210,Charms!B1210,"")</f>
        <v>#N/A</v>
      </c>
      <c r="M1210" t="str">
        <f t="shared" ca="1" si="92"/>
        <v>-</v>
      </c>
      <c r="N1210" s="18" t="str">
        <f t="shared" si="93"/>
        <v>K1158:L1210</v>
      </c>
      <c r="O1210" t="str">
        <f t="shared" si="94"/>
        <v>A1158:A1210</v>
      </c>
    </row>
    <row r="1211" spans="1:15">
      <c r="A1211" s="18" t="str">
        <f>Charms!K1211</f>
        <v>Ride</v>
      </c>
      <c r="B1211" t="str">
        <f>Charms!B1211</f>
        <v>Master Horseman's Techniques</v>
      </c>
      <c r="C1211" t="b">
        <f ca="1">OR(Values!$S$98&gt;=Charms!M1211,IFERROR(Charms!J1211=OFFSET(Values!$A$24,MATCH("S",Values!$T$25:$T$50,0),0),FALSE))</f>
        <v>1</v>
      </c>
      <c r="D1211" t="b">
        <f>VLOOKUP(Charms!J1211,Values!$A$11:$S$59,19,0)&gt;=Charms!L1211</f>
        <v>0</v>
      </c>
      <c r="E1211" t="e">
        <f>OR(ISBLANK(Charms!I1211),(VLOOKUP(Values!$S$6,Castes!$B$2:$F$25,4,0)=Charms!I1211))</f>
        <v>#N/A</v>
      </c>
      <c r="J1211" t="e">
        <f t="shared" ca="1" si="91"/>
        <v>#N/A</v>
      </c>
      <c r="K1211" s="18" t="e">
        <f t="shared" ca="1" si="90"/>
        <v>#N/A</v>
      </c>
      <c r="L1211" t="e">
        <f ca="1">IF(J1211,Charms!B1211,"")</f>
        <v>#N/A</v>
      </c>
      <c r="M1211" t="str">
        <f t="shared" ca="1" si="92"/>
        <v>-</v>
      </c>
      <c r="N1211" s="18" t="str">
        <f t="shared" si="93"/>
        <v>K1211:L1271</v>
      </c>
      <c r="O1211" t="str">
        <f t="shared" si="94"/>
        <v>A1211:A1211</v>
      </c>
    </row>
    <row r="1212" spans="1:15">
      <c r="A1212" s="18" t="str">
        <f>Charms!K1212</f>
        <v>Ride</v>
      </c>
      <c r="B1212" t="str">
        <f>Charms!B1212</f>
        <v>Flashing Thunderbolt Steed</v>
      </c>
      <c r="C1212" t="b">
        <f ca="1">OR(Values!$S$98&gt;=Charms!M1212,IFERROR(Charms!J1212=OFFSET(Values!$A$24,MATCH("S",Values!$T$25:$T$50,0),0),FALSE))</f>
        <v>1</v>
      </c>
      <c r="D1212" t="b">
        <f>VLOOKUP(Charms!J1212,Values!$A$11:$S$59,19,0)&gt;=Charms!L1212</f>
        <v>0</v>
      </c>
      <c r="E1212" t="e">
        <f>OR(ISBLANK(Charms!I1212),(VLOOKUP(Values!$S$6,Castes!$B$2:$F$25,4,0)=Charms!I1212))</f>
        <v>#N/A</v>
      </c>
      <c r="J1212" t="e">
        <f t="shared" ca="1" si="91"/>
        <v>#N/A</v>
      </c>
      <c r="K1212" s="18" t="e">
        <f t="shared" ca="1" si="90"/>
        <v>#N/A</v>
      </c>
      <c r="L1212" t="e">
        <f ca="1">IF(J1212,Charms!B1212,"")</f>
        <v>#N/A</v>
      </c>
      <c r="M1212" t="str">
        <f t="shared" ca="1" si="92"/>
        <v>-</v>
      </c>
      <c r="N1212" s="18" t="str">
        <f t="shared" si="93"/>
        <v>K1211:L1271</v>
      </c>
      <c r="O1212" t="str">
        <f t="shared" si="94"/>
        <v>A1211:A1212</v>
      </c>
    </row>
    <row r="1213" spans="1:15">
      <c r="A1213" s="18" t="str">
        <f>Charms!K1213</f>
        <v>Ride</v>
      </c>
      <c r="B1213" t="str">
        <f>Charms!B1213</f>
        <v>Seasoned Beast-Rider's Approach</v>
      </c>
      <c r="C1213" t="b">
        <f ca="1">OR(Values!$S$98&gt;=Charms!M1213,IFERROR(Charms!J1213=OFFSET(Values!$A$24,MATCH("S",Values!$T$25:$T$50,0),0),FALSE))</f>
        <v>1</v>
      </c>
      <c r="D1213" t="b">
        <f>VLOOKUP(Charms!J1213,Values!$A$11:$S$59,19,0)&gt;=Charms!L1213</f>
        <v>0</v>
      </c>
      <c r="E1213" t="e">
        <f>OR(ISBLANK(Charms!I1213),(VLOOKUP(Values!$S$6,Castes!$B$2:$F$25,4,0)=Charms!I1213))</f>
        <v>#N/A</v>
      </c>
      <c r="J1213" t="e">
        <f t="shared" ca="1" si="91"/>
        <v>#N/A</v>
      </c>
      <c r="K1213" s="18" t="e">
        <f t="shared" ca="1" si="90"/>
        <v>#N/A</v>
      </c>
      <c r="L1213" t="e">
        <f ca="1">IF(J1213,Charms!B1213,"")</f>
        <v>#N/A</v>
      </c>
      <c r="M1213" t="str">
        <f t="shared" ca="1" si="92"/>
        <v>-</v>
      </c>
      <c r="N1213" s="18" t="str">
        <f t="shared" si="93"/>
        <v>K1211:L1271</v>
      </c>
      <c r="O1213" t="str">
        <f t="shared" si="94"/>
        <v>A1211:A1213</v>
      </c>
    </row>
    <row r="1214" spans="1:15">
      <c r="A1214" s="18" t="str">
        <f>Charms!K1214</f>
        <v>Ride</v>
      </c>
      <c r="B1214" t="str">
        <f>Charms!B1214</f>
        <v>Elusive Mount Technique</v>
      </c>
      <c r="C1214" t="b">
        <f ca="1">OR(Values!$S$98&gt;=Charms!M1214,IFERROR(Charms!J1214=OFFSET(Values!$A$24,MATCH("S",Values!$T$25:$T$50,0),0),FALSE))</f>
        <v>1</v>
      </c>
      <c r="D1214" t="b">
        <f>VLOOKUP(Charms!J1214,Values!$A$11:$S$59,19,0)&gt;=Charms!L1214</f>
        <v>0</v>
      </c>
      <c r="E1214" t="e">
        <f>OR(ISBLANK(Charms!I1214),(VLOOKUP(Values!$S$6,Castes!$B$2:$F$25,4,0)=Charms!I1214))</f>
        <v>#N/A</v>
      </c>
      <c r="J1214" t="e">
        <f t="shared" ca="1" si="91"/>
        <v>#N/A</v>
      </c>
      <c r="K1214" s="18" t="e">
        <f t="shared" ca="1" si="90"/>
        <v>#N/A</v>
      </c>
      <c r="L1214" t="e">
        <f ca="1">IF(J1214,Charms!B1214,"")</f>
        <v>#N/A</v>
      </c>
      <c r="M1214" t="str">
        <f t="shared" ca="1" si="92"/>
        <v>-</v>
      </c>
      <c r="N1214" s="18" t="str">
        <f t="shared" si="93"/>
        <v>K1211:L1271</v>
      </c>
      <c r="O1214" t="str">
        <f t="shared" si="94"/>
        <v>A1211:A1214</v>
      </c>
    </row>
    <row r="1215" spans="1:15">
      <c r="A1215" s="18" t="str">
        <f>Charms!K1215</f>
        <v>Ride</v>
      </c>
      <c r="B1215" t="str">
        <f>Charms!B1215</f>
        <v>Wind-Racing Essence Infusion</v>
      </c>
      <c r="C1215" t="b">
        <f ca="1">OR(Values!$S$98&gt;=Charms!M1215,IFERROR(Charms!J1215=OFFSET(Values!$A$24,MATCH("S",Values!$T$25:$T$50,0),0),FALSE))</f>
        <v>1</v>
      </c>
      <c r="D1215" t="b">
        <f>VLOOKUP(Charms!J1215,Values!$A$11:$S$59,19,0)&gt;=Charms!L1215</f>
        <v>0</v>
      </c>
      <c r="E1215" t="e">
        <f>OR(ISBLANK(Charms!I1215),(VLOOKUP(Values!$S$6,Castes!$B$2:$F$25,4,0)=Charms!I1215))</f>
        <v>#N/A</v>
      </c>
      <c r="J1215" t="e">
        <f t="shared" ca="1" si="91"/>
        <v>#N/A</v>
      </c>
      <c r="K1215" s="18" t="e">
        <f t="shared" ca="1" si="90"/>
        <v>#N/A</v>
      </c>
      <c r="L1215" t="e">
        <f ca="1">IF(J1215,Charms!B1215,"")</f>
        <v>#N/A</v>
      </c>
      <c r="M1215" t="str">
        <f t="shared" ca="1" si="92"/>
        <v>-</v>
      </c>
      <c r="N1215" s="18" t="str">
        <f t="shared" si="93"/>
        <v>K1211:L1271</v>
      </c>
      <c r="O1215" t="str">
        <f t="shared" si="94"/>
        <v>A1211:A1215</v>
      </c>
    </row>
    <row r="1216" spans="1:15">
      <c r="A1216" s="18" t="str">
        <f>Charms!K1216</f>
        <v>Ride</v>
      </c>
      <c r="B1216" t="str">
        <f>Charms!B1216</f>
        <v>Single Spirit Method</v>
      </c>
      <c r="C1216" t="b">
        <f ca="1">OR(Values!$S$98&gt;=Charms!M1216,IFERROR(Charms!J1216=OFFSET(Values!$A$24,MATCH("S",Values!$T$25:$T$50,0),0),FALSE))</f>
        <v>1</v>
      </c>
      <c r="D1216" t="b">
        <f>VLOOKUP(Charms!J1216,Values!$A$11:$S$59,19,0)&gt;=Charms!L1216</f>
        <v>0</v>
      </c>
      <c r="E1216" t="e">
        <f>OR(ISBLANK(Charms!I1216),(VLOOKUP(Values!$S$6,Castes!$B$2:$F$25,4,0)=Charms!I1216))</f>
        <v>#N/A</v>
      </c>
      <c r="J1216" t="e">
        <f t="shared" ca="1" si="91"/>
        <v>#N/A</v>
      </c>
      <c r="K1216" s="18" t="e">
        <f t="shared" ca="1" si="90"/>
        <v>#N/A</v>
      </c>
      <c r="L1216" t="e">
        <f ca="1">IF(J1216,Charms!B1216,"")</f>
        <v>#N/A</v>
      </c>
      <c r="M1216" t="str">
        <f t="shared" ca="1" si="92"/>
        <v>-</v>
      </c>
      <c r="N1216" s="18" t="str">
        <f t="shared" si="93"/>
        <v>K1211:L1271</v>
      </c>
      <c r="O1216" t="str">
        <f t="shared" si="94"/>
        <v>A1211:A1216</v>
      </c>
    </row>
    <row r="1217" spans="1:15">
      <c r="A1217" s="18" t="str">
        <f>Charms!K1217</f>
        <v>Ride</v>
      </c>
      <c r="B1217" t="str">
        <f>Charms!B1217</f>
        <v>Worthy Mount Technique</v>
      </c>
      <c r="C1217" t="b">
        <f ca="1">OR(Values!$S$98&gt;=Charms!M1217,IFERROR(Charms!J1217=OFFSET(Values!$A$24,MATCH("S",Values!$T$25:$T$50,0),0),FALSE))</f>
        <v>1</v>
      </c>
      <c r="D1217" t="b">
        <f>VLOOKUP(Charms!J1217,Values!$A$11:$S$59,19,0)&gt;=Charms!L1217</f>
        <v>0</v>
      </c>
      <c r="E1217" t="e">
        <f>OR(ISBLANK(Charms!I1217),(VLOOKUP(Values!$S$6,Castes!$B$2:$F$25,4,0)=Charms!I1217))</f>
        <v>#N/A</v>
      </c>
      <c r="J1217" t="e">
        <f t="shared" ca="1" si="91"/>
        <v>#N/A</v>
      </c>
      <c r="K1217" s="18" t="e">
        <f t="shared" ca="1" si="90"/>
        <v>#N/A</v>
      </c>
      <c r="L1217" t="e">
        <f ca="1">IF(J1217,Charms!B1217,"")</f>
        <v>#N/A</v>
      </c>
      <c r="M1217" t="str">
        <f t="shared" ca="1" si="92"/>
        <v>-</v>
      </c>
      <c r="N1217" s="18" t="str">
        <f t="shared" si="93"/>
        <v>K1211:L1271</v>
      </c>
      <c r="O1217" t="str">
        <f t="shared" si="94"/>
        <v>A1211:A1217</v>
      </c>
    </row>
    <row r="1218" spans="1:15">
      <c r="A1218" s="18" t="str">
        <f>Charms!K1218</f>
        <v>Ride</v>
      </c>
      <c r="B1218" t="str">
        <f>Charms!B1218</f>
        <v>Mount Preservation Method</v>
      </c>
      <c r="C1218" t="b">
        <f ca="1">OR(Values!$S$98&gt;=Charms!M1218,IFERROR(Charms!J1218=OFFSET(Values!$A$24,MATCH("S",Values!$T$25:$T$50,0),0),FALSE))</f>
        <v>1</v>
      </c>
      <c r="D1218" t="b">
        <f>VLOOKUP(Charms!J1218,Values!$A$11:$S$59,19,0)&gt;=Charms!L1218</f>
        <v>0</v>
      </c>
      <c r="E1218" t="e">
        <f>OR(ISBLANK(Charms!I1218),(VLOOKUP(Values!$S$6,Castes!$B$2:$F$25,4,0)=Charms!I1218))</f>
        <v>#N/A</v>
      </c>
      <c r="J1218" t="e">
        <f t="shared" ca="1" si="91"/>
        <v>#N/A</v>
      </c>
      <c r="K1218" s="18" t="e">
        <f t="shared" ref="K1218:K1281" ca="1" si="95">IF(L1218="","",COUNTIF(INDIRECT("J"&amp;MATCH(A1218,A:A,0)&amp;":J"&amp;ROW()),J1218))</f>
        <v>#N/A</v>
      </c>
      <c r="L1218" t="e">
        <f ca="1">IF(J1218,Charms!B1218,"")</f>
        <v>#N/A</v>
      </c>
      <c r="M1218" t="str">
        <f t="shared" ca="1" si="92"/>
        <v>-</v>
      </c>
      <c r="N1218" s="18" t="str">
        <f t="shared" si="93"/>
        <v>K1211:L1271</v>
      </c>
      <c r="O1218" t="str">
        <f t="shared" si="94"/>
        <v>A1211:A1218</v>
      </c>
    </row>
    <row r="1219" spans="1:15">
      <c r="A1219" s="18" t="str">
        <f>Charms!K1219</f>
        <v>Ride</v>
      </c>
      <c r="B1219" t="str">
        <f>Charms!B1219</f>
        <v>Harmonious Tacking Technique</v>
      </c>
      <c r="C1219" t="b">
        <f ca="1">OR(Values!$S$98&gt;=Charms!M1219,IFERROR(Charms!J1219=OFFSET(Values!$A$24,MATCH("S",Values!$T$25:$T$50,0),0),FALSE))</f>
        <v>0</v>
      </c>
      <c r="D1219" t="b">
        <f>VLOOKUP(Charms!J1219,Values!$A$11:$S$59,19,0)&gt;=Charms!L1219</f>
        <v>0</v>
      </c>
      <c r="E1219" t="e">
        <f>OR(ISBLANK(Charms!I1219),(VLOOKUP(Values!$S$6,Castes!$B$2:$F$25,4,0)=Charms!I1219))</f>
        <v>#N/A</v>
      </c>
      <c r="J1219" t="e">
        <f t="shared" ref="J1219:J1282" ca="1" si="96">(C1219+D1219+E1219+F1219+G1219+H1219+I1219)=3</f>
        <v>#N/A</v>
      </c>
      <c r="K1219" s="18" t="e">
        <f t="shared" ca="1" si="95"/>
        <v>#N/A</v>
      </c>
      <c r="L1219" t="e">
        <f ca="1">IF(J1219,Charms!B1219,"")</f>
        <v>#N/A</v>
      </c>
      <c r="M1219" t="str">
        <f t="shared" ref="M1219:M1282" ca="1" si="97">IFERROR(VLOOKUP(COUNTIF(INDIRECT(O1219),A1219),INDIRECT(N1219),2,0),"-")</f>
        <v>-</v>
      </c>
      <c r="N1219" s="18" t="str">
        <f t="shared" ref="N1219:N1282" si="98">"K"&amp;MATCH(A1219,A:A,0)&amp;":L"&amp;(MATCH(A1219,A:A,0)+COUNTIF(A:A,A1219)-1)</f>
        <v>K1211:L1271</v>
      </c>
      <c r="O1219" t="str">
        <f t="shared" ref="O1219:O1282" si="99">"A"&amp;MATCH(A1219,A:A,0)&amp;":A"&amp;ROW()</f>
        <v>A1211:A1219</v>
      </c>
    </row>
    <row r="1220" spans="1:15">
      <c r="A1220" s="18" t="str">
        <f>Charms!K1220</f>
        <v>Ride</v>
      </c>
      <c r="B1220" t="str">
        <f>Charms!B1220</f>
        <v>Immortal Rider's Advantage</v>
      </c>
      <c r="C1220" t="b">
        <f ca="1">OR(Values!$S$98&gt;=Charms!M1220,IFERROR(Charms!J1220=OFFSET(Values!$A$24,MATCH("S",Values!$T$25:$T$50,0),0),FALSE))</f>
        <v>0</v>
      </c>
      <c r="D1220" t="b">
        <f>VLOOKUP(Charms!J1220,Values!$A$11:$S$59,19,0)&gt;=Charms!L1220</f>
        <v>0</v>
      </c>
      <c r="E1220" t="e">
        <f>OR(ISBLANK(Charms!I1220),(VLOOKUP(Values!$S$6,Castes!$B$2:$F$25,4,0)=Charms!I1220))</f>
        <v>#N/A</v>
      </c>
      <c r="J1220" t="e">
        <f t="shared" ca="1" si="96"/>
        <v>#N/A</v>
      </c>
      <c r="K1220" s="18" t="e">
        <f t="shared" ca="1" si="95"/>
        <v>#N/A</v>
      </c>
      <c r="L1220" t="e">
        <f ca="1">IF(J1220,Charms!B1220,"")</f>
        <v>#N/A</v>
      </c>
      <c r="M1220" t="str">
        <f t="shared" ca="1" si="97"/>
        <v>-</v>
      </c>
      <c r="N1220" s="18" t="str">
        <f t="shared" si="98"/>
        <v>K1211:L1271</v>
      </c>
      <c r="O1220" t="str">
        <f t="shared" si="99"/>
        <v>A1211:A1220</v>
      </c>
    </row>
    <row r="1221" spans="1:15">
      <c r="A1221" s="18" t="str">
        <f>Charms!K1221</f>
        <v>Ride</v>
      </c>
      <c r="B1221" t="str">
        <f>Charms!B1221</f>
        <v>Storm-Racing Destrier</v>
      </c>
      <c r="C1221" t="b">
        <f ca="1">OR(Values!$S$98&gt;=Charms!M1221,IFERROR(Charms!J1221=OFFSET(Values!$A$24,MATCH("S",Values!$T$25:$T$50,0),0),FALSE))</f>
        <v>1</v>
      </c>
      <c r="D1221" t="b">
        <f>VLOOKUP(Charms!J1221,Values!$A$11:$S$59,19,0)&gt;=Charms!L1221</f>
        <v>0</v>
      </c>
      <c r="E1221" t="e">
        <f>OR(ISBLANK(Charms!I1221),(VLOOKUP(Values!$S$6,Castes!$B$2:$F$25,4,0)=Charms!I1221))</f>
        <v>#N/A</v>
      </c>
      <c r="J1221" t="e">
        <f t="shared" ca="1" si="96"/>
        <v>#N/A</v>
      </c>
      <c r="K1221" s="18" t="e">
        <f t="shared" ca="1" si="95"/>
        <v>#N/A</v>
      </c>
      <c r="L1221" t="e">
        <f ca="1">IF(J1221,Charms!B1221,"")</f>
        <v>#N/A</v>
      </c>
      <c r="M1221" t="str">
        <f t="shared" ca="1" si="97"/>
        <v>-</v>
      </c>
      <c r="N1221" s="18" t="str">
        <f t="shared" si="98"/>
        <v>K1211:L1271</v>
      </c>
      <c r="O1221" t="str">
        <f t="shared" si="99"/>
        <v>A1211:A1221</v>
      </c>
    </row>
    <row r="1222" spans="1:15">
      <c r="A1222" s="18" t="str">
        <f>Charms!K1222</f>
        <v>Ride</v>
      </c>
      <c r="B1222" t="str">
        <f>Charms!B1222</f>
        <v>Untouchable Horseman's Attitude</v>
      </c>
      <c r="C1222" t="b">
        <f ca="1">OR(Values!$S$98&gt;=Charms!M1222,IFERROR(Charms!J1222=OFFSET(Values!$A$24,MATCH("S",Values!$T$25:$T$50,0),0),FALSE))</f>
        <v>0</v>
      </c>
      <c r="D1222" t="b">
        <f>VLOOKUP(Charms!J1222,Values!$A$11:$S$59,19,0)&gt;=Charms!L1222</f>
        <v>0</v>
      </c>
      <c r="E1222" t="e">
        <f>OR(ISBLANK(Charms!I1222),(VLOOKUP(Values!$S$6,Castes!$B$2:$F$25,4,0)=Charms!I1222))</f>
        <v>#N/A</v>
      </c>
      <c r="J1222" t="e">
        <f t="shared" ca="1" si="96"/>
        <v>#N/A</v>
      </c>
      <c r="K1222" s="18" t="e">
        <f t="shared" ca="1" si="95"/>
        <v>#N/A</v>
      </c>
      <c r="L1222" t="e">
        <f ca="1">IF(J1222,Charms!B1222,"")</f>
        <v>#N/A</v>
      </c>
      <c r="M1222" t="str">
        <f t="shared" ca="1" si="97"/>
        <v>-</v>
      </c>
      <c r="N1222" s="18" t="str">
        <f t="shared" si="98"/>
        <v>K1211:L1271</v>
      </c>
      <c r="O1222" t="str">
        <f t="shared" si="99"/>
        <v>A1211:A1222</v>
      </c>
    </row>
    <row r="1223" spans="1:15">
      <c r="A1223" s="18" t="str">
        <f>Charms!K1223</f>
        <v>Ride</v>
      </c>
      <c r="B1223" t="str">
        <f>Charms!B1223</f>
        <v>Immortal Charger's Gallop</v>
      </c>
      <c r="C1223" t="b">
        <f ca="1">OR(Values!$S$98&gt;=Charms!M1223,IFERROR(Charms!J1223=OFFSET(Values!$A$24,MATCH("S",Values!$T$25:$T$50,0),0),FALSE))</f>
        <v>0</v>
      </c>
      <c r="D1223" t="b">
        <f>VLOOKUP(Charms!J1223,Values!$A$11:$S$59,19,0)&gt;=Charms!L1223</f>
        <v>0</v>
      </c>
      <c r="E1223" t="e">
        <f>OR(ISBLANK(Charms!I1223),(VLOOKUP(Values!$S$6,Castes!$B$2:$F$25,4,0)=Charms!I1223))</f>
        <v>#N/A</v>
      </c>
      <c r="J1223" t="e">
        <f t="shared" ca="1" si="96"/>
        <v>#N/A</v>
      </c>
      <c r="K1223" s="18" t="e">
        <f t="shared" ca="1" si="95"/>
        <v>#N/A</v>
      </c>
      <c r="L1223" t="e">
        <f ca="1">IF(J1223,Charms!B1223,"")</f>
        <v>#N/A</v>
      </c>
      <c r="M1223" t="str">
        <f t="shared" ca="1" si="97"/>
        <v>-</v>
      </c>
      <c r="N1223" s="18" t="str">
        <f t="shared" si="98"/>
        <v>K1211:L1271</v>
      </c>
      <c r="O1223" t="str">
        <f t="shared" si="99"/>
        <v>A1211:A1223</v>
      </c>
    </row>
    <row r="1224" spans="1:15">
      <c r="A1224" s="18" t="str">
        <f>Charms!K1224</f>
        <v>Ride</v>
      </c>
      <c r="B1224" t="str">
        <f>Charms!B1224</f>
        <v>Saddle-Staying Courses</v>
      </c>
      <c r="C1224" t="b">
        <f ca="1">OR(Values!$S$98&gt;=Charms!M1224,IFERROR(Charms!J1224=OFFSET(Values!$A$24,MATCH("S",Values!$T$25:$T$50,0),0),FALSE))</f>
        <v>0</v>
      </c>
      <c r="D1224" t="b">
        <f>VLOOKUP(Charms!J1224,Values!$A$11:$S$59,19,0)&gt;=Charms!L1224</f>
        <v>0</v>
      </c>
      <c r="E1224" t="e">
        <f>OR(ISBLANK(Charms!I1224),(VLOOKUP(Values!$S$6,Castes!$B$2:$F$25,4,0)=Charms!I1224))</f>
        <v>#N/A</v>
      </c>
      <c r="J1224" t="e">
        <f t="shared" ca="1" si="96"/>
        <v>#N/A</v>
      </c>
      <c r="K1224" s="18" t="e">
        <f t="shared" ca="1" si="95"/>
        <v>#N/A</v>
      </c>
      <c r="L1224" t="e">
        <f ca="1">IF(J1224,Charms!B1224,"")</f>
        <v>#N/A</v>
      </c>
      <c r="M1224" t="str">
        <f t="shared" ca="1" si="97"/>
        <v>-</v>
      </c>
      <c r="N1224" s="18" t="str">
        <f t="shared" si="98"/>
        <v>K1211:L1271</v>
      </c>
      <c r="O1224" t="str">
        <f t="shared" si="99"/>
        <v>A1211:A1224</v>
      </c>
    </row>
    <row r="1225" spans="1:15">
      <c r="A1225" s="18" t="str">
        <f>Charms!K1225</f>
        <v>Ride</v>
      </c>
      <c r="B1225" t="str">
        <f>Charms!B1225</f>
        <v>Rousing Backlash Assault</v>
      </c>
      <c r="C1225" t="b">
        <f ca="1">OR(Values!$S$98&gt;=Charms!M1225,IFERROR(Charms!J1225=OFFSET(Values!$A$24,MATCH("S",Values!$T$25:$T$50,0),0),FALSE))</f>
        <v>0</v>
      </c>
      <c r="D1225" t="b">
        <f>VLOOKUP(Charms!J1225,Values!$A$11:$S$59,19,0)&gt;=Charms!L1225</f>
        <v>0</v>
      </c>
      <c r="E1225" t="e">
        <f>OR(ISBLANK(Charms!I1225),(VLOOKUP(Values!$S$6,Castes!$B$2:$F$25,4,0)=Charms!I1225))</f>
        <v>#N/A</v>
      </c>
      <c r="J1225" t="e">
        <f t="shared" ca="1" si="96"/>
        <v>#N/A</v>
      </c>
      <c r="K1225" s="18" t="e">
        <f t="shared" ca="1" si="95"/>
        <v>#N/A</v>
      </c>
      <c r="L1225" t="e">
        <f ca="1">IF(J1225,Charms!B1225,"")</f>
        <v>#N/A</v>
      </c>
      <c r="M1225" t="str">
        <f t="shared" ca="1" si="97"/>
        <v>-</v>
      </c>
      <c r="N1225" s="18" t="str">
        <f t="shared" si="98"/>
        <v>K1211:L1271</v>
      </c>
      <c r="O1225" t="str">
        <f t="shared" si="99"/>
        <v>A1211:A1225</v>
      </c>
    </row>
    <row r="1226" spans="1:15">
      <c r="A1226" s="18" t="str">
        <f>Charms!K1226</f>
        <v>Ride</v>
      </c>
      <c r="B1226" t="str">
        <f>Charms!B1226</f>
        <v>Woe and Storm Evasion</v>
      </c>
      <c r="C1226" t="b">
        <f ca="1">OR(Values!$S$98&gt;=Charms!M1226,IFERROR(Charms!J1226=OFFSET(Values!$A$24,MATCH("S",Values!$T$25:$T$50,0),0),FALSE))</f>
        <v>0</v>
      </c>
      <c r="D1226" t="b">
        <f>VLOOKUP(Charms!J1226,Values!$A$11:$S$59,19,0)&gt;=Charms!L1226</f>
        <v>0</v>
      </c>
      <c r="E1226" t="e">
        <f>OR(ISBLANK(Charms!I1226),(VLOOKUP(Values!$S$6,Castes!$B$2:$F$25,4,0)=Charms!I1226))</f>
        <v>#N/A</v>
      </c>
      <c r="J1226" t="e">
        <f t="shared" ca="1" si="96"/>
        <v>#N/A</v>
      </c>
      <c r="K1226" s="18" t="e">
        <f t="shared" ca="1" si="95"/>
        <v>#N/A</v>
      </c>
      <c r="L1226" t="e">
        <f ca="1">IF(J1226,Charms!B1226,"")</f>
        <v>#N/A</v>
      </c>
      <c r="M1226" t="str">
        <f t="shared" ca="1" si="97"/>
        <v>-</v>
      </c>
      <c r="N1226" s="18" t="str">
        <f t="shared" si="98"/>
        <v>K1211:L1271</v>
      </c>
      <c r="O1226" t="str">
        <f t="shared" si="99"/>
        <v>A1211:A1226</v>
      </c>
    </row>
    <row r="1227" spans="1:15">
      <c r="A1227" s="18" t="str">
        <f>Charms!K1227</f>
        <v>Ride</v>
      </c>
      <c r="B1227" t="str">
        <f>Charms!B1227</f>
        <v>Wrathful Mount Invigoration</v>
      </c>
      <c r="C1227" t="b">
        <f ca="1">OR(Values!$S$98&gt;=Charms!M1227,IFERROR(Charms!J1227=OFFSET(Values!$A$24,MATCH("S",Values!$T$25:$T$50,0),0),FALSE))</f>
        <v>0</v>
      </c>
      <c r="D1227" t="b">
        <f>VLOOKUP(Charms!J1227,Values!$A$11:$S$59,19,0)&gt;=Charms!L1227</f>
        <v>0</v>
      </c>
      <c r="E1227" t="e">
        <f>OR(ISBLANK(Charms!I1227),(VLOOKUP(Values!$S$6,Castes!$B$2:$F$25,4,0)=Charms!I1227))</f>
        <v>#N/A</v>
      </c>
      <c r="J1227" t="e">
        <f t="shared" ca="1" si="96"/>
        <v>#N/A</v>
      </c>
      <c r="K1227" s="18" t="e">
        <f t="shared" ca="1" si="95"/>
        <v>#N/A</v>
      </c>
      <c r="L1227" t="e">
        <f ca="1">IF(J1227,Charms!B1227,"")</f>
        <v>#N/A</v>
      </c>
      <c r="M1227" t="str">
        <f t="shared" ca="1" si="97"/>
        <v>-</v>
      </c>
      <c r="N1227" s="18" t="str">
        <f t="shared" si="98"/>
        <v>K1211:L1271</v>
      </c>
      <c r="O1227" t="str">
        <f t="shared" si="99"/>
        <v>A1211:A1227</v>
      </c>
    </row>
    <row r="1228" spans="1:15">
      <c r="A1228" s="18" t="str">
        <f>Charms!K1228</f>
        <v>Ride</v>
      </c>
      <c r="B1228" t="str">
        <f>Charms!B1228</f>
        <v>Supernal Lash Discipline</v>
      </c>
      <c r="C1228" t="b">
        <f ca="1">OR(Values!$S$98&gt;=Charms!M1228,IFERROR(Charms!J1228=OFFSET(Values!$A$24,MATCH("S",Values!$T$25:$T$50,0),0),FALSE))</f>
        <v>0</v>
      </c>
      <c r="D1228" t="b">
        <f>VLOOKUP(Charms!J1228,Values!$A$11:$S$59,19,0)&gt;=Charms!L1228</f>
        <v>0</v>
      </c>
      <c r="E1228" t="e">
        <f>OR(ISBLANK(Charms!I1228),(VLOOKUP(Values!$S$6,Castes!$B$2:$F$25,4,0)=Charms!I1228))</f>
        <v>#N/A</v>
      </c>
      <c r="J1228" t="e">
        <f t="shared" ca="1" si="96"/>
        <v>#N/A</v>
      </c>
      <c r="K1228" s="18" t="e">
        <f t="shared" ca="1" si="95"/>
        <v>#N/A</v>
      </c>
      <c r="L1228" t="e">
        <f ca="1">IF(J1228,Charms!B1228,"")</f>
        <v>#N/A</v>
      </c>
      <c r="M1228" t="str">
        <f t="shared" ca="1" si="97"/>
        <v>-</v>
      </c>
      <c r="N1228" s="18" t="str">
        <f t="shared" si="98"/>
        <v>K1211:L1271</v>
      </c>
      <c r="O1228" t="str">
        <f t="shared" si="99"/>
        <v>A1211:A1228</v>
      </c>
    </row>
    <row r="1229" spans="1:15">
      <c r="A1229" s="18" t="str">
        <f>Charms!K1229</f>
        <v>Ride</v>
      </c>
      <c r="B1229" t="str">
        <f>Charms!B1229</f>
        <v>Speed-Fury Focus</v>
      </c>
      <c r="C1229" t="b">
        <f ca="1">OR(Values!$S$98&gt;=Charms!M1229,IFERROR(Charms!J1229=OFFSET(Values!$A$24,MATCH("S",Values!$T$25:$T$50,0),0),FALSE))</f>
        <v>0</v>
      </c>
      <c r="D1229" t="b">
        <f>VLOOKUP(Charms!J1229,Values!$A$11:$S$59,19,0)&gt;=Charms!L1229</f>
        <v>0</v>
      </c>
      <c r="E1229" t="e">
        <f>OR(ISBLANK(Charms!I1229),(VLOOKUP(Values!$S$6,Castes!$B$2:$F$25,4,0)=Charms!I1229))</f>
        <v>#N/A</v>
      </c>
      <c r="J1229" t="e">
        <f t="shared" ca="1" si="96"/>
        <v>#N/A</v>
      </c>
      <c r="K1229" s="18" t="e">
        <f t="shared" ca="1" si="95"/>
        <v>#N/A</v>
      </c>
      <c r="L1229" t="e">
        <f ca="1">IF(J1229,Charms!B1229,"")</f>
        <v>#N/A</v>
      </c>
      <c r="M1229" t="str">
        <f t="shared" ca="1" si="97"/>
        <v>-</v>
      </c>
      <c r="N1229" s="18" t="str">
        <f t="shared" si="98"/>
        <v>K1211:L1271</v>
      </c>
      <c r="O1229" t="str">
        <f t="shared" si="99"/>
        <v>A1211:A1229</v>
      </c>
    </row>
    <row r="1230" spans="1:15">
      <c r="A1230" s="18" t="str">
        <f>Charms!K1230</f>
        <v>Ride</v>
      </c>
      <c r="B1230" t="str">
        <f>Charms!B1230</f>
        <v>Inexhaustible Destrier's Gait</v>
      </c>
      <c r="C1230" t="b">
        <f ca="1">OR(Values!$S$98&gt;=Charms!M1230,IFERROR(Charms!J1230=OFFSET(Values!$A$24,MATCH("S",Values!$T$25:$T$50,0),0),FALSE))</f>
        <v>0</v>
      </c>
      <c r="D1230" t="b">
        <f>VLOOKUP(Charms!J1230,Values!$A$11:$S$59,19,0)&gt;=Charms!L1230</f>
        <v>0</v>
      </c>
      <c r="E1230" t="e">
        <f>OR(ISBLANK(Charms!I1230),(VLOOKUP(Values!$S$6,Castes!$B$2:$F$25,4,0)=Charms!I1230))</f>
        <v>#N/A</v>
      </c>
      <c r="J1230" t="e">
        <f t="shared" ca="1" si="96"/>
        <v>#N/A</v>
      </c>
      <c r="K1230" s="18" t="e">
        <f t="shared" ca="1" si="95"/>
        <v>#N/A</v>
      </c>
      <c r="L1230" t="e">
        <f ca="1">IF(J1230,Charms!B1230,"")</f>
        <v>#N/A</v>
      </c>
      <c r="M1230" t="str">
        <f t="shared" ca="1" si="97"/>
        <v>-</v>
      </c>
      <c r="N1230" s="18" t="str">
        <f t="shared" si="98"/>
        <v>K1211:L1271</v>
      </c>
      <c r="O1230" t="str">
        <f t="shared" si="99"/>
        <v>A1211:A1230</v>
      </c>
    </row>
    <row r="1231" spans="1:15">
      <c r="A1231" s="18" t="str">
        <f>Charms!K1231</f>
        <v>Ride</v>
      </c>
      <c r="B1231" t="str">
        <f>Charms!B1231</f>
        <v>Coursing Firebolt Flash</v>
      </c>
      <c r="C1231" t="b">
        <f ca="1">OR(Values!$S$98&gt;=Charms!M1231,IFERROR(Charms!J1231=OFFSET(Values!$A$24,MATCH("S",Values!$T$25:$T$50,0),0),FALSE))</f>
        <v>0</v>
      </c>
      <c r="D1231" t="b">
        <f>VLOOKUP(Charms!J1231,Values!$A$11:$S$59,19,0)&gt;=Charms!L1231</f>
        <v>0</v>
      </c>
      <c r="E1231" t="e">
        <f>OR(ISBLANK(Charms!I1231),(VLOOKUP(Values!$S$6,Castes!$B$2:$F$25,4,0)=Charms!I1231))</f>
        <v>#N/A</v>
      </c>
      <c r="J1231" t="e">
        <f t="shared" ca="1" si="96"/>
        <v>#N/A</v>
      </c>
      <c r="K1231" s="18" t="e">
        <f t="shared" ca="1" si="95"/>
        <v>#N/A</v>
      </c>
      <c r="L1231" t="e">
        <f ca="1">IF(J1231,Charms!B1231,"")</f>
        <v>#N/A</v>
      </c>
      <c r="M1231" t="str">
        <f t="shared" ca="1" si="97"/>
        <v>-</v>
      </c>
      <c r="N1231" s="18" t="str">
        <f t="shared" si="98"/>
        <v>K1211:L1271</v>
      </c>
      <c r="O1231" t="str">
        <f t="shared" si="99"/>
        <v>A1211:A1231</v>
      </c>
    </row>
    <row r="1232" spans="1:15">
      <c r="A1232" s="18" t="str">
        <f>Charms!K1232</f>
        <v>Ride</v>
      </c>
      <c r="B1232" t="str">
        <f>Charms!B1232</f>
        <v>Horse-Stealing Leap</v>
      </c>
      <c r="C1232" t="b">
        <f ca="1">OR(Values!$S$98&gt;=Charms!M1232,IFERROR(Charms!J1232=OFFSET(Values!$A$24,MATCH("S",Values!$T$25:$T$50,0),0),FALSE))</f>
        <v>0</v>
      </c>
      <c r="D1232" t="b">
        <f>VLOOKUP(Charms!J1232,Values!$A$11:$S$59,19,0)&gt;=Charms!L1232</f>
        <v>0</v>
      </c>
      <c r="E1232" t="e">
        <f>OR(ISBLANK(Charms!I1232),(VLOOKUP(Values!$S$6,Castes!$B$2:$F$25,4,0)=Charms!I1232))</f>
        <v>#N/A</v>
      </c>
      <c r="J1232" t="e">
        <f t="shared" ca="1" si="96"/>
        <v>#N/A</v>
      </c>
      <c r="K1232" s="18" t="e">
        <f t="shared" ca="1" si="95"/>
        <v>#N/A</v>
      </c>
      <c r="L1232" t="e">
        <f ca="1">IF(J1232,Charms!B1232,"")</f>
        <v>#N/A</v>
      </c>
      <c r="M1232" t="str">
        <f t="shared" ca="1" si="97"/>
        <v>-</v>
      </c>
      <c r="N1232" s="18" t="str">
        <f t="shared" si="98"/>
        <v>K1211:L1271</v>
      </c>
      <c r="O1232" t="str">
        <f t="shared" si="99"/>
        <v>A1211:A1232</v>
      </c>
    </row>
    <row r="1233" spans="1:15">
      <c r="A1233" s="18" t="str">
        <f>Charms!K1233</f>
        <v>Ride</v>
      </c>
      <c r="B1233" t="str">
        <f>Charms!B1233</f>
        <v>Horse-Healing Technique</v>
      </c>
      <c r="C1233" t="b">
        <f ca="1">OR(Values!$S$98&gt;=Charms!M1233,IFERROR(Charms!J1233=OFFSET(Values!$A$24,MATCH("S",Values!$T$25:$T$50,0),0),FALSE))</f>
        <v>0</v>
      </c>
      <c r="D1233" t="b">
        <f>VLOOKUP(Charms!J1233,Values!$A$11:$S$59,19,0)&gt;=Charms!L1233</f>
        <v>0</v>
      </c>
      <c r="E1233" t="e">
        <f>OR(ISBLANK(Charms!I1233),(VLOOKUP(Values!$S$6,Castes!$B$2:$F$25,4,0)=Charms!I1233))</f>
        <v>#N/A</v>
      </c>
      <c r="J1233" t="e">
        <f t="shared" ca="1" si="96"/>
        <v>#N/A</v>
      </c>
      <c r="K1233" s="18" t="e">
        <f t="shared" ca="1" si="95"/>
        <v>#N/A</v>
      </c>
      <c r="L1233" t="e">
        <f ca="1">IF(J1233,Charms!B1233,"")</f>
        <v>#N/A</v>
      </c>
      <c r="M1233" t="str">
        <f t="shared" ca="1" si="97"/>
        <v>-</v>
      </c>
      <c r="N1233" s="18" t="str">
        <f t="shared" si="98"/>
        <v>K1211:L1271</v>
      </c>
      <c r="O1233" t="str">
        <f t="shared" si="99"/>
        <v>A1211:A1233</v>
      </c>
    </row>
    <row r="1234" spans="1:15">
      <c r="A1234" s="18" t="str">
        <f>Charms!K1234</f>
        <v>Ride</v>
      </c>
      <c r="B1234" t="str">
        <f>Charms!B1234</f>
        <v>Resilience of the Chosen Mount</v>
      </c>
      <c r="C1234" t="b">
        <f ca="1">OR(Values!$S$98&gt;=Charms!M1234,IFERROR(Charms!J1234=OFFSET(Values!$A$24,MATCH("S",Values!$T$25:$T$50,0),0),FALSE))</f>
        <v>0</v>
      </c>
      <c r="D1234" t="b">
        <f>VLOOKUP(Charms!J1234,Values!$A$11:$S$59,19,0)&gt;=Charms!L1234</f>
        <v>0</v>
      </c>
      <c r="E1234" t="e">
        <f>OR(ISBLANK(Charms!I1234),(VLOOKUP(Values!$S$6,Castes!$B$2:$F$25,4,0)=Charms!I1234))</f>
        <v>#N/A</v>
      </c>
      <c r="J1234" t="e">
        <f t="shared" ca="1" si="96"/>
        <v>#N/A</v>
      </c>
      <c r="K1234" s="18" t="e">
        <f t="shared" ca="1" si="95"/>
        <v>#N/A</v>
      </c>
      <c r="L1234" t="e">
        <f ca="1">IF(J1234,Charms!B1234,"")</f>
        <v>#N/A</v>
      </c>
      <c r="M1234" t="str">
        <f t="shared" ca="1" si="97"/>
        <v>-</v>
      </c>
      <c r="N1234" s="18" t="str">
        <f t="shared" si="98"/>
        <v>K1211:L1271</v>
      </c>
      <c r="O1234" t="str">
        <f t="shared" si="99"/>
        <v>A1211:A1234</v>
      </c>
    </row>
    <row r="1235" spans="1:15">
      <c r="A1235" s="18" t="str">
        <f>Charms!K1235</f>
        <v>Ride</v>
      </c>
      <c r="B1235" t="str">
        <f>Charms!B1235</f>
        <v>Phantom Steed</v>
      </c>
      <c r="C1235" t="b">
        <f ca="1">OR(Values!$S$98&gt;=Charms!M1235,IFERROR(Charms!J1235=OFFSET(Values!$A$24,MATCH("S",Values!$T$25:$T$50,0),0),FALSE))</f>
        <v>0</v>
      </c>
      <c r="D1235" t="b">
        <f>VLOOKUP(Charms!J1235,Values!$A$11:$S$59,19,0)&gt;=Charms!L1235</f>
        <v>0</v>
      </c>
      <c r="E1235" t="e">
        <f>OR(ISBLANK(Charms!I1235),(VLOOKUP(Values!$S$6,Castes!$B$2:$F$25,4,0)=Charms!I1235))</f>
        <v>#N/A</v>
      </c>
      <c r="J1235" t="e">
        <f t="shared" ca="1" si="96"/>
        <v>#N/A</v>
      </c>
      <c r="K1235" s="18" t="e">
        <f t="shared" ca="1" si="95"/>
        <v>#N/A</v>
      </c>
      <c r="L1235" t="e">
        <f ca="1">IF(J1235,Charms!B1235,"")</f>
        <v>#N/A</v>
      </c>
      <c r="M1235" t="str">
        <f t="shared" ca="1" si="97"/>
        <v>-</v>
      </c>
      <c r="N1235" s="18" t="str">
        <f t="shared" si="98"/>
        <v>K1211:L1271</v>
      </c>
      <c r="O1235" t="str">
        <f t="shared" si="99"/>
        <v>A1211:A1235</v>
      </c>
    </row>
    <row r="1236" spans="1:15">
      <c r="A1236" s="18" t="str">
        <f>Charms!K1236</f>
        <v>Ride</v>
      </c>
      <c r="B1236" t="str">
        <f>Charms!B1236</f>
        <v>Hero Rides Away</v>
      </c>
      <c r="C1236" t="b">
        <f ca="1">OR(Values!$S$98&gt;=Charms!M1236,IFERROR(Charms!J1236=OFFSET(Values!$A$24,MATCH("S",Values!$T$25:$T$50,0),0),FALSE))</f>
        <v>0</v>
      </c>
      <c r="D1236" t="b">
        <f>VLOOKUP(Charms!J1236,Values!$A$11:$S$59,19,0)&gt;=Charms!L1236</f>
        <v>0</v>
      </c>
      <c r="E1236" t="e">
        <f>OR(ISBLANK(Charms!I1236),(VLOOKUP(Values!$S$6,Castes!$B$2:$F$25,4,0)=Charms!I1236))</f>
        <v>#N/A</v>
      </c>
      <c r="J1236" t="e">
        <f t="shared" ca="1" si="96"/>
        <v>#N/A</v>
      </c>
      <c r="K1236" s="18" t="e">
        <f t="shared" ca="1" si="95"/>
        <v>#N/A</v>
      </c>
      <c r="L1236" t="e">
        <f ca="1">IF(J1236,Charms!B1236,"")</f>
        <v>#N/A</v>
      </c>
      <c r="M1236" t="str">
        <f t="shared" ca="1" si="97"/>
        <v>-</v>
      </c>
      <c r="N1236" s="18" t="str">
        <f t="shared" si="98"/>
        <v>K1211:L1271</v>
      </c>
      <c r="O1236" t="str">
        <f t="shared" si="99"/>
        <v>A1211:A1236</v>
      </c>
    </row>
    <row r="1237" spans="1:15">
      <c r="A1237" s="18" t="str">
        <f>Charms!K1237</f>
        <v>Ride</v>
      </c>
      <c r="B1237" t="str">
        <f>Charms!B1237</f>
        <v>Phantom Rider's Approach</v>
      </c>
      <c r="C1237" t="b">
        <f ca="1">OR(Values!$S$98&gt;=Charms!M1237,IFERROR(Charms!J1237=OFFSET(Values!$A$24,MATCH("S",Values!$T$25:$T$50,0),0),FALSE))</f>
        <v>0</v>
      </c>
      <c r="D1237" t="b">
        <f>VLOOKUP(Charms!J1237,Values!$A$11:$S$59,19,0)&gt;=Charms!L1237</f>
        <v>0</v>
      </c>
      <c r="E1237" t="e">
        <f>OR(ISBLANK(Charms!I1237),(VLOOKUP(Values!$S$6,Castes!$B$2:$F$25,4,0)=Charms!I1237))</f>
        <v>#N/A</v>
      </c>
      <c r="J1237" t="e">
        <f t="shared" ca="1" si="96"/>
        <v>#N/A</v>
      </c>
      <c r="K1237" s="18" t="e">
        <f t="shared" ca="1" si="95"/>
        <v>#N/A</v>
      </c>
      <c r="L1237" t="e">
        <f ca="1">IF(J1237,Charms!B1237,"")</f>
        <v>#N/A</v>
      </c>
      <c r="M1237" t="str">
        <f t="shared" ca="1" si="97"/>
        <v>-</v>
      </c>
      <c r="N1237" s="18" t="str">
        <f t="shared" si="98"/>
        <v>K1211:L1271</v>
      </c>
      <c r="O1237" t="str">
        <f t="shared" si="99"/>
        <v>A1211:A1237</v>
      </c>
    </row>
    <row r="1238" spans="1:15">
      <c r="A1238" s="18" t="str">
        <f>Charms!K1238</f>
        <v>Ride</v>
      </c>
      <c r="B1238" t="str">
        <f>Charms!B1238</f>
        <v>Fierce Charger's Pulse</v>
      </c>
      <c r="C1238" t="b">
        <f ca="1">OR(Values!$S$98&gt;=Charms!M1238,IFERROR(Charms!J1238=OFFSET(Values!$A$24,MATCH("S",Values!$T$25:$T$50,0),0),FALSE))</f>
        <v>0</v>
      </c>
      <c r="D1238" t="b">
        <f>VLOOKUP(Charms!J1238,Values!$A$11:$S$59,19,0)&gt;=Charms!L1238</f>
        <v>0</v>
      </c>
      <c r="E1238" t="e">
        <f>OR(ISBLANK(Charms!I1238),(VLOOKUP(Values!$S$6,Castes!$B$2:$F$25,4,0)=Charms!I1238))</f>
        <v>#N/A</v>
      </c>
      <c r="J1238" t="e">
        <f t="shared" ca="1" si="96"/>
        <v>#N/A</v>
      </c>
      <c r="K1238" s="18" t="e">
        <f t="shared" ca="1" si="95"/>
        <v>#N/A</v>
      </c>
      <c r="L1238" t="e">
        <f ca="1">IF(J1238,Charms!B1238,"")</f>
        <v>#N/A</v>
      </c>
      <c r="M1238" t="str">
        <f t="shared" ca="1" si="97"/>
        <v>-</v>
      </c>
      <c r="N1238" s="18" t="str">
        <f t="shared" si="98"/>
        <v>K1211:L1271</v>
      </c>
      <c r="O1238" t="str">
        <f t="shared" si="99"/>
        <v>A1211:A1238</v>
      </c>
    </row>
    <row r="1239" spans="1:15">
      <c r="A1239" s="18" t="str">
        <f>Charms!K1239</f>
        <v>Ride</v>
      </c>
      <c r="B1239" t="str">
        <f>Charms!B1239</f>
        <v>Grizzled Cataphract's Way</v>
      </c>
      <c r="C1239" t="b">
        <f ca="1">OR(Values!$S$98&gt;=Charms!M1239,IFERROR(Charms!J1239=OFFSET(Values!$A$24,MATCH("S",Values!$T$25:$T$50,0),0),FALSE))</f>
        <v>0</v>
      </c>
      <c r="D1239" t="b">
        <f>VLOOKUP(Charms!J1239,Values!$A$11:$S$59,19,0)&gt;=Charms!L1239</f>
        <v>0</v>
      </c>
      <c r="E1239" t="e">
        <f>OR(ISBLANK(Charms!I1239),(VLOOKUP(Values!$S$6,Castes!$B$2:$F$25,4,0)=Charms!I1239))</f>
        <v>#N/A</v>
      </c>
      <c r="J1239" t="e">
        <f t="shared" ca="1" si="96"/>
        <v>#N/A</v>
      </c>
      <c r="K1239" s="18" t="e">
        <f t="shared" ca="1" si="95"/>
        <v>#N/A</v>
      </c>
      <c r="L1239" t="e">
        <f ca="1">IF(J1239,Charms!B1239,"")</f>
        <v>#N/A</v>
      </c>
      <c r="M1239" t="str">
        <f t="shared" ca="1" si="97"/>
        <v>-</v>
      </c>
      <c r="N1239" s="18" t="str">
        <f t="shared" si="98"/>
        <v>K1211:L1271</v>
      </c>
      <c r="O1239" t="str">
        <f t="shared" si="99"/>
        <v>A1211:A1239</v>
      </c>
    </row>
    <row r="1240" spans="1:15">
      <c r="A1240" s="18" t="str">
        <f>Charms!K1240</f>
        <v>Ride</v>
      </c>
      <c r="B1240" t="str">
        <f>Charms!B1240</f>
        <v>Rapid Cavalry Approach</v>
      </c>
      <c r="C1240" t="b">
        <f ca="1">OR(Values!$S$98&gt;=Charms!M1240,IFERROR(Charms!J1240=OFFSET(Values!$A$24,MATCH("S",Values!$T$25:$T$50,0),0),FALSE))</f>
        <v>0</v>
      </c>
      <c r="D1240" t="b">
        <f>VLOOKUP(Charms!J1240,Values!$A$11:$S$59,19,0)&gt;=Charms!L1240</f>
        <v>0</v>
      </c>
      <c r="E1240" t="e">
        <f>OR(ISBLANK(Charms!I1240),(VLOOKUP(Values!$S$6,Castes!$B$2:$F$25,4,0)=Charms!I1240))</f>
        <v>#N/A</v>
      </c>
      <c r="J1240" t="e">
        <f t="shared" ca="1" si="96"/>
        <v>#N/A</v>
      </c>
      <c r="K1240" s="18" t="e">
        <f t="shared" ca="1" si="95"/>
        <v>#N/A</v>
      </c>
      <c r="L1240" t="e">
        <f ca="1">IF(J1240,Charms!B1240,"")</f>
        <v>#N/A</v>
      </c>
      <c r="M1240" t="str">
        <f t="shared" ca="1" si="97"/>
        <v>-</v>
      </c>
      <c r="N1240" s="18" t="str">
        <f t="shared" si="98"/>
        <v>K1211:L1271</v>
      </c>
      <c r="O1240" t="str">
        <f t="shared" si="99"/>
        <v>A1211:A1240</v>
      </c>
    </row>
    <row r="1241" spans="1:15">
      <c r="A1241" s="18" t="str">
        <f>Charms!K1241</f>
        <v>Ride</v>
      </c>
      <c r="B1241" t="str">
        <f>Charms!B1241</f>
        <v>Sometimes Horses Fly Approach</v>
      </c>
      <c r="C1241" t="b">
        <f ca="1">OR(Values!$S$98&gt;=Charms!M1241,IFERROR(Charms!J1241=OFFSET(Values!$A$24,MATCH("S",Values!$T$25:$T$50,0),0),FALSE))</f>
        <v>0</v>
      </c>
      <c r="D1241" t="b">
        <f>VLOOKUP(Charms!J1241,Values!$A$11:$S$59,19,0)&gt;=Charms!L1241</f>
        <v>0</v>
      </c>
      <c r="E1241" t="e">
        <f>OR(ISBLANK(Charms!I1241),(VLOOKUP(Values!$S$6,Castes!$B$2:$F$25,4,0)=Charms!I1241))</f>
        <v>#N/A</v>
      </c>
      <c r="J1241" t="e">
        <f t="shared" ca="1" si="96"/>
        <v>#N/A</v>
      </c>
      <c r="K1241" s="18" t="e">
        <f t="shared" ca="1" si="95"/>
        <v>#N/A</v>
      </c>
      <c r="L1241" t="e">
        <f ca="1">IF(J1241,Charms!B1241,"")</f>
        <v>#N/A</v>
      </c>
      <c r="M1241" t="str">
        <f t="shared" ca="1" si="97"/>
        <v>-</v>
      </c>
      <c r="N1241" s="18" t="str">
        <f t="shared" si="98"/>
        <v>K1211:L1271</v>
      </c>
      <c r="O1241" t="str">
        <f t="shared" si="99"/>
        <v>A1211:A1241</v>
      </c>
    </row>
    <row r="1242" spans="1:15">
      <c r="A1242" s="18" t="str">
        <f>Charms!K1242</f>
        <v>Ride</v>
      </c>
      <c r="B1242" t="str">
        <f>Charms!B1242</f>
        <v>Soaring Pegasus Style</v>
      </c>
      <c r="C1242" t="b">
        <f ca="1">OR(Values!$S$98&gt;=Charms!M1242,IFERROR(Charms!J1242=OFFSET(Values!$A$24,MATCH("S",Values!$T$25:$T$50,0),0),FALSE))</f>
        <v>0</v>
      </c>
      <c r="D1242" t="b">
        <f>VLOOKUP(Charms!J1242,Values!$A$11:$S$59,19,0)&gt;=Charms!L1242</f>
        <v>0</v>
      </c>
      <c r="E1242" t="e">
        <f>OR(ISBLANK(Charms!I1242),(VLOOKUP(Values!$S$6,Castes!$B$2:$F$25,4,0)=Charms!I1242))</f>
        <v>#N/A</v>
      </c>
      <c r="J1242" t="e">
        <f t="shared" ca="1" si="96"/>
        <v>#N/A</v>
      </c>
      <c r="K1242" s="18" t="e">
        <f t="shared" ca="1" si="95"/>
        <v>#N/A</v>
      </c>
      <c r="L1242" t="e">
        <f ca="1">IF(J1242,Charms!B1242,"")</f>
        <v>#N/A</v>
      </c>
      <c r="M1242" t="str">
        <f t="shared" ca="1" si="97"/>
        <v>-</v>
      </c>
      <c r="N1242" s="18" t="str">
        <f t="shared" si="98"/>
        <v>K1211:L1271</v>
      </c>
      <c r="O1242" t="str">
        <f t="shared" si="99"/>
        <v>A1211:A1242</v>
      </c>
    </row>
    <row r="1243" spans="1:15">
      <c r="A1243" s="18" t="str">
        <f>Charms!K1243</f>
        <v>Ride</v>
      </c>
      <c r="B1243" t="str">
        <f>Charms!B1243</f>
        <v>Whirlwind Horse-Armoring Prana</v>
      </c>
      <c r="C1243" t="b">
        <f ca="1">OR(Values!$S$98&gt;=Charms!M1243,IFERROR(Charms!J1243=OFFSET(Values!$A$24,MATCH("S",Values!$T$25:$T$50,0),0),FALSE))</f>
        <v>0</v>
      </c>
      <c r="D1243" t="b">
        <f>VLOOKUP(Charms!J1243,Values!$A$11:$S$59,19,0)&gt;=Charms!L1243</f>
        <v>0</v>
      </c>
      <c r="E1243" t="e">
        <f>OR(ISBLANK(Charms!I1243),(VLOOKUP(Values!$S$6,Castes!$B$2:$F$25,4,0)=Charms!I1243))</f>
        <v>#N/A</v>
      </c>
      <c r="J1243" t="e">
        <f t="shared" ca="1" si="96"/>
        <v>#N/A</v>
      </c>
      <c r="K1243" s="18" t="e">
        <f t="shared" ca="1" si="95"/>
        <v>#N/A</v>
      </c>
      <c r="L1243" t="e">
        <f ca="1">IF(J1243,Charms!B1243,"")</f>
        <v>#N/A</v>
      </c>
      <c r="M1243" t="str">
        <f t="shared" ca="1" si="97"/>
        <v>-</v>
      </c>
      <c r="N1243" s="18" t="str">
        <f t="shared" si="98"/>
        <v>K1211:L1271</v>
      </c>
      <c r="O1243" t="str">
        <f t="shared" si="99"/>
        <v>A1211:A1243</v>
      </c>
    </row>
    <row r="1244" spans="1:15">
      <c r="A1244" s="18" t="str">
        <f>Charms!K1244</f>
        <v>Ride</v>
      </c>
      <c r="B1244" t="str">
        <f>Charms!B1244</f>
        <v>Bard-Lightening Prana</v>
      </c>
      <c r="C1244" t="b">
        <f ca="1">OR(Values!$S$98&gt;=Charms!M1244,IFERROR(Charms!J1244=OFFSET(Values!$A$24,MATCH("S",Values!$T$25:$T$50,0),0),FALSE))</f>
        <v>0</v>
      </c>
      <c r="D1244" t="b">
        <f>VLOOKUP(Charms!J1244,Values!$A$11:$S$59,19,0)&gt;=Charms!L1244</f>
        <v>0</v>
      </c>
      <c r="E1244" t="e">
        <f>OR(ISBLANK(Charms!I1244),(VLOOKUP(Values!$S$6,Castes!$B$2:$F$25,4,0)=Charms!I1244))</f>
        <v>#N/A</v>
      </c>
      <c r="J1244" t="e">
        <f t="shared" ca="1" si="96"/>
        <v>#N/A</v>
      </c>
      <c r="K1244" s="18" t="e">
        <f t="shared" ca="1" si="95"/>
        <v>#N/A</v>
      </c>
      <c r="L1244" t="e">
        <f ca="1">IF(J1244,Charms!B1244,"")</f>
        <v>#N/A</v>
      </c>
      <c r="M1244" t="str">
        <f t="shared" ca="1" si="97"/>
        <v>-</v>
      </c>
      <c r="N1244" s="18" t="str">
        <f t="shared" si="98"/>
        <v>K1211:L1271</v>
      </c>
      <c r="O1244" t="str">
        <f t="shared" si="99"/>
        <v>A1211:A1244</v>
      </c>
    </row>
    <row r="1245" spans="1:15">
      <c r="A1245" s="18" t="str">
        <f>Charms!K1245</f>
        <v>Ride</v>
      </c>
      <c r="B1245" t="str">
        <f>Charms!B1245</f>
        <v>Untouchable Solar Steed</v>
      </c>
      <c r="C1245" t="b">
        <f ca="1">OR(Values!$S$98&gt;=Charms!M1245,IFERROR(Charms!J1245=OFFSET(Values!$A$24,MATCH("S",Values!$T$25:$T$50,0),0),FALSE))</f>
        <v>0</v>
      </c>
      <c r="D1245" t="b">
        <f>VLOOKUP(Charms!J1245,Values!$A$11:$S$59,19,0)&gt;=Charms!L1245</f>
        <v>0</v>
      </c>
      <c r="E1245" t="e">
        <f>OR(ISBLANK(Charms!I1245),(VLOOKUP(Values!$S$6,Castes!$B$2:$F$25,4,0)=Charms!I1245))</f>
        <v>#N/A</v>
      </c>
      <c r="J1245" t="e">
        <f t="shared" ca="1" si="96"/>
        <v>#N/A</v>
      </c>
      <c r="K1245" s="18" t="e">
        <f t="shared" ca="1" si="95"/>
        <v>#N/A</v>
      </c>
      <c r="L1245" t="e">
        <f ca="1">IF(J1245,Charms!B1245,"")</f>
        <v>#N/A</v>
      </c>
      <c r="M1245" t="str">
        <f t="shared" ca="1" si="97"/>
        <v>-</v>
      </c>
      <c r="N1245" s="18" t="str">
        <f t="shared" si="98"/>
        <v>K1211:L1271</v>
      </c>
      <c r="O1245" t="str">
        <f t="shared" si="99"/>
        <v>A1211:A1245</v>
      </c>
    </row>
    <row r="1246" spans="1:15">
      <c r="A1246" s="18" t="str">
        <f>Charms!K1246</f>
        <v>Ride</v>
      </c>
      <c r="B1246" t="str">
        <f>Charms!B1246</f>
        <v>Seven Cyclones Rearing</v>
      </c>
      <c r="C1246" t="b">
        <f ca="1">OR(Values!$S$98&gt;=Charms!M1246,IFERROR(Charms!J1246=OFFSET(Values!$A$24,MATCH("S",Values!$T$25:$T$50,0),0),FALSE))</f>
        <v>0</v>
      </c>
      <c r="D1246" t="b">
        <f>VLOOKUP(Charms!J1246,Values!$A$11:$S$59,19,0)&gt;=Charms!L1246</f>
        <v>0</v>
      </c>
      <c r="E1246" t="e">
        <f>OR(ISBLANK(Charms!I1246),(VLOOKUP(Values!$S$6,Castes!$B$2:$F$25,4,0)=Charms!I1246))</f>
        <v>#N/A</v>
      </c>
      <c r="J1246" t="e">
        <f t="shared" ca="1" si="96"/>
        <v>#N/A</v>
      </c>
      <c r="K1246" s="18" t="e">
        <f t="shared" ca="1" si="95"/>
        <v>#N/A</v>
      </c>
      <c r="L1246" t="e">
        <f ca="1">IF(J1246,Charms!B1246,"")</f>
        <v>#N/A</v>
      </c>
      <c r="M1246" t="str">
        <f t="shared" ca="1" si="97"/>
        <v>-</v>
      </c>
      <c r="N1246" s="18" t="str">
        <f t="shared" si="98"/>
        <v>K1211:L1271</v>
      </c>
      <c r="O1246" t="str">
        <f t="shared" si="99"/>
        <v>A1211:A1246</v>
      </c>
    </row>
    <row r="1247" spans="1:15">
      <c r="A1247" s="18" t="str">
        <f>Charms!K1247</f>
        <v>Ride</v>
      </c>
      <c r="B1247" t="str">
        <f>Charms!B1247</f>
        <v>Iron Simhata Style</v>
      </c>
      <c r="C1247" t="b">
        <f ca="1">OR(Values!$S$98&gt;=Charms!M1247,IFERROR(Charms!J1247=OFFSET(Values!$A$24,MATCH("S",Values!$T$25:$T$50,0),0),FALSE))</f>
        <v>0</v>
      </c>
      <c r="D1247" t="b">
        <f>VLOOKUP(Charms!J1247,Values!$A$11:$S$59,19,0)&gt;=Charms!L1247</f>
        <v>0</v>
      </c>
      <c r="E1247" t="e">
        <f>OR(ISBLANK(Charms!I1247),(VLOOKUP(Values!$S$6,Castes!$B$2:$F$25,4,0)=Charms!I1247))</f>
        <v>#N/A</v>
      </c>
      <c r="J1247" t="e">
        <f t="shared" ca="1" si="96"/>
        <v>#N/A</v>
      </c>
      <c r="K1247" s="18" t="e">
        <f t="shared" ca="1" si="95"/>
        <v>#N/A</v>
      </c>
      <c r="L1247" t="e">
        <f ca="1">IF(J1247,Charms!B1247,"")</f>
        <v>#N/A</v>
      </c>
      <c r="M1247" t="str">
        <f t="shared" ca="1" si="97"/>
        <v>-</v>
      </c>
      <c r="N1247" s="18" t="str">
        <f t="shared" si="98"/>
        <v>K1211:L1271</v>
      </c>
      <c r="O1247" t="str">
        <f t="shared" si="99"/>
        <v>A1211:A1247</v>
      </c>
    </row>
    <row r="1248" spans="1:15">
      <c r="A1248" s="18" t="str">
        <f>Charms!K1248</f>
        <v>Ride</v>
      </c>
      <c r="B1248" t="str">
        <f>Charms!B1248</f>
        <v>Scattered Pearl Hoof Falls</v>
      </c>
      <c r="C1248" t="b">
        <f ca="1">OR(Values!$S$98&gt;=Charms!M1248,IFERROR(Charms!J1248=OFFSET(Values!$A$24,MATCH("S",Values!$T$25:$T$50,0),0),FALSE))</f>
        <v>1</v>
      </c>
      <c r="D1248" t="b">
        <f>VLOOKUP(Charms!J1248,Values!$A$11:$S$59,19,0)&gt;=Charms!L1248</f>
        <v>0</v>
      </c>
      <c r="E1248" t="e">
        <f>OR(ISBLANK(Charms!I1248),(VLOOKUP(Values!$S$6,Castes!$B$2:$F$25,4,0)=Charms!I1248))</f>
        <v>#N/A</v>
      </c>
      <c r="J1248" t="e">
        <f t="shared" ca="1" si="96"/>
        <v>#N/A</v>
      </c>
      <c r="K1248" s="18" t="e">
        <f t="shared" ca="1" si="95"/>
        <v>#N/A</v>
      </c>
      <c r="L1248" t="e">
        <f ca="1">IF(J1248,Charms!B1248,"")</f>
        <v>#N/A</v>
      </c>
      <c r="M1248" t="str">
        <f t="shared" ca="1" si="97"/>
        <v>-</v>
      </c>
      <c r="N1248" s="18" t="str">
        <f t="shared" si="98"/>
        <v>K1211:L1271</v>
      </c>
      <c r="O1248" t="str">
        <f t="shared" si="99"/>
        <v>A1211:A1248</v>
      </c>
    </row>
    <row r="1249" spans="1:15">
      <c r="A1249" s="18" t="str">
        <f>Charms!K1249</f>
        <v>Ride</v>
      </c>
      <c r="B1249" t="str">
        <f>Charms!B1249</f>
        <v>Heaven-Racing Leap</v>
      </c>
      <c r="C1249" t="b">
        <f ca="1">OR(Values!$S$98&gt;=Charms!M1249,IFERROR(Charms!J1249=OFFSET(Values!$A$24,MATCH("S",Values!$T$25:$T$50,0),0),FALSE))</f>
        <v>1</v>
      </c>
      <c r="D1249" t="b">
        <f>VLOOKUP(Charms!J1249,Values!$A$11:$S$59,19,0)&gt;=Charms!L1249</f>
        <v>0</v>
      </c>
      <c r="E1249" t="e">
        <f>OR(ISBLANK(Charms!I1249),(VLOOKUP(Values!$S$6,Castes!$B$2:$F$25,4,0)=Charms!I1249))</f>
        <v>#N/A</v>
      </c>
      <c r="J1249" t="e">
        <f t="shared" ca="1" si="96"/>
        <v>#N/A</v>
      </c>
      <c r="K1249" s="18" t="e">
        <f t="shared" ca="1" si="95"/>
        <v>#N/A</v>
      </c>
      <c r="L1249" t="e">
        <f ca="1">IF(J1249,Charms!B1249,"")</f>
        <v>#N/A</v>
      </c>
      <c r="M1249" t="str">
        <f t="shared" ca="1" si="97"/>
        <v>-</v>
      </c>
      <c r="N1249" s="18" t="str">
        <f t="shared" si="98"/>
        <v>K1211:L1271</v>
      </c>
      <c r="O1249" t="str">
        <f t="shared" si="99"/>
        <v>A1211:A1249</v>
      </c>
    </row>
    <row r="1250" spans="1:15">
      <c r="A1250" s="18" t="str">
        <f>Charms!K1250</f>
        <v>Ride</v>
      </c>
      <c r="B1250" t="str">
        <f>Charms!B1250</f>
        <v>Great Heart Companion</v>
      </c>
      <c r="C1250" t="b">
        <f ca="1">OR(Values!$S$98&gt;=Charms!M1250,IFERROR(Charms!J1250=OFFSET(Values!$A$24,MATCH("S",Values!$T$25:$T$50,0),0),FALSE))</f>
        <v>1</v>
      </c>
      <c r="D1250" t="b">
        <f>VLOOKUP(Charms!J1250,Values!$A$11:$S$59,19,0)&gt;=Charms!L1250</f>
        <v>0</v>
      </c>
      <c r="E1250" t="e">
        <f>OR(ISBLANK(Charms!I1250),(VLOOKUP(Values!$S$6,Castes!$B$2:$F$25,4,0)=Charms!I1250))</f>
        <v>#N/A</v>
      </c>
      <c r="J1250" t="e">
        <f t="shared" ca="1" si="96"/>
        <v>#N/A</v>
      </c>
      <c r="K1250" s="18" t="e">
        <f t="shared" ca="1" si="95"/>
        <v>#N/A</v>
      </c>
      <c r="L1250" t="e">
        <f ca="1">IF(J1250,Charms!B1250,"")</f>
        <v>#N/A</v>
      </c>
      <c r="M1250" t="str">
        <f t="shared" ca="1" si="97"/>
        <v>-</v>
      </c>
      <c r="N1250" s="18" t="str">
        <f t="shared" si="98"/>
        <v>K1211:L1271</v>
      </c>
      <c r="O1250" t="str">
        <f t="shared" si="99"/>
        <v>A1211:A1250</v>
      </c>
    </row>
    <row r="1251" spans="1:15">
      <c r="A1251" s="18" t="str">
        <f>Charms!K1251</f>
        <v>Ride</v>
      </c>
      <c r="B1251" t="str">
        <f>Charms!B1251</f>
        <v>Tread Rooted in Life</v>
      </c>
      <c r="C1251" t="b">
        <f ca="1">OR(Values!$S$98&gt;=Charms!M1251,IFERROR(Charms!J1251=OFFSET(Values!$A$24,MATCH("S",Values!$T$25:$T$50,0),0),FALSE))</f>
        <v>1</v>
      </c>
      <c r="D1251" t="b">
        <f>VLOOKUP(Charms!J1251,Values!$A$11:$S$59,19,0)&gt;=Charms!L1251</f>
        <v>0</v>
      </c>
      <c r="E1251" t="e">
        <f>OR(ISBLANK(Charms!I1251),(VLOOKUP(Values!$S$6,Castes!$B$2:$F$25,4,0)=Charms!I1251))</f>
        <v>#N/A</v>
      </c>
      <c r="J1251" t="e">
        <f t="shared" ca="1" si="96"/>
        <v>#N/A</v>
      </c>
      <c r="K1251" s="18" t="e">
        <f t="shared" ca="1" si="95"/>
        <v>#N/A</v>
      </c>
      <c r="L1251" t="e">
        <f ca="1">IF(J1251,Charms!B1251,"")</f>
        <v>#N/A</v>
      </c>
      <c r="M1251" t="str">
        <f t="shared" ca="1" si="97"/>
        <v>-</v>
      </c>
      <c r="N1251" s="18" t="str">
        <f t="shared" si="98"/>
        <v>K1211:L1271</v>
      </c>
      <c r="O1251" t="str">
        <f t="shared" si="99"/>
        <v>A1211:A1251</v>
      </c>
    </row>
    <row r="1252" spans="1:15">
      <c r="A1252" s="18" t="str">
        <f>Charms!K1252</f>
        <v>Ride</v>
      </c>
      <c r="B1252" t="str">
        <f>Charms!B1252</f>
        <v>Reins-Like-Roots Unity</v>
      </c>
      <c r="C1252" t="b">
        <f ca="1">OR(Values!$S$98&gt;=Charms!M1252,IFERROR(Charms!J1252=OFFSET(Values!$A$24,MATCH("S",Values!$T$25:$T$50,0),0),FALSE))</f>
        <v>0</v>
      </c>
      <c r="D1252" t="b">
        <f>VLOOKUP(Charms!J1252,Values!$A$11:$S$59,19,0)&gt;=Charms!L1252</f>
        <v>0</v>
      </c>
      <c r="E1252" t="e">
        <f>OR(ISBLANK(Charms!I1252),(VLOOKUP(Values!$S$6,Castes!$B$2:$F$25,4,0)=Charms!I1252))</f>
        <v>#N/A</v>
      </c>
      <c r="J1252" t="e">
        <f t="shared" ca="1" si="96"/>
        <v>#N/A</v>
      </c>
      <c r="K1252" s="18" t="e">
        <f t="shared" ca="1" si="95"/>
        <v>#N/A</v>
      </c>
      <c r="L1252" t="e">
        <f ca="1">IF(J1252,Charms!B1252,"")</f>
        <v>#N/A</v>
      </c>
      <c r="M1252" t="str">
        <f t="shared" ca="1" si="97"/>
        <v>-</v>
      </c>
      <c r="N1252" s="18" t="str">
        <f t="shared" si="98"/>
        <v>K1211:L1271</v>
      </c>
      <c r="O1252" t="str">
        <f t="shared" si="99"/>
        <v>A1211:A1252</v>
      </c>
    </row>
    <row r="1253" spans="1:15">
      <c r="A1253" s="18" t="str">
        <f>Charms!K1253</f>
        <v>Ride</v>
      </c>
      <c r="B1253" t="str">
        <f>Charms!B1253</f>
        <v>Cloud-Harnessing Technique</v>
      </c>
      <c r="C1253" t="b">
        <f ca="1">OR(Values!$S$98&gt;=Charms!M1253,IFERROR(Charms!J1253=OFFSET(Values!$A$24,MATCH("S",Values!$T$25:$T$50,0),0),FALSE))</f>
        <v>0</v>
      </c>
      <c r="D1253" t="b">
        <f>VLOOKUP(Charms!J1253,Values!$A$11:$S$59,19,0)&gt;=Charms!L1253</f>
        <v>0</v>
      </c>
      <c r="E1253" t="e">
        <f>OR(ISBLANK(Charms!I1253),(VLOOKUP(Values!$S$6,Castes!$B$2:$F$25,4,0)=Charms!I1253))</f>
        <v>#N/A</v>
      </c>
      <c r="J1253" t="e">
        <f t="shared" ca="1" si="96"/>
        <v>#N/A</v>
      </c>
      <c r="K1253" s="18" t="e">
        <f t="shared" ca="1" si="95"/>
        <v>#N/A</v>
      </c>
      <c r="L1253" t="e">
        <f ca="1">IF(J1253,Charms!B1253,"")</f>
        <v>#N/A</v>
      </c>
      <c r="M1253" t="str">
        <f t="shared" ca="1" si="97"/>
        <v>-</v>
      </c>
      <c r="N1253" s="18" t="str">
        <f t="shared" si="98"/>
        <v>K1211:L1271</v>
      </c>
      <c r="O1253" t="str">
        <f t="shared" si="99"/>
        <v>A1211:A1253</v>
      </c>
    </row>
    <row r="1254" spans="1:15">
      <c r="A1254" s="18" t="str">
        <f>Charms!K1254</f>
        <v>Ride</v>
      </c>
      <c r="B1254" t="str">
        <f>Charms!B1254</f>
        <v>Dance of the Jade Bridle</v>
      </c>
      <c r="C1254" t="b">
        <f ca="1">OR(Values!$S$98&gt;=Charms!M1254,IFERROR(Charms!J1254=OFFSET(Values!$A$24,MATCH("S",Values!$T$25:$T$50,0),0),FALSE))</f>
        <v>0</v>
      </c>
      <c r="D1254" t="b">
        <f>VLOOKUP(Charms!J1254,Values!$A$11:$S$59,19,0)&gt;=Charms!L1254</f>
        <v>0</v>
      </c>
      <c r="E1254" t="e">
        <f>OR(ISBLANK(Charms!I1254),(VLOOKUP(Values!$S$6,Castes!$B$2:$F$25,4,0)=Charms!I1254))</f>
        <v>#N/A</v>
      </c>
      <c r="J1254" t="e">
        <f t="shared" ca="1" si="96"/>
        <v>#N/A</v>
      </c>
      <c r="K1254" s="18" t="e">
        <f t="shared" ca="1" si="95"/>
        <v>#N/A</v>
      </c>
      <c r="L1254" t="e">
        <f ca="1">IF(J1254,Charms!B1254,"")</f>
        <v>#N/A</v>
      </c>
      <c r="M1254" t="str">
        <f t="shared" ca="1" si="97"/>
        <v>-</v>
      </c>
      <c r="N1254" s="18" t="str">
        <f t="shared" si="98"/>
        <v>K1211:L1271</v>
      </c>
      <c r="O1254" t="str">
        <f t="shared" si="99"/>
        <v>A1211:A1254</v>
      </c>
    </row>
    <row r="1255" spans="1:15">
      <c r="A1255" s="18" t="str">
        <f>Charms!K1255</f>
        <v>Ride</v>
      </c>
      <c r="B1255" t="str">
        <f>Charms!B1255</f>
        <v>Creation-Turning Hoof</v>
      </c>
      <c r="C1255" t="b">
        <f ca="1">OR(Values!$S$98&gt;=Charms!M1255,IFERROR(Charms!J1255=OFFSET(Values!$A$24,MATCH("S",Values!$T$25:$T$50,0),0),FALSE))</f>
        <v>0</v>
      </c>
      <c r="D1255" t="b">
        <f>VLOOKUP(Charms!J1255,Values!$A$11:$S$59,19,0)&gt;=Charms!L1255</f>
        <v>0</v>
      </c>
      <c r="E1255" t="e">
        <f>OR(ISBLANK(Charms!I1255),(VLOOKUP(Values!$S$6,Castes!$B$2:$F$25,4,0)=Charms!I1255))</f>
        <v>#N/A</v>
      </c>
      <c r="J1255" t="e">
        <f t="shared" ca="1" si="96"/>
        <v>#N/A</v>
      </c>
      <c r="K1255" s="18" t="e">
        <f t="shared" ca="1" si="95"/>
        <v>#N/A</v>
      </c>
      <c r="L1255" t="e">
        <f ca="1">IF(J1255,Charms!B1255,"")</f>
        <v>#N/A</v>
      </c>
      <c r="M1255" t="str">
        <f t="shared" ca="1" si="97"/>
        <v>-</v>
      </c>
      <c r="N1255" s="18" t="str">
        <f t="shared" si="98"/>
        <v>K1211:L1271</v>
      </c>
      <c r="O1255" t="str">
        <f t="shared" si="99"/>
        <v>A1211:A1255</v>
      </c>
    </row>
    <row r="1256" spans="1:15">
      <c r="A1256" s="18" t="str">
        <f>Charms!K1256</f>
        <v>Ride</v>
      </c>
      <c r="B1256" t="str">
        <f>Charms!B1256</f>
        <v>Indomitable Warhorse Endurance</v>
      </c>
      <c r="C1256" t="b">
        <f ca="1">OR(Values!$S$98&gt;=Charms!M1256,IFERROR(Charms!J1256=OFFSET(Values!$A$24,MATCH("S",Values!$T$25:$T$50,0),0),FALSE))</f>
        <v>0</v>
      </c>
      <c r="D1256" t="b">
        <f>VLOOKUP(Charms!J1256,Values!$A$11:$S$59,19,0)&gt;=Charms!L1256</f>
        <v>0</v>
      </c>
      <c r="E1256" t="e">
        <f>OR(ISBLANK(Charms!I1256),(VLOOKUP(Values!$S$6,Castes!$B$2:$F$25,4,0)=Charms!I1256))</f>
        <v>#N/A</v>
      </c>
      <c r="J1256" t="e">
        <f t="shared" ca="1" si="96"/>
        <v>#N/A</v>
      </c>
      <c r="K1256" s="18" t="e">
        <f t="shared" ca="1" si="95"/>
        <v>#N/A</v>
      </c>
      <c r="L1256" t="e">
        <f ca="1">IF(J1256,Charms!B1256,"")</f>
        <v>#N/A</v>
      </c>
      <c r="M1256" t="str">
        <f t="shared" ca="1" si="97"/>
        <v>-</v>
      </c>
      <c r="N1256" s="18" t="str">
        <f t="shared" si="98"/>
        <v>K1211:L1271</v>
      </c>
      <c r="O1256" t="str">
        <f t="shared" si="99"/>
        <v>A1211:A1256</v>
      </c>
    </row>
    <row r="1257" spans="1:15">
      <c r="A1257" s="18" t="str">
        <f>Charms!K1257</f>
        <v>Ride</v>
      </c>
      <c r="B1257" t="str">
        <f>Charms!B1257</f>
        <v>Seizing-the-Reins Approach</v>
      </c>
      <c r="C1257" t="b">
        <f ca="1">OR(Values!$S$98&gt;=Charms!M1257,IFERROR(Charms!J1257=OFFSET(Values!$A$24,MATCH("S",Values!$T$25:$T$50,0),0),FALSE))</f>
        <v>0</v>
      </c>
      <c r="D1257" t="b">
        <f>VLOOKUP(Charms!J1257,Values!$A$11:$S$59,19,0)&gt;=Charms!L1257</f>
        <v>0</v>
      </c>
      <c r="E1257" t="e">
        <f>OR(ISBLANK(Charms!I1257),(VLOOKUP(Values!$S$6,Castes!$B$2:$F$25,4,0)=Charms!I1257))</f>
        <v>#N/A</v>
      </c>
      <c r="J1257" t="e">
        <f t="shared" ca="1" si="96"/>
        <v>#N/A</v>
      </c>
      <c r="K1257" s="18" t="e">
        <f t="shared" ca="1" si="95"/>
        <v>#N/A</v>
      </c>
      <c r="L1257" t="e">
        <f ca="1">IF(J1257,Charms!B1257,"")</f>
        <v>#N/A</v>
      </c>
      <c r="M1257" t="str">
        <f t="shared" ca="1" si="97"/>
        <v>-</v>
      </c>
      <c r="N1257" s="18" t="str">
        <f t="shared" si="98"/>
        <v>K1211:L1271</v>
      </c>
      <c r="O1257" t="str">
        <f t="shared" si="99"/>
        <v>A1211:A1257</v>
      </c>
    </row>
    <row r="1258" spans="1:15">
      <c r="A1258" s="18" t="str">
        <f>Charms!K1258</f>
        <v>Ride</v>
      </c>
      <c r="B1258" t="str">
        <f>Charms!B1258</f>
        <v>Unbreakable Stallion Spirit</v>
      </c>
      <c r="C1258" t="b">
        <f ca="1">OR(Values!$S$98&gt;=Charms!M1258,IFERROR(Charms!J1258=OFFSET(Values!$A$24,MATCH("S",Values!$T$25:$T$50,0),0),FALSE))</f>
        <v>0</v>
      </c>
      <c r="D1258" t="b">
        <f>VLOOKUP(Charms!J1258,Values!$A$11:$S$59,19,0)&gt;=Charms!L1258</f>
        <v>0</v>
      </c>
      <c r="E1258" t="e">
        <f>OR(ISBLANK(Charms!I1258),(VLOOKUP(Values!$S$6,Castes!$B$2:$F$25,4,0)=Charms!I1258))</f>
        <v>#N/A</v>
      </c>
      <c r="J1258" t="e">
        <f t="shared" ca="1" si="96"/>
        <v>#N/A</v>
      </c>
      <c r="K1258" s="18" t="e">
        <f t="shared" ca="1" si="95"/>
        <v>#N/A</v>
      </c>
      <c r="L1258" t="e">
        <f ca="1">IF(J1258,Charms!B1258,"")</f>
        <v>#N/A</v>
      </c>
      <c r="M1258" t="str">
        <f t="shared" ca="1" si="97"/>
        <v>-</v>
      </c>
      <c r="N1258" s="18" t="str">
        <f t="shared" si="98"/>
        <v>K1211:L1271</v>
      </c>
      <c r="O1258" t="str">
        <f t="shared" si="99"/>
        <v>A1211:A1258</v>
      </c>
    </row>
    <row r="1259" spans="1:15">
      <c r="A1259" s="18" t="str">
        <f>Charms!K1259</f>
        <v>Ride</v>
      </c>
      <c r="B1259" t="str">
        <f>Charms!B1259</f>
        <v>Vanishing Cloud-Rider Ways</v>
      </c>
      <c r="C1259" t="b">
        <f ca="1">OR(Values!$S$98&gt;=Charms!M1259,IFERROR(Charms!J1259=OFFSET(Values!$A$24,MATCH("S",Values!$T$25:$T$50,0),0),FALSE))</f>
        <v>0</v>
      </c>
      <c r="D1259" t="b">
        <f>VLOOKUP(Charms!J1259,Values!$A$11:$S$59,19,0)&gt;=Charms!L1259</f>
        <v>0</v>
      </c>
      <c r="E1259" t="e">
        <f>OR(ISBLANK(Charms!I1259),(VLOOKUP(Values!$S$6,Castes!$B$2:$F$25,4,0)=Charms!I1259))</f>
        <v>#N/A</v>
      </c>
      <c r="J1259" t="e">
        <f t="shared" ca="1" si="96"/>
        <v>#N/A</v>
      </c>
      <c r="K1259" s="18" t="e">
        <f t="shared" ca="1" si="95"/>
        <v>#N/A</v>
      </c>
      <c r="L1259" t="e">
        <f ca="1">IF(J1259,Charms!B1259,"")</f>
        <v>#N/A</v>
      </c>
      <c r="M1259" t="str">
        <f t="shared" ca="1" si="97"/>
        <v>-</v>
      </c>
      <c r="N1259" s="18" t="str">
        <f t="shared" si="98"/>
        <v>K1211:L1271</v>
      </c>
      <c r="O1259" t="str">
        <f t="shared" si="99"/>
        <v>A1211:A1259</v>
      </c>
    </row>
    <row r="1260" spans="1:15">
      <c r="A1260" s="18" t="str">
        <f>Charms!K1260</f>
        <v>Ride</v>
      </c>
      <c r="B1260" t="str">
        <f>Charms!B1260</f>
        <v>Ebony Spur Technique</v>
      </c>
      <c r="C1260" t="b">
        <f ca="1">OR(Values!$S$98&gt;=Charms!M1260,IFERROR(Charms!J1260=OFFSET(Values!$A$24,MATCH("S",Values!$T$25:$T$50,0),0),FALSE))</f>
        <v>0</v>
      </c>
      <c r="D1260" t="b">
        <f>VLOOKUP(Charms!J1260,Values!$A$11:$S$59,19,0)&gt;=Charms!L1260</f>
        <v>0</v>
      </c>
      <c r="E1260" t="e">
        <f>OR(ISBLANK(Charms!I1260),(VLOOKUP(Values!$S$6,Castes!$B$2:$F$25,4,0)=Charms!I1260))</f>
        <v>#N/A</v>
      </c>
      <c r="J1260" t="e">
        <f t="shared" ca="1" si="96"/>
        <v>#N/A</v>
      </c>
      <c r="K1260" s="18" t="e">
        <f t="shared" ca="1" si="95"/>
        <v>#N/A</v>
      </c>
      <c r="L1260" t="e">
        <f ca="1">IF(J1260,Charms!B1260,"")</f>
        <v>#N/A</v>
      </c>
      <c r="M1260" t="str">
        <f t="shared" ca="1" si="97"/>
        <v>-</v>
      </c>
      <c r="N1260" s="18" t="str">
        <f t="shared" si="98"/>
        <v>K1211:L1271</v>
      </c>
      <c r="O1260" t="str">
        <f t="shared" si="99"/>
        <v>A1211:A1260</v>
      </c>
    </row>
    <row r="1261" spans="1:15">
      <c r="A1261" s="18" t="str">
        <f>Charms!K1261</f>
        <v>Ride</v>
      </c>
      <c r="B1261" t="str">
        <f>Charms!B1261</f>
        <v>Ass-to-Elephant Method</v>
      </c>
      <c r="C1261" t="b">
        <f ca="1">OR(Values!$S$98&gt;=Charms!M1261,IFERROR(Charms!J1261=OFFSET(Values!$A$24,MATCH("S",Values!$T$25:$T$50,0),0),FALSE))</f>
        <v>0</v>
      </c>
      <c r="D1261" t="b">
        <f>VLOOKUP(Charms!J1261,Values!$A$11:$S$59,19,0)&gt;=Charms!L1261</f>
        <v>0</v>
      </c>
      <c r="E1261" t="e">
        <f>OR(ISBLANK(Charms!I1261),(VLOOKUP(Values!$S$6,Castes!$B$2:$F$25,4,0)=Charms!I1261))</f>
        <v>#N/A</v>
      </c>
      <c r="J1261" t="e">
        <f t="shared" ca="1" si="96"/>
        <v>#N/A</v>
      </c>
      <c r="K1261" s="18" t="e">
        <f t="shared" ca="1" si="95"/>
        <v>#N/A</v>
      </c>
      <c r="L1261" t="e">
        <f ca="1">IF(J1261,Charms!B1261,"")</f>
        <v>#N/A</v>
      </c>
      <c r="M1261" t="str">
        <f t="shared" ca="1" si="97"/>
        <v>-</v>
      </c>
      <c r="N1261" s="18" t="str">
        <f t="shared" si="98"/>
        <v>K1211:L1271</v>
      </c>
      <c r="O1261" t="str">
        <f t="shared" si="99"/>
        <v>A1211:A1261</v>
      </c>
    </row>
    <row r="1262" spans="1:15">
      <c r="A1262" s="18" t="str">
        <f>Charms!K1262</f>
        <v>Ride</v>
      </c>
      <c r="B1262" t="str">
        <f>Charms!B1262</f>
        <v>Mountain-Trampling Hoof</v>
      </c>
      <c r="C1262" t="b">
        <f ca="1">OR(Values!$S$98&gt;=Charms!M1262,IFERROR(Charms!J1262=OFFSET(Values!$A$24,MATCH("S",Values!$T$25:$T$50,0),0),FALSE))</f>
        <v>0</v>
      </c>
      <c r="D1262" t="b">
        <f>VLOOKUP(Charms!J1262,Values!$A$11:$S$59,19,0)&gt;=Charms!L1262</f>
        <v>0</v>
      </c>
      <c r="E1262" t="e">
        <f>OR(ISBLANK(Charms!I1262),(VLOOKUP(Values!$S$6,Castes!$B$2:$F$25,4,0)=Charms!I1262))</f>
        <v>#N/A</v>
      </c>
      <c r="J1262" t="e">
        <f t="shared" ca="1" si="96"/>
        <v>#N/A</v>
      </c>
      <c r="K1262" s="18" t="e">
        <f t="shared" ca="1" si="95"/>
        <v>#N/A</v>
      </c>
      <c r="L1262" t="e">
        <f ca="1">IF(J1262,Charms!B1262,"")</f>
        <v>#N/A</v>
      </c>
      <c r="M1262" t="str">
        <f t="shared" ca="1" si="97"/>
        <v>-</v>
      </c>
      <c r="N1262" s="18" t="str">
        <f t="shared" si="98"/>
        <v>K1211:L1271</v>
      </c>
      <c r="O1262" t="str">
        <f t="shared" si="99"/>
        <v>A1211:A1262</v>
      </c>
    </row>
    <row r="1263" spans="1:15">
      <c r="A1263" s="18" t="str">
        <f>Charms!K1263</f>
        <v>Ride</v>
      </c>
      <c r="B1263" t="str">
        <f>Charms!B1263</f>
        <v>Untethered Pegasus Spirit</v>
      </c>
      <c r="C1263" t="b">
        <f ca="1">OR(Values!$S$98&gt;=Charms!M1263,IFERROR(Charms!J1263=OFFSET(Values!$A$24,MATCH("S",Values!$T$25:$T$50,0),0),FALSE))</f>
        <v>0</v>
      </c>
      <c r="D1263" t="b">
        <f>VLOOKUP(Charms!J1263,Values!$A$11:$S$59,19,0)&gt;=Charms!L1263</f>
        <v>0</v>
      </c>
      <c r="E1263" t="e">
        <f>OR(ISBLANK(Charms!I1263),(VLOOKUP(Values!$S$6,Castes!$B$2:$F$25,4,0)=Charms!I1263))</f>
        <v>#N/A</v>
      </c>
      <c r="J1263" t="e">
        <f t="shared" ca="1" si="96"/>
        <v>#N/A</v>
      </c>
      <c r="K1263" s="18" t="e">
        <f t="shared" ca="1" si="95"/>
        <v>#N/A</v>
      </c>
      <c r="L1263" t="e">
        <f ca="1">IF(J1263,Charms!B1263,"")</f>
        <v>#N/A</v>
      </c>
      <c r="M1263" t="str">
        <f t="shared" ca="1" si="97"/>
        <v>-</v>
      </c>
      <c r="N1263" s="18" t="str">
        <f t="shared" si="98"/>
        <v>K1211:L1271</v>
      </c>
      <c r="O1263" t="str">
        <f t="shared" si="99"/>
        <v>A1211:A1263</v>
      </c>
    </row>
    <row r="1264" spans="1:15">
      <c r="A1264" s="18" t="str">
        <f>Charms!K1264</f>
        <v>Ride</v>
      </c>
      <c r="B1264" t="str">
        <f>Charms!B1264</f>
        <v>Charge of One Hundred Generals</v>
      </c>
      <c r="C1264" t="b">
        <f ca="1">OR(Values!$S$98&gt;=Charms!M1264,IFERROR(Charms!J1264=OFFSET(Values!$A$24,MATCH("S",Values!$T$25:$T$50,0),0),FALSE))</f>
        <v>0</v>
      </c>
      <c r="D1264" t="b">
        <f>VLOOKUP(Charms!J1264,Values!$A$11:$S$59,19,0)&gt;=Charms!L1264</f>
        <v>0</v>
      </c>
      <c r="E1264" t="e">
        <f>OR(ISBLANK(Charms!I1264),(VLOOKUP(Values!$S$6,Castes!$B$2:$F$25,4,0)=Charms!I1264))</f>
        <v>#N/A</v>
      </c>
      <c r="J1264" t="e">
        <f t="shared" ca="1" si="96"/>
        <v>#N/A</v>
      </c>
      <c r="K1264" s="18" t="e">
        <f t="shared" ca="1" si="95"/>
        <v>#N/A</v>
      </c>
      <c r="L1264" t="e">
        <f ca="1">IF(J1264,Charms!B1264,"")</f>
        <v>#N/A</v>
      </c>
      <c r="M1264" t="str">
        <f t="shared" ca="1" si="97"/>
        <v>-</v>
      </c>
      <c r="N1264" s="18" t="str">
        <f t="shared" si="98"/>
        <v>K1211:L1271</v>
      </c>
      <c r="O1264" t="str">
        <f t="shared" si="99"/>
        <v>A1211:A1264</v>
      </c>
    </row>
    <row r="1265" spans="1:15">
      <c r="A1265" s="18" t="str">
        <f>Charms!K1265</f>
        <v>Ride</v>
      </c>
      <c r="B1265" t="str">
        <f>Charms!B1265</f>
        <v>Ride Beneath the Waves</v>
      </c>
      <c r="C1265" t="b">
        <f ca="1">OR(Values!$S$98&gt;=Charms!M1265,IFERROR(Charms!J1265=OFFSET(Values!$A$24,MATCH("S",Values!$T$25:$T$50,0),0),FALSE))</f>
        <v>0</v>
      </c>
      <c r="D1265" t="b">
        <f>VLOOKUP(Charms!J1265,Values!$A$11:$S$59,19,0)&gt;=Charms!L1265</f>
        <v>0</v>
      </c>
      <c r="E1265" t="e">
        <f>OR(ISBLANK(Charms!I1265),(VLOOKUP(Values!$S$6,Castes!$B$2:$F$25,4,0)=Charms!I1265))</f>
        <v>#N/A</v>
      </c>
      <c r="J1265" t="e">
        <f t="shared" ca="1" si="96"/>
        <v>#N/A</v>
      </c>
      <c r="K1265" s="18" t="e">
        <f t="shared" ca="1" si="95"/>
        <v>#N/A</v>
      </c>
      <c r="L1265" t="e">
        <f ca="1">IF(J1265,Charms!B1265,"")</f>
        <v>#N/A</v>
      </c>
      <c r="M1265" t="str">
        <f t="shared" ca="1" si="97"/>
        <v>-</v>
      </c>
      <c r="N1265" s="18" t="str">
        <f t="shared" si="98"/>
        <v>K1211:L1271</v>
      </c>
      <c r="O1265" t="str">
        <f t="shared" si="99"/>
        <v>A1211:A1265</v>
      </c>
    </row>
    <row r="1266" spans="1:15">
      <c r="A1266" s="18" t="str">
        <f>Charms!K1266</f>
        <v>Ride</v>
      </c>
      <c r="B1266" t="str">
        <f>Charms!B1266</f>
        <v>Dragon-Among-Horses Exaltation</v>
      </c>
      <c r="C1266" t="b">
        <f ca="1">OR(Values!$S$98&gt;=Charms!M1266,IFERROR(Charms!J1266=OFFSET(Values!$A$24,MATCH("S",Values!$T$25:$T$50,0),0),FALSE))</f>
        <v>0</v>
      </c>
      <c r="D1266" t="b">
        <f>VLOOKUP(Charms!J1266,Values!$A$11:$S$59,19,0)&gt;=Charms!L1266</f>
        <v>0</v>
      </c>
      <c r="E1266" t="e">
        <f>OR(ISBLANK(Charms!I1266),(VLOOKUP(Values!$S$6,Castes!$B$2:$F$25,4,0)=Charms!I1266))</f>
        <v>#N/A</v>
      </c>
      <c r="J1266" t="e">
        <f t="shared" ca="1" si="96"/>
        <v>#N/A</v>
      </c>
      <c r="K1266" s="18" t="e">
        <f t="shared" ca="1" si="95"/>
        <v>#N/A</v>
      </c>
      <c r="L1266" t="e">
        <f ca="1">IF(J1266,Charms!B1266,"")</f>
        <v>#N/A</v>
      </c>
      <c r="M1266" t="str">
        <f t="shared" ca="1" si="97"/>
        <v>-</v>
      </c>
      <c r="N1266" s="18" t="str">
        <f t="shared" si="98"/>
        <v>K1211:L1271</v>
      </c>
      <c r="O1266" t="str">
        <f t="shared" si="99"/>
        <v>A1211:A1266</v>
      </c>
    </row>
    <row r="1267" spans="1:15">
      <c r="A1267" s="18" t="str">
        <f>Charms!K1267</f>
        <v>Ride</v>
      </c>
      <c r="B1267" t="str">
        <f>Charms!B1267</f>
        <v>Seven-League Gallop</v>
      </c>
      <c r="C1267" t="b">
        <f ca="1">OR(Values!$S$98&gt;=Charms!M1267,IFERROR(Charms!J1267=OFFSET(Values!$A$24,MATCH("S",Values!$T$25:$T$50,0),0),FALSE))</f>
        <v>0</v>
      </c>
      <c r="D1267" t="b">
        <f>VLOOKUP(Charms!J1267,Values!$A$11:$S$59,19,0)&gt;=Charms!L1267</f>
        <v>0</v>
      </c>
      <c r="E1267" t="e">
        <f>OR(ISBLANK(Charms!I1267),(VLOOKUP(Values!$S$6,Castes!$B$2:$F$25,4,0)=Charms!I1267))</f>
        <v>#N/A</v>
      </c>
      <c r="J1267" t="e">
        <f t="shared" ca="1" si="96"/>
        <v>#N/A</v>
      </c>
      <c r="K1267" s="18" t="e">
        <f t="shared" ca="1" si="95"/>
        <v>#N/A</v>
      </c>
      <c r="L1267" t="e">
        <f ca="1">IF(J1267,Charms!B1267,"")</f>
        <v>#N/A</v>
      </c>
      <c r="M1267" t="str">
        <f t="shared" ca="1" si="97"/>
        <v>-</v>
      </c>
      <c r="N1267" s="18" t="str">
        <f t="shared" si="98"/>
        <v>K1211:L1271</v>
      </c>
      <c r="O1267" t="str">
        <f t="shared" si="99"/>
        <v>A1211:A1267</v>
      </c>
    </row>
    <row r="1268" spans="1:15">
      <c r="A1268" s="18" t="str">
        <f>Charms!K1268</f>
        <v>Ride</v>
      </c>
      <c r="B1268" t="str">
        <f>Charms!B1268</f>
        <v>Blazing Charger Attack</v>
      </c>
      <c r="C1268" t="b">
        <f ca="1">OR(Values!$S$98&gt;=Charms!M1268,IFERROR(Charms!J1268=OFFSET(Values!$A$24,MATCH("S",Values!$T$25:$T$50,0),0),FALSE))</f>
        <v>0</v>
      </c>
      <c r="D1268" t="b">
        <f>VLOOKUP(Charms!J1268,Values!$A$11:$S$59,19,0)&gt;=Charms!L1268</f>
        <v>0</v>
      </c>
      <c r="E1268" t="e">
        <f>OR(ISBLANK(Charms!I1268),(VLOOKUP(Values!$S$6,Castes!$B$2:$F$25,4,0)=Charms!I1268))</f>
        <v>#N/A</v>
      </c>
      <c r="J1268" t="e">
        <f t="shared" ca="1" si="96"/>
        <v>#N/A</v>
      </c>
      <c r="K1268" s="18" t="e">
        <f t="shared" ca="1" si="95"/>
        <v>#N/A</v>
      </c>
      <c r="L1268" t="e">
        <f ca="1">IF(J1268,Charms!B1268,"")</f>
        <v>#N/A</v>
      </c>
      <c r="M1268" t="str">
        <f t="shared" ca="1" si="97"/>
        <v>-</v>
      </c>
      <c r="N1268" s="18" t="str">
        <f t="shared" si="98"/>
        <v>K1211:L1271</v>
      </c>
      <c r="O1268" t="str">
        <f t="shared" si="99"/>
        <v>A1211:A1268</v>
      </c>
    </row>
    <row r="1269" spans="1:15">
      <c r="A1269" s="18" t="str">
        <f>Charms!K1269</f>
        <v>Ride</v>
      </c>
      <c r="B1269" t="str">
        <f>Charms!B1269</f>
        <v>Trail-Blazing Dragon Steed</v>
      </c>
      <c r="C1269" t="b">
        <f ca="1">OR(Values!$S$98&gt;=Charms!M1269,IFERROR(Charms!J1269=OFFSET(Values!$A$24,MATCH("S",Values!$T$25:$T$50,0),0),FALSE))</f>
        <v>0</v>
      </c>
      <c r="D1269" t="b">
        <f>VLOOKUP(Charms!J1269,Values!$A$11:$S$59,19,0)&gt;=Charms!L1269</f>
        <v>0</v>
      </c>
      <c r="E1269" t="e">
        <f>OR(ISBLANK(Charms!I1269),(VLOOKUP(Values!$S$6,Castes!$B$2:$F$25,4,0)=Charms!I1269))</f>
        <v>#N/A</v>
      </c>
      <c r="J1269" t="e">
        <f t="shared" ca="1" si="96"/>
        <v>#N/A</v>
      </c>
      <c r="K1269" s="18" t="e">
        <f t="shared" ca="1" si="95"/>
        <v>#N/A</v>
      </c>
      <c r="L1269" t="e">
        <f ca="1">IF(J1269,Charms!B1269,"")</f>
        <v>#N/A</v>
      </c>
      <c r="M1269" t="str">
        <f t="shared" ca="1" si="97"/>
        <v>-</v>
      </c>
      <c r="N1269" s="18" t="str">
        <f t="shared" si="98"/>
        <v>K1211:L1271</v>
      </c>
      <c r="O1269" t="str">
        <f t="shared" si="99"/>
        <v>A1211:A1269</v>
      </c>
    </row>
    <row r="1270" spans="1:15">
      <c r="A1270" s="18" t="str">
        <f>Charms!K1270</f>
        <v>Ride</v>
      </c>
      <c r="B1270" t="str">
        <f>Charms!B1270</f>
        <v>Elusive Skirmisher Tactic</v>
      </c>
      <c r="C1270" t="b">
        <f ca="1">OR(Values!$S$98&gt;=Charms!M1270,IFERROR(Charms!J1270=OFFSET(Values!$A$24,MATCH("S",Values!$T$25:$T$50,0),0),FALSE))</f>
        <v>0</v>
      </c>
      <c r="D1270" t="b">
        <f>VLOOKUP(Charms!J1270,Values!$A$11:$S$59,19,0)&gt;=Charms!L1270</f>
        <v>0</v>
      </c>
      <c r="E1270" t="e">
        <f>OR(ISBLANK(Charms!I1270),(VLOOKUP(Values!$S$6,Castes!$B$2:$F$25,4,0)=Charms!I1270))</f>
        <v>#N/A</v>
      </c>
      <c r="J1270" t="e">
        <f t="shared" ca="1" si="96"/>
        <v>#N/A</v>
      </c>
      <c r="K1270" s="18" t="e">
        <f t="shared" ca="1" si="95"/>
        <v>#N/A</v>
      </c>
      <c r="L1270" t="e">
        <f ca="1">IF(J1270,Charms!B1270,"")</f>
        <v>#N/A</v>
      </c>
      <c r="M1270" t="str">
        <f t="shared" ca="1" si="97"/>
        <v>-</v>
      </c>
      <c r="N1270" s="18" t="str">
        <f t="shared" si="98"/>
        <v>K1211:L1271</v>
      </c>
      <c r="O1270" t="str">
        <f t="shared" si="99"/>
        <v>A1211:A1270</v>
      </c>
    </row>
    <row r="1271" spans="1:15">
      <c r="A1271" s="18" t="str">
        <f>Charms!K1271</f>
        <v>Ride</v>
      </c>
      <c r="B1271" t="str">
        <f>Charms!B1271</f>
        <v>Horses-Like-Dragons Stampede</v>
      </c>
      <c r="C1271" t="b">
        <f ca="1">OR(Values!$S$98&gt;=Charms!M1271,IFERROR(Charms!J1271=OFFSET(Values!$A$24,MATCH("S",Values!$T$25:$T$50,0),0),FALSE))</f>
        <v>0</v>
      </c>
      <c r="D1271" t="b">
        <f>VLOOKUP(Charms!J1271,Values!$A$11:$S$59,19,0)&gt;=Charms!L1271</f>
        <v>0</v>
      </c>
      <c r="E1271" t="e">
        <f>OR(ISBLANK(Charms!I1271),(VLOOKUP(Values!$S$6,Castes!$B$2:$F$25,4,0)=Charms!I1271))</f>
        <v>#N/A</v>
      </c>
      <c r="J1271" t="e">
        <f t="shared" ca="1" si="96"/>
        <v>#N/A</v>
      </c>
      <c r="K1271" s="18" t="e">
        <f t="shared" ca="1" si="95"/>
        <v>#N/A</v>
      </c>
      <c r="L1271" t="e">
        <f ca="1">IF(J1271,Charms!B1271,"")</f>
        <v>#N/A</v>
      </c>
      <c r="M1271" t="str">
        <f t="shared" ca="1" si="97"/>
        <v>-</v>
      </c>
      <c r="N1271" s="18" t="str">
        <f t="shared" si="98"/>
        <v>K1211:L1271</v>
      </c>
      <c r="O1271" t="str">
        <f t="shared" si="99"/>
        <v>A1211:A1271</v>
      </c>
    </row>
    <row r="1272" spans="1:15">
      <c r="A1272" s="18" t="str">
        <f>Charms!K1272</f>
        <v>Sail</v>
      </c>
      <c r="B1272" t="str">
        <f>Charms!B1272</f>
        <v>Salty Dog Method</v>
      </c>
      <c r="C1272" t="b">
        <f ca="1">OR(Values!$S$98&gt;=Charms!M1272,IFERROR(Charms!J1272=OFFSET(Values!$A$24,MATCH("S",Values!$T$25:$T$50,0),0),FALSE))</f>
        <v>1</v>
      </c>
      <c r="D1272" t="b">
        <f>VLOOKUP(Charms!J1272,Values!$A$11:$S$59,19,0)&gt;=Charms!L1272</f>
        <v>0</v>
      </c>
      <c r="E1272" t="e">
        <f>OR(ISBLANK(Charms!I1272),(VLOOKUP(Values!$S$6,Castes!$B$2:$F$25,4,0)=Charms!I1272))</f>
        <v>#N/A</v>
      </c>
      <c r="J1272" t="e">
        <f t="shared" ca="1" si="96"/>
        <v>#N/A</v>
      </c>
      <c r="K1272" s="18" t="e">
        <f t="shared" ca="1" si="95"/>
        <v>#N/A</v>
      </c>
      <c r="L1272" t="e">
        <f ca="1">IF(J1272,Charms!B1272,"")</f>
        <v>#N/A</v>
      </c>
      <c r="M1272" t="str">
        <f t="shared" ca="1" si="97"/>
        <v>-</v>
      </c>
      <c r="N1272" s="18" t="str">
        <f t="shared" si="98"/>
        <v>K1272:L1335</v>
      </c>
      <c r="O1272" t="str">
        <f t="shared" si="99"/>
        <v>A1272:A1272</v>
      </c>
    </row>
    <row r="1273" spans="1:15">
      <c r="A1273" s="18" t="str">
        <f>Charms!K1273</f>
        <v>Sail</v>
      </c>
      <c r="B1273" t="str">
        <f>Charms!B1273</f>
        <v>Shipwreck-Surviving Stamina</v>
      </c>
      <c r="C1273" t="b">
        <f ca="1">OR(Values!$S$98&gt;=Charms!M1273,IFERROR(Charms!J1273=OFFSET(Values!$A$24,MATCH("S",Values!$T$25:$T$50,0),0),FALSE))</f>
        <v>1</v>
      </c>
      <c r="D1273" t="b">
        <f>VLOOKUP(Charms!J1273,Values!$A$11:$S$59,19,0)&gt;=Charms!L1273</f>
        <v>0</v>
      </c>
      <c r="E1273" t="e">
        <f>OR(ISBLANK(Charms!I1273),(VLOOKUP(Values!$S$6,Castes!$B$2:$F$25,4,0)=Charms!I1273))</f>
        <v>#N/A</v>
      </c>
      <c r="J1273" t="e">
        <f t="shared" ca="1" si="96"/>
        <v>#N/A</v>
      </c>
      <c r="K1273" s="18" t="e">
        <f t="shared" ca="1" si="95"/>
        <v>#N/A</v>
      </c>
      <c r="L1273" t="e">
        <f ca="1">IF(J1273,Charms!B1273,"")</f>
        <v>#N/A</v>
      </c>
      <c r="M1273" t="str">
        <f t="shared" ca="1" si="97"/>
        <v>-</v>
      </c>
      <c r="N1273" s="18" t="str">
        <f t="shared" si="98"/>
        <v>K1272:L1335</v>
      </c>
      <c r="O1273" t="str">
        <f t="shared" si="99"/>
        <v>A1272:A1273</v>
      </c>
    </row>
    <row r="1274" spans="1:15">
      <c r="A1274" s="18" t="str">
        <f>Charms!K1274</f>
        <v>Sail</v>
      </c>
      <c r="B1274" t="str">
        <f>Charms!B1274</f>
        <v>Safe Bearing Technique</v>
      </c>
      <c r="C1274" t="b">
        <f ca="1">OR(Values!$S$98&gt;=Charms!M1274,IFERROR(Charms!J1274=OFFSET(Values!$A$24,MATCH("S",Values!$T$25:$T$50,0),0),FALSE))</f>
        <v>1</v>
      </c>
      <c r="D1274" t="b">
        <f>VLOOKUP(Charms!J1274,Values!$A$11:$S$59,19,0)&gt;=Charms!L1274</f>
        <v>0</v>
      </c>
      <c r="E1274" t="e">
        <f>OR(ISBLANK(Charms!I1274),(VLOOKUP(Values!$S$6,Castes!$B$2:$F$25,4,0)=Charms!I1274))</f>
        <v>#N/A</v>
      </c>
      <c r="J1274" t="e">
        <f t="shared" ca="1" si="96"/>
        <v>#N/A</v>
      </c>
      <c r="K1274" s="18" t="e">
        <f t="shared" ca="1" si="95"/>
        <v>#N/A</v>
      </c>
      <c r="L1274" t="e">
        <f ca="1">IF(J1274,Charms!B1274,"")</f>
        <v>#N/A</v>
      </c>
      <c r="M1274" t="str">
        <f t="shared" ca="1" si="97"/>
        <v>-</v>
      </c>
      <c r="N1274" s="18" t="str">
        <f t="shared" si="98"/>
        <v>K1272:L1335</v>
      </c>
      <c r="O1274" t="str">
        <f t="shared" si="99"/>
        <v>A1272:A1274</v>
      </c>
    </row>
    <row r="1275" spans="1:15">
      <c r="A1275" s="18" t="str">
        <f>Charms!K1275</f>
        <v>Sail</v>
      </c>
      <c r="B1275" t="str">
        <f>Charms!B1275</f>
        <v>Ship-Claiming Stance</v>
      </c>
      <c r="C1275" t="b">
        <f ca="1">OR(Values!$S$98&gt;=Charms!M1275,IFERROR(Charms!J1275=OFFSET(Values!$A$24,MATCH("S",Values!$T$25:$T$50,0),0),FALSE))</f>
        <v>1</v>
      </c>
      <c r="D1275" t="b">
        <f>VLOOKUP(Charms!J1275,Values!$A$11:$S$59,19,0)&gt;=Charms!L1275</f>
        <v>0</v>
      </c>
      <c r="E1275" t="e">
        <f>OR(ISBLANK(Charms!I1275),(VLOOKUP(Values!$S$6,Castes!$B$2:$F$25,4,0)=Charms!I1275))</f>
        <v>#N/A</v>
      </c>
      <c r="J1275" t="e">
        <f t="shared" ca="1" si="96"/>
        <v>#N/A</v>
      </c>
      <c r="K1275" s="18" t="e">
        <f t="shared" ca="1" si="95"/>
        <v>#N/A</v>
      </c>
      <c r="L1275" t="e">
        <f ca="1">IF(J1275,Charms!B1275,"")</f>
        <v>#N/A</v>
      </c>
      <c r="M1275" t="str">
        <f t="shared" ca="1" si="97"/>
        <v>-</v>
      </c>
      <c r="N1275" s="18" t="str">
        <f t="shared" si="98"/>
        <v>K1272:L1335</v>
      </c>
      <c r="O1275" t="str">
        <f t="shared" si="99"/>
        <v>A1272:A1275</v>
      </c>
    </row>
    <row r="1276" spans="1:15">
      <c r="A1276" s="18" t="str">
        <f>Charms!K1276</f>
        <v>Sail</v>
      </c>
      <c r="B1276" t="str">
        <f>Charms!B1276</f>
        <v>Ship-Sleeking Technique</v>
      </c>
      <c r="C1276" t="b">
        <f ca="1">OR(Values!$S$98&gt;=Charms!M1276,IFERROR(Charms!J1276=OFFSET(Values!$A$24,MATCH("S",Values!$T$25:$T$50,0),0),FALSE))</f>
        <v>1</v>
      </c>
      <c r="D1276" t="b">
        <f>VLOOKUP(Charms!J1276,Values!$A$11:$S$59,19,0)&gt;=Charms!L1276</f>
        <v>0</v>
      </c>
      <c r="E1276" t="e">
        <f>OR(ISBLANK(Charms!I1276),(VLOOKUP(Values!$S$6,Castes!$B$2:$F$25,4,0)=Charms!I1276))</f>
        <v>#N/A</v>
      </c>
      <c r="J1276" t="e">
        <f t="shared" ca="1" si="96"/>
        <v>#N/A</v>
      </c>
      <c r="K1276" s="18" t="e">
        <f t="shared" ca="1" si="95"/>
        <v>#N/A</v>
      </c>
      <c r="L1276" t="e">
        <f ca="1">IF(J1276,Charms!B1276,"")</f>
        <v>#N/A</v>
      </c>
      <c r="M1276" t="str">
        <f t="shared" ca="1" si="97"/>
        <v>-</v>
      </c>
      <c r="N1276" s="18" t="str">
        <f t="shared" si="98"/>
        <v>K1272:L1335</v>
      </c>
      <c r="O1276" t="str">
        <f t="shared" si="99"/>
        <v>A1272:A1276</v>
      </c>
    </row>
    <row r="1277" spans="1:15">
      <c r="A1277" s="18" t="str">
        <f>Charms!K1277</f>
        <v>Sail</v>
      </c>
      <c r="B1277" t="str">
        <f>Charms!B1277</f>
        <v>Ship-Imperiled Vigor</v>
      </c>
      <c r="C1277" t="b">
        <f ca="1">OR(Values!$S$98&gt;=Charms!M1277,IFERROR(Charms!J1277=OFFSET(Values!$A$24,MATCH("S",Values!$T$25:$T$50,0),0),FALSE))</f>
        <v>0</v>
      </c>
      <c r="D1277" t="b">
        <f>VLOOKUP(Charms!J1277,Values!$A$11:$S$59,19,0)&gt;=Charms!L1277</f>
        <v>0</v>
      </c>
      <c r="E1277" t="e">
        <f>OR(ISBLANK(Charms!I1277),(VLOOKUP(Values!$S$6,Castes!$B$2:$F$25,4,0)=Charms!I1277))</f>
        <v>#N/A</v>
      </c>
      <c r="J1277" t="e">
        <f t="shared" ca="1" si="96"/>
        <v>#N/A</v>
      </c>
      <c r="K1277" s="18" t="e">
        <f t="shared" ca="1" si="95"/>
        <v>#N/A</v>
      </c>
      <c r="L1277" t="e">
        <f ca="1">IF(J1277,Charms!B1277,"")</f>
        <v>#N/A</v>
      </c>
      <c r="M1277" t="str">
        <f t="shared" ca="1" si="97"/>
        <v>-</v>
      </c>
      <c r="N1277" s="18" t="str">
        <f t="shared" si="98"/>
        <v>K1272:L1335</v>
      </c>
      <c r="O1277" t="str">
        <f t="shared" si="99"/>
        <v>A1272:A1277</v>
      </c>
    </row>
    <row r="1278" spans="1:15">
      <c r="A1278" s="18" t="str">
        <f>Charms!K1278</f>
        <v>Sail</v>
      </c>
      <c r="B1278" t="str">
        <f>Charms!B1278</f>
        <v>Weather-Anticipating Intuition</v>
      </c>
      <c r="C1278" t="b">
        <f ca="1">OR(Values!$S$98&gt;=Charms!M1278,IFERROR(Charms!J1278=OFFSET(Values!$A$24,MATCH("S",Values!$T$25:$T$50,0),0),FALSE))</f>
        <v>0</v>
      </c>
      <c r="D1278" t="b">
        <f>VLOOKUP(Charms!J1278,Values!$A$11:$S$59,19,0)&gt;=Charms!L1278</f>
        <v>0</v>
      </c>
      <c r="E1278" t="e">
        <f>OR(ISBLANK(Charms!I1278),(VLOOKUP(Values!$S$6,Castes!$B$2:$F$25,4,0)=Charms!I1278))</f>
        <v>#N/A</v>
      </c>
      <c r="J1278" t="e">
        <f t="shared" ca="1" si="96"/>
        <v>#N/A</v>
      </c>
      <c r="K1278" s="18" t="e">
        <f t="shared" ca="1" si="95"/>
        <v>#N/A</v>
      </c>
      <c r="L1278" t="e">
        <f ca="1">IF(J1278,Charms!B1278,"")</f>
        <v>#N/A</v>
      </c>
      <c r="M1278" t="str">
        <f t="shared" ca="1" si="97"/>
        <v>-</v>
      </c>
      <c r="N1278" s="18" t="str">
        <f t="shared" si="98"/>
        <v>K1272:L1335</v>
      </c>
      <c r="O1278" t="str">
        <f t="shared" si="99"/>
        <v>A1272:A1278</v>
      </c>
    </row>
    <row r="1279" spans="1:15">
      <c r="A1279" s="18" t="str">
        <f>Charms!K1279</f>
        <v>Sail</v>
      </c>
      <c r="B1279" t="str">
        <f>Charms!B1279</f>
        <v>Tide-Cutting Essence Infusion</v>
      </c>
      <c r="C1279" t="b">
        <f ca="1">OR(Values!$S$98&gt;=Charms!M1279,IFERROR(Charms!J1279=OFFSET(Values!$A$24,MATCH("S",Values!$T$25:$T$50,0),0),FALSE))</f>
        <v>0</v>
      </c>
      <c r="D1279" t="b">
        <f>VLOOKUP(Charms!J1279,Values!$A$11:$S$59,19,0)&gt;=Charms!L1279</f>
        <v>0</v>
      </c>
      <c r="E1279" t="e">
        <f>OR(ISBLANK(Charms!I1279),(VLOOKUP(Values!$S$6,Castes!$B$2:$F$25,4,0)=Charms!I1279))</f>
        <v>#N/A</v>
      </c>
      <c r="J1279" t="e">
        <f t="shared" ca="1" si="96"/>
        <v>#N/A</v>
      </c>
      <c r="K1279" s="18" t="e">
        <f t="shared" ca="1" si="95"/>
        <v>#N/A</v>
      </c>
      <c r="L1279" t="e">
        <f ca="1">IF(J1279,Charms!B1279,"")</f>
        <v>#N/A</v>
      </c>
      <c r="M1279" t="str">
        <f t="shared" ca="1" si="97"/>
        <v>-</v>
      </c>
      <c r="N1279" s="18" t="str">
        <f t="shared" si="98"/>
        <v>K1272:L1335</v>
      </c>
      <c r="O1279" t="str">
        <f t="shared" si="99"/>
        <v>A1272:A1279</v>
      </c>
    </row>
    <row r="1280" spans="1:15">
      <c r="A1280" s="18" t="str">
        <f>Charms!K1280</f>
        <v>Sail</v>
      </c>
      <c r="B1280" t="str">
        <f>Charms!B1280</f>
        <v>Wave-Riding Discipline</v>
      </c>
      <c r="C1280" t="b">
        <f ca="1">OR(Values!$S$98&gt;=Charms!M1280,IFERROR(Charms!J1280=OFFSET(Values!$A$24,MATCH("S",Values!$T$25:$T$50,0),0),FALSE))</f>
        <v>0</v>
      </c>
      <c r="D1280" t="b">
        <f>VLOOKUP(Charms!J1280,Values!$A$11:$S$59,19,0)&gt;=Charms!L1280</f>
        <v>0</v>
      </c>
      <c r="E1280" t="e">
        <f>OR(ISBLANK(Charms!I1280),(VLOOKUP(Values!$S$6,Castes!$B$2:$F$25,4,0)=Charms!I1280))</f>
        <v>#N/A</v>
      </c>
      <c r="J1280" t="e">
        <f t="shared" ca="1" si="96"/>
        <v>#N/A</v>
      </c>
      <c r="K1280" s="18" t="e">
        <f t="shared" ca="1" si="95"/>
        <v>#N/A</v>
      </c>
      <c r="L1280" t="e">
        <f ca="1">IF(J1280,Charms!B1280,"")</f>
        <v>#N/A</v>
      </c>
      <c r="M1280" t="str">
        <f t="shared" ca="1" si="97"/>
        <v>-</v>
      </c>
      <c r="N1280" s="18" t="str">
        <f t="shared" si="98"/>
        <v>K1272:L1335</v>
      </c>
      <c r="O1280" t="str">
        <f t="shared" si="99"/>
        <v>A1272:A1280</v>
      </c>
    </row>
    <row r="1281" spans="1:15">
      <c r="A1281" s="18" t="str">
        <f>Charms!K1281</f>
        <v>Sail</v>
      </c>
      <c r="B1281" t="str">
        <f>Charms!B1281</f>
        <v>Skiff-to-Scow Method</v>
      </c>
      <c r="C1281" t="b">
        <f ca="1">OR(Values!$S$98&gt;=Charms!M1281,IFERROR(Charms!J1281=OFFSET(Values!$A$24,MATCH("S",Values!$T$25:$T$50,0),0),FALSE))</f>
        <v>1</v>
      </c>
      <c r="D1281" t="b">
        <f>VLOOKUP(Charms!J1281,Values!$A$11:$S$59,19,0)&gt;=Charms!L1281</f>
        <v>0</v>
      </c>
      <c r="E1281" t="e">
        <f>OR(ISBLANK(Charms!I1281),(VLOOKUP(Values!$S$6,Castes!$B$2:$F$25,4,0)=Charms!I1281))</f>
        <v>#N/A</v>
      </c>
      <c r="J1281" t="e">
        <f t="shared" ca="1" si="96"/>
        <v>#N/A</v>
      </c>
      <c r="K1281" s="18" t="e">
        <f t="shared" ca="1" si="95"/>
        <v>#N/A</v>
      </c>
      <c r="L1281" t="e">
        <f ca="1">IF(J1281,Charms!B1281,"")</f>
        <v>#N/A</v>
      </c>
      <c r="M1281" t="str">
        <f t="shared" ca="1" si="97"/>
        <v>-</v>
      </c>
      <c r="N1281" s="18" t="str">
        <f t="shared" si="98"/>
        <v>K1272:L1335</v>
      </c>
      <c r="O1281" t="str">
        <f t="shared" si="99"/>
        <v>A1272:A1281</v>
      </c>
    </row>
    <row r="1282" spans="1:15">
      <c r="A1282" s="18" t="str">
        <f>Charms!K1282</f>
        <v>Sail</v>
      </c>
      <c r="B1282" t="str">
        <f>Charms!B1282</f>
        <v>Fathoms-Fed Spirit</v>
      </c>
      <c r="C1282" t="b">
        <f ca="1">OR(Values!$S$98&gt;=Charms!M1282,IFERROR(Charms!J1282=OFFSET(Values!$A$24,MATCH("S",Values!$T$25:$T$50,0),0),FALSE))</f>
        <v>1</v>
      </c>
      <c r="D1282" t="b">
        <f>VLOOKUP(Charms!J1282,Values!$A$11:$S$59,19,0)&gt;=Charms!L1282</f>
        <v>0</v>
      </c>
      <c r="E1282" t="e">
        <f>OR(ISBLANK(Charms!I1282),(VLOOKUP(Values!$S$6,Castes!$B$2:$F$25,4,0)=Charms!I1282))</f>
        <v>#N/A</v>
      </c>
      <c r="J1282" t="e">
        <f t="shared" ca="1" si="96"/>
        <v>#N/A</v>
      </c>
      <c r="K1282" s="18" t="e">
        <f t="shared" ref="K1282:K1345" ca="1" si="100">IF(L1282="","",COUNTIF(INDIRECT("J"&amp;MATCH(A1282,A:A,0)&amp;":J"&amp;ROW()),J1282))</f>
        <v>#N/A</v>
      </c>
      <c r="L1282" t="e">
        <f ca="1">IF(J1282,Charms!B1282,"")</f>
        <v>#N/A</v>
      </c>
      <c r="M1282" t="str">
        <f t="shared" ca="1" si="97"/>
        <v>-</v>
      </c>
      <c r="N1282" s="18" t="str">
        <f t="shared" si="98"/>
        <v>K1272:L1335</v>
      </c>
      <c r="O1282" t="str">
        <f t="shared" si="99"/>
        <v>A1272:A1282</v>
      </c>
    </row>
    <row r="1283" spans="1:15">
      <c r="A1283" s="18" t="str">
        <f>Charms!K1283</f>
        <v>Sail</v>
      </c>
      <c r="B1283" t="str">
        <f>Charms!B1283</f>
        <v>Orichalcum Letters of Marque</v>
      </c>
      <c r="C1283" t="b">
        <f ca="1">OR(Values!$S$98&gt;=Charms!M1283,IFERROR(Charms!J1283=OFFSET(Values!$A$24,MATCH("S",Values!$T$25:$T$50,0),0),FALSE))</f>
        <v>1</v>
      </c>
      <c r="D1283" t="b">
        <f>VLOOKUP(Charms!J1283,Values!$A$11:$S$59,19,0)&gt;=Charms!L1283</f>
        <v>0</v>
      </c>
      <c r="E1283" t="e">
        <f>OR(ISBLANK(Charms!I1283),(VLOOKUP(Values!$S$6,Castes!$B$2:$F$25,4,0)=Charms!I1283))</f>
        <v>#N/A</v>
      </c>
      <c r="J1283" t="e">
        <f t="shared" ref="J1283:J1346" ca="1" si="101">(C1283+D1283+E1283+F1283+G1283+H1283+I1283)=3</f>
        <v>#N/A</v>
      </c>
      <c r="K1283" s="18" t="e">
        <f t="shared" ca="1" si="100"/>
        <v>#N/A</v>
      </c>
      <c r="L1283" t="e">
        <f ca="1">IF(J1283,Charms!B1283,"")</f>
        <v>#N/A</v>
      </c>
      <c r="M1283" t="str">
        <f t="shared" ref="M1283:M1346" ca="1" si="102">IFERROR(VLOOKUP(COUNTIF(INDIRECT(O1283),A1283),INDIRECT(N1283),2,0),"-")</f>
        <v>-</v>
      </c>
      <c r="N1283" s="18" t="str">
        <f t="shared" ref="N1283:N1346" si="103">"K"&amp;MATCH(A1283,A:A,0)&amp;":L"&amp;(MATCH(A1283,A:A,0)+COUNTIF(A:A,A1283)-1)</f>
        <v>K1272:L1335</v>
      </c>
      <c r="O1283" t="str">
        <f t="shared" ref="O1283:O1346" si="104">"A"&amp;MATCH(A1283,A:A,0)&amp;":A"&amp;ROW()</f>
        <v>A1272:A1283</v>
      </c>
    </row>
    <row r="1284" spans="1:15">
      <c r="A1284" s="18" t="str">
        <f>Charms!K1284</f>
        <v>Sail</v>
      </c>
      <c r="B1284" t="str">
        <f>Charms!B1284</f>
        <v>Immortal Mariner's Advantage</v>
      </c>
      <c r="C1284" t="b">
        <f ca="1">OR(Values!$S$98&gt;=Charms!M1284,IFERROR(Charms!J1284=OFFSET(Values!$A$24,MATCH("S",Values!$T$25:$T$50,0),0),FALSE))</f>
        <v>1</v>
      </c>
      <c r="D1284" t="b">
        <f>VLOOKUP(Charms!J1284,Values!$A$11:$S$59,19,0)&gt;=Charms!L1284</f>
        <v>0</v>
      </c>
      <c r="E1284" t="e">
        <f>OR(ISBLANK(Charms!I1284),(VLOOKUP(Values!$S$6,Castes!$B$2:$F$25,4,0)=Charms!I1284))</f>
        <v>#N/A</v>
      </c>
      <c r="J1284" t="e">
        <f t="shared" ca="1" si="101"/>
        <v>#N/A</v>
      </c>
      <c r="K1284" s="18" t="e">
        <f t="shared" ca="1" si="100"/>
        <v>#N/A</v>
      </c>
      <c r="L1284" t="e">
        <f ca="1">IF(J1284,Charms!B1284,"")</f>
        <v>#N/A</v>
      </c>
      <c r="M1284" t="str">
        <f t="shared" ca="1" si="102"/>
        <v>-</v>
      </c>
      <c r="N1284" s="18" t="str">
        <f t="shared" si="103"/>
        <v>K1272:L1335</v>
      </c>
      <c r="O1284" t="str">
        <f t="shared" si="104"/>
        <v>A1272:A1284</v>
      </c>
    </row>
    <row r="1285" spans="1:15">
      <c r="A1285" s="18" t="str">
        <f>Charms!K1285</f>
        <v>Sail</v>
      </c>
      <c r="B1285" t="str">
        <f>Charms!B1285</f>
        <v>Legendary Captain's Signature</v>
      </c>
      <c r="C1285" t="b">
        <f ca="1">OR(Values!$S$98&gt;=Charms!M1285,IFERROR(Charms!J1285=OFFSET(Values!$A$24,MATCH("S",Values!$T$25:$T$50,0),0),FALSE))</f>
        <v>1</v>
      </c>
      <c r="D1285" t="b">
        <f>VLOOKUP(Charms!J1285,Values!$A$11:$S$59,19,0)&gt;=Charms!L1285</f>
        <v>0</v>
      </c>
      <c r="E1285" t="e">
        <f>OR(ISBLANK(Charms!I1285),(VLOOKUP(Values!$S$6,Castes!$B$2:$F$25,4,0)=Charms!I1285))</f>
        <v>#N/A</v>
      </c>
      <c r="J1285" t="e">
        <f t="shared" ca="1" si="101"/>
        <v>#N/A</v>
      </c>
      <c r="K1285" s="18" t="e">
        <f t="shared" ca="1" si="100"/>
        <v>#N/A</v>
      </c>
      <c r="L1285" t="e">
        <f ca="1">IF(J1285,Charms!B1285,"")</f>
        <v>#N/A</v>
      </c>
      <c r="M1285" t="str">
        <f t="shared" ca="1" si="102"/>
        <v>-</v>
      </c>
      <c r="N1285" s="18" t="str">
        <f t="shared" si="103"/>
        <v>K1272:L1335</v>
      </c>
      <c r="O1285" t="str">
        <f t="shared" si="104"/>
        <v>A1272:A1285</v>
      </c>
    </row>
    <row r="1286" spans="1:15">
      <c r="A1286" s="18" t="str">
        <f>Charms!K1286</f>
        <v>Sail</v>
      </c>
      <c r="B1286" t="str">
        <f>Charms!B1286</f>
        <v>Sea Ambush Technique</v>
      </c>
      <c r="C1286" t="b">
        <f ca="1">OR(Values!$S$98&gt;=Charms!M1286,IFERROR(Charms!J1286=OFFSET(Values!$A$24,MATCH("S",Values!$T$25:$T$50,0),0),FALSE))</f>
        <v>1</v>
      </c>
      <c r="D1286" t="b">
        <f>VLOOKUP(Charms!J1286,Values!$A$11:$S$59,19,0)&gt;=Charms!L1286</f>
        <v>0</v>
      </c>
      <c r="E1286" t="e">
        <f>OR(ISBLANK(Charms!I1286),(VLOOKUP(Values!$S$6,Castes!$B$2:$F$25,4,0)=Charms!I1286))</f>
        <v>#N/A</v>
      </c>
      <c r="J1286" t="e">
        <f t="shared" ca="1" si="101"/>
        <v>#N/A</v>
      </c>
      <c r="K1286" s="18" t="e">
        <f t="shared" ca="1" si="100"/>
        <v>#N/A</v>
      </c>
      <c r="L1286" t="e">
        <f ca="1">IF(J1286,Charms!B1286,"")</f>
        <v>#N/A</v>
      </c>
      <c r="M1286" t="str">
        <f t="shared" ca="1" si="102"/>
        <v>-</v>
      </c>
      <c r="N1286" s="18" t="str">
        <f t="shared" si="103"/>
        <v>K1272:L1335</v>
      </c>
      <c r="O1286" t="str">
        <f t="shared" si="104"/>
        <v>A1272:A1286</v>
      </c>
    </row>
    <row r="1287" spans="1:15">
      <c r="A1287" s="18" t="str">
        <f>Charms!K1287</f>
        <v>Sail</v>
      </c>
      <c r="B1287" t="str">
        <f>Charms!B1287</f>
        <v>Deck-Sweeping Fusillade</v>
      </c>
      <c r="C1287" t="b">
        <f ca="1">OR(Values!$S$98&gt;=Charms!M1287,IFERROR(Charms!J1287=OFFSET(Values!$A$24,MATCH("S",Values!$T$25:$T$50,0),0),FALSE))</f>
        <v>1</v>
      </c>
      <c r="D1287" t="b">
        <f>VLOOKUP(Charms!J1287,Values!$A$11:$S$59,19,0)&gt;=Charms!L1287</f>
        <v>0</v>
      </c>
      <c r="E1287" t="e">
        <f>OR(ISBLANK(Charms!I1287),(VLOOKUP(Values!$S$6,Castes!$B$2:$F$25,4,0)=Charms!I1287))</f>
        <v>#N/A</v>
      </c>
      <c r="J1287" t="e">
        <f t="shared" ca="1" si="101"/>
        <v>#N/A</v>
      </c>
      <c r="K1287" s="18" t="e">
        <f t="shared" ca="1" si="100"/>
        <v>#N/A</v>
      </c>
      <c r="L1287" t="e">
        <f ca="1">IF(J1287,Charms!B1287,"")</f>
        <v>#N/A</v>
      </c>
      <c r="M1287" t="str">
        <f t="shared" ca="1" si="102"/>
        <v>-</v>
      </c>
      <c r="N1287" s="18" t="str">
        <f t="shared" si="103"/>
        <v>K1272:L1335</v>
      </c>
      <c r="O1287" t="str">
        <f t="shared" si="104"/>
        <v>A1272:A1287</v>
      </c>
    </row>
    <row r="1288" spans="1:15">
      <c r="A1288" s="18" t="str">
        <f>Charms!K1288</f>
        <v>Sail</v>
      </c>
      <c r="B1288" t="str">
        <f>Charms!B1288</f>
        <v>Ship-Breaker Method</v>
      </c>
      <c r="C1288" t="b">
        <f ca="1">OR(Values!$S$98&gt;=Charms!M1288,IFERROR(Charms!J1288=OFFSET(Values!$A$24,MATCH("S",Values!$T$25:$T$50,0),0),FALSE))</f>
        <v>1</v>
      </c>
      <c r="D1288" t="b">
        <f>VLOOKUP(Charms!J1288,Values!$A$11:$S$59,19,0)&gt;=Charms!L1288</f>
        <v>0</v>
      </c>
      <c r="E1288" t="e">
        <f>OR(ISBLANK(Charms!I1288),(VLOOKUP(Values!$S$6,Castes!$B$2:$F$25,4,0)=Charms!I1288))</f>
        <v>#N/A</v>
      </c>
      <c r="J1288" t="e">
        <f t="shared" ca="1" si="101"/>
        <v>#N/A</v>
      </c>
      <c r="K1288" s="18" t="e">
        <f t="shared" ca="1" si="100"/>
        <v>#N/A</v>
      </c>
      <c r="L1288" t="e">
        <f ca="1">IF(J1288,Charms!B1288,"")</f>
        <v>#N/A</v>
      </c>
      <c r="M1288" t="str">
        <f t="shared" ca="1" si="102"/>
        <v>-</v>
      </c>
      <c r="N1288" s="18" t="str">
        <f t="shared" si="103"/>
        <v>K1272:L1335</v>
      </c>
      <c r="O1288" t="str">
        <f t="shared" si="104"/>
        <v>A1272:A1288</v>
      </c>
    </row>
    <row r="1289" spans="1:15">
      <c r="A1289" s="18" t="str">
        <f>Charms!K1289</f>
        <v>Sail</v>
      </c>
      <c r="B1289" t="str">
        <f>Charms!B1289</f>
        <v>Superior Positioning Technique</v>
      </c>
      <c r="C1289" t="b">
        <f ca="1">OR(Values!$S$98&gt;=Charms!M1289,IFERROR(Charms!J1289=OFFSET(Values!$A$24,MATCH("S",Values!$T$25:$T$50,0),0),FALSE))</f>
        <v>1</v>
      </c>
      <c r="D1289" t="b">
        <f>VLOOKUP(Charms!J1289,Values!$A$11:$S$59,19,0)&gt;=Charms!L1289</f>
        <v>0</v>
      </c>
      <c r="E1289" t="e">
        <f>OR(ISBLANK(Charms!I1289),(VLOOKUP(Values!$S$6,Castes!$B$2:$F$25,4,0)=Charms!I1289))</f>
        <v>#N/A</v>
      </c>
      <c r="J1289" t="e">
        <f t="shared" ca="1" si="101"/>
        <v>#N/A</v>
      </c>
      <c r="K1289" s="18" t="e">
        <f t="shared" ca="1" si="100"/>
        <v>#N/A</v>
      </c>
      <c r="L1289" t="e">
        <f ca="1">IF(J1289,Charms!B1289,"")</f>
        <v>#N/A</v>
      </c>
      <c r="M1289" t="str">
        <f t="shared" ca="1" si="102"/>
        <v>-</v>
      </c>
      <c r="N1289" s="18" t="str">
        <f t="shared" si="103"/>
        <v>K1272:L1335</v>
      </c>
      <c r="O1289" t="str">
        <f t="shared" si="104"/>
        <v>A1272:A1289</v>
      </c>
    </row>
    <row r="1290" spans="1:15">
      <c r="A1290" s="18" t="str">
        <f>Charms!K1290</f>
        <v>Sail</v>
      </c>
      <c r="B1290" t="str">
        <f>Charms!B1290</f>
        <v>Hull-Preserving Technique</v>
      </c>
      <c r="C1290" t="b">
        <f ca="1">OR(Values!$S$98&gt;=Charms!M1290,IFERROR(Charms!J1290=OFFSET(Values!$A$24,MATCH("S",Values!$T$25:$T$50,0),0),FALSE))</f>
        <v>0</v>
      </c>
      <c r="D1290" t="b">
        <f>VLOOKUP(Charms!J1290,Values!$A$11:$S$59,19,0)&gt;=Charms!L1290</f>
        <v>0</v>
      </c>
      <c r="E1290" t="e">
        <f>OR(ISBLANK(Charms!I1290),(VLOOKUP(Values!$S$6,Castes!$B$2:$F$25,4,0)=Charms!I1290))</f>
        <v>#N/A</v>
      </c>
      <c r="J1290" t="e">
        <f t="shared" ca="1" si="101"/>
        <v>#N/A</v>
      </c>
      <c r="K1290" s="18" t="e">
        <f t="shared" ca="1" si="100"/>
        <v>#N/A</v>
      </c>
      <c r="L1290" t="e">
        <f ca="1">IF(J1290,Charms!B1290,"")</f>
        <v>#N/A</v>
      </c>
      <c r="M1290" t="str">
        <f t="shared" ca="1" si="102"/>
        <v>-</v>
      </c>
      <c r="N1290" s="18" t="str">
        <f t="shared" si="103"/>
        <v>K1272:L1335</v>
      </c>
      <c r="O1290" t="str">
        <f t="shared" si="104"/>
        <v>A1272:A1290</v>
      </c>
    </row>
    <row r="1291" spans="1:15">
      <c r="A1291" s="18" t="str">
        <f>Charms!K1291</f>
        <v>Sail</v>
      </c>
      <c r="B1291" t="str">
        <f>Charms!B1291</f>
        <v>Hull-Taming Transfusion</v>
      </c>
      <c r="C1291" t="b">
        <f ca="1">OR(Values!$S$98&gt;=Charms!M1291,IFERROR(Charms!J1291=OFFSET(Values!$A$24,MATCH("S",Values!$T$25:$T$50,0),0),FALSE))</f>
        <v>0</v>
      </c>
      <c r="D1291" t="b">
        <f>VLOOKUP(Charms!J1291,Values!$A$11:$S$59,19,0)&gt;=Charms!L1291</f>
        <v>0</v>
      </c>
      <c r="E1291" t="e">
        <f>OR(ISBLANK(Charms!I1291),(VLOOKUP(Values!$S$6,Castes!$B$2:$F$25,4,0)=Charms!I1291))</f>
        <v>#N/A</v>
      </c>
      <c r="J1291" t="e">
        <f t="shared" ca="1" si="101"/>
        <v>#N/A</v>
      </c>
      <c r="K1291" s="18" t="e">
        <f t="shared" ca="1" si="100"/>
        <v>#N/A</v>
      </c>
      <c r="L1291" t="e">
        <f ca="1">IF(J1291,Charms!B1291,"")</f>
        <v>#N/A</v>
      </c>
      <c r="M1291" t="str">
        <f t="shared" ca="1" si="102"/>
        <v>-</v>
      </c>
      <c r="N1291" s="18" t="str">
        <f t="shared" si="103"/>
        <v>K1272:L1335</v>
      </c>
      <c r="O1291" t="str">
        <f t="shared" si="104"/>
        <v>A1272:A1291</v>
      </c>
    </row>
    <row r="1292" spans="1:15">
      <c r="A1292" s="18" t="str">
        <f>Charms!K1292</f>
        <v>Sail</v>
      </c>
      <c r="B1292" t="str">
        <f>Charms!B1292</f>
        <v>Ship-Leavening Meditation</v>
      </c>
      <c r="C1292" t="b">
        <f ca="1">OR(Values!$S$98&gt;=Charms!M1292,IFERROR(Charms!J1292=OFFSET(Values!$A$24,MATCH("S",Values!$T$25:$T$50,0),0),FALSE))</f>
        <v>0</v>
      </c>
      <c r="D1292" t="b">
        <f>VLOOKUP(Charms!J1292,Values!$A$11:$S$59,19,0)&gt;=Charms!L1292</f>
        <v>0</v>
      </c>
      <c r="E1292" t="e">
        <f>OR(ISBLANK(Charms!I1292),(VLOOKUP(Values!$S$6,Castes!$B$2:$F$25,4,0)=Charms!I1292))</f>
        <v>#N/A</v>
      </c>
      <c r="J1292" t="e">
        <f t="shared" ca="1" si="101"/>
        <v>#N/A</v>
      </c>
      <c r="K1292" s="18" t="e">
        <f t="shared" ca="1" si="100"/>
        <v>#N/A</v>
      </c>
      <c r="L1292" t="e">
        <f ca="1">IF(J1292,Charms!B1292,"")</f>
        <v>#N/A</v>
      </c>
      <c r="M1292" t="str">
        <f t="shared" ca="1" si="102"/>
        <v>-</v>
      </c>
      <c r="N1292" s="18" t="str">
        <f t="shared" si="103"/>
        <v>K1272:L1335</v>
      </c>
      <c r="O1292" t="str">
        <f t="shared" si="104"/>
        <v>A1272:A1292</v>
      </c>
    </row>
    <row r="1293" spans="1:15">
      <c r="A1293" s="18" t="str">
        <f>Charms!K1293</f>
        <v>Sail</v>
      </c>
      <c r="B1293" t="str">
        <f>Charms!B1293</f>
        <v>Indomitable Voyager's Perseverance</v>
      </c>
      <c r="C1293" t="b">
        <f ca="1">OR(Values!$S$98&gt;=Charms!M1293,IFERROR(Charms!J1293=OFFSET(Values!$A$24,MATCH("S",Values!$T$25:$T$50,0),0),FALSE))</f>
        <v>0</v>
      </c>
      <c r="D1293" t="b">
        <f>VLOOKUP(Charms!J1293,Values!$A$11:$S$59,19,0)&gt;=Charms!L1293</f>
        <v>0</v>
      </c>
      <c r="E1293" t="e">
        <f>OR(ISBLANK(Charms!I1293),(VLOOKUP(Values!$S$6,Castes!$B$2:$F$25,4,0)=Charms!I1293))</f>
        <v>#N/A</v>
      </c>
      <c r="J1293" t="e">
        <f t="shared" ca="1" si="101"/>
        <v>#N/A</v>
      </c>
      <c r="K1293" s="18" t="e">
        <f t="shared" ca="1" si="100"/>
        <v>#N/A</v>
      </c>
      <c r="L1293" t="e">
        <f ca="1">IF(J1293,Charms!B1293,"")</f>
        <v>#N/A</v>
      </c>
      <c r="M1293" t="str">
        <f t="shared" ca="1" si="102"/>
        <v>-</v>
      </c>
      <c r="N1293" s="18" t="str">
        <f t="shared" si="103"/>
        <v>K1272:L1335</v>
      </c>
      <c r="O1293" t="str">
        <f t="shared" si="104"/>
        <v>A1272:A1293</v>
      </c>
    </row>
    <row r="1294" spans="1:15">
      <c r="A1294" s="18" t="str">
        <f>Charms!K1294</f>
        <v>Sail</v>
      </c>
      <c r="B1294" t="str">
        <f>Charms!B1294</f>
        <v>Ocean-Conquering Avatar</v>
      </c>
      <c r="C1294" t="b">
        <f ca="1">OR(Values!$S$98&gt;=Charms!M1294,IFERROR(Charms!J1294=OFFSET(Values!$A$24,MATCH("S",Values!$T$25:$T$50,0),0),FALSE))</f>
        <v>0</v>
      </c>
      <c r="D1294" t="b">
        <f>VLOOKUP(Charms!J1294,Values!$A$11:$S$59,19,0)&gt;=Charms!L1294</f>
        <v>0</v>
      </c>
      <c r="E1294" t="e">
        <f>OR(ISBLANK(Charms!I1294),(VLOOKUP(Values!$S$6,Castes!$B$2:$F$25,4,0)=Charms!I1294))</f>
        <v>#N/A</v>
      </c>
      <c r="J1294" t="e">
        <f t="shared" ca="1" si="101"/>
        <v>#N/A</v>
      </c>
      <c r="K1294" s="18" t="e">
        <f t="shared" ca="1" si="100"/>
        <v>#N/A</v>
      </c>
      <c r="L1294" t="e">
        <f ca="1">IF(J1294,Charms!B1294,"")</f>
        <v>#N/A</v>
      </c>
      <c r="M1294" t="str">
        <f t="shared" ca="1" si="102"/>
        <v>-</v>
      </c>
      <c r="N1294" s="18" t="str">
        <f t="shared" si="103"/>
        <v>K1272:L1335</v>
      </c>
      <c r="O1294" t="str">
        <f t="shared" si="104"/>
        <v>A1272:A1294</v>
      </c>
    </row>
    <row r="1295" spans="1:15">
      <c r="A1295" s="18" t="str">
        <f>Charms!K1295</f>
        <v>Sail</v>
      </c>
      <c r="B1295" t="str">
        <f>Charms!B1295</f>
        <v>Wind-Defying Course Technique</v>
      </c>
      <c r="C1295" t="b">
        <f ca="1">OR(Values!$S$98&gt;=Charms!M1295,IFERROR(Charms!J1295=OFFSET(Values!$A$24,MATCH("S",Values!$T$25:$T$50,0),0),FALSE))</f>
        <v>0</v>
      </c>
      <c r="D1295" t="b">
        <f>VLOOKUP(Charms!J1295,Values!$A$11:$S$59,19,0)&gt;=Charms!L1295</f>
        <v>0</v>
      </c>
      <c r="E1295" t="e">
        <f>OR(ISBLANK(Charms!I1295),(VLOOKUP(Values!$S$6,Castes!$B$2:$F$25,4,0)=Charms!I1295))</f>
        <v>#N/A</v>
      </c>
      <c r="J1295" t="e">
        <f t="shared" ca="1" si="101"/>
        <v>#N/A</v>
      </c>
      <c r="K1295" s="18" t="e">
        <f t="shared" ca="1" si="100"/>
        <v>#N/A</v>
      </c>
      <c r="L1295" t="e">
        <f ca="1">IF(J1295,Charms!B1295,"")</f>
        <v>#N/A</v>
      </c>
      <c r="M1295" t="str">
        <f t="shared" ca="1" si="102"/>
        <v>-</v>
      </c>
      <c r="N1295" s="18" t="str">
        <f t="shared" si="103"/>
        <v>K1272:L1335</v>
      </c>
      <c r="O1295" t="str">
        <f t="shared" si="104"/>
        <v>A1272:A1295</v>
      </c>
    </row>
    <row r="1296" spans="1:15">
      <c r="A1296" s="18" t="str">
        <f>Charms!K1296</f>
        <v>Sail</v>
      </c>
      <c r="B1296" t="str">
        <f>Charms!B1296</f>
        <v>Current-Cutting Technique</v>
      </c>
      <c r="C1296" t="b">
        <f ca="1">OR(Values!$S$98&gt;=Charms!M1296,IFERROR(Charms!J1296=OFFSET(Values!$A$24,MATCH("S",Values!$T$25:$T$50,0),0),FALSE))</f>
        <v>0</v>
      </c>
      <c r="D1296" t="b">
        <f>VLOOKUP(Charms!J1296,Values!$A$11:$S$59,19,0)&gt;=Charms!L1296</f>
        <v>0</v>
      </c>
      <c r="E1296" t="e">
        <f>OR(ISBLANK(Charms!I1296),(VLOOKUP(Values!$S$6,Castes!$B$2:$F$25,4,0)=Charms!I1296))</f>
        <v>#N/A</v>
      </c>
      <c r="J1296" t="e">
        <f t="shared" ca="1" si="101"/>
        <v>#N/A</v>
      </c>
      <c r="K1296" s="18" t="e">
        <f t="shared" ca="1" si="100"/>
        <v>#N/A</v>
      </c>
      <c r="L1296" t="e">
        <f ca="1">IF(J1296,Charms!B1296,"")</f>
        <v>#N/A</v>
      </c>
      <c r="M1296" t="str">
        <f t="shared" ca="1" si="102"/>
        <v>-</v>
      </c>
      <c r="N1296" s="18" t="str">
        <f t="shared" si="103"/>
        <v>K1272:L1335</v>
      </c>
      <c r="O1296" t="str">
        <f t="shared" si="104"/>
        <v>A1272:A1296</v>
      </c>
    </row>
    <row r="1297" spans="1:15">
      <c r="A1297" s="18" t="str">
        <f>Charms!K1297</f>
        <v>Sail</v>
      </c>
      <c r="B1297" t="str">
        <f>Charms!B1297</f>
        <v>Implacable Sea Wolf Spirit</v>
      </c>
      <c r="C1297" t="b">
        <f ca="1">OR(Values!$S$98&gt;=Charms!M1297,IFERROR(Charms!J1297=OFFSET(Values!$A$24,MATCH("S",Values!$T$25:$T$50,0),0),FALSE))</f>
        <v>0</v>
      </c>
      <c r="D1297" t="b">
        <f>VLOOKUP(Charms!J1297,Values!$A$11:$S$59,19,0)&gt;=Charms!L1297</f>
        <v>0</v>
      </c>
      <c r="E1297" t="e">
        <f>OR(ISBLANK(Charms!I1297),(VLOOKUP(Values!$S$6,Castes!$B$2:$F$25,4,0)=Charms!I1297))</f>
        <v>#N/A</v>
      </c>
      <c r="J1297" t="e">
        <f t="shared" ca="1" si="101"/>
        <v>#N/A</v>
      </c>
      <c r="K1297" s="18" t="e">
        <f t="shared" ca="1" si="100"/>
        <v>#N/A</v>
      </c>
      <c r="L1297" t="e">
        <f ca="1">IF(J1297,Charms!B1297,"")</f>
        <v>#N/A</v>
      </c>
      <c r="M1297" t="str">
        <f t="shared" ca="1" si="102"/>
        <v>-</v>
      </c>
      <c r="N1297" s="18" t="str">
        <f t="shared" si="103"/>
        <v>K1272:L1335</v>
      </c>
      <c r="O1297" t="str">
        <f t="shared" si="104"/>
        <v>A1272:A1297</v>
      </c>
    </row>
    <row r="1298" spans="1:15">
      <c r="A1298" s="18" t="str">
        <f>Charms!K1298</f>
        <v>Sail</v>
      </c>
      <c r="B1298" t="str">
        <f>Charms!B1298</f>
        <v>Deadly Ichneumon Assault</v>
      </c>
      <c r="C1298" t="b">
        <f ca="1">OR(Values!$S$98&gt;=Charms!M1298,IFERROR(Charms!J1298=OFFSET(Values!$A$24,MATCH("S",Values!$T$25:$T$50,0),0),FALSE))</f>
        <v>0</v>
      </c>
      <c r="D1298" t="b">
        <f>VLOOKUP(Charms!J1298,Values!$A$11:$S$59,19,0)&gt;=Charms!L1298</f>
        <v>0</v>
      </c>
      <c r="E1298" t="e">
        <f>OR(ISBLANK(Charms!I1298),(VLOOKUP(Values!$S$6,Castes!$B$2:$F$25,4,0)=Charms!I1298))</f>
        <v>#N/A</v>
      </c>
      <c r="J1298" t="e">
        <f t="shared" ca="1" si="101"/>
        <v>#N/A</v>
      </c>
      <c r="K1298" s="18" t="e">
        <f t="shared" ca="1" si="100"/>
        <v>#N/A</v>
      </c>
      <c r="L1298" t="e">
        <f ca="1">IF(J1298,Charms!B1298,"")</f>
        <v>#N/A</v>
      </c>
      <c r="M1298" t="str">
        <f t="shared" ca="1" si="102"/>
        <v>-</v>
      </c>
      <c r="N1298" s="18" t="str">
        <f t="shared" si="103"/>
        <v>K1272:L1335</v>
      </c>
      <c r="O1298" t="str">
        <f t="shared" si="104"/>
        <v>A1272:A1298</v>
      </c>
    </row>
    <row r="1299" spans="1:15">
      <c r="A1299" s="18" t="str">
        <f>Charms!K1299</f>
        <v>Sail</v>
      </c>
      <c r="B1299" t="str">
        <f>Charms!B1299</f>
        <v>Rail-Storming Fervor</v>
      </c>
      <c r="C1299" t="b">
        <f ca="1">OR(Values!$S$98&gt;=Charms!M1299,IFERROR(Charms!J1299=OFFSET(Values!$A$24,MATCH("S",Values!$T$25:$T$50,0),0),FALSE))</f>
        <v>0</v>
      </c>
      <c r="D1299" t="b">
        <f>VLOOKUP(Charms!J1299,Values!$A$11:$S$59,19,0)&gt;=Charms!L1299</f>
        <v>0</v>
      </c>
      <c r="E1299" t="e">
        <f>OR(ISBLANK(Charms!I1299),(VLOOKUP(Values!$S$6,Castes!$B$2:$F$25,4,0)=Charms!I1299))</f>
        <v>#N/A</v>
      </c>
      <c r="J1299" t="e">
        <f t="shared" ca="1" si="101"/>
        <v>#N/A</v>
      </c>
      <c r="K1299" s="18" t="e">
        <f t="shared" ca="1" si="100"/>
        <v>#N/A</v>
      </c>
      <c r="L1299" t="e">
        <f ca="1">IF(J1299,Charms!B1299,"")</f>
        <v>#N/A</v>
      </c>
      <c r="M1299" t="str">
        <f t="shared" ca="1" si="102"/>
        <v>-</v>
      </c>
      <c r="N1299" s="18" t="str">
        <f t="shared" si="103"/>
        <v>K1272:L1335</v>
      </c>
      <c r="O1299" t="str">
        <f t="shared" si="104"/>
        <v>A1272:A1299</v>
      </c>
    </row>
    <row r="1300" spans="1:15">
      <c r="A1300" s="18" t="str">
        <f>Charms!K1300</f>
        <v>Sail</v>
      </c>
      <c r="B1300" t="str">
        <f>Charms!B1300</f>
        <v>Sea Serpent Flash</v>
      </c>
      <c r="C1300" t="b">
        <f ca="1">OR(Values!$S$98&gt;=Charms!M1300,IFERROR(Charms!J1300=OFFSET(Values!$A$24,MATCH("S",Values!$T$25:$T$50,0),0),FALSE))</f>
        <v>0</v>
      </c>
      <c r="D1300" t="b">
        <f>VLOOKUP(Charms!J1300,Values!$A$11:$S$59,19,0)&gt;=Charms!L1300</f>
        <v>0</v>
      </c>
      <c r="E1300" t="e">
        <f>OR(ISBLANK(Charms!I1300),(VLOOKUP(Values!$S$6,Castes!$B$2:$F$25,4,0)=Charms!I1300))</f>
        <v>#N/A</v>
      </c>
      <c r="J1300" t="e">
        <f t="shared" ca="1" si="101"/>
        <v>#N/A</v>
      </c>
      <c r="K1300" s="18" t="e">
        <f t="shared" ca="1" si="100"/>
        <v>#N/A</v>
      </c>
      <c r="L1300" t="e">
        <f ca="1">IF(J1300,Charms!B1300,"")</f>
        <v>#N/A</v>
      </c>
      <c r="M1300" t="str">
        <f t="shared" ca="1" si="102"/>
        <v>-</v>
      </c>
      <c r="N1300" s="18" t="str">
        <f t="shared" si="103"/>
        <v>K1272:L1335</v>
      </c>
      <c r="O1300" t="str">
        <f t="shared" si="104"/>
        <v>A1272:A1300</v>
      </c>
    </row>
    <row r="1301" spans="1:15">
      <c r="A1301" s="18" t="str">
        <f>Charms!K1301</f>
        <v>Sail</v>
      </c>
      <c r="B1301" t="str">
        <f>Charms!B1301</f>
        <v>Tide-Carried Omens</v>
      </c>
      <c r="C1301" t="b">
        <f ca="1">OR(Values!$S$98&gt;=Charms!M1301,IFERROR(Charms!J1301=OFFSET(Values!$A$24,MATCH("S",Values!$T$25:$T$50,0),0),FALSE))</f>
        <v>0</v>
      </c>
      <c r="D1301" t="b">
        <f>VLOOKUP(Charms!J1301,Values!$A$11:$S$59,19,0)&gt;=Charms!L1301</f>
        <v>0</v>
      </c>
      <c r="E1301" t="e">
        <f>OR(ISBLANK(Charms!I1301),(VLOOKUP(Values!$S$6,Castes!$B$2:$F$25,4,0)=Charms!I1301))</f>
        <v>#N/A</v>
      </c>
      <c r="J1301" t="e">
        <f t="shared" ca="1" si="101"/>
        <v>#N/A</v>
      </c>
      <c r="K1301" s="18" t="e">
        <f t="shared" ca="1" si="100"/>
        <v>#N/A</v>
      </c>
      <c r="L1301" t="e">
        <f ca="1">IF(J1301,Charms!B1301,"")</f>
        <v>#N/A</v>
      </c>
      <c r="M1301" t="str">
        <f t="shared" ca="1" si="102"/>
        <v>-</v>
      </c>
      <c r="N1301" s="18" t="str">
        <f t="shared" si="103"/>
        <v>K1272:L1335</v>
      </c>
      <c r="O1301" t="str">
        <f t="shared" si="104"/>
        <v>A1272:A1301</v>
      </c>
    </row>
    <row r="1302" spans="1:15">
      <c r="A1302" s="18" t="str">
        <f>Charms!K1302</f>
        <v>Sail</v>
      </c>
      <c r="B1302" t="str">
        <f>Charms!B1302</f>
        <v>Chaos-Cutting Galley</v>
      </c>
      <c r="C1302" t="b">
        <f ca="1">OR(Values!$S$98&gt;=Charms!M1302,IFERROR(Charms!J1302=OFFSET(Values!$A$24,MATCH("S",Values!$T$25:$T$50,0),0),FALSE))</f>
        <v>0</v>
      </c>
      <c r="D1302" t="b">
        <f>VLOOKUP(Charms!J1302,Values!$A$11:$S$59,19,0)&gt;=Charms!L1302</f>
        <v>0</v>
      </c>
      <c r="E1302" t="e">
        <f>OR(ISBLANK(Charms!I1302),(VLOOKUP(Values!$S$6,Castes!$B$2:$F$25,4,0)=Charms!I1302))</f>
        <v>#N/A</v>
      </c>
      <c r="J1302" t="e">
        <f t="shared" ca="1" si="101"/>
        <v>#N/A</v>
      </c>
      <c r="K1302" s="18" t="e">
        <f t="shared" ca="1" si="100"/>
        <v>#N/A</v>
      </c>
      <c r="L1302" t="e">
        <f ca="1">IF(J1302,Charms!B1302,"")</f>
        <v>#N/A</v>
      </c>
      <c r="M1302" t="str">
        <f t="shared" ca="1" si="102"/>
        <v>-</v>
      </c>
      <c r="N1302" s="18" t="str">
        <f t="shared" si="103"/>
        <v>K1272:L1335</v>
      </c>
      <c r="O1302" t="str">
        <f t="shared" si="104"/>
        <v>A1272:A1302</v>
      </c>
    </row>
    <row r="1303" spans="1:15">
      <c r="A1303" s="18" t="str">
        <f>Charms!K1303</f>
        <v>Sail</v>
      </c>
      <c r="B1303" t="str">
        <f>Charms!B1303</f>
        <v>Blood and Salt Bondage</v>
      </c>
      <c r="C1303" t="b">
        <f ca="1">OR(Values!$S$98&gt;=Charms!M1303,IFERROR(Charms!J1303=OFFSET(Values!$A$24,MATCH("S",Values!$T$25:$T$50,0),0),FALSE))</f>
        <v>0</v>
      </c>
      <c r="D1303" t="b">
        <f>VLOOKUP(Charms!J1303,Values!$A$11:$S$59,19,0)&gt;=Charms!L1303</f>
        <v>0</v>
      </c>
      <c r="E1303" t="e">
        <f>OR(ISBLANK(Charms!I1303),(VLOOKUP(Values!$S$6,Castes!$B$2:$F$25,4,0)=Charms!I1303))</f>
        <v>#N/A</v>
      </c>
      <c r="J1303" t="e">
        <f t="shared" ca="1" si="101"/>
        <v>#N/A</v>
      </c>
      <c r="K1303" s="18" t="e">
        <f t="shared" ca="1" si="100"/>
        <v>#N/A</v>
      </c>
      <c r="L1303" t="e">
        <f ca="1">IF(J1303,Charms!B1303,"")</f>
        <v>#N/A</v>
      </c>
      <c r="M1303" t="str">
        <f t="shared" ca="1" si="102"/>
        <v>-</v>
      </c>
      <c r="N1303" s="18" t="str">
        <f t="shared" si="103"/>
        <v>K1272:L1335</v>
      </c>
      <c r="O1303" t="str">
        <f t="shared" si="104"/>
        <v>A1272:A1303</v>
      </c>
    </row>
    <row r="1304" spans="1:15">
      <c r="A1304" s="18" t="str">
        <f>Charms!K1304</f>
        <v>Sail</v>
      </c>
      <c r="B1304" t="str">
        <f>Charms!B1304</f>
        <v>Ship-Sustaining Spirit</v>
      </c>
      <c r="C1304" t="b">
        <f ca="1">OR(Values!$S$98&gt;=Charms!M1304,IFERROR(Charms!J1304=OFFSET(Values!$A$24,MATCH("S",Values!$T$25:$T$50,0),0),FALSE))</f>
        <v>0</v>
      </c>
      <c r="D1304" t="b">
        <f>VLOOKUP(Charms!J1304,Values!$A$11:$S$59,19,0)&gt;=Charms!L1304</f>
        <v>0</v>
      </c>
      <c r="E1304" t="e">
        <f>OR(ISBLANK(Charms!I1304),(VLOOKUP(Values!$S$6,Castes!$B$2:$F$25,4,0)=Charms!I1304))</f>
        <v>#N/A</v>
      </c>
      <c r="J1304" t="e">
        <f t="shared" ca="1" si="101"/>
        <v>#N/A</v>
      </c>
      <c r="K1304" s="18" t="e">
        <f t="shared" ca="1" si="100"/>
        <v>#N/A</v>
      </c>
      <c r="L1304" t="e">
        <f ca="1">IF(J1304,Charms!B1304,"")</f>
        <v>#N/A</v>
      </c>
      <c r="M1304" t="str">
        <f t="shared" ca="1" si="102"/>
        <v>-</v>
      </c>
      <c r="N1304" s="18" t="str">
        <f t="shared" si="103"/>
        <v>K1272:L1335</v>
      </c>
      <c r="O1304" t="str">
        <f t="shared" si="104"/>
        <v>A1272:A1304</v>
      </c>
    </row>
    <row r="1305" spans="1:15">
      <c r="A1305" s="18" t="str">
        <f>Charms!K1305</f>
        <v>Sail</v>
      </c>
      <c r="B1305" t="str">
        <f>Charms!B1305</f>
        <v>Burning Anima Sails</v>
      </c>
      <c r="C1305" t="b">
        <f ca="1">OR(Values!$S$98&gt;=Charms!M1305,IFERROR(Charms!J1305=OFFSET(Values!$A$24,MATCH("S",Values!$T$25:$T$50,0),0),FALSE))</f>
        <v>0</v>
      </c>
      <c r="D1305" t="b">
        <f>VLOOKUP(Charms!J1305,Values!$A$11:$S$59,19,0)&gt;=Charms!L1305</f>
        <v>0</v>
      </c>
      <c r="E1305" t="e">
        <f>OR(ISBLANK(Charms!I1305),(VLOOKUP(Values!$S$6,Castes!$B$2:$F$25,4,0)=Charms!I1305))</f>
        <v>#N/A</v>
      </c>
      <c r="J1305" t="e">
        <f t="shared" ca="1" si="101"/>
        <v>#N/A</v>
      </c>
      <c r="K1305" s="18" t="e">
        <f t="shared" ca="1" si="100"/>
        <v>#N/A</v>
      </c>
      <c r="L1305" t="e">
        <f ca="1">IF(J1305,Charms!B1305,"")</f>
        <v>#N/A</v>
      </c>
      <c r="M1305" t="str">
        <f t="shared" ca="1" si="102"/>
        <v>-</v>
      </c>
      <c r="N1305" s="18" t="str">
        <f t="shared" si="103"/>
        <v>K1272:L1335</v>
      </c>
      <c r="O1305" t="str">
        <f t="shared" si="104"/>
        <v>A1272:A1305</v>
      </c>
    </row>
    <row r="1306" spans="1:15">
      <c r="A1306" s="18" t="str">
        <f>Charms!K1306</f>
        <v>Sail</v>
      </c>
      <c r="B1306" t="str">
        <f>Charms!B1306</f>
        <v>Storm-Weathering Essence Infusion</v>
      </c>
      <c r="C1306" t="b">
        <f ca="1">OR(Values!$S$98&gt;=Charms!M1306,IFERROR(Charms!J1306=OFFSET(Values!$A$24,MATCH("S",Values!$T$25:$T$50,0),0),FALSE))</f>
        <v>0</v>
      </c>
      <c r="D1306" t="b">
        <f>VLOOKUP(Charms!J1306,Values!$A$11:$S$59,19,0)&gt;=Charms!L1306</f>
        <v>0</v>
      </c>
      <c r="E1306" t="e">
        <f>OR(ISBLANK(Charms!I1306),(VLOOKUP(Values!$S$6,Castes!$B$2:$F$25,4,0)=Charms!I1306))</f>
        <v>#N/A</v>
      </c>
      <c r="J1306" t="e">
        <f t="shared" ca="1" si="101"/>
        <v>#N/A</v>
      </c>
      <c r="K1306" s="18" t="e">
        <f t="shared" ca="1" si="100"/>
        <v>#N/A</v>
      </c>
      <c r="L1306" t="e">
        <f ca="1">IF(J1306,Charms!B1306,"")</f>
        <v>#N/A</v>
      </c>
      <c r="M1306" t="str">
        <f t="shared" ca="1" si="102"/>
        <v>-</v>
      </c>
      <c r="N1306" s="18" t="str">
        <f t="shared" si="103"/>
        <v>K1272:L1335</v>
      </c>
      <c r="O1306" t="str">
        <f t="shared" si="104"/>
        <v>A1272:A1306</v>
      </c>
    </row>
    <row r="1307" spans="1:15">
      <c r="A1307" s="18" t="str">
        <f>Charms!K1307</f>
        <v>Sail</v>
      </c>
      <c r="B1307" t="str">
        <f>Charms!B1307</f>
        <v>Invincible Admiral Method</v>
      </c>
      <c r="C1307" t="b">
        <f ca="1">OR(Values!$S$98&gt;=Charms!M1307,IFERROR(Charms!J1307=OFFSET(Values!$A$24,MATCH("S",Values!$T$25:$T$50,0),0),FALSE))</f>
        <v>0</v>
      </c>
      <c r="D1307" t="b">
        <f>VLOOKUP(Charms!J1307,Values!$A$11:$S$59,19,0)&gt;=Charms!L1307</f>
        <v>0</v>
      </c>
      <c r="E1307" t="e">
        <f>OR(ISBLANK(Charms!I1307),(VLOOKUP(Values!$S$6,Castes!$B$2:$F$25,4,0)=Charms!I1307))</f>
        <v>#N/A</v>
      </c>
      <c r="J1307" t="e">
        <f t="shared" ca="1" si="101"/>
        <v>#N/A</v>
      </c>
      <c r="K1307" s="18" t="e">
        <f t="shared" ca="1" si="100"/>
        <v>#N/A</v>
      </c>
      <c r="L1307" t="e">
        <f ca="1">IF(J1307,Charms!B1307,"")</f>
        <v>#N/A</v>
      </c>
      <c r="M1307" t="str">
        <f t="shared" ca="1" si="102"/>
        <v>-</v>
      </c>
      <c r="N1307" s="18" t="str">
        <f t="shared" si="103"/>
        <v>K1272:L1335</v>
      </c>
      <c r="O1307" t="str">
        <f t="shared" si="104"/>
        <v>A1272:A1307</v>
      </c>
    </row>
    <row r="1308" spans="1:15">
      <c r="A1308" s="18" t="str">
        <f>Charms!K1308</f>
        <v>Sail</v>
      </c>
      <c r="B1308" t="str">
        <f>Charms!B1308</f>
        <v>Sea Devil Training Technique</v>
      </c>
      <c r="C1308" t="b">
        <f ca="1">OR(Values!$S$98&gt;=Charms!M1308,IFERROR(Charms!J1308=OFFSET(Values!$A$24,MATCH("S",Values!$T$25:$T$50,0),0),FALSE))</f>
        <v>0</v>
      </c>
      <c r="D1308" t="b">
        <f>VLOOKUP(Charms!J1308,Values!$A$11:$S$59,19,0)&gt;=Charms!L1308</f>
        <v>0</v>
      </c>
      <c r="E1308" t="e">
        <f>OR(ISBLANK(Charms!I1308),(VLOOKUP(Values!$S$6,Castes!$B$2:$F$25,4,0)=Charms!I1308))</f>
        <v>#N/A</v>
      </c>
      <c r="J1308" t="e">
        <f t="shared" ca="1" si="101"/>
        <v>#N/A</v>
      </c>
      <c r="K1308" s="18" t="e">
        <f t="shared" ca="1" si="100"/>
        <v>#N/A</v>
      </c>
      <c r="L1308" t="e">
        <f ca="1">IF(J1308,Charms!B1308,"")</f>
        <v>#N/A</v>
      </c>
      <c r="M1308" t="str">
        <f t="shared" ca="1" si="102"/>
        <v>-</v>
      </c>
      <c r="N1308" s="18" t="str">
        <f t="shared" si="103"/>
        <v>K1272:L1335</v>
      </c>
      <c r="O1308" t="str">
        <f t="shared" si="104"/>
        <v>A1272:A1308</v>
      </c>
    </row>
    <row r="1309" spans="1:15">
      <c r="A1309" s="18" t="str">
        <f>Charms!K1309</f>
        <v>Sail</v>
      </c>
      <c r="B1309" t="str">
        <f>Charms!B1309</f>
        <v>Ship-Rolling Juggernaut Method</v>
      </c>
      <c r="C1309" t="b">
        <f ca="1">OR(Values!$S$98&gt;=Charms!M1309,IFERROR(Charms!J1309=OFFSET(Values!$A$24,MATCH("S",Values!$T$25:$T$50,0),0),FALSE))</f>
        <v>0</v>
      </c>
      <c r="D1309" t="b">
        <f>VLOOKUP(Charms!J1309,Values!$A$11:$S$59,19,0)&gt;=Charms!L1309</f>
        <v>0</v>
      </c>
      <c r="E1309" t="e">
        <f>OR(ISBLANK(Charms!I1309),(VLOOKUP(Values!$S$6,Castes!$B$2:$F$25,4,0)=Charms!I1309))</f>
        <v>#N/A</v>
      </c>
      <c r="J1309" t="e">
        <f t="shared" ca="1" si="101"/>
        <v>#N/A</v>
      </c>
      <c r="K1309" s="18" t="e">
        <f t="shared" ca="1" si="100"/>
        <v>#N/A</v>
      </c>
      <c r="L1309" t="e">
        <f ca="1">IF(J1309,Charms!B1309,"")</f>
        <v>#N/A</v>
      </c>
      <c r="M1309" t="str">
        <f t="shared" ca="1" si="102"/>
        <v>-</v>
      </c>
      <c r="N1309" s="18" t="str">
        <f t="shared" si="103"/>
        <v>K1272:L1335</v>
      </c>
      <c r="O1309" t="str">
        <f t="shared" si="104"/>
        <v>A1272:A1309</v>
      </c>
    </row>
    <row r="1310" spans="1:15">
      <c r="A1310" s="18" t="str">
        <f>Charms!K1310</f>
        <v>Sail</v>
      </c>
      <c r="B1310" t="str">
        <f>Charms!B1310</f>
        <v>Ship-Razing Renewal</v>
      </c>
      <c r="C1310" t="b">
        <f ca="1">OR(Values!$S$98&gt;=Charms!M1310,IFERROR(Charms!J1310=OFFSET(Values!$A$24,MATCH("S",Values!$T$25:$T$50,0),0),FALSE))</f>
        <v>0</v>
      </c>
      <c r="D1310" t="b">
        <f>VLOOKUP(Charms!J1310,Values!$A$11:$S$59,19,0)&gt;=Charms!L1310</f>
        <v>0</v>
      </c>
      <c r="E1310" t="e">
        <f>OR(ISBLANK(Charms!I1310),(VLOOKUP(Values!$S$6,Castes!$B$2:$F$25,4,0)=Charms!I1310))</f>
        <v>#N/A</v>
      </c>
      <c r="J1310" t="e">
        <f t="shared" ca="1" si="101"/>
        <v>#N/A</v>
      </c>
      <c r="K1310" s="18" t="e">
        <f t="shared" ca="1" si="100"/>
        <v>#N/A</v>
      </c>
      <c r="L1310" t="e">
        <f ca="1">IF(J1310,Charms!B1310,"")</f>
        <v>#N/A</v>
      </c>
      <c r="M1310" t="str">
        <f t="shared" ca="1" si="102"/>
        <v>-</v>
      </c>
      <c r="N1310" s="18" t="str">
        <f t="shared" si="103"/>
        <v>K1272:L1335</v>
      </c>
      <c r="O1310" t="str">
        <f t="shared" si="104"/>
        <v>A1272:A1310</v>
      </c>
    </row>
    <row r="1311" spans="1:15">
      <c r="A1311" s="18" t="str">
        <f>Charms!K1311</f>
        <v>Sail</v>
      </c>
      <c r="B1311" t="str">
        <f>Charms!B1311</f>
        <v>Black Fathoms Blessed</v>
      </c>
      <c r="C1311" t="b">
        <f ca="1">OR(Values!$S$98&gt;=Charms!M1311,IFERROR(Charms!J1311=OFFSET(Values!$A$24,MATCH("S",Values!$T$25:$T$50,0),0),FALSE))</f>
        <v>0</v>
      </c>
      <c r="D1311" t="b">
        <f>VLOOKUP(Charms!J1311,Values!$A$11:$S$59,19,0)&gt;=Charms!L1311</f>
        <v>0</v>
      </c>
      <c r="E1311" t="e">
        <f>OR(ISBLANK(Charms!I1311),(VLOOKUP(Values!$S$6,Castes!$B$2:$F$25,4,0)=Charms!I1311))</f>
        <v>#N/A</v>
      </c>
      <c r="J1311" t="e">
        <f t="shared" ca="1" si="101"/>
        <v>#N/A</v>
      </c>
      <c r="K1311" s="18" t="e">
        <f t="shared" ca="1" si="100"/>
        <v>#N/A</v>
      </c>
      <c r="L1311" t="e">
        <f ca="1">IF(J1311,Charms!B1311,"")</f>
        <v>#N/A</v>
      </c>
      <c r="M1311" t="str">
        <f t="shared" ca="1" si="102"/>
        <v>-</v>
      </c>
      <c r="N1311" s="18" t="str">
        <f t="shared" si="103"/>
        <v>K1272:L1335</v>
      </c>
      <c r="O1311" t="str">
        <f t="shared" si="104"/>
        <v>A1272:A1311</v>
      </c>
    </row>
    <row r="1312" spans="1:15">
      <c r="A1312" s="18" t="str">
        <f>Charms!K1312</f>
        <v>Sail</v>
      </c>
      <c r="B1312" t="str">
        <f>Charms!B1312</f>
        <v>Ash and Storm Aegis</v>
      </c>
      <c r="C1312" t="b">
        <f ca="1">OR(Values!$S$98&gt;=Charms!M1312,IFERROR(Charms!J1312=OFFSET(Values!$A$24,MATCH("S",Values!$T$25:$T$50,0),0),FALSE))</f>
        <v>0</v>
      </c>
      <c r="D1312" t="b">
        <f>VLOOKUP(Charms!J1312,Values!$A$11:$S$59,19,0)&gt;=Charms!L1312</f>
        <v>0</v>
      </c>
      <c r="E1312" t="e">
        <f>OR(ISBLANK(Charms!I1312),(VLOOKUP(Values!$S$6,Castes!$B$2:$F$25,4,0)=Charms!I1312))</f>
        <v>#N/A</v>
      </c>
      <c r="J1312" t="e">
        <f t="shared" ca="1" si="101"/>
        <v>#N/A</v>
      </c>
      <c r="K1312" s="18" t="e">
        <f t="shared" ca="1" si="100"/>
        <v>#N/A</v>
      </c>
      <c r="L1312" t="e">
        <f ca="1">IF(J1312,Charms!B1312,"")</f>
        <v>#N/A</v>
      </c>
      <c r="M1312" t="str">
        <f t="shared" ca="1" si="102"/>
        <v>-</v>
      </c>
      <c r="N1312" s="18" t="str">
        <f t="shared" si="103"/>
        <v>K1272:L1335</v>
      </c>
      <c r="O1312" t="str">
        <f t="shared" si="104"/>
        <v>A1272:A1312</v>
      </c>
    </row>
    <row r="1313" spans="1:15">
      <c r="A1313" s="18" t="str">
        <f>Charms!K1313</f>
        <v>Sail</v>
      </c>
      <c r="B1313" t="str">
        <f>Charms!B1313</f>
        <v>Perfect Reckoning Technique</v>
      </c>
      <c r="C1313" t="b">
        <f ca="1">OR(Values!$S$98&gt;=Charms!M1313,IFERROR(Charms!J1313=OFFSET(Values!$A$24,MATCH("S",Values!$T$25:$T$50,0),0),FALSE))</f>
        <v>0</v>
      </c>
      <c r="D1313" t="b">
        <f>VLOOKUP(Charms!J1313,Values!$A$11:$S$59,19,0)&gt;=Charms!L1313</f>
        <v>0</v>
      </c>
      <c r="E1313" t="e">
        <f>OR(ISBLANK(Charms!I1313),(VLOOKUP(Values!$S$6,Castes!$B$2:$F$25,4,0)=Charms!I1313))</f>
        <v>#N/A</v>
      </c>
      <c r="J1313" t="e">
        <f t="shared" ca="1" si="101"/>
        <v>#N/A</v>
      </c>
      <c r="K1313" s="18" t="e">
        <f t="shared" ca="1" si="100"/>
        <v>#N/A</v>
      </c>
      <c r="L1313" t="e">
        <f ca="1">IF(J1313,Charms!B1313,"")</f>
        <v>#N/A</v>
      </c>
      <c r="M1313" t="str">
        <f t="shared" ca="1" si="102"/>
        <v>-</v>
      </c>
      <c r="N1313" s="18" t="str">
        <f t="shared" si="103"/>
        <v>K1272:L1335</v>
      </c>
      <c r="O1313" t="str">
        <f t="shared" si="104"/>
        <v>A1272:A1313</v>
      </c>
    </row>
    <row r="1314" spans="1:15">
      <c r="A1314" s="18" t="str">
        <f>Charms!K1314</f>
        <v>Sail</v>
      </c>
      <c r="B1314" t="str">
        <f>Charms!B1314</f>
        <v>Mast of Everything Situation</v>
      </c>
      <c r="C1314" t="b">
        <f ca="1">OR(Values!$S$98&gt;=Charms!M1314,IFERROR(Charms!J1314=OFFSET(Values!$A$24,MATCH("S",Values!$T$25:$T$50,0),0),FALSE))</f>
        <v>0</v>
      </c>
      <c r="D1314" t="b">
        <f>VLOOKUP(Charms!J1314,Values!$A$11:$S$59,19,0)&gt;=Charms!L1314</f>
        <v>0</v>
      </c>
      <c r="E1314" t="e">
        <f>OR(ISBLANK(Charms!I1314),(VLOOKUP(Values!$S$6,Castes!$B$2:$F$25,4,0)=Charms!I1314))</f>
        <v>#N/A</v>
      </c>
      <c r="J1314" t="e">
        <f t="shared" ca="1" si="101"/>
        <v>#N/A</v>
      </c>
      <c r="K1314" s="18" t="e">
        <f t="shared" ca="1" si="100"/>
        <v>#N/A</v>
      </c>
      <c r="L1314" t="e">
        <f ca="1">IF(J1314,Charms!B1314,"")</f>
        <v>#N/A</v>
      </c>
      <c r="M1314" t="str">
        <f t="shared" ca="1" si="102"/>
        <v>-</v>
      </c>
      <c r="N1314" s="18" t="str">
        <f t="shared" si="103"/>
        <v>K1272:L1335</v>
      </c>
      <c r="O1314" t="str">
        <f t="shared" si="104"/>
        <v>A1272:A1314</v>
      </c>
    </row>
    <row r="1315" spans="1:15">
      <c r="A1315" s="18" t="str">
        <f>Charms!K1315</f>
        <v>Sail</v>
      </c>
      <c r="B1315" t="str">
        <f>Charms!B1315</f>
        <v>Death-Daring Maneuver</v>
      </c>
      <c r="C1315" t="b">
        <f ca="1">OR(Values!$S$98&gt;=Charms!M1315,IFERROR(Charms!J1315=OFFSET(Values!$A$24,MATCH("S",Values!$T$25:$T$50,0),0),FALSE))</f>
        <v>0</v>
      </c>
      <c r="D1315" t="b">
        <f>VLOOKUP(Charms!J1315,Values!$A$11:$S$59,19,0)&gt;=Charms!L1315</f>
        <v>0</v>
      </c>
      <c r="E1315" t="e">
        <f>OR(ISBLANK(Charms!I1315),(VLOOKUP(Values!$S$6,Castes!$B$2:$F$25,4,0)=Charms!I1315))</f>
        <v>#N/A</v>
      </c>
      <c r="J1315" t="e">
        <f t="shared" ca="1" si="101"/>
        <v>#N/A</v>
      </c>
      <c r="K1315" s="18" t="e">
        <f t="shared" ca="1" si="100"/>
        <v>#N/A</v>
      </c>
      <c r="L1315" t="e">
        <f ca="1">IF(J1315,Charms!B1315,"")</f>
        <v>#N/A</v>
      </c>
      <c r="M1315" t="str">
        <f t="shared" ca="1" si="102"/>
        <v>-</v>
      </c>
      <c r="N1315" s="18" t="str">
        <f t="shared" si="103"/>
        <v>K1272:L1335</v>
      </c>
      <c r="O1315" t="str">
        <f t="shared" si="104"/>
        <v>A1272:A1315</v>
      </c>
    </row>
    <row r="1316" spans="1:15">
      <c r="A1316" s="18" t="str">
        <f>Charms!K1316</f>
        <v>Sail</v>
      </c>
      <c r="B1316" t="str">
        <f>Charms!B1316</f>
        <v>Master and Commander Method</v>
      </c>
      <c r="C1316" t="b">
        <f ca="1">OR(Values!$S$98&gt;=Charms!M1316,IFERROR(Charms!J1316=OFFSET(Values!$A$24,MATCH("S",Values!$T$25:$T$50,0),0),FALSE))</f>
        <v>0</v>
      </c>
      <c r="D1316" t="b">
        <f>VLOOKUP(Charms!J1316,Values!$A$11:$S$59,19,0)&gt;=Charms!L1316</f>
        <v>0</v>
      </c>
      <c r="E1316" t="e">
        <f>OR(ISBLANK(Charms!I1316),(VLOOKUP(Values!$S$6,Castes!$B$2:$F$25,4,0)=Charms!I1316))</f>
        <v>#N/A</v>
      </c>
      <c r="J1316" t="e">
        <f t="shared" ca="1" si="101"/>
        <v>#N/A</v>
      </c>
      <c r="K1316" s="18" t="e">
        <f t="shared" ca="1" si="100"/>
        <v>#N/A</v>
      </c>
      <c r="L1316" t="e">
        <f ca="1">IF(J1316,Charms!B1316,"")</f>
        <v>#N/A</v>
      </c>
      <c r="M1316" t="str">
        <f t="shared" ca="1" si="102"/>
        <v>-</v>
      </c>
      <c r="N1316" s="18" t="str">
        <f t="shared" si="103"/>
        <v>K1272:L1335</v>
      </c>
      <c r="O1316" t="str">
        <f t="shared" si="104"/>
        <v>A1272:A1316</v>
      </c>
    </row>
    <row r="1317" spans="1:15">
      <c r="A1317" s="18" t="str">
        <f>Charms!K1317</f>
        <v>Sail</v>
      </c>
      <c r="B1317" t="str">
        <f>Charms!B1317</f>
        <v>Fine Passage-Negotiating Style</v>
      </c>
      <c r="C1317" t="b">
        <f ca="1">OR(Values!$S$98&gt;=Charms!M1317,IFERROR(Charms!J1317=OFFSET(Values!$A$24,MATCH("S",Values!$T$25:$T$50,0),0),FALSE))</f>
        <v>1</v>
      </c>
      <c r="D1317" t="b">
        <f>VLOOKUP(Charms!J1317,Values!$A$11:$S$59,19,0)&gt;=Charms!L1317</f>
        <v>0</v>
      </c>
      <c r="E1317" t="e">
        <f>OR(ISBLANK(Charms!I1317),(VLOOKUP(Values!$S$6,Castes!$B$2:$F$25,4,0)=Charms!I1317))</f>
        <v>#N/A</v>
      </c>
      <c r="J1317" t="e">
        <f t="shared" ca="1" si="101"/>
        <v>#N/A</v>
      </c>
      <c r="K1317" s="18" t="e">
        <f t="shared" ca="1" si="100"/>
        <v>#N/A</v>
      </c>
      <c r="L1317" t="e">
        <f ca="1">IF(J1317,Charms!B1317,"")</f>
        <v>#N/A</v>
      </c>
      <c r="M1317" t="str">
        <f t="shared" ca="1" si="102"/>
        <v>-</v>
      </c>
      <c r="N1317" s="18" t="str">
        <f t="shared" si="103"/>
        <v>K1272:L1335</v>
      </c>
      <c r="O1317" t="str">
        <f t="shared" si="104"/>
        <v>A1272:A1317</v>
      </c>
    </row>
    <row r="1318" spans="1:15">
      <c r="A1318" s="18" t="str">
        <f>Charms!K1318</f>
        <v>Sail</v>
      </c>
      <c r="B1318" t="str">
        <f>Charms!B1318</f>
        <v>Storm-Outrunning Technique</v>
      </c>
      <c r="C1318" t="b">
        <f ca="1">OR(Values!$S$98&gt;=Charms!M1318,IFERROR(Charms!J1318=OFFSET(Values!$A$24,MATCH("S",Values!$T$25:$T$50,0),0),FALSE))</f>
        <v>1</v>
      </c>
      <c r="D1318" t="b">
        <f>VLOOKUP(Charms!J1318,Values!$A$11:$S$59,19,0)&gt;=Charms!L1318</f>
        <v>0</v>
      </c>
      <c r="E1318" t="e">
        <f>OR(ISBLANK(Charms!I1318),(VLOOKUP(Values!$S$6,Castes!$B$2:$F$25,4,0)=Charms!I1318))</f>
        <v>#N/A</v>
      </c>
      <c r="J1318" t="e">
        <f t="shared" ca="1" si="101"/>
        <v>#N/A</v>
      </c>
      <c r="K1318" s="18" t="e">
        <f t="shared" ca="1" si="100"/>
        <v>#N/A</v>
      </c>
      <c r="L1318" t="e">
        <f ca="1">IF(J1318,Charms!B1318,"")</f>
        <v>#N/A</v>
      </c>
      <c r="M1318" t="str">
        <f t="shared" ca="1" si="102"/>
        <v>-</v>
      </c>
      <c r="N1318" s="18" t="str">
        <f t="shared" si="103"/>
        <v>K1272:L1335</v>
      </c>
      <c r="O1318" t="str">
        <f t="shared" si="104"/>
        <v>A1272:A1318</v>
      </c>
    </row>
    <row r="1319" spans="1:15">
      <c r="A1319" s="18" t="str">
        <f>Charms!K1319</f>
        <v>Sail</v>
      </c>
      <c r="B1319" t="str">
        <f>Charms!B1319</f>
        <v>Dragon Mariner Attitude</v>
      </c>
      <c r="C1319" t="b">
        <f ca="1">OR(Values!$S$98&gt;=Charms!M1319,IFERROR(Charms!J1319=OFFSET(Values!$A$24,MATCH("S",Values!$T$25:$T$50,0),0),FALSE))</f>
        <v>1</v>
      </c>
      <c r="D1319" t="b">
        <f>VLOOKUP(Charms!J1319,Values!$A$11:$S$59,19,0)&gt;=Charms!L1319</f>
        <v>0</v>
      </c>
      <c r="E1319" t="e">
        <f>OR(ISBLANK(Charms!I1319),(VLOOKUP(Values!$S$6,Castes!$B$2:$F$25,4,0)=Charms!I1319))</f>
        <v>#N/A</v>
      </c>
      <c r="J1319" t="e">
        <f t="shared" ca="1" si="101"/>
        <v>#N/A</v>
      </c>
      <c r="K1319" s="18" t="e">
        <f t="shared" ca="1" si="100"/>
        <v>#N/A</v>
      </c>
      <c r="L1319" t="e">
        <f ca="1">IF(J1319,Charms!B1319,"")</f>
        <v>#N/A</v>
      </c>
      <c r="M1319" t="str">
        <f t="shared" ca="1" si="102"/>
        <v>-</v>
      </c>
      <c r="N1319" s="18" t="str">
        <f t="shared" si="103"/>
        <v>K1272:L1335</v>
      </c>
      <c r="O1319" t="str">
        <f t="shared" si="104"/>
        <v>A1272:A1319</v>
      </c>
    </row>
    <row r="1320" spans="1:15">
      <c r="A1320" s="18" t="str">
        <f>Charms!K1320</f>
        <v>Sail</v>
      </c>
      <c r="B1320" t="str">
        <f>Charms!B1320</f>
        <v>Deck-Striding Prana</v>
      </c>
      <c r="C1320" t="b">
        <f ca="1">OR(Values!$S$98&gt;=Charms!M1320,IFERROR(Charms!J1320=OFFSET(Values!$A$24,MATCH("S",Values!$T$25:$T$50,0),0),FALSE))</f>
        <v>1</v>
      </c>
      <c r="D1320" t="b">
        <f>VLOOKUP(Charms!J1320,Values!$A$11:$S$59,19,0)&gt;=Charms!L1320</f>
        <v>0</v>
      </c>
      <c r="E1320" t="e">
        <f>OR(ISBLANK(Charms!I1320),(VLOOKUP(Values!$S$6,Castes!$B$2:$F$25,4,0)=Charms!I1320))</f>
        <v>#N/A</v>
      </c>
      <c r="J1320" t="e">
        <f t="shared" ca="1" si="101"/>
        <v>#N/A</v>
      </c>
      <c r="K1320" s="18" t="e">
        <f t="shared" ca="1" si="100"/>
        <v>#N/A</v>
      </c>
      <c r="L1320" t="e">
        <f ca="1">IF(J1320,Charms!B1320,"")</f>
        <v>#N/A</v>
      </c>
      <c r="M1320" t="str">
        <f t="shared" ca="1" si="102"/>
        <v>-</v>
      </c>
      <c r="N1320" s="18" t="str">
        <f t="shared" si="103"/>
        <v>K1272:L1335</v>
      </c>
      <c r="O1320" t="str">
        <f t="shared" si="104"/>
        <v>A1272:A1320</v>
      </c>
    </row>
    <row r="1321" spans="1:15">
      <c r="A1321" s="18" t="str">
        <f>Charms!K1321</f>
        <v>Sail</v>
      </c>
      <c r="B1321" t="str">
        <f>Charms!B1321</f>
        <v>Ocean-Darting Maneuver</v>
      </c>
      <c r="C1321" t="b">
        <f ca="1">OR(Values!$S$98&gt;=Charms!M1321,IFERROR(Charms!J1321=OFFSET(Values!$A$24,MATCH("S",Values!$T$25:$T$50,0),0),FALSE))</f>
        <v>1</v>
      </c>
      <c r="D1321" t="b">
        <f>VLOOKUP(Charms!J1321,Values!$A$11:$S$59,19,0)&gt;=Charms!L1321</f>
        <v>0</v>
      </c>
      <c r="E1321" t="e">
        <f>OR(ISBLANK(Charms!I1321),(VLOOKUP(Values!$S$6,Castes!$B$2:$F$25,4,0)=Charms!I1321))</f>
        <v>#N/A</v>
      </c>
      <c r="J1321" t="e">
        <f t="shared" ca="1" si="101"/>
        <v>#N/A</v>
      </c>
      <c r="K1321" s="18" t="e">
        <f t="shared" ca="1" si="100"/>
        <v>#N/A</v>
      </c>
      <c r="L1321" t="e">
        <f ca="1">IF(J1321,Charms!B1321,"")</f>
        <v>#N/A</v>
      </c>
      <c r="M1321" t="str">
        <f t="shared" ca="1" si="102"/>
        <v>-</v>
      </c>
      <c r="N1321" s="18" t="str">
        <f t="shared" si="103"/>
        <v>K1272:L1335</v>
      </c>
      <c r="O1321" t="str">
        <f t="shared" si="104"/>
        <v>A1272:A1321</v>
      </c>
    </row>
    <row r="1322" spans="1:15">
      <c r="A1322" s="18" t="str">
        <f>Charms!K1322</f>
        <v>Sail</v>
      </c>
      <c r="B1322" t="str">
        <f>Charms!B1322</f>
        <v>Hurricane-Predicting Glance</v>
      </c>
      <c r="C1322" t="b">
        <f ca="1">OR(Values!$S$98&gt;=Charms!M1322,IFERROR(Charms!J1322=OFFSET(Values!$A$24,MATCH("S",Values!$T$25:$T$50,0),0),FALSE))</f>
        <v>1</v>
      </c>
      <c r="D1322" t="b">
        <f>VLOOKUP(Charms!J1322,Values!$A$11:$S$59,19,0)&gt;=Charms!L1322</f>
        <v>0</v>
      </c>
      <c r="E1322" t="e">
        <f>OR(ISBLANK(Charms!I1322),(VLOOKUP(Values!$S$6,Castes!$B$2:$F$25,4,0)=Charms!I1322))</f>
        <v>#N/A</v>
      </c>
      <c r="J1322" t="e">
        <f t="shared" ca="1" si="101"/>
        <v>#N/A</v>
      </c>
      <c r="K1322" s="18" t="e">
        <f t="shared" ca="1" si="100"/>
        <v>#N/A</v>
      </c>
      <c r="L1322" t="e">
        <f ca="1">IF(J1322,Charms!B1322,"")</f>
        <v>#N/A</v>
      </c>
      <c r="M1322" t="str">
        <f t="shared" ca="1" si="102"/>
        <v>-</v>
      </c>
      <c r="N1322" s="18" t="str">
        <f t="shared" si="103"/>
        <v>K1272:L1335</v>
      </c>
      <c r="O1322" t="str">
        <f t="shared" si="104"/>
        <v>A1272:A1322</v>
      </c>
    </row>
    <row r="1323" spans="1:15">
      <c r="A1323" s="18" t="str">
        <f>Charms!K1323</f>
        <v>Sail</v>
      </c>
      <c r="B1323" t="str">
        <f>Charms!B1323</f>
        <v>Old Salt Spirit</v>
      </c>
      <c r="C1323" t="b">
        <f ca="1">OR(Values!$S$98&gt;=Charms!M1323,IFERROR(Charms!J1323=OFFSET(Values!$A$24,MATCH("S",Values!$T$25:$T$50,0),0),FALSE))</f>
        <v>0</v>
      </c>
      <c r="D1323" t="b">
        <f>VLOOKUP(Charms!J1323,Values!$A$11:$S$59,19,0)&gt;=Charms!L1323</f>
        <v>0</v>
      </c>
      <c r="E1323" t="e">
        <f>OR(ISBLANK(Charms!I1323),(VLOOKUP(Values!$S$6,Castes!$B$2:$F$25,4,0)=Charms!I1323))</f>
        <v>#N/A</v>
      </c>
      <c r="J1323" t="e">
        <f t="shared" ca="1" si="101"/>
        <v>#N/A</v>
      </c>
      <c r="K1323" s="18" t="e">
        <f t="shared" ca="1" si="100"/>
        <v>#N/A</v>
      </c>
      <c r="L1323" t="e">
        <f ca="1">IF(J1323,Charms!B1323,"")</f>
        <v>#N/A</v>
      </c>
      <c r="M1323" t="str">
        <f t="shared" ca="1" si="102"/>
        <v>-</v>
      </c>
      <c r="N1323" s="18" t="str">
        <f t="shared" si="103"/>
        <v>K1272:L1335</v>
      </c>
      <c r="O1323" t="str">
        <f t="shared" si="104"/>
        <v>A1272:A1323</v>
      </c>
    </row>
    <row r="1324" spans="1:15">
      <c r="A1324" s="18" t="str">
        <f>Charms!K1324</f>
        <v>Sail</v>
      </c>
      <c r="B1324" t="str">
        <f>Charms!B1324</f>
        <v>Seven Seas Wind-Luring Chanty</v>
      </c>
      <c r="C1324" t="b">
        <f ca="1">OR(Values!$S$98&gt;=Charms!M1324,IFERROR(Charms!J1324=OFFSET(Values!$A$24,MATCH("S",Values!$T$25:$T$50,0),0),FALSE))</f>
        <v>0</v>
      </c>
      <c r="D1324" t="b">
        <f>VLOOKUP(Charms!J1324,Values!$A$11:$S$59,19,0)&gt;=Charms!L1324</f>
        <v>0</v>
      </c>
      <c r="E1324" t="e">
        <f>OR(ISBLANK(Charms!I1324),(VLOOKUP(Values!$S$6,Castes!$B$2:$F$25,4,0)=Charms!I1324))</f>
        <v>#N/A</v>
      </c>
      <c r="J1324" t="e">
        <f t="shared" ca="1" si="101"/>
        <v>#N/A</v>
      </c>
      <c r="K1324" s="18" t="e">
        <f t="shared" ca="1" si="100"/>
        <v>#N/A</v>
      </c>
      <c r="L1324" t="e">
        <f ca="1">IF(J1324,Charms!B1324,"")</f>
        <v>#N/A</v>
      </c>
      <c r="M1324" t="str">
        <f t="shared" ca="1" si="102"/>
        <v>-</v>
      </c>
      <c r="N1324" s="18" t="str">
        <f t="shared" si="103"/>
        <v>K1272:L1335</v>
      </c>
      <c r="O1324" t="str">
        <f t="shared" si="104"/>
        <v>A1272:A1324</v>
      </c>
    </row>
    <row r="1325" spans="1:15">
      <c r="A1325" s="18" t="str">
        <f>Charms!K1325</f>
        <v>Sail</v>
      </c>
      <c r="B1325" t="str">
        <f>Charms!B1325</f>
        <v>Sturdy Bulkhead Concentration</v>
      </c>
      <c r="C1325" t="b">
        <f ca="1">OR(Values!$S$98&gt;=Charms!M1325,IFERROR(Charms!J1325=OFFSET(Values!$A$24,MATCH("S",Values!$T$25:$T$50,0),0),FALSE))</f>
        <v>0</v>
      </c>
      <c r="D1325" t="b">
        <f>VLOOKUP(Charms!J1325,Values!$A$11:$S$59,19,0)&gt;=Charms!L1325</f>
        <v>0</v>
      </c>
      <c r="E1325" t="e">
        <f>OR(ISBLANK(Charms!I1325),(VLOOKUP(Values!$S$6,Castes!$B$2:$F$25,4,0)=Charms!I1325))</f>
        <v>#N/A</v>
      </c>
      <c r="J1325" t="e">
        <f t="shared" ca="1" si="101"/>
        <v>#N/A</v>
      </c>
      <c r="K1325" s="18" t="e">
        <f t="shared" ca="1" si="100"/>
        <v>#N/A</v>
      </c>
      <c r="L1325" t="e">
        <f ca="1">IF(J1325,Charms!B1325,"")</f>
        <v>#N/A</v>
      </c>
      <c r="M1325" t="str">
        <f t="shared" ca="1" si="102"/>
        <v>-</v>
      </c>
      <c r="N1325" s="18" t="str">
        <f t="shared" si="103"/>
        <v>K1272:L1335</v>
      </c>
      <c r="O1325" t="str">
        <f t="shared" si="104"/>
        <v>A1272:A1325</v>
      </c>
    </row>
    <row r="1326" spans="1:15">
      <c r="A1326" s="18" t="str">
        <f>Charms!K1326</f>
        <v>Sail</v>
      </c>
      <c r="B1326" t="str">
        <f>Charms!B1326</f>
        <v>Vanishing Fog-Bank Escape</v>
      </c>
      <c r="C1326" t="b">
        <f ca="1">OR(Values!$S$98&gt;=Charms!M1326,IFERROR(Charms!J1326=OFFSET(Values!$A$24,MATCH("S",Values!$T$25:$T$50,0),0),FALSE))</f>
        <v>0</v>
      </c>
      <c r="D1326" t="b">
        <f>VLOOKUP(Charms!J1326,Values!$A$11:$S$59,19,0)&gt;=Charms!L1326</f>
        <v>0</v>
      </c>
      <c r="E1326" t="e">
        <f>OR(ISBLANK(Charms!I1326),(VLOOKUP(Values!$S$6,Castes!$B$2:$F$25,4,0)=Charms!I1326))</f>
        <v>#N/A</v>
      </c>
      <c r="J1326" t="e">
        <f t="shared" ca="1" si="101"/>
        <v>#N/A</v>
      </c>
      <c r="K1326" s="18" t="e">
        <f t="shared" ca="1" si="100"/>
        <v>#N/A</v>
      </c>
      <c r="L1326" t="e">
        <f ca="1">IF(J1326,Charms!B1326,"")</f>
        <v>#N/A</v>
      </c>
      <c r="M1326" t="str">
        <f t="shared" ca="1" si="102"/>
        <v>-</v>
      </c>
      <c r="N1326" s="18" t="str">
        <f t="shared" si="103"/>
        <v>K1272:L1335</v>
      </c>
      <c r="O1326" t="str">
        <f t="shared" si="104"/>
        <v>A1272:A1326</v>
      </c>
    </row>
    <row r="1327" spans="1:15">
      <c r="A1327" s="18" t="str">
        <f>Charms!K1327</f>
        <v>Sail</v>
      </c>
      <c r="B1327" t="str">
        <f>Charms!B1327</f>
        <v>Storm-Singer’s Reprieve</v>
      </c>
      <c r="C1327" t="b">
        <f ca="1">OR(Values!$S$98&gt;=Charms!M1327,IFERROR(Charms!J1327=OFFSET(Values!$A$24,MATCH("S",Values!$T$25:$T$50,0),0),FALSE))</f>
        <v>0</v>
      </c>
      <c r="D1327" t="b">
        <f>VLOOKUP(Charms!J1327,Values!$A$11:$S$59,19,0)&gt;=Charms!L1327</f>
        <v>0</v>
      </c>
      <c r="E1327" t="e">
        <f>OR(ISBLANK(Charms!I1327),(VLOOKUP(Values!$S$6,Castes!$B$2:$F$25,4,0)=Charms!I1327))</f>
        <v>#N/A</v>
      </c>
      <c r="J1327" t="e">
        <f t="shared" ca="1" si="101"/>
        <v>#N/A</v>
      </c>
      <c r="K1327" s="18" t="e">
        <f t="shared" ca="1" si="100"/>
        <v>#N/A</v>
      </c>
      <c r="L1327" t="e">
        <f ca="1">IF(J1327,Charms!B1327,"")</f>
        <v>#N/A</v>
      </c>
      <c r="M1327" t="str">
        <f t="shared" ca="1" si="102"/>
        <v>-</v>
      </c>
      <c r="N1327" s="18" t="str">
        <f t="shared" si="103"/>
        <v>K1272:L1335</v>
      </c>
      <c r="O1327" t="str">
        <f t="shared" si="104"/>
        <v>A1272:A1327</v>
      </c>
    </row>
    <row r="1328" spans="1:15">
      <c r="A1328" s="18" t="str">
        <f>Charms!K1328</f>
        <v>Sail</v>
      </c>
      <c r="B1328" t="str">
        <f>Charms!B1328</f>
        <v>Hull-Shattering Avalanche Impact</v>
      </c>
      <c r="C1328" t="b">
        <f ca="1">OR(Values!$S$98&gt;=Charms!M1328,IFERROR(Charms!J1328=OFFSET(Values!$A$24,MATCH("S",Values!$T$25:$T$50,0),0),FALSE))</f>
        <v>0</v>
      </c>
      <c r="D1328" t="b">
        <f>VLOOKUP(Charms!J1328,Values!$A$11:$S$59,19,0)&gt;=Charms!L1328</f>
        <v>0</v>
      </c>
      <c r="E1328" t="e">
        <f>OR(ISBLANK(Charms!I1328),(VLOOKUP(Values!$S$6,Castes!$B$2:$F$25,4,0)=Charms!I1328))</f>
        <v>#N/A</v>
      </c>
      <c r="J1328" t="e">
        <f t="shared" ca="1" si="101"/>
        <v>#N/A</v>
      </c>
      <c r="K1328" s="18" t="e">
        <f t="shared" ca="1" si="100"/>
        <v>#N/A</v>
      </c>
      <c r="L1328" t="e">
        <f ca="1">IF(J1328,Charms!B1328,"")</f>
        <v>#N/A</v>
      </c>
      <c r="M1328" t="str">
        <f t="shared" ca="1" si="102"/>
        <v>-</v>
      </c>
      <c r="N1328" s="18" t="str">
        <f t="shared" si="103"/>
        <v>K1272:L1335</v>
      </c>
      <c r="O1328" t="str">
        <f t="shared" si="104"/>
        <v>A1272:A1328</v>
      </c>
    </row>
    <row r="1329" spans="1:15">
      <c r="A1329" s="18" t="str">
        <f>Charms!K1329</f>
        <v>Sail</v>
      </c>
      <c r="B1329" t="str">
        <f>Charms!B1329</f>
        <v>Dragon Sets the Seas Ablaze</v>
      </c>
      <c r="C1329" t="b">
        <f ca="1">OR(Values!$S$98&gt;=Charms!M1329,IFERROR(Charms!J1329=OFFSET(Values!$A$24,MATCH("S",Values!$T$25:$T$50,0),0),FALSE))</f>
        <v>0</v>
      </c>
      <c r="D1329" t="b">
        <f>VLOOKUP(Charms!J1329,Values!$A$11:$S$59,19,0)&gt;=Charms!L1329</f>
        <v>0</v>
      </c>
      <c r="E1329" t="e">
        <f>OR(ISBLANK(Charms!I1329),(VLOOKUP(Values!$S$6,Castes!$B$2:$F$25,4,0)=Charms!I1329))</f>
        <v>#N/A</v>
      </c>
      <c r="J1329" t="e">
        <f t="shared" ca="1" si="101"/>
        <v>#N/A</v>
      </c>
      <c r="K1329" s="18" t="e">
        <f t="shared" ca="1" si="100"/>
        <v>#N/A</v>
      </c>
      <c r="L1329" t="e">
        <f ca="1">IF(J1329,Charms!B1329,"")</f>
        <v>#N/A</v>
      </c>
      <c r="M1329" t="str">
        <f t="shared" ca="1" si="102"/>
        <v>-</v>
      </c>
      <c r="N1329" s="18" t="str">
        <f t="shared" si="103"/>
        <v>K1272:L1335</v>
      </c>
      <c r="O1329" t="str">
        <f t="shared" si="104"/>
        <v>A1272:A1329</v>
      </c>
    </row>
    <row r="1330" spans="1:15">
      <c r="A1330" s="18" t="str">
        <f>Charms!K1330</f>
        <v>Sail</v>
      </c>
      <c r="B1330" t="str">
        <f>Charms!B1330</f>
        <v>Shipwreck-Strewn Tempest Wake</v>
      </c>
      <c r="C1330" t="b">
        <f ca="1">OR(Values!$S$98&gt;=Charms!M1330,IFERROR(Charms!J1330=OFFSET(Values!$A$24,MATCH("S",Values!$T$25:$T$50,0),0),FALSE))</f>
        <v>0</v>
      </c>
      <c r="D1330" t="b">
        <f>VLOOKUP(Charms!J1330,Values!$A$11:$S$59,19,0)&gt;=Charms!L1330</f>
        <v>0</v>
      </c>
      <c r="E1330" t="e">
        <f>OR(ISBLANK(Charms!I1330),(VLOOKUP(Values!$S$6,Castes!$B$2:$F$25,4,0)=Charms!I1330))</f>
        <v>#N/A</v>
      </c>
      <c r="J1330" t="e">
        <f t="shared" ca="1" si="101"/>
        <v>#N/A</v>
      </c>
      <c r="K1330" s="18" t="e">
        <f t="shared" ca="1" si="100"/>
        <v>#N/A</v>
      </c>
      <c r="L1330" t="e">
        <f ca="1">IF(J1330,Charms!B1330,"")</f>
        <v>#N/A</v>
      </c>
      <c r="M1330" t="str">
        <f t="shared" ca="1" si="102"/>
        <v>-</v>
      </c>
      <c r="N1330" s="18" t="str">
        <f t="shared" si="103"/>
        <v>K1272:L1335</v>
      </c>
      <c r="O1330" t="str">
        <f t="shared" si="104"/>
        <v>A1272:A1330</v>
      </c>
    </row>
    <row r="1331" spans="1:15">
      <c r="A1331" s="18" t="str">
        <f>Charms!K1331</f>
        <v>Sail</v>
      </c>
      <c r="B1331" t="str">
        <f>Charms!B1331</f>
        <v>Benediction of the Living Ship</v>
      </c>
      <c r="C1331" t="b">
        <f ca="1">OR(Values!$S$98&gt;=Charms!M1331,IFERROR(Charms!J1331=OFFSET(Values!$A$24,MATCH("S",Values!$T$25:$T$50,0),0),FALSE))</f>
        <v>0</v>
      </c>
      <c r="D1331" t="b">
        <f>VLOOKUP(Charms!J1331,Values!$A$11:$S$59,19,0)&gt;=Charms!L1331</f>
        <v>0</v>
      </c>
      <c r="E1331" t="e">
        <f>OR(ISBLANK(Charms!I1331),(VLOOKUP(Values!$S$6,Castes!$B$2:$F$25,4,0)=Charms!I1331))</f>
        <v>#N/A</v>
      </c>
      <c r="J1331" t="e">
        <f t="shared" ca="1" si="101"/>
        <v>#N/A</v>
      </c>
      <c r="K1331" s="18" t="e">
        <f t="shared" ca="1" si="100"/>
        <v>#N/A</v>
      </c>
      <c r="L1331" t="e">
        <f ca="1">IF(J1331,Charms!B1331,"")</f>
        <v>#N/A</v>
      </c>
      <c r="M1331" t="str">
        <f t="shared" ca="1" si="102"/>
        <v>-</v>
      </c>
      <c r="N1331" s="18" t="str">
        <f t="shared" si="103"/>
        <v>K1272:L1335</v>
      </c>
      <c r="O1331" t="str">
        <f t="shared" si="104"/>
        <v>A1272:A1331</v>
      </c>
    </row>
    <row r="1332" spans="1:15">
      <c r="A1332" s="18" t="str">
        <f>Charms!K1332</f>
        <v>Sail</v>
      </c>
      <c r="B1332" t="str">
        <f>Charms!B1332</f>
        <v>Pirate-Masquerading Method</v>
      </c>
      <c r="C1332" t="b">
        <f ca="1">OR(Values!$S$98&gt;=Charms!M1332,IFERROR(Charms!J1332=OFFSET(Values!$A$24,MATCH("S",Values!$T$25:$T$50,0),0),FALSE))</f>
        <v>0</v>
      </c>
      <c r="D1332" t="b">
        <f>VLOOKUP(Charms!J1332,Values!$A$11:$S$59,19,0)&gt;=Charms!L1332</f>
        <v>0</v>
      </c>
      <c r="E1332" t="e">
        <f>OR(ISBLANK(Charms!I1332),(VLOOKUP(Values!$S$6,Castes!$B$2:$F$25,4,0)=Charms!I1332))</f>
        <v>#N/A</v>
      </c>
      <c r="J1332" t="e">
        <f t="shared" ca="1" si="101"/>
        <v>#N/A</v>
      </c>
      <c r="K1332" s="18" t="e">
        <f t="shared" ca="1" si="100"/>
        <v>#N/A</v>
      </c>
      <c r="L1332" t="e">
        <f ca="1">IF(J1332,Charms!B1332,"")</f>
        <v>#N/A</v>
      </c>
      <c r="M1332" t="str">
        <f t="shared" ca="1" si="102"/>
        <v>-</v>
      </c>
      <c r="N1332" s="18" t="str">
        <f t="shared" si="103"/>
        <v>K1272:L1335</v>
      </c>
      <c r="O1332" t="str">
        <f t="shared" si="104"/>
        <v>A1272:A1332</v>
      </c>
    </row>
    <row r="1333" spans="1:15">
      <c r="A1333" s="18" t="str">
        <f>Charms!K1333</f>
        <v>Sail</v>
      </c>
      <c r="B1333" t="str">
        <f>Charms!B1333</f>
        <v>Bellowing Thunder Admiral</v>
      </c>
      <c r="C1333" t="b">
        <f ca="1">OR(Values!$S$98&gt;=Charms!M1333,IFERROR(Charms!J1333=OFFSET(Values!$A$24,MATCH("S",Values!$T$25:$T$50,0),0),FALSE))</f>
        <v>0</v>
      </c>
      <c r="D1333" t="b">
        <f>VLOOKUP(Charms!J1333,Values!$A$11:$S$59,19,0)&gt;=Charms!L1333</f>
        <v>0</v>
      </c>
      <c r="E1333" t="e">
        <f>OR(ISBLANK(Charms!I1333),(VLOOKUP(Values!$S$6,Castes!$B$2:$F$25,4,0)=Charms!I1333))</f>
        <v>#N/A</v>
      </c>
      <c r="J1333" t="e">
        <f t="shared" ca="1" si="101"/>
        <v>#N/A</v>
      </c>
      <c r="K1333" s="18" t="e">
        <f t="shared" ca="1" si="100"/>
        <v>#N/A</v>
      </c>
      <c r="L1333" t="e">
        <f ca="1">IF(J1333,Charms!B1333,"")</f>
        <v>#N/A</v>
      </c>
      <c r="M1333" t="str">
        <f t="shared" ca="1" si="102"/>
        <v>-</v>
      </c>
      <c r="N1333" s="18" t="str">
        <f t="shared" si="103"/>
        <v>K1272:L1335</v>
      </c>
      <c r="O1333" t="str">
        <f t="shared" si="104"/>
        <v>A1272:A1333</v>
      </c>
    </row>
    <row r="1334" spans="1:15">
      <c r="A1334" s="18" t="str">
        <f>Charms!K1334</f>
        <v>Sail</v>
      </c>
      <c r="B1334" t="str">
        <f>Charms!B1334</f>
        <v>Ship-Seizing Dragon Talon</v>
      </c>
      <c r="C1334" t="b">
        <f ca="1">OR(Values!$S$98&gt;=Charms!M1334,IFERROR(Charms!J1334=OFFSET(Values!$A$24,MATCH("S",Values!$T$25:$T$50,0),0),FALSE))</f>
        <v>0</v>
      </c>
      <c r="D1334" t="b">
        <f>VLOOKUP(Charms!J1334,Values!$A$11:$S$59,19,0)&gt;=Charms!L1334</f>
        <v>0</v>
      </c>
      <c r="E1334" t="e">
        <f>OR(ISBLANK(Charms!I1334),(VLOOKUP(Values!$S$6,Castes!$B$2:$F$25,4,0)=Charms!I1334))</f>
        <v>#N/A</v>
      </c>
      <c r="J1334" t="e">
        <f t="shared" ca="1" si="101"/>
        <v>#N/A</v>
      </c>
      <c r="K1334" s="18" t="e">
        <f t="shared" ca="1" si="100"/>
        <v>#N/A</v>
      </c>
      <c r="L1334" t="e">
        <f ca="1">IF(J1334,Charms!B1334,"")</f>
        <v>#N/A</v>
      </c>
      <c r="M1334" t="str">
        <f t="shared" ca="1" si="102"/>
        <v>-</v>
      </c>
      <c r="N1334" s="18" t="str">
        <f t="shared" si="103"/>
        <v>K1272:L1335</v>
      </c>
      <c r="O1334" t="str">
        <f t="shared" si="104"/>
        <v>A1272:A1334</v>
      </c>
    </row>
    <row r="1335" spans="1:15">
      <c r="A1335" s="18" t="str">
        <f>Charms!K1335</f>
        <v>Sail</v>
      </c>
      <c r="B1335" t="str">
        <f>Charms!B1335</f>
        <v>Fog Shroud Ambush</v>
      </c>
      <c r="C1335" t="b">
        <f ca="1">OR(Values!$S$98&gt;=Charms!M1335,IFERROR(Charms!J1335=OFFSET(Values!$A$24,MATCH("S",Values!$T$25:$T$50,0),0),FALSE))</f>
        <v>0</v>
      </c>
      <c r="D1335" t="b">
        <f>VLOOKUP(Charms!J1335,Values!$A$11:$S$59,19,0)&gt;=Charms!L1335</f>
        <v>0</v>
      </c>
      <c r="E1335" t="e">
        <f>OR(ISBLANK(Charms!I1335),(VLOOKUP(Values!$S$6,Castes!$B$2:$F$25,4,0)=Charms!I1335))</f>
        <v>#N/A</v>
      </c>
      <c r="J1335" t="e">
        <f t="shared" ca="1" si="101"/>
        <v>#N/A</v>
      </c>
      <c r="K1335" s="18" t="e">
        <f t="shared" ca="1" si="100"/>
        <v>#N/A</v>
      </c>
      <c r="L1335" t="e">
        <f ca="1">IF(J1335,Charms!B1335,"")</f>
        <v>#N/A</v>
      </c>
      <c r="M1335" t="str">
        <f t="shared" ca="1" si="102"/>
        <v>-</v>
      </c>
      <c r="N1335" s="18" t="str">
        <f t="shared" si="103"/>
        <v>K1272:L1335</v>
      </c>
      <c r="O1335" t="str">
        <f t="shared" si="104"/>
        <v>A1272:A1335</v>
      </c>
    </row>
    <row r="1336" spans="1:15">
      <c r="A1336" s="18" t="str">
        <f>Charms!K1336</f>
        <v>Socialize</v>
      </c>
      <c r="B1336" t="str">
        <f>Charms!B1336</f>
        <v>Mastery of Small Manners</v>
      </c>
      <c r="C1336" t="b">
        <f ca="1">OR(Values!$S$98&gt;=Charms!M1336,IFERROR(Charms!J1336=OFFSET(Values!$A$24,MATCH("S",Values!$T$25:$T$50,0),0),FALSE))</f>
        <v>1</v>
      </c>
      <c r="D1336" t="b">
        <f>VLOOKUP(Charms!J1336,Values!$A$11:$S$59,19,0)&gt;=Charms!L1336</f>
        <v>0</v>
      </c>
      <c r="E1336" t="e">
        <f>OR(ISBLANK(Charms!I1336),(VLOOKUP(Values!$S$6,Castes!$B$2:$F$25,4,0)=Charms!I1336))</f>
        <v>#N/A</v>
      </c>
      <c r="J1336" t="e">
        <f t="shared" ca="1" si="101"/>
        <v>#N/A</v>
      </c>
      <c r="K1336" s="18" t="e">
        <f t="shared" ca="1" si="100"/>
        <v>#N/A</v>
      </c>
      <c r="L1336" t="e">
        <f ca="1">IF(J1336,Charms!B1336,"")</f>
        <v>#N/A</v>
      </c>
      <c r="M1336" t="str">
        <f t="shared" ca="1" si="102"/>
        <v>-</v>
      </c>
      <c r="N1336" s="18" t="str">
        <f t="shared" si="103"/>
        <v>K1336:L1409</v>
      </c>
      <c r="O1336" t="str">
        <f t="shared" si="104"/>
        <v>A1336:A1336</v>
      </c>
    </row>
    <row r="1337" spans="1:15">
      <c r="A1337" s="18" t="str">
        <f>Charms!K1337</f>
        <v>Socialize</v>
      </c>
      <c r="B1337" t="str">
        <f>Charms!B1337</f>
        <v>Motive-Discerning Technique</v>
      </c>
      <c r="C1337" t="b">
        <f ca="1">OR(Values!$S$98&gt;=Charms!M1337,IFERROR(Charms!J1337=OFFSET(Values!$A$24,MATCH("S",Values!$T$25:$T$50,0),0),FALSE))</f>
        <v>1</v>
      </c>
      <c r="D1337" t="b">
        <f>VLOOKUP(Charms!J1337,Values!$A$11:$S$59,19,0)&gt;=Charms!L1337</f>
        <v>0</v>
      </c>
      <c r="E1337" t="e">
        <f>OR(ISBLANK(Charms!I1337),(VLOOKUP(Values!$S$6,Castes!$B$2:$F$25,4,0)=Charms!I1337))</f>
        <v>#N/A</v>
      </c>
      <c r="J1337" t="e">
        <f t="shared" ca="1" si="101"/>
        <v>#N/A</v>
      </c>
      <c r="K1337" s="18" t="e">
        <f t="shared" ca="1" si="100"/>
        <v>#N/A</v>
      </c>
      <c r="L1337" t="e">
        <f ca="1">IF(J1337,Charms!B1337,"")</f>
        <v>#N/A</v>
      </c>
      <c r="M1337" t="str">
        <f t="shared" ca="1" si="102"/>
        <v>-</v>
      </c>
      <c r="N1337" s="18" t="str">
        <f t="shared" si="103"/>
        <v>K1336:L1409</v>
      </c>
      <c r="O1337" t="str">
        <f t="shared" si="104"/>
        <v>A1336:A1337</v>
      </c>
    </row>
    <row r="1338" spans="1:15">
      <c r="A1338" s="18" t="str">
        <f>Charms!K1338</f>
        <v>Socialize</v>
      </c>
      <c r="B1338" t="str">
        <f>Charms!B1338</f>
        <v>Quicksilver Falcon's Eye</v>
      </c>
      <c r="C1338" t="b">
        <f ca="1">OR(Values!$S$98&gt;=Charms!M1338,IFERROR(Charms!J1338=OFFSET(Values!$A$24,MATCH("S",Values!$T$25:$T$50,0),0),FALSE))</f>
        <v>1</v>
      </c>
      <c r="D1338" t="b">
        <f>VLOOKUP(Charms!J1338,Values!$A$11:$S$59,19,0)&gt;=Charms!L1338</f>
        <v>0</v>
      </c>
      <c r="E1338" t="e">
        <f>OR(ISBLANK(Charms!I1338),(VLOOKUP(Values!$S$6,Castes!$B$2:$F$25,4,0)=Charms!I1338))</f>
        <v>#N/A</v>
      </c>
      <c r="J1338" t="e">
        <f t="shared" ca="1" si="101"/>
        <v>#N/A</v>
      </c>
      <c r="K1338" s="18" t="e">
        <f t="shared" ca="1" si="100"/>
        <v>#N/A</v>
      </c>
      <c r="L1338" t="e">
        <f ca="1">IF(J1338,Charms!B1338,"")</f>
        <v>#N/A</v>
      </c>
      <c r="M1338" t="str">
        <f t="shared" ca="1" si="102"/>
        <v>-</v>
      </c>
      <c r="N1338" s="18" t="str">
        <f t="shared" si="103"/>
        <v>K1336:L1409</v>
      </c>
      <c r="O1338" t="str">
        <f t="shared" si="104"/>
        <v>A1336:A1338</v>
      </c>
    </row>
    <row r="1339" spans="1:15">
      <c r="A1339" s="18" t="str">
        <f>Charms!K1339</f>
        <v>Socialize</v>
      </c>
      <c r="B1339" t="str">
        <f>Charms!B1339</f>
        <v>Shadow Over Day</v>
      </c>
      <c r="C1339" t="b">
        <f ca="1">OR(Values!$S$98&gt;=Charms!M1339,IFERROR(Charms!J1339=OFFSET(Values!$A$24,MATCH("S",Values!$T$25:$T$50,0),0),FALSE))</f>
        <v>1</v>
      </c>
      <c r="D1339" t="b">
        <f>VLOOKUP(Charms!J1339,Values!$A$11:$S$59,19,0)&gt;=Charms!L1339</f>
        <v>0</v>
      </c>
      <c r="E1339" t="e">
        <f>OR(ISBLANK(Charms!I1339),(VLOOKUP(Values!$S$6,Castes!$B$2:$F$25,4,0)=Charms!I1339))</f>
        <v>#N/A</v>
      </c>
      <c r="J1339" t="e">
        <f t="shared" ca="1" si="101"/>
        <v>#N/A</v>
      </c>
      <c r="K1339" s="18" t="e">
        <f t="shared" ca="1" si="100"/>
        <v>#N/A</v>
      </c>
      <c r="L1339" t="e">
        <f ca="1">IF(J1339,Charms!B1339,"")</f>
        <v>#N/A</v>
      </c>
      <c r="M1339" t="str">
        <f t="shared" ca="1" si="102"/>
        <v>-</v>
      </c>
      <c r="N1339" s="18" t="str">
        <f t="shared" si="103"/>
        <v>K1336:L1409</v>
      </c>
      <c r="O1339" t="str">
        <f t="shared" si="104"/>
        <v>A1336:A1339</v>
      </c>
    </row>
    <row r="1340" spans="1:15">
      <c r="A1340" s="18" t="str">
        <f>Charms!K1340</f>
        <v>Socialize</v>
      </c>
      <c r="B1340" t="str">
        <f>Charms!B1340</f>
        <v>Humble Servant Approach</v>
      </c>
      <c r="C1340" t="b">
        <f ca="1">OR(Values!$S$98&gt;=Charms!M1340,IFERROR(Charms!J1340=OFFSET(Values!$A$24,MATCH("S",Values!$T$25:$T$50,0),0),FALSE))</f>
        <v>1</v>
      </c>
      <c r="D1340" t="b">
        <f>VLOOKUP(Charms!J1340,Values!$A$11:$S$59,19,0)&gt;=Charms!L1340</f>
        <v>0</v>
      </c>
      <c r="E1340" t="e">
        <f>OR(ISBLANK(Charms!I1340),(VLOOKUP(Values!$S$6,Castes!$B$2:$F$25,4,0)=Charms!I1340))</f>
        <v>#N/A</v>
      </c>
      <c r="J1340" t="e">
        <f t="shared" ca="1" si="101"/>
        <v>#N/A</v>
      </c>
      <c r="K1340" s="18" t="e">
        <f t="shared" ca="1" si="100"/>
        <v>#N/A</v>
      </c>
      <c r="L1340" t="e">
        <f ca="1">IF(J1340,Charms!B1340,"")</f>
        <v>#N/A</v>
      </c>
      <c r="M1340" t="str">
        <f t="shared" ca="1" si="102"/>
        <v>-</v>
      </c>
      <c r="N1340" s="18" t="str">
        <f t="shared" si="103"/>
        <v>K1336:L1409</v>
      </c>
      <c r="O1340" t="str">
        <f t="shared" si="104"/>
        <v>A1336:A1340</v>
      </c>
    </row>
    <row r="1341" spans="1:15">
      <c r="A1341" s="18" t="str">
        <f>Charms!K1341</f>
        <v>Socialize</v>
      </c>
      <c r="B1341" t="str">
        <f>Charms!B1341</f>
        <v>Night Passes Over</v>
      </c>
      <c r="C1341" t="b">
        <f ca="1">OR(Values!$S$98&gt;=Charms!M1341,IFERROR(Charms!J1341=OFFSET(Values!$A$24,MATCH("S",Values!$T$25:$T$50,0),0),FALSE))</f>
        <v>1</v>
      </c>
      <c r="D1341" t="b">
        <f>VLOOKUP(Charms!J1341,Values!$A$11:$S$59,19,0)&gt;=Charms!L1341</f>
        <v>0</v>
      </c>
      <c r="E1341" t="e">
        <f>OR(ISBLANK(Charms!I1341),(VLOOKUP(Values!$S$6,Castes!$B$2:$F$25,4,0)=Charms!I1341))</f>
        <v>#N/A</v>
      </c>
      <c r="J1341" t="e">
        <f t="shared" ca="1" si="101"/>
        <v>#N/A</v>
      </c>
      <c r="K1341" s="18" t="e">
        <f t="shared" ca="1" si="100"/>
        <v>#N/A</v>
      </c>
      <c r="L1341" t="e">
        <f ca="1">IF(J1341,Charms!B1341,"")</f>
        <v>#N/A</v>
      </c>
      <c r="M1341" t="str">
        <f t="shared" ca="1" si="102"/>
        <v>-</v>
      </c>
      <c r="N1341" s="18" t="str">
        <f t="shared" si="103"/>
        <v>K1336:L1409</v>
      </c>
      <c r="O1341" t="str">
        <f t="shared" si="104"/>
        <v>A1336:A1341</v>
      </c>
    </row>
    <row r="1342" spans="1:15">
      <c r="A1342" s="18" t="str">
        <f>Charms!K1342</f>
        <v>Socialize</v>
      </c>
      <c r="B1342" t="str">
        <f>Charms!B1342</f>
        <v>Culture Hero Approach</v>
      </c>
      <c r="C1342" t="b">
        <f ca="1">OR(Values!$S$98&gt;=Charms!M1342,IFERROR(Charms!J1342=OFFSET(Values!$A$24,MATCH("S",Values!$T$25:$T$50,0),0),FALSE))</f>
        <v>0</v>
      </c>
      <c r="D1342" t="b">
        <f>VLOOKUP(Charms!J1342,Values!$A$11:$S$59,19,0)&gt;=Charms!L1342</f>
        <v>0</v>
      </c>
      <c r="E1342" t="e">
        <f>OR(ISBLANK(Charms!I1342),(VLOOKUP(Values!$S$6,Castes!$B$2:$F$25,4,0)=Charms!I1342))</f>
        <v>#N/A</v>
      </c>
      <c r="J1342" t="e">
        <f t="shared" ca="1" si="101"/>
        <v>#N/A</v>
      </c>
      <c r="K1342" s="18" t="e">
        <f t="shared" ca="1" si="100"/>
        <v>#N/A</v>
      </c>
      <c r="L1342" t="e">
        <f ca="1">IF(J1342,Charms!B1342,"")</f>
        <v>#N/A</v>
      </c>
      <c r="M1342" t="str">
        <f t="shared" ca="1" si="102"/>
        <v>-</v>
      </c>
      <c r="N1342" s="18" t="str">
        <f t="shared" si="103"/>
        <v>K1336:L1409</v>
      </c>
      <c r="O1342" t="str">
        <f t="shared" si="104"/>
        <v>A1336:A1342</v>
      </c>
    </row>
    <row r="1343" spans="1:15">
      <c r="A1343" s="18" t="str">
        <f>Charms!K1343</f>
        <v>Socialize</v>
      </c>
      <c r="B1343" t="str">
        <f>Charms!B1343</f>
        <v>Viper-Scenting Method</v>
      </c>
      <c r="C1343" t="b">
        <f ca="1">OR(Values!$S$98&gt;=Charms!M1343,IFERROR(Charms!J1343=OFFSET(Values!$A$24,MATCH("S",Values!$T$25:$T$50,0),0),FALSE))</f>
        <v>1</v>
      </c>
      <c r="D1343" t="b">
        <f>VLOOKUP(Charms!J1343,Values!$A$11:$S$59,19,0)&gt;=Charms!L1343</f>
        <v>0</v>
      </c>
      <c r="E1343" t="e">
        <f>OR(ISBLANK(Charms!I1343),(VLOOKUP(Values!$S$6,Castes!$B$2:$F$25,4,0)=Charms!I1343))</f>
        <v>#N/A</v>
      </c>
      <c r="J1343" t="e">
        <f t="shared" ca="1" si="101"/>
        <v>#N/A</v>
      </c>
      <c r="K1343" s="18" t="e">
        <f t="shared" ca="1" si="100"/>
        <v>#N/A</v>
      </c>
      <c r="L1343" t="e">
        <f ca="1">IF(J1343,Charms!B1343,"")</f>
        <v>#N/A</v>
      </c>
      <c r="M1343" t="str">
        <f t="shared" ca="1" si="102"/>
        <v>-</v>
      </c>
      <c r="N1343" s="18" t="str">
        <f t="shared" si="103"/>
        <v>K1336:L1409</v>
      </c>
      <c r="O1343" t="str">
        <f t="shared" si="104"/>
        <v>A1336:A1343</v>
      </c>
    </row>
    <row r="1344" spans="1:15">
      <c r="A1344" s="18" t="str">
        <f>Charms!K1344</f>
        <v>Socialize</v>
      </c>
      <c r="B1344" t="str">
        <f>Charms!B1344</f>
        <v>Energic Influence Technique</v>
      </c>
      <c r="C1344" t="b">
        <f ca="1">OR(Values!$S$98&gt;=Charms!M1344,IFERROR(Charms!J1344=OFFSET(Values!$A$24,MATCH("S",Values!$T$25:$T$50,0),0),FALSE))</f>
        <v>1</v>
      </c>
      <c r="D1344" t="b">
        <f>VLOOKUP(Charms!J1344,Values!$A$11:$S$59,19,0)&gt;=Charms!L1344</f>
        <v>0</v>
      </c>
      <c r="E1344" t="e">
        <f>OR(ISBLANK(Charms!I1344),(VLOOKUP(Values!$S$6,Castes!$B$2:$F$25,4,0)=Charms!I1344))</f>
        <v>#N/A</v>
      </c>
      <c r="J1344" t="e">
        <f t="shared" ca="1" si="101"/>
        <v>#N/A</v>
      </c>
      <c r="K1344" s="18" t="e">
        <f t="shared" ca="1" si="100"/>
        <v>#N/A</v>
      </c>
      <c r="L1344" t="e">
        <f ca="1">IF(J1344,Charms!B1344,"")</f>
        <v>#N/A</v>
      </c>
      <c r="M1344" t="str">
        <f t="shared" ca="1" si="102"/>
        <v>-</v>
      </c>
      <c r="N1344" s="18" t="str">
        <f t="shared" si="103"/>
        <v>K1336:L1409</v>
      </c>
      <c r="O1344" t="str">
        <f t="shared" si="104"/>
        <v>A1336:A1344</v>
      </c>
    </row>
    <row r="1345" spans="1:15">
      <c r="A1345" s="18" t="str">
        <f>Charms!K1345</f>
        <v>Socialize</v>
      </c>
      <c r="B1345" t="str">
        <f>Charms!B1345</f>
        <v>Umbral Eyes Focus</v>
      </c>
      <c r="C1345" t="b">
        <f ca="1">OR(Values!$S$98&gt;=Charms!M1345,IFERROR(Charms!J1345=OFFSET(Values!$A$24,MATCH("S",Values!$T$25:$T$50,0),0),FALSE))</f>
        <v>1</v>
      </c>
      <c r="D1345" t="b">
        <f>VLOOKUP(Charms!J1345,Values!$A$11:$S$59,19,0)&gt;=Charms!L1345</f>
        <v>0</v>
      </c>
      <c r="E1345" t="e">
        <f>OR(ISBLANK(Charms!I1345),(VLOOKUP(Values!$S$6,Castes!$B$2:$F$25,4,0)=Charms!I1345))</f>
        <v>#N/A</v>
      </c>
      <c r="J1345" t="e">
        <f t="shared" ca="1" si="101"/>
        <v>#N/A</v>
      </c>
      <c r="K1345" s="18" t="e">
        <f t="shared" ca="1" si="100"/>
        <v>#N/A</v>
      </c>
      <c r="L1345" t="e">
        <f ca="1">IF(J1345,Charms!B1345,"")</f>
        <v>#N/A</v>
      </c>
      <c r="M1345" t="str">
        <f t="shared" ca="1" si="102"/>
        <v>-</v>
      </c>
      <c r="N1345" s="18" t="str">
        <f t="shared" si="103"/>
        <v>K1336:L1409</v>
      </c>
      <c r="O1345" t="str">
        <f t="shared" si="104"/>
        <v>A1336:A1345</v>
      </c>
    </row>
    <row r="1346" spans="1:15">
      <c r="A1346" s="18" t="str">
        <f>Charms!K1346</f>
        <v>Socialize</v>
      </c>
      <c r="B1346" t="str">
        <f>Charms!B1346</f>
        <v>Intent-Tracing Stare</v>
      </c>
      <c r="C1346" t="b">
        <f ca="1">OR(Values!$S$98&gt;=Charms!M1346,IFERROR(Charms!J1346=OFFSET(Values!$A$24,MATCH("S",Values!$T$25:$T$50,0),0),FALSE))</f>
        <v>1</v>
      </c>
      <c r="D1346" t="b">
        <f>VLOOKUP(Charms!J1346,Values!$A$11:$S$59,19,0)&gt;=Charms!L1346</f>
        <v>0</v>
      </c>
      <c r="E1346" t="e">
        <f>OR(ISBLANK(Charms!I1346),(VLOOKUP(Values!$S$6,Castes!$B$2:$F$25,4,0)=Charms!I1346))</f>
        <v>#N/A</v>
      </c>
      <c r="J1346" t="e">
        <f t="shared" ca="1" si="101"/>
        <v>#N/A</v>
      </c>
      <c r="K1346" s="18" t="e">
        <f t="shared" ref="K1346:K1409" ca="1" si="105">IF(L1346="","",COUNTIF(INDIRECT("J"&amp;MATCH(A1346,A:A,0)&amp;":J"&amp;ROW()),J1346))</f>
        <v>#N/A</v>
      </c>
      <c r="L1346" t="e">
        <f ca="1">IF(J1346,Charms!B1346,"")</f>
        <v>#N/A</v>
      </c>
      <c r="M1346" t="str">
        <f t="shared" ca="1" si="102"/>
        <v>-</v>
      </c>
      <c r="N1346" s="18" t="str">
        <f t="shared" si="103"/>
        <v>K1336:L1409</v>
      </c>
      <c r="O1346" t="str">
        <f t="shared" si="104"/>
        <v>A1336:A1346</v>
      </c>
    </row>
    <row r="1347" spans="1:15">
      <c r="A1347" s="18" t="str">
        <f>Charms!K1347</f>
        <v>Socialize</v>
      </c>
      <c r="B1347" t="str">
        <f>Charms!B1347</f>
        <v>Unimpeachable Discourse Technique</v>
      </c>
      <c r="C1347" t="b">
        <f ca="1">OR(Values!$S$98&gt;=Charms!M1347,IFERROR(Charms!J1347=OFFSET(Values!$A$24,MATCH("S",Values!$T$25:$T$50,0),0),FALSE))</f>
        <v>0</v>
      </c>
      <c r="D1347" t="b">
        <f>VLOOKUP(Charms!J1347,Values!$A$11:$S$59,19,0)&gt;=Charms!L1347</f>
        <v>0</v>
      </c>
      <c r="E1347" t="e">
        <f>OR(ISBLANK(Charms!I1347),(VLOOKUP(Values!$S$6,Castes!$B$2:$F$25,4,0)=Charms!I1347))</f>
        <v>#N/A</v>
      </c>
      <c r="J1347" t="e">
        <f t="shared" ref="J1347:J1410" ca="1" si="106">(C1347+D1347+E1347+F1347+G1347+H1347+I1347)=3</f>
        <v>#N/A</v>
      </c>
      <c r="K1347" s="18" t="e">
        <f t="shared" ca="1" si="105"/>
        <v>#N/A</v>
      </c>
      <c r="L1347" t="e">
        <f ca="1">IF(J1347,Charms!B1347,"")</f>
        <v>#N/A</v>
      </c>
      <c r="M1347" t="str">
        <f t="shared" ref="M1347:M1410" ca="1" si="107">IFERROR(VLOOKUP(COUNTIF(INDIRECT(O1347),A1347),INDIRECT(N1347),2,0),"-")</f>
        <v>-</v>
      </c>
      <c r="N1347" s="18" t="str">
        <f t="shared" ref="N1347:N1410" si="108">"K"&amp;MATCH(A1347,A:A,0)&amp;":L"&amp;(MATCH(A1347,A:A,0)+COUNTIF(A:A,A1347)-1)</f>
        <v>K1336:L1409</v>
      </c>
      <c r="O1347" t="str">
        <f t="shared" ref="O1347:O1410" si="109">"A"&amp;MATCH(A1347,A:A,0)&amp;":A"&amp;ROW()</f>
        <v>A1336:A1347</v>
      </c>
    </row>
    <row r="1348" spans="1:15">
      <c r="A1348" s="18" t="str">
        <f>Charms!K1348</f>
        <v>Socialize</v>
      </c>
      <c r="B1348" t="str">
        <f>Charms!B1348</f>
        <v>Indecent Proposal Method</v>
      </c>
      <c r="C1348" t="b">
        <f ca="1">OR(Values!$S$98&gt;=Charms!M1348,IFERROR(Charms!J1348=OFFSET(Values!$A$24,MATCH("S",Values!$T$25:$T$50,0),0),FALSE))</f>
        <v>0</v>
      </c>
      <c r="D1348" t="b">
        <f>VLOOKUP(Charms!J1348,Values!$A$11:$S$59,19,0)&gt;=Charms!L1348</f>
        <v>0</v>
      </c>
      <c r="E1348" t="e">
        <f>OR(ISBLANK(Charms!I1348),(VLOOKUP(Values!$S$6,Castes!$B$2:$F$25,4,0)=Charms!I1348))</f>
        <v>#N/A</v>
      </c>
      <c r="J1348" t="e">
        <f t="shared" ca="1" si="106"/>
        <v>#N/A</v>
      </c>
      <c r="K1348" s="18" t="e">
        <f t="shared" ca="1" si="105"/>
        <v>#N/A</v>
      </c>
      <c r="L1348" t="e">
        <f ca="1">IF(J1348,Charms!B1348,"")</f>
        <v>#N/A</v>
      </c>
      <c r="M1348" t="str">
        <f t="shared" ca="1" si="107"/>
        <v>-</v>
      </c>
      <c r="N1348" s="18" t="str">
        <f t="shared" si="108"/>
        <v>K1336:L1409</v>
      </c>
      <c r="O1348" t="str">
        <f t="shared" si="109"/>
        <v>A1336:A1348</v>
      </c>
    </row>
    <row r="1349" spans="1:15">
      <c r="A1349" s="18" t="str">
        <f>Charms!K1349</f>
        <v>Socialize</v>
      </c>
      <c r="B1349" t="str">
        <f>Charms!B1349</f>
        <v>Dauntless Assayer Method</v>
      </c>
      <c r="C1349" t="b">
        <f ca="1">OR(Values!$S$98&gt;=Charms!M1349,IFERROR(Charms!J1349=OFFSET(Values!$A$24,MATCH("S",Values!$T$25:$T$50,0),0),FALSE))</f>
        <v>0</v>
      </c>
      <c r="D1349" t="b">
        <f>VLOOKUP(Charms!J1349,Values!$A$11:$S$59,19,0)&gt;=Charms!L1349</f>
        <v>0</v>
      </c>
      <c r="E1349" t="e">
        <f>OR(ISBLANK(Charms!I1349),(VLOOKUP(Values!$S$6,Castes!$B$2:$F$25,4,0)=Charms!I1349))</f>
        <v>#N/A</v>
      </c>
      <c r="J1349" t="e">
        <f t="shared" ca="1" si="106"/>
        <v>#N/A</v>
      </c>
      <c r="K1349" s="18" t="e">
        <f t="shared" ca="1" si="105"/>
        <v>#N/A</v>
      </c>
      <c r="L1349" t="e">
        <f ca="1">IF(J1349,Charms!B1349,"")</f>
        <v>#N/A</v>
      </c>
      <c r="M1349" t="str">
        <f t="shared" ca="1" si="107"/>
        <v>-</v>
      </c>
      <c r="N1349" s="18" t="str">
        <f t="shared" si="108"/>
        <v>K1336:L1409</v>
      </c>
      <c r="O1349" t="str">
        <f t="shared" si="109"/>
        <v>A1336:A1349</v>
      </c>
    </row>
    <row r="1350" spans="1:15">
      <c r="A1350" s="18" t="str">
        <f>Charms!K1350</f>
        <v>Socialize</v>
      </c>
      <c r="B1350" t="str">
        <f>Charms!B1350</f>
        <v>Preeminent Gala Knife</v>
      </c>
      <c r="C1350" t="b">
        <f ca="1">OR(Values!$S$98&gt;=Charms!M1350,IFERROR(Charms!J1350=OFFSET(Values!$A$24,MATCH("S",Values!$T$25:$T$50,0),0),FALSE))</f>
        <v>0</v>
      </c>
      <c r="D1350" t="b">
        <f>VLOOKUP(Charms!J1350,Values!$A$11:$S$59,19,0)&gt;=Charms!L1350</f>
        <v>0</v>
      </c>
      <c r="E1350" t="e">
        <f>OR(ISBLANK(Charms!I1350),(VLOOKUP(Values!$S$6,Castes!$B$2:$F$25,4,0)=Charms!I1350))</f>
        <v>#N/A</v>
      </c>
      <c r="J1350" t="e">
        <f t="shared" ca="1" si="106"/>
        <v>#N/A</v>
      </c>
      <c r="K1350" s="18" t="e">
        <f t="shared" ca="1" si="105"/>
        <v>#N/A</v>
      </c>
      <c r="L1350" t="e">
        <f ca="1">IF(J1350,Charms!B1350,"")</f>
        <v>#N/A</v>
      </c>
      <c r="M1350" t="str">
        <f t="shared" ca="1" si="107"/>
        <v>-</v>
      </c>
      <c r="N1350" s="18" t="str">
        <f t="shared" si="108"/>
        <v>K1336:L1409</v>
      </c>
      <c r="O1350" t="str">
        <f t="shared" si="109"/>
        <v>A1336:A1350</v>
      </c>
    </row>
    <row r="1351" spans="1:15">
      <c r="A1351" s="18" t="str">
        <f>Charms!K1351</f>
        <v>Socialize</v>
      </c>
      <c r="B1351" t="str">
        <f>Charms!B1351</f>
        <v>Wise-Eyed Courtier Method</v>
      </c>
      <c r="C1351" t="b">
        <f ca="1">OR(Values!$S$98&gt;=Charms!M1351,IFERROR(Charms!J1351=OFFSET(Values!$A$24,MATCH("S",Values!$T$25:$T$50,0),0),FALSE))</f>
        <v>0</v>
      </c>
      <c r="D1351" t="b">
        <f>VLOOKUP(Charms!J1351,Values!$A$11:$S$59,19,0)&gt;=Charms!L1351</f>
        <v>0</v>
      </c>
      <c r="E1351" t="e">
        <f>OR(ISBLANK(Charms!I1351),(VLOOKUP(Values!$S$6,Castes!$B$2:$F$25,4,0)=Charms!I1351))</f>
        <v>#N/A</v>
      </c>
      <c r="J1351" t="e">
        <f t="shared" ca="1" si="106"/>
        <v>#N/A</v>
      </c>
      <c r="K1351" s="18" t="e">
        <f t="shared" ca="1" si="105"/>
        <v>#N/A</v>
      </c>
      <c r="L1351" t="e">
        <f ca="1">IF(J1351,Charms!B1351,"")</f>
        <v>#N/A</v>
      </c>
      <c r="M1351" t="str">
        <f t="shared" ca="1" si="107"/>
        <v>-</v>
      </c>
      <c r="N1351" s="18" t="str">
        <f t="shared" si="108"/>
        <v>K1336:L1409</v>
      </c>
      <c r="O1351" t="str">
        <f t="shared" si="109"/>
        <v>A1336:A1351</v>
      </c>
    </row>
    <row r="1352" spans="1:15">
      <c r="A1352" s="18" t="str">
        <f>Charms!K1352</f>
        <v>Socialize</v>
      </c>
      <c r="B1352" t="str">
        <f>Charms!B1352</f>
        <v>Discretionary Gesture</v>
      </c>
      <c r="C1352" t="b">
        <f ca="1">OR(Values!$S$98&gt;=Charms!M1352,IFERROR(Charms!J1352=OFFSET(Values!$A$24,MATCH("S",Values!$T$25:$T$50,0),0),FALSE))</f>
        <v>0</v>
      </c>
      <c r="D1352" t="b">
        <f>VLOOKUP(Charms!J1352,Values!$A$11:$S$59,19,0)&gt;=Charms!L1352</f>
        <v>0</v>
      </c>
      <c r="E1352" t="e">
        <f>OR(ISBLANK(Charms!I1352),(VLOOKUP(Values!$S$6,Castes!$B$2:$F$25,4,0)=Charms!I1352))</f>
        <v>#N/A</v>
      </c>
      <c r="J1352" t="e">
        <f t="shared" ca="1" si="106"/>
        <v>#N/A</v>
      </c>
      <c r="K1352" s="18" t="e">
        <f t="shared" ca="1" si="105"/>
        <v>#N/A</v>
      </c>
      <c r="L1352" t="e">
        <f ca="1">IF(J1352,Charms!B1352,"")</f>
        <v>#N/A</v>
      </c>
      <c r="M1352" t="str">
        <f t="shared" ca="1" si="107"/>
        <v>-</v>
      </c>
      <c r="N1352" s="18" t="str">
        <f t="shared" si="108"/>
        <v>K1336:L1409</v>
      </c>
      <c r="O1352" t="str">
        <f t="shared" si="109"/>
        <v>A1336:A1352</v>
      </c>
    </row>
    <row r="1353" spans="1:15">
      <c r="A1353" s="18" t="str">
        <f>Charms!K1353</f>
        <v>Socialize</v>
      </c>
      <c r="B1353" t="str">
        <f>Charms!B1353</f>
        <v>Deep-Eyed Soul Gazing</v>
      </c>
      <c r="C1353" t="b">
        <f ca="1">OR(Values!$S$98&gt;=Charms!M1353,IFERROR(Charms!J1353=OFFSET(Values!$A$24,MATCH("S",Values!$T$25:$T$50,0),0),FALSE))</f>
        <v>0</v>
      </c>
      <c r="D1353" t="b">
        <f>VLOOKUP(Charms!J1353,Values!$A$11:$S$59,19,0)&gt;=Charms!L1353</f>
        <v>0</v>
      </c>
      <c r="E1353" t="e">
        <f>OR(ISBLANK(Charms!I1353),(VLOOKUP(Values!$S$6,Castes!$B$2:$F$25,4,0)=Charms!I1353))</f>
        <v>#N/A</v>
      </c>
      <c r="J1353" t="e">
        <f t="shared" ca="1" si="106"/>
        <v>#N/A</v>
      </c>
      <c r="K1353" s="18" t="e">
        <f t="shared" ca="1" si="105"/>
        <v>#N/A</v>
      </c>
      <c r="L1353" t="e">
        <f ca="1">IF(J1353,Charms!B1353,"")</f>
        <v>#N/A</v>
      </c>
      <c r="M1353" t="str">
        <f t="shared" ca="1" si="107"/>
        <v>-</v>
      </c>
      <c r="N1353" s="18" t="str">
        <f t="shared" si="108"/>
        <v>K1336:L1409</v>
      </c>
      <c r="O1353" t="str">
        <f t="shared" si="109"/>
        <v>A1336:A1353</v>
      </c>
    </row>
    <row r="1354" spans="1:15">
      <c r="A1354" s="18" t="str">
        <f>Charms!K1354</f>
        <v>Socialize</v>
      </c>
      <c r="B1354" t="str">
        <f>Charms!B1354</f>
        <v>Easily-Discarded Presence Method</v>
      </c>
      <c r="C1354" t="b">
        <f ca="1">OR(Values!$S$98&gt;=Charms!M1354,IFERROR(Charms!J1354=OFFSET(Values!$A$24,MATCH("S",Values!$T$25:$T$50,0),0),FALSE))</f>
        <v>0</v>
      </c>
      <c r="D1354" t="b">
        <f>VLOOKUP(Charms!J1354,Values!$A$11:$S$59,19,0)&gt;=Charms!L1354</f>
        <v>0</v>
      </c>
      <c r="E1354" t="e">
        <f>OR(ISBLANK(Charms!I1354),(VLOOKUP(Values!$S$6,Castes!$B$2:$F$25,4,0)=Charms!I1354))</f>
        <v>#N/A</v>
      </c>
      <c r="J1354" t="e">
        <f t="shared" ca="1" si="106"/>
        <v>#N/A</v>
      </c>
      <c r="K1354" s="18" t="e">
        <f t="shared" ca="1" si="105"/>
        <v>#N/A</v>
      </c>
      <c r="L1354" t="e">
        <f ca="1">IF(J1354,Charms!B1354,"")</f>
        <v>#N/A</v>
      </c>
      <c r="M1354" t="str">
        <f t="shared" ca="1" si="107"/>
        <v>-</v>
      </c>
      <c r="N1354" s="18" t="str">
        <f t="shared" si="108"/>
        <v>K1336:L1409</v>
      </c>
      <c r="O1354" t="str">
        <f t="shared" si="109"/>
        <v>A1336:A1354</v>
      </c>
    </row>
    <row r="1355" spans="1:15">
      <c r="A1355" s="18" t="str">
        <f>Charms!K1355</f>
        <v>Socialize</v>
      </c>
      <c r="B1355" t="str">
        <f>Charms!B1355</f>
        <v>Guarded Thoughts Meditation</v>
      </c>
      <c r="C1355" t="b">
        <f ca="1">OR(Values!$S$98&gt;=Charms!M1355,IFERROR(Charms!J1355=OFFSET(Values!$A$24,MATCH("S",Values!$T$25:$T$50,0),0),FALSE))</f>
        <v>0</v>
      </c>
      <c r="D1355" t="b">
        <f>VLOOKUP(Charms!J1355,Values!$A$11:$S$59,19,0)&gt;=Charms!L1355</f>
        <v>0</v>
      </c>
      <c r="E1355" t="e">
        <f>OR(ISBLANK(Charms!I1355),(VLOOKUP(Values!$S$6,Castes!$B$2:$F$25,4,0)=Charms!I1355))</f>
        <v>#N/A</v>
      </c>
      <c r="J1355" t="e">
        <f t="shared" ca="1" si="106"/>
        <v>#N/A</v>
      </c>
      <c r="K1355" s="18" t="e">
        <f t="shared" ca="1" si="105"/>
        <v>#N/A</v>
      </c>
      <c r="L1355" t="e">
        <f ca="1">IF(J1355,Charms!B1355,"")</f>
        <v>#N/A</v>
      </c>
      <c r="M1355" t="str">
        <f t="shared" ca="1" si="107"/>
        <v>-</v>
      </c>
      <c r="N1355" s="18" t="str">
        <f t="shared" si="108"/>
        <v>K1336:L1409</v>
      </c>
      <c r="O1355" t="str">
        <f t="shared" si="109"/>
        <v>A1336:A1355</v>
      </c>
    </row>
    <row r="1356" spans="1:15">
      <c r="A1356" s="18" t="str">
        <f>Charms!K1356</f>
        <v>Socialize</v>
      </c>
      <c r="B1356" t="str">
        <f>Charms!B1356</f>
        <v>Penumbra Self Meditation</v>
      </c>
      <c r="C1356" t="b">
        <f ca="1">OR(Values!$S$98&gt;=Charms!M1356,IFERROR(Charms!J1356=OFFSET(Values!$A$24,MATCH("S",Values!$T$25:$T$50,0),0),FALSE))</f>
        <v>0</v>
      </c>
      <c r="D1356" t="b">
        <f>VLOOKUP(Charms!J1356,Values!$A$11:$S$59,19,0)&gt;=Charms!L1356</f>
        <v>0</v>
      </c>
      <c r="E1356" t="e">
        <f>OR(ISBLANK(Charms!I1356),(VLOOKUP(Values!$S$6,Castes!$B$2:$F$25,4,0)=Charms!I1356))</f>
        <v>#N/A</v>
      </c>
      <c r="J1356" t="e">
        <f t="shared" ca="1" si="106"/>
        <v>#N/A</v>
      </c>
      <c r="K1356" s="18" t="e">
        <f t="shared" ca="1" si="105"/>
        <v>#N/A</v>
      </c>
      <c r="L1356" t="e">
        <f ca="1">IF(J1356,Charms!B1356,"")</f>
        <v>#N/A</v>
      </c>
      <c r="M1356" t="str">
        <f t="shared" ca="1" si="107"/>
        <v>-</v>
      </c>
      <c r="N1356" s="18" t="str">
        <f t="shared" si="108"/>
        <v>K1336:L1409</v>
      </c>
      <c r="O1356" t="str">
        <f t="shared" si="109"/>
        <v>A1336:A1356</v>
      </c>
    </row>
    <row r="1357" spans="1:15">
      <c r="A1357" s="18" t="str">
        <f>Charms!K1357</f>
        <v>Socialize</v>
      </c>
      <c r="B1357" t="str">
        <f>Charms!B1357</f>
        <v>Inverted Ego Mask</v>
      </c>
      <c r="C1357" t="b">
        <f ca="1">OR(Values!$S$98&gt;=Charms!M1357,IFERROR(Charms!J1357=OFFSET(Values!$A$24,MATCH("S",Values!$T$25:$T$50,0),0),FALSE))</f>
        <v>0</v>
      </c>
      <c r="D1357" t="b">
        <f>VLOOKUP(Charms!J1357,Values!$A$11:$S$59,19,0)&gt;=Charms!L1357</f>
        <v>0</v>
      </c>
      <c r="E1357" t="e">
        <f>OR(ISBLANK(Charms!I1357),(VLOOKUP(Values!$S$6,Castes!$B$2:$F$25,4,0)=Charms!I1357))</f>
        <v>#N/A</v>
      </c>
      <c r="J1357" t="e">
        <f t="shared" ca="1" si="106"/>
        <v>#N/A</v>
      </c>
      <c r="K1357" s="18" t="e">
        <f t="shared" ca="1" si="105"/>
        <v>#N/A</v>
      </c>
      <c r="L1357" t="e">
        <f ca="1">IF(J1357,Charms!B1357,"")</f>
        <v>#N/A</v>
      </c>
      <c r="M1357" t="str">
        <f t="shared" ca="1" si="107"/>
        <v>-</v>
      </c>
      <c r="N1357" s="18" t="str">
        <f t="shared" si="108"/>
        <v>K1336:L1409</v>
      </c>
      <c r="O1357" t="str">
        <f t="shared" si="109"/>
        <v>A1336:A1357</v>
      </c>
    </row>
    <row r="1358" spans="1:15">
      <c r="A1358" s="18" t="str">
        <f>Charms!K1358</f>
        <v>Socialize</v>
      </c>
      <c r="B1358" t="str">
        <f>Charms!B1358</f>
        <v>Cunning Insight Technique</v>
      </c>
      <c r="C1358" t="b">
        <f ca="1">OR(Values!$S$98&gt;=Charms!M1358,IFERROR(Charms!J1358=OFFSET(Values!$A$24,MATCH("S",Values!$T$25:$T$50,0),0),FALSE))</f>
        <v>0</v>
      </c>
      <c r="D1358" t="b">
        <f>VLOOKUP(Charms!J1358,Values!$A$11:$S$59,19,0)&gt;=Charms!L1358</f>
        <v>0</v>
      </c>
      <c r="E1358" t="e">
        <f>OR(ISBLANK(Charms!I1358),(VLOOKUP(Values!$S$6,Castes!$B$2:$F$25,4,0)=Charms!I1358))</f>
        <v>#N/A</v>
      </c>
      <c r="J1358" t="e">
        <f t="shared" ca="1" si="106"/>
        <v>#N/A</v>
      </c>
      <c r="K1358" s="18" t="e">
        <f t="shared" ca="1" si="105"/>
        <v>#N/A</v>
      </c>
      <c r="L1358" t="e">
        <f ca="1">IF(J1358,Charms!B1358,"")</f>
        <v>#N/A</v>
      </c>
      <c r="M1358" t="str">
        <f t="shared" ca="1" si="107"/>
        <v>-</v>
      </c>
      <c r="N1358" s="18" t="str">
        <f t="shared" si="108"/>
        <v>K1336:L1409</v>
      </c>
      <c r="O1358" t="str">
        <f t="shared" si="109"/>
        <v>A1336:A1358</v>
      </c>
    </row>
    <row r="1359" spans="1:15">
      <c r="A1359" s="18" t="str">
        <f>Charms!K1359</f>
        <v>Socialize</v>
      </c>
      <c r="B1359" t="str">
        <f>Charms!B1359</f>
        <v>Doubt-Sowing Contention Method</v>
      </c>
      <c r="C1359" t="b">
        <f ca="1">OR(Values!$S$98&gt;=Charms!M1359,IFERROR(Charms!J1359=OFFSET(Values!$A$24,MATCH("S",Values!$T$25:$T$50,0),0),FALSE))</f>
        <v>0</v>
      </c>
      <c r="D1359" t="b">
        <f>VLOOKUP(Charms!J1359,Values!$A$11:$S$59,19,0)&gt;=Charms!L1359</f>
        <v>0</v>
      </c>
      <c r="E1359" t="e">
        <f>OR(ISBLANK(Charms!I1359),(VLOOKUP(Values!$S$6,Castes!$B$2:$F$25,4,0)=Charms!I1359))</f>
        <v>#N/A</v>
      </c>
      <c r="J1359" t="e">
        <f t="shared" ca="1" si="106"/>
        <v>#N/A</v>
      </c>
      <c r="K1359" s="18" t="e">
        <f t="shared" ca="1" si="105"/>
        <v>#N/A</v>
      </c>
      <c r="L1359" t="e">
        <f ca="1">IF(J1359,Charms!B1359,"")</f>
        <v>#N/A</v>
      </c>
      <c r="M1359" t="str">
        <f t="shared" ca="1" si="107"/>
        <v>-</v>
      </c>
      <c r="N1359" s="18" t="str">
        <f t="shared" si="108"/>
        <v>K1336:L1409</v>
      </c>
      <c r="O1359" t="str">
        <f t="shared" si="109"/>
        <v>A1336:A1359</v>
      </c>
    </row>
    <row r="1360" spans="1:15">
      <c r="A1360" s="18" t="str">
        <f>Charms!K1360</f>
        <v>Socialize</v>
      </c>
      <c r="B1360" t="str">
        <f>Charms!B1360</f>
        <v>Effective Counterargument</v>
      </c>
      <c r="C1360" t="b">
        <f ca="1">OR(Values!$S$98&gt;=Charms!M1360,IFERROR(Charms!J1360=OFFSET(Values!$A$24,MATCH("S",Values!$T$25:$T$50,0),0),FALSE))</f>
        <v>0</v>
      </c>
      <c r="D1360" t="b">
        <f>VLOOKUP(Charms!J1360,Values!$A$11:$S$59,19,0)&gt;=Charms!L1360</f>
        <v>0</v>
      </c>
      <c r="E1360" t="e">
        <f>OR(ISBLANK(Charms!I1360),(VLOOKUP(Values!$S$6,Castes!$B$2:$F$25,4,0)=Charms!I1360))</f>
        <v>#N/A</v>
      </c>
      <c r="J1360" t="e">
        <f t="shared" ca="1" si="106"/>
        <v>#N/A</v>
      </c>
      <c r="K1360" s="18" t="e">
        <f t="shared" ca="1" si="105"/>
        <v>#N/A</v>
      </c>
      <c r="L1360" t="e">
        <f ca="1">IF(J1360,Charms!B1360,"")</f>
        <v>#N/A</v>
      </c>
      <c r="M1360" t="str">
        <f t="shared" ca="1" si="107"/>
        <v>-</v>
      </c>
      <c r="N1360" s="18" t="str">
        <f t="shared" si="108"/>
        <v>K1336:L1409</v>
      </c>
      <c r="O1360" t="str">
        <f t="shared" si="109"/>
        <v>A1336:A1360</v>
      </c>
    </row>
    <row r="1361" spans="1:15">
      <c r="A1361" s="18" t="str">
        <f>Charms!K1361</f>
        <v>Socialize</v>
      </c>
      <c r="B1361" t="str">
        <f>Charms!B1361</f>
        <v>Wise Counsel (Flashing Soul Reform)</v>
      </c>
      <c r="C1361" t="b">
        <f ca="1">OR(Values!$S$98&gt;=Charms!M1361,IFERROR(Charms!J1361=OFFSET(Values!$A$24,MATCH("S",Values!$T$25:$T$50,0),0),FALSE))</f>
        <v>0</v>
      </c>
      <c r="D1361" t="b">
        <f>VLOOKUP(Charms!J1361,Values!$A$11:$S$59,19,0)&gt;=Charms!L1361</f>
        <v>0</v>
      </c>
      <c r="E1361" t="e">
        <f>OR(ISBLANK(Charms!I1361),(VLOOKUP(Values!$S$6,Castes!$B$2:$F$25,4,0)=Charms!I1361))</f>
        <v>#N/A</v>
      </c>
      <c r="J1361" t="e">
        <f t="shared" ca="1" si="106"/>
        <v>#N/A</v>
      </c>
      <c r="K1361" s="18" t="e">
        <f t="shared" ca="1" si="105"/>
        <v>#N/A</v>
      </c>
      <c r="L1361" t="e">
        <f ca="1">IF(J1361,Charms!B1361,"")</f>
        <v>#N/A</v>
      </c>
      <c r="M1361" t="str">
        <f t="shared" ca="1" si="107"/>
        <v>-</v>
      </c>
      <c r="N1361" s="18" t="str">
        <f t="shared" si="108"/>
        <v>K1336:L1409</v>
      </c>
      <c r="O1361" t="str">
        <f t="shared" si="109"/>
        <v>A1336:A1361</v>
      </c>
    </row>
    <row r="1362" spans="1:15">
      <c r="A1362" s="18" t="str">
        <f>Charms!K1362</f>
        <v>Socialize</v>
      </c>
      <c r="B1362" t="str">
        <f>Charms!B1362</f>
        <v>Endless Obsession Feint</v>
      </c>
      <c r="C1362" t="b">
        <f ca="1">OR(Values!$S$98&gt;=Charms!M1362,IFERROR(Charms!J1362=OFFSET(Values!$A$24,MATCH("S",Values!$T$25:$T$50,0),0),FALSE))</f>
        <v>0</v>
      </c>
      <c r="D1362" t="b">
        <f>VLOOKUP(Charms!J1362,Values!$A$11:$S$59,19,0)&gt;=Charms!L1362</f>
        <v>0</v>
      </c>
      <c r="E1362" t="e">
        <f>OR(ISBLANK(Charms!I1362),(VLOOKUP(Values!$S$6,Castes!$B$2:$F$25,4,0)=Charms!I1362))</f>
        <v>#N/A</v>
      </c>
      <c r="J1362" t="e">
        <f t="shared" ca="1" si="106"/>
        <v>#N/A</v>
      </c>
      <c r="K1362" s="18" t="e">
        <f t="shared" ca="1" si="105"/>
        <v>#N/A</v>
      </c>
      <c r="L1362" t="e">
        <f ca="1">IF(J1362,Charms!B1362,"")</f>
        <v>#N/A</v>
      </c>
      <c r="M1362" t="str">
        <f t="shared" ca="1" si="107"/>
        <v>-</v>
      </c>
      <c r="N1362" s="18" t="str">
        <f t="shared" si="108"/>
        <v>K1336:L1409</v>
      </c>
      <c r="O1362" t="str">
        <f t="shared" si="109"/>
        <v>A1336:A1362</v>
      </c>
    </row>
    <row r="1363" spans="1:15">
      <c r="A1363" s="18" t="str">
        <f>Charms!K1363</f>
        <v>Socialize</v>
      </c>
      <c r="B1363" t="str">
        <f>Charms!B1363</f>
        <v>Aspersions Cast Aside</v>
      </c>
      <c r="C1363" t="b">
        <f ca="1">OR(Values!$S$98&gt;=Charms!M1363,IFERROR(Charms!J1363=OFFSET(Values!$A$24,MATCH("S",Values!$T$25:$T$50,0),0),FALSE))</f>
        <v>0</v>
      </c>
      <c r="D1363" t="b">
        <f>VLOOKUP(Charms!J1363,Values!$A$11:$S$59,19,0)&gt;=Charms!L1363</f>
        <v>0</v>
      </c>
      <c r="E1363" t="e">
        <f>OR(ISBLANK(Charms!I1363),(VLOOKUP(Values!$S$6,Castes!$B$2:$F$25,4,0)=Charms!I1363))</f>
        <v>#N/A</v>
      </c>
      <c r="J1363" t="e">
        <f t="shared" ca="1" si="106"/>
        <v>#N/A</v>
      </c>
      <c r="K1363" s="18" t="e">
        <f t="shared" ca="1" si="105"/>
        <v>#N/A</v>
      </c>
      <c r="L1363" t="e">
        <f ca="1">IF(J1363,Charms!B1363,"")</f>
        <v>#N/A</v>
      </c>
      <c r="M1363" t="str">
        <f t="shared" ca="1" si="107"/>
        <v>-</v>
      </c>
      <c r="N1363" s="18" t="str">
        <f t="shared" si="108"/>
        <v>K1336:L1409</v>
      </c>
      <c r="O1363" t="str">
        <f t="shared" si="109"/>
        <v>A1336:A1363</v>
      </c>
    </row>
    <row r="1364" spans="1:15">
      <c r="A1364" s="18" t="str">
        <f>Charms!K1364</f>
        <v>Socialize</v>
      </c>
      <c r="B1364" t="str">
        <f>Charms!B1364</f>
        <v>Asp Bites Its Tail</v>
      </c>
      <c r="C1364" t="b">
        <f ca="1">OR(Values!$S$98&gt;=Charms!M1364,IFERROR(Charms!J1364=OFFSET(Values!$A$24,MATCH("S",Values!$T$25:$T$50,0),0),FALSE))</f>
        <v>0</v>
      </c>
      <c r="D1364" t="b">
        <f>VLOOKUP(Charms!J1364,Values!$A$11:$S$59,19,0)&gt;=Charms!L1364</f>
        <v>0</v>
      </c>
      <c r="E1364" t="e">
        <f>OR(ISBLANK(Charms!I1364),(VLOOKUP(Values!$S$6,Castes!$B$2:$F$25,4,0)=Charms!I1364))</f>
        <v>#N/A</v>
      </c>
      <c r="J1364" t="e">
        <f t="shared" ca="1" si="106"/>
        <v>#N/A</v>
      </c>
      <c r="K1364" s="18" t="e">
        <f t="shared" ca="1" si="105"/>
        <v>#N/A</v>
      </c>
      <c r="L1364" t="e">
        <f ca="1">IF(J1364,Charms!B1364,"")</f>
        <v>#N/A</v>
      </c>
      <c r="M1364" t="str">
        <f t="shared" ca="1" si="107"/>
        <v>-</v>
      </c>
      <c r="N1364" s="18" t="str">
        <f t="shared" si="108"/>
        <v>K1336:L1409</v>
      </c>
      <c r="O1364" t="str">
        <f t="shared" si="109"/>
        <v>A1336:A1364</v>
      </c>
    </row>
    <row r="1365" spans="1:15">
      <c r="A1365" s="18" t="str">
        <f>Charms!K1365</f>
        <v>Socialize</v>
      </c>
      <c r="B1365" t="str">
        <f>Charms!B1365</f>
        <v>Fete-Watcher Stance</v>
      </c>
      <c r="C1365" t="b">
        <f ca="1">OR(Values!$S$98&gt;=Charms!M1365,IFERROR(Charms!J1365=OFFSET(Values!$A$24,MATCH("S",Values!$T$25:$T$50,0),0),FALSE))</f>
        <v>0</v>
      </c>
      <c r="D1365" t="b">
        <f>VLOOKUP(Charms!J1365,Values!$A$11:$S$59,19,0)&gt;=Charms!L1365</f>
        <v>0</v>
      </c>
      <c r="E1365" t="e">
        <f>OR(ISBLANK(Charms!I1365),(VLOOKUP(Values!$S$6,Castes!$B$2:$F$25,4,0)=Charms!I1365))</f>
        <v>#N/A</v>
      </c>
      <c r="J1365" t="e">
        <f t="shared" ca="1" si="106"/>
        <v>#N/A</v>
      </c>
      <c r="K1365" s="18" t="e">
        <f t="shared" ca="1" si="105"/>
        <v>#N/A</v>
      </c>
      <c r="L1365" t="e">
        <f ca="1">IF(J1365,Charms!B1365,"")</f>
        <v>#N/A</v>
      </c>
      <c r="M1365" t="str">
        <f t="shared" ca="1" si="107"/>
        <v>-</v>
      </c>
      <c r="N1365" s="18" t="str">
        <f t="shared" si="108"/>
        <v>K1336:L1409</v>
      </c>
      <c r="O1365" t="str">
        <f t="shared" si="109"/>
        <v>A1336:A1365</v>
      </c>
    </row>
    <row r="1366" spans="1:15">
      <c r="A1366" s="18" t="str">
        <f>Charms!K1366</f>
        <v>Socialize</v>
      </c>
      <c r="B1366" t="str">
        <f>Charms!B1366</f>
        <v>Seen and Seeing Method</v>
      </c>
      <c r="C1366" t="b">
        <f ca="1">OR(Values!$S$98&gt;=Charms!M1366,IFERROR(Charms!J1366=OFFSET(Values!$A$24,MATCH("S",Values!$T$25:$T$50,0),0),FALSE))</f>
        <v>0</v>
      </c>
      <c r="D1366" t="b">
        <f>VLOOKUP(Charms!J1366,Values!$A$11:$S$59,19,0)&gt;=Charms!L1366</f>
        <v>0</v>
      </c>
      <c r="E1366" t="e">
        <f>OR(ISBLANK(Charms!I1366),(VLOOKUP(Values!$S$6,Castes!$B$2:$F$25,4,0)=Charms!I1366))</f>
        <v>#N/A</v>
      </c>
      <c r="J1366" t="e">
        <f t="shared" ca="1" si="106"/>
        <v>#N/A</v>
      </c>
      <c r="K1366" s="18" t="e">
        <f t="shared" ca="1" si="105"/>
        <v>#N/A</v>
      </c>
      <c r="L1366" t="e">
        <f ca="1">IF(J1366,Charms!B1366,"")</f>
        <v>#N/A</v>
      </c>
      <c r="M1366" t="str">
        <f t="shared" ca="1" si="107"/>
        <v>-</v>
      </c>
      <c r="N1366" s="18" t="str">
        <f t="shared" si="108"/>
        <v>K1336:L1409</v>
      </c>
      <c r="O1366" t="str">
        <f t="shared" si="109"/>
        <v>A1336:A1366</v>
      </c>
    </row>
    <row r="1367" spans="1:15">
      <c r="A1367" s="18" t="str">
        <f>Charms!K1367</f>
        <v>Socialize</v>
      </c>
      <c r="B1367" t="str">
        <f>Charms!B1367</f>
        <v>Face-Charming Prana</v>
      </c>
      <c r="C1367" t="b">
        <f ca="1">OR(Values!$S$98&gt;=Charms!M1367,IFERROR(Charms!J1367=OFFSET(Values!$A$24,MATCH("S",Values!$T$25:$T$50,0),0),FALSE))</f>
        <v>0</v>
      </c>
      <c r="D1367" t="b">
        <f>VLOOKUP(Charms!J1367,Values!$A$11:$S$59,19,0)&gt;=Charms!L1367</f>
        <v>0</v>
      </c>
      <c r="E1367" t="e">
        <f>OR(ISBLANK(Charms!I1367),(VLOOKUP(Values!$S$6,Castes!$B$2:$F$25,4,0)=Charms!I1367))</f>
        <v>#N/A</v>
      </c>
      <c r="J1367" t="e">
        <f t="shared" ca="1" si="106"/>
        <v>#N/A</v>
      </c>
      <c r="K1367" s="18" t="e">
        <f t="shared" ca="1" si="105"/>
        <v>#N/A</v>
      </c>
      <c r="L1367" t="e">
        <f ca="1">IF(J1367,Charms!B1367,"")</f>
        <v>#N/A</v>
      </c>
      <c r="M1367" t="str">
        <f t="shared" ca="1" si="107"/>
        <v>-</v>
      </c>
      <c r="N1367" s="18" t="str">
        <f t="shared" si="108"/>
        <v>K1336:L1409</v>
      </c>
      <c r="O1367" t="str">
        <f t="shared" si="109"/>
        <v>A1336:A1367</v>
      </c>
    </row>
    <row r="1368" spans="1:15">
      <c r="A1368" s="18" t="str">
        <f>Charms!K1368</f>
        <v>Socialize</v>
      </c>
      <c r="B1368" t="str">
        <f>Charms!B1368</f>
        <v>Selfsame Master Procurer</v>
      </c>
      <c r="C1368" t="b">
        <f ca="1">OR(Values!$S$98&gt;=Charms!M1368,IFERROR(Charms!J1368=OFFSET(Values!$A$24,MATCH("S",Values!$T$25:$T$50,0),0),FALSE))</f>
        <v>0</v>
      </c>
      <c r="D1368" t="b">
        <f>VLOOKUP(Charms!J1368,Values!$A$11:$S$59,19,0)&gt;=Charms!L1368</f>
        <v>0</v>
      </c>
      <c r="E1368" t="e">
        <f>OR(ISBLANK(Charms!I1368),(VLOOKUP(Values!$S$6,Castes!$B$2:$F$25,4,0)=Charms!I1368))</f>
        <v>#N/A</v>
      </c>
      <c r="J1368" t="e">
        <f t="shared" ca="1" si="106"/>
        <v>#N/A</v>
      </c>
      <c r="K1368" s="18" t="e">
        <f t="shared" ca="1" si="105"/>
        <v>#N/A</v>
      </c>
      <c r="L1368" t="e">
        <f ca="1">IF(J1368,Charms!B1368,"")</f>
        <v>#N/A</v>
      </c>
      <c r="M1368" t="str">
        <f t="shared" ca="1" si="107"/>
        <v>-</v>
      </c>
      <c r="N1368" s="18" t="str">
        <f t="shared" si="108"/>
        <v>K1336:L1409</v>
      </c>
      <c r="O1368" t="str">
        <f t="shared" si="109"/>
        <v>A1336:A1368</v>
      </c>
    </row>
    <row r="1369" spans="1:15">
      <c r="A1369" s="18" t="str">
        <f>Charms!K1369</f>
        <v>Socialize</v>
      </c>
      <c r="B1369" t="str">
        <f>Charms!B1369</f>
        <v>Soul-Void Kata</v>
      </c>
      <c r="C1369" t="b">
        <f ca="1">OR(Values!$S$98&gt;=Charms!M1369,IFERROR(Charms!J1369=OFFSET(Values!$A$24,MATCH("S",Values!$T$25:$T$50,0),0),FALSE))</f>
        <v>0</v>
      </c>
      <c r="D1369" t="b">
        <f>VLOOKUP(Charms!J1369,Values!$A$11:$S$59,19,0)&gt;=Charms!L1369</f>
        <v>0</v>
      </c>
      <c r="E1369" t="e">
        <f>OR(ISBLANK(Charms!I1369),(VLOOKUP(Values!$S$6,Castes!$B$2:$F$25,4,0)=Charms!I1369))</f>
        <v>#N/A</v>
      </c>
      <c r="J1369" t="e">
        <f t="shared" ca="1" si="106"/>
        <v>#N/A</v>
      </c>
      <c r="K1369" s="18" t="e">
        <f t="shared" ca="1" si="105"/>
        <v>#N/A</v>
      </c>
      <c r="L1369" t="e">
        <f ca="1">IF(J1369,Charms!B1369,"")</f>
        <v>#N/A</v>
      </c>
      <c r="M1369" t="str">
        <f t="shared" ca="1" si="107"/>
        <v>-</v>
      </c>
      <c r="N1369" s="18" t="str">
        <f t="shared" si="108"/>
        <v>K1336:L1409</v>
      </c>
      <c r="O1369" t="str">
        <f t="shared" si="109"/>
        <v>A1336:A1369</v>
      </c>
    </row>
    <row r="1370" spans="1:15">
      <c r="A1370" s="18" t="str">
        <f>Charms!K1370</f>
        <v>Socialize</v>
      </c>
      <c r="B1370" t="str">
        <f>Charms!B1370</f>
        <v>Knowing the Soul's Price</v>
      </c>
      <c r="C1370" t="b">
        <f ca="1">OR(Values!$S$98&gt;=Charms!M1370,IFERROR(Charms!J1370=OFFSET(Values!$A$24,MATCH("S",Values!$T$25:$T$50,0),0),FALSE))</f>
        <v>0</v>
      </c>
      <c r="D1370" t="b">
        <f>VLOOKUP(Charms!J1370,Values!$A$11:$S$59,19,0)&gt;=Charms!L1370</f>
        <v>0</v>
      </c>
      <c r="E1370" t="e">
        <f>OR(ISBLANK(Charms!I1370),(VLOOKUP(Values!$S$6,Castes!$B$2:$F$25,4,0)=Charms!I1370))</f>
        <v>#N/A</v>
      </c>
      <c r="J1370" t="e">
        <f t="shared" ca="1" si="106"/>
        <v>#N/A</v>
      </c>
      <c r="K1370" s="18" t="e">
        <f t="shared" ca="1" si="105"/>
        <v>#N/A</v>
      </c>
      <c r="L1370" t="e">
        <f ca="1">IF(J1370,Charms!B1370,"")</f>
        <v>#N/A</v>
      </c>
      <c r="M1370" t="str">
        <f t="shared" ca="1" si="107"/>
        <v>-</v>
      </c>
      <c r="N1370" s="18" t="str">
        <f t="shared" si="108"/>
        <v>K1336:L1409</v>
      </c>
      <c r="O1370" t="str">
        <f t="shared" si="109"/>
        <v>A1336:A1370</v>
      </c>
    </row>
    <row r="1371" spans="1:15">
      <c r="A1371" s="18" t="str">
        <f>Charms!K1371</f>
        <v>Socialize</v>
      </c>
      <c r="B1371" t="str">
        <f>Charms!B1371</f>
        <v>Understanding the Court</v>
      </c>
      <c r="C1371" t="b">
        <f ca="1">OR(Values!$S$98&gt;=Charms!M1371,IFERROR(Charms!J1371=OFFSET(Values!$A$24,MATCH("S",Values!$T$25:$T$50,0),0),FALSE))</f>
        <v>0</v>
      </c>
      <c r="D1371" t="b">
        <f>VLOOKUP(Charms!J1371,Values!$A$11:$S$59,19,0)&gt;=Charms!L1371</f>
        <v>0</v>
      </c>
      <c r="E1371" t="e">
        <f>OR(ISBLANK(Charms!I1371),(VLOOKUP(Values!$S$6,Castes!$B$2:$F$25,4,0)=Charms!I1371))</f>
        <v>#N/A</v>
      </c>
      <c r="J1371" t="e">
        <f t="shared" ca="1" si="106"/>
        <v>#N/A</v>
      </c>
      <c r="K1371" s="18" t="e">
        <f t="shared" ca="1" si="105"/>
        <v>#N/A</v>
      </c>
      <c r="L1371" t="e">
        <f ca="1">IF(J1371,Charms!B1371,"")</f>
        <v>#N/A</v>
      </c>
      <c r="M1371" t="str">
        <f t="shared" ca="1" si="107"/>
        <v>-</v>
      </c>
      <c r="N1371" s="18" t="str">
        <f t="shared" si="108"/>
        <v>K1336:L1409</v>
      </c>
      <c r="O1371" t="str">
        <f t="shared" si="109"/>
        <v>A1336:A1371</v>
      </c>
    </row>
    <row r="1372" spans="1:15">
      <c r="A1372" s="18" t="str">
        <f>Charms!K1372</f>
        <v>Socialize</v>
      </c>
      <c r="B1372" t="str">
        <f>Charms!B1372</f>
        <v>Unbound Social Mastery</v>
      </c>
      <c r="C1372" t="b">
        <f ca="1">OR(Values!$S$98&gt;=Charms!M1372,IFERROR(Charms!J1372=OFFSET(Values!$A$24,MATCH("S",Values!$T$25:$T$50,0),0),FALSE))</f>
        <v>0</v>
      </c>
      <c r="D1372" t="b">
        <f>VLOOKUP(Charms!J1372,Values!$A$11:$S$59,19,0)&gt;=Charms!L1372</f>
        <v>0</v>
      </c>
      <c r="E1372" t="e">
        <f>OR(ISBLANK(Charms!I1372),(VLOOKUP(Values!$S$6,Castes!$B$2:$F$25,4,0)=Charms!I1372))</f>
        <v>#N/A</v>
      </c>
      <c r="J1372" t="e">
        <f t="shared" ca="1" si="106"/>
        <v>#N/A</v>
      </c>
      <c r="K1372" s="18" t="e">
        <f t="shared" ca="1" si="105"/>
        <v>#N/A</v>
      </c>
      <c r="L1372" t="e">
        <f ca="1">IF(J1372,Charms!B1372,"")</f>
        <v>#N/A</v>
      </c>
      <c r="M1372" t="str">
        <f t="shared" ca="1" si="107"/>
        <v>-</v>
      </c>
      <c r="N1372" s="18" t="str">
        <f t="shared" si="108"/>
        <v>K1336:L1409</v>
      </c>
      <c r="O1372" t="str">
        <f t="shared" si="109"/>
        <v>A1336:A1372</v>
      </c>
    </row>
    <row r="1373" spans="1:15">
      <c r="A1373" s="18" t="str">
        <f>Charms!K1373</f>
        <v>Socialize</v>
      </c>
      <c r="B1373" t="str">
        <f>Charms!B1373</f>
        <v>Heart-Eclipsing Shroud</v>
      </c>
      <c r="C1373" t="b">
        <f ca="1">OR(Values!$S$98&gt;=Charms!M1373,IFERROR(Charms!J1373=OFFSET(Values!$A$24,MATCH("S",Values!$T$25:$T$50,0),0),FALSE))</f>
        <v>0</v>
      </c>
      <c r="D1373" t="b">
        <f>VLOOKUP(Charms!J1373,Values!$A$11:$S$59,19,0)&gt;=Charms!L1373</f>
        <v>0</v>
      </c>
      <c r="E1373" t="e">
        <f>OR(ISBLANK(Charms!I1373),(VLOOKUP(Values!$S$6,Castes!$B$2:$F$25,4,0)=Charms!I1373))</f>
        <v>#N/A</v>
      </c>
      <c r="J1373" t="e">
        <f t="shared" ca="1" si="106"/>
        <v>#N/A</v>
      </c>
      <c r="K1373" s="18" t="e">
        <f t="shared" ca="1" si="105"/>
        <v>#N/A</v>
      </c>
      <c r="L1373" t="e">
        <f ca="1">IF(J1373,Charms!B1373,"")</f>
        <v>#N/A</v>
      </c>
      <c r="M1373" t="str">
        <f t="shared" ca="1" si="107"/>
        <v>-</v>
      </c>
      <c r="N1373" s="18" t="str">
        <f t="shared" si="108"/>
        <v>K1336:L1409</v>
      </c>
      <c r="O1373" t="str">
        <f t="shared" si="109"/>
        <v>A1336:A1373</v>
      </c>
    </row>
    <row r="1374" spans="1:15">
      <c r="A1374" s="18" t="str">
        <f>Charms!K1374</f>
        <v>Socialize</v>
      </c>
      <c r="B1374" t="str">
        <f>Charms!B1374</f>
        <v>Hundred-Faced Stranger</v>
      </c>
      <c r="C1374" t="b">
        <f ca="1">OR(Values!$S$98&gt;=Charms!M1374,IFERROR(Charms!J1374=OFFSET(Values!$A$24,MATCH("S",Values!$T$25:$T$50,0),0),FALSE))</f>
        <v>0</v>
      </c>
      <c r="D1374" t="b">
        <f>VLOOKUP(Charms!J1374,Values!$A$11:$S$59,19,0)&gt;=Charms!L1374</f>
        <v>0</v>
      </c>
      <c r="E1374" t="e">
        <f>OR(ISBLANK(Charms!I1374),(VLOOKUP(Values!$S$6,Castes!$B$2:$F$25,4,0)=Charms!I1374))</f>
        <v>#N/A</v>
      </c>
      <c r="J1374" t="e">
        <f t="shared" ca="1" si="106"/>
        <v>#N/A</v>
      </c>
      <c r="K1374" s="18" t="e">
        <f t="shared" ca="1" si="105"/>
        <v>#N/A</v>
      </c>
      <c r="L1374" t="e">
        <f ca="1">IF(J1374,Charms!B1374,"")</f>
        <v>#N/A</v>
      </c>
      <c r="M1374" t="str">
        <f t="shared" ca="1" si="107"/>
        <v>-</v>
      </c>
      <c r="N1374" s="18" t="str">
        <f t="shared" si="108"/>
        <v>K1336:L1409</v>
      </c>
      <c r="O1374" t="str">
        <f t="shared" si="109"/>
        <v>A1336:A1374</v>
      </c>
    </row>
    <row r="1375" spans="1:15">
      <c r="A1375" s="18" t="str">
        <f>Charms!K1375</f>
        <v>Socialize</v>
      </c>
      <c r="B1375" t="str">
        <f>Charms!B1375</f>
        <v>Legend Mask Methodology</v>
      </c>
      <c r="C1375" t="b">
        <f ca="1">OR(Values!$S$98&gt;=Charms!M1375,IFERROR(Charms!J1375=OFFSET(Values!$A$24,MATCH("S",Values!$T$25:$T$50,0),0),FALSE))</f>
        <v>0</v>
      </c>
      <c r="D1375" t="b">
        <f>VLOOKUP(Charms!J1375,Values!$A$11:$S$59,19,0)&gt;=Charms!L1375</f>
        <v>0</v>
      </c>
      <c r="E1375" t="e">
        <f>OR(ISBLANK(Charms!I1375),(VLOOKUP(Values!$S$6,Castes!$B$2:$F$25,4,0)=Charms!I1375))</f>
        <v>#N/A</v>
      </c>
      <c r="J1375" t="e">
        <f t="shared" ca="1" si="106"/>
        <v>#N/A</v>
      </c>
      <c r="K1375" s="18" t="e">
        <f t="shared" ca="1" si="105"/>
        <v>#N/A</v>
      </c>
      <c r="L1375" t="e">
        <f ca="1">IF(J1375,Charms!B1375,"")</f>
        <v>#N/A</v>
      </c>
      <c r="M1375" t="str">
        <f t="shared" ca="1" si="107"/>
        <v>-</v>
      </c>
      <c r="N1375" s="18" t="str">
        <f t="shared" si="108"/>
        <v>K1336:L1409</v>
      </c>
      <c r="O1375" t="str">
        <f t="shared" si="109"/>
        <v>A1336:A1375</v>
      </c>
    </row>
    <row r="1376" spans="1:15">
      <c r="A1376" s="18" t="str">
        <f>Charms!K1376</f>
        <v>Socialize</v>
      </c>
      <c r="B1376" t="str">
        <f>Charms!B1376</f>
        <v>Friend of a Friend Approach</v>
      </c>
      <c r="C1376" t="b">
        <f ca="1">OR(Values!$S$98&gt;=Charms!M1376,IFERROR(Charms!J1376=OFFSET(Values!$A$24,MATCH("S",Values!$T$25:$T$50,0),0),FALSE))</f>
        <v>0</v>
      </c>
      <c r="D1376" t="b">
        <f>VLOOKUP(Charms!J1376,Values!$A$11:$S$59,19,0)&gt;=Charms!L1376</f>
        <v>0</v>
      </c>
      <c r="E1376" t="e">
        <f>OR(ISBLANK(Charms!I1376),(VLOOKUP(Values!$S$6,Castes!$B$2:$F$25,4,0)=Charms!I1376))</f>
        <v>#N/A</v>
      </c>
      <c r="J1376" t="e">
        <f t="shared" ca="1" si="106"/>
        <v>#N/A</v>
      </c>
      <c r="K1376" s="18" t="e">
        <f t="shared" ca="1" si="105"/>
        <v>#N/A</v>
      </c>
      <c r="L1376" t="e">
        <f ca="1">IF(J1376,Charms!B1376,"")</f>
        <v>#N/A</v>
      </c>
      <c r="M1376" t="str">
        <f t="shared" ca="1" si="107"/>
        <v>-</v>
      </c>
      <c r="N1376" s="18" t="str">
        <f t="shared" si="108"/>
        <v>K1336:L1409</v>
      </c>
      <c r="O1376" t="str">
        <f t="shared" si="109"/>
        <v>A1336:A1376</v>
      </c>
    </row>
    <row r="1377" spans="1:15">
      <c r="A1377" s="18" t="str">
        <f>Charms!K1377</f>
        <v>Socialize</v>
      </c>
      <c r="B1377" t="str">
        <f>Charms!B1377</f>
        <v>Venomous Rumors Technique</v>
      </c>
      <c r="C1377" t="b">
        <f ca="1">OR(Values!$S$98&gt;=Charms!M1377,IFERROR(Charms!J1377=OFFSET(Values!$A$24,MATCH("S",Values!$T$25:$T$50,0),0),FALSE))</f>
        <v>0</v>
      </c>
      <c r="D1377" t="b">
        <f>VLOOKUP(Charms!J1377,Values!$A$11:$S$59,19,0)&gt;=Charms!L1377</f>
        <v>0</v>
      </c>
      <c r="E1377" t="e">
        <f>OR(ISBLANK(Charms!I1377),(VLOOKUP(Values!$S$6,Castes!$B$2:$F$25,4,0)=Charms!I1377))</f>
        <v>#N/A</v>
      </c>
      <c r="J1377" t="e">
        <f t="shared" ca="1" si="106"/>
        <v>#N/A</v>
      </c>
      <c r="K1377" s="18" t="e">
        <f t="shared" ca="1" si="105"/>
        <v>#N/A</v>
      </c>
      <c r="L1377" t="e">
        <f ca="1">IF(J1377,Charms!B1377,"")</f>
        <v>#N/A</v>
      </c>
      <c r="M1377" t="str">
        <f t="shared" ca="1" si="107"/>
        <v>-</v>
      </c>
      <c r="N1377" s="18" t="str">
        <f t="shared" si="108"/>
        <v>K1336:L1409</v>
      </c>
      <c r="O1377" t="str">
        <f t="shared" si="109"/>
        <v>A1336:A1377</v>
      </c>
    </row>
    <row r="1378" spans="1:15">
      <c r="A1378" s="18" t="str">
        <f>Charms!K1378</f>
        <v>Socialize</v>
      </c>
      <c r="B1378" t="str">
        <f>Charms!B1378</f>
        <v>Even-Touched Prophet</v>
      </c>
      <c r="C1378" t="b">
        <f ca="1">OR(Values!$S$98&gt;=Charms!M1378,IFERROR(Charms!J1378=OFFSET(Values!$A$24,MATCH("S",Values!$T$25:$T$50,0),0),FALSE))</f>
        <v>0</v>
      </c>
      <c r="D1378" t="b">
        <f>VLOOKUP(Charms!J1378,Values!$A$11:$S$59,19,0)&gt;=Charms!L1378</f>
        <v>0</v>
      </c>
      <c r="E1378" t="e">
        <f>OR(ISBLANK(Charms!I1378),(VLOOKUP(Values!$S$6,Castes!$B$2:$F$25,4,0)=Charms!I1378))</f>
        <v>#N/A</v>
      </c>
      <c r="J1378" t="e">
        <f t="shared" ca="1" si="106"/>
        <v>#N/A</v>
      </c>
      <c r="K1378" s="18" t="e">
        <f t="shared" ca="1" si="105"/>
        <v>#N/A</v>
      </c>
      <c r="L1378" t="e">
        <f ca="1">IF(J1378,Charms!B1378,"")</f>
        <v>#N/A</v>
      </c>
      <c r="M1378" t="str">
        <f t="shared" ca="1" si="107"/>
        <v>-</v>
      </c>
      <c r="N1378" s="18" t="str">
        <f t="shared" si="108"/>
        <v>K1336:L1409</v>
      </c>
      <c r="O1378" t="str">
        <f t="shared" si="109"/>
        <v>A1336:A1378</v>
      </c>
    </row>
    <row r="1379" spans="1:15">
      <c r="A1379" s="18" t="str">
        <f>Charms!K1379</f>
        <v>Socialize</v>
      </c>
      <c r="B1379" t="str">
        <f>Charms!B1379</f>
        <v>Elusive Dream Defense</v>
      </c>
      <c r="C1379" t="b">
        <f ca="1">OR(Values!$S$98&gt;=Charms!M1379,IFERROR(Charms!J1379=OFFSET(Values!$A$24,MATCH("S",Values!$T$25:$T$50,0),0),FALSE))</f>
        <v>0</v>
      </c>
      <c r="D1379" t="b">
        <f>VLOOKUP(Charms!J1379,Values!$A$11:$S$59,19,0)&gt;=Charms!L1379</f>
        <v>0</v>
      </c>
      <c r="E1379" t="e">
        <f>OR(ISBLANK(Charms!I1379),(VLOOKUP(Values!$S$6,Castes!$B$2:$F$25,4,0)=Charms!I1379))</f>
        <v>#N/A</v>
      </c>
      <c r="J1379" t="e">
        <f t="shared" ca="1" si="106"/>
        <v>#N/A</v>
      </c>
      <c r="K1379" s="18" t="e">
        <f t="shared" ca="1" si="105"/>
        <v>#N/A</v>
      </c>
      <c r="L1379" t="e">
        <f ca="1">IF(J1379,Charms!B1379,"")</f>
        <v>#N/A</v>
      </c>
      <c r="M1379" t="str">
        <f t="shared" ca="1" si="107"/>
        <v>-</v>
      </c>
      <c r="N1379" s="18" t="str">
        <f t="shared" si="108"/>
        <v>K1336:L1409</v>
      </c>
      <c r="O1379" t="str">
        <f t="shared" si="109"/>
        <v>A1336:A1379</v>
      </c>
    </row>
    <row r="1380" spans="1:15">
      <c r="A1380" s="18" t="str">
        <f>Charms!K1380</f>
        <v>Socialize</v>
      </c>
      <c r="B1380" t="str">
        <f>Charms!B1380</f>
        <v>Draw the Curtain</v>
      </c>
      <c r="C1380" t="b">
        <f ca="1">OR(Values!$S$98&gt;=Charms!M1380,IFERROR(Charms!J1380=OFFSET(Values!$A$24,MATCH("S",Values!$T$25:$T$50,0),0),FALSE))</f>
        <v>0</v>
      </c>
      <c r="D1380" t="b">
        <f>VLOOKUP(Charms!J1380,Values!$A$11:$S$59,19,0)&gt;=Charms!L1380</f>
        <v>0</v>
      </c>
      <c r="E1380" t="e">
        <f>OR(ISBLANK(Charms!I1380),(VLOOKUP(Values!$S$6,Castes!$B$2:$F$25,4,0)=Charms!I1380))</f>
        <v>#N/A</v>
      </c>
      <c r="J1380" t="e">
        <f t="shared" ca="1" si="106"/>
        <v>#N/A</v>
      </c>
      <c r="K1380" s="18" t="e">
        <f t="shared" ca="1" si="105"/>
        <v>#N/A</v>
      </c>
      <c r="L1380" t="e">
        <f ca="1">IF(J1380,Charms!B1380,"")</f>
        <v>#N/A</v>
      </c>
      <c r="M1380" t="str">
        <f t="shared" ca="1" si="107"/>
        <v>-</v>
      </c>
      <c r="N1380" s="18" t="str">
        <f t="shared" si="108"/>
        <v>K1336:L1409</v>
      </c>
      <c r="O1380" t="str">
        <f t="shared" si="109"/>
        <v>A1336:A1380</v>
      </c>
    </row>
    <row r="1381" spans="1:15">
      <c r="A1381" s="18" t="str">
        <f>Charms!K1381</f>
        <v>Socialize</v>
      </c>
      <c r="B1381" t="str">
        <f>Charms!B1381</f>
        <v>At Your Service</v>
      </c>
      <c r="C1381" t="b">
        <f ca="1">OR(Values!$S$98&gt;=Charms!M1381,IFERROR(Charms!J1381=OFFSET(Values!$A$24,MATCH("S",Values!$T$25:$T$50,0),0),FALSE))</f>
        <v>0</v>
      </c>
      <c r="D1381" t="b">
        <f>VLOOKUP(Charms!J1381,Values!$A$11:$S$59,19,0)&gt;=Charms!L1381</f>
        <v>0</v>
      </c>
      <c r="E1381" t="e">
        <f>OR(ISBLANK(Charms!I1381),(VLOOKUP(Values!$S$6,Castes!$B$2:$F$25,4,0)=Charms!I1381))</f>
        <v>#N/A</v>
      </c>
      <c r="J1381" t="e">
        <f t="shared" ca="1" si="106"/>
        <v>#N/A</v>
      </c>
      <c r="K1381" s="18" t="e">
        <f t="shared" ca="1" si="105"/>
        <v>#N/A</v>
      </c>
      <c r="L1381" t="e">
        <f ca="1">IF(J1381,Charms!B1381,"")</f>
        <v>#N/A</v>
      </c>
      <c r="M1381" t="str">
        <f t="shared" ca="1" si="107"/>
        <v>-</v>
      </c>
      <c r="N1381" s="18" t="str">
        <f t="shared" si="108"/>
        <v>K1336:L1409</v>
      </c>
      <c r="O1381" t="str">
        <f t="shared" si="109"/>
        <v>A1336:A1381</v>
      </c>
    </row>
    <row r="1382" spans="1:15">
      <c r="A1382" s="18" t="str">
        <f>Charms!K1382</f>
        <v>Socialize</v>
      </c>
      <c r="B1382" t="str">
        <f>Charms!B1382</f>
        <v>Fugue-Empowered Other</v>
      </c>
      <c r="C1382" t="b">
        <f ca="1">OR(Values!$S$98&gt;=Charms!M1382,IFERROR(Charms!J1382=OFFSET(Values!$A$24,MATCH("S",Values!$T$25:$T$50,0),0),FALSE))</f>
        <v>0</v>
      </c>
      <c r="D1382" t="b">
        <f>VLOOKUP(Charms!J1382,Values!$A$11:$S$59,19,0)&gt;=Charms!L1382</f>
        <v>0</v>
      </c>
      <c r="E1382" t="e">
        <f>OR(ISBLANK(Charms!I1382),(VLOOKUP(Values!$S$6,Castes!$B$2:$F$25,4,0)=Charms!I1382))</f>
        <v>#N/A</v>
      </c>
      <c r="J1382" t="e">
        <f t="shared" ca="1" si="106"/>
        <v>#N/A</v>
      </c>
      <c r="K1382" s="18" t="e">
        <f t="shared" ca="1" si="105"/>
        <v>#N/A</v>
      </c>
      <c r="L1382" t="e">
        <f ca="1">IF(J1382,Charms!B1382,"")</f>
        <v>#N/A</v>
      </c>
      <c r="M1382" t="str">
        <f t="shared" ca="1" si="107"/>
        <v>-</v>
      </c>
      <c r="N1382" s="18" t="str">
        <f t="shared" si="108"/>
        <v>K1336:L1409</v>
      </c>
      <c r="O1382" t="str">
        <f t="shared" si="109"/>
        <v>A1336:A1382</v>
      </c>
    </row>
    <row r="1383" spans="1:15">
      <c r="A1383" s="18" t="str">
        <f>Charms!K1383</f>
        <v>Socialize</v>
      </c>
      <c r="B1383" t="str">
        <f>Charms!B1383</f>
        <v>Soul Reprisal</v>
      </c>
      <c r="C1383" t="b">
        <f ca="1">OR(Values!$S$98&gt;=Charms!M1383,IFERROR(Charms!J1383=OFFSET(Values!$A$24,MATCH("S",Values!$T$25:$T$50,0),0),FALSE))</f>
        <v>0</v>
      </c>
      <c r="D1383" t="b">
        <f>VLOOKUP(Charms!J1383,Values!$A$11:$S$59,19,0)&gt;=Charms!L1383</f>
        <v>0</v>
      </c>
      <c r="E1383" t="e">
        <f>OR(ISBLANK(Charms!I1383),(VLOOKUP(Values!$S$6,Castes!$B$2:$F$25,4,0)=Charms!I1383))</f>
        <v>#N/A</v>
      </c>
      <c r="J1383" t="e">
        <f t="shared" ca="1" si="106"/>
        <v>#N/A</v>
      </c>
      <c r="K1383" s="18" t="e">
        <f t="shared" ca="1" si="105"/>
        <v>#N/A</v>
      </c>
      <c r="L1383" t="e">
        <f ca="1">IF(J1383,Charms!B1383,"")</f>
        <v>#N/A</v>
      </c>
      <c r="M1383" t="str">
        <f t="shared" ca="1" si="107"/>
        <v>-</v>
      </c>
      <c r="N1383" s="18" t="str">
        <f t="shared" si="108"/>
        <v>K1336:L1409</v>
      </c>
      <c r="O1383" t="str">
        <f t="shared" si="109"/>
        <v>A1336:A1383</v>
      </c>
    </row>
    <row r="1384" spans="1:15">
      <c r="A1384" s="18" t="str">
        <f>Charms!K1384</f>
        <v>Socialize</v>
      </c>
      <c r="B1384" t="str">
        <f>Charms!B1384</f>
        <v>Rancor-Raising Spirit</v>
      </c>
      <c r="C1384" t="b">
        <f ca="1">OR(Values!$S$98&gt;=Charms!M1384,IFERROR(Charms!J1384=OFFSET(Values!$A$24,MATCH("S",Values!$T$25:$T$50,0),0),FALSE))</f>
        <v>1</v>
      </c>
      <c r="D1384" t="b">
        <f>VLOOKUP(Charms!J1384,Values!$A$11:$S$59,19,0)&gt;=Charms!L1384</f>
        <v>0</v>
      </c>
      <c r="E1384" t="e">
        <f>OR(ISBLANK(Charms!I1384),(VLOOKUP(Values!$S$6,Castes!$B$2:$F$25,4,0)=Charms!I1384))</f>
        <v>#N/A</v>
      </c>
      <c r="J1384" t="e">
        <f t="shared" ca="1" si="106"/>
        <v>#N/A</v>
      </c>
      <c r="K1384" s="18" t="e">
        <f t="shared" ca="1" si="105"/>
        <v>#N/A</v>
      </c>
      <c r="L1384" t="e">
        <f ca="1">IF(J1384,Charms!B1384,"")</f>
        <v>#N/A</v>
      </c>
      <c r="M1384" t="str">
        <f t="shared" ca="1" si="107"/>
        <v>-</v>
      </c>
      <c r="N1384" s="18" t="str">
        <f t="shared" si="108"/>
        <v>K1336:L1409</v>
      </c>
      <c r="O1384" t="str">
        <f t="shared" si="109"/>
        <v>A1336:A1384</v>
      </c>
    </row>
    <row r="1385" spans="1:15">
      <c r="A1385" s="18" t="str">
        <f>Charms!K1385</f>
        <v>Socialize</v>
      </c>
      <c r="B1385" t="str">
        <f>Charms!B1385</f>
        <v>Soul-Testing Method</v>
      </c>
      <c r="C1385" t="b">
        <f ca="1">OR(Values!$S$98&gt;=Charms!M1385,IFERROR(Charms!J1385=OFFSET(Values!$A$24,MATCH("S",Values!$T$25:$T$50,0),0),FALSE))</f>
        <v>0</v>
      </c>
      <c r="D1385" t="b">
        <f>VLOOKUP(Charms!J1385,Values!$A$11:$S$59,19,0)&gt;=Charms!L1385</f>
        <v>0</v>
      </c>
      <c r="E1385" t="e">
        <f>OR(ISBLANK(Charms!I1385),(VLOOKUP(Values!$S$6,Castes!$B$2:$F$25,4,0)=Charms!I1385))</f>
        <v>#N/A</v>
      </c>
      <c r="J1385" t="e">
        <f t="shared" ca="1" si="106"/>
        <v>#N/A</v>
      </c>
      <c r="K1385" s="18" t="e">
        <f t="shared" ca="1" si="105"/>
        <v>#N/A</v>
      </c>
      <c r="L1385" t="e">
        <f ca="1">IF(J1385,Charms!B1385,"")</f>
        <v>#N/A</v>
      </c>
      <c r="M1385" t="str">
        <f t="shared" ca="1" si="107"/>
        <v>-</v>
      </c>
      <c r="N1385" s="18" t="str">
        <f t="shared" si="108"/>
        <v>K1336:L1409</v>
      </c>
      <c r="O1385" t="str">
        <f t="shared" si="109"/>
        <v>A1336:A1385</v>
      </c>
    </row>
    <row r="1386" spans="1:15">
      <c r="A1386" s="18" t="str">
        <f>Charms!K1386</f>
        <v>Socialize</v>
      </c>
      <c r="B1386" t="str">
        <f>Charms!B1386</f>
        <v>Loquacious Courtier Technique</v>
      </c>
      <c r="C1386" t="b">
        <f ca="1">OR(Values!$S$98&gt;=Charms!M1386,IFERROR(Charms!J1386=OFFSET(Values!$A$24,MATCH("S",Values!$T$25:$T$50,0),0),FALSE))</f>
        <v>1</v>
      </c>
      <c r="D1386" t="b">
        <f>VLOOKUP(Charms!J1386,Values!$A$11:$S$59,19,0)&gt;=Charms!L1386</f>
        <v>0</v>
      </c>
      <c r="E1386" t="e">
        <f>OR(ISBLANK(Charms!I1386),(VLOOKUP(Values!$S$6,Castes!$B$2:$F$25,4,0)=Charms!I1386))</f>
        <v>#N/A</v>
      </c>
      <c r="J1386" t="e">
        <f t="shared" ca="1" si="106"/>
        <v>#N/A</v>
      </c>
      <c r="K1386" s="18" t="e">
        <f t="shared" ca="1" si="105"/>
        <v>#N/A</v>
      </c>
      <c r="L1386" t="e">
        <f ca="1">IF(J1386,Charms!B1386,"")</f>
        <v>#N/A</v>
      </c>
      <c r="M1386" t="str">
        <f t="shared" ca="1" si="107"/>
        <v>-</v>
      </c>
      <c r="N1386" s="18" t="str">
        <f t="shared" si="108"/>
        <v>K1336:L1409</v>
      </c>
      <c r="O1386" t="str">
        <f t="shared" si="109"/>
        <v>A1336:A1386</v>
      </c>
    </row>
    <row r="1387" spans="1:15">
      <c r="A1387" s="18" t="str">
        <f>Charms!K1387</f>
        <v>Socialize</v>
      </c>
      <c r="B1387" t="str">
        <f>Charms!B1387</f>
        <v>Wary Yellow Dog Attitude</v>
      </c>
      <c r="C1387" t="b">
        <f ca="1">OR(Values!$S$98&gt;=Charms!M1387,IFERROR(Charms!J1387=OFFSET(Values!$A$24,MATCH("S",Values!$T$25:$T$50,0),0),FALSE))</f>
        <v>1</v>
      </c>
      <c r="D1387" t="b">
        <f>VLOOKUP(Charms!J1387,Values!$A$11:$S$59,19,0)&gt;=Charms!L1387</f>
        <v>0</v>
      </c>
      <c r="E1387" t="e">
        <f>OR(ISBLANK(Charms!I1387),(VLOOKUP(Values!$S$6,Castes!$B$2:$F$25,4,0)=Charms!I1387))</f>
        <v>#N/A</v>
      </c>
      <c r="J1387" t="e">
        <f t="shared" ca="1" si="106"/>
        <v>#N/A</v>
      </c>
      <c r="K1387" s="18" t="e">
        <f t="shared" ca="1" si="105"/>
        <v>#N/A</v>
      </c>
      <c r="L1387" t="e">
        <f ca="1">IF(J1387,Charms!B1387,"")</f>
        <v>#N/A</v>
      </c>
      <c r="M1387" t="str">
        <f t="shared" ca="1" si="107"/>
        <v>-</v>
      </c>
      <c r="N1387" s="18" t="str">
        <f t="shared" si="108"/>
        <v>K1336:L1409</v>
      </c>
      <c r="O1387" t="str">
        <f t="shared" si="109"/>
        <v>A1336:A1387</v>
      </c>
    </row>
    <row r="1388" spans="1:15">
      <c r="A1388" s="18" t="str">
        <f>Charms!K1388</f>
        <v>Socialize</v>
      </c>
      <c r="B1388" t="str">
        <f>Charms!B1388</f>
        <v>Friend-to-All-Nations Attitude</v>
      </c>
      <c r="C1388" t="b">
        <f ca="1">OR(Values!$S$98&gt;=Charms!M1388,IFERROR(Charms!J1388=OFFSET(Values!$A$24,MATCH("S",Values!$T$25:$T$50,0),0),FALSE))</f>
        <v>1</v>
      </c>
      <c r="D1388" t="b">
        <f>VLOOKUP(Charms!J1388,Values!$A$11:$S$59,19,0)&gt;=Charms!L1388</f>
        <v>0</v>
      </c>
      <c r="E1388" t="e">
        <f>OR(ISBLANK(Charms!I1388),(VLOOKUP(Values!$S$6,Castes!$B$2:$F$25,4,0)=Charms!I1388))</f>
        <v>#N/A</v>
      </c>
      <c r="J1388" t="e">
        <f t="shared" ca="1" si="106"/>
        <v>#N/A</v>
      </c>
      <c r="K1388" s="18" t="e">
        <f t="shared" ca="1" si="105"/>
        <v>#N/A</v>
      </c>
      <c r="L1388" t="e">
        <f ca="1">IF(J1388,Charms!B1388,"")</f>
        <v>#N/A</v>
      </c>
      <c r="M1388" t="str">
        <f t="shared" ca="1" si="107"/>
        <v>-</v>
      </c>
      <c r="N1388" s="18" t="str">
        <f t="shared" si="108"/>
        <v>K1336:L1409</v>
      </c>
      <c r="O1388" t="str">
        <f t="shared" si="109"/>
        <v>A1336:A1388</v>
      </c>
    </row>
    <row r="1389" spans="1:15">
      <c r="A1389" s="18" t="str">
        <f>Charms!K1389</f>
        <v>Socialize</v>
      </c>
      <c r="B1389" t="str">
        <f>Charms!B1389</f>
        <v>Loyalty-Reading Meditation</v>
      </c>
      <c r="C1389" t="b">
        <f ca="1">OR(Values!$S$98&gt;=Charms!M1389,IFERROR(Charms!J1389=OFFSET(Values!$A$24,MATCH("S",Values!$T$25:$T$50,0),0),FALSE))</f>
        <v>1</v>
      </c>
      <c r="D1389" t="b">
        <f>VLOOKUP(Charms!J1389,Values!$A$11:$S$59,19,0)&gt;=Charms!L1389</f>
        <v>0</v>
      </c>
      <c r="E1389" t="e">
        <f>OR(ISBLANK(Charms!I1389),(VLOOKUP(Values!$S$6,Castes!$B$2:$F$25,4,0)=Charms!I1389))</f>
        <v>#N/A</v>
      </c>
      <c r="J1389" t="e">
        <f t="shared" ca="1" si="106"/>
        <v>#N/A</v>
      </c>
      <c r="K1389" s="18" t="e">
        <f t="shared" ca="1" si="105"/>
        <v>#N/A</v>
      </c>
      <c r="L1389" t="e">
        <f ca="1">IF(J1389,Charms!B1389,"")</f>
        <v>#N/A</v>
      </c>
      <c r="M1389" t="str">
        <f t="shared" ca="1" si="107"/>
        <v>-</v>
      </c>
      <c r="N1389" s="18" t="str">
        <f t="shared" si="108"/>
        <v>K1336:L1409</v>
      </c>
      <c r="O1389" t="str">
        <f t="shared" si="109"/>
        <v>A1336:A1389</v>
      </c>
    </row>
    <row r="1390" spans="1:15">
      <c r="A1390" s="18" t="str">
        <f>Charms!K1390</f>
        <v>Socialize</v>
      </c>
      <c r="B1390" t="str">
        <f>Charms!B1390</f>
        <v>Smoke-Wreathed Mien</v>
      </c>
      <c r="C1390" t="b">
        <f ca="1">OR(Values!$S$98&gt;=Charms!M1390,IFERROR(Charms!J1390=OFFSET(Values!$A$24,MATCH("S",Values!$T$25:$T$50,0),0),FALSE))</f>
        <v>1</v>
      </c>
      <c r="D1390" t="b">
        <f>VLOOKUP(Charms!J1390,Values!$A$11:$S$59,19,0)&gt;=Charms!L1390</f>
        <v>0</v>
      </c>
      <c r="E1390" t="e">
        <f>OR(ISBLANK(Charms!I1390),(VLOOKUP(Values!$S$6,Castes!$B$2:$F$25,4,0)=Charms!I1390))</f>
        <v>#N/A</v>
      </c>
      <c r="J1390" t="e">
        <f t="shared" ca="1" si="106"/>
        <v>#N/A</v>
      </c>
      <c r="K1390" s="18" t="e">
        <f t="shared" ca="1" si="105"/>
        <v>#N/A</v>
      </c>
      <c r="L1390" t="e">
        <f ca="1">IF(J1390,Charms!B1390,"")</f>
        <v>#N/A</v>
      </c>
      <c r="M1390" t="str">
        <f t="shared" ca="1" si="107"/>
        <v>-</v>
      </c>
      <c r="N1390" s="18" t="str">
        <f t="shared" si="108"/>
        <v>K1336:L1409</v>
      </c>
      <c r="O1390" t="str">
        <f t="shared" si="109"/>
        <v>A1336:A1390</v>
      </c>
    </row>
    <row r="1391" spans="1:15">
      <c r="A1391" s="18" t="str">
        <f>Charms!K1391</f>
        <v>Socialize</v>
      </c>
      <c r="B1391" t="str">
        <f>Charms!B1391</f>
        <v>Auspicious First Meeting Attitude</v>
      </c>
      <c r="C1391" t="b">
        <f ca="1">OR(Values!$S$98&gt;=Charms!M1391,IFERROR(Charms!J1391=OFFSET(Values!$A$24,MATCH("S",Values!$T$25:$T$50,0),0),FALSE))</f>
        <v>0</v>
      </c>
      <c r="D1391" t="b">
        <f>VLOOKUP(Charms!J1391,Values!$A$11:$S$59,19,0)&gt;=Charms!L1391</f>
        <v>0</v>
      </c>
      <c r="E1391" t="e">
        <f>OR(ISBLANK(Charms!I1391),(VLOOKUP(Values!$S$6,Castes!$B$2:$F$25,4,0)=Charms!I1391))</f>
        <v>#N/A</v>
      </c>
      <c r="J1391" t="e">
        <f t="shared" ca="1" si="106"/>
        <v>#N/A</v>
      </c>
      <c r="K1391" s="18" t="e">
        <f t="shared" ca="1" si="105"/>
        <v>#N/A</v>
      </c>
      <c r="L1391" t="e">
        <f ca="1">IF(J1391,Charms!B1391,"")</f>
        <v>#N/A</v>
      </c>
      <c r="M1391" t="str">
        <f t="shared" ca="1" si="107"/>
        <v>-</v>
      </c>
      <c r="N1391" s="18" t="str">
        <f t="shared" si="108"/>
        <v>K1336:L1409</v>
      </c>
      <c r="O1391" t="str">
        <f t="shared" si="109"/>
        <v>A1336:A1391</v>
      </c>
    </row>
    <row r="1392" spans="1:15">
      <c r="A1392" s="18" t="str">
        <f>Charms!K1392</f>
        <v>Socialize</v>
      </c>
      <c r="B1392" t="str">
        <f>Charms!B1392</f>
        <v>Brother-Against-Brother Insinuation</v>
      </c>
      <c r="C1392" t="b">
        <f ca="1">OR(Values!$S$98&gt;=Charms!M1392,IFERROR(Charms!J1392=OFFSET(Values!$A$24,MATCH("S",Values!$T$25:$T$50,0),0),FALSE))</f>
        <v>0</v>
      </c>
      <c r="D1392" t="b">
        <f>VLOOKUP(Charms!J1392,Values!$A$11:$S$59,19,0)&gt;=Charms!L1392</f>
        <v>0</v>
      </c>
      <c r="E1392" t="e">
        <f>OR(ISBLANK(Charms!I1392),(VLOOKUP(Values!$S$6,Castes!$B$2:$F$25,4,0)=Charms!I1392))</f>
        <v>#N/A</v>
      </c>
      <c r="J1392" t="e">
        <f t="shared" ca="1" si="106"/>
        <v>#N/A</v>
      </c>
      <c r="K1392" s="18" t="e">
        <f t="shared" ca="1" si="105"/>
        <v>#N/A</v>
      </c>
      <c r="L1392" t="e">
        <f ca="1">IF(J1392,Charms!B1392,"")</f>
        <v>#N/A</v>
      </c>
      <c r="M1392" t="str">
        <f t="shared" ca="1" si="107"/>
        <v>-</v>
      </c>
      <c r="N1392" s="18" t="str">
        <f t="shared" si="108"/>
        <v>K1336:L1409</v>
      </c>
      <c r="O1392" t="str">
        <f t="shared" si="109"/>
        <v>A1336:A1392</v>
      </c>
    </row>
    <row r="1393" spans="1:15">
      <c r="A1393" s="18" t="str">
        <f>Charms!K1393</f>
        <v>Socialize</v>
      </c>
      <c r="B1393" t="str">
        <f>Charms!B1393</f>
        <v>Seizing-the-Tongue Technique</v>
      </c>
      <c r="C1393" t="b">
        <f ca="1">OR(Values!$S$98&gt;=Charms!M1393,IFERROR(Charms!J1393=OFFSET(Values!$A$24,MATCH("S",Values!$T$25:$T$50,0),0),FALSE))</f>
        <v>0</v>
      </c>
      <c r="D1393" t="b">
        <f>VLOOKUP(Charms!J1393,Values!$A$11:$S$59,19,0)&gt;=Charms!L1393</f>
        <v>0</v>
      </c>
      <c r="E1393" t="e">
        <f>OR(ISBLANK(Charms!I1393),(VLOOKUP(Values!$S$6,Castes!$B$2:$F$25,4,0)=Charms!I1393))</f>
        <v>#N/A</v>
      </c>
      <c r="J1393" t="e">
        <f t="shared" ca="1" si="106"/>
        <v>#N/A</v>
      </c>
      <c r="K1393" s="18" t="e">
        <f t="shared" ca="1" si="105"/>
        <v>#N/A</v>
      </c>
      <c r="L1393" t="e">
        <f ca="1">IF(J1393,Charms!B1393,"")</f>
        <v>#N/A</v>
      </c>
      <c r="M1393" t="str">
        <f t="shared" ca="1" si="107"/>
        <v>-</v>
      </c>
      <c r="N1393" s="18" t="str">
        <f t="shared" si="108"/>
        <v>K1336:L1409</v>
      </c>
      <c r="O1393" t="str">
        <f t="shared" si="109"/>
        <v>A1336:A1393</v>
      </c>
    </row>
    <row r="1394" spans="1:15">
      <c r="A1394" s="18" t="str">
        <f>Charms!K1394</f>
        <v>Socialize</v>
      </c>
      <c r="B1394" t="str">
        <f>Charms!B1394</f>
        <v>Sweeten-the-Tap Method</v>
      </c>
      <c r="C1394" t="b">
        <f ca="1">OR(Values!$S$98&gt;=Charms!M1394,IFERROR(Charms!J1394=OFFSET(Values!$A$24,MATCH("S",Values!$T$25:$T$50,0),0),FALSE))</f>
        <v>0</v>
      </c>
      <c r="D1394" t="b">
        <f>VLOOKUP(Charms!J1394,Values!$A$11:$S$59,19,0)&gt;=Charms!L1394</f>
        <v>0</v>
      </c>
      <c r="E1394" t="e">
        <f>OR(ISBLANK(Charms!I1394),(VLOOKUP(Values!$S$6,Castes!$B$2:$F$25,4,0)=Charms!I1394))</f>
        <v>#N/A</v>
      </c>
      <c r="J1394" t="e">
        <f t="shared" ca="1" si="106"/>
        <v>#N/A</v>
      </c>
      <c r="K1394" s="18" t="e">
        <f t="shared" ca="1" si="105"/>
        <v>#N/A</v>
      </c>
      <c r="L1394" t="e">
        <f ca="1">IF(J1394,Charms!B1394,"")</f>
        <v>#N/A</v>
      </c>
      <c r="M1394" t="str">
        <f t="shared" ca="1" si="107"/>
        <v>-</v>
      </c>
      <c r="N1394" s="18" t="str">
        <f t="shared" si="108"/>
        <v>K1336:L1409</v>
      </c>
      <c r="O1394" t="str">
        <f t="shared" si="109"/>
        <v>A1336:A1394</v>
      </c>
    </row>
    <row r="1395" spans="1:15">
      <c r="A1395" s="18" t="str">
        <f>Charms!K1395</f>
        <v>Socialize</v>
      </c>
      <c r="B1395" t="str">
        <f>Charms!B1395</f>
        <v>Shadow-Dispersing Radiance</v>
      </c>
      <c r="C1395" t="b">
        <f ca="1">OR(Values!$S$98&gt;=Charms!M1395,IFERROR(Charms!J1395=OFFSET(Values!$A$24,MATCH("S",Values!$T$25:$T$50,0),0),FALSE))</f>
        <v>0</v>
      </c>
      <c r="D1395" t="b">
        <f>VLOOKUP(Charms!J1395,Values!$A$11:$S$59,19,0)&gt;=Charms!L1395</f>
        <v>0</v>
      </c>
      <c r="E1395" t="e">
        <f>OR(ISBLANK(Charms!I1395),(VLOOKUP(Values!$S$6,Castes!$B$2:$F$25,4,0)=Charms!I1395))</f>
        <v>#N/A</v>
      </c>
      <c r="J1395" t="e">
        <f t="shared" ca="1" si="106"/>
        <v>#N/A</v>
      </c>
      <c r="K1395" s="18" t="e">
        <f t="shared" ca="1" si="105"/>
        <v>#N/A</v>
      </c>
      <c r="L1395" t="e">
        <f ca="1">IF(J1395,Charms!B1395,"")</f>
        <v>#N/A</v>
      </c>
      <c r="M1395" t="str">
        <f t="shared" ca="1" si="107"/>
        <v>-</v>
      </c>
      <c r="N1395" s="18" t="str">
        <f t="shared" si="108"/>
        <v>K1336:L1409</v>
      </c>
      <c r="O1395" t="str">
        <f t="shared" si="109"/>
        <v>A1336:A1395</v>
      </c>
    </row>
    <row r="1396" spans="1:15">
      <c r="A1396" s="18" t="str">
        <f>Charms!K1396</f>
        <v>Socialize</v>
      </c>
      <c r="B1396" t="str">
        <f>Charms!B1396</f>
        <v>Watching the Salon’s Shadows</v>
      </c>
      <c r="C1396" t="b">
        <f ca="1">OR(Values!$S$98&gt;=Charms!M1396,IFERROR(Charms!J1396=OFFSET(Values!$A$24,MATCH("S",Values!$T$25:$T$50,0),0),FALSE))</f>
        <v>0</v>
      </c>
      <c r="D1396" t="b">
        <f>VLOOKUP(Charms!J1396,Values!$A$11:$S$59,19,0)&gt;=Charms!L1396</f>
        <v>0</v>
      </c>
      <c r="E1396" t="e">
        <f>OR(ISBLANK(Charms!I1396),(VLOOKUP(Values!$S$6,Castes!$B$2:$F$25,4,0)=Charms!I1396))</f>
        <v>#N/A</v>
      </c>
      <c r="J1396" t="e">
        <f t="shared" ca="1" si="106"/>
        <v>#N/A</v>
      </c>
      <c r="K1396" s="18" t="e">
        <f t="shared" ca="1" si="105"/>
        <v>#N/A</v>
      </c>
      <c r="L1396" t="e">
        <f ca="1">IF(J1396,Charms!B1396,"")</f>
        <v>#N/A</v>
      </c>
      <c r="M1396" t="str">
        <f t="shared" ca="1" si="107"/>
        <v>-</v>
      </c>
      <c r="N1396" s="18" t="str">
        <f t="shared" si="108"/>
        <v>K1336:L1409</v>
      </c>
      <c r="O1396" t="str">
        <f t="shared" si="109"/>
        <v>A1336:A1396</v>
      </c>
    </row>
    <row r="1397" spans="1:15">
      <c r="A1397" s="18" t="str">
        <f>Charms!K1397</f>
        <v>Socialize</v>
      </c>
      <c r="B1397" t="str">
        <f>Charms!B1397</f>
        <v>Ember-Fanning Provocation</v>
      </c>
      <c r="C1397" t="b">
        <f ca="1">OR(Values!$S$98&gt;=Charms!M1397,IFERROR(Charms!J1397=OFFSET(Values!$A$24,MATCH("S",Values!$T$25:$T$50,0),0),FALSE))</f>
        <v>0</v>
      </c>
      <c r="D1397" t="b">
        <f>VLOOKUP(Charms!J1397,Values!$A$11:$S$59,19,0)&gt;=Charms!L1397</f>
        <v>0</v>
      </c>
      <c r="E1397" t="e">
        <f>OR(ISBLANK(Charms!I1397),(VLOOKUP(Values!$S$6,Castes!$B$2:$F$25,4,0)=Charms!I1397))</f>
        <v>#N/A</v>
      </c>
      <c r="J1397" t="e">
        <f t="shared" ca="1" si="106"/>
        <v>#N/A</v>
      </c>
      <c r="K1397" s="18" t="e">
        <f t="shared" ca="1" si="105"/>
        <v>#N/A</v>
      </c>
      <c r="L1397" t="e">
        <f ca="1">IF(J1397,Charms!B1397,"")</f>
        <v>#N/A</v>
      </c>
      <c r="M1397" t="str">
        <f t="shared" ca="1" si="107"/>
        <v>-</v>
      </c>
      <c r="N1397" s="18" t="str">
        <f t="shared" si="108"/>
        <v>K1336:L1409</v>
      </c>
      <c r="O1397" t="str">
        <f t="shared" si="109"/>
        <v>A1336:A1397</v>
      </c>
    </row>
    <row r="1398" spans="1:15">
      <c r="A1398" s="18" t="str">
        <f>Charms!K1398</f>
        <v>Socialize</v>
      </c>
      <c r="B1398" t="str">
        <f>Charms!B1398</f>
        <v>Enticing Flame Feint</v>
      </c>
      <c r="C1398" t="b">
        <f ca="1">OR(Values!$S$98&gt;=Charms!M1398,IFERROR(Charms!J1398=OFFSET(Values!$A$24,MATCH("S",Values!$T$25:$T$50,0),0),FALSE))</f>
        <v>0</v>
      </c>
      <c r="D1398" t="b">
        <f>VLOOKUP(Charms!J1398,Values!$A$11:$S$59,19,0)&gt;=Charms!L1398</f>
        <v>0</v>
      </c>
      <c r="E1398" t="e">
        <f>OR(ISBLANK(Charms!I1398),(VLOOKUP(Values!$S$6,Castes!$B$2:$F$25,4,0)=Charms!I1398))</f>
        <v>#N/A</v>
      </c>
      <c r="J1398" t="e">
        <f t="shared" ca="1" si="106"/>
        <v>#N/A</v>
      </c>
      <c r="K1398" s="18" t="e">
        <f t="shared" ca="1" si="105"/>
        <v>#N/A</v>
      </c>
      <c r="L1398" t="e">
        <f ca="1">IF(J1398,Charms!B1398,"")</f>
        <v>#N/A</v>
      </c>
      <c r="M1398" t="str">
        <f t="shared" ca="1" si="107"/>
        <v>-</v>
      </c>
      <c r="N1398" s="18" t="str">
        <f t="shared" si="108"/>
        <v>K1336:L1409</v>
      </c>
      <c r="O1398" t="str">
        <f t="shared" si="109"/>
        <v>A1336:A1398</v>
      </c>
    </row>
    <row r="1399" spans="1:15">
      <c r="A1399" s="18" t="str">
        <f>Charms!K1399</f>
        <v>Socialize</v>
      </c>
      <c r="B1399" t="str">
        <f>Charms!B1399</f>
        <v>Rumor-Dredging Gaze</v>
      </c>
      <c r="C1399" t="b">
        <f ca="1">OR(Values!$S$98&gt;=Charms!M1399,IFERROR(Charms!J1399=OFFSET(Values!$A$24,MATCH("S",Values!$T$25:$T$50,0),0),FALSE))</f>
        <v>0</v>
      </c>
      <c r="D1399" t="b">
        <f>VLOOKUP(Charms!J1399,Values!$A$11:$S$59,19,0)&gt;=Charms!L1399</f>
        <v>0</v>
      </c>
      <c r="E1399" t="e">
        <f>OR(ISBLANK(Charms!I1399),(VLOOKUP(Values!$S$6,Castes!$B$2:$F$25,4,0)=Charms!I1399))</f>
        <v>#N/A</v>
      </c>
      <c r="J1399" t="e">
        <f t="shared" ca="1" si="106"/>
        <v>#N/A</v>
      </c>
      <c r="K1399" s="18" t="e">
        <f t="shared" ca="1" si="105"/>
        <v>#N/A</v>
      </c>
      <c r="L1399" t="e">
        <f ca="1">IF(J1399,Charms!B1399,"")</f>
        <v>#N/A</v>
      </c>
      <c r="M1399" t="str">
        <f t="shared" ca="1" si="107"/>
        <v>-</v>
      </c>
      <c r="N1399" s="18" t="str">
        <f t="shared" si="108"/>
        <v>K1336:L1409</v>
      </c>
      <c r="O1399" t="str">
        <f t="shared" si="109"/>
        <v>A1336:A1399</v>
      </c>
    </row>
    <row r="1400" spans="1:15">
      <c r="A1400" s="18" t="str">
        <f>Charms!K1400</f>
        <v>Socialize</v>
      </c>
      <c r="B1400" t="str">
        <f>Charms!B1400</f>
        <v>Eye-for-Passions Scrutiny</v>
      </c>
      <c r="C1400" t="b">
        <f ca="1">OR(Values!$S$98&gt;=Charms!M1400,IFERROR(Charms!J1400=OFFSET(Values!$A$24,MATCH("S",Values!$T$25:$T$50,0),0),FALSE))</f>
        <v>0</v>
      </c>
      <c r="D1400" t="b">
        <f>VLOOKUP(Charms!J1400,Values!$A$11:$S$59,19,0)&gt;=Charms!L1400</f>
        <v>0</v>
      </c>
      <c r="E1400" t="e">
        <f>OR(ISBLANK(Charms!I1400),(VLOOKUP(Values!$S$6,Castes!$B$2:$F$25,4,0)=Charms!I1400))</f>
        <v>#N/A</v>
      </c>
      <c r="J1400" t="e">
        <f t="shared" ca="1" si="106"/>
        <v>#N/A</v>
      </c>
      <c r="K1400" s="18" t="e">
        <f t="shared" ca="1" si="105"/>
        <v>#N/A</v>
      </c>
      <c r="L1400" t="e">
        <f ca="1">IF(J1400,Charms!B1400,"")</f>
        <v>#N/A</v>
      </c>
      <c r="M1400" t="str">
        <f t="shared" ca="1" si="107"/>
        <v>-</v>
      </c>
      <c r="N1400" s="18" t="str">
        <f t="shared" si="108"/>
        <v>K1336:L1409</v>
      </c>
      <c r="O1400" t="str">
        <f t="shared" si="109"/>
        <v>A1336:A1400</v>
      </c>
    </row>
    <row r="1401" spans="1:15">
      <c r="A1401" s="18" t="str">
        <f>Charms!K1401</f>
        <v>Socialize</v>
      </c>
      <c r="B1401" t="str">
        <f>Charms!B1401</f>
        <v>Smoke Without Flame</v>
      </c>
      <c r="C1401" t="b">
        <f ca="1">OR(Values!$S$98&gt;=Charms!M1401,IFERROR(Charms!J1401=OFFSET(Values!$A$24,MATCH("S",Values!$T$25:$T$50,0),0),FALSE))</f>
        <v>0</v>
      </c>
      <c r="D1401" t="b">
        <f>VLOOKUP(Charms!J1401,Values!$A$11:$S$59,19,0)&gt;=Charms!L1401</f>
        <v>0</v>
      </c>
      <c r="E1401" t="e">
        <f>OR(ISBLANK(Charms!I1401),(VLOOKUP(Values!$S$6,Castes!$B$2:$F$25,4,0)=Charms!I1401))</f>
        <v>#N/A</v>
      </c>
      <c r="J1401" t="e">
        <f t="shared" ca="1" si="106"/>
        <v>#N/A</v>
      </c>
      <c r="K1401" s="18" t="e">
        <f t="shared" ca="1" si="105"/>
        <v>#N/A</v>
      </c>
      <c r="L1401" t="e">
        <f ca="1">IF(J1401,Charms!B1401,"")</f>
        <v>#N/A</v>
      </c>
      <c r="M1401" t="str">
        <f t="shared" ca="1" si="107"/>
        <v>-</v>
      </c>
      <c r="N1401" s="18" t="str">
        <f t="shared" si="108"/>
        <v>K1336:L1409</v>
      </c>
      <c r="O1401" t="str">
        <f t="shared" si="109"/>
        <v>A1336:A1401</v>
      </c>
    </row>
    <row r="1402" spans="1:15">
      <c r="A1402" s="18" t="str">
        <f>Charms!K1402</f>
        <v>Socialize</v>
      </c>
      <c r="B1402" t="str">
        <f>Charms!B1402</f>
        <v>Clear-Eyed Courtier’s Scrutiny</v>
      </c>
      <c r="C1402" t="b">
        <f ca="1">OR(Values!$S$98&gt;=Charms!M1402,IFERROR(Charms!J1402=OFFSET(Values!$A$24,MATCH("S",Values!$T$25:$T$50,0),0),FALSE))</f>
        <v>0</v>
      </c>
      <c r="D1402" t="b">
        <f>VLOOKUP(Charms!J1402,Values!$A$11:$S$59,19,0)&gt;=Charms!L1402</f>
        <v>0</v>
      </c>
      <c r="E1402" t="e">
        <f>OR(ISBLANK(Charms!I1402),(VLOOKUP(Values!$S$6,Castes!$B$2:$F$25,4,0)=Charms!I1402))</f>
        <v>#N/A</v>
      </c>
      <c r="J1402" t="e">
        <f t="shared" ca="1" si="106"/>
        <v>#N/A</v>
      </c>
      <c r="K1402" s="18" t="e">
        <f t="shared" ca="1" si="105"/>
        <v>#N/A</v>
      </c>
      <c r="L1402" t="e">
        <f ca="1">IF(J1402,Charms!B1402,"")</f>
        <v>#N/A</v>
      </c>
      <c r="M1402" t="str">
        <f t="shared" ca="1" si="107"/>
        <v>-</v>
      </c>
      <c r="N1402" s="18" t="str">
        <f t="shared" si="108"/>
        <v>K1336:L1409</v>
      </c>
      <c r="O1402" t="str">
        <f t="shared" si="109"/>
        <v>A1336:A1402</v>
      </c>
    </row>
    <row r="1403" spans="1:15">
      <c r="A1403" s="18" t="str">
        <f>Charms!K1403</f>
        <v>Socialize</v>
      </c>
      <c r="B1403" t="str">
        <f>Charms!B1403</f>
        <v>Unfaltering Pillar of Unity</v>
      </c>
      <c r="C1403" t="b">
        <f ca="1">OR(Values!$S$98&gt;=Charms!M1403,IFERROR(Charms!J1403=OFFSET(Values!$A$24,MATCH("S",Values!$T$25:$T$50,0),0),FALSE))</f>
        <v>0</v>
      </c>
      <c r="D1403" t="b">
        <f>VLOOKUP(Charms!J1403,Values!$A$11:$S$59,19,0)&gt;=Charms!L1403</f>
        <v>0</v>
      </c>
      <c r="E1403" t="e">
        <f>OR(ISBLANK(Charms!I1403),(VLOOKUP(Values!$S$6,Castes!$B$2:$F$25,4,0)=Charms!I1403))</f>
        <v>#N/A</v>
      </c>
      <c r="J1403" t="e">
        <f t="shared" ca="1" si="106"/>
        <v>#N/A</v>
      </c>
      <c r="K1403" s="18" t="e">
        <f t="shared" ca="1" si="105"/>
        <v>#N/A</v>
      </c>
      <c r="L1403" t="e">
        <f ca="1">IF(J1403,Charms!B1403,"")</f>
        <v>#N/A</v>
      </c>
      <c r="M1403" t="str">
        <f t="shared" ca="1" si="107"/>
        <v>-</v>
      </c>
      <c r="N1403" s="18" t="str">
        <f t="shared" si="108"/>
        <v>K1336:L1409</v>
      </c>
      <c r="O1403" t="str">
        <f t="shared" si="109"/>
        <v>A1336:A1403</v>
      </c>
    </row>
    <row r="1404" spans="1:15">
      <c r="A1404" s="18" t="str">
        <f>Charms!K1404</f>
        <v>Socialize</v>
      </c>
      <c r="B1404" t="str">
        <f>Charms!B1404</f>
        <v>Wildfire Scandal Revelation</v>
      </c>
      <c r="C1404" t="b">
        <f ca="1">OR(Values!$S$98&gt;=Charms!M1404,IFERROR(Charms!J1404=OFFSET(Values!$A$24,MATCH("S",Values!$T$25:$T$50,0),0),FALSE))</f>
        <v>0</v>
      </c>
      <c r="D1404" t="b">
        <f>VLOOKUP(Charms!J1404,Values!$A$11:$S$59,19,0)&gt;=Charms!L1404</f>
        <v>0</v>
      </c>
      <c r="E1404" t="e">
        <f>OR(ISBLANK(Charms!I1404),(VLOOKUP(Values!$S$6,Castes!$B$2:$F$25,4,0)=Charms!I1404))</f>
        <v>#N/A</v>
      </c>
      <c r="J1404" t="e">
        <f t="shared" ca="1" si="106"/>
        <v>#N/A</v>
      </c>
      <c r="K1404" s="18" t="e">
        <f t="shared" ca="1" si="105"/>
        <v>#N/A</v>
      </c>
      <c r="L1404" t="e">
        <f ca="1">IF(J1404,Charms!B1404,"")</f>
        <v>#N/A</v>
      </c>
      <c r="M1404" t="str">
        <f t="shared" ca="1" si="107"/>
        <v>-</v>
      </c>
      <c r="N1404" s="18" t="str">
        <f t="shared" si="108"/>
        <v>K1336:L1409</v>
      </c>
      <c r="O1404" t="str">
        <f t="shared" si="109"/>
        <v>A1336:A1404</v>
      </c>
    </row>
    <row r="1405" spans="1:15">
      <c r="A1405" s="18" t="str">
        <f>Charms!K1405</f>
        <v>Socialize</v>
      </c>
      <c r="B1405" t="str">
        <f>Charms!B1405</f>
        <v>Ego-Dissolving Deception</v>
      </c>
      <c r="C1405" t="b">
        <f ca="1">OR(Values!$S$98&gt;=Charms!M1405,IFERROR(Charms!J1405=OFFSET(Values!$A$24,MATCH("S",Values!$T$25:$T$50,0),0),FALSE))</f>
        <v>0</v>
      </c>
      <c r="D1405" t="b">
        <f>VLOOKUP(Charms!J1405,Values!$A$11:$S$59,19,0)&gt;=Charms!L1405</f>
        <v>0</v>
      </c>
      <c r="E1405" t="e">
        <f>OR(ISBLANK(Charms!I1405),(VLOOKUP(Values!$S$6,Castes!$B$2:$F$25,4,0)=Charms!I1405))</f>
        <v>#N/A</v>
      </c>
      <c r="J1405" t="e">
        <f t="shared" ca="1" si="106"/>
        <v>#N/A</v>
      </c>
      <c r="K1405" s="18" t="e">
        <f t="shared" ca="1" si="105"/>
        <v>#N/A</v>
      </c>
      <c r="L1405" t="e">
        <f ca="1">IF(J1405,Charms!B1405,"")</f>
        <v>#N/A</v>
      </c>
      <c r="M1405" t="str">
        <f t="shared" ca="1" si="107"/>
        <v>-</v>
      </c>
      <c r="N1405" s="18" t="str">
        <f t="shared" si="108"/>
        <v>K1336:L1409</v>
      </c>
      <c r="O1405" t="str">
        <f t="shared" si="109"/>
        <v>A1336:A1405</v>
      </c>
    </row>
    <row r="1406" spans="1:15">
      <c r="A1406" s="18" t="str">
        <f>Charms!K1406</f>
        <v>Socialize</v>
      </c>
      <c r="B1406" t="str">
        <f>Charms!B1406</f>
        <v>Poisonous Sneer Reproach</v>
      </c>
      <c r="C1406" t="b">
        <f ca="1">OR(Values!$S$98&gt;=Charms!M1406,IFERROR(Charms!J1406=OFFSET(Values!$A$24,MATCH("S",Values!$T$25:$T$50,0),0),FALSE))</f>
        <v>0</v>
      </c>
      <c r="D1406" t="b">
        <f>VLOOKUP(Charms!J1406,Values!$A$11:$S$59,19,0)&gt;=Charms!L1406</f>
        <v>0</v>
      </c>
      <c r="E1406" t="e">
        <f>OR(ISBLANK(Charms!I1406),(VLOOKUP(Values!$S$6,Castes!$B$2:$F$25,4,0)=Charms!I1406))</f>
        <v>#N/A</v>
      </c>
      <c r="J1406" t="e">
        <f t="shared" ca="1" si="106"/>
        <v>#N/A</v>
      </c>
      <c r="K1406" s="18" t="e">
        <f t="shared" ca="1" si="105"/>
        <v>#N/A</v>
      </c>
      <c r="L1406" t="e">
        <f ca="1">IF(J1406,Charms!B1406,"")</f>
        <v>#N/A</v>
      </c>
      <c r="M1406" t="str">
        <f t="shared" ca="1" si="107"/>
        <v>-</v>
      </c>
      <c r="N1406" s="18" t="str">
        <f t="shared" si="108"/>
        <v>K1336:L1409</v>
      </c>
      <c r="O1406" t="str">
        <f t="shared" si="109"/>
        <v>A1336:A1406</v>
      </c>
    </row>
    <row r="1407" spans="1:15">
      <c r="A1407" s="18" t="str">
        <f>Charms!K1407</f>
        <v>Socialize</v>
      </c>
      <c r="B1407" t="str">
        <f>Charms!B1407</f>
        <v>Smoothing-Over-the-Past Technique</v>
      </c>
      <c r="C1407" t="b">
        <f ca="1">OR(Values!$S$98&gt;=Charms!M1407,IFERROR(Charms!J1407=OFFSET(Values!$A$24,MATCH("S",Values!$T$25:$T$50,0),0),FALSE))</f>
        <v>0</v>
      </c>
      <c r="D1407" t="b">
        <f>VLOOKUP(Charms!J1407,Values!$A$11:$S$59,19,0)&gt;=Charms!L1407</f>
        <v>0</v>
      </c>
      <c r="E1407" t="e">
        <f>OR(ISBLANK(Charms!I1407),(VLOOKUP(Values!$S$6,Castes!$B$2:$F$25,4,0)=Charms!I1407))</f>
        <v>#N/A</v>
      </c>
      <c r="J1407" t="e">
        <f t="shared" ca="1" si="106"/>
        <v>#N/A</v>
      </c>
      <c r="K1407" s="18" t="e">
        <f t="shared" ca="1" si="105"/>
        <v>#N/A</v>
      </c>
      <c r="L1407" t="e">
        <f ca="1">IF(J1407,Charms!B1407,"")</f>
        <v>#N/A</v>
      </c>
      <c r="M1407" t="str">
        <f t="shared" ca="1" si="107"/>
        <v>-</v>
      </c>
      <c r="N1407" s="18" t="str">
        <f t="shared" si="108"/>
        <v>K1336:L1409</v>
      </c>
      <c r="O1407" t="str">
        <f t="shared" si="109"/>
        <v>A1336:A1407</v>
      </c>
    </row>
    <row r="1408" spans="1:15">
      <c r="A1408" s="18" t="str">
        <f>Charms!K1408</f>
        <v>Socialize</v>
      </c>
      <c r="B1408" t="str">
        <f>Charms!B1408</f>
        <v>Implacable Dragon Mien</v>
      </c>
      <c r="C1408" t="b">
        <f ca="1">OR(Values!$S$98&gt;=Charms!M1408,IFERROR(Charms!J1408=OFFSET(Values!$A$24,MATCH("S",Values!$T$25:$T$50,0),0),FALSE))</f>
        <v>0</v>
      </c>
      <c r="D1408" t="b">
        <f>VLOOKUP(Charms!J1408,Values!$A$11:$S$59,19,0)&gt;=Charms!L1408</f>
        <v>0</v>
      </c>
      <c r="E1408" t="e">
        <f>OR(ISBLANK(Charms!I1408),(VLOOKUP(Values!$S$6,Castes!$B$2:$F$25,4,0)=Charms!I1408))</f>
        <v>#N/A</v>
      </c>
      <c r="J1408" t="e">
        <f t="shared" ca="1" si="106"/>
        <v>#N/A</v>
      </c>
      <c r="K1408" s="18" t="e">
        <f t="shared" ca="1" si="105"/>
        <v>#N/A</v>
      </c>
      <c r="L1408" t="e">
        <f ca="1">IF(J1408,Charms!B1408,"")</f>
        <v>#N/A</v>
      </c>
      <c r="M1408" t="str">
        <f t="shared" ca="1" si="107"/>
        <v>-</v>
      </c>
      <c r="N1408" s="18" t="str">
        <f t="shared" si="108"/>
        <v>K1336:L1409</v>
      </c>
      <c r="O1408" t="str">
        <f t="shared" si="109"/>
        <v>A1336:A1408</v>
      </c>
    </row>
    <row r="1409" spans="1:15">
      <c r="A1409" s="18" t="str">
        <f>Charms!K1409</f>
        <v>Socialize</v>
      </c>
      <c r="B1409" t="str">
        <f>Charms!B1409</f>
        <v>Rippling Mirror Face</v>
      </c>
      <c r="C1409" t="b">
        <f ca="1">OR(Values!$S$98&gt;=Charms!M1409,IFERROR(Charms!J1409=OFFSET(Values!$A$24,MATCH("S",Values!$T$25:$T$50,0),0),FALSE))</f>
        <v>0</v>
      </c>
      <c r="D1409" t="b">
        <f>VLOOKUP(Charms!J1409,Values!$A$11:$S$59,19,0)&gt;=Charms!L1409</f>
        <v>0</v>
      </c>
      <c r="E1409" t="e">
        <f>OR(ISBLANK(Charms!I1409),(VLOOKUP(Values!$S$6,Castes!$B$2:$F$25,4,0)=Charms!I1409))</f>
        <v>#N/A</v>
      </c>
      <c r="J1409" t="e">
        <f t="shared" ca="1" si="106"/>
        <v>#N/A</v>
      </c>
      <c r="K1409" s="18" t="e">
        <f t="shared" ca="1" si="105"/>
        <v>#N/A</v>
      </c>
      <c r="L1409" t="e">
        <f ca="1">IF(J1409,Charms!B1409,"")</f>
        <v>#N/A</v>
      </c>
      <c r="M1409" t="str">
        <f t="shared" ca="1" si="107"/>
        <v>-</v>
      </c>
      <c r="N1409" s="18" t="str">
        <f t="shared" si="108"/>
        <v>K1336:L1409</v>
      </c>
      <c r="O1409" t="str">
        <f t="shared" si="109"/>
        <v>A1336:A1409</v>
      </c>
    </row>
    <row r="1410" spans="1:15">
      <c r="A1410" s="18" t="str">
        <f>Charms!K1410</f>
        <v>Celestial Circle</v>
      </c>
      <c r="B1410" t="str">
        <f>Charms!B1410</f>
        <v>Cantata of Empty Voices</v>
      </c>
      <c r="C1410" t="b">
        <f ca="1">OR(Values!$S$98&gt;=Charms!M1410,IFERROR(Charms!J1410=OFFSET(Values!$A$24,MATCH("S",Values!$T$25:$T$50,0),0),FALSE))</f>
        <v>0</v>
      </c>
      <c r="D1410" t="e">
        <f>VLOOKUP(Charms!J1410,Values!$A$11:$S$59,19,0)&gt;=Charms!L1410</f>
        <v>#N/A</v>
      </c>
      <c r="E1410" t="e">
        <f>OR(ISBLANK(Charms!I1410),(VLOOKUP(Values!$S$6,Castes!$B$2:$F$25,4,0)=Charms!I1410))</f>
        <v>#N/A</v>
      </c>
      <c r="J1410" t="e">
        <f t="shared" ca="1" si="106"/>
        <v>#N/A</v>
      </c>
      <c r="K1410" s="18" t="e">
        <f t="shared" ref="K1410:K1473" ca="1" si="110">IF(L1410="","",COUNTIF(INDIRECT("J"&amp;MATCH(A1410,A:A,0)&amp;":J"&amp;ROW()),J1410))</f>
        <v>#N/A</v>
      </c>
      <c r="L1410" t="e">
        <f ca="1">IF(J1410,Charms!B1410,"")</f>
        <v>#N/A</v>
      </c>
      <c r="M1410" t="str">
        <f t="shared" ca="1" si="107"/>
        <v>-</v>
      </c>
      <c r="N1410" s="18" t="str">
        <f t="shared" si="108"/>
        <v>K1410:L1417</v>
      </c>
      <c r="O1410" t="str">
        <f t="shared" si="109"/>
        <v>A1410:A1410</v>
      </c>
    </row>
    <row r="1411" spans="1:15">
      <c r="A1411" s="18" t="str">
        <f>Charms!K1411</f>
        <v>Celestial Circle</v>
      </c>
      <c r="B1411" t="str">
        <f>Charms!B1411</f>
        <v>Demon of the Second Circle</v>
      </c>
      <c r="C1411" t="b">
        <f ca="1">OR(Values!$S$98&gt;=Charms!M1411,IFERROR(Charms!J1411=OFFSET(Values!$A$24,MATCH("S",Values!$T$25:$T$50,0),0),FALSE))</f>
        <v>0</v>
      </c>
      <c r="D1411" t="e">
        <f>VLOOKUP(Charms!J1411,Values!$A$11:$S$59,19,0)&gt;=Charms!L1411</f>
        <v>#N/A</v>
      </c>
      <c r="E1411" t="e">
        <f>OR(ISBLANK(Charms!I1411),(VLOOKUP(Values!$S$6,Castes!$B$2:$F$25,4,0)=Charms!I1411))</f>
        <v>#N/A</v>
      </c>
      <c r="J1411" t="e">
        <f t="shared" ref="J1411:J1474" ca="1" si="111">(C1411+D1411+E1411+F1411+G1411+H1411+I1411)=3</f>
        <v>#N/A</v>
      </c>
      <c r="K1411" s="18" t="e">
        <f t="shared" ca="1" si="110"/>
        <v>#N/A</v>
      </c>
      <c r="L1411" t="e">
        <f ca="1">IF(J1411,Charms!B1411,"")</f>
        <v>#N/A</v>
      </c>
      <c r="M1411" t="str">
        <f t="shared" ref="M1411:M1474" ca="1" si="112">IFERROR(VLOOKUP(COUNTIF(INDIRECT(O1411),A1411),INDIRECT(N1411),2,0),"-")</f>
        <v>-</v>
      </c>
      <c r="N1411" s="18" t="str">
        <f t="shared" ref="N1411:N1474" si="113">"K"&amp;MATCH(A1411,A:A,0)&amp;":L"&amp;(MATCH(A1411,A:A,0)+COUNTIF(A:A,A1411)-1)</f>
        <v>K1410:L1417</v>
      </c>
      <c r="O1411" t="str">
        <f t="shared" ref="O1411:O1474" si="114">"A"&amp;MATCH(A1411,A:A,0)&amp;":A"&amp;ROW()</f>
        <v>A1410:A1411</v>
      </c>
    </row>
    <row r="1412" spans="1:15">
      <c r="A1412" s="18" t="str">
        <f>Charms!K1412</f>
        <v>Celestial Circle</v>
      </c>
      <c r="B1412" t="str">
        <f>Charms!B1412</f>
        <v>Impenetrable Veil of Night</v>
      </c>
      <c r="C1412" t="b">
        <f ca="1">OR(Values!$S$98&gt;=Charms!M1412,IFERROR(Charms!J1412=OFFSET(Values!$A$24,MATCH("S",Values!$T$25:$T$50,0),0),FALSE))</f>
        <v>0</v>
      </c>
      <c r="D1412" t="e">
        <f>VLOOKUP(Charms!J1412,Values!$A$11:$S$59,19,0)&gt;=Charms!L1412</f>
        <v>#N/A</v>
      </c>
      <c r="E1412" t="e">
        <f>OR(ISBLANK(Charms!I1412),(VLOOKUP(Values!$S$6,Castes!$B$2:$F$25,4,0)=Charms!I1412))</f>
        <v>#N/A</v>
      </c>
      <c r="J1412" t="e">
        <f t="shared" ca="1" si="111"/>
        <v>#N/A</v>
      </c>
      <c r="K1412" s="18" t="e">
        <f t="shared" ca="1" si="110"/>
        <v>#N/A</v>
      </c>
      <c r="L1412" t="e">
        <f ca="1">IF(J1412,Charms!B1412,"")</f>
        <v>#N/A</v>
      </c>
      <c r="M1412" t="str">
        <f t="shared" ca="1" si="112"/>
        <v>-</v>
      </c>
      <c r="N1412" s="18" t="str">
        <f t="shared" si="113"/>
        <v>K1410:L1417</v>
      </c>
      <c r="O1412" t="str">
        <f t="shared" si="114"/>
        <v>A1410:A1412</v>
      </c>
    </row>
    <row r="1413" spans="1:15">
      <c r="A1413" s="18" t="str">
        <f>Charms!K1413</f>
        <v>Celestial Circle</v>
      </c>
      <c r="B1413" t="str">
        <f>Charms!B1413</f>
        <v>Incomparable Body Arsenal</v>
      </c>
      <c r="C1413" t="b">
        <f ca="1">OR(Values!$S$98&gt;=Charms!M1413,IFERROR(Charms!J1413=OFFSET(Values!$A$24,MATCH("S",Values!$T$25:$T$50,0),0),FALSE))</f>
        <v>0</v>
      </c>
      <c r="D1413" t="e">
        <f>VLOOKUP(Charms!J1413,Values!$A$11:$S$59,19,0)&gt;=Charms!L1413</f>
        <v>#N/A</v>
      </c>
      <c r="E1413" t="e">
        <f>OR(ISBLANK(Charms!I1413),(VLOOKUP(Values!$S$6,Castes!$B$2:$F$25,4,0)=Charms!I1413))</f>
        <v>#N/A</v>
      </c>
      <c r="J1413" t="e">
        <f t="shared" ca="1" si="111"/>
        <v>#N/A</v>
      </c>
      <c r="K1413" s="18" t="e">
        <f t="shared" ca="1" si="110"/>
        <v>#N/A</v>
      </c>
      <c r="L1413" t="e">
        <f ca="1">IF(J1413,Charms!B1413,"")</f>
        <v>#N/A</v>
      </c>
      <c r="M1413" t="str">
        <f t="shared" ca="1" si="112"/>
        <v>-</v>
      </c>
      <c r="N1413" s="18" t="str">
        <f t="shared" si="113"/>
        <v>K1410:L1417</v>
      </c>
      <c r="O1413" t="str">
        <f t="shared" si="114"/>
        <v>A1410:A1413</v>
      </c>
    </row>
    <row r="1414" spans="1:15">
      <c r="A1414" s="18" t="str">
        <f>Charms!K1414</f>
        <v>Celestial Circle</v>
      </c>
      <c r="B1414" t="str">
        <f>Charms!B1414</f>
        <v>Ivory Orchid Pavilion</v>
      </c>
      <c r="C1414" t="b">
        <f ca="1">OR(Values!$S$98&gt;=Charms!M1414,IFERROR(Charms!J1414=OFFSET(Values!$A$24,MATCH("S",Values!$T$25:$T$50,0),0),FALSE))</f>
        <v>0</v>
      </c>
      <c r="D1414" t="e">
        <f>VLOOKUP(Charms!J1414,Values!$A$11:$S$59,19,0)&gt;=Charms!L1414</f>
        <v>#N/A</v>
      </c>
      <c r="E1414" t="e">
        <f>OR(ISBLANK(Charms!I1414),(VLOOKUP(Values!$S$6,Castes!$B$2:$F$25,4,0)=Charms!I1414))</f>
        <v>#N/A</v>
      </c>
      <c r="J1414" t="e">
        <f t="shared" ca="1" si="111"/>
        <v>#N/A</v>
      </c>
      <c r="K1414" s="18" t="e">
        <f t="shared" ca="1" si="110"/>
        <v>#N/A</v>
      </c>
      <c r="L1414" t="e">
        <f ca="1">IF(J1414,Charms!B1414,"")</f>
        <v>#N/A</v>
      </c>
      <c r="M1414" t="str">
        <f t="shared" ca="1" si="112"/>
        <v>-</v>
      </c>
      <c r="N1414" s="18" t="str">
        <f t="shared" si="113"/>
        <v>K1410:L1417</v>
      </c>
      <c r="O1414" t="str">
        <f t="shared" si="114"/>
        <v>A1410:A1414</v>
      </c>
    </row>
    <row r="1415" spans="1:15">
      <c r="A1415" s="18" t="str">
        <f>Charms!K1415</f>
        <v>Celestial Circle</v>
      </c>
      <c r="B1415" t="str">
        <f>Charms!B1415</f>
        <v>Magma Kraken</v>
      </c>
      <c r="C1415" t="b">
        <f ca="1">OR(Values!$S$98&gt;=Charms!M1415,IFERROR(Charms!J1415=OFFSET(Values!$A$24,MATCH("S",Values!$T$25:$T$50,0),0),FALSE))</f>
        <v>0</v>
      </c>
      <c r="D1415" t="e">
        <f>VLOOKUP(Charms!J1415,Values!$A$11:$S$59,19,0)&gt;=Charms!L1415</f>
        <v>#N/A</v>
      </c>
      <c r="E1415" t="e">
        <f>OR(ISBLANK(Charms!I1415),(VLOOKUP(Values!$S$6,Castes!$B$2:$F$25,4,0)=Charms!I1415))</f>
        <v>#N/A</v>
      </c>
      <c r="J1415" t="e">
        <f t="shared" ca="1" si="111"/>
        <v>#N/A</v>
      </c>
      <c r="K1415" s="18" t="e">
        <f t="shared" ca="1" si="110"/>
        <v>#N/A</v>
      </c>
      <c r="L1415" t="e">
        <f ca="1">IF(J1415,Charms!B1415,"")</f>
        <v>#N/A</v>
      </c>
      <c r="M1415" t="str">
        <f t="shared" ca="1" si="112"/>
        <v>-</v>
      </c>
      <c r="N1415" s="18" t="str">
        <f t="shared" si="113"/>
        <v>K1410:L1417</v>
      </c>
      <c r="O1415" t="str">
        <f t="shared" si="114"/>
        <v>A1410:A1415</v>
      </c>
    </row>
    <row r="1416" spans="1:15">
      <c r="A1416" s="18" t="str">
        <f>Charms!K1416</f>
        <v>Celestial Circle</v>
      </c>
      <c r="B1416" t="str">
        <f>Charms!B1416</f>
        <v>Shadows of the Ancient Past</v>
      </c>
      <c r="C1416" t="b">
        <f ca="1">OR(Values!$S$98&gt;=Charms!M1416,IFERROR(Charms!J1416=OFFSET(Values!$A$24,MATCH("S",Values!$T$25:$T$50,0),0),FALSE))</f>
        <v>0</v>
      </c>
      <c r="D1416" t="e">
        <f>VLOOKUP(Charms!J1416,Values!$A$11:$S$59,19,0)&gt;=Charms!L1416</f>
        <v>#N/A</v>
      </c>
      <c r="E1416" t="e">
        <f>OR(ISBLANK(Charms!I1416),(VLOOKUP(Values!$S$6,Castes!$B$2:$F$25,4,0)=Charms!I1416))</f>
        <v>#N/A</v>
      </c>
      <c r="J1416" t="e">
        <f t="shared" ca="1" si="111"/>
        <v>#N/A</v>
      </c>
      <c r="K1416" s="18" t="e">
        <f t="shared" ca="1" si="110"/>
        <v>#N/A</v>
      </c>
      <c r="L1416" t="e">
        <f ca="1">IF(J1416,Charms!B1416,"")</f>
        <v>#N/A</v>
      </c>
      <c r="M1416" t="str">
        <f t="shared" ca="1" si="112"/>
        <v>-</v>
      </c>
      <c r="N1416" s="18" t="str">
        <f t="shared" si="113"/>
        <v>K1410:L1417</v>
      </c>
      <c r="O1416" t="str">
        <f t="shared" si="114"/>
        <v>A1410:A1416</v>
      </c>
    </row>
    <row r="1417" spans="1:15">
      <c r="A1417" s="18" t="str">
        <f>Charms!K1417</f>
        <v>Celestial Circle</v>
      </c>
      <c r="B1417" t="str">
        <f>Charms!B1417</f>
        <v>Travel Without Distance</v>
      </c>
      <c r="C1417" t="b">
        <f ca="1">OR(Values!$S$98&gt;=Charms!M1417,IFERROR(Charms!J1417=OFFSET(Values!$A$24,MATCH("S",Values!$T$25:$T$50,0),0),FALSE))</f>
        <v>0</v>
      </c>
      <c r="D1417" t="e">
        <f>VLOOKUP(Charms!J1417,Values!$A$11:$S$59,19,0)&gt;=Charms!L1417</f>
        <v>#N/A</v>
      </c>
      <c r="E1417" t="e">
        <f>OR(ISBLANK(Charms!I1417),(VLOOKUP(Values!$S$6,Castes!$B$2:$F$25,4,0)=Charms!I1417))</f>
        <v>#N/A</v>
      </c>
      <c r="J1417" t="e">
        <f t="shared" ca="1" si="111"/>
        <v>#N/A</v>
      </c>
      <c r="K1417" s="18" t="e">
        <f t="shared" ca="1" si="110"/>
        <v>#N/A</v>
      </c>
      <c r="L1417" t="e">
        <f ca="1">IF(J1417,Charms!B1417,"")</f>
        <v>#N/A</v>
      </c>
      <c r="M1417" t="str">
        <f t="shared" ca="1" si="112"/>
        <v>-</v>
      </c>
      <c r="N1417" s="18" t="str">
        <f t="shared" si="113"/>
        <v>K1410:L1417</v>
      </c>
      <c r="O1417" t="str">
        <f t="shared" si="114"/>
        <v>A1410:A1417</v>
      </c>
    </row>
    <row r="1418" spans="1:15">
      <c r="A1418" s="18" t="str">
        <f>Charms!K1418</f>
        <v>Solar Circle</v>
      </c>
      <c r="B1418" t="str">
        <f>Charms!B1418</f>
        <v>Benediction of Archgenesis</v>
      </c>
      <c r="C1418" t="b">
        <f ca="1">OR(Values!$S$98&gt;=Charms!M1418,IFERROR(Charms!J1418=OFFSET(Values!$A$24,MATCH("S",Values!$T$25:$T$50,0),0),FALSE))</f>
        <v>0</v>
      </c>
      <c r="D1418" t="e">
        <f>VLOOKUP(Charms!J1418,Values!$A$11:$S$59,19,0)&gt;=Charms!L1418</f>
        <v>#N/A</v>
      </c>
      <c r="E1418" t="e">
        <f>OR(ISBLANK(Charms!I1418),(VLOOKUP(Values!$S$6,Castes!$B$2:$F$25,4,0)=Charms!I1418))</f>
        <v>#N/A</v>
      </c>
      <c r="J1418" t="e">
        <f t="shared" ca="1" si="111"/>
        <v>#N/A</v>
      </c>
      <c r="K1418" s="18" t="e">
        <f t="shared" ca="1" si="110"/>
        <v>#N/A</v>
      </c>
      <c r="L1418" t="e">
        <f ca="1">IF(J1418,Charms!B1418,"")</f>
        <v>#N/A</v>
      </c>
      <c r="M1418" t="str">
        <f t="shared" ca="1" si="112"/>
        <v>-</v>
      </c>
      <c r="N1418" s="18" t="str">
        <f t="shared" si="113"/>
        <v>K1418:L1421</v>
      </c>
      <c r="O1418" t="str">
        <f t="shared" si="114"/>
        <v>A1418:A1418</v>
      </c>
    </row>
    <row r="1419" spans="1:15">
      <c r="A1419" s="18" t="str">
        <f>Charms!K1419</f>
        <v>Solar Circle</v>
      </c>
      <c r="B1419" t="str">
        <f>Charms!B1419</f>
        <v>Death Ray</v>
      </c>
      <c r="C1419" t="b">
        <f ca="1">OR(Values!$S$98&gt;=Charms!M1419,IFERROR(Charms!J1419=OFFSET(Values!$A$24,MATCH("S",Values!$T$25:$T$50,0),0),FALSE))</f>
        <v>0</v>
      </c>
      <c r="D1419" t="e">
        <f>VLOOKUP(Charms!J1419,Values!$A$11:$S$59,19,0)&gt;=Charms!L1419</f>
        <v>#N/A</v>
      </c>
      <c r="E1419" t="e">
        <f>OR(ISBLANK(Charms!I1419),(VLOOKUP(Values!$S$6,Castes!$B$2:$F$25,4,0)=Charms!I1419))</f>
        <v>#N/A</v>
      </c>
      <c r="J1419" t="e">
        <f t="shared" ca="1" si="111"/>
        <v>#N/A</v>
      </c>
      <c r="K1419" s="18" t="e">
        <f t="shared" ca="1" si="110"/>
        <v>#N/A</v>
      </c>
      <c r="L1419" t="e">
        <f ca="1">IF(J1419,Charms!B1419,"")</f>
        <v>#N/A</v>
      </c>
      <c r="M1419" t="str">
        <f t="shared" ca="1" si="112"/>
        <v>-</v>
      </c>
      <c r="N1419" s="18" t="str">
        <f t="shared" si="113"/>
        <v>K1418:L1421</v>
      </c>
      <c r="O1419" t="str">
        <f t="shared" si="114"/>
        <v>A1418:A1419</v>
      </c>
    </row>
    <row r="1420" spans="1:15">
      <c r="A1420" s="18" t="str">
        <f>Charms!K1420</f>
        <v>Solar Circle</v>
      </c>
      <c r="B1420" t="str">
        <f>Charms!B1420</f>
        <v>Demon of the Third Circle</v>
      </c>
      <c r="C1420" t="b">
        <f ca="1">OR(Values!$S$98&gt;=Charms!M1420,IFERROR(Charms!J1420=OFFSET(Values!$A$24,MATCH("S",Values!$T$25:$T$50,0),0),FALSE))</f>
        <v>0</v>
      </c>
      <c r="D1420" t="e">
        <f>VLOOKUP(Charms!J1420,Values!$A$11:$S$59,19,0)&gt;=Charms!L1420</f>
        <v>#N/A</v>
      </c>
      <c r="E1420" t="e">
        <f>OR(ISBLANK(Charms!I1420),(VLOOKUP(Values!$S$6,Castes!$B$2:$F$25,4,0)=Charms!I1420))</f>
        <v>#N/A</v>
      </c>
      <c r="J1420" t="e">
        <f t="shared" ca="1" si="111"/>
        <v>#N/A</v>
      </c>
      <c r="K1420" s="18" t="e">
        <f t="shared" ca="1" si="110"/>
        <v>#N/A</v>
      </c>
      <c r="L1420" t="e">
        <f ca="1">IF(J1420,Charms!B1420,"")</f>
        <v>#N/A</v>
      </c>
      <c r="M1420" t="str">
        <f t="shared" ca="1" si="112"/>
        <v>-</v>
      </c>
      <c r="N1420" s="18" t="str">
        <f t="shared" si="113"/>
        <v>K1418:L1421</v>
      </c>
      <c r="O1420" t="str">
        <f t="shared" si="114"/>
        <v>A1418:A1420</v>
      </c>
    </row>
    <row r="1421" spans="1:15">
      <c r="A1421" s="18" t="str">
        <f>Charms!K1421</f>
        <v>Solar Circle</v>
      </c>
      <c r="B1421" t="str">
        <f>Charms!B1421</f>
        <v>Rain of Doom</v>
      </c>
      <c r="C1421" t="b">
        <f ca="1">OR(Values!$S$98&gt;=Charms!M1421,IFERROR(Charms!J1421=OFFSET(Values!$A$24,MATCH("S",Values!$T$25:$T$50,0),0),FALSE))</f>
        <v>0</v>
      </c>
      <c r="D1421" t="e">
        <f>VLOOKUP(Charms!J1421,Values!$A$11:$S$59,19,0)&gt;=Charms!L1421</f>
        <v>#N/A</v>
      </c>
      <c r="E1421" t="e">
        <f>OR(ISBLANK(Charms!I1421),(VLOOKUP(Values!$S$6,Castes!$B$2:$F$25,4,0)=Charms!I1421))</f>
        <v>#N/A</v>
      </c>
      <c r="J1421" t="e">
        <f t="shared" ca="1" si="111"/>
        <v>#N/A</v>
      </c>
      <c r="K1421" s="18" t="e">
        <f t="shared" ca="1" si="110"/>
        <v>#N/A</v>
      </c>
      <c r="L1421" t="e">
        <f ca="1">IF(J1421,Charms!B1421,"")</f>
        <v>#N/A</v>
      </c>
      <c r="M1421" t="str">
        <f t="shared" ca="1" si="112"/>
        <v>-</v>
      </c>
      <c r="N1421" s="18" t="str">
        <f t="shared" si="113"/>
        <v>K1418:L1421</v>
      </c>
      <c r="O1421" t="str">
        <f t="shared" si="114"/>
        <v>A1418:A1421</v>
      </c>
    </row>
    <row r="1422" spans="1:15">
      <c r="A1422" s="18" t="str">
        <f>Charms!K1422</f>
        <v>Terrest Circle</v>
      </c>
      <c r="B1422" t="str">
        <f>Charms!B1422</f>
        <v>Cirrus Skiff</v>
      </c>
      <c r="C1422" t="b">
        <f ca="1">OR(Values!$S$98&gt;=Charms!M1422,IFERROR(Charms!J1422=OFFSET(Values!$A$24,MATCH("S",Values!$T$25:$T$50,0),0),FALSE))</f>
        <v>1</v>
      </c>
      <c r="D1422" t="e">
        <f>VLOOKUP(Charms!J1422,Values!$A$11:$S$59,19,0)&gt;=Charms!L1422</f>
        <v>#N/A</v>
      </c>
      <c r="E1422" t="e">
        <f>OR(ISBLANK(Charms!I1422),(VLOOKUP(Values!$S$6,Castes!$B$2:$F$25,4,0)=Charms!I1422))</f>
        <v>#N/A</v>
      </c>
      <c r="J1422" t="e">
        <f t="shared" ca="1" si="111"/>
        <v>#N/A</v>
      </c>
      <c r="K1422" s="18" t="e">
        <f t="shared" ca="1" si="110"/>
        <v>#N/A</v>
      </c>
      <c r="L1422" t="e">
        <f ca="1">IF(J1422,Charms!B1422,"")</f>
        <v>#N/A</v>
      </c>
      <c r="M1422" t="str">
        <f t="shared" ca="1" si="112"/>
        <v>-</v>
      </c>
      <c r="N1422" s="18" t="str">
        <f t="shared" si="113"/>
        <v>K1422:L1443</v>
      </c>
      <c r="O1422" t="str">
        <f t="shared" si="114"/>
        <v>A1422:A1422</v>
      </c>
    </row>
    <row r="1423" spans="1:15">
      <c r="A1423" s="18" t="str">
        <f>Charms!K1423</f>
        <v>Terrest Circle</v>
      </c>
      <c r="B1423" t="str">
        <f>Charms!B1423</f>
        <v>Corrupted Words</v>
      </c>
      <c r="C1423" t="b">
        <f ca="1">OR(Values!$S$98&gt;=Charms!M1423,IFERROR(Charms!J1423=OFFSET(Values!$A$24,MATCH("S",Values!$T$25:$T$50,0),0),FALSE))</f>
        <v>1</v>
      </c>
      <c r="D1423" t="e">
        <f>VLOOKUP(Charms!J1423,Values!$A$11:$S$59,19,0)&gt;=Charms!L1423</f>
        <v>#N/A</v>
      </c>
      <c r="E1423" t="e">
        <f>OR(ISBLANK(Charms!I1423),(VLOOKUP(Values!$S$6,Castes!$B$2:$F$25,4,0)=Charms!I1423))</f>
        <v>#N/A</v>
      </c>
      <c r="J1423" t="e">
        <f t="shared" ca="1" si="111"/>
        <v>#N/A</v>
      </c>
      <c r="K1423" s="18" t="e">
        <f t="shared" ca="1" si="110"/>
        <v>#N/A</v>
      </c>
      <c r="L1423" t="e">
        <f ca="1">IF(J1423,Charms!B1423,"")</f>
        <v>#N/A</v>
      </c>
      <c r="M1423" t="str">
        <f t="shared" ca="1" si="112"/>
        <v>-</v>
      </c>
      <c r="N1423" s="18" t="str">
        <f t="shared" si="113"/>
        <v>K1422:L1443</v>
      </c>
      <c r="O1423" t="str">
        <f t="shared" si="114"/>
        <v>A1422:A1423</v>
      </c>
    </row>
    <row r="1424" spans="1:15">
      <c r="A1424" s="18" t="str">
        <f>Charms!K1424</f>
        <v>Terrest Circle</v>
      </c>
      <c r="B1424" t="str">
        <f>Charms!B1424</f>
        <v>Death of Obsidian Butterflies</v>
      </c>
      <c r="C1424" t="b">
        <f ca="1">OR(Values!$S$98&gt;=Charms!M1424,IFERROR(Charms!J1424=OFFSET(Values!$A$24,MATCH("S",Values!$T$25:$T$50,0),0),FALSE))</f>
        <v>1</v>
      </c>
      <c r="D1424" t="e">
        <f>VLOOKUP(Charms!J1424,Values!$A$11:$S$59,19,0)&gt;=Charms!L1424</f>
        <v>#N/A</v>
      </c>
      <c r="E1424" t="e">
        <f>OR(ISBLANK(Charms!I1424),(VLOOKUP(Values!$S$6,Castes!$B$2:$F$25,4,0)=Charms!I1424))</f>
        <v>#N/A</v>
      </c>
      <c r="J1424" t="e">
        <f t="shared" ca="1" si="111"/>
        <v>#N/A</v>
      </c>
      <c r="K1424" s="18" t="e">
        <f t="shared" ca="1" si="110"/>
        <v>#N/A</v>
      </c>
      <c r="L1424" t="e">
        <f ca="1">IF(J1424,Charms!B1424,"")</f>
        <v>#N/A</v>
      </c>
      <c r="M1424" t="str">
        <f t="shared" ca="1" si="112"/>
        <v>-</v>
      </c>
      <c r="N1424" s="18" t="str">
        <f t="shared" si="113"/>
        <v>K1422:L1443</v>
      </c>
      <c r="O1424" t="str">
        <f t="shared" si="114"/>
        <v>A1422:A1424</v>
      </c>
    </row>
    <row r="1425" spans="1:15">
      <c r="A1425" s="18" t="str">
        <f>Charms!K1425</f>
        <v>Terrest Circle</v>
      </c>
      <c r="B1425" t="str">
        <f>Charms!B1425</f>
        <v>Demon of the First Circle</v>
      </c>
      <c r="C1425" t="b">
        <f ca="1">OR(Values!$S$98&gt;=Charms!M1425,IFERROR(Charms!J1425=OFFSET(Values!$A$24,MATCH("S",Values!$T$25:$T$50,0),0),FALSE))</f>
        <v>1</v>
      </c>
      <c r="D1425" t="e">
        <f>VLOOKUP(Charms!J1425,Values!$A$11:$S$59,19,0)&gt;=Charms!L1425</f>
        <v>#N/A</v>
      </c>
      <c r="E1425" t="e">
        <f>OR(ISBLANK(Charms!I1425),(VLOOKUP(Values!$S$6,Castes!$B$2:$F$25,4,0)=Charms!I1425))</f>
        <v>#N/A</v>
      </c>
      <c r="J1425" t="e">
        <f t="shared" ca="1" si="111"/>
        <v>#N/A</v>
      </c>
      <c r="K1425" s="18" t="e">
        <f t="shared" ca="1" si="110"/>
        <v>#N/A</v>
      </c>
      <c r="L1425" t="e">
        <f ca="1">IF(J1425,Charms!B1425,"")</f>
        <v>#N/A</v>
      </c>
      <c r="M1425" t="str">
        <f t="shared" ca="1" si="112"/>
        <v>-</v>
      </c>
      <c r="N1425" s="18" t="str">
        <f t="shared" si="113"/>
        <v>K1422:L1443</v>
      </c>
      <c r="O1425" t="str">
        <f t="shared" si="114"/>
        <v>A1422:A1425</v>
      </c>
    </row>
    <row r="1426" spans="1:15">
      <c r="A1426" s="18" t="str">
        <f>Charms!K1426</f>
        <v>Terrest Circle</v>
      </c>
      <c r="B1426" t="str">
        <f>Charms!B1426</f>
        <v>Flight of the Brilliant Raptor</v>
      </c>
      <c r="C1426" t="b">
        <f ca="1">OR(Values!$S$98&gt;=Charms!M1426,IFERROR(Charms!J1426=OFFSET(Values!$A$24,MATCH("S",Values!$T$25:$T$50,0),0),FALSE))</f>
        <v>1</v>
      </c>
      <c r="D1426" t="e">
        <f>VLOOKUP(Charms!J1426,Values!$A$11:$S$59,19,0)&gt;=Charms!L1426</f>
        <v>#N/A</v>
      </c>
      <c r="E1426" t="e">
        <f>OR(ISBLANK(Charms!I1426),(VLOOKUP(Values!$S$6,Castes!$B$2:$F$25,4,0)=Charms!I1426))</f>
        <v>#N/A</v>
      </c>
      <c r="J1426" t="e">
        <f t="shared" ca="1" si="111"/>
        <v>#N/A</v>
      </c>
      <c r="K1426" s="18" t="e">
        <f t="shared" ca="1" si="110"/>
        <v>#N/A</v>
      </c>
      <c r="L1426" t="e">
        <f ca="1">IF(J1426,Charms!B1426,"")</f>
        <v>#N/A</v>
      </c>
      <c r="M1426" t="str">
        <f t="shared" ca="1" si="112"/>
        <v>-</v>
      </c>
      <c r="N1426" s="18" t="str">
        <f t="shared" si="113"/>
        <v>K1422:L1443</v>
      </c>
      <c r="O1426" t="str">
        <f t="shared" si="114"/>
        <v>A1422:A1426</v>
      </c>
    </row>
    <row r="1427" spans="1:15">
      <c r="A1427" s="18" t="str">
        <f>Charms!K1427</f>
        <v>Terrest Circle</v>
      </c>
      <c r="B1427" t="str">
        <f>Charms!B1427</f>
        <v>Infallible Messenger</v>
      </c>
      <c r="C1427" t="b">
        <f ca="1">OR(Values!$S$98&gt;=Charms!M1427,IFERROR(Charms!J1427=OFFSET(Values!$A$24,MATCH("S",Values!$T$25:$T$50,0),0),FALSE))</f>
        <v>1</v>
      </c>
      <c r="D1427" t="e">
        <f>VLOOKUP(Charms!J1427,Values!$A$11:$S$59,19,0)&gt;=Charms!L1427</f>
        <v>#N/A</v>
      </c>
      <c r="E1427" t="e">
        <f>OR(ISBLANK(Charms!I1427),(VLOOKUP(Values!$S$6,Castes!$B$2:$F$25,4,0)=Charms!I1427))</f>
        <v>#N/A</v>
      </c>
      <c r="J1427" t="e">
        <f t="shared" ca="1" si="111"/>
        <v>#N/A</v>
      </c>
      <c r="K1427" s="18" t="e">
        <f t="shared" ca="1" si="110"/>
        <v>#N/A</v>
      </c>
      <c r="L1427" t="e">
        <f ca="1">IF(J1427,Charms!B1427,"")</f>
        <v>#N/A</v>
      </c>
      <c r="M1427" t="str">
        <f t="shared" ca="1" si="112"/>
        <v>-</v>
      </c>
      <c r="N1427" s="18" t="str">
        <f t="shared" si="113"/>
        <v>K1422:L1443</v>
      </c>
      <c r="O1427" t="str">
        <f t="shared" si="114"/>
        <v>A1422:A1427</v>
      </c>
    </row>
    <row r="1428" spans="1:15">
      <c r="A1428" s="18" t="str">
        <f>Charms!K1428</f>
        <v>Terrest Circle</v>
      </c>
      <c r="B1428" t="str">
        <f>Charms!B1428</f>
        <v>Invulnerable Skin of Bronze</v>
      </c>
      <c r="C1428" t="b">
        <f ca="1">OR(Values!$S$98&gt;=Charms!M1428,IFERROR(Charms!J1428=OFFSET(Values!$A$24,MATCH("S",Values!$T$25:$T$50,0),0),FALSE))</f>
        <v>1</v>
      </c>
      <c r="D1428" t="e">
        <f>VLOOKUP(Charms!J1428,Values!$A$11:$S$59,19,0)&gt;=Charms!L1428</f>
        <v>#N/A</v>
      </c>
      <c r="E1428" t="e">
        <f>OR(ISBLANK(Charms!I1428),(VLOOKUP(Values!$S$6,Castes!$B$2:$F$25,4,0)=Charms!I1428))</f>
        <v>#N/A</v>
      </c>
      <c r="J1428" t="e">
        <f t="shared" ca="1" si="111"/>
        <v>#N/A</v>
      </c>
      <c r="K1428" s="18" t="e">
        <f t="shared" ca="1" si="110"/>
        <v>#N/A</v>
      </c>
      <c r="L1428" t="e">
        <f ca="1">IF(J1428,Charms!B1428,"")</f>
        <v>#N/A</v>
      </c>
      <c r="M1428" t="str">
        <f t="shared" ca="1" si="112"/>
        <v>-</v>
      </c>
      <c r="N1428" s="18" t="str">
        <f t="shared" si="113"/>
        <v>K1422:L1443</v>
      </c>
      <c r="O1428" t="str">
        <f t="shared" si="114"/>
        <v>A1422:A1428</v>
      </c>
    </row>
    <row r="1429" spans="1:15">
      <c r="A1429" s="18" t="str">
        <f>Charms!K1429</f>
        <v>Terrest Circle</v>
      </c>
      <c r="B1429" t="str">
        <f>Charms!B1429</f>
        <v>Mists of Eventide</v>
      </c>
      <c r="C1429" t="b">
        <f ca="1">OR(Values!$S$98&gt;=Charms!M1429,IFERROR(Charms!J1429=OFFSET(Values!$A$24,MATCH("S",Values!$T$25:$T$50,0),0),FALSE))</f>
        <v>1</v>
      </c>
      <c r="D1429" t="e">
        <f>VLOOKUP(Charms!J1429,Values!$A$11:$S$59,19,0)&gt;=Charms!L1429</f>
        <v>#N/A</v>
      </c>
      <c r="E1429" t="e">
        <f>OR(ISBLANK(Charms!I1429),(VLOOKUP(Values!$S$6,Castes!$B$2:$F$25,4,0)=Charms!I1429))</f>
        <v>#N/A</v>
      </c>
      <c r="J1429" t="e">
        <f t="shared" ca="1" si="111"/>
        <v>#N/A</v>
      </c>
      <c r="K1429" s="18" t="e">
        <f t="shared" ca="1" si="110"/>
        <v>#N/A</v>
      </c>
      <c r="L1429" t="e">
        <f ca="1">IF(J1429,Charms!B1429,"")</f>
        <v>#N/A</v>
      </c>
      <c r="M1429" t="str">
        <f t="shared" ca="1" si="112"/>
        <v>-</v>
      </c>
      <c r="N1429" s="18" t="str">
        <f t="shared" si="113"/>
        <v>K1422:L1443</v>
      </c>
      <c r="O1429" t="str">
        <f t="shared" si="114"/>
        <v>A1422:A1429</v>
      </c>
    </row>
    <row r="1430" spans="1:15">
      <c r="A1430" s="18" t="str">
        <f>Charms!K1430</f>
        <v>Terrest Circle</v>
      </c>
      <c r="B1430" t="str">
        <f>Charms!B1430</f>
        <v>Silent Words of Dreams and Nightmares</v>
      </c>
      <c r="C1430" t="b">
        <f ca="1">OR(Values!$S$98&gt;=Charms!M1430,IFERROR(Charms!J1430=OFFSET(Values!$A$24,MATCH("S",Values!$T$25:$T$50,0),0),FALSE))</f>
        <v>1</v>
      </c>
      <c r="D1430" t="e">
        <f>VLOOKUP(Charms!J1430,Values!$A$11:$S$59,19,0)&gt;=Charms!L1430</f>
        <v>#N/A</v>
      </c>
      <c r="E1430" t="e">
        <f>OR(ISBLANK(Charms!I1430),(VLOOKUP(Values!$S$6,Castes!$B$2:$F$25,4,0)=Charms!I1430))</f>
        <v>#N/A</v>
      </c>
      <c r="J1430" t="e">
        <f t="shared" ca="1" si="111"/>
        <v>#N/A</v>
      </c>
      <c r="K1430" s="18" t="e">
        <f t="shared" ca="1" si="110"/>
        <v>#N/A</v>
      </c>
      <c r="L1430" t="e">
        <f ca="1">IF(J1430,Charms!B1430,"")</f>
        <v>#N/A</v>
      </c>
      <c r="M1430" t="str">
        <f t="shared" ca="1" si="112"/>
        <v>-</v>
      </c>
      <c r="N1430" s="18" t="str">
        <f t="shared" si="113"/>
        <v>K1422:L1443</v>
      </c>
      <c r="O1430" t="str">
        <f t="shared" si="114"/>
        <v>A1422:A1430</v>
      </c>
    </row>
    <row r="1431" spans="1:15">
      <c r="A1431" s="18" t="str">
        <f>Charms!K1431</f>
        <v>Terrest Circle</v>
      </c>
      <c r="B1431" t="str">
        <f>Charms!B1431</f>
        <v>Stormwind Rider</v>
      </c>
      <c r="C1431" t="b">
        <f ca="1">OR(Values!$S$98&gt;=Charms!M1431,IFERROR(Charms!J1431=OFFSET(Values!$A$24,MATCH("S",Values!$T$25:$T$50,0),0),FALSE))</f>
        <v>1</v>
      </c>
      <c r="D1431" t="e">
        <f>VLOOKUP(Charms!J1431,Values!$A$11:$S$59,19,0)&gt;=Charms!L1431</f>
        <v>#N/A</v>
      </c>
      <c r="E1431" t="e">
        <f>OR(ISBLANK(Charms!I1431),(VLOOKUP(Values!$S$6,Castes!$B$2:$F$25,4,0)=Charms!I1431))</f>
        <v>#N/A</v>
      </c>
      <c r="J1431" t="e">
        <f t="shared" ca="1" si="111"/>
        <v>#N/A</v>
      </c>
      <c r="K1431" s="18" t="e">
        <f t="shared" ca="1" si="110"/>
        <v>#N/A</v>
      </c>
      <c r="L1431" t="e">
        <f ca="1">IF(J1431,Charms!B1431,"")</f>
        <v>#N/A</v>
      </c>
      <c r="M1431" t="str">
        <f t="shared" ca="1" si="112"/>
        <v>-</v>
      </c>
      <c r="N1431" s="18" t="str">
        <f t="shared" si="113"/>
        <v>K1422:L1443</v>
      </c>
      <c r="O1431" t="str">
        <f t="shared" si="114"/>
        <v>A1422:A1431</v>
      </c>
    </row>
    <row r="1432" spans="1:15">
      <c r="A1432" s="18" t="str">
        <f>Charms!K1432</f>
        <v>Terrest Circle</v>
      </c>
      <c r="B1432" t="str">
        <f>Charms!B1432</f>
        <v>Summon Elemental</v>
      </c>
      <c r="C1432" t="b">
        <f ca="1">OR(Values!$S$98&gt;=Charms!M1432,IFERROR(Charms!J1432=OFFSET(Values!$A$24,MATCH("S",Values!$T$25:$T$50,0),0),FALSE))</f>
        <v>1</v>
      </c>
      <c r="D1432" t="e">
        <f>VLOOKUP(Charms!J1432,Values!$A$11:$S$59,19,0)&gt;=Charms!L1432</f>
        <v>#N/A</v>
      </c>
      <c r="E1432" t="e">
        <f>OR(ISBLANK(Charms!I1432),(VLOOKUP(Values!$S$6,Castes!$B$2:$F$25,4,0)=Charms!I1432))</f>
        <v>#N/A</v>
      </c>
      <c r="J1432" t="e">
        <f t="shared" ca="1" si="111"/>
        <v>#N/A</v>
      </c>
      <c r="K1432" s="18" t="e">
        <f t="shared" ca="1" si="110"/>
        <v>#N/A</v>
      </c>
      <c r="L1432" t="e">
        <f ca="1">IF(J1432,Charms!B1432,"")</f>
        <v>#N/A</v>
      </c>
      <c r="M1432" t="str">
        <f t="shared" ca="1" si="112"/>
        <v>-</v>
      </c>
      <c r="N1432" s="18" t="str">
        <f t="shared" si="113"/>
        <v>K1422:L1443</v>
      </c>
      <c r="O1432" t="str">
        <f t="shared" si="114"/>
        <v>A1422:A1432</v>
      </c>
    </row>
    <row r="1433" spans="1:15">
      <c r="A1433" s="18" t="str">
        <f>Charms!K1433</f>
        <v>Terrest Circle</v>
      </c>
      <c r="B1433" t="str">
        <f>Charms!B1433</f>
        <v>Wood Dragon's Claws</v>
      </c>
      <c r="C1433" t="b">
        <f ca="1">OR(Values!$S$98&gt;=Charms!M1433,IFERROR(Charms!J1433=OFFSET(Values!$A$24,MATCH("S",Values!$T$25:$T$50,0),0),FALSE))</f>
        <v>1</v>
      </c>
      <c r="D1433" t="e">
        <f>VLOOKUP(Charms!J1433,Values!$A$11:$S$59,19,0)&gt;=Charms!L1433</f>
        <v>#N/A</v>
      </c>
      <c r="E1433" t="e">
        <f>OR(ISBLANK(Charms!I1433),(VLOOKUP(Values!$S$6,Castes!$B$2:$F$25,4,0)=Charms!I1433))</f>
        <v>#N/A</v>
      </c>
      <c r="J1433" t="e">
        <f t="shared" ca="1" si="111"/>
        <v>#N/A</v>
      </c>
      <c r="K1433" s="18" t="e">
        <f t="shared" ca="1" si="110"/>
        <v>#N/A</v>
      </c>
      <c r="L1433" t="e">
        <f ca="1">IF(J1433,Charms!B1433,"")</f>
        <v>#N/A</v>
      </c>
      <c r="M1433" t="str">
        <f t="shared" ca="1" si="112"/>
        <v>-</v>
      </c>
      <c r="N1433" s="18" t="str">
        <f t="shared" si="113"/>
        <v>K1422:L1443</v>
      </c>
      <c r="O1433" t="str">
        <f t="shared" si="114"/>
        <v>A1422:A1433</v>
      </c>
    </row>
    <row r="1434" spans="1:15">
      <c r="A1434" s="18" t="str">
        <f>Charms!K1434</f>
        <v>Terrest Circle</v>
      </c>
      <c r="B1434" t="str">
        <f>Charms!B1434</f>
        <v>Beckoning That Which Stirs the Sky</v>
      </c>
      <c r="C1434" t="b">
        <f ca="1">OR(Values!$S$98&gt;=Charms!M1434,IFERROR(Charms!J1434=OFFSET(Values!$A$24,MATCH("S",Values!$T$25:$T$50,0),0),FALSE))</f>
        <v>1</v>
      </c>
      <c r="D1434" t="e">
        <f>VLOOKUP(Charms!J1434,Values!$A$11:$S$59,19,0)&gt;=Charms!L1434</f>
        <v>#N/A</v>
      </c>
      <c r="E1434" t="e">
        <f>OR(ISBLANK(Charms!I1434),(VLOOKUP(Values!$S$6,Castes!$B$2:$F$25,4,0)=Charms!I1434))</f>
        <v>#N/A</v>
      </c>
      <c r="J1434" t="e">
        <f t="shared" ca="1" si="111"/>
        <v>#N/A</v>
      </c>
      <c r="K1434" s="18" t="e">
        <f t="shared" ca="1" si="110"/>
        <v>#N/A</v>
      </c>
      <c r="L1434" t="e">
        <f ca="1">IF(J1434,Charms!B1434,"")</f>
        <v>#N/A</v>
      </c>
      <c r="M1434" t="str">
        <f t="shared" ca="1" si="112"/>
        <v>-</v>
      </c>
      <c r="N1434" s="18" t="str">
        <f t="shared" si="113"/>
        <v>K1422:L1443</v>
      </c>
      <c r="O1434" t="str">
        <f t="shared" si="114"/>
        <v>A1422:A1434</v>
      </c>
    </row>
    <row r="1435" spans="1:15">
      <c r="A1435" s="18" t="str">
        <f>Charms!K1435</f>
        <v>Terrest Circle</v>
      </c>
      <c r="B1435" t="str">
        <f>Charms!B1435</f>
        <v>Floral Ferry</v>
      </c>
      <c r="C1435" t="b">
        <f ca="1">OR(Values!$S$98&gt;=Charms!M1435,IFERROR(Charms!J1435=OFFSET(Values!$A$24,MATCH("S",Values!$T$25:$T$50,0),0),FALSE))</f>
        <v>1</v>
      </c>
      <c r="D1435" t="e">
        <f>VLOOKUP(Charms!J1435,Values!$A$11:$S$59,19,0)&gt;=Charms!L1435</f>
        <v>#N/A</v>
      </c>
      <c r="E1435" t="e">
        <f>OR(ISBLANK(Charms!I1435),(VLOOKUP(Values!$S$6,Castes!$B$2:$F$25,4,0)=Charms!I1435))</f>
        <v>#N/A</v>
      </c>
      <c r="J1435" t="e">
        <f t="shared" ca="1" si="111"/>
        <v>#N/A</v>
      </c>
      <c r="K1435" s="18" t="e">
        <f t="shared" ca="1" si="110"/>
        <v>#N/A</v>
      </c>
      <c r="L1435" t="e">
        <f ca="1">IF(J1435,Charms!B1435,"")</f>
        <v>#N/A</v>
      </c>
      <c r="M1435" t="str">
        <f t="shared" ca="1" si="112"/>
        <v>-</v>
      </c>
      <c r="N1435" s="18" t="str">
        <f t="shared" si="113"/>
        <v>K1422:L1443</v>
      </c>
      <c r="O1435" t="str">
        <f t="shared" si="114"/>
        <v>A1422:A1435</v>
      </c>
    </row>
    <row r="1436" spans="1:15">
      <c r="A1436" s="18" t="str">
        <f>Charms!K1436</f>
        <v>Terrest Circle</v>
      </c>
      <c r="B1436" t="str">
        <f>Charms!B1436</f>
        <v>Impervious Sphere of Water</v>
      </c>
      <c r="C1436" t="b">
        <f ca="1">OR(Values!$S$98&gt;=Charms!M1436,IFERROR(Charms!J1436=OFFSET(Values!$A$24,MATCH("S",Values!$T$25:$T$50,0),0),FALSE))</f>
        <v>1</v>
      </c>
      <c r="D1436" t="e">
        <f>VLOOKUP(Charms!J1436,Values!$A$11:$S$59,19,0)&gt;=Charms!L1436</f>
        <v>#N/A</v>
      </c>
      <c r="E1436" t="e">
        <f>OR(ISBLANK(Charms!I1436),(VLOOKUP(Values!$S$6,Castes!$B$2:$F$25,4,0)=Charms!I1436))</f>
        <v>#N/A</v>
      </c>
      <c r="J1436" t="e">
        <f t="shared" ca="1" si="111"/>
        <v>#N/A</v>
      </c>
      <c r="K1436" s="18" t="e">
        <f t="shared" ca="1" si="110"/>
        <v>#N/A</v>
      </c>
      <c r="L1436" t="e">
        <f ca="1">IF(J1436,Charms!B1436,"")</f>
        <v>#N/A</v>
      </c>
      <c r="M1436" t="str">
        <f t="shared" ca="1" si="112"/>
        <v>-</v>
      </c>
      <c r="N1436" s="18" t="str">
        <f t="shared" si="113"/>
        <v>K1422:L1443</v>
      </c>
      <c r="O1436" t="str">
        <f t="shared" si="114"/>
        <v>A1422:A1436</v>
      </c>
    </row>
    <row r="1437" spans="1:15">
      <c r="A1437" s="18" t="str">
        <f>Charms!K1437</f>
        <v>Terrest Circle</v>
      </c>
      <c r="B1437" t="str">
        <f>Charms!B1437</f>
        <v>Keel Cleaves the Clouds</v>
      </c>
      <c r="C1437" t="b">
        <f ca="1">OR(Values!$S$98&gt;=Charms!M1437,IFERROR(Charms!J1437=OFFSET(Values!$A$24,MATCH("S",Values!$T$25:$T$50,0),0),FALSE))</f>
        <v>1</v>
      </c>
      <c r="D1437" t="e">
        <f>VLOOKUP(Charms!J1437,Values!$A$11:$S$59,19,0)&gt;=Charms!L1437</f>
        <v>#N/A</v>
      </c>
      <c r="E1437" t="e">
        <f>OR(ISBLANK(Charms!I1437),(VLOOKUP(Values!$S$6,Castes!$B$2:$F$25,4,0)=Charms!I1437))</f>
        <v>#N/A</v>
      </c>
      <c r="J1437" t="e">
        <f t="shared" ca="1" si="111"/>
        <v>#N/A</v>
      </c>
      <c r="K1437" s="18" t="e">
        <f t="shared" ca="1" si="110"/>
        <v>#N/A</v>
      </c>
      <c r="L1437" t="e">
        <f ca="1">IF(J1437,Charms!B1437,"")</f>
        <v>#N/A</v>
      </c>
      <c r="M1437" t="str">
        <f t="shared" ca="1" si="112"/>
        <v>-</v>
      </c>
      <c r="N1437" s="18" t="str">
        <f t="shared" si="113"/>
        <v>K1422:L1443</v>
      </c>
      <c r="O1437" t="str">
        <f t="shared" si="114"/>
        <v>A1422:A1437</v>
      </c>
    </row>
    <row r="1438" spans="1:15">
      <c r="A1438" s="18" t="str">
        <f>Charms!K1438</f>
        <v>Terrest Circle</v>
      </c>
      <c r="B1438" t="str">
        <f>Charms!B1438</f>
        <v>Sculpted Seafoam Eidolon</v>
      </c>
      <c r="C1438" t="b">
        <f ca="1">OR(Values!$S$98&gt;=Charms!M1438,IFERROR(Charms!J1438=OFFSET(Values!$A$24,MATCH("S",Values!$T$25:$T$50,0),0),FALSE))</f>
        <v>1</v>
      </c>
      <c r="D1438" t="e">
        <f>VLOOKUP(Charms!J1438,Values!$A$11:$S$59,19,0)&gt;=Charms!L1438</f>
        <v>#N/A</v>
      </c>
      <c r="E1438" t="e">
        <f>OR(ISBLANK(Charms!I1438),(VLOOKUP(Values!$S$6,Castes!$B$2:$F$25,4,0)=Charms!I1438))</f>
        <v>#N/A</v>
      </c>
      <c r="J1438" t="e">
        <f t="shared" ca="1" si="111"/>
        <v>#N/A</v>
      </c>
      <c r="K1438" s="18" t="e">
        <f t="shared" ca="1" si="110"/>
        <v>#N/A</v>
      </c>
      <c r="L1438" t="e">
        <f ca="1">IF(J1438,Charms!B1438,"")</f>
        <v>#N/A</v>
      </c>
      <c r="M1438" t="str">
        <f t="shared" ca="1" si="112"/>
        <v>-</v>
      </c>
      <c r="N1438" s="18" t="str">
        <f t="shared" si="113"/>
        <v>K1422:L1443</v>
      </c>
      <c r="O1438" t="str">
        <f t="shared" si="114"/>
        <v>A1422:A1438</v>
      </c>
    </row>
    <row r="1439" spans="1:15">
      <c r="A1439" s="18" t="str">
        <f>Charms!K1439</f>
        <v>Terrest Circle</v>
      </c>
      <c r="B1439" t="str">
        <f>Charms!B1439</f>
        <v>Spoke the Wooden Face</v>
      </c>
      <c r="C1439" t="b">
        <f ca="1">OR(Values!$S$98&gt;=Charms!M1439,IFERROR(Charms!J1439=OFFSET(Values!$A$24,MATCH("S",Values!$T$25:$T$50,0),0),FALSE))</f>
        <v>1</v>
      </c>
      <c r="D1439" t="e">
        <f>VLOOKUP(Charms!J1439,Values!$A$11:$S$59,19,0)&gt;=Charms!L1439</f>
        <v>#N/A</v>
      </c>
      <c r="E1439" t="e">
        <f>OR(ISBLANK(Charms!I1439),(VLOOKUP(Values!$S$6,Castes!$B$2:$F$25,4,0)=Charms!I1439))</f>
        <v>#N/A</v>
      </c>
      <c r="J1439" t="e">
        <f t="shared" ca="1" si="111"/>
        <v>#N/A</v>
      </c>
      <c r="K1439" s="18" t="e">
        <f t="shared" ca="1" si="110"/>
        <v>#N/A</v>
      </c>
      <c r="L1439" t="e">
        <f ca="1">IF(J1439,Charms!B1439,"")</f>
        <v>#N/A</v>
      </c>
      <c r="M1439" t="str">
        <f t="shared" ca="1" si="112"/>
        <v>-</v>
      </c>
      <c r="N1439" s="18" t="str">
        <f t="shared" si="113"/>
        <v>K1422:L1443</v>
      </c>
      <c r="O1439" t="str">
        <f t="shared" si="114"/>
        <v>A1422:A1439</v>
      </c>
    </row>
    <row r="1440" spans="1:15">
      <c r="A1440" s="18" t="str">
        <f>Charms!K1440</f>
        <v>Terrest Circle</v>
      </c>
      <c r="B1440" t="str">
        <f>Charms!B1440</f>
        <v>Stalwart Earth Guardian</v>
      </c>
      <c r="C1440" t="b">
        <f ca="1">OR(Values!$S$98&gt;=Charms!M1440,IFERROR(Charms!J1440=OFFSET(Values!$A$24,MATCH("S",Values!$T$25:$T$50,0),0),FALSE))</f>
        <v>1</v>
      </c>
      <c r="D1440" t="e">
        <f>VLOOKUP(Charms!J1440,Values!$A$11:$S$59,19,0)&gt;=Charms!L1440</f>
        <v>#N/A</v>
      </c>
      <c r="E1440" t="e">
        <f>OR(ISBLANK(Charms!I1440),(VLOOKUP(Values!$S$6,Castes!$B$2:$F$25,4,0)=Charms!I1440))</f>
        <v>#N/A</v>
      </c>
      <c r="J1440" t="e">
        <f t="shared" ca="1" si="111"/>
        <v>#N/A</v>
      </c>
      <c r="K1440" s="18" t="e">
        <f t="shared" ca="1" si="110"/>
        <v>#N/A</v>
      </c>
      <c r="L1440" t="e">
        <f ca="1">IF(J1440,Charms!B1440,"")</f>
        <v>#N/A</v>
      </c>
      <c r="M1440" t="str">
        <f t="shared" ca="1" si="112"/>
        <v>-</v>
      </c>
      <c r="N1440" s="18" t="str">
        <f t="shared" si="113"/>
        <v>K1422:L1443</v>
      </c>
      <c r="O1440" t="str">
        <f t="shared" si="114"/>
        <v>A1422:A1440</v>
      </c>
    </row>
    <row r="1441" spans="1:15">
      <c r="A1441" s="18" t="str">
        <f>Charms!K1441</f>
        <v>Terrest Circle</v>
      </c>
      <c r="B1441" t="str">
        <f>Charms!B1441</f>
        <v>Thunder Wolf Howl</v>
      </c>
      <c r="C1441" t="b">
        <f ca="1">OR(Values!$S$98&gt;=Charms!M1441,IFERROR(Charms!J1441=OFFSET(Values!$A$24,MATCH("S",Values!$T$25:$T$50,0),0),FALSE))</f>
        <v>1</v>
      </c>
      <c r="D1441" t="e">
        <f>VLOOKUP(Charms!J1441,Values!$A$11:$S$59,19,0)&gt;=Charms!L1441</f>
        <v>#N/A</v>
      </c>
      <c r="E1441" t="e">
        <f>OR(ISBLANK(Charms!I1441),(VLOOKUP(Values!$S$6,Castes!$B$2:$F$25,4,0)=Charms!I1441))</f>
        <v>#N/A</v>
      </c>
      <c r="J1441" t="e">
        <f t="shared" ca="1" si="111"/>
        <v>#N/A</v>
      </c>
      <c r="K1441" s="18" t="e">
        <f t="shared" ca="1" si="110"/>
        <v>#N/A</v>
      </c>
      <c r="L1441" t="e">
        <f ca="1">IF(J1441,Charms!B1441,"")</f>
        <v>#N/A</v>
      </c>
      <c r="M1441" t="str">
        <f t="shared" ca="1" si="112"/>
        <v>-</v>
      </c>
      <c r="N1441" s="18" t="str">
        <f t="shared" si="113"/>
        <v>K1422:L1443</v>
      </c>
      <c r="O1441" t="str">
        <f t="shared" si="114"/>
        <v>A1422:A1441</v>
      </c>
    </row>
    <row r="1442" spans="1:15">
      <c r="A1442" s="18" t="str">
        <f>Charms!K1442</f>
        <v>Terrest Circle</v>
      </c>
      <c r="B1442" t="str">
        <f>Charms!B1442</f>
        <v>Unslakable Thirst of the Devil-Maw</v>
      </c>
      <c r="C1442" t="b">
        <f ca="1">OR(Values!$S$98&gt;=Charms!M1442,IFERROR(Charms!J1442=OFFSET(Values!$A$24,MATCH("S",Values!$T$25:$T$50,0),0),FALSE))</f>
        <v>1</v>
      </c>
      <c r="D1442" t="e">
        <f>VLOOKUP(Charms!J1442,Values!$A$11:$S$59,19,0)&gt;=Charms!L1442</f>
        <v>#N/A</v>
      </c>
      <c r="E1442" t="e">
        <f>OR(ISBLANK(Charms!I1442),(VLOOKUP(Values!$S$6,Castes!$B$2:$F$25,4,0)=Charms!I1442))</f>
        <v>#N/A</v>
      </c>
      <c r="J1442" t="e">
        <f t="shared" ca="1" si="111"/>
        <v>#N/A</v>
      </c>
      <c r="K1442" s="18" t="e">
        <f t="shared" ca="1" si="110"/>
        <v>#N/A</v>
      </c>
      <c r="L1442" t="e">
        <f ca="1">IF(J1442,Charms!B1442,"")</f>
        <v>#N/A</v>
      </c>
      <c r="M1442" t="str">
        <f t="shared" ca="1" si="112"/>
        <v>-</v>
      </c>
      <c r="N1442" s="18" t="str">
        <f t="shared" si="113"/>
        <v>K1422:L1443</v>
      </c>
      <c r="O1442" t="str">
        <f t="shared" si="114"/>
        <v>A1422:A1442</v>
      </c>
    </row>
    <row r="1443" spans="1:15">
      <c r="A1443" s="18" t="str">
        <f>Charms!K1443</f>
        <v>Terrest Circle</v>
      </c>
      <c r="B1443" t="str">
        <f>Charms!B1443</f>
        <v>Virtuous Guardian of Flame</v>
      </c>
      <c r="C1443" t="b">
        <f ca="1">OR(Values!$S$98&gt;=Charms!M1443,IFERROR(Charms!J1443=OFFSET(Values!$A$24,MATCH("S",Values!$T$25:$T$50,0),0),FALSE))</f>
        <v>1</v>
      </c>
      <c r="D1443" t="e">
        <f>VLOOKUP(Charms!J1443,Values!$A$11:$S$59,19,0)&gt;=Charms!L1443</f>
        <v>#N/A</v>
      </c>
      <c r="E1443" t="e">
        <f>OR(ISBLANK(Charms!I1443),(VLOOKUP(Values!$S$6,Castes!$B$2:$F$25,4,0)=Charms!I1443))</f>
        <v>#N/A</v>
      </c>
      <c r="J1443" t="e">
        <f t="shared" ca="1" si="111"/>
        <v>#N/A</v>
      </c>
      <c r="K1443" s="18" t="e">
        <f t="shared" ca="1" si="110"/>
        <v>#N/A</v>
      </c>
      <c r="L1443" t="e">
        <f ca="1">IF(J1443,Charms!B1443,"")</f>
        <v>#N/A</v>
      </c>
      <c r="M1443" t="str">
        <f t="shared" ca="1" si="112"/>
        <v>-</v>
      </c>
      <c r="N1443" s="18" t="str">
        <f t="shared" si="113"/>
        <v>K1422:L1443</v>
      </c>
      <c r="O1443" t="str">
        <f t="shared" si="114"/>
        <v>A1422:A1443</v>
      </c>
    </row>
    <row r="1444" spans="1:15">
      <c r="A1444" s="18" t="str">
        <f>Charms!K1444</f>
        <v>Stealth</v>
      </c>
      <c r="B1444" t="str">
        <f>Charms!B1444</f>
        <v>Perfect Shadow Stillness</v>
      </c>
      <c r="C1444" t="b">
        <f ca="1">OR(Values!$S$98&gt;=Charms!M1444,IFERROR(Charms!J1444=OFFSET(Values!$A$24,MATCH("S",Values!$T$25:$T$50,0),0),FALSE))</f>
        <v>1</v>
      </c>
      <c r="D1444" t="b">
        <f>VLOOKUP(Charms!J1444,Values!$A$11:$S$59,19,0)&gt;=Charms!L1444</f>
        <v>0</v>
      </c>
      <c r="E1444" t="e">
        <f>OR(ISBLANK(Charms!I1444),(VLOOKUP(Values!$S$6,Castes!$B$2:$F$25,4,0)=Charms!I1444))</f>
        <v>#N/A</v>
      </c>
      <c r="J1444" t="e">
        <f t="shared" ca="1" si="111"/>
        <v>#N/A</v>
      </c>
      <c r="K1444" s="18" t="e">
        <f t="shared" ca="1" si="110"/>
        <v>#N/A</v>
      </c>
      <c r="L1444" t="e">
        <f ca="1">IF(J1444,Charms!B1444,"")</f>
        <v>#N/A</v>
      </c>
      <c r="M1444" t="str">
        <f t="shared" ca="1" si="112"/>
        <v>-</v>
      </c>
      <c r="N1444" s="18" t="str">
        <f t="shared" si="113"/>
        <v>K1444:L1484</v>
      </c>
      <c r="O1444" t="str">
        <f t="shared" si="114"/>
        <v>A1444:A1444</v>
      </c>
    </row>
    <row r="1445" spans="1:15">
      <c r="A1445" s="18" t="str">
        <f>Charms!K1445</f>
        <v>Stealth</v>
      </c>
      <c r="B1445" t="str">
        <f>Charms!B1445</f>
        <v>Invisible Statue Spirit</v>
      </c>
      <c r="C1445" t="b">
        <f ca="1">OR(Values!$S$98&gt;=Charms!M1445,IFERROR(Charms!J1445=OFFSET(Values!$A$24,MATCH("S",Values!$T$25:$T$50,0),0),FALSE))</f>
        <v>1</v>
      </c>
      <c r="D1445" t="b">
        <f>VLOOKUP(Charms!J1445,Values!$A$11:$S$59,19,0)&gt;=Charms!L1445</f>
        <v>0</v>
      </c>
      <c r="E1445" t="e">
        <f>OR(ISBLANK(Charms!I1445),(VLOOKUP(Values!$S$6,Castes!$B$2:$F$25,4,0)=Charms!I1445))</f>
        <v>#N/A</v>
      </c>
      <c r="J1445" t="e">
        <f t="shared" ca="1" si="111"/>
        <v>#N/A</v>
      </c>
      <c r="K1445" s="18" t="e">
        <f t="shared" ca="1" si="110"/>
        <v>#N/A</v>
      </c>
      <c r="L1445" t="e">
        <f ca="1">IF(J1445,Charms!B1445,"")</f>
        <v>#N/A</v>
      </c>
      <c r="M1445" t="str">
        <f t="shared" ca="1" si="112"/>
        <v>-</v>
      </c>
      <c r="N1445" s="18" t="str">
        <f t="shared" si="113"/>
        <v>K1444:L1484</v>
      </c>
      <c r="O1445" t="str">
        <f t="shared" si="114"/>
        <v>A1444:A1445</v>
      </c>
    </row>
    <row r="1446" spans="1:15">
      <c r="A1446" s="18" t="str">
        <f>Charms!K1446</f>
        <v>Stealth</v>
      </c>
      <c r="B1446" t="str">
        <f>Charms!B1446</f>
        <v>Easily-Overlooked Presence Method</v>
      </c>
      <c r="C1446" t="b">
        <f ca="1">OR(Values!$S$98&gt;=Charms!M1446,IFERROR(Charms!J1446=OFFSET(Values!$A$24,MATCH("S",Values!$T$25:$T$50,0),0),FALSE))</f>
        <v>1</v>
      </c>
      <c r="D1446" t="b">
        <f>VLOOKUP(Charms!J1446,Values!$A$11:$S$59,19,0)&gt;=Charms!L1446</f>
        <v>0</v>
      </c>
      <c r="E1446" t="e">
        <f>OR(ISBLANK(Charms!I1446),(VLOOKUP(Values!$S$6,Castes!$B$2:$F$25,4,0)=Charms!I1446))</f>
        <v>#N/A</v>
      </c>
      <c r="J1446" t="e">
        <f t="shared" ca="1" si="111"/>
        <v>#N/A</v>
      </c>
      <c r="K1446" s="18" t="e">
        <f t="shared" ca="1" si="110"/>
        <v>#N/A</v>
      </c>
      <c r="L1446" t="e">
        <f ca="1">IF(J1446,Charms!B1446,"")</f>
        <v>#N/A</v>
      </c>
      <c r="M1446" t="str">
        <f t="shared" ca="1" si="112"/>
        <v>-</v>
      </c>
      <c r="N1446" s="18" t="str">
        <f t="shared" si="113"/>
        <v>K1444:L1484</v>
      </c>
      <c r="O1446" t="str">
        <f t="shared" si="114"/>
        <v>A1444:A1446</v>
      </c>
    </row>
    <row r="1447" spans="1:15">
      <c r="A1447" s="18" t="str">
        <f>Charms!K1447</f>
        <v>Stealth</v>
      </c>
      <c r="B1447" t="str">
        <f>Charms!B1447</f>
        <v>Blinding Battle Feint</v>
      </c>
      <c r="C1447" t="b">
        <f ca="1">OR(Values!$S$98&gt;=Charms!M1447,IFERROR(Charms!J1447=OFFSET(Values!$A$24,MATCH("S",Values!$T$25:$T$50,0),0),FALSE))</f>
        <v>1</v>
      </c>
      <c r="D1447" t="b">
        <f>VLOOKUP(Charms!J1447,Values!$A$11:$S$59,19,0)&gt;=Charms!L1447</f>
        <v>0</v>
      </c>
      <c r="E1447" t="e">
        <f>OR(ISBLANK(Charms!I1447),(VLOOKUP(Values!$S$6,Castes!$B$2:$F$25,4,0)=Charms!I1447))</f>
        <v>#N/A</v>
      </c>
      <c r="J1447" t="e">
        <f t="shared" ca="1" si="111"/>
        <v>#N/A</v>
      </c>
      <c r="K1447" s="18" t="e">
        <f t="shared" ca="1" si="110"/>
        <v>#N/A</v>
      </c>
      <c r="L1447" t="e">
        <f ca="1">IF(J1447,Charms!B1447,"")</f>
        <v>#N/A</v>
      </c>
      <c r="M1447" t="str">
        <f t="shared" ca="1" si="112"/>
        <v>-</v>
      </c>
      <c r="N1447" s="18" t="str">
        <f t="shared" si="113"/>
        <v>K1444:L1484</v>
      </c>
      <c r="O1447" t="str">
        <f t="shared" si="114"/>
        <v>A1444:A1447</v>
      </c>
    </row>
    <row r="1448" spans="1:15">
      <c r="A1448" s="18" t="str">
        <f>Charms!K1448</f>
        <v>Stealth</v>
      </c>
      <c r="B1448" t="str">
        <f>Charms!B1448</f>
        <v>Guardian Fog Approach</v>
      </c>
      <c r="C1448" t="b">
        <f ca="1">OR(Values!$S$98&gt;=Charms!M1448,IFERROR(Charms!J1448=OFFSET(Values!$A$24,MATCH("S",Values!$T$25:$T$50,0),0),FALSE))</f>
        <v>1</v>
      </c>
      <c r="D1448" t="b">
        <f>VLOOKUP(Charms!J1448,Values!$A$11:$S$59,19,0)&gt;=Charms!L1448</f>
        <v>0</v>
      </c>
      <c r="E1448" t="e">
        <f>OR(ISBLANK(Charms!I1448),(VLOOKUP(Values!$S$6,Castes!$B$2:$F$25,4,0)=Charms!I1448))</f>
        <v>#N/A</v>
      </c>
      <c r="J1448" t="e">
        <f t="shared" ca="1" si="111"/>
        <v>#N/A</v>
      </c>
      <c r="K1448" s="18" t="e">
        <f t="shared" ca="1" si="110"/>
        <v>#N/A</v>
      </c>
      <c r="L1448" t="e">
        <f ca="1">IF(J1448,Charms!B1448,"")</f>
        <v>#N/A</v>
      </c>
      <c r="M1448" t="str">
        <f t="shared" ca="1" si="112"/>
        <v>-</v>
      </c>
      <c r="N1448" s="18" t="str">
        <f t="shared" si="113"/>
        <v>K1444:L1484</v>
      </c>
      <c r="O1448" t="str">
        <f t="shared" si="114"/>
        <v>A1444:A1448</v>
      </c>
    </row>
    <row r="1449" spans="1:15">
      <c r="A1449" s="18" t="str">
        <f>Charms!K1449</f>
        <v>Stealth</v>
      </c>
      <c r="B1449" t="str">
        <f>Charms!B1449</f>
        <v>Stalking Wolf Attitude</v>
      </c>
      <c r="C1449" t="b">
        <f ca="1">OR(Values!$S$98&gt;=Charms!M1449,IFERROR(Charms!J1449=OFFSET(Values!$A$24,MATCH("S",Values!$T$25:$T$50,0),0),FALSE))</f>
        <v>1</v>
      </c>
      <c r="D1449" t="b">
        <f>VLOOKUP(Charms!J1449,Values!$A$11:$S$59,19,0)&gt;=Charms!L1449</f>
        <v>0</v>
      </c>
      <c r="E1449" t="e">
        <f>OR(ISBLANK(Charms!I1449),(VLOOKUP(Values!$S$6,Castes!$B$2:$F$25,4,0)=Charms!I1449))</f>
        <v>#N/A</v>
      </c>
      <c r="J1449" t="e">
        <f t="shared" ca="1" si="111"/>
        <v>#N/A</v>
      </c>
      <c r="K1449" s="18" t="e">
        <f t="shared" ca="1" si="110"/>
        <v>#N/A</v>
      </c>
      <c r="L1449" t="e">
        <f ca="1">IF(J1449,Charms!B1449,"")</f>
        <v>#N/A</v>
      </c>
      <c r="M1449" t="str">
        <f t="shared" ca="1" si="112"/>
        <v>-</v>
      </c>
      <c r="N1449" s="18" t="str">
        <f t="shared" si="113"/>
        <v>K1444:L1484</v>
      </c>
      <c r="O1449" t="str">
        <f t="shared" si="114"/>
        <v>A1444:A1449</v>
      </c>
    </row>
    <row r="1450" spans="1:15">
      <c r="A1450" s="18" t="str">
        <f>Charms!K1450</f>
        <v>Stealth</v>
      </c>
      <c r="B1450" t="str">
        <f>Charms!B1450</f>
        <v>Blurred Form Style</v>
      </c>
      <c r="C1450" t="b">
        <f ca="1">OR(Values!$S$98&gt;=Charms!M1450,IFERROR(Charms!J1450=OFFSET(Values!$A$24,MATCH("S",Values!$T$25:$T$50,0),0),FALSE))</f>
        <v>0</v>
      </c>
      <c r="D1450" t="b">
        <f>VLOOKUP(Charms!J1450,Values!$A$11:$S$59,19,0)&gt;=Charms!L1450</f>
        <v>0</v>
      </c>
      <c r="E1450" t="e">
        <f>OR(ISBLANK(Charms!I1450),(VLOOKUP(Values!$S$6,Castes!$B$2:$F$25,4,0)=Charms!I1450))</f>
        <v>#N/A</v>
      </c>
      <c r="J1450" t="e">
        <f t="shared" ca="1" si="111"/>
        <v>#N/A</v>
      </c>
      <c r="K1450" s="18" t="e">
        <f t="shared" ca="1" si="110"/>
        <v>#N/A</v>
      </c>
      <c r="L1450" t="e">
        <f ca="1">IF(J1450,Charms!B1450,"")</f>
        <v>#N/A</v>
      </c>
      <c r="M1450" t="str">
        <f t="shared" ca="1" si="112"/>
        <v>-</v>
      </c>
      <c r="N1450" s="18" t="str">
        <f t="shared" si="113"/>
        <v>K1444:L1484</v>
      </c>
      <c r="O1450" t="str">
        <f t="shared" si="114"/>
        <v>A1444:A1450</v>
      </c>
    </row>
    <row r="1451" spans="1:15">
      <c r="A1451" s="18" t="str">
        <f>Charms!K1451</f>
        <v>Stealth</v>
      </c>
      <c r="B1451" t="str">
        <f>Charms!B1451</f>
        <v>Mental Invisibility Technique</v>
      </c>
      <c r="C1451" t="b">
        <f ca="1">OR(Values!$S$98&gt;=Charms!M1451,IFERROR(Charms!J1451=OFFSET(Values!$A$24,MATCH("S",Values!$T$25:$T$50,0),0),FALSE))</f>
        <v>0</v>
      </c>
      <c r="D1451" t="b">
        <f>VLOOKUP(Charms!J1451,Values!$A$11:$S$59,19,0)&gt;=Charms!L1451</f>
        <v>0</v>
      </c>
      <c r="E1451" t="e">
        <f>OR(ISBLANK(Charms!I1451),(VLOOKUP(Values!$S$6,Castes!$B$2:$F$25,4,0)=Charms!I1451))</f>
        <v>#N/A</v>
      </c>
      <c r="J1451" t="e">
        <f t="shared" ca="1" si="111"/>
        <v>#N/A</v>
      </c>
      <c r="K1451" s="18" t="e">
        <f t="shared" ca="1" si="110"/>
        <v>#N/A</v>
      </c>
      <c r="L1451" t="e">
        <f ca="1">IF(J1451,Charms!B1451,"")</f>
        <v>#N/A</v>
      </c>
      <c r="M1451" t="str">
        <f t="shared" ca="1" si="112"/>
        <v>-</v>
      </c>
      <c r="N1451" s="18" t="str">
        <f t="shared" si="113"/>
        <v>K1444:L1484</v>
      </c>
      <c r="O1451" t="str">
        <f t="shared" si="114"/>
        <v>A1444:A1451</v>
      </c>
    </row>
    <row r="1452" spans="1:15">
      <c r="A1452" s="18" t="str">
        <f>Charms!K1452</f>
        <v>Stealth</v>
      </c>
      <c r="B1452" t="str">
        <f>Charms!B1452</f>
        <v>Shadow Victor's Repose</v>
      </c>
      <c r="C1452" t="b">
        <f ca="1">OR(Values!$S$98&gt;=Charms!M1452,IFERROR(Charms!J1452=OFFSET(Values!$A$24,MATCH("S",Values!$T$25:$T$50,0),0),FALSE))</f>
        <v>0</v>
      </c>
      <c r="D1452" t="b">
        <f>VLOOKUP(Charms!J1452,Values!$A$11:$S$59,19,0)&gt;=Charms!L1452</f>
        <v>0</v>
      </c>
      <c r="E1452" t="e">
        <f>OR(ISBLANK(Charms!I1452),(VLOOKUP(Values!$S$6,Castes!$B$2:$F$25,4,0)=Charms!I1452))</f>
        <v>#N/A</v>
      </c>
      <c r="J1452" t="e">
        <f t="shared" ca="1" si="111"/>
        <v>#N/A</v>
      </c>
      <c r="K1452" s="18" t="e">
        <f t="shared" ca="1" si="110"/>
        <v>#N/A</v>
      </c>
      <c r="L1452" t="e">
        <f ca="1">IF(J1452,Charms!B1452,"")</f>
        <v>#N/A</v>
      </c>
      <c r="M1452" t="str">
        <f t="shared" ca="1" si="112"/>
        <v>-</v>
      </c>
      <c r="N1452" s="18" t="str">
        <f t="shared" si="113"/>
        <v>K1444:L1484</v>
      </c>
      <c r="O1452" t="str">
        <f t="shared" si="114"/>
        <v>A1444:A1452</v>
      </c>
    </row>
    <row r="1453" spans="1:15">
      <c r="A1453" s="18" t="str">
        <f>Charms!K1453</f>
        <v>Stealth</v>
      </c>
      <c r="B1453" t="str">
        <f>Charms!B1453</f>
        <v>Dark Sentinel's Way</v>
      </c>
      <c r="C1453" t="b">
        <f ca="1">OR(Values!$S$98&gt;=Charms!M1453,IFERROR(Charms!J1453=OFFSET(Values!$A$24,MATCH("S",Values!$T$25:$T$50,0),0),FALSE))</f>
        <v>0</v>
      </c>
      <c r="D1453" t="b">
        <f>VLOOKUP(Charms!J1453,Values!$A$11:$S$59,19,0)&gt;=Charms!L1453</f>
        <v>0</v>
      </c>
      <c r="E1453" t="e">
        <f>OR(ISBLANK(Charms!I1453),(VLOOKUP(Values!$S$6,Castes!$B$2:$F$25,4,0)=Charms!I1453))</f>
        <v>#N/A</v>
      </c>
      <c r="J1453" t="e">
        <f t="shared" ca="1" si="111"/>
        <v>#N/A</v>
      </c>
      <c r="K1453" s="18" t="e">
        <f t="shared" ca="1" si="110"/>
        <v>#N/A</v>
      </c>
      <c r="L1453" t="e">
        <f ca="1">IF(J1453,Charms!B1453,"")</f>
        <v>#N/A</v>
      </c>
      <c r="M1453" t="str">
        <f t="shared" ca="1" si="112"/>
        <v>-</v>
      </c>
      <c r="N1453" s="18" t="str">
        <f t="shared" si="113"/>
        <v>K1444:L1484</v>
      </c>
      <c r="O1453" t="str">
        <f t="shared" si="114"/>
        <v>A1444:A1453</v>
      </c>
    </row>
    <row r="1454" spans="1:15">
      <c r="A1454" s="18" t="str">
        <f>Charms!K1454</f>
        <v>Stealth</v>
      </c>
      <c r="B1454" t="str">
        <f>Charms!B1454</f>
        <v>Stalking Shadow Spirit</v>
      </c>
      <c r="C1454" t="b">
        <f ca="1">OR(Values!$S$98&gt;=Charms!M1454,IFERROR(Charms!J1454=OFFSET(Values!$A$24,MATCH("S",Values!$T$25:$T$50,0),0),FALSE))</f>
        <v>1</v>
      </c>
      <c r="D1454" t="b">
        <f>VLOOKUP(Charms!J1454,Values!$A$11:$S$59,19,0)&gt;=Charms!L1454</f>
        <v>0</v>
      </c>
      <c r="E1454" t="e">
        <f>OR(ISBLANK(Charms!I1454),(VLOOKUP(Values!$S$6,Castes!$B$2:$F$25,4,0)=Charms!I1454))</f>
        <v>#N/A</v>
      </c>
      <c r="J1454" t="e">
        <f t="shared" ca="1" si="111"/>
        <v>#N/A</v>
      </c>
      <c r="K1454" s="18" t="e">
        <f t="shared" ca="1" si="110"/>
        <v>#N/A</v>
      </c>
      <c r="L1454" t="e">
        <f ca="1">IF(J1454,Charms!B1454,"")</f>
        <v>#N/A</v>
      </c>
      <c r="M1454" t="str">
        <f t="shared" ca="1" si="112"/>
        <v>-</v>
      </c>
      <c r="N1454" s="18" t="str">
        <f t="shared" si="113"/>
        <v>K1444:L1484</v>
      </c>
      <c r="O1454" t="str">
        <f t="shared" si="114"/>
        <v>A1444:A1454</v>
      </c>
    </row>
    <row r="1455" spans="1:15">
      <c r="A1455" s="18" t="str">
        <f>Charms!K1455</f>
        <v>Stealth</v>
      </c>
      <c r="B1455" t="str">
        <f>Charms!B1455</f>
        <v>Flash-Eyed Killer's Insight</v>
      </c>
      <c r="C1455" t="b">
        <f ca="1">OR(Values!$S$98&gt;=Charms!M1455,IFERROR(Charms!J1455=OFFSET(Values!$A$24,MATCH("S",Values!$T$25:$T$50,0),0),FALSE))</f>
        <v>0</v>
      </c>
      <c r="D1455" t="b">
        <f>VLOOKUP(Charms!J1455,Values!$A$11:$S$59,19,0)&gt;=Charms!L1455</f>
        <v>0</v>
      </c>
      <c r="E1455" t="e">
        <f>OR(ISBLANK(Charms!I1455),(VLOOKUP(Values!$S$6,Castes!$B$2:$F$25,4,0)=Charms!I1455))</f>
        <v>#N/A</v>
      </c>
      <c r="J1455" t="e">
        <f t="shared" ca="1" si="111"/>
        <v>#N/A</v>
      </c>
      <c r="K1455" s="18" t="e">
        <f t="shared" ca="1" si="110"/>
        <v>#N/A</v>
      </c>
      <c r="L1455" t="e">
        <f ca="1">IF(J1455,Charms!B1455,"")</f>
        <v>#N/A</v>
      </c>
      <c r="M1455" t="str">
        <f t="shared" ca="1" si="112"/>
        <v>-</v>
      </c>
      <c r="N1455" s="18" t="str">
        <f t="shared" si="113"/>
        <v>K1444:L1484</v>
      </c>
      <c r="O1455" t="str">
        <f t="shared" si="114"/>
        <v>A1444:A1455</v>
      </c>
    </row>
    <row r="1456" spans="1:15">
      <c r="A1456" s="18" t="str">
        <f>Charms!K1456</f>
        <v>Stealth</v>
      </c>
      <c r="B1456" t="str">
        <f>Charms!B1456</f>
        <v>Hidden Snake Recoil</v>
      </c>
      <c r="C1456" t="b">
        <f ca="1">OR(Values!$S$98&gt;=Charms!M1456,IFERROR(Charms!J1456=OFFSET(Values!$A$24,MATCH("S",Values!$T$25:$T$50,0),0),FALSE))</f>
        <v>0</v>
      </c>
      <c r="D1456" t="b">
        <f>VLOOKUP(Charms!J1456,Values!$A$11:$S$59,19,0)&gt;=Charms!L1456</f>
        <v>0</v>
      </c>
      <c r="E1456" t="e">
        <f>OR(ISBLANK(Charms!I1456),(VLOOKUP(Values!$S$6,Castes!$B$2:$F$25,4,0)=Charms!I1456))</f>
        <v>#N/A</v>
      </c>
      <c r="J1456" t="e">
        <f t="shared" ca="1" si="111"/>
        <v>#N/A</v>
      </c>
      <c r="K1456" s="18" t="e">
        <f t="shared" ca="1" si="110"/>
        <v>#N/A</v>
      </c>
      <c r="L1456" t="e">
        <f ca="1">IF(J1456,Charms!B1456,"")</f>
        <v>#N/A</v>
      </c>
      <c r="M1456" t="str">
        <f t="shared" ca="1" si="112"/>
        <v>-</v>
      </c>
      <c r="N1456" s="18" t="str">
        <f t="shared" si="113"/>
        <v>K1444:L1484</v>
      </c>
      <c r="O1456" t="str">
        <f t="shared" si="114"/>
        <v>A1444:A1456</v>
      </c>
    </row>
    <row r="1457" spans="1:15">
      <c r="A1457" s="18" t="str">
        <f>Charms!K1457</f>
        <v>Stealth</v>
      </c>
      <c r="B1457" t="str">
        <f>Charms!B1457</f>
        <v>Smoke and Shadow Cover</v>
      </c>
      <c r="C1457" t="b">
        <f ca="1">OR(Values!$S$98&gt;=Charms!M1457,IFERROR(Charms!J1457=OFFSET(Values!$A$24,MATCH("S",Values!$T$25:$T$50,0),0),FALSE))</f>
        <v>0</v>
      </c>
      <c r="D1457" t="b">
        <f>VLOOKUP(Charms!J1457,Values!$A$11:$S$59,19,0)&gt;=Charms!L1457</f>
        <v>0</v>
      </c>
      <c r="E1457" t="e">
        <f>OR(ISBLANK(Charms!I1457),(VLOOKUP(Values!$S$6,Castes!$B$2:$F$25,4,0)=Charms!I1457))</f>
        <v>#N/A</v>
      </c>
      <c r="J1457" t="e">
        <f t="shared" ca="1" si="111"/>
        <v>#N/A</v>
      </c>
      <c r="K1457" s="18" t="e">
        <f t="shared" ca="1" si="110"/>
        <v>#N/A</v>
      </c>
      <c r="L1457" t="e">
        <f ca="1">IF(J1457,Charms!B1457,"")</f>
        <v>#N/A</v>
      </c>
      <c r="M1457" t="str">
        <f t="shared" ca="1" si="112"/>
        <v>-</v>
      </c>
      <c r="N1457" s="18" t="str">
        <f t="shared" si="113"/>
        <v>K1444:L1484</v>
      </c>
      <c r="O1457" t="str">
        <f t="shared" si="114"/>
        <v>A1444:A1457</v>
      </c>
    </row>
    <row r="1458" spans="1:15">
      <c r="A1458" s="18" t="str">
        <f>Charms!K1458</f>
        <v>Stealth</v>
      </c>
      <c r="B1458" t="str">
        <f>Charms!B1458</f>
        <v>Sun Swallowing Practice</v>
      </c>
      <c r="C1458" t="b">
        <f ca="1">OR(Values!$S$98&gt;=Charms!M1458,IFERROR(Charms!J1458=OFFSET(Values!$A$24,MATCH("S",Values!$T$25:$T$50,0),0),FALSE))</f>
        <v>0</v>
      </c>
      <c r="D1458" t="b">
        <f>VLOOKUP(Charms!J1458,Values!$A$11:$S$59,19,0)&gt;=Charms!L1458</f>
        <v>0</v>
      </c>
      <c r="E1458" t="e">
        <f>OR(ISBLANK(Charms!I1458),(VLOOKUP(Values!$S$6,Castes!$B$2:$F$25,4,0)=Charms!I1458))</f>
        <v>#N/A</v>
      </c>
      <c r="J1458" t="e">
        <f t="shared" ca="1" si="111"/>
        <v>#N/A</v>
      </c>
      <c r="K1458" s="18" t="e">
        <f t="shared" ca="1" si="110"/>
        <v>#N/A</v>
      </c>
      <c r="L1458" t="e">
        <f ca="1">IF(J1458,Charms!B1458,"")</f>
        <v>#N/A</v>
      </c>
      <c r="M1458" t="str">
        <f t="shared" ca="1" si="112"/>
        <v>-</v>
      </c>
      <c r="N1458" s="18" t="str">
        <f t="shared" si="113"/>
        <v>K1444:L1484</v>
      </c>
      <c r="O1458" t="str">
        <f t="shared" si="114"/>
        <v>A1444:A1458</v>
      </c>
    </row>
    <row r="1459" spans="1:15">
      <c r="A1459" s="18" t="str">
        <f>Charms!K1459</f>
        <v>Stealth</v>
      </c>
      <c r="B1459" t="str">
        <f>Charms!B1459</f>
        <v>Vanishing From Mind's Eye Method</v>
      </c>
      <c r="C1459" t="b">
        <f ca="1">OR(Values!$S$98&gt;=Charms!M1459,IFERROR(Charms!J1459=OFFSET(Values!$A$24,MATCH("S",Values!$T$25:$T$50,0),0),FALSE))</f>
        <v>0</v>
      </c>
      <c r="D1459" t="b">
        <f>VLOOKUP(Charms!J1459,Values!$A$11:$S$59,19,0)&gt;=Charms!L1459</f>
        <v>0</v>
      </c>
      <c r="E1459" t="e">
        <f>OR(ISBLANK(Charms!I1459),(VLOOKUP(Values!$S$6,Castes!$B$2:$F$25,4,0)=Charms!I1459))</f>
        <v>#N/A</v>
      </c>
      <c r="J1459" t="e">
        <f t="shared" ca="1" si="111"/>
        <v>#N/A</v>
      </c>
      <c r="K1459" s="18" t="e">
        <f t="shared" ca="1" si="110"/>
        <v>#N/A</v>
      </c>
      <c r="L1459" t="e">
        <f ca="1">IF(J1459,Charms!B1459,"")</f>
        <v>#N/A</v>
      </c>
      <c r="M1459" t="str">
        <f t="shared" ca="1" si="112"/>
        <v>-</v>
      </c>
      <c r="N1459" s="18" t="str">
        <f t="shared" si="113"/>
        <v>K1444:L1484</v>
      </c>
      <c r="O1459" t="str">
        <f t="shared" si="114"/>
        <v>A1444:A1459</v>
      </c>
    </row>
    <row r="1460" spans="1:15">
      <c r="A1460" s="18" t="str">
        <f>Charms!K1460</f>
        <v>Stealth</v>
      </c>
      <c r="B1460" t="str">
        <f>Charms!B1460</f>
        <v>Sound and Scent Banishing Attitude</v>
      </c>
      <c r="C1460" t="b">
        <f ca="1">OR(Values!$S$98&gt;=Charms!M1460,IFERROR(Charms!J1460=OFFSET(Values!$A$24,MATCH("S",Values!$T$25:$T$50,0),0),FALSE))</f>
        <v>0</v>
      </c>
      <c r="D1460" t="b">
        <f>VLOOKUP(Charms!J1460,Values!$A$11:$S$59,19,0)&gt;=Charms!L1460</f>
        <v>0</v>
      </c>
      <c r="E1460" t="e">
        <f>OR(ISBLANK(Charms!I1460),(VLOOKUP(Values!$S$6,Castes!$B$2:$F$25,4,0)=Charms!I1460))</f>
        <v>#N/A</v>
      </c>
      <c r="J1460" t="e">
        <f t="shared" ca="1" si="111"/>
        <v>#N/A</v>
      </c>
      <c r="K1460" s="18" t="e">
        <f t="shared" ca="1" si="110"/>
        <v>#N/A</v>
      </c>
      <c r="L1460" t="e">
        <f ca="1">IF(J1460,Charms!B1460,"")</f>
        <v>#N/A</v>
      </c>
      <c r="M1460" t="str">
        <f t="shared" ca="1" si="112"/>
        <v>-</v>
      </c>
      <c r="N1460" s="18" t="str">
        <f t="shared" si="113"/>
        <v>K1444:L1484</v>
      </c>
      <c r="O1460" t="str">
        <f t="shared" si="114"/>
        <v>A1444:A1460</v>
      </c>
    </row>
    <row r="1461" spans="1:15">
      <c r="A1461" s="18" t="str">
        <f>Charms!K1461</f>
        <v>Stealth</v>
      </c>
      <c r="B1461" t="str">
        <f>Charms!B1461</f>
        <v>Ten Whispers Silence Meditation</v>
      </c>
      <c r="C1461" t="b">
        <f ca="1">OR(Values!$S$98&gt;=Charms!M1461,IFERROR(Charms!J1461=OFFSET(Values!$A$24,MATCH("S",Values!$T$25:$T$50,0),0),FALSE))</f>
        <v>0</v>
      </c>
      <c r="D1461" t="b">
        <f>VLOOKUP(Charms!J1461,Values!$A$11:$S$59,19,0)&gt;=Charms!L1461</f>
        <v>0</v>
      </c>
      <c r="E1461" t="e">
        <f>OR(ISBLANK(Charms!I1461),(VLOOKUP(Values!$S$6,Castes!$B$2:$F$25,4,0)=Charms!I1461))</f>
        <v>#N/A</v>
      </c>
      <c r="J1461" t="e">
        <f t="shared" ca="1" si="111"/>
        <v>#N/A</v>
      </c>
      <c r="K1461" s="18" t="e">
        <f t="shared" ca="1" si="110"/>
        <v>#N/A</v>
      </c>
      <c r="L1461" t="e">
        <f ca="1">IF(J1461,Charms!B1461,"")</f>
        <v>#N/A</v>
      </c>
      <c r="M1461" t="str">
        <f t="shared" ca="1" si="112"/>
        <v>-</v>
      </c>
      <c r="N1461" s="18" t="str">
        <f t="shared" si="113"/>
        <v>K1444:L1484</v>
      </c>
      <c r="O1461" t="str">
        <f t="shared" si="114"/>
        <v>A1444:A1461</v>
      </c>
    </row>
    <row r="1462" spans="1:15">
      <c r="A1462" s="18" t="str">
        <f>Charms!K1462</f>
        <v>Stealth</v>
      </c>
      <c r="B1462" t="str">
        <f>Charms!B1462</f>
        <v>Mind Shroud Meditation</v>
      </c>
      <c r="C1462" t="b">
        <f ca="1">OR(Values!$S$98&gt;=Charms!M1462,IFERROR(Charms!J1462=OFFSET(Values!$A$24,MATCH("S",Values!$T$25:$T$50,0),0),FALSE))</f>
        <v>0</v>
      </c>
      <c r="D1462" t="b">
        <f>VLOOKUP(Charms!J1462,Values!$A$11:$S$59,19,0)&gt;=Charms!L1462</f>
        <v>0</v>
      </c>
      <c r="E1462" t="e">
        <f>OR(ISBLANK(Charms!I1462),(VLOOKUP(Values!$S$6,Castes!$B$2:$F$25,4,0)=Charms!I1462))</f>
        <v>#N/A</v>
      </c>
      <c r="J1462" t="e">
        <f t="shared" ca="1" si="111"/>
        <v>#N/A</v>
      </c>
      <c r="K1462" s="18" t="e">
        <f t="shared" ca="1" si="110"/>
        <v>#N/A</v>
      </c>
      <c r="L1462" t="e">
        <f ca="1">IF(J1462,Charms!B1462,"")</f>
        <v>#N/A</v>
      </c>
      <c r="M1462" t="str">
        <f t="shared" ca="1" si="112"/>
        <v>-</v>
      </c>
      <c r="N1462" s="18" t="str">
        <f t="shared" si="113"/>
        <v>K1444:L1484</v>
      </c>
      <c r="O1462" t="str">
        <f t="shared" si="114"/>
        <v>A1444:A1462</v>
      </c>
    </row>
    <row r="1463" spans="1:15">
      <c r="A1463" s="18" t="str">
        <f>Charms!K1463</f>
        <v>Stealth</v>
      </c>
      <c r="B1463" t="str">
        <f>Charms!B1463</f>
        <v>Shadow Replacement Technique</v>
      </c>
      <c r="C1463" t="b">
        <f ca="1">OR(Values!$S$98&gt;=Charms!M1463,IFERROR(Charms!J1463=OFFSET(Values!$A$24,MATCH("S",Values!$T$25:$T$50,0),0),FALSE))</f>
        <v>0</v>
      </c>
      <c r="D1463" t="b">
        <f>VLOOKUP(Charms!J1463,Values!$A$11:$S$59,19,0)&gt;=Charms!L1463</f>
        <v>0</v>
      </c>
      <c r="E1463" t="e">
        <f>OR(ISBLANK(Charms!I1463),(VLOOKUP(Values!$S$6,Castes!$B$2:$F$25,4,0)=Charms!I1463))</f>
        <v>#N/A</v>
      </c>
      <c r="J1463" t="e">
        <f t="shared" ca="1" si="111"/>
        <v>#N/A</v>
      </c>
      <c r="K1463" s="18" t="e">
        <f t="shared" ca="1" si="110"/>
        <v>#N/A</v>
      </c>
      <c r="L1463" t="e">
        <f ca="1">IF(J1463,Charms!B1463,"")</f>
        <v>#N/A</v>
      </c>
      <c r="M1463" t="str">
        <f t="shared" ca="1" si="112"/>
        <v>-</v>
      </c>
      <c r="N1463" s="18" t="str">
        <f t="shared" si="113"/>
        <v>K1444:L1484</v>
      </c>
      <c r="O1463" t="str">
        <f t="shared" si="114"/>
        <v>A1444:A1463</v>
      </c>
    </row>
    <row r="1464" spans="1:15">
      <c r="A1464" s="18" t="str">
        <f>Charms!K1464</f>
        <v>Stealth</v>
      </c>
      <c r="B1464" t="str">
        <f>Charms!B1464</f>
        <v>Shadow-Crossing Leap Technique</v>
      </c>
      <c r="C1464" t="b">
        <f ca="1">OR(Values!$S$98&gt;=Charms!M1464,IFERROR(Charms!J1464=OFFSET(Values!$A$24,MATCH("S",Values!$T$25:$T$50,0),0),FALSE))</f>
        <v>0</v>
      </c>
      <c r="D1464" t="b">
        <f>VLOOKUP(Charms!J1464,Values!$A$11:$S$59,19,0)&gt;=Charms!L1464</f>
        <v>0</v>
      </c>
      <c r="E1464" t="e">
        <f>OR(ISBLANK(Charms!I1464),(VLOOKUP(Values!$S$6,Castes!$B$2:$F$25,4,0)=Charms!I1464))</f>
        <v>#N/A</v>
      </c>
      <c r="J1464" t="e">
        <f t="shared" ca="1" si="111"/>
        <v>#N/A</v>
      </c>
      <c r="K1464" s="18" t="e">
        <f t="shared" ca="1" si="110"/>
        <v>#N/A</v>
      </c>
      <c r="L1464" t="e">
        <f ca="1">IF(J1464,Charms!B1464,"")</f>
        <v>#N/A</v>
      </c>
      <c r="M1464" t="str">
        <f t="shared" ca="1" si="112"/>
        <v>-</v>
      </c>
      <c r="N1464" s="18" t="str">
        <f t="shared" si="113"/>
        <v>K1444:L1484</v>
      </c>
      <c r="O1464" t="str">
        <f t="shared" si="114"/>
        <v>A1444:A1464</v>
      </c>
    </row>
    <row r="1465" spans="1:15">
      <c r="A1465" s="18" t="str">
        <f>Charms!K1465</f>
        <v>Stealth</v>
      </c>
      <c r="B1465" t="str">
        <f>Charms!B1465</f>
        <v>Fivefold Shadow Burial</v>
      </c>
      <c r="C1465" t="b">
        <f ca="1">OR(Values!$S$98&gt;=Charms!M1465,IFERROR(Charms!J1465=OFFSET(Values!$A$24,MATCH("S",Values!$T$25:$T$50,0),0),FALSE))</f>
        <v>0</v>
      </c>
      <c r="D1465" t="b">
        <f>VLOOKUP(Charms!J1465,Values!$A$11:$S$59,19,0)&gt;=Charms!L1465</f>
        <v>0</v>
      </c>
      <c r="E1465" t="e">
        <f>OR(ISBLANK(Charms!I1465),(VLOOKUP(Values!$S$6,Castes!$B$2:$F$25,4,0)=Charms!I1465))</f>
        <v>#N/A</v>
      </c>
      <c r="J1465" t="e">
        <f t="shared" ca="1" si="111"/>
        <v>#N/A</v>
      </c>
      <c r="K1465" s="18" t="e">
        <f t="shared" ca="1" si="110"/>
        <v>#N/A</v>
      </c>
      <c r="L1465" t="e">
        <f ca="1">IF(J1465,Charms!B1465,"")</f>
        <v>#N/A</v>
      </c>
      <c r="M1465" t="str">
        <f t="shared" ca="1" si="112"/>
        <v>-</v>
      </c>
      <c r="N1465" s="18" t="str">
        <f t="shared" si="113"/>
        <v>K1444:L1484</v>
      </c>
      <c r="O1465" t="str">
        <f t="shared" si="114"/>
        <v>A1444:A1465</v>
      </c>
    </row>
    <row r="1466" spans="1:15">
      <c r="A1466" s="18" t="str">
        <f>Charms!K1466</f>
        <v>Stealth</v>
      </c>
      <c r="B1466" t="str">
        <f>Charms!B1466</f>
        <v>False Image Feint</v>
      </c>
      <c r="C1466" t="b">
        <f ca="1">OR(Values!$S$98&gt;=Charms!M1466,IFERROR(Charms!J1466=OFFSET(Values!$A$24,MATCH("S",Values!$T$25:$T$50,0),0),FALSE))</f>
        <v>0</v>
      </c>
      <c r="D1466" t="b">
        <f>VLOOKUP(Charms!J1466,Values!$A$11:$S$59,19,0)&gt;=Charms!L1466</f>
        <v>0</v>
      </c>
      <c r="E1466" t="e">
        <f>OR(ISBLANK(Charms!I1466),(VLOOKUP(Values!$S$6,Castes!$B$2:$F$25,4,0)=Charms!I1466))</f>
        <v>#N/A</v>
      </c>
      <c r="J1466" t="e">
        <f t="shared" ca="1" si="111"/>
        <v>#N/A</v>
      </c>
      <c r="K1466" s="18" t="e">
        <f t="shared" ca="1" si="110"/>
        <v>#N/A</v>
      </c>
      <c r="L1466" t="e">
        <f ca="1">IF(J1466,Charms!B1466,"")</f>
        <v>#N/A</v>
      </c>
      <c r="M1466" t="str">
        <f t="shared" ca="1" si="112"/>
        <v>-</v>
      </c>
      <c r="N1466" s="18" t="str">
        <f t="shared" si="113"/>
        <v>K1444:L1484</v>
      </c>
      <c r="O1466" t="str">
        <f t="shared" si="114"/>
        <v>A1444:A1466</v>
      </c>
    </row>
    <row r="1467" spans="1:15">
      <c r="A1467" s="18" t="str">
        <f>Charms!K1467</f>
        <v>Stealth</v>
      </c>
      <c r="B1467" t="str">
        <f>Charms!B1467</f>
        <v>Flashing Nocturne Prana</v>
      </c>
      <c r="C1467" t="b">
        <f ca="1">OR(Values!$S$98&gt;=Charms!M1467,IFERROR(Charms!J1467=OFFSET(Values!$A$24,MATCH("S",Values!$T$25:$T$50,0),0),FALSE))</f>
        <v>0</v>
      </c>
      <c r="D1467" t="b">
        <f>VLOOKUP(Charms!J1467,Values!$A$11:$S$59,19,0)&gt;=Charms!L1467</f>
        <v>0</v>
      </c>
      <c r="E1467" t="e">
        <f>OR(ISBLANK(Charms!I1467),(VLOOKUP(Values!$S$6,Castes!$B$2:$F$25,4,0)=Charms!I1467))</f>
        <v>#N/A</v>
      </c>
      <c r="J1467" t="e">
        <f t="shared" ca="1" si="111"/>
        <v>#N/A</v>
      </c>
      <c r="K1467" s="18" t="e">
        <f t="shared" ca="1" si="110"/>
        <v>#N/A</v>
      </c>
      <c r="L1467" t="e">
        <f ca="1">IF(J1467,Charms!B1467,"")</f>
        <v>#N/A</v>
      </c>
      <c r="M1467" t="str">
        <f t="shared" ca="1" si="112"/>
        <v>-</v>
      </c>
      <c r="N1467" s="18" t="str">
        <f t="shared" si="113"/>
        <v>K1444:L1484</v>
      </c>
      <c r="O1467" t="str">
        <f t="shared" si="114"/>
        <v>A1444:A1467</v>
      </c>
    </row>
    <row r="1468" spans="1:15">
      <c r="A1468" s="18" t="str">
        <f>Charms!K1468</f>
        <v>Stealth</v>
      </c>
      <c r="B1468" t="str">
        <f>Charms!B1468</f>
        <v>Killing Shroud Technique</v>
      </c>
      <c r="C1468" t="b">
        <f ca="1">OR(Values!$S$98&gt;=Charms!M1468,IFERROR(Charms!J1468=OFFSET(Values!$A$24,MATCH("S",Values!$T$25:$T$50,0),0),FALSE))</f>
        <v>0</v>
      </c>
      <c r="D1468" t="b">
        <f>VLOOKUP(Charms!J1468,Values!$A$11:$S$59,19,0)&gt;=Charms!L1468</f>
        <v>0</v>
      </c>
      <c r="E1468" t="e">
        <f>OR(ISBLANK(Charms!I1468),(VLOOKUP(Values!$S$6,Castes!$B$2:$F$25,4,0)=Charms!I1468))</f>
        <v>#N/A</v>
      </c>
      <c r="J1468" t="e">
        <f t="shared" ca="1" si="111"/>
        <v>#N/A</v>
      </c>
      <c r="K1468" s="18" t="e">
        <f t="shared" ca="1" si="110"/>
        <v>#N/A</v>
      </c>
      <c r="L1468" t="e">
        <f ca="1">IF(J1468,Charms!B1468,"")</f>
        <v>#N/A</v>
      </c>
      <c r="M1468" t="str">
        <f t="shared" ca="1" si="112"/>
        <v>-</v>
      </c>
      <c r="N1468" s="18" t="str">
        <f t="shared" si="113"/>
        <v>K1444:L1484</v>
      </c>
      <c r="O1468" t="str">
        <f t="shared" si="114"/>
        <v>A1444:A1468</v>
      </c>
    </row>
    <row r="1469" spans="1:15">
      <c r="A1469" s="18" t="str">
        <f>Charms!K1469</f>
        <v>Stealth</v>
      </c>
      <c r="B1469" t="str">
        <f>Charms!B1469</f>
        <v>Shadow-Striking Way</v>
      </c>
      <c r="C1469" t="b">
        <f ca="1">OR(Values!$S$98&gt;=Charms!M1469,IFERROR(Charms!J1469=OFFSET(Values!$A$24,MATCH("S",Values!$T$25:$T$50,0),0),FALSE))</f>
        <v>0</v>
      </c>
      <c r="D1469" t="b">
        <f>VLOOKUP(Charms!J1469,Values!$A$11:$S$59,19,0)&gt;=Charms!L1469</f>
        <v>0</v>
      </c>
      <c r="E1469" t="e">
        <f>OR(ISBLANK(Charms!I1469),(VLOOKUP(Values!$S$6,Castes!$B$2:$F$25,4,0)=Charms!I1469))</f>
        <v>#N/A</v>
      </c>
      <c r="J1469" t="e">
        <f t="shared" ca="1" si="111"/>
        <v>#N/A</v>
      </c>
      <c r="K1469" s="18" t="e">
        <f t="shared" ca="1" si="110"/>
        <v>#N/A</v>
      </c>
      <c r="L1469" t="e">
        <f ca="1">IF(J1469,Charms!B1469,"")</f>
        <v>#N/A</v>
      </c>
      <c r="M1469" t="str">
        <f t="shared" ca="1" si="112"/>
        <v>-</v>
      </c>
      <c r="N1469" s="18" t="str">
        <f t="shared" si="113"/>
        <v>K1444:L1484</v>
      </c>
      <c r="O1469" t="str">
        <f t="shared" si="114"/>
        <v>A1444:A1469</v>
      </c>
    </row>
    <row r="1470" spans="1:15">
      <c r="A1470" s="18" t="str">
        <f>Charms!K1470</f>
        <v>Stealth</v>
      </c>
      <c r="B1470" t="str">
        <f>Charms!B1470</f>
        <v>Distracting Breeze Meditation</v>
      </c>
      <c r="C1470" t="b">
        <f ca="1">OR(Values!$S$98&gt;=Charms!M1470,IFERROR(Charms!J1470=OFFSET(Values!$A$24,MATCH("S",Values!$T$25:$T$50,0),0),FALSE))</f>
        <v>1</v>
      </c>
      <c r="D1470" t="b">
        <f>VLOOKUP(Charms!J1470,Values!$A$11:$S$59,19,0)&gt;=Charms!L1470</f>
        <v>0</v>
      </c>
      <c r="E1470" t="e">
        <f>OR(ISBLANK(Charms!I1470),(VLOOKUP(Values!$S$6,Castes!$B$2:$F$25,4,0)=Charms!I1470))</f>
        <v>#N/A</v>
      </c>
      <c r="J1470" t="e">
        <f t="shared" ca="1" si="111"/>
        <v>#N/A</v>
      </c>
      <c r="K1470" s="18" t="e">
        <f t="shared" ca="1" si="110"/>
        <v>#N/A</v>
      </c>
      <c r="L1470" t="e">
        <f ca="1">IF(J1470,Charms!B1470,"")</f>
        <v>#N/A</v>
      </c>
      <c r="M1470" t="str">
        <f t="shared" ca="1" si="112"/>
        <v>-</v>
      </c>
      <c r="N1470" s="18" t="str">
        <f t="shared" si="113"/>
        <v>K1444:L1484</v>
      </c>
      <c r="O1470" t="str">
        <f t="shared" si="114"/>
        <v>A1444:A1470</v>
      </c>
    </row>
    <row r="1471" spans="1:15">
      <c r="A1471" s="18" t="str">
        <f>Charms!K1471</f>
        <v>Stealth</v>
      </c>
      <c r="B1471" t="str">
        <f>Charms!B1471</f>
        <v>Soundless Action Prana</v>
      </c>
      <c r="C1471" t="b">
        <f ca="1">OR(Values!$S$98&gt;=Charms!M1471,IFERROR(Charms!J1471=OFFSET(Values!$A$24,MATCH("S",Values!$T$25:$T$50,0),0),FALSE))</f>
        <v>0</v>
      </c>
      <c r="D1471" t="b">
        <f>VLOOKUP(Charms!J1471,Values!$A$11:$S$59,19,0)&gt;=Charms!L1471</f>
        <v>0</v>
      </c>
      <c r="E1471" t="e">
        <f>OR(ISBLANK(Charms!I1471),(VLOOKUP(Values!$S$6,Castes!$B$2:$F$25,4,0)=Charms!I1471))</f>
        <v>#N/A</v>
      </c>
      <c r="J1471" t="e">
        <f t="shared" ca="1" si="111"/>
        <v>#N/A</v>
      </c>
      <c r="K1471" s="18" t="e">
        <f t="shared" ca="1" si="110"/>
        <v>#N/A</v>
      </c>
      <c r="L1471" t="e">
        <f ca="1">IF(J1471,Charms!B1471,"")</f>
        <v>#N/A</v>
      </c>
      <c r="M1471" t="str">
        <f t="shared" ca="1" si="112"/>
        <v>-</v>
      </c>
      <c r="N1471" s="18" t="str">
        <f t="shared" si="113"/>
        <v>K1444:L1484</v>
      </c>
      <c r="O1471" t="str">
        <f t="shared" si="114"/>
        <v>A1444:A1471</v>
      </c>
    </row>
    <row r="1472" spans="1:15">
      <c r="A1472" s="18" t="str">
        <f>Charms!K1472</f>
        <v>Stealth</v>
      </c>
      <c r="B1472" t="str">
        <f>Charms!B1472</f>
        <v>Vanishing Wind-Body Technique</v>
      </c>
      <c r="C1472" t="b">
        <f ca="1">OR(Values!$S$98&gt;=Charms!M1472,IFERROR(Charms!J1472=OFFSET(Values!$A$24,MATCH("S",Values!$T$25:$T$50,0),0),FALSE))</f>
        <v>1</v>
      </c>
      <c r="D1472" t="b">
        <f>VLOOKUP(Charms!J1472,Values!$A$11:$S$59,19,0)&gt;=Charms!L1472</f>
        <v>0</v>
      </c>
      <c r="E1472" t="e">
        <f>OR(ISBLANK(Charms!I1472),(VLOOKUP(Values!$S$6,Castes!$B$2:$F$25,4,0)=Charms!I1472))</f>
        <v>#N/A</v>
      </c>
      <c r="J1472" t="e">
        <f t="shared" ca="1" si="111"/>
        <v>#N/A</v>
      </c>
      <c r="K1472" s="18" t="e">
        <f t="shared" ca="1" si="110"/>
        <v>#N/A</v>
      </c>
      <c r="L1472" t="e">
        <f ca="1">IF(J1472,Charms!B1472,"")</f>
        <v>#N/A</v>
      </c>
      <c r="M1472" t="str">
        <f t="shared" ca="1" si="112"/>
        <v>-</v>
      </c>
      <c r="N1472" s="18" t="str">
        <f t="shared" si="113"/>
        <v>K1444:L1484</v>
      </c>
      <c r="O1472" t="str">
        <f t="shared" si="114"/>
        <v>A1444:A1472</v>
      </c>
    </row>
    <row r="1473" spans="1:15">
      <c r="A1473" s="18" t="str">
        <f>Charms!K1473</f>
        <v>Stealth</v>
      </c>
      <c r="B1473" t="str">
        <f>Charms!B1473</f>
        <v>Flowing Shadow Stance</v>
      </c>
      <c r="C1473" t="b">
        <f ca="1">OR(Values!$S$98&gt;=Charms!M1473,IFERROR(Charms!J1473=OFFSET(Values!$A$24,MATCH("S",Values!$T$25:$T$50,0),0),FALSE))</f>
        <v>1</v>
      </c>
      <c r="D1473" t="b">
        <f>VLOOKUP(Charms!J1473,Values!$A$11:$S$59,19,0)&gt;=Charms!L1473</f>
        <v>0</v>
      </c>
      <c r="E1473" t="e">
        <f>OR(ISBLANK(Charms!I1473),(VLOOKUP(Values!$S$6,Castes!$B$2:$F$25,4,0)=Charms!I1473))</f>
        <v>#N/A</v>
      </c>
      <c r="J1473" t="e">
        <f t="shared" ca="1" si="111"/>
        <v>#N/A</v>
      </c>
      <c r="K1473" s="18" t="e">
        <f t="shared" ca="1" si="110"/>
        <v>#N/A</v>
      </c>
      <c r="L1473" t="e">
        <f ca="1">IF(J1473,Charms!B1473,"")</f>
        <v>#N/A</v>
      </c>
      <c r="M1473" t="str">
        <f t="shared" ca="1" si="112"/>
        <v>-</v>
      </c>
      <c r="N1473" s="18" t="str">
        <f t="shared" si="113"/>
        <v>K1444:L1484</v>
      </c>
      <c r="O1473" t="str">
        <f t="shared" si="114"/>
        <v>A1444:A1473</v>
      </c>
    </row>
    <row r="1474" spans="1:15">
      <c r="A1474" s="18" t="str">
        <f>Charms!K1474</f>
        <v>Stealth</v>
      </c>
      <c r="B1474" t="str">
        <f>Charms!B1474</f>
        <v>Shimmering Heat-Mirage Tactic</v>
      </c>
      <c r="C1474" t="b">
        <f ca="1">OR(Values!$S$98&gt;=Charms!M1474,IFERROR(Charms!J1474=OFFSET(Values!$A$24,MATCH("S",Values!$T$25:$T$50,0),0),FALSE))</f>
        <v>0</v>
      </c>
      <c r="D1474" t="b">
        <f>VLOOKUP(Charms!J1474,Values!$A$11:$S$59,19,0)&gt;=Charms!L1474</f>
        <v>0</v>
      </c>
      <c r="E1474" t="e">
        <f>OR(ISBLANK(Charms!I1474),(VLOOKUP(Values!$S$6,Castes!$B$2:$F$25,4,0)=Charms!I1474))</f>
        <v>#N/A</v>
      </c>
      <c r="J1474" t="e">
        <f t="shared" ca="1" si="111"/>
        <v>#N/A</v>
      </c>
      <c r="K1474" s="18" t="e">
        <f t="shared" ref="K1474:K1537" ca="1" si="115">IF(L1474="","",COUNTIF(INDIRECT("J"&amp;MATCH(A1474,A:A,0)&amp;":J"&amp;ROW()),J1474))</f>
        <v>#N/A</v>
      </c>
      <c r="L1474" t="e">
        <f ca="1">IF(J1474,Charms!B1474,"")</f>
        <v>#N/A</v>
      </c>
      <c r="M1474" t="str">
        <f t="shared" ca="1" si="112"/>
        <v>-</v>
      </c>
      <c r="N1474" s="18" t="str">
        <f t="shared" si="113"/>
        <v>K1444:L1484</v>
      </c>
      <c r="O1474" t="str">
        <f t="shared" si="114"/>
        <v>A1444:A1474</v>
      </c>
    </row>
    <row r="1475" spans="1:15">
      <c r="A1475" s="18" t="str">
        <f>Charms!K1475</f>
        <v>Stealth</v>
      </c>
      <c r="B1475" t="str">
        <f>Charms!B1475</f>
        <v>Burning Shadow Double</v>
      </c>
      <c r="C1475" t="b">
        <f ca="1">OR(Values!$S$98&gt;=Charms!M1475,IFERROR(Charms!J1475=OFFSET(Values!$A$24,MATCH("S",Values!$T$25:$T$50,0),0),FALSE))</f>
        <v>0</v>
      </c>
      <c r="D1475" t="b">
        <f>VLOOKUP(Charms!J1475,Values!$A$11:$S$59,19,0)&gt;=Charms!L1475</f>
        <v>0</v>
      </c>
      <c r="E1475" t="e">
        <f>OR(ISBLANK(Charms!I1475),(VLOOKUP(Values!$S$6,Castes!$B$2:$F$25,4,0)=Charms!I1475))</f>
        <v>#N/A</v>
      </c>
      <c r="J1475" t="e">
        <f t="shared" ref="J1475:J1538" ca="1" si="116">(C1475+D1475+E1475+F1475+G1475+H1475+I1475)=3</f>
        <v>#N/A</v>
      </c>
      <c r="K1475" s="18" t="e">
        <f t="shared" ca="1" si="115"/>
        <v>#N/A</v>
      </c>
      <c r="L1475" t="e">
        <f ca="1">IF(J1475,Charms!B1475,"")</f>
        <v>#N/A</v>
      </c>
      <c r="M1475" t="str">
        <f t="shared" ref="M1475:M1538" ca="1" si="117">IFERROR(VLOOKUP(COUNTIF(INDIRECT(O1475),A1475),INDIRECT(N1475),2,0),"-")</f>
        <v>-</v>
      </c>
      <c r="N1475" s="18" t="str">
        <f t="shared" ref="N1475:N1538" si="118">"K"&amp;MATCH(A1475,A:A,0)&amp;":L"&amp;(MATCH(A1475,A:A,0)+COUNTIF(A:A,A1475)-1)</f>
        <v>K1444:L1484</v>
      </c>
      <c r="O1475" t="str">
        <f t="shared" ref="O1475:O1538" si="119">"A"&amp;MATCH(A1475,A:A,0)&amp;":A"&amp;ROW()</f>
        <v>A1444:A1475</v>
      </c>
    </row>
    <row r="1476" spans="1:15">
      <c r="A1476" s="18" t="str">
        <f>Charms!K1476</f>
        <v>Stealth</v>
      </c>
      <c r="B1476" t="str">
        <f>Charms!B1476</f>
        <v>Zone of Silence Stance</v>
      </c>
      <c r="C1476" t="b">
        <f ca="1">OR(Values!$S$98&gt;=Charms!M1476,IFERROR(Charms!J1476=OFFSET(Values!$A$24,MATCH("S",Values!$T$25:$T$50,0),0),FALSE))</f>
        <v>0</v>
      </c>
      <c r="D1476" t="b">
        <f>VLOOKUP(Charms!J1476,Values!$A$11:$S$59,19,0)&gt;=Charms!L1476</f>
        <v>0</v>
      </c>
      <c r="E1476" t="e">
        <f>OR(ISBLANK(Charms!I1476),(VLOOKUP(Values!$S$6,Castes!$B$2:$F$25,4,0)=Charms!I1476))</f>
        <v>#N/A</v>
      </c>
      <c r="J1476" t="e">
        <f t="shared" ca="1" si="116"/>
        <v>#N/A</v>
      </c>
      <c r="K1476" s="18" t="e">
        <f t="shared" ca="1" si="115"/>
        <v>#N/A</v>
      </c>
      <c r="L1476" t="e">
        <f ca="1">IF(J1476,Charms!B1476,"")</f>
        <v>#N/A</v>
      </c>
      <c r="M1476" t="str">
        <f t="shared" ca="1" si="117"/>
        <v>-</v>
      </c>
      <c r="N1476" s="18" t="str">
        <f t="shared" si="118"/>
        <v>K1444:L1484</v>
      </c>
      <c r="O1476" t="str">
        <f t="shared" si="119"/>
        <v>A1444:A1476</v>
      </c>
    </row>
    <row r="1477" spans="1:15">
      <c r="A1477" s="18" t="str">
        <f>Charms!K1477</f>
        <v>Stealth</v>
      </c>
      <c r="B1477" t="str">
        <f>Charms!B1477</f>
        <v>Whispering Dragon Soul</v>
      </c>
      <c r="C1477" t="b">
        <f ca="1">OR(Values!$S$98&gt;=Charms!M1477,IFERROR(Charms!J1477=OFFSET(Values!$A$24,MATCH("S",Values!$T$25:$T$50,0),0),FALSE))</f>
        <v>0</v>
      </c>
      <c r="D1477" t="b">
        <f>VLOOKUP(Charms!J1477,Values!$A$11:$S$59,19,0)&gt;=Charms!L1477</f>
        <v>0</v>
      </c>
      <c r="E1477" t="e">
        <f>OR(ISBLANK(Charms!I1477),(VLOOKUP(Values!$S$6,Castes!$B$2:$F$25,4,0)=Charms!I1477))</f>
        <v>#N/A</v>
      </c>
      <c r="J1477" t="e">
        <f t="shared" ca="1" si="116"/>
        <v>#N/A</v>
      </c>
      <c r="K1477" s="18" t="e">
        <f t="shared" ca="1" si="115"/>
        <v>#N/A</v>
      </c>
      <c r="L1477" t="e">
        <f ca="1">IF(J1477,Charms!B1477,"")</f>
        <v>#N/A</v>
      </c>
      <c r="M1477" t="str">
        <f t="shared" ca="1" si="117"/>
        <v>-</v>
      </c>
      <c r="N1477" s="18" t="str">
        <f t="shared" si="118"/>
        <v>K1444:L1484</v>
      </c>
      <c r="O1477" t="str">
        <f t="shared" si="119"/>
        <v>A1444:A1477</v>
      </c>
    </row>
    <row r="1478" spans="1:15">
      <c r="A1478" s="18" t="str">
        <f>Charms!K1478</f>
        <v>Stealth</v>
      </c>
      <c r="B1478" t="str">
        <f>Charms!B1478</f>
        <v>Sleeping Dragon’s Lair</v>
      </c>
      <c r="C1478" t="b">
        <f ca="1">OR(Values!$S$98&gt;=Charms!M1478,IFERROR(Charms!J1478=OFFSET(Values!$A$24,MATCH("S",Values!$T$25:$T$50,0),0),FALSE))</f>
        <v>0</v>
      </c>
      <c r="D1478" t="b">
        <f>VLOOKUP(Charms!J1478,Values!$A$11:$S$59,19,0)&gt;=Charms!L1478</f>
        <v>0</v>
      </c>
      <c r="E1478" t="e">
        <f>OR(ISBLANK(Charms!I1478),(VLOOKUP(Values!$S$6,Castes!$B$2:$F$25,4,0)=Charms!I1478))</f>
        <v>#N/A</v>
      </c>
      <c r="J1478" t="e">
        <f t="shared" ca="1" si="116"/>
        <v>#N/A</v>
      </c>
      <c r="K1478" s="18" t="e">
        <f t="shared" ca="1" si="115"/>
        <v>#N/A</v>
      </c>
      <c r="L1478" t="e">
        <f ca="1">IF(J1478,Charms!B1478,"")</f>
        <v>#N/A</v>
      </c>
      <c r="M1478" t="str">
        <f t="shared" ca="1" si="117"/>
        <v>-</v>
      </c>
      <c r="N1478" s="18" t="str">
        <f t="shared" si="118"/>
        <v>K1444:L1484</v>
      </c>
      <c r="O1478" t="str">
        <f t="shared" si="119"/>
        <v>A1444:A1478</v>
      </c>
    </row>
    <row r="1479" spans="1:15">
      <c r="A1479" s="18" t="str">
        <f>Charms!K1479</f>
        <v>Stealth</v>
      </c>
      <c r="B1479" t="str">
        <f>Charms!B1479</f>
        <v>Flame-Becomes-Shadow Technique</v>
      </c>
      <c r="C1479" t="b">
        <f ca="1">OR(Values!$S$98&gt;=Charms!M1479,IFERROR(Charms!J1479=OFFSET(Values!$A$24,MATCH("S",Values!$T$25:$T$50,0),0),FALSE))</f>
        <v>0</v>
      </c>
      <c r="D1479" t="b">
        <f>VLOOKUP(Charms!J1479,Values!$A$11:$S$59,19,0)&gt;=Charms!L1479</f>
        <v>0</v>
      </c>
      <c r="E1479" t="e">
        <f>OR(ISBLANK(Charms!I1479),(VLOOKUP(Values!$S$6,Castes!$B$2:$F$25,4,0)=Charms!I1479))</f>
        <v>#N/A</v>
      </c>
      <c r="J1479" t="e">
        <f t="shared" ca="1" si="116"/>
        <v>#N/A</v>
      </c>
      <c r="K1479" s="18" t="e">
        <f t="shared" ca="1" si="115"/>
        <v>#N/A</v>
      </c>
      <c r="L1479" t="e">
        <f ca="1">IF(J1479,Charms!B1479,"")</f>
        <v>#N/A</v>
      </c>
      <c r="M1479" t="str">
        <f t="shared" ca="1" si="117"/>
        <v>-</v>
      </c>
      <c r="N1479" s="18" t="str">
        <f t="shared" si="118"/>
        <v>K1444:L1484</v>
      </c>
      <c r="O1479" t="str">
        <f t="shared" si="119"/>
        <v>A1444:A1479</v>
      </c>
    </row>
    <row r="1480" spans="1:15">
      <c r="A1480" s="18" t="str">
        <f>Charms!K1480</f>
        <v>Stealth</v>
      </c>
      <c r="B1480" t="str">
        <f>Charms!B1480</f>
        <v>Depth-Stalking Discipline</v>
      </c>
      <c r="C1480" t="b">
        <f ca="1">OR(Values!$S$98&gt;=Charms!M1480,IFERROR(Charms!J1480=OFFSET(Values!$A$24,MATCH("S",Values!$T$25:$T$50,0),0),FALSE))</f>
        <v>0</v>
      </c>
      <c r="D1480" t="b">
        <f>VLOOKUP(Charms!J1480,Values!$A$11:$S$59,19,0)&gt;=Charms!L1480</f>
        <v>0</v>
      </c>
      <c r="E1480" t="e">
        <f>OR(ISBLANK(Charms!I1480),(VLOOKUP(Values!$S$6,Castes!$B$2:$F$25,4,0)=Charms!I1480))</f>
        <v>#N/A</v>
      </c>
      <c r="J1480" t="e">
        <f t="shared" ca="1" si="116"/>
        <v>#N/A</v>
      </c>
      <c r="K1480" s="18" t="e">
        <f t="shared" ca="1" si="115"/>
        <v>#N/A</v>
      </c>
      <c r="L1480" t="e">
        <f ca="1">IF(J1480,Charms!B1480,"")</f>
        <v>#N/A</v>
      </c>
      <c r="M1480" t="str">
        <f t="shared" ca="1" si="117"/>
        <v>-</v>
      </c>
      <c r="N1480" s="18" t="str">
        <f t="shared" si="118"/>
        <v>K1444:L1484</v>
      </c>
      <c r="O1480" t="str">
        <f t="shared" si="119"/>
        <v>A1444:A1480</v>
      </c>
    </row>
    <row r="1481" spans="1:15">
      <c r="A1481" s="18" t="str">
        <f>Charms!K1481</f>
        <v>Stealth</v>
      </c>
      <c r="B1481" t="str">
        <f>Charms!B1481</f>
        <v>Shadow-Stalking Predator Spirit</v>
      </c>
      <c r="C1481" t="b">
        <f ca="1">OR(Values!$S$98&gt;=Charms!M1481,IFERROR(Charms!J1481=OFFSET(Values!$A$24,MATCH("S",Values!$T$25:$T$50,0),0),FALSE))</f>
        <v>0</v>
      </c>
      <c r="D1481" t="b">
        <f>VLOOKUP(Charms!J1481,Values!$A$11:$S$59,19,0)&gt;=Charms!L1481</f>
        <v>0</v>
      </c>
      <c r="E1481" t="e">
        <f>OR(ISBLANK(Charms!I1481),(VLOOKUP(Values!$S$6,Castes!$B$2:$F$25,4,0)=Charms!I1481))</f>
        <v>#N/A</v>
      </c>
      <c r="J1481" t="e">
        <f t="shared" ca="1" si="116"/>
        <v>#N/A</v>
      </c>
      <c r="K1481" s="18" t="e">
        <f t="shared" ca="1" si="115"/>
        <v>#N/A</v>
      </c>
      <c r="L1481" t="e">
        <f ca="1">IF(J1481,Charms!B1481,"")</f>
        <v>#N/A</v>
      </c>
      <c r="M1481" t="str">
        <f t="shared" ca="1" si="117"/>
        <v>-</v>
      </c>
      <c r="N1481" s="18" t="str">
        <f t="shared" si="118"/>
        <v>K1444:L1484</v>
      </c>
      <c r="O1481" t="str">
        <f t="shared" si="119"/>
        <v>A1444:A1481</v>
      </c>
    </row>
    <row r="1482" spans="1:15">
      <c r="A1482" s="18" t="str">
        <f>Charms!K1482</f>
        <v>Stealth</v>
      </c>
      <c r="B1482" t="str">
        <f>Charms!B1482</f>
        <v>Deadly Riptide Executioner</v>
      </c>
      <c r="C1482" t="b">
        <f ca="1">OR(Values!$S$98&gt;=Charms!M1482,IFERROR(Charms!J1482=OFFSET(Values!$A$24,MATCH("S",Values!$T$25:$T$50,0),0),FALSE))</f>
        <v>0</v>
      </c>
      <c r="D1482" t="b">
        <f>VLOOKUP(Charms!J1482,Values!$A$11:$S$59,19,0)&gt;=Charms!L1482</f>
        <v>0</v>
      </c>
      <c r="E1482" t="e">
        <f>OR(ISBLANK(Charms!I1482),(VLOOKUP(Values!$S$6,Castes!$B$2:$F$25,4,0)=Charms!I1482))</f>
        <v>#N/A</v>
      </c>
      <c r="J1482" t="e">
        <f t="shared" ca="1" si="116"/>
        <v>#N/A</v>
      </c>
      <c r="K1482" s="18" t="e">
        <f t="shared" ca="1" si="115"/>
        <v>#N/A</v>
      </c>
      <c r="L1482" t="e">
        <f ca="1">IF(J1482,Charms!B1482,"")</f>
        <v>#N/A</v>
      </c>
      <c r="M1482" t="str">
        <f t="shared" ca="1" si="117"/>
        <v>-</v>
      </c>
      <c r="N1482" s="18" t="str">
        <f t="shared" si="118"/>
        <v>K1444:L1484</v>
      </c>
      <c r="O1482" t="str">
        <f t="shared" si="119"/>
        <v>A1444:A1482</v>
      </c>
    </row>
    <row r="1483" spans="1:15">
      <c r="A1483" s="18" t="str">
        <f>Charms!K1483</f>
        <v>Stealth</v>
      </c>
      <c r="B1483" t="str">
        <f>Charms!B1483</f>
        <v>Dragon Shroud Technique</v>
      </c>
      <c r="C1483" t="b">
        <f ca="1">OR(Values!$S$98&gt;=Charms!M1483,IFERROR(Charms!J1483=OFFSET(Values!$A$24,MATCH("S",Values!$T$25:$T$50,0),0),FALSE))</f>
        <v>0</v>
      </c>
      <c r="D1483" t="b">
        <f>VLOOKUP(Charms!J1483,Values!$A$11:$S$59,19,0)&gt;=Charms!L1483</f>
        <v>0</v>
      </c>
      <c r="E1483" t="e">
        <f>OR(ISBLANK(Charms!I1483),(VLOOKUP(Values!$S$6,Castes!$B$2:$F$25,4,0)=Charms!I1483))</f>
        <v>#N/A</v>
      </c>
      <c r="J1483" t="e">
        <f t="shared" ca="1" si="116"/>
        <v>#N/A</v>
      </c>
      <c r="K1483" s="18" t="e">
        <f t="shared" ca="1" si="115"/>
        <v>#N/A</v>
      </c>
      <c r="L1483" t="e">
        <f ca="1">IF(J1483,Charms!B1483,"")</f>
        <v>#N/A</v>
      </c>
      <c r="M1483" t="str">
        <f t="shared" ca="1" si="117"/>
        <v>-</v>
      </c>
      <c r="N1483" s="18" t="str">
        <f t="shared" si="118"/>
        <v>K1444:L1484</v>
      </c>
      <c r="O1483" t="str">
        <f t="shared" si="119"/>
        <v>A1444:A1483</v>
      </c>
    </row>
    <row r="1484" spans="1:15">
      <c r="A1484" s="18" t="str">
        <f>Charms!K1484</f>
        <v>Stealth</v>
      </c>
      <c r="B1484" t="str">
        <f>Charms!B1484</f>
        <v>Mela’s Hungry Jaws</v>
      </c>
      <c r="C1484" t="b">
        <f ca="1">OR(Values!$S$98&gt;=Charms!M1484,IFERROR(Charms!J1484=OFFSET(Values!$A$24,MATCH("S",Values!$T$25:$T$50,0),0),FALSE))</f>
        <v>0</v>
      </c>
      <c r="D1484" t="b">
        <f>VLOOKUP(Charms!J1484,Values!$A$11:$S$59,19,0)&gt;=Charms!L1484</f>
        <v>0</v>
      </c>
      <c r="E1484" t="e">
        <f>OR(ISBLANK(Charms!I1484),(VLOOKUP(Values!$S$6,Castes!$B$2:$F$25,4,0)=Charms!I1484))</f>
        <v>#N/A</v>
      </c>
      <c r="J1484" t="e">
        <f t="shared" ca="1" si="116"/>
        <v>#N/A</v>
      </c>
      <c r="K1484" s="18" t="e">
        <f t="shared" ca="1" si="115"/>
        <v>#N/A</v>
      </c>
      <c r="L1484" t="e">
        <f ca="1">IF(J1484,Charms!B1484,"")</f>
        <v>#N/A</v>
      </c>
      <c r="M1484" t="str">
        <f t="shared" ca="1" si="117"/>
        <v>-</v>
      </c>
      <c r="N1484" s="18" t="str">
        <f t="shared" si="118"/>
        <v>K1444:L1484</v>
      </c>
      <c r="O1484" t="str">
        <f t="shared" si="119"/>
        <v>A1444:A1484</v>
      </c>
    </row>
    <row r="1485" spans="1:15">
      <c r="A1485" s="18" t="str">
        <f>Charms!K1485</f>
        <v>Survival</v>
      </c>
      <c r="B1485" t="str">
        <f>Charms!B1485</f>
        <v>Food-Gathering Exercise</v>
      </c>
      <c r="C1485" t="b">
        <f ca="1">OR(Values!$S$98&gt;=Charms!M1485,IFERROR(Charms!J1485=OFFSET(Values!$A$24,MATCH("S",Values!$T$25:$T$50,0),0),FALSE))</f>
        <v>1</v>
      </c>
      <c r="D1485" t="b">
        <f>VLOOKUP(Charms!J1485,Values!$A$11:$S$59,19,0)&gt;=Charms!L1485</f>
        <v>0</v>
      </c>
      <c r="E1485" t="e">
        <f>OR(ISBLANK(Charms!I1485),(VLOOKUP(Values!$S$6,Castes!$B$2:$F$25,4,0)=Charms!I1485))</f>
        <v>#N/A</v>
      </c>
      <c r="J1485" t="e">
        <f t="shared" ca="1" si="116"/>
        <v>#N/A</v>
      </c>
      <c r="K1485" s="18" t="e">
        <f t="shared" ca="1" si="115"/>
        <v>#N/A</v>
      </c>
      <c r="L1485" t="e">
        <f ca="1">IF(J1485,Charms!B1485,"")</f>
        <v>#N/A</v>
      </c>
      <c r="M1485" t="str">
        <f t="shared" ca="1" si="117"/>
        <v>-</v>
      </c>
      <c r="N1485" s="18" t="str">
        <f t="shared" si="118"/>
        <v>K1485:L1534</v>
      </c>
      <c r="O1485" t="str">
        <f t="shared" si="119"/>
        <v>A1485:A1485</v>
      </c>
    </row>
    <row r="1486" spans="1:15">
      <c r="A1486" s="18" t="str">
        <f>Charms!K1486</f>
        <v>Survival</v>
      </c>
      <c r="B1486" t="str">
        <f>Charms!B1486</f>
        <v>Friendship with Animals Approach</v>
      </c>
      <c r="C1486" t="b">
        <f ca="1">OR(Values!$S$98&gt;=Charms!M1486,IFERROR(Charms!J1486=OFFSET(Values!$A$24,MATCH("S",Values!$T$25:$T$50,0),0),FALSE))</f>
        <v>1</v>
      </c>
      <c r="D1486" t="b">
        <f>VLOOKUP(Charms!J1486,Values!$A$11:$S$59,19,0)&gt;=Charms!L1486</f>
        <v>0</v>
      </c>
      <c r="E1486" t="e">
        <f>OR(ISBLANK(Charms!I1486),(VLOOKUP(Values!$S$6,Castes!$B$2:$F$25,4,0)=Charms!I1486))</f>
        <v>#N/A</v>
      </c>
      <c r="J1486" t="e">
        <f t="shared" ca="1" si="116"/>
        <v>#N/A</v>
      </c>
      <c r="K1486" s="18" t="e">
        <f t="shared" ca="1" si="115"/>
        <v>#N/A</v>
      </c>
      <c r="L1486" t="e">
        <f ca="1">IF(J1486,Charms!B1486,"")</f>
        <v>#N/A</v>
      </c>
      <c r="M1486" t="str">
        <f t="shared" ca="1" si="117"/>
        <v>-</v>
      </c>
      <c r="N1486" s="18" t="str">
        <f t="shared" si="118"/>
        <v>K1485:L1534</v>
      </c>
      <c r="O1486" t="str">
        <f t="shared" si="119"/>
        <v>A1485:A1486</v>
      </c>
    </row>
    <row r="1487" spans="1:15">
      <c r="A1487" s="18" t="str">
        <f>Charms!K1487</f>
        <v>Survival</v>
      </c>
      <c r="B1487" t="str">
        <f>Charms!B1487</f>
        <v>Hardship-Surviving Mendicant Spirit</v>
      </c>
      <c r="C1487" t="b">
        <f ca="1">OR(Values!$S$98&gt;=Charms!M1487,IFERROR(Charms!J1487=OFFSET(Values!$A$24,MATCH("S",Values!$T$25:$T$50,0),0),FALSE))</f>
        <v>1</v>
      </c>
      <c r="D1487" t="b">
        <f>VLOOKUP(Charms!J1487,Values!$A$11:$S$59,19,0)&gt;=Charms!L1487</f>
        <v>0</v>
      </c>
      <c r="E1487" t="e">
        <f>OR(ISBLANK(Charms!I1487),(VLOOKUP(Values!$S$6,Castes!$B$2:$F$25,4,0)=Charms!I1487))</f>
        <v>#N/A</v>
      </c>
      <c r="J1487" t="e">
        <f t="shared" ca="1" si="116"/>
        <v>#N/A</v>
      </c>
      <c r="K1487" s="18" t="e">
        <f t="shared" ca="1" si="115"/>
        <v>#N/A</v>
      </c>
      <c r="L1487" t="e">
        <f ca="1">IF(J1487,Charms!B1487,"")</f>
        <v>#N/A</v>
      </c>
      <c r="M1487" t="str">
        <f t="shared" ca="1" si="117"/>
        <v>-</v>
      </c>
      <c r="N1487" s="18" t="str">
        <f t="shared" si="118"/>
        <v>K1485:L1534</v>
      </c>
      <c r="O1487" t="str">
        <f t="shared" si="119"/>
        <v>A1485:A1487</v>
      </c>
    </row>
    <row r="1488" spans="1:15">
      <c r="A1488" s="18" t="str">
        <f>Charms!K1488</f>
        <v>Survival</v>
      </c>
      <c r="B1488" t="str">
        <f>Charms!B1488</f>
        <v>Spirit-Tied Pet</v>
      </c>
      <c r="C1488" t="b">
        <f ca="1">OR(Values!$S$98&gt;=Charms!M1488,IFERROR(Charms!J1488=OFFSET(Values!$A$24,MATCH("S",Values!$T$25:$T$50,0),0),FALSE))</f>
        <v>0</v>
      </c>
      <c r="D1488" t="b">
        <f>VLOOKUP(Charms!J1488,Values!$A$11:$S$59,19,0)&gt;=Charms!L1488</f>
        <v>0</v>
      </c>
      <c r="E1488" t="e">
        <f>OR(ISBLANK(Charms!I1488),(VLOOKUP(Values!$S$6,Castes!$B$2:$F$25,4,0)=Charms!I1488))</f>
        <v>#N/A</v>
      </c>
      <c r="J1488" t="e">
        <f t="shared" ca="1" si="116"/>
        <v>#N/A</v>
      </c>
      <c r="K1488" s="18" t="e">
        <f t="shared" ca="1" si="115"/>
        <v>#N/A</v>
      </c>
      <c r="L1488" t="e">
        <f ca="1">IF(J1488,Charms!B1488,"")</f>
        <v>#N/A</v>
      </c>
      <c r="M1488" t="str">
        <f t="shared" ca="1" si="117"/>
        <v>-</v>
      </c>
      <c r="N1488" s="18" t="str">
        <f t="shared" si="118"/>
        <v>K1485:L1534</v>
      </c>
      <c r="O1488" t="str">
        <f t="shared" si="119"/>
        <v>A1485:A1488</v>
      </c>
    </row>
    <row r="1489" spans="1:15">
      <c r="A1489" s="18" t="str">
        <f>Charms!K1489</f>
        <v>Survival</v>
      </c>
      <c r="B1489" t="str">
        <f>Charms!B1489</f>
        <v>Familiar-Honing Instruction</v>
      </c>
      <c r="C1489" t="b">
        <f ca="1">OR(Values!$S$98&gt;=Charms!M1489,IFERROR(Charms!J1489=OFFSET(Values!$A$24,MATCH("S",Values!$T$25:$T$50,0),0),FALSE))</f>
        <v>0</v>
      </c>
      <c r="D1489" t="b">
        <f>VLOOKUP(Charms!J1489,Values!$A$11:$S$59,19,0)&gt;=Charms!L1489</f>
        <v>0</v>
      </c>
      <c r="E1489" t="e">
        <f>OR(ISBLANK(Charms!I1489),(VLOOKUP(Values!$S$6,Castes!$B$2:$F$25,4,0)=Charms!I1489))</f>
        <v>#N/A</v>
      </c>
      <c r="J1489" t="e">
        <f t="shared" ca="1" si="116"/>
        <v>#N/A</v>
      </c>
      <c r="K1489" s="18" t="e">
        <f t="shared" ca="1" si="115"/>
        <v>#N/A</v>
      </c>
      <c r="L1489" t="e">
        <f ca="1">IF(J1489,Charms!B1489,"")</f>
        <v>#N/A</v>
      </c>
      <c r="M1489" t="str">
        <f t="shared" ca="1" si="117"/>
        <v>-</v>
      </c>
      <c r="N1489" s="18" t="str">
        <f t="shared" si="118"/>
        <v>K1485:L1534</v>
      </c>
      <c r="O1489" t="str">
        <f t="shared" si="119"/>
        <v>A1485:A1489</v>
      </c>
    </row>
    <row r="1490" spans="1:15">
      <c r="A1490" s="18" t="str">
        <f>Charms!K1490</f>
        <v>Survival</v>
      </c>
      <c r="B1490" t="str">
        <f>Charms!B1490</f>
        <v>Ambush Predator Style</v>
      </c>
      <c r="C1490" t="b">
        <f ca="1">OR(Values!$S$98&gt;=Charms!M1490,IFERROR(Charms!J1490=OFFSET(Values!$A$24,MATCH("S",Values!$T$25:$T$50,0),0),FALSE))</f>
        <v>0</v>
      </c>
      <c r="D1490" t="b">
        <f>VLOOKUP(Charms!J1490,Values!$A$11:$S$59,19,0)&gt;=Charms!L1490</f>
        <v>0</v>
      </c>
      <c r="E1490" t="e">
        <f>OR(ISBLANK(Charms!I1490),(VLOOKUP(Values!$S$6,Castes!$B$2:$F$25,4,0)=Charms!I1490))</f>
        <v>#N/A</v>
      </c>
      <c r="J1490" t="e">
        <f t="shared" ca="1" si="116"/>
        <v>#N/A</v>
      </c>
      <c r="K1490" s="18" t="e">
        <f t="shared" ca="1" si="115"/>
        <v>#N/A</v>
      </c>
      <c r="L1490" t="e">
        <f ca="1">IF(J1490,Charms!B1490,"")</f>
        <v>#N/A</v>
      </c>
      <c r="M1490" t="str">
        <f t="shared" ca="1" si="117"/>
        <v>-</v>
      </c>
      <c r="N1490" s="18" t="str">
        <f t="shared" si="118"/>
        <v>K1485:L1534</v>
      </c>
      <c r="O1490" t="str">
        <f t="shared" si="119"/>
        <v>A1485:A1490</v>
      </c>
    </row>
    <row r="1491" spans="1:15">
      <c r="A1491" s="18" t="str">
        <f>Charms!K1491</f>
        <v>Survival</v>
      </c>
      <c r="B1491" t="str">
        <f>Charms!B1491</f>
        <v>Harmony with Nature Approach</v>
      </c>
      <c r="C1491" t="b">
        <f ca="1">OR(Values!$S$98&gt;=Charms!M1491,IFERROR(Charms!J1491=OFFSET(Values!$A$24,MATCH("S",Values!$T$25:$T$50,0),0),FALSE))</f>
        <v>1</v>
      </c>
      <c r="D1491" t="b">
        <f>VLOOKUP(Charms!J1491,Values!$A$11:$S$59,19,0)&gt;=Charms!L1491</f>
        <v>0</v>
      </c>
      <c r="E1491" t="e">
        <f>OR(ISBLANK(Charms!I1491),(VLOOKUP(Values!$S$6,Castes!$B$2:$F$25,4,0)=Charms!I1491))</f>
        <v>#N/A</v>
      </c>
      <c r="J1491" t="e">
        <f t="shared" ca="1" si="116"/>
        <v>#N/A</v>
      </c>
      <c r="K1491" s="18" t="e">
        <f t="shared" ca="1" si="115"/>
        <v>#N/A</v>
      </c>
      <c r="L1491" t="e">
        <f ca="1">IF(J1491,Charms!B1491,"")</f>
        <v>#N/A</v>
      </c>
      <c r="M1491" t="str">
        <f t="shared" ca="1" si="117"/>
        <v>-</v>
      </c>
      <c r="N1491" s="18" t="str">
        <f t="shared" si="118"/>
        <v>K1485:L1534</v>
      </c>
      <c r="O1491" t="str">
        <f t="shared" si="119"/>
        <v>A1485:A1491</v>
      </c>
    </row>
    <row r="1492" spans="1:15">
      <c r="A1492" s="18" t="str">
        <f>Charms!K1492</f>
        <v>Survival</v>
      </c>
      <c r="B1492" t="str">
        <f>Charms!B1492</f>
        <v>Trackless Region Navigation</v>
      </c>
      <c r="C1492" t="b">
        <f ca="1">OR(Values!$S$98&gt;=Charms!M1492,IFERROR(Charms!J1492=OFFSET(Values!$A$24,MATCH("S",Values!$T$25:$T$50,0),0),FALSE))</f>
        <v>0</v>
      </c>
      <c r="D1492" t="b">
        <f>VLOOKUP(Charms!J1492,Values!$A$11:$S$59,19,0)&gt;=Charms!L1492</f>
        <v>0</v>
      </c>
      <c r="E1492" t="e">
        <f>OR(ISBLANK(Charms!I1492),(VLOOKUP(Values!$S$6,Castes!$B$2:$F$25,4,0)=Charms!I1492))</f>
        <v>#N/A</v>
      </c>
      <c r="J1492" t="e">
        <f t="shared" ca="1" si="116"/>
        <v>#N/A</v>
      </c>
      <c r="K1492" s="18" t="e">
        <f t="shared" ca="1" si="115"/>
        <v>#N/A</v>
      </c>
      <c r="L1492" t="e">
        <f ca="1">IF(J1492,Charms!B1492,"")</f>
        <v>#N/A</v>
      </c>
      <c r="M1492" t="str">
        <f t="shared" ca="1" si="117"/>
        <v>-</v>
      </c>
      <c r="N1492" s="18" t="str">
        <f t="shared" si="118"/>
        <v>K1485:L1534</v>
      </c>
      <c r="O1492" t="str">
        <f t="shared" si="119"/>
        <v>A1485:A1492</v>
      </c>
    </row>
    <row r="1493" spans="1:15">
      <c r="A1493" s="18" t="str">
        <f>Charms!K1493</f>
        <v>Survival</v>
      </c>
      <c r="B1493" t="str">
        <f>Charms!B1493</f>
        <v>Beast-Mastering Behavior</v>
      </c>
      <c r="C1493" t="b">
        <f ca="1">OR(Values!$S$98&gt;=Charms!M1493,IFERROR(Charms!J1493=OFFSET(Values!$A$24,MATCH("S",Values!$T$25:$T$50,0),0),FALSE))</f>
        <v>0</v>
      </c>
      <c r="D1493" t="b">
        <f>VLOOKUP(Charms!J1493,Values!$A$11:$S$59,19,0)&gt;=Charms!L1493</f>
        <v>0</v>
      </c>
      <c r="E1493" t="e">
        <f>OR(ISBLANK(Charms!I1493),(VLOOKUP(Values!$S$6,Castes!$B$2:$F$25,4,0)=Charms!I1493))</f>
        <v>#N/A</v>
      </c>
      <c r="J1493" t="e">
        <f t="shared" ca="1" si="116"/>
        <v>#N/A</v>
      </c>
      <c r="K1493" s="18" t="e">
        <f t="shared" ca="1" si="115"/>
        <v>#N/A</v>
      </c>
      <c r="L1493" t="e">
        <f ca="1">IF(J1493,Charms!B1493,"")</f>
        <v>#N/A</v>
      </c>
      <c r="M1493" t="str">
        <f t="shared" ca="1" si="117"/>
        <v>-</v>
      </c>
      <c r="N1493" s="18" t="str">
        <f t="shared" si="118"/>
        <v>K1485:L1534</v>
      </c>
      <c r="O1493" t="str">
        <f t="shared" si="119"/>
        <v>A1485:A1493</v>
      </c>
    </row>
    <row r="1494" spans="1:15">
      <c r="A1494" s="18" t="str">
        <f>Charms!K1494</f>
        <v>Survival</v>
      </c>
      <c r="B1494" t="str">
        <f>Charms!B1494</f>
        <v>Bestial Traits Technique</v>
      </c>
      <c r="C1494" t="b">
        <f ca="1">OR(Values!$S$98&gt;=Charms!M1494,IFERROR(Charms!J1494=OFFSET(Values!$A$24,MATCH("S",Values!$T$25:$T$50,0),0),FALSE))</f>
        <v>0</v>
      </c>
      <c r="D1494" t="b">
        <f>VLOOKUP(Charms!J1494,Values!$A$11:$S$59,19,0)&gt;=Charms!L1494</f>
        <v>0</v>
      </c>
      <c r="E1494" t="e">
        <f>OR(ISBLANK(Charms!I1494),(VLOOKUP(Values!$S$6,Castes!$B$2:$F$25,4,0)=Charms!I1494))</f>
        <v>#N/A</v>
      </c>
      <c r="J1494" t="e">
        <f t="shared" ca="1" si="116"/>
        <v>#N/A</v>
      </c>
      <c r="K1494" s="18" t="e">
        <f t="shared" ca="1" si="115"/>
        <v>#N/A</v>
      </c>
      <c r="L1494" t="e">
        <f ca="1">IF(J1494,Charms!B1494,"")</f>
        <v>#N/A</v>
      </c>
      <c r="M1494" t="str">
        <f t="shared" ca="1" si="117"/>
        <v>-</v>
      </c>
      <c r="N1494" s="18" t="str">
        <f t="shared" si="118"/>
        <v>K1485:L1534</v>
      </c>
      <c r="O1494" t="str">
        <f t="shared" si="119"/>
        <v>A1485:A1494</v>
      </c>
    </row>
    <row r="1495" spans="1:15">
      <c r="A1495" s="18" t="str">
        <f>Charms!K1495</f>
        <v>Survival</v>
      </c>
      <c r="B1495" t="str">
        <f>Charms!B1495</f>
        <v>Force-Building Predator Style</v>
      </c>
      <c r="C1495" t="b">
        <f ca="1">OR(Values!$S$98&gt;=Charms!M1495,IFERROR(Charms!J1495=OFFSET(Values!$A$24,MATCH("S",Values!$T$25:$T$50,0),0),FALSE))</f>
        <v>0</v>
      </c>
      <c r="D1495" t="b">
        <f>VLOOKUP(Charms!J1495,Values!$A$11:$S$59,19,0)&gt;=Charms!L1495</f>
        <v>0</v>
      </c>
      <c r="E1495" t="e">
        <f>OR(ISBLANK(Charms!I1495),(VLOOKUP(Values!$S$6,Castes!$B$2:$F$25,4,0)=Charms!I1495))</f>
        <v>#N/A</v>
      </c>
      <c r="J1495" t="e">
        <f t="shared" ca="1" si="116"/>
        <v>#N/A</v>
      </c>
      <c r="K1495" s="18" t="e">
        <f t="shared" ca="1" si="115"/>
        <v>#N/A</v>
      </c>
      <c r="L1495" t="e">
        <f ca="1">IF(J1495,Charms!B1495,"")</f>
        <v>#N/A</v>
      </c>
      <c r="M1495" t="str">
        <f t="shared" ca="1" si="117"/>
        <v>-</v>
      </c>
      <c r="N1495" s="18" t="str">
        <f t="shared" si="118"/>
        <v>K1485:L1534</v>
      </c>
      <c r="O1495" t="str">
        <f t="shared" si="119"/>
        <v>A1485:A1495</v>
      </c>
    </row>
    <row r="1496" spans="1:15">
      <c r="A1496" s="18" t="str">
        <f>Charms!K1496</f>
        <v>Survival</v>
      </c>
      <c r="B1496" t="str">
        <f>Charms!B1496</f>
        <v>Unshakeable Bloodhound Technique</v>
      </c>
      <c r="C1496" t="b">
        <f ca="1">OR(Values!$S$98&gt;=Charms!M1496,IFERROR(Charms!J1496=OFFSET(Values!$A$24,MATCH("S",Values!$T$25:$T$50,0),0),FALSE))</f>
        <v>0</v>
      </c>
      <c r="D1496" t="b">
        <f>VLOOKUP(Charms!J1496,Values!$A$11:$S$59,19,0)&gt;=Charms!L1496</f>
        <v>0</v>
      </c>
      <c r="E1496" t="e">
        <f>OR(ISBLANK(Charms!I1496),(VLOOKUP(Values!$S$6,Castes!$B$2:$F$25,4,0)=Charms!I1496))</f>
        <v>#N/A</v>
      </c>
      <c r="J1496" t="e">
        <f t="shared" ca="1" si="116"/>
        <v>#N/A</v>
      </c>
      <c r="K1496" s="18" t="e">
        <f t="shared" ca="1" si="115"/>
        <v>#N/A</v>
      </c>
      <c r="L1496" t="e">
        <f ca="1">IF(J1496,Charms!B1496,"")</f>
        <v>#N/A</v>
      </c>
      <c r="M1496" t="str">
        <f t="shared" ca="1" si="117"/>
        <v>-</v>
      </c>
      <c r="N1496" s="18" t="str">
        <f t="shared" si="118"/>
        <v>K1485:L1534</v>
      </c>
      <c r="O1496" t="str">
        <f t="shared" si="119"/>
        <v>A1485:A1496</v>
      </c>
    </row>
    <row r="1497" spans="1:15">
      <c r="A1497" s="18" t="str">
        <f>Charms!K1497</f>
        <v>Survival</v>
      </c>
      <c r="B1497" t="str">
        <f>Charms!B1497</f>
        <v>Deadly Onslaught Coordination</v>
      </c>
      <c r="C1497" t="b">
        <f ca="1">OR(Values!$S$98&gt;=Charms!M1497,IFERROR(Charms!J1497=OFFSET(Values!$A$24,MATCH("S",Values!$T$25:$T$50,0),0),FALSE))</f>
        <v>0</v>
      </c>
      <c r="D1497" t="b">
        <f>VLOOKUP(Charms!J1497,Values!$A$11:$S$59,19,0)&gt;=Charms!L1497</f>
        <v>0</v>
      </c>
      <c r="E1497" t="e">
        <f>OR(ISBLANK(Charms!I1497),(VLOOKUP(Values!$S$6,Castes!$B$2:$F$25,4,0)=Charms!I1497))</f>
        <v>#N/A</v>
      </c>
      <c r="J1497" t="e">
        <f t="shared" ca="1" si="116"/>
        <v>#N/A</v>
      </c>
      <c r="K1497" s="18" t="e">
        <f t="shared" ca="1" si="115"/>
        <v>#N/A</v>
      </c>
      <c r="L1497" t="e">
        <f ca="1">IF(J1497,Charms!B1497,"")</f>
        <v>#N/A</v>
      </c>
      <c r="M1497" t="str">
        <f t="shared" ca="1" si="117"/>
        <v>-</v>
      </c>
      <c r="N1497" s="18" t="str">
        <f t="shared" si="118"/>
        <v>K1485:L1534</v>
      </c>
      <c r="O1497" t="str">
        <f t="shared" si="119"/>
        <v>A1485:A1497</v>
      </c>
    </row>
    <row r="1498" spans="1:15">
      <c r="A1498" s="18" t="str">
        <f>Charms!K1498</f>
        <v>Survival</v>
      </c>
      <c r="B1498" t="str">
        <f>Charms!B1498</f>
        <v>Hide-Hardening Practice</v>
      </c>
      <c r="C1498" t="b">
        <f ca="1">OR(Values!$S$98&gt;=Charms!M1498,IFERROR(Charms!J1498=OFFSET(Values!$A$24,MATCH("S",Values!$T$25:$T$50,0),0),FALSE))</f>
        <v>0</v>
      </c>
      <c r="D1498" t="b">
        <f>VLOOKUP(Charms!J1498,Values!$A$11:$S$59,19,0)&gt;=Charms!L1498</f>
        <v>0</v>
      </c>
      <c r="E1498" t="e">
        <f>OR(ISBLANK(Charms!I1498),(VLOOKUP(Values!$S$6,Castes!$B$2:$F$25,4,0)=Charms!I1498))</f>
        <v>#N/A</v>
      </c>
      <c r="J1498" t="e">
        <f t="shared" ca="1" si="116"/>
        <v>#N/A</v>
      </c>
      <c r="K1498" s="18" t="e">
        <f t="shared" ca="1" si="115"/>
        <v>#N/A</v>
      </c>
      <c r="L1498" t="e">
        <f ca="1">IF(J1498,Charms!B1498,"")</f>
        <v>#N/A</v>
      </c>
      <c r="M1498" t="str">
        <f t="shared" ca="1" si="117"/>
        <v>-</v>
      </c>
      <c r="N1498" s="18" t="str">
        <f t="shared" si="118"/>
        <v>K1485:L1534</v>
      </c>
      <c r="O1498" t="str">
        <f t="shared" si="119"/>
        <v>A1485:A1498</v>
      </c>
    </row>
    <row r="1499" spans="1:15">
      <c r="A1499" s="18" t="str">
        <f>Charms!K1499</f>
        <v>Survival</v>
      </c>
      <c r="B1499" t="str">
        <f>Charms!B1499</f>
        <v>Life of the Aurochs</v>
      </c>
      <c r="C1499" t="b">
        <f ca="1">OR(Values!$S$98&gt;=Charms!M1499,IFERROR(Charms!J1499=OFFSET(Values!$A$24,MATCH("S",Values!$T$25:$T$50,0),0),FALSE))</f>
        <v>0</v>
      </c>
      <c r="D1499" t="b">
        <f>VLOOKUP(Charms!J1499,Values!$A$11:$S$59,19,0)&gt;=Charms!L1499</f>
        <v>0</v>
      </c>
      <c r="E1499" t="e">
        <f>OR(ISBLANK(Charms!I1499),(VLOOKUP(Values!$S$6,Castes!$B$2:$F$25,4,0)=Charms!I1499))</f>
        <v>#N/A</v>
      </c>
      <c r="J1499" t="e">
        <f t="shared" ca="1" si="116"/>
        <v>#N/A</v>
      </c>
      <c r="K1499" s="18" t="e">
        <f t="shared" ca="1" si="115"/>
        <v>#N/A</v>
      </c>
      <c r="L1499" t="e">
        <f ca="1">IF(J1499,Charms!B1499,"")</f>
        <v>#N/A</v>
      </c>
      <c r="M1499" t="str">
        <f t="shared" ca="1" si="117"/>
        <v>-</v>
      </c>
      <c r="N1499" s="18" t="str">
        <f t="shared" si="118"/>
        <v>K1485:L1534</v>
      </c>
      <c r="O1499" t="str">
        <f t="shared" si="119"/>
        <v>A1485:A1499</v>
      </c>
    </row>
    <row r="1500" spans="1:15">
      <c r="A1500" s="18" t="str">
        <f>Charms!K1500</f>
        <v>Survival</v>
      </c>
      <c r="B1500" t="str">
        <f>Charms!B1500</f>
        <v>Spirit-Hunting Hound</v>
      </c>
      <c r="C1500" t="b">
        <f ca="1">OR(Values!$S$98&gt;=Charms!M1500,IFERROR(Charms!J1500=OFFSET(Values!$A$24,MATCH("S",Values!$T$25:$T$50,0),0),FALSE))</f>
        <v>0</v>
      </c>
      <c r="D1500" t="b">
        <f>VLOOKUP(Charms!J1500,Values!$A$11:$S$59,19,0)&gt;=Charms!L1500</f>
        <v>0</v>
      </c>
      <c r="E1500" t="e">
        <f>OR(ISBLANK(Charms!I1500),(VLOOKUP(Values!$S$6,Castes!$B$2:$F$25,4,0)=Charms!I1500))</f>
        <v>#N/A</v>
      </c>
      <c r="J1500" t="e">
        <f t="shared" ca="1" si="116"/>
        <v>#N/A</v>
      </c>
      <c r="K1500" s="18" t="e">
        <f t="shared" ca="1" si="115"/>
        <v>#N/A</v>
      </c>
      <c r="L1500" t="e">
        <f ca="1">IF(J1500,Charms!B1500,"")</f>
        <v>#N/A</v>
      </c>
      <c r="M1500" t="str">
        <f t="shared" ca="1" si="117"/>
        <v>-</v>
      </c>
      <c r="N1500" s="18" t="str">
        <f t="shared" si="118"/>
        <v>K1485:L1534</v>
      </c>
      <c r="O1500" t="str">
        <f t="shared" si="119"/>
        <v>A1485:A1500</v>
      </c>
    </row>
    <row r="1501" spans="1:15">
      <c r="A1501" s="18" t="str">
        <f>Charms!K1501</f>
        <v>Survival</v>
      </c>
      <c r="B1501" t="str">
        <f>Charms!B1501</f>
        <v>Element-Resisting Prana</v>
      </c>
      <c r="C1501" t="b">
        <f ca="1">OR(Values!$S$98&gt;=Charms!M1501,IFERROR(Charms!J1501=OFFSET(Values!$A$24,MATCH("S",Values!$T$25:$T$50,0),0),FALSE))</f>
        <v>0</v>
      </c>
      <c r="D1501" t="b">
        <f>VLOOKUP(Charms!J1501,Values!$A$11:$S$59,19,0)&gt;=Charms!L1501</f>
        <v>0</v>
      </c>
      <c r="E1501" t="e">
        <f>OR(ISBLANK(Charms!I1501),(VLOOKUP(Values!$S$6,Castes!$B$2:$F$25,4,0)=Charms!I1501))</f>
        <v>#N/A</v>
      </c>
      <c r="J1501" t="e">
        <f t="shared" ca="1" si="116"/>
        <v>#N/A</v>
      </c>
      <c r="K1501" s="18" t="e">
        <f t="shared" ca="1" si="115"/>
        <v>#N/A</v>
      </c>
      <c r="L1501" t="e">
        <f ca="1">IF(J1501,Charms!B1501,"")</f>
        <v>#N/A</v>
      </c>
      <c r="M1501" t="str">
        <f t="shared" ca="1" si="117"/>
        <v>-</v>
      </c>
      <c r="N1501" s="18" t="str">
        <f t="shared" si="118"/>
        <v>K1485:L1534</v>
      </c>
      <c r="O1501" t="str">
        <f t="shared" si="119"/>
        <v>A1485:A1501</v>
      </c>
    </row>
    <row r="1502" spans="1:15">
      <c r="A1502" s="18" t="str">
        <f>Charms!K1502</f>
        <v>Survival</v>
      </c>
      <c r="B1502" t="str">
        <f>Charms!B1502</f>
        <v>Traceless Passage</v>
      </c>
      <c r="C1502" t="b">
        <f ca="1">OR(Values!$S$98&gt;=Charms!M1502,IFERROR(Charms!J1502=OFFSET(Values!$A$24,MATCH("S",Values!$T$25:$T$50,0),0),FALSE))</f>
        <v>0</v>
      </c>
      <c r="D1502" t="b">
        <f>VLOOKUP(Charms!J1502,Values!$A$11:$S$59,19,0)&gt;=Charms!L1502</f>
        <v>0</v>
      </c>
      <c r="E1502" t="e">
        <f>OR(ISBLANK(Charms!I1502),(VLOOKUP(Values!$S$6,Castes!$B$2:$F$25,4,0)=Charms!I1502))</f>
        <v>#N/A</v>
      </c>
      <c r="J1502" t="e">
        <f t="shared" ca="1" si="116"/>
        <v>#N/A</v>
      </c>
      <c r="K1502" s="18" t="e">
        <f t="shared" ca="1" si="115"/>
        <v>#N/A</v>
      </c>
      <c r="L1502" t="e">
        <f ca="1">IF(J1502,Charms!B1502,"")</f>
        <v>#N/A</v>
      </c>
      <c r="M1502" t="str">
        <f t="shared" ca="1" si="117"/>
        <v>-</v>
      </c>
      <c r="N1502" s="18" t="str">
        <f t="shared" si="118"/>
        <v>K1485:L1534</v>
      </c>
      <c r="O1502" t="str">
        <f t="shared" si="119"/>
        <v>A1485:A1502</v>
      </c>
    </row>
    <row r="1503" spans="1:15">
      <c r="A1503" s="18" t="str">
        <f>Charms!K1503</f>
        <v>Survival</v>
      </c>
      <c r="B1503" t="str">
        <f>Charms!B1503</f>
        <v>Eye-Deceiving Camouflage</v>
      </c>
      <c r="C1503" t="b">
        <f ca="1">OR(Values!$S$98&gt;=Charms!M1503,IFERROR(Charms!J1503=OFFSET(Values!$A$24,MATCH("S",Values!$T$25:$T$50,0),0),FALSE))</f>
        <v>0</v>
      </c>
      <c r="D1503" t="b">
        <f>VLOOKUP(Charms!J1503,Values!$A$11:$S$59,19,0)&gt;=Charms!L1503</f>
        <v>0</v>
      </c>
      <c r="E1503" t="e">
        <f>OR(ISBLANK(Charms!I1503),(VLOOKUP(Values!$S$6,Castes!$B$2:$F$25,4,0)=Charms!I1503))</f>
        <v>#N/A</v>
      </c>
      <c r="J1503" t="e">
        <f t="shared" ca="1" si="116"/>
        <v>#N/A</v>
      </c>
      <c r="K1503" s="18" t="e">
        <f t="shared" ca="1" si="115"/>
        <v>#N/A</v>
      </c>
      <c r="L1503" t="e">
        <f ca="1">IF(J1503,Charms!B1503,"")</f>
        <v>#N/A</v>
      </c>
      <c r="M1503" t="str">
        <f t="shared" ca="1" si="117"/>
        <v>-</v>
      </c>
      <c r="N1503" s="18" t="str">
        <f t="shared" si="118"/>
        <v>K1485:L1534</v>
      </c>
      <c r="O1503" t="str">
        <f t="shared" si="119"/>
        <v>A1485:A1503</v>
      </c>
    </row>
    <row r="1504" spans="1:15">
      <c r="A1504" s="18" t="str">
        <f>Charms!K1504</f>
        <v>Survival</v>
      </c>
      <c r="B1504" t="str">
        <f>Charms!B1504</f>
        <v>Red-Toothed Execution Order</v>
      </c>
      <c r="C1504" t="b">
        <f ca="1">OR(Values!$S$98&gt;=Charms!M1504,IFERROR(Charms!J1504=OFFSET(Values!$A$24,MATCH("S",Values!$T$25:$T$50,0),0),FALSE))</f>
        <v>0</v>
      </c>
      <c r="D1504" t="b">
        <f>VLOOKUP(Charms!J1504,Values!$A$11:$S$59,19,0)&gt;=Charms!L1504</f>
        <v>0</v>
      </c>
      <c r="E1504" t="e">
        <f>OR(ISBLANK(Charms!I1504),(VLOOKUP(Values!$S$6,Castes!$B$2:$F$25,4,0)=Charms!I1504))</f>
        <v>#N/A</v>
      </c>
      <c r="J1504" t="e">
        <f t="shared" ca="1" si="116"/>
        <v>#N/A</v>
      </c>
      <c r="K1504" s="18" t="e">
        <f t="shared" ca="1" si="115"/>
        <v>#N/A</v>
      </c>
      <c r="L1504" t="e">
        <f ca="1">IF(J1504,Charms!B1504,"")</f>
        <v>#N/A</v>
      </c>
      <c r="M1504" t="str">
        <f t="shared" ca="1" si="117"/>
        <v>-</v>
      </c>
      <c r="N1504" s="18" t="str">
        <f t="shared" si="118"/>
        <v>K1485:L1534</v>
      </c>
      <c r="O1504" t="str">
        <f t="shared" si="119"/>
        <v>A1485:A1504</v>
      </c>
    </row>
    <row r="1505" spans="1:15">
      <c r="A1505" s="18" t="str">
        <f>Charms!K1505</f>
        <v>Survival</v>
      </c>
      <c r="B1505" t="str">
        <f>Charms!B1505</f>
        <v>Ghost Panther Slinking</v>
      </c>
      <c r="C1505" t="b">
        <f ca="1">OR(Values!$S$98&gt;=Charms!M1505,IFERROR(Charms!J1505=OFFSET(Values!$A$24,MATCH("S",Values!$T$25:$T$50,0),0),FALSE))</f>
        <v>0</v>
      </c>
      <c r="D1505" t="b">
        <f>VLOOKUP(Charms!J1505,Values!$A$11:$S$59,19,0)&gt;=Charms!L1505</f>
        <v>0</v>
      </c>
      <c r="E1505" t="e">
        <f>OR(ISBLANK(Charms!I1505),(VLOOKUP(Values!$S$6,Castes!$B$2:$F$25,4,0)=Charms!I1505))</f>
        <v>#N/A</v>
      </c>
      <c r="J1505" t="e">
        <f t="shared" ca="1" si="116"/>
        <v>#N/A</v>
      </c>
      <c r="K1505" s="18" t="e">
        <f t="shared" ca="1" si="115"/>
        <v>#N/A</v>
      </c>
      <c r="L1505" t="e">
        <f ca="1">IF(J1505,Charms!B1505,"")</f>
        <v>#N/A</v>
      </c>
      <c r="M1505" t="str">
        <f t="shared" ca="1" si="117"/>
        <v>-</v>
      </c>
      <c r="N1505" s="18" t="str">
        <f t="shared" si="118"/>
        <v>K1485:L1534</v>
      </c>
      <c r="O1505" t="str">
        <f t="shared" si="119"/>
        <v>A1485:A1505</v>
      </c>
    </row>
    <row r="1506" spans="1:15">
      <c r="A1506" s="18" t="str">
        <f>Charms!K1506</f>
        <v>Survival</v>
      </c>
      <c r="B1506" t="str">
        <f>Charms!B1506</f>
        <v>Saga Beast Virtue</v>
      </c>
      <c r="C1506" t="b">
        <f ca="1">OR(Values!$S$98&gt;=Charms!M1506,IFERROR(Charms!J1506=OFFSET(Values!$A$24,MATCH("S",Values!$T$25:$T$50,0),0),FALSE))</f>
        <v>0</v>
      </c>
      <c r="D1506" t="b">
        <f>VLOOKUP(Charms!J1506,Values!$A$11:$S$59,19,0)&gt;=Charms!L1506</f>
        <v>0</v>
      </c>
      <c r="E1506" t="e">
        <f>OR(ISBLANK(Charms!I1506),(VLOOKUP(Values!$S$6,Castes!$B$2:$F$25,4,0)=Charms!I1506))</f>
        <v>#N/A</v>
      </c>
      <c r="J1506" t="e">
        <f t="shared" ca="1" si="116"/>
        <v>#N/A</v>
      </c>
      <c r="K1506" s="18" t="e">
        <f t="shared" ca="1" si="115"/>
        <v>#N/A</v>
      </c>
      <c r="L1506" t="e">
        <f ca="1">IF(J1506,Charms!B1506,"")</f>
        <v>#N/A</v>
      </c>
      <c r="M1506" t="str">
        <f t="shared" ca="1" si="117"/>
        <v>-</v>
      </c>
      <c r="N1506" s="18" t="str">
        <f t="shared" si="118"/>
        <v>K1485:L1534</v>
      </c>
      <c r="O1506" t="str">
        <f t="shared" si="119"/>
        <v>A1485:A1506</v>
      </c>
    </row>
    <row r="1507" spans="1:15">
      <c r="A1507" s="18" t="str">
        <f>Charms!K1507</f>
        <v>Survival</v>
      </c>
      <c r="B1507" t="str">
        <f>Charms!B1507</f>
        <v>Phantom-Rending Fangs</v>
      </c>
      <c r="C1507" t="b">
        <f ca="1">OR(Values!$S$98&gt;=Charms!M1507,IFERROR(Charms!J1507=OFFSET(Values!$A$24,MATCH("S",Values!$T$25:$T$50,0),0),FALSE))</f>
        <v>0</v>
      </c>
      <c r="D1507" t="b">
        <f>VLOOKUP(Charms!J1507,Values!$A$11:$S$59,19,0)&gt;=Charms!L1507</f>
        <v>0</v>
      </c>
      <c r="E1507" t="e">
        <f>OR(ISBLANK(Charms!I1507),(VLOOKUP(Values!$S$6,Castes!$B$2:$F$25,4,0)=Charms!I1507))</f>
        <v>#N/A</v>
      </c>
      <c r="J1507" t="e">
        <f t="shared" ca="1" si="116"/>
        <v>#N/A</v>
      </c>
      <c r="K1507" s="18" t="e">
        <f t="shared" ca="1" si="115"/>
        <v>#N/A</v>
      </c>
      <c r="L1507" t="e">
        <f ca="1">IF(J1507,Charms!B1507,"")</f>
        <v>#N/A</v>
      </c>
      <c r="M1507" t="str">
        <f t="shared" ca="1" si="117"/>
        <v>-</v>
      </c>
      <c r="N1507" s="18" t="str">
        <f t="shared" si="118"/>
        <v>K1485:L1534</v>
      </c>
      <c r="O1507" t="str">
        <f t="shared" si="119"/>
        <v>A1485:A1507</v>
      </c>
    </row>
    <row r="1508" spans="1:15">
      <c r="A1508" s="18" t="str">
        <f>Charms!K1508</f>
        <v>Survival</v>
      </c>
      <c r="B1508" t="str">
        <f>Charms!B1508</f>
        <v>Crimson Talon Vigor</v>
      </c>
      <c r="C1508" t="b">
        <f ca="1">OR(Values!$S$98&gt;=Charms!M1508,IFERROR(Charms!J1508=OFFSET(Values!$A$24,MATCH("S",Values!$T$25:$T$50,0),0),FALSE))</f>
        <v>0</v>
      </c>
      <c r="D1508" t="b">
        <f>VLOOKUP(Charms!J1508,Values!$A$11:$S$59,19,0)&gt;=Charms!L1508</f>
        <v>0</v>
      </c>
      <c r="E1508" t="e">
        <f>OR(ISBLANK(Charms!I1508),(VLOOKUP(Values!$S$6,Castes!$B$2:$F$25,4,0)=Charms!I1508))</f>
        <v>#N/A</v>
      </c>
      <c r="J1508" t="e">
        <f t="shared" ca="1" si="116"/>
        <v>#N/A</v>
      </c>
      <c r="K1508" s="18" t="e">
        <f t="shared" ca="1" si="115"/>
        <v>#N/A</v>
      </c>
      <c r="L1508" t="e">
        <f ca="1">IF(J1508,Charms!B1508,"")</f>
        <v>#N/A</v>
      </c>
      <c r="M1508" t="str">
        <f t="shared" ca="1" si="117"/>
        <v>-</v>
      </c>
      <c r="N1508" s="18" t="str">
        <f t="shared" si="118"/>
        <v>K1485:L1534</v>
      </c>
      <c r="O1508" t="str">
        <f t="shared" si="119"/>
        <v>A1485:A1508</v>
      </c>
    </row>
    <row r="1509" spans="1:15">
      <c r="A1509" s="18" t="str">
        <f>Charms!K1509</f>
        <v>Survival</v>
      </c>
      <c r="B1509" t="str">
        <f>Charms!B1509</f>
        <v>Deadly Predator Method</v>
      </c>
      <c r="C1509" t="b">
        <f ca="1">OR(Values!$S$98&gt;=Charms!M1509,IFERROR(Charms!J1509=OFFSET(Values!$A$24,MATCH("S",Values!$T$25:$T$50,0),0),FALSE))</f>
        <v>0</v>
      </c>
      <c r="D1509" t="b">
        <f>VLOOKUP(Charms!J1509,Values!$A$11:$S$59,19,0)&gt;=Charms!L1509</f>
        <v>0</v>
      </c>
      <c r="E1509" t="e">
        <f>OR(ISBLANK(Charms!I1509),(VLOOKUP(Values!$S$6,Castes!$B$2:$F$25,4,0)=Charms!I1509))</f>
        <v>#N/A</v>
      </c>
      <c r="J1509" t="e">
        <f t="shared" ca="1" si="116"/>
        <v>#N/A</v>
      </c>
      <c r="K1509" s="18" t="e">
        <f t="shared" ca="1" si="115"/>
        <v>#N/A</v>
      </c>
      <c r="L1509" t="e">
        <f ca="1">IF(J1509,Charms!B1509,"")</f>
        <v>#N/A</v>
      </c>
      <c r="M1509" t="str">
        <f t="shared" ca="1" si="117"/>
        <v>-</v>
      </c>
      <c r="N1509" s="18" t="str">
        <f t="shared" si="118"/>
        <v>K1485:L1534</v>
      </c>
      <c r="O1509" t="str">
        <f t="shared" si="119"/>
        <v>A1485:A1509</v>
      </c>
    </row>
    <row r="1510" spans="1:15">
      <c r="A1510" s="18" t="str">
        <f>Charms!K1510</f>
        <v>Survival</v>
      </c>
      <c r="B1510" t="str">
        <f>Charms!B1510</f>
        <v>Elements-Sculpted Avatar</v>
      </c>
      <c r="C1510" t="b">
        <f ca="1">OR(Values!$S$98&gt;=Charms!M1510,IFERROR(Charms!J1510=OFFSET(Values!$A$24,MATCH("S",Values!$T$25:$T$50,0),0),FALSE))</f>
        <v>0</v>
      </c>
      <c r="D1510" t="b">
        <f>VLOOKUP(Charms!J1510,Values!$A$11:$S$59,19,0)&gt;=Charms!L1510</f>
        <v>0</v>
      </c>
      <c r="E1510" t="e">
        <f>OR(ISBLANK(Charms!I1510),(VLOOKUP(Values!$S$6,Castes!$B$2:$F$25,4,0)=Charms!I1510))</f>
        <v>#N/A</v>
      </c>
      <c r="J1510" t="e">
        <f t="shared" ca="1" si="116"/>
        <v>#N/A</v>
      </c>
      <c r="K1510" s="18" t="e">
        <f t="shared" ca="1" si="115"/>
        <v>#N/A</v>
      </c>
      <c r="L1510" t="e">
        <f ca="1">IF(J1510,Charms!B1510,"")</f>
        <v>#N/A</v>
      </c>
      <c r="M1510" t="str">
        <f t="shared" ca="1" si="117"/>
        <v>-</v>
      </c>
      <c r="N1510" s="18" t="str">
        <f t="shared" si="118"/>
        <v>K1485:L1534</v>
      </c>
      <c r="O1510" t="str">
        <f t="shared" si="119"/>
        <v>A1485:A1510</v>
      </c>
    </row>
    <row r="1511" spans="1:15">
      <c r="A1511" s="18" t="str">
        <f>Charms!K1511</f>
        <v>Survival</v>
      </c>
      <c r="B1511" t="str">
        <f>Charms!B1511</f>
        <v>Riotous Cry of the Beast</v>
      </c>
      <c r="C1511" t="b">
        <f ca="1">OR(Values!$S$98&gt;=Charms!M1511,IFERROR(Charms!J1511=OFFSET(Values!$A$24,MATCH("S",Values!$T$25:$T$50,0),0),FALSE))</f>
        <v>0</v>
      </c>
      <c r="D1511" t="b">
        <f>VLOOKUP(Charms!J1511,Values!$A$11:$S$59,19,0)&gt;=Charms!L1511</f>
        <v>0</v>
      </c>
      <c r="E1511" t="e">
        <f>OR(ISBLANK(Charms!I1511),(VLOOKUP(Values!$S$6,Castes!$B$2:$F$25,4,0)=Charms!I1511))</f>
        <v>#N/A</v>
      </c>
      <c r="J1511" t="e">
        <f t="shared" ca="1" si="116"/>
        <v>#N/A</v>
      </c>
      <c r="K1511" s="18" t="e">
        <f t="shared" ca="1" si="115"/>
        <v>#N/A</v>
      </c>
      <c r="L1511" t="e">
        <f ca="1">IF(J1511,Charms!B1511,"")</f>
        <v>#N/A</v>
      </c>
      <c r="M1511" t="str">
        <f t="shared" ca="1" si="117"/>
        <v>-</v>
      </c>
      <c r="N1511" s="18" t="str">
        <f t="shared" si="118"/>
        <v>K1485:L1534</v>
      </c>
      <c r="O1511" t="str">
        <f t="shared" si="119"/>
        <v>A1485:A1511</v>
      </c>
    </row>
    <row r="1512" spans="1:15">
      <c r="A1512" s="18" t="str">
        <f>Charms!K1512</f>
        <v>Survival</v>
      </c>
      <c r="B1512" t="str">
        <f>Charms!B1512</f>
        <v>Colossal Rampaging Beast</v>
      </c>
      <c r="C1512" t="b">
        <f ca="1">OR(Values!$S$98&gt;=Charms!M1512,IFERROR(Charms!J1512=OFFSET(Values!$A$24,MATCH("S",Values!$T$25:$T$50,0),0),FALSE))</f>
        <v>0</v>
      </c>
      <c r="D1512" t="b">
        <f>VLOOKUP(Charms!J1512,Values!$A$11:$S$59,19,0)&gt;=Charms!L1512</f>
        <v>0</v>
      </c>
      <c r="E1512" t="e">
        <f>OR(ISBLANK(Charms!I1512),(VLOOKUP(Values!$S$6,Castes!$B$2:$F$25,4,0)=Charms!I1512))</f>
        <v>#N/A</v>
      </c>
      <c r="J1512" t="e">
        <f t="shared" ca="1" si="116"/>
        <v>#N/A</v>
      </c>
      <c r="K1512" s="18" t="e">
        <f t="shared" ca="1" si="115"/>
        <v>#N/A</v>
      </c>
      <c r="L1512" t="e">
        <f ca="1">IF(J1512,Charms!B1512,"")</f>
        <v>#N/A</v>
      </c>
      <c r="M1512" t="str">
        <f t="shared" ca="1" si="117"/>
        <v>-</v>
      </c>
      <c r="N1512" s="18" t="str">
        <f t="shared" si="118"/>
        <v>K1485:L1534</v>
      </c>
      <c r="O1512" t="str">
        <f t="shared" si="119"/>
        <v>A1485:A1512</v>
      </c>
    </row>
    <row r="1513" spans="1:15">
      <c r="A1513" s="18" t="str">
        <f>Charms!K1513</f>
        <v>Survival</v>
      </c>
      <c r="B1513" t="str">
        <f>Charms!B1513</f>
        <v>Baara-Unleashing Technique</v>
      </c>
      <c r="C1513" t="b">
        <f ca="1">OR(Values!$S$98&gt;=Charms!M1513,IFERROR(Charms!J1513=OFFSET(Values!$A$24,MATCH("S",Values!$T$25:$T$50,0),0),FALSE))</f>
        <v>0</v>
      </c>
      <c r="D1513" t="b">
        <f>VLOOKUP(Charms!J1513,Values!$A$11:$S$59,19,0)&gt;=Charms!L1513</f>
        <v>0</v>
      </c>
      <c r="E1513" t="e">
        <f>OR(ISBLANK(Charms!I1513),(VLOOKUP(Values!$S$6,Castes!$B$2:$F$25,4,0)=Charms!I1513))</f>
        <v>#N/A</v>
      </c>
      <c r="J1513" t="e">
        <f t="shared" ca="1" si="116"/>
        <v>#N/A</v>
      </c>
      <c r="K1513" s="18" t="e">
        <f t="shared" ca="1" si="115"/>
        <v>#N/A</v>
      </c>
      <c r="L1513" t="e">
        <f ca="1">IF(J1513,Charms!B1513,"")</f>
        <v>#N/A</v>
      </c>
      <c r="M1513" t="str">
        <f t="shared" ca="1" si="117"/>
        <v>-</v>
      </c>
      <c r="N1513" s="18" t="str">
        <f t="shared" si="118"/>
        <v>K1485:L1534</v>
      </c>
      <c r="O1513" t="str">
        <f t="shared" si="119"/>
        <v>A1485:A1513</v>
      </c>
    </row>
    <row r="1514" spans="1:15">
      <c r="A1514" s="18" t="str">
        <f>Charms!K1514</f>
        <v>Survival</v>
      </c>
      <c r="B1514" t="str">
        <f>Charms!B1514</f>
        <v>Ration-Enhancing Method</v>
      </c>
      <c r="C1514" t="b">
        <f ca="1">OR(Values!$S$98&gt;=Charms!M1514,IFERROR(Charms!J1514=OFFSET(Values!$A$24,MATCH("S",Values!$T$25:$T$50,0),0),FALSE))</f>
        <v>1</v>
      </c>
      <c r="D1514" t="b">
        <f>VLOOKUP(Charms!J1514,Values!$A$11:$S$59,19,0)&gt;=Charms!L1514</f>
        <v>0</v>
      </c>
      <c r="E1514" t="e">
        <f>OR(ISBLANK(Charms!I1514),(VLOOKUP(Values!$S$6,Castes!$B$2:$F$25,4,0)=Charms!I1514))</f>
        <v>#N/A</v>
      </c>
      <c r="J1514" t="e">
        <f t="shared" ca="1" si="116"/>
        <v>#N/A</v>
      </c>
      <c r="K1514" s="18" t="e">
        <f t="shared" ca="1" si="115"/>
        <v>#N/A</v>
      </c>
      <c r="L1514" t="e">
        <f ca="1">IF(J1514,Charms!B1514,"")</f>
        <v>#N/A</v>
      </c>
      <c r="M1514" t="str">
        <f t="shared" ca="1" si="117"/>
        <v>-</v>
      </c>
      <c r="N1514" s="18" t="str">
        <f t="shared" si="118"/>
        <v>K1485:L1534</v>
      </c>
      <c r="O1514" t="str">
        <f t="shared" si="119"/>
        <v>A1485:A1514</v>
      </c>
    </row>
    <row r="1515" spans="1:15">
      <c r="A1515" s="18" t="str">
        <f>Charms!K1515</f>
        <v>Survival</v>
      </c>
      <c r="B1515" t="str">
        <f>Charms!B1515</f>
        <v>Quarry Revelation Technique</v>
      </c>
      <c r="C1515" t="b">
        <f ca="1">OR(Values!$S$98&gt;=Charms!M1515,IFERROR(Charms!J1515=OFFSET(Values!$A$24,MATCH("S",Values!$T$25:$T$50,0),0),FALSE))</f>
        <v>1</v>
      </c>
      <c r="D1515" t="b">
        <f>VLOOKUP(Charms!J1515,Values!$A$11:$S$59,19,0)&gt;=Charms!L1515</f>
        <v>0</v>
      </c>
      <c r="E1515" t="e">
        <f>OR(ISBLANK(Charms!I1515),(VLOOKUP(Values!$S$6,Castes!$B$2:$F$25,4,0)=Charms!I1515))</f>
        <v>#N/A</v>
      </c>
      <c r="J1515" t="e">
        <f t="shared" ca="1" si="116"/>
        <v>#N/A</v>
      </c>
      <c r="K1515" s="18" t="e">
        <f t="shared" ca="1" si="115"/>
        <v>#N/A</v>
      </c>
      <c r="L1515" t="e">
        <f ca="1">IF(J1515,Charms!B1515,"")</f>
        <v>#N/A</v>
      </c>
      <c r="M1515" t="str">
        <f t="shared" ca="1" si="117"/>
        <v>-</v>
      </c>
      <c r="N1515" s="18" t="str">
        <f t="shared" si="118"/>
        <v>K1485:L1534</v>
      </c>
      <c r="O1515" t="str">
        <f t="shared" si="119"/>
        <v>A1485:A1515</v>
      </c>
    </row>
    <row r="1516" spans="1:15">
      <c r="A1516" s="18" t="str">
        <f>Charms!K1516</f>
        <v>Survival</v>
      </c>
      <c r="B1516" t="str">
        <f>Charms!B1516</f>
        <v>Wild-Wandering Forester’s Charm</v>
      </c>
      <c r="C1516" t="b">
        <f ca="1">OR(Values!$S$98&gt;=Charms!M1516,IFERROR(Charms!J1516=OFFSET(Values!$A$24,MATCH("S",Values!$T$25:$T$50,0),0),FALSE))</f>
        <v>1</v>
      </c>
      <c r="D1516" t="b">
        <f>VLOOKUP(Charms!J1516,Values!$A$11:$S$59,19,0)&gt;=Charms!L1516</f>
        <v>0</v>
      </c>
      <c r="E1516" t="e">
        <f>OR(ISBLANK(Charms!I1516),(VLOOKUP(Values!$S$6,Castes!$B$2:$F$25,4,0)=Charms!I1516))</f>
        <v>#N/A</v>
      </c>
      <c r="J1516" t="e">
        <f t="shared" ca="1" si="116"/>
        <v>#N/A</v>
      </c>
      <c r="K1516" s="18" t="e">
        <f t="shared" ca="1" si="115"/>
        <v>#N/A</v>
      </c>
      <c r="L1516" t="e">
        <f ca="1">IF(J1516,Charms!B1516,"")</f>
        <v>#N/A</v>
      </c>
      <c r="M1516" t="str">
        <f t="shared" ca="1" si="117"/>
        <v>-</v>
      </c>
      <c r="N1516" s="18" t="str">
        <f t="shared" si="118"/>
        <v>K1485:L1534</v>
      </c>
      <c r="O1516" t="str">
        <f t="shared" si="119"/>
        <v>A1485:A1516</v>
      </c>
    </row>
    <row r="1517" spans="1:15">
      <c r="A1517" s="18" t="str">
        <f>Charms!K1517</f>
        <v>Survival</v>
      </c>
      <c r="B1517" t="str">
        <f>Charms!B1517</f>
        <v>Trail-Concealing Measure</v>
      </c>
      <c r="C1517" t="b">
        <f ca="1">OR(Values!$S$98&gt;=Charms!M1517,IFERROR(Charms!J1517=OFFSET(Values!$A$24,MATCH("S",Values!$T$25:$T$50,0),0),FALSE))</f>
        <v>1</v>
      </c>
      <c r="D1517" t="b">
        <f>VLOOKUP(Charms!J1517,Values!$A$11:$S$59,19,0)&gt;=Charms!L1517</f>
        <v>0</v>
      </c>
      <c r="E1517" t="e">
        <f>OR(ISBLANK(Charms!I1517),(VLOOKUP(Values!$S$6,Castes!$B$2:$F$25,4,0)=Charms!I1517))</f>
        <v>#N/A</v>
      </c>
      <c r="J1517" t="e">
        <f t="shared" ca="1" si="116"/>
        <v>#N/A</v>
      </c>
      <c r="K1517" s="18" t="e">
        <f t="shared" ca="1" si="115"/>
        <v>#N/A</v>
      </c>
      <c r="L1517" t="e">
        <f ca="1">IF(J1517,Charms!B1517,"")</f>
        <v>#N/A</v>
      </c>
      <c r="M1517" t="str">
        <f t="shared" ca="1" si="117"/>
        <v>-</v>
      </c>
      <c r="N1517" s="18" t="str">
        <f t="shared" si="118"/>
        <v>K1485:L1534</v>
      </c>
      <c r="O1517" t="str">
        <f t="shared" si="119"/>
        <v>A1485:A1517</v>
      </c>
    </row>
    <row r="1518" spans="1:15">
      <c r="A1518" s="18" t="str">
        <f>Charms!K1518</f>
        <v>Survival</v>
      </c>
      <c r="B1518" t="str">
        <f>Charms!B1518</f>
        <v>Beast-Taming Aspect</v>
      </c>
      <c r="C1518" t="b">
        <f ca="1">OR(Values!$S$98&gt;=Charms!M1518,IFERROR(Charms!J1518=OFFSET(Values!$A$24,MATCH("S",Values!$T$25:$T$50,0),0),FALSE))</f>
        <v>1</v>
      </c>
      <c r="D1518" t="b">
        <f>VLOOKUP(Charms!J1518,Values!$A$11:$S$59,19,0)&gt;=Charms!L1518</f>
        <v>0</v>
      </c>
      <c r="E1518" t="e">
        <f>OR(ISBLANK(Charms!I1518),(VLOOKUP(Values!$S$6,Castes!$B$2:$F$25,4,0)=Charms!I1518))</f>
        <v>#N/A</v>
      </c>
      <c r="J1518" t="e">
        <f t="shared" ca="1" si="116"/>
        <v>#N/A</v>
      </c>
      <c r="K1518" s="18" t="e">
        <f t="shared" ca="1" si="115"/>
        <v>#N/A</v>
      </c>
      <c r="L1518" t="e">
        <f ca="1">IF(J1518,Charms!B1518,"")</f>
        <v>#N/A</v>
      </c>
      <c r="M1518" t="str">
        <f t="shared" ca="1" si="117"/>
        <v>-</v>
      </c>
      <c r="N1518" s="18" t="str">
        <f t="shared" si="118"/>
        <v>K1485:L1534</v>
      </c>
      <c r="O1518" t="str">
        <f t="shared" si="119"/>
        <v>A1485:A1518</v>
      </c>
    </row>
    <row r="1519" spans="1:15">
      <c r="A1519" s="18" t="str">
        <f>Charms!K1519</f>
        <v>Survival</v>
      </c>
      <c r="B1519" t="str">
        <f>Charms!B1519</f>
        <v>Animal Empathy Technique</v>
      </c>
      <c r="C1519" t="b">
        <f ca="1">OR(Values!$S$98&gt;=Charms!M1519,IFERROR(Charms!J1519=OFFSET(Values!$A$24,MATCH("S",Values!$T$25:$T$50,0),0),FALSE))</f>
        <v>1</v>
      </c>
      <c r="D1519" t="b">
        <f>VLOOKUP(Charms!J1519,Values!$A$11:$S$59,19,0)&gt;=Charms!L1519</f>
        <v>0</v>
      </c>
      <c r="E1519" t="e">
        <f>OR(ISBLANK(Charms!I1519),(VLOOKUP(Values!$S$6,Castes!$B$2:$F$25,4,0)=Charms!I1519))</f>
        <v>#N/A</v>
      </c>
      <c r="J1519" t="e">
        <f t="shared" ca="1" si="116"/>
        <v>#N/A</v>
      </c>
      <c r="K1519" s="18" t="e">
        <f t="shared" ca="1" si="115"/>
        <v>#N/A</v>
      </c>
      <c r="L1519" t="e">
        <f ca="1">IF(J1519,Charms!B1519,"")</f>
        <v>#N/A</v>
      </c>
      <c r="M1519" t="str">
        <f t="shared" ca="1" si="117"/>
        <v>-</v>
      </c>
      <c r="N1519" s="18" t="str">
        <f t="shared" si="118"/>
        <v>K1485:L1534</v>
      </c>
      <c r="O1519" t="str">
        <f t="shared" si="119"/>
        <v>A1485:A1519</v>
      </c>
    </row>
    <row r="1520" spans="1:15">
      <c r="A1520" s="18" t="str">
        <f>Charms!K1520</f>
        <v>Survival</v>
      </c>
      <c r="B1520" t="str">
        <f>Charms!B1520</f>
        <v>Invoking Nature’s Forgiveness</v>
      </c>
      <c r="C1520" t="b">
        <f ca="1">OR(Values!$S$98&gt;=Charms!M1520,IFERROR(Charms!J1520=OFFSET(Values!$A$24,MATCH("S",Values!$T$25:$T$50,0),0),FALSE))</f>
        <v>0</v>
      </c>
      <c r="D1520" t="b">
        <f>VLOOKUP(Charms!J1520,Values!$A$11:$S$59,19,0)&gt;=Charms!L1520</f>
        <v>0</v>
      </c>
      <c r="E1520" t="e">
        <f>OR(ISBLANK(Charms!I1520),(VLOOKUP(Values!$S$6,Castes!$B$2:$F$25,4,0)=Charms!I1520))</f>
        <v>#N/A</v>
      </c>
      <c r="J1520" t="e">
        <f t="shared" ca="1" si="116"/>
        <v>#N/A</v>
      </c>
      <c r="K1520" s="18" t="e">
        <f t="shared" ca="1" si="115"/>
        <v>#N/A</v>
      </c>
      <c r="L1520" t="e">
        <f ca="1">IF(J1520,Charms!B1520,"")</f>
        <v>#N/A</v>
      </c>
      <c r="M1520" t="str">
        <f t="shared" ca="1" si="117"/>
        <v>-</v>
      </c>
      <c r="N1520" s="18" t="str">
        <f t="shared" si="118"/>
        <v>K1485:L1534</v>
      </c>
      <c r="O1520" t="str">
        <f t="shared" si="119"/>
        <v>A1485:A1520</v>
      </c>
    </row>
    <row r="1521" spans="1:15">
      <c r="A1521" s="18" t="str">
        <f>Charms!K1521</f>
        <v>Survival</v>
      </c>
      <c r="B1521" t="str">
        <f>Charms!B1521</f>
        <v>Stalking Wolf Pursuit</v>
      </c>
      <c r="C1521" t="b">
        <f ca="1">OR(Values!$S$98&gt;=Charms!M1521,IFERROR(Charms!J1521=OFFSET(Values!$A$24,MATCH("S",Values!$T$25:$T$50,0),0),FALSE))</f>
        <v>0</v>
      </c>
      <c r="D1521" t="b">
        <f>VLOOKUP(Charms!J1521,Values!$A$11:$S$59,19,0)&gt;=Charms!L1521</f>
        <v>0</v>
      </c>
      <c r="E1521" t="e">
        <f>OR(ISBLANK(Charms!I1521),(VLOOKUP(Values!$S$6,Castes!$B$2:$F$25,4,0)=Charms!I1521))</f>
        <v>#N/A</v>
      </c>
      <c r="J1521" t="e">
        <f t="shared" ca="1" si="116"/>
        <v>#N/A</v>
      </c>
      <c r="K1521" s="18" t="e">
        <f t="shared" ca="1" si="115"/>
        <v>#N/A</v>
      </c>
      <c r="L1521" t="e">
        <f ca="1">IF(J1521,Charms!B1521,"")</f>
        <v>#N/A</v>
      </c>
      <c r="M1521" t="str">
        <f t="shared" ca="1" si="117"/>
        <v>-</v>
      </c>
      <c r="N1521" s="18" t="str">
        <f t="shared" si="118"/>
        <v>K1485:L1534</v>
      </c>
      <c r="O1521" t="str">
        <f t="shared" si="119"/>
        <v>A1485:A1521</v>
      </c>
    </row>
    <row r="1522" spans="1:15">
      <c r="A1522" s="18" t="str">
        <f>Charms!K1522</f>
        <v>Survival</v>
      </c>
      <c r="B1522" t="str">
        <f>Charms!B1522</f>
        <v>Mother-of-Beasts Mastery</v>
      </c>
      <c r="C1522" t="b">
        <f ca="1">OR(Values!$S$98&gt;=Charms!M1522,IFERROR(Charms!J1522=OFFSET(Values!$A$24,MATCH("S",Values!$T$25:$T$50,0),0),FALSE))</f>
        <v>0</v>
      </c>
      <c r="D1522" t="b">
        <f>VLOOKUP(Charms!J1522,Values!$A$11:$S$59,19,0)&gt;=Charms!L1522</f>
        <v>0</v>
      </c>
      <c r="E1522" t="e">
        <f>OR(ISBLANK(Charms!I1522),(VLOOKUP(Values!$S$6,Castes!$B$2:$F$25,4,0)=Charms!I1522))</f>
        <v>#N/A</v>
      </c>
      <c r="J1522" t="e">
        <f t="shared" ca="1" si="116"/>
        <v>#N/A</v>
      </c>
      <c r="K1522" s="18" t="e">
        <f t="shared" ca="1" si="115"/>
        <v>#N/A</v>
      </c>
      <c r="L1522" t="e">
        <f ca="1">IF(J1522,Charms!B1522,"")</f>
        <v>#N/A</v>
      </c>
      <c r="M1522" t="str">
        <f t="shared" ca="1" si="117"/>
        <v>-</v>
      </c>
      <c r="N1522" s="18" t="str">
        <f t="shared" si="118"/>
        <v>K1485:L1534</v>
      </c>
      <c r="O1522" t="str">
        <f t="shared" si="119"/>
        <v>A1485:A1522</v>
      </c>
    </row>
    <row r="1523" spans="1:15">
      <c r="A1523" s="18" t="str">
        <f>Charms!K1523</f>
        <v>Survival</v>
      </c>
      <c r="B1523" t="str">
        <f>Charms!B1523</f>
        <v>Vanishing Tracks Technique</v>
      </c>
      <c r="C1523" t="b">
        <f ca="1">OR(Values!$S$98&gt;=Charms!M1523,IFERROR(Charms!J1523=OFFSET(Values!$A$24,MATCH("S",Values!$T$25:$T$50,0),0),FALSE))</f>
        <v>0</v>
      </c>
      <c r="D1523" t="b">
        <f>VLOOKUP(Charms!J1523,Values!$A$11:$S$59,19,0)&gt;=Charms!L1523</f>
        <v>0</v>
      </c>
      <c r="E1523" t="e">
        <f>OR(ISBLANK(Charms!I1523),(VLOOKUP(Values!$S$6,Castes!$B$2:$F$25,4,0)=Charms!I1523))</f>
        <v>#N/A</v>
      </c>
      <c r="J1523" t="e">
        <f t="shared" ca="1" si="116"/>
        <v>#N/A</v>
      </c>
      <c r="K1523" s="18" t="e">
        <f t="shared" ca="1" si="115"/>
        <v>#N/A</v>
      </c>
      <c r="L1523" t="e">
        <f ca="1">IF(J1523,Charms!B1523,"")</f>
        <v>#N/A</v>
      </c>
      <c r="M1523" t="str">
        <f t="shared" ca="1" si="117"/>
        <v>-</v>
      </c>
      <c r="N1523" s="18" t="str">
        <f t="shared" si="118"/>
        <v>K1485:L1534</v>
      </c>
      <c r="O1523" t="str">
        <f t="shared" si="119"/>
        <v>A1485:A1523</v>
      </c>
    </row>
    <row r="1524" spans="1:15">
      <c r="A1524" s="18" t="str">
        <f>Charms!K1524</f>
        <v>Survival</v>
      </c>
      <c r="B1524" t="str">
        <f>Charms!B1524</f>
        <v>Tireless Caravan Prana</v>
      </c>
      <c r="C1524" t="b">
        <f ca="1">OR(Values!$S$98&gt;=Charms!M1524,IFERROR(Charms!J1524=OFFSET(Values!$A$24,MATCH("S",Values!$T$25:$T$50,0),0),FALSE))</f>
        <v>0</v>
      </c>
      <c r="D1524" t="b">
        <f>VLOOKUP(Charms!J1524,Values!$A$11:$S$59,19,0)&gt;=Charms!L1524</f>
        <v>0</v>
      </c>
      <c r="E1524" t="e">
        <f>OR(ISBLANK(Charms!I1524),(VLOOKUP(Values!$S$6,Castes!$B$2:$F$25,4,0)=Charms!I1524))</f>
        <v>#N/A</v>
      </c>
      <c r="J1524" t="e">
        <f t="shared" ca="1" si="116"/>
        <v>#N/A</v>
      </c>
      <c r="K1524" s="18" t="e">
        <f t="shared" ca="1" si="115"/>
        <v>#N/A</v>
      </c>
      <c r="L1524" t="e">
        <f ca="1">IF(J1524,Charms!B1524,"")</f>
        <v>#N/A</v>
      </c>
      <c r="M1524" t="str">
        <f t="shared" ca="1" si="117"/>
        <v>-</v>
      </c>
      <c r="N1524" s="18" t="str">
        <f t="shared" si="118"/>
        <v>K1485:L1534</v>
      </c>
      <c r="O1524" t="str">
        <f t="shared" si="119"/>
        <v>A1485:A1524</v>
      </c>
    </row>
    <row r="1525" spans="1:15">
      <c r="A1525" s="18" t="str">
        <f>Charms!K1525</f>
        <v>Survival</v>
      </c>
      <c r="B1525" t="str">
        <f>Charms!B1525</f>
        <v>Uncanny Fugitive’s Intuition</v>
      </c>
      <c r="C1525" t="b">
        <f ca="1">OR(Values!$S$98&gt;=Charms!M1525,IFERROR(Charms!J1525=OFFSET(Values!$A$24,MATCH("S",Values!$T$25:$T$50,0),0),FALSE))</f>
        <v>0</v>
      </c>
      <c r="D1525" t="b">
        <f>VLOOKUP(Charms!J1525,Values!$A$11:$S$59,19,0)&gt;=Charms!L1525</f>
        <v>0</v>
      </c>
      <c r="E1525" t="e">
        <f>OR(ISBLANK(Charms!I1525),(VLOOKUP(Values!$S$6,Castes!$B$2:$F$25,4,0)=Charms!I1525))</f>
        <v>#N/A</v>
      </c>
      <c r="J1525" t="e">
        <f t="shared" ca="1" si="116"/>
        <v>#N/A</v>
      </c>
      <c r="K1525" s="18" t="e">
        <f t="shared" ca="1" si="115"/>
        <v>#N/A</v>
      </c>
      <c r="L1525" t="e">
        <f ca="1">IF(J1525,Charms!B1525,"")</f>
        <v>#N/A</v>
      </c>
      <c r="M1525" t="str">
        <f t="shared" ca="1" si="117"/>
        <v>-</v>
      </c>
      <c r="N1525" s="18" t="str">
        <f t="shared" si="118"/>
        <v>K1485:L1534</v>
      </c>
      <c r="O1525" t="str">
        <f t="shared" si="119"/>
        <v>A1485:A1525</v>
      </c>
    </row>
    <row r="1526" spans="1:15">
      <c r="A1526" s="18" t="str">
        <f>Charms!K1526</f>
        <v>Survival</v>
      </c>
      <c r="B1526" t="str">
        <f>Charms!B1526</f>
        <v>Eternal Elemental Harmony</v>
      </c>
      <c r="C1526" t="b">
        <f ca="1">OR(Values!$S$98&gt;=Charms!M1526,IFERROR(Charms!J1526=OFFSET(Values!$A$24,MATCH("S",Values!$T$25:$T$50,0),0),FALSE))</f>
        <v>0</v>
      </c>
      <c r="D1526" t="b">
        <f>VLOOKUP(Charms!J1526,Values!$A$11:$S$59,19,0)&gt;=Charms!L1526</f>
        <v>0</v>
      </c>
      <c r="E1526" t="e">
        <f>OR(ISBLANK(Charms!I1526),(VLOOKUP(Values!$S$6,Castes!$B$2:$F$25,4,0)=Charms!I1526))</f>
        <v>#N/A</v>
      </c>
      <c r="J1526" t="e">
        <f t="shared" ca="1" si="116"/>
        <v>#N/A</v>
      </c>
      <c r="K1526" s="18" t="e">
        <f t="shared" ca="1" si="115"/>
        <v>#N/A</v>
      </c>
      <c r="L1526" t="e">
        <f ca="1">IF(J1526,Charms!B1526,"")</f>
        <v>#N/A</v>
      </c>
      <c r="M1526" t="str">
        <f t="shared" ca="1" si="117"/>
        <v>-</v>
      </c>
      <c r="N1526" s="18" t="str">
        <f t="shared" si="118"/>
        <v>K1485:L1534</v>
      </c>
      <c r="O1526" t="str">
        <f t="shared" si="119"/>
        <v>A1485:A1526</v>
      </c>
    </row>
    <row r="1527" spans="1:15">
      <c r="A1527" s="18" t="str">
        <f>Charms!K1527</f>
        <v>Survival</v>
      </c>
      <c r="B1527" t="str">
        <f>Charms!B1527</f>
        <v>Cunning Beast-Mind Inspiration</v>
      </c>
      <c r="C1527" t="b">
        <f ca="1">OR(Values!$S$98&gt;=Charms!M1527,IFERROR(Charms!J1527=OFFSET(Values!$A$24,MATCH("S",Values!$T$25:$T$50,0),0),FALSE))</f>
        <v>0</v>
      </c>
      <c r="D1527" t="b">
        <f>VLOOKUP(Charms!J1527,Values!$A$11:$S$59,19,0)&gt;=Charms!L1527</f>
        <v>0</v>
      </c>
      <c r="E1527" t="e">
        <f>OR(ISBLANK(Charms!I1527),(VLOOKUP(Values!$S$6,Castes!$B$2:$F$25,4,0)=Charms!I1527))</f>
        <v>#N/A</v>
      </c>
      <c r="J1527" t="e">
        <f t="shared" ca="1" si="116"/>
        <v>#N/A</v>
      </c>
      <c r="K1527" s="18" t="e">
        <f t="shared" ca="1" si="115"/>
        <v>#N/A</v>
      </c>
      <c r="L1527" t="e">
        <f ca="1">IF(J1527,Charms!B1527,"")</f>
        <v>#N/A</v>
      </c>
      <c r="M1527" t="str">
        <f t="shared" ca="1" si="117"/>
        <v>-</v>
      </c>
      <c r="N1527" s="18" t="str">
        <f t="shared" si="118"/>
        <v>K1485:L1534</v>
      </c>
      <c r="O1527" t="str">
        <f t="shared" si="119"/>
        <v>A1485:A1527</v>
      </c>
    </row>
    <row r="1528" spans="1:15">
      <c r="A1528" s="18" t="str">
        <f>Charms!K1528</f>
        <v>Survival</v>
      </c>
      <c r="B1528" t="str">
        <f>Charms!B1528</f>
        <v>Earth-Moving Kata</v>
      </c>
      <c r="C1528" t="b">
        <f ca="1">OR(Values!$S$98&gt;=Charms!M1528,IFERROR(Charms!J1528=OFFSET(Values!$A$24,MATCH("S",Values!$T$25:$T$50,0),0),FALSE))</f>
        <v>0</v>
      </c>
      <c r="D1528" t="b">
        <f>VLOOKUP(Charms!J1528,Values!$A$11:$S$59,19,0)&gt;=Charms!L1528</f>
        <v>0</v>
      </c>
      <c r="E1528" t="e">
        <f>OR(ISBLANK(Charms!I1528),(VLOOKUP(Values!$S$6,Castes!$B$2:$F$25,4,0)=Charms!I1528))</f>
        <v>#N/A</v>
      </c>
      <c r="J1528" t="e">
        <f t="shared" ca="1" si="116"/>
        <v>#N/A</v>
      </c>
      <c r="K1528" s="18" t="e">
        <f t="shared" ca="1" si="115"/>
        <v>#N/A</v>
      </c>
      <c r="L1528" t="e">
        <f ca="1">IF(J1528,Charms!B1528,"")</f>
        <v>#N/A</v>
      </c>
      <c r="M1528" t="str">
        <f t="shared" ca="1" si="117"/>
        <v>-</v>
      </c>
      <c r="N1528" s="18" t="str">
        <f t="shared" si="118"/>
        <v>K1485:L1534</v>
      </c>
      <c r="O1528" t="str">
        <f t="shared" si="119"/>
        <v>A1485:A1528</v>
      </c>
    </row>
    <row r="1529" spans="1:15">
      <c r="A1529" s="18" t="str">
        <f>Charms!K1529</f>
        <v>Survival</v>
      </c>
      <c r="B1529" t="str">
        <f>Charms!B1529</f>
        <v>Wildfire-Taming Technique</v>
      </c>
      <c r="C1529" t="b">
        <f ca="1">OR(Values!$S$98&gt;=Charms!M1529,IFERROR(Charms!J1529=OFFSET(Values!$A$24,MATCH("S",Values!$T$25:$T$50,0),0),FALSE))</f>
        <v>0</v>
      </c>
      <c r="D1529" t="b">
        <f>VLOOKUP(Charms!J1529,Values!$A$11:$S$59,19,0)&gt;=Charms!L1529</f>
        <v>0</v>
      </c>
      <c r="E1529" t="e">
        <f>OR(ISBLANK(Charms!I1529),(VLOOKUP(Values!$S$6,Castes!$B$2:$F$25,4,0)=Charms!I1529))</f>
        <v>#N/A</v>
      </c>
      <c r="J1529" t="e">
        <f t="shared" ca="1" si="116"/>
        <v>#N/A</v>
      </c>
      <c r="K1529" s="18" t="e">
        <f t="shared" ca="1" si="115"/>
        <v>#N/A</v>
      </c>
      <c r="L1529" t="e">
        <f ca="1">IF(J1529,Charms!B1529,"")</f>
        <v>#N/A</v>
      </c>
      <c r="M1529" t="str">
        <f t="shared" ca="1" si="117"/>
        <v>-</v>
      </c>
      <c r="N1529" s="18" t="str">
        <f t="shared" si="118"/>
        <v>K1485:L1534</v>
      </c>
      <c r="O1529" t="str">
        <f t="shared" si="119"/>
        <v>A1485:A1529</v>
      </c>
    </row>
    <row r="1530" spans="1:15">
      <c r="A1530" s="18" t="str">
        <f>Charms!K1530</f>
        <v>Survival</v>
      </c>
      <c r="B1530" t="str">
        <f>Charms!B1530</f>
        <v>Stalking Apex Predator Technique</v>
      </c>
      <c r="C1530" t="b">
        <f ca="1">OR(Values!$S$98&gt;=Charms!M1530,IFERROR(Charms!J1530=OFFSET(Values!$A$24,MATCH("S",Values!$T$25:$T$50,0),0),FALSE))</f>
        <v>0</v>
      </c>
      <c r="D1530" t="b">
        <f>VLOOKUP(Charms!J1530,Values!$A$11:$S$59,19,0)&gt;=Charms!L1530</f>
        <v>0</v>
      </c>
      <c r="E1530" t="e">
        <f>OR(ISBLANK(Charms!I1530),(VLOOKUP(Values!$S$6,Castes!$B$2:$F$25,4,0)=Charms!I1530))</f>
        <v>#N/A</v>
      </c>
      <c r="J1530" t="e">
        <f t="shared" ca="1" si="116"/>
        <v>#N/A</v>
      </c>
      <c r="K1530" s="18" t="e">
        <f t="shared" ca="1" si="115"/>
        <v>#N/A</v>
      </c>
      <c r="L1530" t="e">
        <f ca="1">IF(J1530,Charms!B1530,"")</f>
        <v>#N/A</v>
      </c>
      <c r="M1530" t="str">
        <f t="shared" ca="1" si="117"/>
        <v>-</v>
      </c>
      <c r="N1530" s="18" t="str">
        <f t="shared" si="118"/>
        <v>K1485:L1534</v>
      </c>
      <c r="O1530" t="str">
        <f t="shared" si="119"/>
        <v>A1485:A1530</v>
      </c>
    </row>
    <row r="1531" spans="1:15">
      <c r="A1531" s="18" t="str">
        <f>Charms!K1531</f>
        <v>Survival</v>
      </c>
      <c r="B1531" t="str">
        <f>Charms!B1531</f>
        <v>Roaring Dragon Font</v>
      </c>
      <c r="C1531" t="b">
        <f ca="1">OR(Values!$S$98&gt;=Charms!M1531,IFERROR(Charms!J1531=OFFSET(Values!$A$24,MATCH("S",Values!$T$25:$T$50,0),0),FALSE))</f>
        <v>0</v>
      </c>
      <c r="D1531" t="b">
        <f>VLOOKUP(Charms!J1531,Values!$A$11:$S$59,19,0)&gt;=Charms!L1531</f>
        <v>0</v>
      </c>
      <c r="E1531" t="e">
        <f>OR(ISBLANK(Charms!I1531),(VLOOKUP(Values!$S$6,Castes!$B$2:$F$25,4,0)=Charms!I1531))</f>
        <v>#N/A</v>
      </c>
      <c r="J1531" t="e">
        <f t="shared" ca="1" si="116"/>
        <v>#N/A</v>
      </c>
      <c r="K1531" s="18" t="e">
        <f t="shared" ca="1" si="115"/>
        <v>#N/A</v>
      </c>
      <c r="L1531" t="e">
        <f ca="1">IF(J1531,Charms!B1531,"")</f>
        <v>#N/A</v>
      </c>
      <c r="M1531" t="str">
        <f t="shared" ca="1" si="117"/>
        <v>-</v>
      </c>
      <c r="N1531" s="18" t="str">
        <f t="shared" si="118"/>
        <v>K1485:L1534</v>
      </c>
      <c r="O1531" t="str">
        <f t="shared" si="119"/>
        <v>A1485:A1531</v>
      </c>
    </row>
    <row r="1532" spans="1:15">
      <c r="A1532" s="18" t="str">
        <f>Charms!K1532</f>
        <v>Survival</v>
      </c>
      <c r="B1532" t="str">
        <f>Charms!B1532</f>
        <v>Dragon’s Nest Shelter</v>
      </c>
      <c r="C1532" t="b">
        <f ca="1">OR(Values!$S$98&gt;=Charms!M1532,IFERROR(Charms!J1532=OFFSET(Values!$A$24,MATCH("S",Values!$T$25:$T$50,0),0),FALSE))</f>
        <v>0</v>
      </c>
      <c r="D1532" t="b">
        <f>VLOOKUP(Charms!J1532,Values!$A$11:$S$59,19,0)&gt;=Charms!L1532</f>
        <v>0</v>
      </c>
      <c r="E1532" t="e">
        <f>OR(ISBLANK(Charms!I1532),(VLOOKUP(Values!$S$6,Castes!$B$2:$F$25,4,0)=Charms!I1532))</f>
        <v>#N/A</v>
      </c>
      <c r="J1532" t="e">
        <f t="shared" ca="1" si="116"/>
        <v>#N/A</v>
      </c>
      <c r="K1532" s="18" t="e">
        <f t="shared" ca="1" si="115"/>
        <v>#N/A</v>
      </c>
      <c r="L1532" t="e">
        <f ca="1">IF(J1532,Charms!B1532,"")</f>
        <v>#N/A</v>
      </c>
      <c r="M1532" t="str">
        <f t="shared" ca="1" si="117"/>
        <v>-</v>
      </c>
      <c r="N1532" s="18" t="str">
        <f t="shared" si="118"/>
        <v>K1485:L1534</v>
      </c>
      <c r="O1532" t="str">
        <f t="shared" si="119"/>
        <v>A1485:A1532</v>
      </c>
    </row>
    <row r="1533" spans="1:15">
      <c r="A1533" s="18" t="str">
        <f>Charms!K1533</f>
        <v>Survival</v>
      </c>
      <c r="B1533" t="str">
        <f>Charms!B1533</f>
        <v>Burning Fang Strike</v>
      </c>
      <c r="C1533" t="b">
        <f ca="1">OR(Values!$S$98&gt;=Charms!M1533,IFERROR(Charms!J1533=OFFSET(Values!$A$24,MATCH("S",Values!$T$25:$T$50,0),0),FALSE))</f>
        <v>0</v>
      </c>
      <c r="D1533" t="b">
        <f>VLOOKUP(Charms!J1533,Values!$A$11:$S$59,19,0)&gt;=Charms!L1533</f>
        <v>0</v>
      </c>
      <c r="E1533" t="e">
        <f>OR(ISBLANK(Charms!I1533),(VLOOKUP(Values!$S$6,Castes!$B$2:$F$25,4,0)=Charms!I1533))</f>
        <v>#N/A</v>
      </c>
      <c r="J1533" t="e">
        <f t="shared" ca="1" si="116"/>
        <v>#N/A</v>
      </c>
      <c r="K1533" s="18" t="e">
        <f t="shared" ca="1" si="115"/>
        <v>#N/A</v>
      </c>
      <c r="L1533" t="e">
        <f ca="1">IF(J1533,Charms!B1533,"")</f>
        <v>#N/A</v>
      </c>
      <c r="M1533" t="str">
        <f t="shared" ca="1" si="117"/>
        <v>-</v>
      </c>
      <c r="N1533" s="18" t="str">
        <f t="shared" si="118"/>
        <v>K1485:L1534</v>
      </c>
      <c r="O1533" t="str">
        <f t="shared" si="119"/>
        <v>A1485:A1533</v>
      </c>
    </row>
    <row r="1534" spans="1:15">
      <c r="A1534" s="18" t="str">
        <f>Charms!K1534</f>
        <v>Survival</v>
      </c>
      <c r="B1534" t="str">
        <f>Charms!B1534</f>
        <v>Labyrinth of Mist Technique</v>
      </c>
      <c r="C1534" t="b">
        <f ca="1">OR(Values!$S$98&gt;=Charms!M1534,IFERROR(Charms!J1534=OFFSET(Values!$A$24,MATCH("S",Values!$T$25:$T$50,0),0),FALSE))</f>
        <v>0</v>
      </c>
      <c r="D1534" t="b">
        <f>VLOOKUP(Charms!J1534,Values!$A$11:$S$59,19,0)&gt;=Charms!L1534</f>
        <v>0</v>
      </c>
      <c r="E1534" t="e">
        <f>OR(ISBLANK(Charms!I1534),(VLOOKUP(Values!$S$6,Castes!$B$2:$F$25,4,0)=Charms!I1534))</f>
        <v>#N/A</v>
      </c>
      <c r="J1534" t="e">
        <f t="shared" ca="1" si="116"/>
        <v>#N/A</v>
      </c>
      <c r="K1534" s="18" t="e">
        <f t="shared" ca="1" si="115"/>
        <v>#N/A</v>
      </c>
      <c r="L1534" t="e">
        <f ca="1">IF(J1534,Charms!B1534,"")</f>
        <v>#N/A</v>
      </c>
      <c r="M1534" t="str">
        <f t="shared" ca="1" si="117"/>
        <v>-</v>
      </c>
      <c r="N1534" s="18" t="str">
        <f t="shared" si="118"/>
        <v>K1485:L1534</v>
      </c>
      <c r="O1534" t="str">
        <f t="shared" si="119"/>
        <v>A1485:A1534</v>
      </c>
    </row>
    <row r="1535" spans="1:15">
      <c r="A1535" s="18" t="str">
        <f>Charms!K1535</f>
        <v>Thrown</v>
      </c>
      <c r="B1535" t="str">
        <f>Charms!B1535</f>
        <v>Precision of the Striking Raptor</v>
      </c>
      <c r="C1535" t="b">
        <f ca="1">OR(Values!$S$98&gt;=Charms!M1535,IFERROR(Charms!J1535=OFFSET(Values!$A$24,MATCH("S",Values!$T$25:$T$50,0),0),FALSE))</f>
        <v>1</v>
      </c>
      <c r="D1535" t="b">
        <f>VLOOKUP(Charms!J1535,Values!$A$11:$S$59,19,0)&gt;=Charms!L1535</f>
        <v>0</v>
      </c>
      <c r="E1535" t="e">
        <f>OR(ISBLANK(Charms!I1535),(VLOOKUP(Values!$S$6,Castes!$B$2:$F$25,4,0)=Charms!I1535))</f>
        <v>#N/A</v>
      </c>
      <c r="J1535" t="e">
        <f t="shared" ca="1" si="116"/>
        <v>#N/A</v>
      </c>
      <c r="K1535" s="18" t="e">
        <f t="shared" ca="1" si="115"/>
        <v>#N/A</v>
      </c>
      <c r="L1535" t="e">
        <f ca="1">IF(J1535,Charms!B1535,"")</f>
        <v>#N/A</v>
      </c>
      <c r="M1535" t="str">
        <f t="shared" ca="1" si="117"/>
        <v>-</v>
      </c>
      <c r="N1535" s="18" t="str">
        <f t="shared" si="118"/>
        <v>K1535:L1585</v>
      </c>
      <c r="O1535" t="str">
        <f t="shared" si="119"/>
        <v>A1535:A1535</v>
      </c>
    </row>
    <row r="1536" spans="1:15">
      <c r="A1536" s="18" t="str">
        <f>Charms!K1536</f>
        <v>Thrown</v>
      </c>
      <c r="B1536" t="str">
        <f>Charms!B1536</f>
        <v>Steel Storm Descending</v>
      </c>
      <c r="C1536" t="b">
        <f ca="1">OR(Values!$S$98&gt;=Charms!M1536,IFERROR(Charms!J1536=OFFSET(Values!$A$24,MATCH("S",Values!$T$25:$T$50,0),0),FALSE))</f>
        <v>1</v>
      </c>
      <c r="D1536" t="b">
        <f>VLOOKUP(Charms!J1536,Values!$A$11:$S$59,19,0)&gt;=Charms!L1536</f>
        <v>0</v>
      </c>
      <c r="E1536" t="e">
        <f>OR(ISBLANK(Charms!I1536),(VLOOKUP(Values!$S$6,Castes!$B$2:$F$25,4,0)=Charms!I1536))</f>
        <v>#N/A</v>
      </c>
      <c r="J1536" t="e">
        <f t="shared" ca="1" si="116"/>
        <v>#N/A</v>
      </c>
      <c r="K1536" s="18" t="e">
        <f t="shared" ca="1" si="115"/>
        <v>#N/A</v>
      </c>
      <c r="L1536" t="e">
        <f ca="1">IF(J1536,Charms!B1536,"")</f>
        <v>#N/A</v>
      </c>
      <c r="M1536" t="str">
        <f t="shared" ca="1" si="117"/>
        <v>-</v>
      </c>
      <c r="N1536" s="18" t="str">
        <f t="shared" si="118"/>
        <v>K1535:L1585</v>
      </c>
      <c r="O1536" t="str">
        <f t="shared" si="119"/>
        <v>A1535:A1536</v>
      </c>
    </row>
    <row r="1537" spans="1:15">
      <c r="A1537" s="18" t="str">
        <f>Charms!K1537</f>
        <v>Thrown</v>
      </c>
      <c r="B1537" t="str">
        <f>Charms!B1537</f>
        <v>Flashing Draw Mastery</v>
      </c>
      <c r="C1537" t="b">
        <f ca="1">OR(Values!$S$98&gt;=Charms!M1537,IFERROR(Charms!J1537=OFFSET(Values!$A$24,MATCH("S",Values!$T$25:$T$50,0),0),FALSE))</f>
        <v>1</v>
      </c>
      <c r="D1537" t="b">
        <f>VLOOKUP(Charms!J1537,Values!$A$11:$S$59,19,0)&gt;=Charms!L1537</f>
        <v>0</v>
      </c>
      <c r="E1537" t="e">
        <f>OR(ISBLANK(Charms!I1537),(VLOOKUP(Values!$S$6,Castes!$B$2:$F$25,4,0)=Charms!I1537))</f>
        <v>#N/A</v>
      </c>
      <c r="J1537" t="e">
        <f t="shared" ca="1" si="116"/>
        <v>#N/A</v>
      </c>
      <c r="K1537" s="18" t="e">
        <f t="shared" ca="1" si="115"/>
        <v>#N/A</v>
      </c>
      <c r="L1537" t="e">
        <f ca="1">IF(J1537,Charms!B1537,"")</f>
        <v>#N/A</v>
      </c>
      <c r="M1537" t="str">
        <f t="shared" ca="1" si="117"/>
        <v>-</v>
      </c>
      <c r="N1537" s="18" t="str">
        <f t="shared" si="118"/>
        <v>K1535:L1585</v>
      </c>
      <c r="O1537" t="str">
        <f t="shared" si="119"/>
        <v>A1535:A1537</v>
      </c>
    </row>
    <row r="1538" spans="1:15">
      <c r="A1538" s="18" t="str">
        <f>Charms!K1538</f>
        <v>Thrown</v>
      </c>
      <c r="B1538" t="str">
        <f>Charms!B1538</f>
        <v>Joint-Wounding Attack</v>
      </c>
      <c r="C1538" t="b">
        <f ca="1">OR(Values!$S$98&gt;=Charms!M1538,IFERROR(Charms!J1538=OFFSET(Values!$A$24,MATCH("S",Values!$T$25:$T$50,0),0),FALSE))</f>
        <v>1</v>
      </c>
      <c r="D1538" t="b">
        <f>VLOOKUP(Charms!J1538,Values!$A$11:$S$59,19,0)&gt;=Charms!L1538</f>
        <v>0</v>
      </c>
      <c r="E1538" t="e">
        <f>OR(ISBLANK(Charms!I1538),(VLOOKUP(Values!$S$6,Castes!$B$2:$F$25,4,0)=Charms!I1538))</f>
        <v>#N/A</v>
      </c>
      <c r="J1538" t="e">
        <f t="shared" ca="1" si="116"/>
        <v>#N/A</v>
      </c>
      <c r="K1538" s="18" t="e">
        <f t="shared" ref="K1538:K1601" ca="1" si="120">IF(L1538="","",COUNTIF(INDIRECT("J"&amp;MATCH(A1538,A:A,0)&amp;":J"&amp;ROW()),J1538))</f>
        <v>#N/A</v>
      </c>
      <c r="L1538" t="e">
        <f ca="1">IF(J1538,Charms!B1538,"")</f>
        <v>#N/A</v>
      </c>
      <c r="M1538" t="str">
        <f t="shared" ca="1" si="117"/>
        <v>-</v>
      </c>
      <c r="N1538" s="18" t="str">
        <f t="shared" si="118"/>
        <v>K1535:L1585</v>
      </c>
      <c r="O1538" t="str">
        <f t="shared" si="119"/>
        <v>A1535:A1538</v>
      </c>
    </row>
    <row r="1539" spans="1:15">
      <c r="A1539" s="18" t="str">
        <f>Charms!K1539</f>
        <v>Thrown</v>
      </c>
      <c r="B1539" t="str">
        <f>Charms!B1539</f>
        <v>Triple Distance Attack Technique</v>
      </c>
      <c r="C1539" t="b">
        <f ca="1">OR(Values!$S$98&gt;=Charms!M1539,IFERROR(Charms!J1539=OFFSET(Values!$A$24,MATCH("S",Values!$T$25:$T$50,0),0),FALSE))</f>
        <v>1</v>
      </c>
      <c r="D1539" t="b">
        <f>VLOOKUP(Charms!J1539,Values!$A$11:$S$59,19,0)&gt;=Charms!L1539</f>
        <v>0</v>
      </c>
      <c r="E1539" t="e">
        <f>OR(ISBLANK(Charms!I1539),(VLOOKUP(Values!$S$6,Castes!$B$2:$F$25,4,0)=Charms!I1539))</f>
        <v>#N/A</v>
      </c>
      <c r="J1539" t="e">
        <f t="shared" ref="J1539:J1602" ca="1" si="121">(C1539+D1539+E1539+F1539+G1539+H1539+I1539)=3</f>
        <v>#N/A</v>
      </c>
      <c r="K1539" s="18" t="e">
        <f t="shared" ca="1" si="120"/>
        <v>#N/A</v>
      </c>
      <c r="L1539" t="e">
        <f ca="1">IF(J1539,Charms!B1539,"")</f>
        <v>#N/A</v>
      </c>
      <c r="M1539" t="str">
        <f t="shared" ref="M1539:M1602" ca="1" si="122">IFERROR(VLOOKUP(COUNTIF(INDIRECT(O1539),A1539),INDIRECT(N1539),2,0),"-")</f>
        <v>-</v>
      </c>
      <c r="N1539" s="18" t="str">
        <f t="shared" ref="N1539:N1602" si="123">"K"&amp;MATCH(A1539,A:A,0)&amp;":L"&amp;(MATCH(A1539,A:A,0)+COUNTIF(A:A,A1539)-1)</f>
        <v>K1535:L1585</v>
      </c>
      <c r="O1539" t="str">
        <f t="shared" ref="O1539:O1602" si="124">"A"&amp;MATCH(A1539,A:A,0)&amp;":A"&amp;ROW()</f>
        <v>A1535:A1539</v>
      </c>
    </row>
    <row r="1540" spans="1:15">
      <c r="A1540" s="18" t="str">
        <f>Charms!K1540</f>
        <v>Thrown</v>
      </c>
      <c r="B1540" t="str">
        <f>Charms!B1540</f>
        <v>Spitting Hand Technique</v>
      </c>
      <c r="C1540" t="b">
        <f ca="1">OR(Values!$S$98&gt;=Charms!M1540,IFERROR(Charms!J1540=OFFSET(Values!$A$24,MATCH("S",Values!$T$25:$T$50,0),0),FALSE))</f>
        <v>1</v>
      </c>
      <c r="D1540" t="b">
        <f>VLOOKUP(Charms!J1540,Values!$A$11:$S$59,19,0)&gt;=Charms!L1540</f>
        <v>0</v>
      </c>
      <c r="E1540" t="e">
        <f>OR(ISBLANK(Charms!I1540),(VLOOKUP(Values!$S$6,Castes!$B$2:$F$25,4,0)=Charms!I1540))</f>
        <v>#N/A</v>
      </c>
      <c r="J1540" t="e">
        <f t="shared" ca="1" si="121"/>
        <v>#N/A</v>
      </c>
      <c r="K1540" s="18" t="e">
        <f t="shared" ca="1" si="120"/>
        <v>#N/A</v>
      </c>
      <c r="L1540" t="e">
        <f ca="1">IF(J1540,Charms!B1540,"")</f>
        <v>#N/A</v>
      </c>
      <c r="M1540" t="str">
        <f t="shared" ca="1" si="122"/>
        <v>-</v>
      </c>
      <c r="N1540" s="18" t="str">
        <f t="shared" si="123"/>
        <v>K1535:L1585</v>
      </c>
      <c r="O1540" t="str">
        <f t="shared" si="124"/>
        <v>A1535:A1540</v>
      </c>
    </row>
    <row r="1541" spans="1:15">
      <c r="A1541" s="18" t="str">
        <f>Charms!K1541</f>
        <v>Thrown</v>
      </c>
      <c r="B1541" t="str">
        <f>Charms!B1541</f>
        <v>Angle-Tracing Edge</v>
      </c>
      <c r="C1541" t="b">
        <f ca="1">OR(Values!$S$98&gt;=Charms!M1541,IFERROR(Charms!J1541=OFFSET(Values!$A$24,MATCH("S",Values!$T$25:$T$50,0),0),FALSE))</f>
        <v>1</v>
      </c>
      <c r="D1541" t="b">
        <f>VLOOKUP(Charms!J1541,Values!$A$11:$S$59,19,0)&gt;=Charms!L1541</f>
        <v>0</v>
      </c>
      <c r="E1541" t="e">
        <f>OR(ISBLANK(Charms!I1541),(VLOOKUP(Values!$S$6,Castes!$B$2:$F$25,4,0)=Charms!I1541))</f>
        <v>#N/A</v>
      </c>
      <c r="J1541" t="e">
        <f t="shared" ca="1" si="121"/>
        <v>#N/A</v>
      </c>
      <c r="K1541" s="18" t="e">
        <f t="shared" ca="1" si="120"/>
        <v>#N/A</v>
      </c>
      <c r="L1541" t="e">
        <f ca="1">IF(J1541,Charms!B1541,"")</f>
        <v>#N/A</v>
      </c>
      <c r="M1541" t="str">
        <f t="shared" ca="1" si="122"/>
        <v>-</v>
      </c>
      <c r="N1541" s="18" t="str">
        <f t="shared" si="123"/>
        <v>K1535:L1585</v>
      </c>
      <c r="O1541" t="str">
        <f t="shared" si="124"/>
        <v>A1535:A1541</v>
      </c>
    </row>
    <row r="1542" spans="1:15">
      <c r="A1542" s="18" t="str">
        <f>Charms!K1542</f>
        <v>Thrown</v>
      </c>
      <c r="B1542" t="str">
        <f>Charms!B1542</f>
        <v>Cascade of Cutting Terror</v>
      </c>
      <c r="C1542" t="b">
        <f ca="1">OR(Values!$S$98&gt;=Charms!M1542,IFERROR(Charms!J1542=OFFSET(Values!$A$24,MATCH("S",Values!$T$25:$T$50,0),0),FALSE))</f>
        <v>1</v>
      </c>
      <c r="D1542" t="b">
        <f>VLOOKUP(Charms!J1542,Values!$A$11:$S$59,19,0)&gt;=Charms!L1542</f>
        <v>0</v>
      </c>
      <c r="E1542" t="e">
        <f>OR(ISBLANK(Charms!I1542),(VLOOKUP(Values!$S$6,Castes!$B$2:$F$25,4,0)=Charms!I1542))</f>
        <v>#N/A</v>
      </c>
      <c r="J1542" t="e">
        <f t="shared" ca="1" si="121"/>
        <v>#N/A</v>
      </c>
      <c r="K1542" s="18" t="e">
        <f t="shared" ca="1" si="120"/>
        <v>#N/A</v>
      </c>
      <c r="L1542" t="e">
        <f ca="1">IF(J1542,Charms!B1542,"")</f>
        <v>#N/A</v>
      </c>
      <c r="M1542" t="str">
        <f t="shared" ca="1" si="122"/>
        <v>-</v>
      </c>
      <c r="N1542" s="18" t="str">
        <f t="shared" si="123"/>
        <v>K1535:L1585</v>
      </c>
      <c r="O1542" t="str">
        <f t="shared" si="124"/>
        <v>A1535:A1542</v>
      </c>
    </row>
    <row r="1543" spans="1:15">
      <c r="A1543" s="18" t="str">
        <f>Charms!K1543</f>
        <v>Thrown</v>
      </c>
      <c r="B1543" t="str">
        <f>Charms!B1543</f>
        <v>Swarm-Culling Instinct</v>
      </c>
      <c r="C1543" t="b">
        <f ca="1">OR(Values!$S$98&gt;=Charms!M1543,IFERROR(Charms!J1543=OFFSET(Values!$A$24,MATCH("S",Values!$T$25:$T$50,0),0),FALSE))</f>
        <v>0</v>
      </c>
      <c r="D1543" t="b">
        <f>VLOOKUP(Charms!J1543,Values!$A$11:$S$59,19,0)&gt;=Charms!L1543</f>
        <v>0</v>
      </c>
      <c r="E1543" t="e">
        <f>OR(ISBLANK(Charms!I1543),(VLOOKUP(Values!$S$6,Castes!$B$2:$F$25,4,0)=Charms!I1543))</f>
        <v>#N/A</v>
      </c>
      <c r="J1543" t="e">
        <f t="shared" ca="1" si="121"/>
        <v>#N/A</v>
      </c>
      <c r="K1543" s="18" t="e">
        <f t="shared" ca="1" si="120"/>
        <v>#N/A</v>
      </c>
      <c r="L1543" t="e">
        <f ca="1">IF(J1543,Charms!B1543,"")</f>
        <v>#N/A</v>
      </c>
      <c r="M1543" t="str">
        <f t="shared" ca="1" si="122"/>
        <v>-</v>
      </c>
      <c r="N1543" s="18" t="str">
        <f t="shared" si="123"/>
        <v>K1535:L1585</v>
      </c>
      <c r="O1543" t="str">
        <f t="shared" si="124"/>
        <v>A1535:A1543</v>
      </c>
    </row>
    <row r="1544" spans="1:15">
      <c r="A1544" s="18" t="str">
        <f>Charms!K1544</f>
        <v>Thrown</v>
      </c>
      <c r="B1544" t="str">
        <f>Charms!B1544</f>
        <v>Mist on Water Attack</v>
      </c>
      <c r="C1544" t="b">
        <f ca="1">OR(Values!$S$98&gt;=Charms!M1544,IFERROR(Charms!J1544=OFFSET(Values!$A$24,MATCH("S",Values!$T$25:$T$50,0),0),FALSE))</f>
        <v>0</v>
      </c>
      <c r="D1544" t="b">
        <f>VLOOKUP(Charms!J1544,Values!$A$11:$S$59,19,0)&gt;=Charms!L1544</f>
        <v>0</v>
      </c>
      <c r="E1544" t="e">
        <f>OR(ISBLANK(Charms!I1544),(VLOOKUP(Values!$S$6,Castes!$B$2:$F$25,4,0)=Charms!I1544))</f>
        <v>#N/A</v>
      </c>
      <c r="J1544" t="e">
        <f t="shared" ca="1" si="121"/>
        <v>#N/A</v>
      </c>
      <c r="K1544" s="18" t="e">
        <f t="shared" ca="1" si="120"/>
        <v>#N/A</v>
      </c>
      <c r="L1544" t="e">
        <f ca="1">IF(J1544,Charms!B1544,"")</f>
        <v>#N/A</v>
      </c>
      <c r="M1544" t="str">
        <f t="shared" ca="1" si="122"/>
        <v>-</v>
      </c>
      <c r="N1544" s="18" t="str">
        <f t="shared" si="123"/>
        <v>K1535:L1585</v>
      </c>
      <c r="O1544" t="str">
        <f t="shared" si="124"/>
        <v>A1535:A1544</v>
      </c>
    </row>
    <row r="1545" spans="1:15">
      <c r="A1545" s="18" t="str">
        <f>Charms!K1545</f>
        <v>Thrown</v>
      </c>
      <c r="B1545" t="str">
        <f>Charms!B1545</f>
        <v>Observer-Deceiving Attack</v>
      </c>
      <c r="C1545" t="b">
        <f ca="1">OR(Values!$S$98&gt;=Charms!M1545,IFERROR(Charms!J1545=OFFSET(Values!$A$24,MATCH("S",Values!$T$25:$T$50,0),0),FALSE))</f>
        <v>0</v>
      </c>
      <c r="D1545" t="b">
        <f>VLOOKUP(Charms!J1545,Values!$A$11:$S$59,19,0)&gt;=Charms!L1545</f>
        <v>0</v>
      </c>
      <c r="E1545" t="e">
        <f>OR(ISBLANK(Charms!I1545),(VLOOKUP(Values!$S$6,Castes!$B$2:$F$25,4,0)=Charms!I1545))</f>
        <v>#N/A</v>
      </c>
      <c r="J1545" t="e">
        <f t="shared" ca="1" si="121"/>
        <v>#N/A</v>
      </c>
      <c r="K1545" s="18" t="e">
        <f t="shared" ca="1" si="120"/>
        <v>#N/A</v>
      </c>
      <c r="L1545" t="e">
        <f ca="1">IF(J1545,Charms!B1545,"")</f>
        <v>#N/A</v>
      </c>
      <c r="M1545" t="str">
        <f t="shared" ca="1" si="122"/>
        <v>-</v>
      </c>
      <c r="N1545" s="18" t="str">
        <f t="shared" si="123"/>
        <v>K1535:L1585</v>
      </c>
      <c r="O1545" t="str">
        <f t="shared" si="124"/>
        <v>A1535:A1545</v>
      </c>
    </row>
    <row r="1546" spans="1:15">
      <c r="A1546" s="18" t="str">
        <f>Charms!K1546</f>
        <v>Thrown</v>
      </c>
      <c r="B1546" t="str">
        <f>Charms!B1546</f>
        <v>Diving Hawk Discipline</v>
      </c>
      <c r="C1546" t="b">
        <f ca="1">OR(Values!$S$98&gt;=Charms!M1546,IFERROR(Charms!J1546=OFFSET(Values!$A$24,MATCH("S",Values!$T$25:$T$50,0),0),FALSE))</f>
        <v>1</v>
      </c>
      <c r="D1546" t="b">
        <f>VLOOKUP(Charms!J1546,Values!$A$11:$S$59,19,0)&gt;=Charms!L1546</f>
        <v>0</v>
      </c>
      <c r="E1546" t="e">
        <f>OR(ISBLANK(Charms!I1546),(VLOOKUP(Values!$S$6,Castes!$B$2:$F$25,4,0)=Charms!I1546))</f>
        <v>#N/A</v>
      </c>
      <c r="J1546" t="e">
        <f t="shared" ca="1" si="121"/>
        <v>#N/A</v>
      </c>
      <c r="K1546" s="18" t="e">
        <f t="shared" ca="1" si="120"/>
        <v>#N/A</v>
      </c>
      <c r="L1546" t="e">
        <f ca="1">IF(J1546,Charms!B1546,"")</f>
        <v>#N/A</v>
      </c>
      <c r="M1546" t="str">
        <f t="shared" ca="1" si="122"/>
        <v>-</v>
      </c>
      <c r="N1546" s="18" t="str">
        <f t="shared" si="123"/>
        <v>K1535:L1585</v>
      </c>
      <c r="O1546" t="str">
        <f t="shared" si="124"/>
        <v>A1535:A1546</v>
      </c>
    </row>
    <row r="1547" spans="1:15">
      <c r="A1547" s="18" t="str">
        <f>Charms!K1547</f>
        <v>Thrown</v>
      </c>
      <c r="B1547" t="str">
        <f>Charms!B1547</f>
        <v>Flying Steel Ruse</v>
      </c>
      <c r="C1547" t="b">
        <f ca="1">OR(Values!$S$98&gt;=Charms!M1547,IFERROR(Charms!J1547=OFFSET(Values!$A$24,MATCH("S",Values!$T$25:$T$50,0),0),FALSE))</f>
        <v>0</v>
      </c>
      <c r="D1547" t="b">
        <f>VLOOKUP(Charms!J1547,Values!$A$11:$S$59,19,0)&gt;=Charms!L1547</f>
        <v>0</v>
      </c>
      <c r="E1547" t="e">
        <f>OR(ISBLANK(Charms!I1547),(VLOOKUP(Values!$S$6,Castes!$B$2:$F$25,4,0)=Charms!I1547))</f>
        <v>#N/A</v>
      </c>
      <c r="J1547" t="e">
        <f t="shared" ca="1" si="121"/>
        <v>#N/A</v>
      </c>
      <c r="K1547" s="18" t="e">
        <f t="shared" ca="1" si="120"/>
        <v>#N/A</v>
      </c>
      <c r="L1547" t="e">
        <f ca="1">IF(J1547,Charms!B1547,"")</f>
        <v>#N/A</v>
      </c>
      <c r="M1547" t="str">
        <f t="shared" ca="1" si="122"/>
        <v>-</v>
      </c>
      <c r="N1547" s="18" t="str">
        <f t="shared" si="123"/>
        <v>K1535:L1585</v>
      </c>
      <c r="O1547" t="str">
        <f t="shared" si="124"/>
        <v>A1535:A1547</v>
      </c>
    </row>
    <row r="1548" spans="1:15">
      <c r="A1548" s="18" t="str">
        <f>Charms!K1548</f>
        <v>Thrown</v>
      </c>
      <c r="B1548" t="str">
        <f>Charms!B1548</f>
        <v>Empty Palm Technique</v>
      </c>
      <c r="C1548" t="b">
        <f ca="1">OR(Values!$S$98&gt;=Charms!M1548,IFERROR(Charms!J1548=OFFSET(Values!$A$24,MATCH("S",Values!$T$25:$T$50,0),0),FALSE))</f>
        <v>0</v>
      </c>
      <c r="D1548" t="b">
        <f>VLOOKUP(Charms!J1548,Values!$A$11:$S$59,19,0)&gt;=Charms!L1548</f>
        <v>0</v>
      </c>
      <c r="E1548" t="e">
        <f>OR(ISBLANK(Charms!I1548),(VLOOKUP(Values!$S$6,Castes!$B$2:$F$25,4,0)=Charms!I1548))</f>
        <v>#N/A</v>
      </c>
      <c r="J1548" t="e">
        <f t="shared" ca="1" si="121"/>
        <v>#N/A</v>
      </c>
      <c r="K1548" s="18" t="e">
        <f t="shared" ca="1" si="120"/>
        <v>#N/A</v>
      </c>
      <c r="L1548" t="e">
        <f ca="1">IF(J1548,Charms!B1548,"")</f>
        <v>#N/A</v>
      </c>
      <c r="M1548" t="str">
        <f t="shared" ca="1" si="122"/>
        <v>-</v>
      </c>
      <c r="N1548" s="18" t="str">
        <f t="shared" si="123"/>
        <v>K1535:L1585</v>
      </c>
      <c r="O1548" t="str">
        <f t="shared" si="124"/>
        <v>A1535:A1548</v>
      </c>
    </row>
    <row r="1549" spans="1:15">
      <c r="A1549" s="18" t="str">
        <f>Charms!K1549</f>
        <v>Thrown</v>
      </c>
      <c r="B1549" t="str">
        <f>Charms!B1549</f>
        <v>Fallen Weapon Deflection</v>
      </c>
      <c r="C1549" t="b">
        <f ca="1">OR(Values!$S$98&gt;=Charms!M1549,IFERROR(Charms!J1549=OFFSET(Values!$A$24,MATCH("S",Values!$T$25:$T$50,0),0),FALSE))</f>
        <v>0</v>
      </c>
      <c r="D1549" t="b">
        <f>VLOOKUP(Charms!J1549,Values!$A$11:$S$59,19,0)&gt;=Charms!L1549</f>
        <v>0</v>
      </c>
      <c r="E1549" t="e">
        <f>OR(ISBLANK(Charms!I1549),(VLOOKUP(Values!$S$6,Castes!$B$2:$F$25,4,0)=Charms!I1549))</f>
        <v>#N/A</v>
      </c>
      <c r="J1549" t="e">
        <f t="shared" ca="1" si="121"/>
        <v>#N/A</v>
      </c>
      <c r="K1549" s="18" t="e">
        <f t="shared" ca="1" si="120"/>
        <v>#N/A</v>
      </c>
      <c r="L1549" t="e">
        <f ca="1">IF(J1549,Charms!B1549,"")</f>
        <v>#N/A</v>
      </c>
      <c r="M1549" t="str">
        <f t="shared" ca="1" si="122"/>
        <v>-</v>
      </c>
      <c r="N1549" s="18" t="str">
        <f t="shared" si="123"/>
        <v>K1535:L1585</v>
      </c>
      <c r="O1549" t="str">
        <f t="shared" si="124"/>
        <v>A1535:A1549</v>
      </c>
    </row>
    <row r="1550" spans="1:15">
      <c r="A1550" s="18" t="str">
        <f>Charms!K1550</f>
        <v>Thrown</v>
      </c>
      <c r="B1550" t="str">
        <f>Charms!B1550</f>
        <v>Mist-Gathering Practice</v>
      </c>
      <c r="C1550" t="b">
        <f ca="1">OR(Values!$S$98&gt;=Charms!M1550,IFERROR(Charms!J1550=OFFSET(Values!$A$24,MATCH("S",Values!$T$25:$T$50,0),0),FALSE))</f>
        <v>0</v>
      </c>
      <c r="D1550" t="b">
        <f>VLOOKUP(Charms!J1550,Values!$A$11:$S$59,19,0)&gt;=Charms!L1550</f>
        <v>0</v>
      </c>
      <c r="E1550" t="e">
        <f>OR(ISBLANK(Charms!I1550),(VLOOKUP(Values!$S$6,Castes!$B$2:$F$25,4,0)=Charms!I1550))</f>
        <v>#N/A</v>
      </c>
      <c r="J1550" t="e">
        <f t="shared" ca="1" si="121"/>
        <v>#N/A</v>
      </c>
      <c r="K1550" s="18" t="e">
        <f t="shared" ca="1" si="120"/>
        <v>#N/A</v>
      </c>
      <c r="L1550" t="e">
        <f ca="1">IF(J1550,Charms!B1550,"")</f>
        <v>#N/A</v>
      </c>
      <c r="M1550" t="str">
        <f t="shared" ca="1" si="122"/>
        <v>-</v>
      </c>
      <c r="N1550" s="18" t="str">
        <f t="shared" si="123"/>
        <v>K1535:L1585</v>
      </c>
      <c r="O1550" t="str">
        <f t="shared" si="124"/>
        <v>A1535:A1550</v>
      </c>
    </row>
    <row r="1551" spans="1:15">
      <c r="A1551" s="18" t="str">
        <f>Charms!K1551</f>
        <v>Thrown</v>
      </c>
      <c r="B1551" t="str">
        <f>Charms!B1551</f>
        <v>Shower of Deadly Blades</v>
      </c>
      <c r="C1551" t="b">
        <f ca="1">OR(Values!$S$98&gt;=Charms!M1551,IFERROR(Charms!J1551=OFFSET(Values!$A$24,MATCH("S",Values!$T$25:$T$50,0),0),FALSE))</f>
        <v>0</v>
      </c>
      <c r="D1551" t="b">
        <f>VLOOKUP(Charms!J1551,Values!$A$11:$S$59,19,0)&gt;=Charms!L1551</f>
        <v>0</v>
      </c>
      <c r="E1551" t="e">
        <f>OR(ISBLANK(Charms!I1551),(VLOOKUP(Values!$S$6,Castes!$B$2:$F$25,4,0)=Charms!I1551))</f>
        <v>#N/A</v>
      </c>
      <c r="J1551" t="e">
        <f t="shared" ca="1" si="121"/>
        <v>#N/A</v>
      </c>
      <c r="K1551" s="18" t="e">
        <f t="shared" ca="1" si="120"/>
        <v>#N/A</v>
      </c>
      <c r="L1551" t="e">
        <f ca="1">IF(J1551,Charms!B1551,"")</f>
        <v>#N/A</v>
      </c>
      <c r="M1551" t="str">
        <f t="shared" ca="1" si="122"/>
        <v>-</v>
      </c>
      <c r="N1551" s="18" t="str">
        <f t="shared" si="123"/>
        <v>K1535:L1585</v>
      </c>
      <c r="O1551" t="str">
        <f t="shared" si="124"/>
        <v>A1535:A1551</v>
      </c>
    </row>
    <row r="1552" spans="1:15">
      <c r="A1552" s="18" t="str">
        <f>Charms!K1552</f>
        <v>Thrown</v>
      </c>
      <c r="B1552" t="str">
        <f>Charms!B1552</f>
        <v>Shrike Saving Discretion</v>
      </c>
      <c r="C1552" t="b">
        <f ca="1">OR(Values!$S$98&gt;=Charms!M1552,IFERROR(Charms!J1552=OFFSET(Values!$A$24,MATCH("S",Values!$T$25:$T$50,0),0),FALSE))</f>
        <v>0</v>
      </c>
      <c r="D1552" t="b">
        <f>VLOOKUP(Charms!J1552,Values!$A$11:$S$59,19,0)&gt;=Charms!L1552</f>
        <v>0</v>
      </c>
      <c r="E1552" t="e">
        <f>OR(ISBLANK(Charms!I1552),(VLOOKUP(Values!$S$6,Castes!$B$2:$F$25,4,0)=Charms!I1552))</f>
        <v>#N/A</v>
      </c>
      <c r="J1552" t="e">
        <f t="shared" ca="1" si="121"/>
        <v>#N/A</v>
      </c>
      <c r="K1552" s="18" t="e">
        <f t="shared" ca="1" si="120"/>
        <v>#N/A</v>
      </c>
      <c r="L1552" t="e">
        <f ca="1">IF(J1552,Charms!B1552,"")</f>
        <v>#N/A</v>
      </c>
      <c r="M1552" t="str">
        <f t="shared" ca="1" si="122"/>
        <v>-</v>
      </c>
      <c r="N1552" s="18" t="str">
        <f t="shared" si="123"/>
        <v>K1535:L1585</v>
      </c>
      <c r="O1552" t="str">
        <f t="shared" si="124"/>
        <v>A1535:A1552</v>
      </c>
    </row>
    <row r="1553" spans="1:15">
      <c r="A1553" s="18" t="str">
        <f>Charms!K1553</f>
        <v>Thrown</v>
      </c>
      <c r="B1553" t="str">
        <f>Charms!B1553</f>
        <v>Crimson Razor Wind</v>
      </c>
      <c r="C1553" t="b">
        <f ca="1">OR(Values!$S$98&gt;=Charms!M1553,IFERROR(Charms!J1553=OFFSET(Values!$A$24,MATCH("S",Values!$T$25:$T$50,0),0),FALSE))</f>
        <v>0</v>
      </c>
      <c r="D1553" t="b">
        <f>VLOOKUP(Charms!J1553,Values!$A$11:$S$59,19,0)&gt;=Charms!L1553</f>
        <v>0</v>
      </c>
      <c r="E1553" t="e">
        <f>OR(ISBLANK(Charms!I1553),(VLOOKUP(Values!$S$6,Castes!$B$2:$F$25,4,0)=Charms!I1553))</f>
        <v>#N/A</v>
      </c>
      <c r="J1553" t="e">
        <f t="shared" ca="1" si="121"/>
        <v>#N/A</v>
      </c>
      <c r="K1553" s="18" t="e">
        <f t="shared" ca="1" si="120"/>
        <v>#N/A</v>
      </c>
      <c r="L1553" t="e">
        <f ca="1">IF(J1553,Charms!B1553,"")</f>
        <v>#N/A</v>
      </c>
      <c r="M1553" t="str">
        <f t="shared" ca="1" si="122"/>
        <v>-</v>
      </c>
      <c r="N1553" s="18" t="str">
        <f t="shared" si="123"/>
        <v>K1535:L1585</v>
      </c>
      <c r="O1553" t="str">
        <f t="shared" si="124"/>
        <v>A1535:A1553</v>
      </c>
    </row>
    <row r="1554" spans="1:15">
      <c r="A1554" s="18" t="str">
        <f>Charms!K1554</f>
        <v>Thrown</v>
      </c>
      <c r="B1554" t="str">
        <f>Charms!B1554</f>
        <v>Sharp Hand Feint</v>
      </c>
      <c r="C1554" t="b">
        <f ca="1">OR(Values!$S$98&gt;=Charms!M1554,IFERROR(Charms!J1554=OFFSET(Values!$A$24,MATCH("S",Values!$T$25:$T$50,0),0),FALSE))</f>
        <v>0</v>
      </c>
      <c r="D1554" t="b">
        <f>VLOOKUP(Charms!J1554,Values!$A$11:$S$59,19,0)&gt;=Charms!L1554</f>
        <v>0</v>
      </c>
      <c r="E1554" t="e">
        <f>OR(ISBLANK(Charms!I1554),(VLOOKUP(Values!$S$6,Castes!$B$2:$F$25,4,0)=Charms!I1554))</f>
        <v>#N/A</v>
      </c>
      <c r="J1554" t="e">
        <f t="shared" ca="1" si="121"/>
        <v>#N/A</v>
      </c>
      <c r="K1554" s="18" t="e">
        <f t="shared" ca="1" si="120"/>
        <v>#N/A</v>
      </c>
      <c r="L1554" t="e">
        <f ca="1">IF(J1554,Charms!B1554,"")</f>
        <v>#N/A</v>
      </c>
      <c r="M1554" t="str">
        <f t="shared" ca="1" si="122"/>
        <v>-</v>
      </c>
      <c r="N1554" s="18" t="str">
        <f t="shared" si="123"/>
        <v>K1535:L1585</v>
      </c>
      <c r="O1554" t="str">
        <f t="shared" si="124"/>
        <v>A1535:A1554</v>
      </c>
    </row>
    <row r="1555" spans="1:15">
      <c r="A1555" s="18" t="str">
        <f>Charms!K1555</f>
        <v>Thrown</v>
      </c>
      <c r="B1555" t="str">
        <f>Charms!B1555</f>
        <v>Shadow Wind Slash (Shadow Wind Kill)</v>
      </c>
      <c r="C1555" t="b">
        <f ca="1">OR(Values!$S$98&gt;=Charms!M1555,IFERROR(Charms!J1555=OFFSET(Values!$A$24,MATCH("S",Values!$T$25:$T$50,0),0),FALSE))</f>
        <v>0</v>
      </c>
      <c r="D1555" t="b">
        <f>VLOOKUP(Charms!J1555,Values!$A$11:$S$59,19,0)&gt;=Charms!L1555</f>
        <v>0</v>
      </c>
      <c r="E1555" t="e">
        <f>OR(ISBLANK(Charms!I1555),(VLOOKUP(Values!$S$6,Castes!$B$2:$F$25,4,0)=Charms!I1555))</f>
        <v>#N/A</v>
      </c>
      <c r="J1555" t="e">
        <f t="shared" ca="1" si="121"/>
        <v>#N/A</v>
      </c>
      <c r="K1555" s="18" t="e">
        <f t="shared" ca="1" si="120"/>
        <v>#N/A</v>
      </c>
      <c r="L1555" t="e">
        <f ca="1">IF(J1555,Charms!B1555,"")</f>
        <v>#N/A</v>
      </c>
      <c r="M1555" t="str">
        <f t="shared" ca="1" si="122"/>
        <v>-</v>
      </c>
      <c r="N1555" s="18" t="str">
        <f t="shared" si="123"/>
        <v>K1535:L1585</v>
      </c>
      <c r="O1555" t="str">
        <f t="shared" si="124"/>
        <v>A1535:A1555</v>
      </c>
    </row>
    <row r="1556" spans="1:15">
      <c r="A1556" s="18" t="str">
        <f>Charms!K1556</f>
        <v>Thrown</v>
      </c>
      <c r="B1556" t="str">
        <f>Charms!B1556</f>
        <v>Shadow Thrust Spark</v>
      </c>
      <c r="C1556" t="b">
        <f ca="1">OR(Values!$S$98&gt;=Charms!M1556,IFERROR(Charms!J1556=OFFSET(Values!$A$24,MATCH("S",Values!$T$25:$T$50,0),0),FALSE))</f>
        <v>0</v>
      </c>
      <c r="D1556" t="b">
        <f>VLOOKUP(Charms!J1556,Values!$A$11:$S$59,19,0)&gt;=Charms!L1556</f>
        <v>0</v>
      </c>
      <c r="E1556" t="e">
        <f>OR(ISBLANK(Charms!I1556),(VLOOKUP(Values!$S$6,Castes!$B$2:$F$25,4,0)=Charms!I1556))</f>
        <v>#N/A</v>
      </c>
      <c r="J1556" t="e">
        <f t="shared" ca="1" si="121"/>
        <v>#N/A</v>
      </c>
      <c r="K1556" s="18" t="e">
        <f t="shared" ca="1" si="120"/>
        <v>#N/A</v>
      </c>
      <c r="L1556" t="e">
        <f ca="1">IF(J1556,Charms!B1556,"")</f>
        <v>#N/A</v>
      </c>
      <c r="M1556" t="str">
        <f t="shared" ca="1" si="122"/>
        <v>-</v>
      </c>
      <c r="N1556" s="18" t="str">
        <f t="shared" si="123"/>
        <v>K1535:L1585</v>
      </c>
      <c r="O1556" t="str">
        <f t="shared" si="124"/>
        <v>A1535:A1556</v>
      </c>
    </row>
    <row r="1557" spans="1:15">
      <c r="A1557" s="18" t="str">
        <f>Charms!K1557</f>
        <v>Thrown</v>
      </c>
      <c r="B1557" t="str">
        <f>Charms!B1557</f>
        <v>Savage Wolf Attack</v>
      </c>
      <c r="C1557" t="b">
        <f ca="1">OR(Values!$S$98&gt;=Charms!M1557,IFERROR(Charms!J1557=OFFSET(Values!$A$24,MATCH("S",Values!$T$25:$T$50,0),0),FALSE))</f>
        <v>0</v>
      </c>
      <c r="D1557" t="b">
        <f>VLOOKUP(Charms!J1557,Values!$A$11:$S$59,19,0)&gt;=Charms!L1557</f>
        <v>0</v>
      </c>
      <c r="E1557" t="e">
        <f>OR(ISBLANK(Charms!I1557),(VLOOKUP(Values!$S$6,Castes!$B$2:$F$25,4,0)=Charms!I1557))</f>
        <v>#N/A</v>
      </c>
      <c r="J1557" t="e">
        <f t="shared" ca="1" si="121"/>
        <v>#N/A</v>
      </c>
      <c r="K1557" s="18" t="e">
        <f t="shared" ca="1" si="120"/>
        <v>#N/A</v>
      </c>
      <c r="L1557" t="e">
        <f ca="1">IF(J1557,Charms!B1557,"")</f>
        <v>#N/A</v>
      </c>
      <c r="M1557" t="str">
        <f t="shared" ca="1" si="122"/>
        <v>-</v>
      </c>
      <c r="N1557" s="18" t="str">
        <f t="shared" si="123"/>
        <v>K1535:L1585</v>
      </c>
      <c r="O1557" t="str">
        <f t="shared" si="124"/>
        <v>A1535:A1557</v>
      </c>
    </row>
    <row r="1558" spans="1:15">
      <c r="A1558" s="18" t="str">
        <f>Charms!K1558</f>
        <v>Thrown</v>
      </c>
      <c r="B1558" t="str">
        <f>Charms!B1558</f>
        <v>Falling Icicle Strike</v>
      </c>
      <c r="C1558" t="b">
        <f ca="1">OR(Values!$S$98&gt;=Charms!M1558,IFERROR(Charms!J1558=OFFSET(Values!$A$24,MATCH("S",Values!$T$25:$T$50,0),0),FALSE))</f>
        <v>0</v>
      </c>
      <c r="D1558" t="b">
        <f>VLOOKUP(Charms!J1558,Values!$A$11:$S$59,19,0)&gt;=Charms!L1558</f>
        <v>0</v>
      </c>
      <c r="E1558" t="e">
        <f>OR(ISBLANK(Charms!I1558),(VLOOKUP(Values!$S$6,Castes!$B$2:$F$25,4,0)=Charms!I1558))</f>
        <v>#N/A</v>
      </c>
      <c r="J1558" t="e">
        <f t="shared" ca="1" si="121"/>
        <v>#N/A</v>
      </c>
      <c r="K1558" s="18" t="e">
        <f t="shared" ca="1" si="120"/>
        <v>#N/A</v>
      </c>
      <c r="L1558" t="e">
        <f ca="1">IF(J1558,Charms!B1558,"")</f>
        <v>#N/A</v>
      </c>
      <c r="M1558" t="str">
        <f t="shared" ca="1" si="122"/>
        <v>-</v>
      </c>
      <c r="N1558" s="18" t="str">
        <f t="shared" si="123"/>
        <v>K1535:L1585</v>
      </c>
      <c r="O1558" t="str">
        <f t="shared" si="124"/>
        <v>A1535:A1558</v>
      </c>
    </row>
    <row r="1559" spans="1:15">
      <c r="A1559" s="18" t="str">
        <f>Charms!K1559</f>
        <v>Thrown</v>
      </c>
      <c r="B1559" t="str">
        <f>Charms!B1559</f>
        <v>Fiery Solar Chakram</v>
      </c>
      <c r="C1559" t="b">
        <f ca="1">OR(Values!$S$98&gt;=Charms!M1559,IFERROR(Charms!J1559=OFFSET(Values!$A$24,MATCH("S",Values!$T$25:$T$50,0),0),FALSE))</f>
        <v>0</v>
      </c>
      <c r="D1559" t="b">
        <f>VLOOKUP(Charms!J1559,Values!$A$11:$S$59,19,0)&gt;=Charms!L1559</f>
        <v>0</v>
      </c>
      <c r="E1559" t="e">
        <f>OR(ISBLANK(Charms!I1559),(VLOOKUP(Values!$S$6,Castes!$B$2:$F$25,4,0)=Charms!I1559))</f>
        <v>#N/A</v>
      </c>
      <c r="J1559" t="e">
        <f t="shared" ca="1" si="121"/>
        <v>#N/A</v>
      </c>
      <c r="K1559" s="18" t="e">
        <f t="shared" ca="1" si="120"/>
        <v>#N/A</v>
      </c>
      <c r="L1559" t="e">
        <f ca="1">IF(J1559,Charms!B1559,"")</f>
        <v>#N/A</v>
      </c>
      <c r="M1559" t="str">
        <f t="shared" ca="1" si="122"/>
        <v>-</v>
      </c>
      <c r="N1559" s="18" t="str">
        <f t="shared" si="123"/>
        <v>K1535:L1585</v>
      </c>
      <c r="O1559" t="str">
        <f t="shared" si="124"/>
        <v>A1535:A1559</v>
      </c>
    </row>
    <row r="1560" spans="1:15">
      <c r="A1560" s="18" t="str">
        <f>Charms!K1560</f>
        <v>Thrown</v>
      </c>
      <c r="B1560" t="str">
        <f>Charms!B1560</f>
        <v>Cutting Circle of Destruction</v>
      </c>
      <c r="C1560" t="b">
        <f ca="1">OR(Values!$S$98&gt;=Charms!M1560,IFERROR(Charms!J1560=OFFSET(Values!$A$24,MATCH("S",Values!$T$25:$T$50,0),0),FALSE))</f>
        <v>0</v>
      </c>
      <c r="D1560" t="b">
        <f>VLOOKUP(Charms!J1560,Values!$A$11:$S$59,19,0)&gt;=Charms!L1560</f>
        <v>0</v>
      </c>
      <c r="E1560" t="e">
        <f>OR(ISBLANK(Charms!I1560),(VLOOKUP(Values!$S$6,Castes!$B$2:$F$25,4,0)=Charms!I1560))</f>
        <v>#N/A</v>
      </c>
      <c r="J1560" t="e">
        <f t="shared" ca="1" si="121"/>
        <v>#N/A</v>
      </c>
      <c r="K1560" s="18" t="e">
        <f t="shared" ca="1" si="120"/>
        <v>#N/A</v>
      </c>
      <c r="L1560" t="e">
        <f ca="1">IF(J1560,Charms!B1560,"")</f>
        <v>#N/A</v>
      </c>
      <c r="M1560" t="str">
        <f t="shared" ca="1" si="122"/>
        <v>-</v>
      </c>
      <c r="N1560" s="18" t="str">
        <f t="shared" si="123"/>
        <v>K1535:L1585</v>
      </c>
      <c r="O1560" t="str">
        <f t="shared" si="124"/>
        <v>A1535:A1560</v>
      </c>
    </row>
    <row r="1561" spans="1:15">
      <c r="A1561" s="18" t="str">
        <f>Charms!K1561</f>
        <v>Thrown</v>
      </c>
      <c r="B1561" t="str">
        <f>Charms!B1561</f>
        <v>Thunder-Quelling Gesture</v>
      </c>
      <c r="C1561" t="b">
        <f ca="1">OR(Values!$S$98&gt;=Charms!M1561,IFERROR(Charms!J1561=OFFSET(Values!$A$24,MATCH("S",Values!$T$25:$T$50,0),0),FALSE))</f>
        <v>1</v>
      </c>
      <c r="D1561" t="b">
        <f>VLOOKUP(Charms!J1561,Values!$A$11:$S$59,19,0)&gt;=Charms!L1561</f>
        <v>0</v>
      </c>
      <c r="E1561" t="e">
        <f>OR(ISBLANK(Charms!I1561),(VLOOKUP(Values!$S$6,Castes!$B$2:$F$25,4,0)=Charms!I1561))</f>
        <v>#N/A</v>
      </c>
      <c r="J1561" t="e">
        <f t="shared" ca="1" si="121"/>
        <v>#N/A</v>
      </c>
      <c r="K1561" s="18" t="e">
        <f t="shared" ca="1" si="120"/>
        <v>#N/A</v>
      </c>
      <c r="L1561" t="e">
        <f ca="1">IF(J1561,Charms!B1561,"")</f>
        <v>#N/A</v>
      </c>
      <c r="M1561" t="str">
        <f t="shared" ca="1" si="122"/>
        <v>-</v>
      </c>
      <c r="N1561" s="18" t="str">
        <f t="shared" si="123"/>
        <v>K1535:L1585</v>
      </c>
      <c r="O1561" t="str">
        <f t="shared" si="124"/>
        <v>A1535:A1561</v>
      </c>
    </row>
    <row r="1562" spans="1:15">
      <c r="A1562" s="18" t="str">
        <f>Charms!K1562</f>
        <v>Thrown</v>
      </c>
      <c r="B1562" t="str">
        <f>Charms!B1562</f>
        <v>Death-Dealing Diffusion</v>
      </c>
      <c r="C1562" t="b">
        <f ca="1">OR(Values!$S$98&gt;=Charms!M1562,IFERROR(Charms!J1562=OFFSET(Values!$A$24,MATCH("S",Values!$T$25:$T$50,0),0),FALSE))</f>
        <v>0</v>
      </c>
      <c r="D1562" t="b">
        <f>VLOOKUP(Charms!J1562,Values!$A$11:$S$59,19,0)&gt;=Charms!L1562</f>
        <v>0</v>
      </c>
      <c r="E1562" t="e">
        <f>OR(ISBLANK(Charms!I1562),(VLOOKUP(Values!$S$6,Castes!$B$2:$F$25,4,0)=Charms!I1562))</f>
        <v>#N/A</v>
      </c>
      <c r="J1562" t="e">
        <f t="shared" ca="1" si="121"/>
        <v>#N/A</v>
      </c>
      <c r="K1562" s="18" t="e">
        <f t="shared" ca="1" si="120"/>
        <v>#N/A</v>
      </c>
      <c r="L1562" t="e">
        <f ca="1">IF(J1562,Charms!B1562,"")</f>
        <v>#N/A</v>
      </c>
      <c r="M1562" t="str">
        <f t="shared" ca="1" si="122"/>
        <v>-</v>
      </c>
      <c r="N1562" s="18" t="str">
        <f t="shared" si="123"/>
        <v>K1535:L1585</v>
      </c>
      <c r="O1562" t="str">
        <f t="shared" si="124"/>
        <v>A1535:A1562</v>
      </c>
    </row>
    <row r="1563" spans="1:15">
      <c r="A1563" s="18" t="str">
        <f>Charms!K1563</f>
        <v>Thrown</v>
      </c>
      <c r="B1563" t="str">
        <f>Charms!B1563</f>
        <v>Whirlwind Hand of the Striker</v>
      </c>
      <c r="C1563" t="b">
        <f ca="1">OR(Values!$S$98&gt;=Charms!M1563,IFERROR(Charms!J1563=OFFSET(Values!$A$24,MATCH("S",Values!$T$25:$T$50,0),0),FALSE))</f>
        <v>0</v>
      </c>
      <c r="D1563" t="b">
        <f>VLOOKUP(Charms!J1563,Values!$A$11:$S$59,19,0)&gt;=Charms!L1563</f>
        <v>0</v>
      </c>
      <c r="E1563" t="e">
        <f>OR(ISBLANK(Charms!I1563),(VLOOKUP(Values!$S$6,Castes!$B$2:$F$25,4,0)=Charms!I1563))</f>
        <v>#N/A</v>
      </c>
      <c r="J1563" t="e">
        <f t="shared" ca="1" si="121"/>
        <v>#N/A</v>
      </c>
      <c r="K1563" s="18" t="e">
        <f t="shared" ca="1" si="120"/>
        <v>#N/A</v>
      </c>
      <c r="L1563" t="e">
        <f ca="1">IF(J1563,Charms!B1563,"")</f>
        <v>#N/A</v>
      </c>
      <c r="M1563" t="str">
        <f t="shared" ca="1" si="122"/>
        <v>-</v>
      </c>
      <c r="N1563" s="18" t="str">
        <f t="shared" si="123"/>
        <v>K1535:L1585</v>
      </c>
      <c r="O1563" t="str">
        <f t="shared" si="124"/>
        <v>A1535:A1563</v>
      </c>
    </row>
    <row r="1564" spans="1:15">
      <c r="A1564" s="18" t="str">
        <f>Charms!K1564</f>
        <v>Thrown</v>
      </c>
      <c r="B1564" t="str">
        <f>Charms!B1564</f>
        <v>Dancing Steel Symphony</v>
      </c>
      <c r="C1564" t="b">
        <f ca="1">OR(Values!$S$98&gt;=Charms!M1564,IFERROR(Charms!J1564=OFFSET(Values!$A$24,MATCH("S",Values!$T$25:$T$50,0),0),FALSE))</f>
        <v>0</v>
      </c>
      <c r="D1564" t="b">
        <f>VLOOKUP(Charms!J1564,Values!$A$11:$S$59,19,0)&gt;=Charms!L1564</f>
        <v>0</v>
      </c>
      <c r="E1564" t="e">
        <f>OR(ISBLANK(Charms!I1564),(VLOOKUP(Values!$S$6,Castes!$B$2:$F$25,4,0)=Charms!I1564))</f>
        <v>#N/A</v>
      </c>
      <c r="J1564" t="e">
        <f t="shared" ca="1" si="121"/>
        <v>#N/A</v>
      </c>
      <c r="K1564" s="18" t="e">
        <f t="shared" ca="1" si="120"/>
        <v>#N/A</v>
      </c>
      <c r="L1564" t="e">
        <f ca="1">IF(J1564,Charms!B1564,"")</f>
        <v>#N/A</v>
      </c>
      <c r="M1564" t="str">
        <f t="shared" ca="1" si="122"/>
        <v>-</v>
      </c>
      <c r="N1564" s="18" t="str">
        <f t="shared" si="123"/>
        <v>K1535:L1585</v>
      </c>
      <c r="O1564" t="str">
        <f t="shared" si="124"/>
        <v>A1535:A1564</v>
      </c>
    </row>
    <row r="1565" spans="1:15">
      <c r="A1565" s="18" t="str">
        <f>Charms!K1565</f>
        <v>Thrown</v>
      </c>
      <c r="B1565" t="str">
        <f>Charms!B1565</f>
        <v>Seeking Throw Technique</v>
      </c>
      <c r="C1565" t="b">
        <f ca="1">OR(Values!$S$98&gt;=Charms!M1565,IFERROR(Charms!J1565=OFFSET(Values!$A$24,MATCH("S",Values!$T$25:$T$50,0),0),FALSE))</f>
        <v>1</v>
      </c>
      <c r="D1565" t="b">
        <f>VLOOKUP(Charms!J1565,Values!$A$11:$S$59,19,0)&gt;=Charms!L1565</f>
        <v>0</v>
      </c>
      <c r="E1565" t="e">
        <f>OR(ISBLANK(Charms!I1565),(VLOOKUP(Values!$S$6,Castes!$B$2:$F$25,4,0)=Charms!I1565))</f>
        <v>#N/A</v>
      </c>
      <c r="J1565" t="e">
        <f t="shared" ca="1" si="121"/>
        <v>#N/A</v>
      </c>
      <c r="K1565" s="18" t="e">
        <f t="shared" ca="1" si="120"/>
        <v>#N/A</v>
      </c>
      <c r="L1565" t="e">
        <f ca="1">IF(J1565,Charms!B1565,"")</f>
        <v>#N/A</v>
      </c>
      <c r="M1565" t="str">
        <f t="shared" ca="1" si="122"/>
        <v>-</v>
      </c>
      <c r="N1565" s="18" t="str">
        <f t="shared" si="123"/>
        <v>K1535:L1585</v>
      </c>
      <c r="O1565" t="str">
        <f t="shared" si="124"/>
        <v>A1535:A1565</v>
      </c>
    </row>
    <row r="1566" spans="1:15">
      <c r="A1566" s="18" t="str">
        <f>Charms!K1566</f>
        <v>Thrown</v>
      </c>
      <c r="B1566" t="str">
        <f>Charms!B1566</f>
        <v>Armor-Rupturing Fang</v>
      </c>
      <c r="C1566" t="b">
        <f ca="1">OR(Values!$S$98&gt;=Charms!M1566,IFERROR(Charms!J1566=OFFSET(Values!$A$24,MATCH("S",Values!$T$25:$T$50,0),0),FALSE))</f>
        <v>1</v>
      </c>
      <c r="D1566" t="b">
        <f>VLOOKUP(Charms!J1566,Values!$A$11:$S$59,19,0)&gt;=Charms!L1566</f>
        <v>0</v>
      </c>
      <c r="E1566" t="e">
        <f>OR(ISBLANK(Charms!I1566),(VLOOKUP(Values!$S$6,Castes!$B$2:$F$25,4,0)=Charms!I1566))</f>
        <v>#N/A</v>
      </c>
      <c r="J1566" t="e">
        <f t="shared" ca="1" si="121"/>
        <v>#N/A</v>
      </c>
      <c r="K1566" s="18" t="e">
        <f t="shared" ca="1" si="120"/>
        <v>#N/A</v>
      </c>
      <c r="L1566" t="e">
        <f ca="1">IF(J1566,Charms!B1566,"")</f>
        <v>#N/A</v>
      </c>
      <c r="M1566" t="str">
        <f t="shared" ca="1" si="122"/>
        <v>-</v>
      </c>
      <c r="N1566" s="18" t="str">
        <f t="shared" si="123"/>
        <v>K1535:L1585</v>
      </c>
      <c r="O1566" t="str">
        <f t="shared" si="124"/>
        <v>A1535:A1566</v>
      </c>
    </row>
    <row r="1567" spans="1:15">
      <c r="A1567" s="18" t="str">
        <f>Charms!K1567</f>
        <v>Thrown</v>
      </c>
      <c r="B1567" t="str">
        <f>Charms!B1567</f>
        <v>Blinding Spark Throw</v>
      </c>
      <c r="C1567" t="b">
        <f ca="1">OR(Values!$S$98&gt;=Charms!M1567,IFERROR(Charms!J1567=OFFSET(Values!$A$24,MATCH("S",Values!$T$25:$T$50,0),0),FALSE))</f>
        <v>1</v>
      </c>
      <c r="D1567" t="b">
        <f>VLOOKUP(Charms!J1567,Values!$A$11:$S$59,19,0)&gt;=Charms!L1567</f>
        <v>0</v>
      </c>
      <c r="E1567" t="e">
        <f>OR(ISBLANK(Charms!I1567),(VLOOKUP(Values!$S$6,Castes!$B$2:$F$25,4,0)=Charms!I1567))</f>
        <v>#N/A</v>
      </c>
      <c r="J1567" t="e">
        <f t="shared" ca="1" si="121"/>
        <v>#N/A</v>
      </c>
      <c r="K1567" s="18" t="e">
        <f t="shared" ca="1" si="120"/>
        <v>#N/A</v>
      </c>
      <c r="L1567" t="e">
        <f ca="1">IF(J1567,Charms!B1567,"")</f>
        <v>#N/A</v>
      </c>
      <c r="M1567" t="str">
        <f t="shared" ca="1" si="122"/>
        <v>-</v>
      </c>
      <c r="N1567" s="18" t="str">
        <f t="shared" si="123"/>
        <v>K1535:L1585</v>
      </c>
      <c r="O1567" t="str">
        <f t="shared" si="124"/>
        <v>A1535:A1567</v>
      </c>
    </row>
    <row r="1568" spans="1:15">
      <c r="A1568" s="18" t="str">
        <f>Charms!K1568</f>
        <v>Thrown</v>
      </c>
      <c r="B1568" t="str">
        <f>Charms!B1568</f>
        <v>Venomous Thorn Attack</v>
      </c>
      <c r="C1568" t="b">
        <f ca="1">OR(Values!$S$98&gt;=Charms!M1568,IFERROR(Charms!J1568=OFFSET(Values!$A$24,MATCH("S",Values!$T$25:$T$50,0),0),FALSE))</f>
        <v>1</v>
      </c>
      <c r="D1568" t="b">
        <f>VLOOKUP(Charms!J1568,Values!$A$11:$S$59,19,0)&gt;=Charms!L1568</f>
        <v>0</v>
      </c>
      <c r="E1568" t="e">
        <f>OR(ISBLANK(Charms!I1568),(VLOOKUP(Values!$S$6,Castes!$B$2:$F$25,4,0)=Charms!I1568))</f>
        <v>#N/A</v>
      </c>
      <c r="J1568" t="e">
        <f t="shared" ca="1" si="121"/>
        <v>#N/A</v>
      </c>
      <c r="K1568" s="18" t="e">
        <f t="shared" ca="1" si="120"/>
        <v>#N/A</v>
      </c>
      <c r="L1568" t="e">
        <f ca="1">IF(J1568,Charms!B1568,"")</f>
        <v>#N/A</v>
      </c>
      <c r="M1568" t="str">
        <f t="shared" ca="1" si="122"/>
        <v>-</v>
      </c>
      <c r="N1568" s="18" t="str">
        <f t="shared" si="123"/>
        <v>K1535:L1585</v>
      </c>
      <c r="O1568" t="str">
        <f t="shared" si="124"/>
        <v>A1535:A1568</v>
      </c>
    </row>
    <row r="1569" spans="1:15">
      <c r="A1569" s="18" t="str">
        <f>Charms!K1569</f>
        <v>Thrown</v>
      </c>
      <c r="B1569" t="str">
        <f>Charms!B1569</f>
        <v>Arcing Levinbolt Precision</v>
      </c>
      <c r="C1569" t="b">
        <f ca="1">OR(Values!$S$98&gt;=Charms!M1569,IFERROR(Charms!J1569=OFFSET(Values!$A$24,MATCH("S",Values!$T$25:$T$50,0),0),FALSE))</f>
        <v>0</v>
      </c>
      <c r="D1569" t="b">
        <f>VLOOKUP(Charms!J1569,Values!$A$11:$S$59,19,0)&gt;=Charms!L1569</f>
        <v>0</v>
      </c>
      <c r="E1569" t="e">
        <f>OR(ISBLANK(Charms!I1569),(VLOOKUP(Values!$S$6,Castes!$B$2:$F$25,4,0)=Charms!I1569))</f>
        <v>#N/A</v>
      </c>
      <c r="J1569" t="e">
        <f t="shared" ca="1" si="121"/>
        <v>#N/A</v>
      </c>
      <c r="K1569" s="18" t="e">
        <f t="shared" ca="1" si="120"/>
        <v>#N/A</v>
      </c>
      <c r="L1569" t="e">
        <f ca="1">IF(J1569,Charms!B1569,"")</f>
        <v>#N/A</v>
      </c>
      <c r="M1569" t="str">
        <f t="shared" ca="1" si="122"/>
        <v>-</v>
      </c>
      <c r="N1569" s="18" t="str">
        <f t="shared" si="123"/>
        <v>K1535:L1585</v>
      </c>
      <c r="O1569" t="str">
        <f t="shared" si="124"/>
        <v>A1535:A1569</v>
      </c>
    </row>
    <row r="1570" spans="1:15">
      <c r="A1570" s="18" t="str">
        <f>Charms!K1570</f>
        <v>Thrown</v>
      </c>
      <c r="B1570" t="str">
        <f>Charms!B1570</f>
        <v>Earth-Shattering Strike</v>
      </c>
      <c r="C1570" t="b">
        <f ca="1">OR(Values!$S$98&gt;=Charms!M1570,IFERROR(Charms!J1570=OFFSET(Values!$A$24,MATCH("S",Values!$T$25:$T$50,0),0),FALSE))</f>
        <v>0</v>
      </c>
      <c r="D1570" t="b">
        <f>VLOOKUP(Charms!J1570,Values!$A$11:$S$59,19,0)&gt;=Charms!L1570</f>
        <v>0</v>
      </c>
      <c r="E1570" t="e">
        <f>OR(ISBLANK(Charms!I1570),(VLOOKUP(Values!$S$6,Castes!$B$2:$F$25,4,0)=Charms!I1570))</f>
        <v>#N/A</v>
      </c>
      <c r="J1570" t="e">
        <f t="shared" ca="1" si="121"/>
        <v>#N/A</v>
      </c>
      <c r="K1570" s="18" t="e">
        <f t="shared" ca="1" si="120"/>
        <v>#N/A</v>
      </c>
      <c r="L1570" t="e">
        <f ca="1">IF(J1570,Charms!B1570,"")</f>
        <v>#N/A</v>
      </c>
      <c r="M1570" t="str">
        <f t="shared" ca="1" si="122"/>
        <v>-</v>
      </c>
      <c r="N1570" s="18" t="str">
        <f t="shared" si="123"/>
        <v>K1535:L1585</v>
      </c>
      <c r="O1570" t="str">
        <f t="shared" si="124"/>
        <v>A1535:A1570</v>
      </c>
    </row>
    <row r="1571" spans="1:15">
      <c r="A1571" s="18" t="str">
        <f>Charms!K1571</f>
        <v>Thrown</v>
      </c>
      <c r="B1571" t="str">
        <f>Charms!B1571</f>
        <v>Invisibly Hidden Chakram Method</v>
      </c>
      <c r="C1571" t="b">
        <f ca="1">OR(Values!$S$98&gt;=Charms!M1571,IFERROR(Charms!J1571=OFFSET(Values!$A$24,MATCH("S",Values!$T$25:$T$50,0),0),FALSE))</f>
        <v>0</v>
      </c>
      <c r="D1571" t="b">
        <f>VLOOKUP(Charms!J1571,Values!$A$11:$S$59,19,0)&gt;=Charms!L1571</f>
        <v>0</v>
      </c>
      <c r="E1571" t="e">
        <f>OR(ISBLANK(Charms!I1571),(VLOOKUP(Values!$S$6,Castes!$B$2:$F$25,4,0)=Charms!I1571))</f>
        <v>#N/A</v>
      </c>
      <c r="J1571" t="e">
        <f t="shared" ca="1" si="121"/>
        <v>#N/A</v>
      </c>
      <c r="K1571" s="18" t="e">
        <f t="shared" ca="1" si="120"/>
        <v>#N/A</v>
      </c>
      <c r="L1571" t="e">
        <f ca="1">IF(J1571,Charms!B1571,"")</f>
        <v>#N/A</v>
      </c>
      <c r="M1571" t="str">
        <f t="shared" ca="1" si="122"/>
        <v>-</v>
      </c>
      <c r="N1571" s="18" t="str">
        <f t="shared" si="123"/>
        <v>K1535:L1585</v>
      </c>
      <c r="O1571" t="str">
        <f t="shared" si="124"/>
        <v>A1535:A1571</v>
      </c>
    </row>
    <row r="1572" spans="1:15">
      <c r="A1572" s="18" t="str">
        <f>Charms!K1572</f>
        <v>Thrown</v>
      </c>
      <c r="B1572" t="str">
        <f>Charms!B1572</f>
        <v>Elusive Zephyr Strike</v>
      </c>
      <c r="C1572" t="b">
        <f ca="1">OR(Values!$S$98&gt;=Charms!M1572,IFERROR(Charms!J1572=OFFSET(Values!$A$24,MATCH("S",Values!$T$25:$T$50,0),0),FALSE))</f>
        <v>0</v>
      </c>
      <c r="D1572" t="b">
        <f>VLOOKUP(Charms!J1572,Values!$A$11:$S$59,19,0)&gt;=Charms!L1572</f>
        <v>0</v>
      </c>
      <c r="E1572" t="e">
        <f>OR(ISBLANK(Charms!I1572),(VLOOKUP(Values!$S$6,Castes!$B$2:$F$25,4,0)=Charms!I1572))</f>
        <v>#N/A</v>
      </c>
      <c r="J1572" t="e">
        <f t="shared" ca="1" si="121"/>
        <v>#N/A</v>
      </c>
      <c r="K1572" s="18" t="e">
        <f t="shared" ca="1" si="120"/>
        <v>#N/A</v>
      </c>
      <c r="L1572" t="e">
        <f ca="1">IF(J1572,Charms!B1572,"")</f>
        <v>#N/A</v>
      </c>
      <c r="M1572" t="str">
        <f t="shared" ca="1" si="122"/>
        <v>-</v>
      </c>
      <c r="N1572" s="18" t="str">
        <f t="shared" si="123"/>
        <v>K1535:L1585</v>
      </c>
      <c r="O1572" t="str">
        <f t="shared" si="124"/>
        <v>A1535:A1572</v>
      </c>
    </row>
    <row r="1573" spans="1:15">
      <c r="A1573" s="18" t="str">
        <f>Charms!K1573</f>
        <v>Thrown</v>
      </c>
      <c r="B1573" t="str">
        <f>Charms!B1573</f>
        <v>Smoke Burst Eruption</v>
      </c>
      <c r="C1573" t="b">
        <f ca="1">OR(Values!$S$98&gt;=Charms!M1573,IFERROR(Charms!J1573=OFFSET(Values!$A$24,MATCH("S",Values!$T$25:$T$50,0),0),FALSE))</f>
        <v>0</v>
      </c>
      <c r="D1573" t="b">
        <f>VLOOKUP(Charms!J1573,Values!$A$11:$S$59,19,0)&gt;=Charms!L1573</f>
        <v>0</v>
      </c>
      <c r="E1573" t="e">
        <f>OR(ISBLANK(Charms!I1573),(VLOOKUP(Values!$S$6,Castes!$B$2:$F$25,4,0)=Charms!I1573))</f>
        <v>#N/A</v>
      </c>
      <c r="J1573" t="e">
        <f t="shared" ca="1" si="121"/>
        <v>#N/A</v>
      </c>
      <c r="K1573" s="18" t="e">
        <f t="shared" ca="1" si="120"/>
        <v>#N/A</v>
      </c>
      <c r="L1573" t="e">
        <f ca="1">IF(J1573,Charms!B1573,"")</f>
        <v>#N/A</v>
      </c>
      <c r="M1573" t="str">
        <f t="shared" ca="1" si="122"/>
        <v>-</v>
      </c>
      <c r="N1573" s="18" t="str">
        <f t="shared" si="123"/>
        <v>K1535:L1585</v>
      </c>
      <c r="O1573" t="str">
        <f t="shared" si="124"/>
        <v>A1535:A1573</v>
      </c>
    </row>
    <row r="1574" spans="1:15">
      <c r="A1574" s="18" t="str">
        <f>Charms!K1574</f>
        <v>Thrown</v>
      </c>
      <c r="B1574" t="str">
        <f>Charms!B1574</f>
        <v>Stone Needle Strike</v>
      </c>
      <c r="C1574" t="b">
        <f ca="1">OR(Values!$S$98&gt;=Charms!M1574,IFERROR(Charms!J1574=OFFSET(Values!$A$24,MATCH("S",Values!$T$25:$T$50,0),0),FALSE))</f>
        <v>0</v>
      </c>
      <c r="D1574" t="b">
        <f>VLOOKUP(Charms!J1574,Values!$A$11:$S$59,19,0)&gt;=Charms!L1574</f>
        <v>0</v>
      </c>
      <c r="E1574" t="e">
        <f>OR(ISBLANK(Charms!I1574),(VLOOKUP(Values!$S$6,Castes!$B$2:$F$25,4,0)=Charms!I1574))</f>
        <v>#N/A</v>
      </c>
      <c r="J1574" t="e">
        <f t="shared" ca="1" si="121"/>
        <v>#N/A</v>
      </c>
      <c r="K1574" s="18" t="e">
        <f t="shared" ca="1" si="120"/>
        <v>#N/A</v>
      </c>
      <c r="L1574" t="e">
        <f ca="1">IF(J1574,Charms!B1574,"")</f>
        <v>#N/A</v>
      </c>
      <c r="M1574" t="str">
        <f t="shared" ca="1" si="122"/>
        <v>-</v>
      </c>
      <c r="N1574" s="18" t="str">
        <f t="shared" si="123"/>
        <v>K1535:L1585</v>
      </c>
      <c r="O1574" t="str">
        <f t="shared" si="124"/>
        <v>A1535:A1574</v>
      </c>
    </row>
    <row r="1575" spans="1:15">
      <c r="A1575" s="18" t="str">
        <f>Charms!K1575</f>
        <v>Thrown</v>
      </c>
      <c r="B1575" t="str">
        <f>Charms!B1575</f>
        <v>Winter Fang Attack</v>
      </c>
      <c r="C1575" t="b">
        <f ca="1">OR(Values!$S$98&gt;=Charms!M1575,IFERROR(Charms!J1575=OFFSET(Values!$A$24,MATCH("S",Values!$T$25:$T$50,0),0),FALSE))</f>
        <v>0</v>
      </c>
      <c r="D1575" t="b">
        <f>VLOOKUP(Charms!J1575,Values!$A$11:$S$59,19,0)&gt;=Charms!L1575</f>
        <v>0</v>
      </c>
      <c r="E1575" t="e">
        <f>OR(ISBLANK(Charms!I1575),(VLOOKUP(Values!$S$6,Castes!$B$2:$F$25,4,0)=Charms!I1575))</f>
        <v>#N/A</v>
      </c>
      <c r="J1575" t="e">
        <f t="shared" ca="1" si="121"/>
        <v>#N/A</v>
      </c>
      <c r="K1575" s="18" t="e">
        <f t="shared" ca="1" si="120"/>
        <v>#N/A</v>
      </c>
      <c r="L1575" t="e">
        <f ca="1">IF(J1575,Charms!B1575,"")</f>
        <v>#N/A</v>
      </c>
      <c r="M1575" t="str">
        <f t="shared" ca="1" si="122"/>
        <v>-</v>
      </c>
      <c r="N1575" s="18" t="str">
        <f t="shared" si="123"/>
        <v>K1535:L1585</v>
      </c>
      <c r="O1575" t="str">
        <f t="shared" si="124"/>
        <v>A1535:A1575</v>
      </c>
    </row>
    <row r="1576" spans="1:15">
      <c r="A1576" s="18" t="str">
        <f>Charms!K1576</f>
        <v>Thrown</v>
      </c>
      <c r="B1576" t="str">
        <f>Charms!B1576</f>
        <v>Mela’s Twin Fangs</v>
      </c>
      <c r="C1576" t="b">
        <f ca="1">OR(Values!$S$98&gt;=Charms!M1576,IFERROR(Charms!J1576=OFFSET(Values!$A$24,MATCH("S",Values!$T$25:$T$50,0),0),FALSE))</f>
        <v>0</v>
      </c>
      <c r="D1576" t="b">
        <f>VLOOKUP(Charms!J1576,Values!$A$11:$S$59,19,0)&gt;=Charms!L1576</f>
        <v>0</v>
      </c>
      <c r="E1576" t="e">
        <f>OR(ISBLANK(Charms!I1576),(VLOOKUP(Values!$S$6,Castes!$B$2:$F$25,4,0)=Charms!I1576))</f>
        <v>#N/A</v>
      </c>
      <c r="J1576" t="e">
        <f t="shared" ca="1" si="121"/>
        <v>#N/A</v>
      </c>
      <c r="K1576" s="18" t="e">
        <f t="shared" ca="1" si="120"/>
        <v>#N/A</v>
      </c>
      <c r="L1576" t="e">
        <f ca="1">IF(J1576,Charms!B1576,"")</f>
        <v>#N/A</v>
      </c>
      <c r="M1576" t="str">
        <f t="shared" ca="1" si="122"/>
        <v>-</v>
      </c>
      <c r="N1576" s="18" t="str">
        <f t="shared" si="123"/>
        <v>K1535:L1585</v>
      </c>
      <c r="O1576" t="str">
        <f t="shared" si="124"/>
        <v>A1535:A1576</v>
      </c>
    </row>
    <row r="1577" spans="1:15">
      <c r="A1577" s="18" t="str">
        <f>Charms!K1577</f>
        <v>Thrown</v>
      </c>
      <c r="B1577" t="str">
        <f>Charms!B1577</f>
        <v>Persistent Hornet Attack</v>
      </c>
      <c r="C1577" t="b">
        <f ca="1">OR(Values!$S$98&gt;=Charms!M1577,IFERROR(Charms!J1577=OFFSET(Values!$A$24,MATCH("S",Values!$T$25:$T$50,0),0),FALSE))</f>
        <v>0</v>
      </c>
      <c r="D1577" t="b">
        <f>VLOOKUP(Charms!J1577,Values!$A$11:$S$59,19,0)&gt;=Charms!L1577</f>
        <v>0</v>
      </c>
      <c r="E1577" t="e">
        <f>OR(ISBLANK(Charms!I1577),(VLOOKUP(Values!$S$6,Castes!$B$2:$F$25,4,0)=Charms!I1577))</f>
        <v>#N/A</v>
      </c>
      <c r="J1577" t="e">
        <f t="shared" ca="1" si="121"/>
        <v>#N/A</v>
      </c>
      <c r="K1577" s="18" t="e">
        <f t="shared" ca="1" si="120"/>
        <v>#N/A</v>
      </c>
      <c r="L1577" t="e">
        <f ca="1">IF(J1577,Charms!B1577,"")</f>
        <v>#N/A</v>
      </c>
      <c r="M1577" t="str">
        <f t="shared" ca="1" si="122"/>
        <v>-</v>
      </c>
      <c r="N1577" s="18" t="str">
        <f t="shared" si="123"/>
        <v>K1535:L1585</v>
      </c>
      <c r="O1577" t="str">
        <f t="shared" si="124"/>
        <v>A1535:A1577</v>
      </c>
    </row>
    <row r="1578" spans="1:15">
      <c r="A1578" s="18" t="str">
        <f>Charms!K1578</f>
        <v>Thrown</v>
      </c>
      <c r="B1578" t="str">
        <f>Charms!B1578</f>
        <v>Devastating Avalanche Barrage</v>
      </c>
      <c r="C1578" t="b">
        <f ca="1">OR(Values!$S$98&gt;=Charms!M1578,IFERROR(Charms!J1578=OFFSET(Values!$A$24,MATCH("S",Values!$T$25:$T$50,0),0),FALSE))</f>
        <v>0</v>
      </c>
      <c r="D1578" t="b">
        <f>VLOOKUP(Charms!J1578,Values!$A$11:$S$59,19,0)&gt;=Charms!L1578</f>
        <v>0</v>
      </c>
      <c r="E1578" t="e">
        <f>OR(ISBLANK(Charms!I1578),(VLOOKUP(Values!$S$6,Castes!$B$2:$F$25,4,0)=Charms!I1578))</f>
        <v>#N/A</v>
      </c>
      <c r="J1578" t="e">
        <f t="shared" ca="1" si="121"/>
        <v>#N/A</v>
      </c>
      <c r="K1578" s="18" t="e">
        <f t="shared" ca="1" si="120"/>
        <v>#N/A</v>
      </c>
      <c r="L1578" t="e">
        <f ca="1">IF(J1578,Charms!B1578,"")</f>
        <v>#N/A</v>
      </c>
      <c r="M1578" t="str">
        <f t="shared" ca="1" si="122"/>
        <v>-</v>
      </c>
      <c r="N1578" s="18" t="str">
        <f t="shared" si="123"/>
        <v>K1535:L1585</v>
      </c>
      <c r="O1578" t="str">
        <f t="shared" si="124"/>
        <v>A1535:A1578</v>
      </c>
    </row>
    <row r="1579" spans="1:15">
      <c r="A1579" s="18" t="str">
        <f>Charms!K1579</f>
        <v>Thrown</v>
      </c>
      <c r="B1579" t="str">
        <f>Charms!B1579</f>
        <v>Exploding Weapon Technique</v>
      </c>
      <c r="C1579" t="b">
        <f ca="1">OR(Values!$S$98&gt;=Charms!M1579,IFERROR(Charms!J1579=OFFSET(Values!$A$24,MATCH("S",Values!$T$25:$T$50,0),0),FALSE))</f>
        <v>0</v>
      </c>
      <c r="D1579" t="b">
        <f>VLOOKUP(Charms!J1579,Values!$A$11:$S$59,19,0)&gt;=Charms!L1579</f>
        <v>0</v>
      </c>
      <c r="E1579" t="e">
        <f>OR(ISBLANK(Charms!I1579),(VLOOKUP(Values!$S$6,Castes!$B$2:$F$25,4,0)=Charms!I1579))</f>
        <v>#N/A</v>
      </c>
      <c r="J1579" t="e">
        <f t="shared" ca="1" si="121"/>
        <v>#N/A</v>
      </c>
      <c r="K1579" s="18" t="e">
        <f t="shared" ca="1" si="120"/>
        <v>#N/A</v>
      </c>
      <c r="L1579" t="e">
        <f ca="1">IF(J1579,Charms!B1579,"")</f>
        <v>#N/A</v>
      </c>
      <c r="M1579" t="str">
        <f t="shared" ca="1" si="122"/>
        <v>-</v>
      </c>
      <c r="N1579" s="18" t="str">
        <f t="shared" si="123"/>
        <v>K1535:L1585</v>
      </c>
      <c r="O1579" t="str">
        <f t="shared" si="124"/>
        <v>A1535:A1579</v>
      </c>
    </row>
    <row r="1580" spans="1:15">
      <c r="A1580" s="18" t="str">
        <f>Charms!K1580</f>
        <v>Thrown</v>
      </c>
      <c r="B1580" t="str">
        <f>Charms!B1580</f>
        <v>Fatal Riptide Strike</v>
      </c>
      <c r="C1580" t="b">
        <f ca="1">OR(Values!$S$98&gt;=Charms!M1580,IFERROR(Charms!J1580=OFFSET(Values!$A$24,MATCH("S",Values!$T$25:$T$50,0),0),FALSE))</f>
        <v>0</v>
      </c>
      <c r="D1580" t="b">
        <f>VLOOKUP(Charms!J1580,Values!$A$11:$S$59,19,0)&gt;=Charms!L1580</f>
        <v>0</v>
      </c>
      <c r="E1580" t="e">
        <f>OR(ISBLANK(Charms!I1580),(VLOOKUP(Values!$S$6,Castes!$B$2:$F$25,4,0)=Charms!I1580))</f>
        <v>#N/A</v>
      </c>
      <c r="J1580" t="e">
        <f t="shared" ca="1" si="121"/>
        <v>#N/A</v>
      </c>
      <c r="K1580" s="18" t="e">
        <f t="shared" ca="1" si="120"/>
        <v>#N/A</v>
      </c>
      <c r="L1580" t="e">
        <f ca="1">IF(J1580,Charms!B1580,"")</f>
        <v>#N/A</v>
      </c>
      <c r="M1580" t="str">
        <f t="shared" ca="1" si="122"/>
        <v>-</v>
      </c>
      <c r="N1580" s="18" t="str">
        <f t="shared" si="123"/>
        <v>K1535:L1585</v>
      </c>
      <c r="O1580" t="str">
        <f t="shared" si="124"/>
        <v>A1535:A1580</v>
      </c>
    </row>
    <row r="1581" spans="1:15">
      <c r="A1581" s="18" t="str">
        <f>Charms!K1581</f>
        <v>Thrown</v>
      </c>
      <c r="B1581" t="str">
        <f>Charms!B1581</f>
        <v>Hundred Thorns Blossom</v>
      </c>
      <c r="C1581" t="b">
        <f ca="1">OR(Values!$S$98&gt;=Charms!M1581,IFERROR(Charms!J1581=OFFSET(Values!$A$24,MATCH("S",Values!$T$25:$T$50,0),0),FALSE))</f>
        <v>0</v>
      </c>
      <c r="D1581" t="b">
        <f>VLOOKUP(Charms!J1581,Values!$A$11:$S$59,19,0)&gt;=Charms!L1581</f>
        <v>0</v>
      </c>
      <c r="E1581" t="e">
        <f>OR(ISBLANK(Charms!I1581),(VLOOKUP(Values!$S$6,Castes!$B$2:$F$25,4,0)=Charms!I1581))</f>
        <v>#N/A</v>
      </c>
      <c r="J1581" t="e">
        <f t="shared" ca="1" si="121"/>
        <v>#N/A</v>
      </c>
      <c r="K1581" s="18" t="e">
        <f t="shared" ca="1" si="120"/>
        <v>#N/A</v>
      </c>
      <c r="L1581" t="e">
        <f ca="1">IF(J1581,Charms!B1581,"")</f>
        <v>#N/A</v>
      </c>
      <c r="M1581" t="str">
        <f t="shared" ca="1" si="122"/>
        <v>-</v>
      </c>
      <c r="N1581" s="18" t="str">
        <f t="shared" si="123"/>
        <v>K1535:L1585</v>
      </c>
      <c r="O1581" t="str">
        <f t="shared" si="124"/>
        <v>A1535:A1581</v>
      </c>
    </row>
    <row r="1582" spans="1:15">
      <c r="A1582" s="18" t="str">
        <f>Charms!K1582</f>
        <v>Thrown</v>
      </c>
      <c r="B1582" t="str">
        <f>Charms!B1582</f>
        <v>Thousand Razor Wind</v>
      </c>
      <c r="C1582" t="b">
        <f ca="1">OR(Values!$S$98&gt;=Charms!M1582,IFERROR(Charms!J1582=OFFSET(Values!$A$24,MATCH("S",Values!$T$25:$T$50,0),0),FALSE))</f>
        <v>0</v>
      </c>
      <c r="D1582" t="b">
        <f>VLOOKUP(Charms!J1582,Values!$A$11:$S$59,19,0)&gt;=Charms!L1582</f>
        <v>0</v>
      </c>
      <c r="E1582" t="e">
        <f>OR(ISBLANK(Charms!I1582),(VLOOKUP(Values!$S$6,Castes!$B$2:$F$25,4,0)=Charms!I1582))</f>
        <v>#N/A</v>
      </c>
      <c r="J1582" t="e">
        <f t="shared" ca="1" si="121"/>
        <v>#N/A</v>
      </c>
      <c r="K1582" s="18" t="e">
        <f t="shared" ca="1" si="120"/>
        <v>#N/A</v>
      </c>
      <c r="L1582" t="e">
        <f ca="1">IF(J1582,Charms!B1582,"")</f>
        <v>#N/A</v>
      </c>
      <c r="M1582" t="str">
        <f t="shared" ca="1" si="122"/>
        <v>-</v>
      </c>
      <c r="N1582" s="18" t="str">
        <f t="shared" si="123"/>
        <v>K1535:L1585</v>
      </c>
      <c r="O1582" t="str">
        <f t="shared" si="124"/>
        <v>A1535:A1582</v>
      </c>
    </row>
    <row r="1583" spans="1:15">
      <c r="A1583" s="18" t="str">
        <f>Charms!K1583</f>
        <v>Thrown</v>
      </c>
      <c r="B1583" t="str">
        <f>Charms!B1583</f>
        <v>Whirlwind Shield Technique</v>
      </c>
      <c r="C1583" t="b">
        <f ca="1">OR(Values!$S$98&gt;=Charms!M1583,IFERROR(Charms!J1583=OFFSET(Values!$A$24,MATCH("S",Values!$T$25:$T$50,0),0),FALSE))</f>
        <v>0</v>
      </c>
      <c r="D1583" t="b">
        <f>VLOOKUP(Charms!J1583,Values!$A$11:$S$59,19,0)&gt;=Charms!L1583</f>
        <v>0</v>
      </c>
      <c r="E1583" t="e">
        <f>OR(ISBLANK(Charms!I1583),(VLOOKUP(Values!$S$6,Castes!$B$2:$F$25,4,0)=Charms!I1583))</f>
        <v>#N/A</v>
      </c>
      <c r="J1583" t="e">
        <f t="shared" ca="1" si="121"/>
        <v>#N/A</v>
      </c>
      <c r="K1583" s="18" t="e">
        <f t="shared" ca="1" si="120"/>
        <v>#N/A</v>
      </c>
      <c r="L1583" t="e">
        <f ca="1">IF(J1583,Charms!B1583,"")</f>
        <v>#N/A</v>
      </c>
      <c r="M1583" t="str">
        <f t="shared" ca="1" si="122"/>
        <v>-</v>
      </c>
      <c r="N1583" s="18" t="str">
        <f t="shared" si="123"/>
        <v>K1535:L1585</v>
      </c>
      <c r="O1583" t="str">
        <f t="shared" si="124"/>
        <v>A1535:A1583</v>
      </c>
    </row>
    <row r="1584" spans="1:15">
      <c r="A1584" s="18" t="str">
        <f>Charms!K1584</f>
        <v>Thrown</v>
      </c>
      <c r="B1584" t="str">
        <f>Charms!B1584</f>
        <v>Vengeful Gust Counterstrike</v>
      </c>
      <c r="C1584" t="b">
        <f ca="1">OR(Values!$S$98&gt;=Charms!M1584,IFERROR(Charms!J1584=OFFSET(Values!$A$24,MATCH("S",Values!$T$25:$T$50,0),0),FALSE))</f>
        <v>0</v>
      </c>
      <c r="D1584" t="b">
        <f>VLOOKUP(Charms!J1584,Values!$A$11:$S$59,19,0)&gt;=Charms!L1584</f>
        <v>0</v>
      </c>
      <c r="E1584" t="e">
        <f>OR(ISBLANK(Charms!I1584),(VLOOKUP(Values!$S$6,Castes!$B$2:$F$25,4,0)=Charms!I1584))</f>
        <v>#N/A</v>
      </c>
      <c r="J1584" t="e">
        <f t="shared" ca="1" si="121"/>
        <v>#N/A</v>
      </c>
      <c r="K1584" s="18" t="e">
        <f t="shared" ca="1" si="120"/>
        <v>#N/A</v>
      </c>
      <c r="L1584" t="e">
        <f ca="1">IF(J1584,Charms!B1584,"")</f>
        <v>#N/A</v>
      </c>
      <c r="M1584" t="str">
        <f t="shared" ca="1" si="122"/>
        <v>-</v>
      </c>
      <c r="N1584" s="18" t="str">
        <f t="shared" si="123"/>
        <v>K1535:L1585</v>
      </c>
      <c r="O1584" t="str">
        <f t="shared" si="124"/>
        <v>A1535:A1584</v>
      </c>
    </row>
    <row r="1585" spans="1:15">
      <c r="A1585" s="18" t="str">
        <f>Charms!K1585</f>
        <v>Thrown</v>
      </c>
      <c r="B1585" t="str">
        <f>Charms!B1585</f>
        <v>Wind Armor Technique</v>
      </c>
      <c r="C1585" t="b">
        <f ca="1">OR(Values!$S$98&gt;=Charms!M1585,IFERROR(Charms!J1585=OFFSET(Values!$A$24,MATCH("S",Values!$T$25:$T$50,0),0),FALSE))</f>
        <v>0</v>
      </c>
      <c r="D1585" t="b">
        <f>VLOOKUP(Charms!J1585,Values!$A$11:$S$59,19,0)&gt;=Charms!L1585</f>
        <v>0</v>
      </c>
      <c r="E1585" t="e">
        <f>OR(ISBLANK(Charms!I1585),(VLOOKUP(Values!$S$6,Castes!$B$2:$F$25,4,0)=Charms!I1585))</f>
        <v>#N/A</v>
      </c>
      <c r="J1585" t="e">
        <f t="shared" ca="1" si="121"/>
        <v>#N/A</v>
      </c>
      <c r="K1585" s="18" t="e">
        <f t="shared" ca="1" si="120"/>
        <v>#N/A</v>
      </c>
      <c r="L1585" t="e">
        <f ca="1">IF(J1585,Charms!B1585,"")</f>
        <v>#N/A</v>
      </c>
      <c r="M1585" t="str">
        <f t="shared" ca="1" si="122"/>
        <v>-</v>
      </c>
      <c r="N1585" s="18" t="str">
        <f t="shared" si="123"/>
        <v>K1535:L1585</v>
      </c>
      <c r="O1585" t="str">
        <f t="shared" si="124"/>
        <v>A1535:A1585</v>
      </c>
    </row>
    <row r="1586" spans="1:15">
      <c r="A1586" s="18" t="str">
        <f>Charms!K1586</f>
        <v>War</v>
      </c>
      <c r="B1586" t="str">
        <f>Charms!B1586</f>
        <v>War God Descendent</v>
      </c>
      <c r="C1586" t="b">
        <f ca="1">OR(Values!$S$98&gt;=Charms!M1586,IFERROR(Charms!J1586=OFFSET(Values!$A$24,MATCH("S",Values!$T$25:$T$50,0),0),FALSE))</f>
        <v>1</v>
      </c>
      <c r="D1586" t="b">
        <f>VLOOKUP(Charms!J1586,Values!$A$11:$S$59,19,0)&gt;=Charms!L1586</f>
        <v>0</v>
      </c>
      <c r="E1586" t="e">
        <f>OR(ISBLANK(Charms!I1586),(VLOOKUP(Values!$S$6,Castes!$B$2:$F$25,4,0)=Charms!I1586))</f>
        <v>#N/A</v>
      </c>
      <c r="J1586" t="e">
        <f t="shared" ca="1" si="121"/>
        <v>#N/A</v>
      </c>
      <c r="K1586" s="18" t="e">
        <f t="shared" ca="1" si="120"/>
        <v>#N/A</v>
      </c>
      <c r="L1586" t="e">
        <f ca="1">IF(J1586,Charms!B1586,"")</f>
        <v>#N/A</v>
      </c>
      <c r="M1586" t="str">
        <f t="shared" ca="1" si="122"/>
        <v>-</v>
      </c>
      <c r="N1586" s="18" t="str">
        <f t="shared" si="123"/>
        <v>K1586:L1621</v>
      </c>
      <c r="O1586" t="str">
        <f t="shared" si="124"/>
        <v>A1586:A1586</v>
      </c>
    </row>
    <row r="1587" spans="1:15">
      <c r="A1587" s="18" t="str">
        <f>Charms!K1587</f>
        <v>War</v>
      </c>
      <c r="B1587" t="str">
        <f>Charms!B1587</f>
        <v>Immortal Commander's Presence</v>
      </c>
      <c r="C1587" t="b">
        <f ca="1">OR(Values!$S$98&gt;=Charms!M1587,IFERROR(Charms!J1587=OFFSET(Values!$A$24,MATCH("S",Values!$T$25:$T$50,0),0),FALSE))</f>
        <v>1</v>
      </c>
      <c r="D1587" t="b">
        <f>VLOOKUP(Charms!J1587,Values!$A$11:$S$59,19,0)&gt;=Charms!L1587</f>
        <v>0</v>
      </c>
      <c r="E1587" t="e">
        <f>OR(ISBLANK(Charms!I1587),(VLOOKUP(Values!$S$6,Castes!$B$2:$F$25,4,0)=Charms!I1587))</f>
        <v>#N/A</v>
      </c>
      <c r="J1587" t="e">
        <f t="shared" ca="1" si="121"/>
        <v>#N/A</v>
      </c>
      <c r="K1587" s="18" t="e">
        <f t="shared" ca="1" si="120"/>
        <v>#N/A</v>
      </c>
      <c r="L1587" t="e">
        <f ca="1">IF(J1587,Charms!B1587,"")</f>
        <v>#N/A</v>
      </c>
      <c r="M1587" t="str">
        <f t="shared" ca="1" si="122"/>
        <v>-</v>
      </c>
      <c r="N1587" s="18" t="str">
        <f t="shared" si="123"/>
        <v>K1586:L1621</v>
      </c>
      <c r="O1587" t="str">
        <f t="shared" si="124"/>
        <v>A1586:A1587</v>
      </c>
    </row>
    <row r="1588" spans="1:15">
      <c r="A1588" s="18" t="str">
        <f>Charms!K1588</f>
        <v>War</v>
      </c>
      <c r="B1588" t="str">
        <f>Charms!B1588</f>
        <v>Holistic Battle Understanding</v>
      </c>
      <c r="C1588" t="b">
        <f ca="1">OR(Values!$S$98&gt;=Charms!M1588,IFERROR(Charms!J1588=OFFSET(Values!$A$24,MATCH("S",Values!$T$25:$T$50,0),0),FALSE))</f>
        <v>1</v>
      </c>
      <c r="D1588" t="b">
        <f>VLOOKUP(Charms!J1588,Values!$A$11:$S$59,19,0)&gt;=Charms!L1588</f>
        <v>0</v>
      </c>
      <c r="E1588" t="e">
        <f>OR(ISBLANK(Charms!I1588),(VLOOKUP(Values!$S$6,Castes!$B$2:$F$25,4,0)=Charms!I1588))</f>
        <v>#N/A</v>
      </c>
      <c r="J1588" t="e">
        <f t="shared" ca="1" si="121"/>
        <v>#N/A</v>
      </c>
      <c r="K1588" s="18" t="e">
        <f t="shared" ca="1" si="120"/>
        <v>#N/A</v>
      </c>
      <c r="L1588" t="e">
        <f ca="1">IF(J1588,Charms!B1588,"")</f>
        <v>#N/A</v>
      </c>
      <c r="M1588" t="str">
        <f t="shared" ca="1" si="122"/>
        <v>-</v>
      </c>
      <c r="N1588" s="18" t="str">
        <f t="shared" si="123"/>
        <v>K1586:L1621</v>
      </c>
      <c r="O1588" t="str">
        <f t="shared" si="124"/>
        <v>A1586:A1588</v>
      </c>
    </row>
    <row r="1589" spans="1:15">
      <c r="A1589" s="18" t="str">
        <f>Charms!K1589</f>
        <v>War</v>
      </c>
      <c r="B1589" t="str">
        <f>Charms!B1589</f>
        <v>Ideal Battle Knowledge Prana</v>
      </c>
      <c r="C1589" t="b">
        <f ca="1">OR(Values!$S$98&gt;=Charms!M1589,IFERROR(Charms!J1589=OFFSET(Values!$A$24,MATCH("S",Values!$T$25:$T$50,0),0),FALSE))</f>
        <v>1</v>
      </c>
      <c r="D1589" t="b">
        <f>VLOOKUP(Charms!J1589,Values!$A$11:$S$59,19,0)&gt;=Charms!L1589</f>
        <v>0</v>
      </c>
      <c r="E1589" t="e">
        <f>OR(ISBLANK(Charms!I1589),(VLOOKUP(Values!$S$6,Castes!$B$2:$F$25,4,0)=Charms!I1589))</f>
        <v>#N/A</v>
      </c>
      <c r="J1589" t="e">
        <f t="shared" ca="1" si="121"/>
        <v>#N/A</v>
      </c>
      <c r="K1589" s="18" t="e">
        <f t="shared" ca="1" si="120"/>
        <v>#N/A</v>
      </c>
      <c r="L1589" t="e">
        <f ca="1">IF(J1589,Charms!B1589,"")</f>
        <v>#N/A</v>
      </c>
      <c r="M1589" t="str">
        <f t="shared" ca="1" si="122"/>
        <v>-</v>
      </c>
      <c r="N1589" s="18" t="str">
        <f t="shared" si="123"/>
        <v>K1586:L1621</v>
      </c>
      <c r="O1589" t="str">
        <f t="shared" si="124"/>
        <v>A1586:A1589</v>
      </c>
    </row>
    <row r="1590" spans="1:15">
      <c r="A1590" s="18" t="str">
        <f>Charms!K1590</f>
        <v>War</v>
      </c>
      <c r="B1590" t="str">
        <f>Charms!B1590</f>
        <v>League of Iron Preparation</v>
      </c>
      <c r="C1590" t="b">
        <f ca="1">OR(Values!$S$98&gt;=Charms!M1590,IFERROR(Charms!J1590=OFFSET(Values!$A$24,MATCH("S",Values!$T$25:$T$50,0),0),FALSE))</f>
        <v>1</v>
      </c>
      <c r="D1590" t="b">
        <f>VLOOKUP(Charms!J1590,Values!$A$11:$S$59,19,0)&gt;=Charms!L1590</f>
        <v>0</v>
      </c>
      <c r="E1590" t="e">
        <f>OR(ISBLANK(Charms!I1590),(VLOOKUP(Values!$S$6,Castes!$B$2:$F$25,4,0)=Charms!I1590))</f>
        <v>#N/A</v>
      </c>
      <c r="J1590" t="e">
        <f t="shared" ca="1" si="121"/>
        <v>#N/A</v>
      </c>
      <c r="K1590" s="18" t="e">
        <f t="shared" ca="1" si="120"/>
        <v>#N/A</v>
      </c>
      <c r="L1590" t="e">
        <f ca="1">IF(J1590,Charms!B1590,"")</f>
        <v>#N/A</v>
      </c>
      <c r="M1590" t="str">
        <f t="shared" ca="1" si="122"/>
        <v>-</v>
      </c>
      <c r="N1590" s="18" t="str">
        <f t="shared" si="123"/>
        <v>K1586:L1621</v>
      </c>
      <c r="O1590" t="str">
        <f t="shared" si="124"/>
        <v>A1586:A1590</v>
      </c>
    </row>
    <row r="1591" spans="1:15">
      <c r="A1591" s="18" t="str">
        <f>Charms!K1591</f>
        <v>War</v>
      </c>
      <c r="B1591" t="str">
        <f>Charms!B1591</f>
        <v>Rout-Stemming Gesture</v>
      </c>
      <c r="C1591" t="b">
        <f ca="1">OR(Values!$S$98&gt;=Charms!M1591,IFERROR(Charms!J1591=OFFSET(Values!$A$24,MATCH("S",Values!$T$25:$T$50,0),0),FALSE))</f>
        <v>1</v>
      </c>
      <c r="D1591" t="b">
        <f>VLOOKUP(Charms!J1591,Values!$A$11:$S$59,19,0)&gt;=Charms!L1591</f>
        <v>0</v>
      </c>
      <c r="E1591" t="e">
        <f>OR(ISBLANK(Charms!I1591),(VLOOKUP(Values!$S$6,Castes!$B$2:$F$25,4,0)=Charms!I1591))</f>
        <v>#N/A</v>
      </c>
      <c r="J1591" t="e">
        <f t="shared" ca="1" si="121"/>
        <v>#N/A</v>
      </c>
      <c r="K1591" s="18" t="e">
        <f t="shared" ca="1" si="120"/>
        <v>#N/A</v>
      </c>
      <c r="L1591" t="e">
        <f ca="1">IF(J1591,Charms!B1591,"")</f>
        <v>#N/A</v>
      </c>
      <c r="M1591" t="str">
        <f t="shared" ca="1" si="122"/>
        <v>-</v>
      </c>
      <c r="N1591" s="18" t="str">
        <f t="shared" si="123"/>
        <v>K1586:L1621</v>
      </c>
      <c r="O1591" t="str">
        <f t="shared" si="124"/>
        <v>A1586:A1591</v>
      </c>
    </row>
    <row r="1592" spans="1:15">
      <c r="A1592" s="18" t="str">
        <f>Charms!K1592</f>
        <v>War</v>
      </c>
      <c r="B1592" t="str">
        <f>Charms!B1592</f>
        <v>Redoubt-Raising Gesture</v>
      </c>
      <c r="C1592" t="b">
        <f ca="1">OR(Values!$S$98&gt;=Charms!M1592,IFERROR(Charms!J1592=OFFSET(Values!$A$24,MATCH("S",Values!$T$25:$T$50,0),0),FALSE))</f>
        <v>0</v>
      </c>
      <c r="D1592" t="b">
        <f>VLOOKUP(Charms!J1592,Values!$A$11:$S$59,19,0)&gt;=Charms!L1592</f>
        <v>0</v>
      </c>
      <c r="E1592" t="e">
        <f>OR(ISBLANK(Charms!I1592),(VLOOKUP(Values!$S$6,Castes!$B$2:$F$25,4,0)=Charms!I1592))</f>
        <v>#N/A</v>
      </c>
      <c r="J1592" t="e">
        <f t="shared" ca="1" si="121"/>
        <v>#N/A</v>
      </c>
      <c r="K1592" s="18" t="e">
        <f t="shared" ca="1" si="120"/>
        <v>#N/A</v>
      </c>
      <c r="L1592" t="e">
        <f ca="1">IF(J1592,Charms!B1592,"")</f>
        <v>#N/A</v>
      </c>
      <c r="M1592" t="str">
        <f t="shared" ca="1" si="122"/>
        <v>-</v>
      </c>
      <c r="N1592" s="18" t="str">
        <f t="shared" si="123"/>
        <v>K1586:L1621</v>
      </c>
      <c r="O1592" t="str">
        <f t="shared" si="124"/>
        <v>A1586:A1592</v>
      </c>
    </row>
    <row r="1593" spans="1:15">
      <c r="A1593" s="18" t="str">
        <f>Charms!K1593</f>
        <v>War</v>
      </c>
      <c r="B1593" t="str">
        <f>Charms!B1593</f>
        <v>Unstoppable Solar Conqueror</v>
      </c>
      <c r="C1593" t="b">
        <f ca="1">OR(Values!$S$98&gt;=Charms!M1593,IFERROR(Charms!J1593=OFFSET(Values!$A$24,MATCH("S",Values!$T$25:$T$50,0),0),FALSE))</f>
        <v>1</v>
      </c>
      <c r="D1593" t="b">
        <f>VLOOKUP(Charms!J1593,Values!$A$11:$S$59,19,0)&gt;=Charms!L1593</f>
        <v>0</v>
      </c>
      <c r="E1593" t="e">
        <f>OR(ISBLANK(Charms!I1593),(VLOOKUP(Values!$S$6,Castes!$B$2:$F$25,4,0)=Charms!I1593))</f>
        <v>#N/A</v>
      </c>
      <c r="J1593" t="e">
        <f t="shared" ca="1" si="121"/>
        <v>#N/A</v>
      </c>
      <c r="K1593" s="18" t="e">
        <f t="shared" ca="1" si="120"/>
        <v>#N/A</v>
      </c>
      <c r="L1593" t="e">
        <f ca="1">IF(J1593,Charms!B1593,"")</f>
        <v>#N/A</v>
      </c>
      <c r="M1593" t="str">
        <f t="shared" ca="1" si="122"/>
        <v>-</v>
      </c>
      <c r="N1593" s="18" t="str">
        <f t="shared" si="123"/>
        <v>K1586:L1621</v>
      </c>
      <c r="O1593" t="str">
        <f t="shared" si="124"/>
        <v>A1586:A1593</v>
      </c>
    </row>
    <row r="1594" spans="1:15">
      <c r="A1594" s="18" t="str">
        <f>Charms!K1594</f>
        <v>War</v>
      </c>
      <c r="B1594" t="str">
        <f>Charms!B1594</f>
        <v>Tiger Warrior Training Technique</v>
      </c>
      <c r="C1594" t="b">
        <f ca="1">OR(Values!$S$98&gt;=Charms!M1594,IFERROR(Charms!J1594=OFFSET(Values!$A$24,MATCH("S",Values!$T$25:$T$50,0),0),FALSE))</f>
        <v>0</v>
      </c>
      <c r="D1594" t="b">
        <f>VLOOKUP(Charms!J1594,Values!$A$11:$S$59,19,0)&gt;=Charms!L1594</f>
        <v>0</v>
      </c>
      <c r="E1594" t="e">
        <f>OR(ISBLANK(Charms!I1594),(VLOOKUP(Values!$S$6,Castes!$B$2:$F$25,4,0)=Charms!I1594))</f>
        <v>#N/A</v>
      </c>
      <c r="J1594" t="e">
        <f t="shared" ca="1" si="121"/>
        <v>#N/A</v>
      </c>
      <c r="K1594" s="18" t="e">
        <f t="shared" ca="1" si="120"/>
        <v>#N/A</v>
      </c>
      <c r="L1594" t="e">
        <f ca="1">IF(J1594,Charms!B1594,"")</f>
        <v>#N/A</v>
      </c>
      <c r="M1594" t="str">
        <f t="shared" ca="1" si="122"/>
        <v>-</v>
      </c>
      <c r="N1594" s="18" t="str">
        <f t="shared" si="123"/>
        <v>K1586:L1621</v>
      </c>
      <c r="O1594" t="str">
        <f t="shared" si="124"/>
        <v>A1586:A1594</v>
      </c>
    </row>
    <row r="1595" spans="1:15">
      <c r="A1595" s="18" t="str">
        <f>Charms!K1595</f>
        <v>War</v>
      </c>
      <c r="B1595" t="str">
        <f>Charms!B1595</f>
        <v>Magnanimity of the Unstoppable Icon</v>
      </c>
      <c r="C1595" t="b">
        <f ca="1">OR(Values!$S$98&gt;=Charms!M1595,IFERROR(Charms!J1595=OFFSET(Values!$A$24,MATCH("S",Values!$T$25:$T$50,0),0),FALSE))</f>
        <v>0</v>
      </c>
      <c r="D1595" t="b">
        <f>VLOOKUP(Charms!J1595,Values!$A$11:$S$59,19,0)&gt;=Charms!L1595</f>
        <v>0</v>
      </c>
      <c r="E1595" t="e">
        <f>OR(ISBLANK(Charms!I1595),(VLOOKUP(Values!$S$6,Castes!$B$2:$F$25,4,0)=Charms!I1595))</f>
        <v>#N/A</v>
      </c>
      <c r="J1595" t="e">
        <f t="shared" ca="1" si="121"/>
        <v>#N/A</v>
      </c>
      <c r="K1595" s="18" t="e">
        <f t="shared" ca="1" si="120"/>
        <v>#N/A</v>
      </c>
      <c r="L1595" t="e">
        <f ca="1">IF(J1595,Charms!B1595,"")</f>
        <v>#N/A</v>
      </c>
      <c r="M1595" t="str">
        <f t="shared" ca="1" si="122"/>
        <v>-</v>
      </c>
      <c r="N1595" s="18" t="str">
        <f t="shared" si="123"/>
        <v>K1586:L1621</v>
      </c>
      <c r="O1595" t="str">
        <f t="shared" si="124"/>
        <v>A1586:A1595</v>
      </c>
    </row>
    <row r="1596" spans="1:15">
      <c r="A1596" s="18" t="str">
        <f>Charms!K1596</f>
        <v>War</v>
      </c>
      <c r="B1596" t="str">
        <f>Charms!B1596</f>
        <v>General of the All-Seeing Sun</v>
      </c>
      <c r="C1596" t="b">
        <f ca="1">OR(Values!$S$98&gt;=Charms!M1596,IFERROR(Charms!J1596=OFFSET(Values!$A$24,MATCH("S",Values!$T$25:$T$50,0),0),FALSE))</f>
        <v>0</v>
      </c>
      <c r="D1596" t="b">
        <f>VLOOKUP(Charms!J1596,Values!$A$11:$S$59,19,0)&gt;=Charms!L1596</f>
        <v>0</v>
      </c>
      <c r="E1596" t="e">
        <f>OR(ISBLANK(Charms!I1596),(VLOOKUP(Values!$S$6,Castes!$B$2:$F$25,4,0)=Charms!I1596))</f>
        <v>#N/A</v>
      </c>
      <c r="J1596" t="e">
        <f t="shared" ca="1" si="121"/>
        <v>#N/A</v>
      </c>
      <c r="K1596" s="18" t="e">
        <f t="shared" ca="1" si="120"/>
        <v>#N/A</v>
      </c>
      <c r="L1596" t="e">
        <f ca="1">IF(J1596,Charms!B1596,"")</f>
        <v>#N/A</v>
      </c>
      <c r="M1596" t="str">
        <f t="shared" ca="1" si="122"/>
        <v>-</v>
      </c>
      <c r="N1596" s="18" t="str">
        <f t="shared" si="123"/>
        <v>K1586:L1621</v>
      </c>
      <c r="O1596" t="str">
        <f t="shared" si="124"/>
        <v>A1586:A1596</v>
      </c>
    </row>
    <row r="1597" spans="1:15">
      <c r="A1597" s="18" t="str">
        <f>Charms!K1597</f>
        <v>War</v>
      </c>
      <c r="B1597" t="str">
        <f>Charms!B1597</f>
        <v>Immortal Warlord's Tactic</v>
      </c>
      <c r="C1597" t="b">
        <f ca="1">OR(Values!$S$98&gt;=Charms!M1597,IFERROR(Charms!J1597=OFFSET(Values!$A$24,MATCH("S",Values!$T$25:$T$50,0),0),FALSE))</f>
        <v>0</v>
      </c>
      <c r="D1597" t="b">
        <f>VLOOKUP(Charms!J1597,Values!$A$11:$S$59,19,0)&gt;=Charms!L1597</f>
        <v>0</v>
      </c>
      <c r="E1597" t="e">
        <f>OR(ISBLANK(Charms!I1597),(VLOOKUP(Values!$S$6,Castes!$B$2:$F$25,4,0)=Charms!I1597))</f>
        <v>#N/A</v>
      </c>
      <c r="J1597" t="e">
        <f t="shared" ca="1" si="121"/>
        <v>#N/A</v>
      </c>
      <c r="K1597" s="18" t="e">
        <f t="shared" ca="1" si="120"/>
        <v>#N/A</v>
      </c>
      <c r="L1597" t="e">
        <f ca="1">IF(J1597,Charms!B1597,"")</f>
        <v>#N/A</v>
      </c>
      <c r="M1597" t="str">
        <f t="shared" ca="1" si="122"/>
        <v>-</v>
      </c>
      <c r="N1597" s="18" t="str">
        <f t="shared" si="123"/>
        <v>K1586:L1621</v>
      </c>
      <c r="O1597" t="str">
        <f t="shared" si="124"/>
        <v>A1586:A1597</v>
      </c>
    </row>
    <row r="1598" spans="1:15">
      <c r="A1598" s="18" t="str">
        <f>Charms!K1598</f>
        <v>War</v>
      </c>
      <c r="B1598" t="str">
        <f>Charms!B1598</f>
        <v>Battle Path Ascendant</v>
      </c>
      <c r="C1598" t="b">
        <f ca="1">OR(Values!$S$98&gt;=Charms!M1598,IFERROR(Charms!J1598=OFFSET(Values!$A$24,MATCH("S",Values!$T$25:$T$50,0),0),FALSE))</f>
        <v>0</v>
      </c>
      <c r="D1598" t="b">
        <f>VLOOKUP(Charms!J1598,Values!$A$11:$S$59,19,0)&gt;=Charms!L1598</f>
        <v>0</v>
      </c>
      <c r="E1598" t="e">
        <f>OR(ISBLANK(Charms!I1598),(VLOOKUP(Values!$S$6,Castes!$B$2:$F$25,4,0)=Charms!I1598))</f>
        <v>#N/A</v>
      </c>
      <c r="J1598" t="e">
        <f t="shared" ca="1" si="121"/>
        <v>#N/A</v>
      </c>
      <c r="K1598" s="18" t="e">
        <f t="shared" ca="1" si="120"/>
        <v>#N/A</v>
      </c>
      <c r="L1598" t="e">
        <f ca="1">IF(J1598,Charms!B1598,"")</f>
        <v>#N/A</v>
      </c>
      <c r="M1598" t="str">
        <f t="shared" ca="1" si="122"/>
        <v>-</v>
      </c>
      <c r="N1598" s="18" t="str">
        <f t="shared" si="123"/>
        <v>K1586:L1621</v>
      </c>
      <c r="O1598" t="str">
        <f t="shared" si="124"/>
        <v>A1586:A1598</v>
      </c>
    </row>
    <row r="1599" spans="1:15">
      <c r="A1599" s="18" t="str">
        <f>Charms!K1599</f>
        <v>War</v>
      </c>
      <c r="B1599" t="str">
        <f>Charms!B1599</f>
        <v>March of the Returner</v>
      </c>
      <c r="C1599" t="b">
        <f ca="1">OR(Values!$S$98&gt;=Charms!M1599,IFERROR(Charms!J1599=OFFSET(Values!$A$24,MATCH("S",Values!$T$25:$T$50,0),0),FALSE))</f>
        <v>0</v>
      </c>
      <c r="D1599" t="b">
        <f>VLOOKUP(Charms!J1599,Values!$A$11:$S$59,19,0)&gt;=Charms!L1599</f>
        <v>0</v>
      </c>
      <c r="E1599" t="e">
        <f>OR(ISBLANK(Charms!I1599),(VLOOKUP(Values!$S$6,Castes!$B$2:$F$25,4,0)=Charms!I1599))</f>
        <v>#N/A</v>
      </c>
      <c r="J1599" t="e">
        <f t="shared" ca="1" si="121"/>
        <v>#N/A</v>
      </c>
      <c r="K1599" s="18" t="e">
        <f t="shared" ca="1" si="120"/>
        <v>#N/A</v>
      </c>
      <c r="L1599" t="e">
        <f ca="1">IF(J1599,Charms!B1599,"")</f>
        <v>#N/A</v>
      </c>
      <c r="M1599" t="str">
        <f t="shared" ca="1" si="122"/>
        <v>-</v>
      </c>
      <c r="N1599" s="18" t="str">
        <f t="shared" si="123"/>
        <v>K1586:L1621</v>
      </c>
      <c r="O1599" t="str">
        <f t="shared" si="124"/>
        <v>A1586:A1599</v>
      </c>
    </row>
    <row r="1600" spans="1:15">
      <c r="A1600" s="18" t="str">
        <f>Charms!K1600</f>
        <v>War</v>
      </c>
      <c r="B1600" t="str">
        <f>Charms!B1600</f>
        <v>Supremacy of the Divine Army</v>
      </c>
      <c r="C1600" t="b">
        <f ca="1">OR(Values!$S$98&gt;=Charms!M1600,IFERROR(Charms!J1600=OFFSET(Values!$A$24,MATCH("S",Values!$T$25:$T$50,0),0),FALSE))</f>
        <v>0</v>
      </c>
      <c r="D1600" t="b">
        <f>VLOOKUP(Charms!J1600,Values!$A$11:$S$59,19,0)&gt;=Charms!L1600</f>
        <v>0</v>
      </c>
      <c r="E1600" t="e">
        <f>OR(ISBLANK(Charms!I1600),(VLOOKUP(Values!$S$6,Castes!$B$2:$F$25,4,0)=Charms!I1600))</f>
        <v>#N/A</v>
      </c>
      <c r="J1600" t="e">
        <f t="shared" ca="1" si="121"/>
        <v>#N/A</v>
      </c>
      <c r="K1600" s="18" t="e">
        <f t="shared" ca="1" si="120"/>
        <v>#N/A</v>
      </c>
      <c r="L1600" t="e">
        <f ca="1">IF(J1600,Charms!B1600,"")</f>
        <v>#N/A</v>
      </c>
      <c r="M1600" t="str">
        <f t="shared" ca="1" si="122"/>
        <v>-</v>
      </c>
      <c r="N1600" s="18" t="str">
        <f t="shared" si="123"/>
        <v>K1586:L1621</v>
      </c>
      <c r="O1600" t="str">
        <f t="shared" si="124"/>
        <v>A1586:A1600</v>
      </c>
    </row>
    <row r="1601" spans="1:15">
      <c r="A1601" s="18" t="str">
        <f>Charms!K1601</f>
        <v>War</v>
      </c>
      <c r="B1601" t="str">
        <f>Charms!B1601</f>
        <v>Four Glories Meditation</v>
      </c>
      <c r="C1601" t="b">
        <f ca="1">OR(Values!$S$98&gt;=Charms!M1601,IFERROR(Charms!J1601=OFFSET(Values!$A$24,MATCH("S",Values!$T$25:$T$50,0),0),FALSE))</f>
        <v>0</v>
      </c>
      <c r="D1601" t="b">
        <f>VLOOKUP(Charms!J1601,Values!$A$11:$S$59,19,0)&gt;=Charms!L1601</f>
        <v>0</v>
      </c>
      <c r="E1601" t="e">
        <f>OR(ISBLANK(Charms!I1601),(VLOOKUP(Values!$S$6,Castes!$B$2:$F$25,4,0)=Charms!I1601))</f>
        <v>#N/A</v>
      </c>
      <c r="J1601" t="e">
        <f t="shared" ca="1" si="121"/>
        <v>#N/A</v>
      </c>
      <c r="K1601" s="18" t="e">
        <f t="shared" ca="1" si="120"/>
        <v>#N/A</v>
      </c>
      <c r="L1601" t="e">
        <f ca="1">IF(J1601,Charms!B1601,"")</f>
        <v>#N/A</v>
      </c>
      <c r="M1601" t="str">
        <f t="shared" ca="1" si="122"/>
        <v>-</v>
      </c>
      <c r="N1601" s="18" t="str">
        <f t="shared" si="123"/>
        <v>K1586:L1621</v>
      </c>
      <c r="O1601" t="str">
        <f t="shared" si="124"/>
        <v>A1586:A1601</v>
      </c>
    </row>
    <row r="1602" spans="1:15">
      <c r="A1602" s="18" t="str">
        <f>Charms!K1602</f>
        <v>War</v>
      </c>
      <c r="B1602" t="str">
        <f>Charms!B1602</f>
        <v>Transcendent Warlord's Genius</v>
      </c>
      <c r="C1602" t="b">
        <f ca="1">OR(Values!$S$98&gt;=Charms!M1602,IFERROR(Charms!J1602=OFFSET(Values!$A$24,MATCH("S",Values!$T$25:$T$50,0),0),FALSE))</f>
        <v>0</v>
      </c>
      <c r="D1602" t="b">
        <f>VLOOKUP(Charms!J1602,Values!$A$11:$S$59,19,0)&gt;=Charms!L1602</f>
        <v>0</v>
      </c>
      <c r="E1602" t="e">
        <f>OR(ISBLANK(Charms!I1602),(VLOOKUP(Values!$S$6,Castes!$B$2:$F$25,4,0)=Charms!I1602))</f>
        <v>#N/A</v>
      </c>
      <c r="J1602" t="e">
        <f t="shared" ca="1" si="121"/>
        <v>#N/A</v>
      </c>
      <c r="K1602" s="18" t="e">
        <f t="shared" ref="K1602:K1665" ca="1" si="125">IF(L1602="","",COUNTIF(INDIRECT("J"&amp;MATCH(A1602,A:A,0)&amp;":J"&amp;ROW()),J1602))</f>
        <v>#N/A</v>
      </c>
      <c r="L1602" t="e">
        <f ca="1">IF(J1602,Charms!B1602,"")</f>
        <v>#N/A</v>
      </c>
      <c r="M1602" t="str">
        <f t="shared" ca="1" si="122"/>
        <v>-</v>
      </c>
      <c r="N1602" s="18" t="str">
        <f t="shared" si="123"/>
        <v>K1586:L1621</v>
      </c>
      <c r="O1602" t="str">
        <f t="shared" si="124"/>
        <v>A1586:A1602</v>
      </c>
    </row>
    <row r="1603" spans="1:15">
      <c r="A1603" s="18" t="str">
        <f>Charms!K1603</f>
        <v>War</v>
      </c>
      <c r="B1603" t="str">
        <f>Charms!B1603</f>
        <v>Battle-Visionary's Foresight</v>
      </c>
      <c r="C1603" t="b">
        <f ca="1">OR(Values!$S$98&gt;=Charms!M1603,IFERROR(Charms!J1603=OFFSET(Values!$A$24,MATCH("S",Values!$T$25:$T$50,0),0),FALSE))</f>
        <v>0</v>
      </c>
      <c r="D1603" t="b">
        <f>VLOOKUP(Charms!J1603,Values!$A$11:$S$59,19,0)&gt;=Charms!L1603</f>
        <v>0</v>
      </c>
      <c r="E1603" t="e">
        <f>OR(ISBLANK(Charms!I1603),(VLOOKUP(Values!$S$6,Castes!$B$2:$F$25,4,0)=Charms!I1603))</f>
        <v>#N/A</v>
      </c>
      <c r="J1603" t="e">
        <f t="shared" ref="J1603:J1666" ca="1" si="126">(C1603+D1603+E1603+F1603+G1603+H1603+I1603)=3</f>
        <v>#N/A</v>
      </c>
      <c r="K1603" s="18" t="e">
        <f t="shared" ca="1" si="125"/>
        <v>#N/A</v>
      </c>
      <c r="L1603" t="e">
        <f ca="1">IF(J1603,Charms!B1603,"")</f>
        <v>#N/A</v>
      </c>
      <c r="M1603" t="str">
        <f t="shared" ref="M1603:M1666" ca="1" si="127">IFERROR(VLOOKUP(COUNTIF(INDIRECT(O1603),A1603),INDIRECT(N1603),2,0),"-")</f>
        <v>-</v>
      </c>
      <c r="N1603" s="18" t="str">
        <f t="shared" ref="N1603:N1666" si="128">"K"&amp;MATCH(A1603,A:A,0)&amp;":L"&amp;(MATCH(A1603,A:A,0)+COUNTIF(A:A,A1603)-1)</f>
        <v>K1586:L1621</v>
      </c>
      <c r="O1603" t="str">
        <f t="shared" ref="O1603:O1666" si="129">"A"&amp;MATCH(A1603,A:A,0)&amp;":A"&amp;ROW()</f>
        <v>A1586:A1603</v>
      </c>
    </row>
    <row r="1604" spans="1:15">
      <c r="A1604" s="18" t="str">
        <f>Charms!K1604</f>
        <v>War</v>
      </c>
      <c r="B1604" t="str">
        <f>Charms!B1604</f>
        <v>One With Five Forces</v>
      </c>
      <c r="C1604" t="b">
        <f ca="1">OR(Values!$S$98&gt;=Charms!M1604,IFERROR(Charms!J1604=OFFSET(Values!$A$24,MATCH("S",Values!$T$25:$T$50,0),0),FALSE))</f>
        <v>0</v>
      </c>
      <c r="D1604" t="b">
        <f>VLOOKUP(Charms!J1604,Values!$A$11:$S$59,19,0)&gt;=Charms!L1604</f>
        <v>0</v>
      </c>
      <c r="E1604" t="e">
        <f>OR(ISBLANK(Charms!I1604),(VLOOKUP(Values!$S$6,Castes!$B$2:$F$25,4,0)=Charms!I1604))</f>
        <v>#N/A</v>
      </c>
      <c r="J1604" t="e">
        <f t="shared" ca="1" si="126"/>
        <v>#N/A</v>
      </c>
      <c r="K1604" s="18" t="e">
        <f t="shared" ca="1" si="125"/>
        <v>#N/A</v>
      </c>
      <c r="L1604" t="e">
        <f ca="1">IF(J1604,Charms!B1604,"")</f>
        <v>#N/A</v>
      </c>
      <c r="M1604" t="str">
        <f t="shared" ca="1" si="127"/>
        <v>-</v>
      </c>
      <c r="N1604" s="18" t="str">
        <f t="shared" si="128"/>
        <v>K1586:L1621</v>
      </c>
      <c r="O1604" t="str">
        <f t="shared" si="129"/>
        <v>A1586:A1604</v>
      </c>
    </row>
    <row r="1605" spans="1:15">
      <c r="A1605" s="18" t="str">
        <f>Charms!K1605</f>
        <v>War</v>
      </c>
      <c r="B1605" t="str">
        <f>Charms!B1605</f>
        <v>Tactics Mean Everything</v>
      </c>
      <c r="C1605" t="b">
        <f ca="1">OR(Values!$S$98&gt;=Charms!M1605,IFERROR(Charms!J1605=OFFSET(Values!$A$24,MATCH("S",Values!$T$25:$T$50,0),0),FALSE))</f>
        <v>1</v>
      </c>
      <c r="D1605" t="b">
        <f>VLOOKUP(Charms!J1605,Values!$A$11:$S$59,19,0)&gt;=Charms!L1605</f>
        <v>0</v>
      </c>
      <c r="E1605" t="e">
        <f>OR(ISBLANK(Charms!I1605),(VLOOKUP(Values!$S$6,Castes!$B$2:$F$25,4,0)=Charms!I1605))</f>
        <v>#N/A</v>
      </c>
      <c r="J1605" t="e">
        <f t="shared" ca="1" si="126"/>
        <v>#N/A</v>
      </c>
      <c r="K1605" s="18" t="e">
        <f t="shared" ca="1" si="125"/>
        <v>#N/A</v>
      </c>
      <c r="L1605" t="e">
        <f ca="1">IF(J1605,Charms!B1605,"")</f>
        <v>#N/A</v>
      </c>
      <c r="M1605" t="str">
        <f t="shared" ca="1" si="127"/>
        <v>-</v>
      </c>
      <c r="N1605" s="18" t="str">
        <f t="shared" si="128"/>
        <v>K1586:L1621</v>
      </c>
      <c r="O1605" t="str">
        <f t="shared" si="129"/>
        <v>A1586:A1605</v>
      </c>
    </row>
    <row r="1606" spans="1:15">
      <c r="A1606" s="18" t="str">
        <f>Charms!K1606</f>
        <v>War</v>
      </c>
      <c r="B1606" t="str">
        <f>Charms!B1606</f>
        <v>Excellence of the Dutiful General</v>
      </c>
      <c r="C1606" t="b">
        <f ca="1">OR(Values!$S$98&gt;=Charms!M1606,IFERROR(Charms!J1606=OFFSET(Values!$A$24,MATCH("S",Values!$T$25:$T$50,0),0),FALSE))</f>
        <v>1</v>
      </c>
      <c r="D1606" t="b">
        <f>VLOOKUP(Charms!J1606,Values!$A$11:$S$59,19,0)&gt;=Charms!L1606</f>
        <v>0</v>
      </c>
      <c r="E1606" t="e">
        <f>OR(ISBLANK(Charms!I1606),(VLOOKUP(Values!$S$6,Castes!$B$2:$F$25,4,0)=Charms!I1606))</f>
        <v>#N/A</v>
      </c>
      <c r="J1606" t="e">
        <f t="shared" ca="1" si="126"/>
        <v>#N/A</v>
      </c>
      <c r="K1606" s="18" t="e">
        <f t="shared" ca="1" si="125"/>
        <v>#N/A</v>
      </c>
      <c r="L1606" t="e">
        <f ca="1">IF(J1606,Charms!B1606,"")</f>
        <v>#N/A</v>
      </c>
      <c r="M1606" t="str">
        <f t="shared" ca="1" si="127"/>
        <v>-</v>
      </c>
      <c r="N1606" s="18" t="str">
        <f t="shared" si="128"/>
        <v>K1586:L1621</v>
      </c>
      <c r="O1606" t="str">
        <f t="shared" si="129"/>
        <v>A1586:A1606</v>
      </c>
    </row>
    <row r="1607" spans="1:15">
      <c r="A1607" s="18" t="str">
        <f>Charms!K1607</f>
        <v>War</v>
      </c>
      <c r="B1607" t="str">
        <f>Charms!B1607</f>
        <v>Roaring Dragon Officer</v>
      </c>
      <c r="C1607" t="b">
        <f ca="1">OR(Values!$S$98&gt;=Charms!M1607,IFERROR(Charms!J1607=OFFSET(Values!$A$24,MATCH("S",Values!$T$25:$T$50,0),0),FALSE))</f>
        <v>1</v>
      </c>
      <c r="D1607" t="b">
        <f>VLOOKUP(Charms!J1607,Values!$A$11:$S$59,19,0)&gt;=Charms!L1607</f>
        <v>0</v>
      </c>
      <c r="E1607" t="e">
        <f>OR(ISBLANK(Charms!I1607),(VLOOKUP(Values!$S$6,Castes!$B$2:$F$25,4,0)=Charms!I1607))</f>
        <v>#N/A</v>
      </c>
      <c r="J1607" t="e">
        <f t="shared" ca="1" si="126"/>
        <v>#N/A</v>
      </c>
      <c r="K1607" s="18" t="e">
        <f t="shared" ca="1" si="125"/>
        <v>#N/A</v>
      </c>
      <c r="L1607" t="e">
        <f ca="1">IF(J1607,Charms!B1607,"")</f>
        <v>#N/A</v>
      </c>
      <c r="M1607" t="str">
        <f t="shared" ca="1" si="127"/>
        <v>-</v>
      </c>
      <c r="N1607" s="18" t="str">
        <f t="shared" si="128"/>
        <v>K1586:L1621</v>
      </c>
      <c r="O1607" t="str">
        <f t="shared" si="129"/>
        <v>A1586:A1607</v>
      </c>
    </row>
    <row r="1608" spans="1:15">
      <c r="A1608" s="18" t="str">
        <f>Charms!K1608</f>
        <v>War</v>
      </c>
      <c r="B1608" t="str">
        <f>Charms!B1608</f>
        <v>Tireless Footfalls Cadence</v>
      </c>
      <c r="C1608" t="b">
        <f ca="1">OR(Values!$S$98&gt;=Charms!M1608,IFERROR(Charms!J1608=OFFSET(Values!$A$24,MATCH("S",Values!$T$25:$T$50,0),0),FALSE))</f>
        <v>1</v>
      </c>
      <c r="D1608" t="b">
        <f>VLOOKUP(Charms!J1608,Values!$A$11:$S$59,19,0)&gt;=Charms!L1608</f>
        <v>0</v>
      </c>
      <c r="E1608" t="e">
        <f>OR(ISBLANK(Charms!I1608),(VLOOKUP(Values!$S$6,Castes!$B$2:$F$25,4,0)=Charms!I1608))</f>
        <v>#N/A</v>
      </c>
      <c r="J1608" t="e">
        <f t="shared" ca="1" si="126"/>
        <v>#N/A</v>
      </c>
      <c r="K1608" s="18" t="e">
        <f t="shared" ca="1" si="125"/>
        <v>#N/A</v>
      </c>
      <c r="L1608" t="e">
        <f ca="1">IF(J1608,Charms!B1608,"")</f>
        <v>#N/A</v>
      </c>
      <c r="M1608" t="str">
        <f t="shared" ca="1" si="127"/>
        <v>-</v>
      </c>
      <c r="N1608" s="18" t="str">
        <f t="shared" si="128"/>
        <v>K1586:L1621</v>
      </c>
      <c r="O1608" t="str">
        <f t="shared" si="129"/>
        <v>A1586:A1608</v>
      </c>
    </row>
    <row r="1609" spans="1:15">
      <c r="A1609" s="18" t="str">
        <f>Charms!K1609</f>
        <v>War</v>
      </c>
      <c r="B1609" t="str">
        <f>Charms!B1609</f>
        <v>Blazing Courageous Swordsman Inspiration</v>
      </c>
      <c r="C1609" t="b">
        <f ca="1">OR(Values!$S$98&gt;=Charms!M1609,IFERROR(Charms!J1609=OFFSET(Values!$A$24,MATCH("S",Values!$T$25:$T$50,0),0),FALSE))</f>
        <v>1</v>
      </c>
      <c r="D1609" t="b">
        <f>VLOOKUP(Charms!J1609,Values!$A$11:$S$59,19,0)&gt;=Charms!L1609</f>
        <v>0</v>
      </c>
      <c r="E1609" t="e">
        <f>OR(ISBLANK(Charms!I1609),(VLOOKUP(Values!$S$6,Castes!$B$2:$F$25,4,0)=Charms!I1609))</f>
        <v>#N/A</v>
      </c>
      <c r="J1609" t="e">
        <f t="shared" ca="1" si="126"/>
        <v>#N/A</v>
      </c>
      <c r="K1609" s="18" t="e">
        <f t="shared" ca="1" si="125"/>
        <v>#N/A</v>
      </c>
      <c r="L1609" t="e">
        <f ca="1">IF(J1609,Charms!B1609,"")</f>
        <v>#N/A</v>
      </c>
      <c r="M1609" t="str">
        <f t="shared" ca="1" si="127"/>
        <v>-</v>
      </c>
      <c r="N1609" s="18" t="str">
        <f t="shared" si="128"/>
        <v>K1586:L1621</v>
      </c>
      <c r="O1609" t="str">
        <f t="shared" si="129"/>
        <v>A1586:A1609</v>
      </c>
    </row>
    <row r="1610" spans="1:15">
      <c r="A1610" s="18" t="str">
        <f>Charms!K1610</f>
        <v>War</v>
      </c>
      <c r="B1610" t="str">
        <f>Charms!B1610</f>
        <v>Army-To-Mob Assault</v>
      </c>
      <c r="C1610" t="b">
        <f ca="1">OR(Values!$S$98&gt;=Charms!M1610,IFERROR(Charms!J1610=OFFSET(Values!$A$24,MATCH("S",Values!$T$25:$T$50,0),0),FALSE))</f>
        <v>0</v>
      </c>
      <c r="D1610" t="b">
        <f>VLOOKUP(Charms!J1610,Values!$A$11:$S$59,19,0)&gt;=Charms!L1610</f>
        <v>0</v>
      </c>
      <c r="E1610" t="e">
        <f>OR(ISBLANK(Charms!I1610),(VLOOKUP(Values!$S$6,Castes!$B$2:$F$25,4,0)=Charms!I1610))</f>
        <v>#N/A</v>
      </c>
      <c r="J1610" t="e">
        <f t="shared" ca="1" si="126"/>
        <v>#N/A</v>
      </c>
      <c r="K1610" s="18" t="e">
        <f t="shared" ca="1" si="125"/>
        <v>#N/A</v>
      </c>
      <c r="L1610" t="e">
        <f ca="1">IF(J1610,Charms!B1610,"")</f>
        <v>#N/A</v>
      </c>
      <c r="M1610" t="str">
        <f t="shared" ca="1" si="127"/>
        <v>-</v>
      </c>
      <c r="N1610" s="18" t="str">
        <f t="shared" si="128"/>
        <v>K1586:L1621</v>
      </c>
      <c r="O1610" t="str">
        <f t="shared" si="129"/>
        <v>A1586:A1610</v>
      </c>
    </row>
    <row r="1611" spans="1:15">
      <c r="A1611" s="18" t="str">
        <f>Charms!K1611</f>
        <v>War</v>
      </c>
      <c r="B1611" t="str">
        <f>Charms!B1611</f>
        <v>Choking Weeds Tactic</v>
      </c>
      <c r="C1611" t="b">
        <f ca="1">OR(Values!$S$98&gt;=Charms!M1611,IFERROR(Charms!J1611=OFFSET(Values!$A$24,MATCH("S",Values!$T$25:$T$50,0),0),FALSE))</f>
        <v>0</v>
      </c>
      <c r="D1611" t="b">
        <f>VLOOKUP(Charms!J1611,Values!$A$11:$S$59,19,0)&gt;=Charms!L1611</f>
        <v>0</v>
      </c>
      <c r="E1611" t="e">
        <f>OR(ISBLANK(Charms!I1611),(VLOOKUP(Values!$S$6,Castes!$B$2:$F$25,4,0)=Charms!I1611))</f>
        <v>#N/A</v>
      </c>
      <c r="J1611" t="e">
        <f t="shared" ca="1" si="126"/>
        <v>#N/A</v>
      </c>
      <c r="K1611" s="18" t="e">
        <f t="shared" ca="1" si="125"/>
        <v>#N/A</v>
      </c>
      <c r="L1611" t="e">
        <f ca="1">IF(J1611,Charms!B1611,"")</f>
        <v>#N/A</v>
      </c>
      <c r="M1611" t="str">
        <f t="shared" ca="1" si="127"/>
        <v>-</v>
      </c>
      <c r="N1611" s="18" t="str">
        <f t="shared" si="128"/>
        <v>K1586:L1621</v>
      </c>
      <c r="O1611" t="str">
        <f t="shared" si="129"/>
        <v>A1586:A1611</v>
      </c>
    </row>
    <row r="1612" spans="1:15">
      <c r="A1612" s="18" t="str">
        <f>Charms!K1612</f>
        <v>War</v>
      </c>
      <c r="B1612" t="str">
        <f>Charms!B1612</f>
        <v>Changing Winds Cunning</v>
      </c>
      <c r="C1612" t="b">
        <f ca="1">OR(Values!$S$98&gt;=Charms!M1612,IFERROR(Charms!J1612=OFFSET(Values!$A$24,MATCH("S",Values!$T$25:$T$50,0),0),FALSE))</f>
        <v>0</v>
      </c>
      <c r="D1612" t="b">
        <f>VLOOKUP(Charms!J1612,Values!$A$11:$S$59,19,0)&gt;=Charms!L1612</f>
        <v>0</v>
      </c>
      <c r="E1612" t="e">
        <f>OR(ISBLANK(Charms!I1612),(VLOOKUP(Values!$S$6,Castes!$B$2:$F$25,4,0)=Charms!I1612))</f>
        <v>#N/A</v>
      </c>
      <c r="J1612" t="e">
        <f t="shared" ca="1" si="126"/>
        <v>#N/A</v>
      </c>
      <c r="K1612" s="18" t="e">
        <f t="shared" ca="1" si="125"/>
        <v>#N/A</v>
      </c>
      <c r="L1612" t="e">
        <f ca="1">IF(J1612,Charms!B1612,"")</f>
        <v>#N/A</v>
      </c>
      <c r="M1612" t="str">
        <f t="shared" ca="1" si="127"/>
        <v>-</v>
      </c>
      <c r="N1612" s="18" t="str">
        <f t="shared" si="128"/>
        <v>K1586:L1621</v>
      </c>
      <c r="O1612" t="str">
        <f t="shared" si="129"/>
        <v>A1586:A1612</v>
      </c>
    </row>
    <row r="1613" spans="1:15">
      <c r="A1613" s="18" t="str">
        <f>Charms!K1613</f>
        <v>War</v>
      </c>
      <c r="B1613" t="str">
        <f>Charms!B1613</f>
        <v>Enfolded in the Dragon’s Wings</v>
      </c>
      <c r="C1613" t="b">
        <f ca="1">OR(Values!$S$98&gt;=Charms!M1613,IFERROR(Charms!J1613=OFFSET(Values!$A$24,MATCH("S",Values!$T$25:$T$50,0),0),FALSE))</f>
        <v>0</v>
      </c>
      <c r="D1613" t="b">
        <f>VLOOKUP(Charms!J1613,Values!$A$11:$S$59,19,0)&gt;=Charms!L1613</f>
        <v>0</v>
      </c>
      <c r="E1613" t="e">
        <f>OR(ISBLANK(Charms!I1613),(VLOOKUP(Values!$S$6,Castes!$B$2:$F$25,4,0)=Charms!I1613))</f>
        <v>#N/A</v>
      </c>
      <c r="J1613" t="e">
        <f t="shared" ca="1" si="126"/>
        <v>#N/A</v>
      </c>
      <c r="K1613" s="18" t="e">
        <f t="shared" ca="1" si="125"/>
        <v>#N/A</v>
      </c>
      <c r="L1613" t="e">
        <f ca="1">IF(J1613,Charms!B1613,"")</f>
        <v>#N/A</v>
      </c>
      <c r="M1613" t="str">
        <f t="shared" ca="1" si="127"/>
        <v>-</v>
      </c>
      <c r="N1613" s="18" t="str">
        <f t="shared" si="128"/>
        <v>K1586:L1621</v>
      </c>
      <c r="O1613" t="str">
        <f t="shared" si="129"/>
        <v>A1586:A1613</v>
      </c>
    </row>
    <row r="1614" spans="1:15">
      <c r="A1614" s="18" t="str">
        <f>Charms!K1614</f>
        <v>War</v>
      </c>
      <c r="B1614" t="str">
        <f>Charms!B1614</f>
        <v>Storm-Calling Strategos</v>
      </c>
      <c r="C1614" t="b">
        <f ca="1">OR(Values!$S$98&gt;=Charms!M1614,IFERROR(Charms!J1614=OFFSET(Values!$A$24,MATCH("S",Values!$T$25:$T$50,0),0),FALSE))</f>
        <v>0</v>
      </c>
      <c r="D1614" t="b">
        <f>VLOOKUP(Charms!J1614,Values!$A$11:$S$59,19,0)&gt;=Charms!L1614</f>
        <v>0</v>
      </c>
      <c r="E1614" t="e">
        <f>OR(ISBLANK(Charms!I1614),(VLOOKUP(Values!$S$6,Castes!$B$2:$F$25,4,0)=Charms!I1614))</f>
        <v>#N/A</v>
      </c>
      <c r="J1614" t="e">
        <f t="shared" ca="1" si="126"/>
        <v>#N/A</v>
      </c>
      <c r="K1614" s="18" t="e">
        <f t="shared" ca="1" si="125"/>
        <v>#N/A</v>
      </c>
      <c r="L1614" t="e">
        <f ca="1">IF(J1614,Charms!B1614,"")</f>
        <v>#N/A</v>
      </c>
      <c r="M1614" t="str">
        <f t="shared" ca="1" si="127"/>
        <v>-</v>
      </c>
      <c r="N1614" s="18" t="str">
        <f t="shared" si="128"/>
        <v>K1586:L1621</v>
      </c>
      <c r="O1614" t="str">
        <f t="shared" si="129"/>
        <v>A1586:A1614</v>
      </c>
    </row>
    <row r="1615" spans="1:15">
      <c r="A1615" s="18" t="str">
        <f>Charms!K1615</f>
        <v>War</v>
      </c>
      <c r="B1615" t="str">
        <f>Charms!B1615</f>
        <v>Ramparts of Obedient Earth</v>
      </c>
      <c r="C1615" t="b">
        <f ca="1">OR(Values!$S$98&gt;=Charms!M1615,IFERROR(Charms!J1615=OFFSET(Values!$A$24,MATCH("S",Values!$T$25:$T$50,0),0),FALSE))</f>
        <v>0</v>
      </c>
      <c r="D1615" t="b">
        <f>VLOOKUP(Charms!J1615,Values!$A$11:$S$59,19,0)&gt;=Charms!L1615</f>
        <v>0</v>
      </c>
      <c r="E1615" t="e">
        <f>OR(ISBLANK(Charms!I1615),(VLOOKUP(Values!$S$6,Castes!$B$2:$F$25,4,0)=Charms!I1615))</f>
        <v>#N/A</v>
      </c>
      <c r="J1615" t="e">
        <f t="shared" ca="1" si="126"/>
        <v>#N/A</v>
      </c>
      <c r="K1615" s="18" t="e">
        <f t="shared" ca="1" si="125"/>
        <v>#N/A</v>
      </c>
      <c r="L1615" t="e">
        <f ca="1">IF(J1615,Charms!B1615,"")</f>
        <v>#N/A</v>
      </c>
      <c r="M1615" t="str">
        <f t="shared" ca="1" si="127"/>
        <v>-</v>
      </c>
      <c r="N1615" s="18" t="str">
        <f t="shared" si="128"/>
        <v>K1586:L1621</v>
      </c>
      <c r="O1615" t="str">
        <f t="shared" si="129"/>
        <v>A1586:A1615</v>
      </c>
    </row>
    <row r="1616" spans="1:15">
      <c r="A1616" s="18" t="str">
        <f>Charms!K1616</f>
        <v>War</v>
      </c>
      <c r="B1616" t="str">
        <f>Charms!B1616</f>
        <v>Deadly Wildfire Legion</v>
      </c>
      <c r="C1616" t="b">
        <f ca="1">OR(Values!$S$98&gt;=Charms!M1616,IFERROR(Charms!J1616=OFFSET(Values!$A$24,MATCH("S",Values!$T$25:$T$50,0),0),FALSE))</f>
        <v>0</v>
      </c>
      <c r="D1616" t="b">
        <f>VLOOKUP(Charms!J1616,Values!$A$11:$S$59,19,0)&gt;=Charms!L1616</f>
        <v>0</v>
      </c>
      <c r="E1616" t="e">
        <f>OR(ISBLANK(Charms!I1616),(VLOOKUP(Values!$S$6,Castes!$B$2:$F$25,4,0)=Charms!I1616))</f>
        <v>#N/A</v>
      </c>
      <c r="J1616" t="e">
        <f t="shared" ca="1" si="126"/>
        <v>#N/A</v>
      </c>
      <c r="K1616" s="18" t="e">
        <f t="shared" ca="1" si="125"/>
        <v>#N/A</v>
      </c>
      <c r="L1616" t="e">
        <f ca="1">IF(J1616,Charms!B1616,"")</f>
        <v>#N/A</v>
      </c>
      <c r="M1616" t="str">
        <f t="shared" ca="1" si="127"/>
        <v>-</v>
      </c>
      <c r="N1616" s="18" t="str">
        <f t="shared" si="128"/>
        <v>K1586:L1621</v>
      </c>
      <c r="O1616" t="str">
        <f t="shared" si="129"/>
        <v>A1586:A1616</v>
      </c>
    </row>
    <row r="1617" spans="1:15">
      <c r="A1617" s="18" t="str">
        <f>Charms!K1617</f>
        <v>War</v>
      </c>
      <c r="B1617" t="str">
        <f>Charms!B1617</f>
        <v>Hidden Thorn Treachery</v>
      </c>
      <c r="C1617" t="b">
        <f ca="1">OR(Values!$S$98&gt;=Charms!M1617,IFERROR(Charms!J1617=OFFSET(Values!$A$24,MATCH("S",Values!$T$25:$T$50,0),0),FALSE))</f>
        <v>0</v>
      </c>
      <c r="D1617" t="b">
        <f>VLOOKUP(Charms!J1617,Values!$A$11:$S$59,19,0)&gt;=Charms!L1617</f>
        <v>0</v>
      </c>
      <c r="E1617" t="e">
        <f>OR(ISBLANK(Charms!I1617),(VLOOKUP(Values!$S$6,Castes!$B$2:$F$25,4,0)=Charms!I1617))</f>
        <v>#N/A</v>
      </c>
      <c r="J1617" t="e">
        <f t="shared" ca="1" si="126"/>
        <v>#N/A</v>
      </c>
      <c r="K1617" s="18" t="e">
        <f t="shared" ca="1" si="125"/>
        <v>#N/A</v>
      </c>
      <c r="L1617" t="e">
        <f ca="1">IF(J1617,Charms!B1617,"")</f>
        <v>#N/A</v>
      </c>
      <c r="M1617" t="str">
        <f t="shared" ca="1" si="127"/>
        <v>-</v>
      </c>
      <c r="N1617" s="18" t="str">
        <f t="shared" si="128"/>
        <v>K1586:L1621</v>
      </c>
      <c r="O1617" t="str">
        <f t="shared" si="129"/>
        <v>A1586:A1617</v>
      </c>
    </row>
    <row r="1618" spans="1:15">
      <c r="A1618" s="18" t="str">
        <f>Charms!K1618</f>
        <v>War</v>
      </c>
      <c r="B1618" t="str">
        <f>Charms!B1618</f>
        <v>Fog-of-War Misdirection</v>
      </c>
      <c r="C1618" t="b">
        <f ca="1">OR(Values!$S$98&gt;=Charms!M1618,IFERROR(Charms!J1618=OFFSET(Values!$A$24,MATCH("S",Values!$T$25:$T$50,0),0),FALSE))</f>
        <v>0</v>
      </c>
      <c r="D1618" t="b">
        <f>VLOOKUP(Charms!J1618,Values!$A$11:$S$59,19,0)&gt;=Charms!L1618</f>
        <v>0</v>
      </c>
      <c r="E1618" t="e">
        <f>OR(ISBLANK(Charms!I1618),(VLOOKUP(Values!$S$6,Castes!$B$2:$F$25,4,0)=Charms!I1618))</f>
        <v>#N/A</v>
      </c>
      <c r="J1618" t="e">
        <f t="shared" ca="1" si="126"/>
        <v>#N/A</v>
      </c>
      <c r="K1618" s="18" t="e">
        <f t="shared" ca="1" si="125"/>
        <v>#N/A</v>
      </c>
      <c r="L1618" t="e">
        <f ca="1">IF(J1618,Charms!B1618,"")</f>
        <v>#N/A</v>
      </c>
      <c r="M1618" t="str">
        <f t="shared" ca="1" si="127"/>
        <v>-</v>
      </c>
      <c r="N1618" s="18" t="str">
        <f t="shared" si="128"/>
        <v>K1586:L1621</v>
      </c>
      <c r="O1618" t="str">
        <f t="shared" si="129"/>
        <v>A1586:A1618</v>
      </c>
    </row>
    <row r="1619" spans="1:15">
      <c r="A1619" s="18" t="str">
        <f>Charms!K1619</f>
        <v>War</v>
      </c>
      <c r="B1619" t="str">
        <f>Charms!B1619</f>
        <v>Phantom Fire-Warrior Horde</v>
      </c>
      <c r="C1619" t="b">
        <f ca="1">OR(Values!$S$98&gt;=Charms!M1619,IFERROR(Charms!J1619=OFFSET(Values!$A$24,MATCH("S",Values!$T$25:$T$50,0),0),FALSE))</f>
        <v>0</v>
      </c>
      <c r="D1619" t="b">
        <f>VLOOKUP(Charms!J1619,Values!$A$11:$S$59,19,0)&gt;=Charms!L1619</f>
        <v>0</v>
      </c>
      <c r="E1619" t="e">
        <f>OR(ISBLANK(Charms!I1619),(VLOOKUP(Values!$S$6,Castes!$B$2:$F$25,4,0)=Charms!I1619))</f>
        <v>#N/A</v>
      </c>
      <c r="J1619" t="e">
        <f t="shared" ca="1" si="126"/>
        <v>#N/A</v>
      </c>
      <c r="K1619" s="18" t="e">
        <f t="shared" ca="1" si="125"/>
        <v>#N/A</v>
      </c>
      <c r="L1619" t="e">
        <f ca="1">IF(J1619,Charms!B1619,"")</f>
        <v>#N/A</v>
      </c>
      <c r="M1619" t="str">
        <f t="shared" ca="1" si="127"/>
        <v>-</v>
      </c>
      <c r="N1619" s="18" t="str">
        <f t="shared" si="128"/>
        <v>K1586:L1621</v>
      </c>
      <c r="O1619" t="str">
        <f t="shared" si="129"/>
        <v>A1586:A1619</v>
      </c>
    </row>
    <row r="1620" spans="1:15">
      <c r="A1620" s="18" t="str">
        <f>Charms!K1620</f>
        <v>War</v>
      </c>
      <c r="B1620" t="str">
        <f>Charms!B1620</f>
        <v>Indomitable Flame of Valor</v>
      </c>
      <c r="C1620" t="b">
        <f ca="1">OR(Values!$S$98&gt;=Charms!M1620,IFERROR(Charms!J1620=OFFSET(Values!$A$24,MATCH("S",Values!$T$25:$T$50,0),0),FALSE))</f>
        <v>0</v>
      </c>
      <c r="D1620" t="b">
        <f>VLOOKUP(Charms!J1620,Values!$A$11:$S$59,19,0)&gt;=Charms!L1620</f>
        <v>0</v>
      </c>
      <c r="E1620" t="e">
        <f>OR(ISBLANK(Charms!I1620),(VLOOKUP(Values!$S$6,Castes!$B$2:$F$25,4,0)=Charms!I1620))</f>
        <v>#N/A</v>
      </c>
      <c r="J1620" t="e">
        <f t="shared" ca="1" si="126"/>
        <v>#N/A</v>
      </c>
      <c r="K1620" s="18" t="e">
        <f t="shared" ca="1" si="125"/>
        <v>#N/A</v>
      </c>
      <c r="L1620" t="e">
        <f ca="1">IF(J1620,Charms!B1620,"")</f>
        <v>#N/A</v>
      </c>
      <c r="M1620" t="str">
        <f t="shared" ca="1" si="127"/>
        <v>-</v>
      </c>
      <c r="N1620" s="18" t="str">
        <f t="shared" si="128"/>
        <v>K1586:L1621</v>
      </c>
      <c r="O1620" t="str">
        <f t="shared" si="129"/>
        <v>A1586:A1620</v>
      </c>
    </row>
    <row r="1621" spans="1:15">
      <c r="A1621" s="18" t="str">
        <f>Charms!K1621</f>
        <v>War</v>
      </c>
      <c r="B1621" t="str">
        <f>Charms!B1621</f>
        <v>Blessed Dragon Champion</v>
      </c>
      <c r="C1621" t="b">
        <f ca="1">OR(Values!$S$98&gt;=Charms!M1621,IFERROR(Charms!J1621=OFFSET(Values!$A$24,MATCH("S",Values!$T$25:$T$50,0),0),FALSE))</f>
        <v>0</v>
      </c>
      <c r="D1621" t="b">
        <f>VLOOKUP(Charms!J1621,Values!$A$11:$S$59,19,0)&gt;=Charms!L1621</f>
        <v>0</v>
      </c>
      <c r="E1621" t="e">
        <f>OR(ISBLANK(Charms!I1621),(VLOOKUP(Values!$S$6,Castes!$B$2:$F$25,4,0)=Charms!I1621))</f>
        <v>#N/A</v>
      </c>
      <c r="J1621" t="e">
        <f t="shared" ca="1" si="126"/>
        <v>#N/A</v>
      </c>
      <c r="K1621" s="18" t="e">
        <f t="shared" ca="1" si="125"/>
        <v>#N/A</v>
      </c>
      <c r="L1621" t="e">
        <f ca="1">IF(J1621,Charms!B1621,"")</f>
        <v>#N/A</v>
      </c>
      <c r="M1621" t="str">
        <f t="shared" ca="1" si="127"/>
        <v>-</v>
      </c>
      <c r="N1621" s="18" t="str">
        <f t="shared" si="128"/>
        <v>K1586:L1621</v>
      </c>
      <c r="O1621" t="str">
        <f t="shared" si="129"/>
        <v>A1586:A1621</v>
      </c>
    </row>
    <row r="1622" spans="1:15">
      <c r="A1622" s="18">
        <f>Charms!K1622</f>
        <v>0</v>
      </c>
      <c r="B1622">
        <f>Charms!B1622</f>
        <v>0</v>
      </c>
      <c r="C1622" t="b">
        <f ca="1">OR(Values!$S$98&gt;=Charms!M1622,IFERROR(Charms!J1622=OFFSET(Values!$A$24,MATCH("S",Values!$T$25:$T$50,0),0),FALSE))</f>
        <v>1</v>
      </c>
      <c r="D1622" t="e">
        <f>VLOOKUP(Charms!J1622,Values!$A$11:$S$59,19,0)&gt;=Charms!L1622</f>
        <v>#N/A</v>
      </c>
      <c r="E1622" t="e">
        <f>OR(ISBLANK(Charms!I1622),(VLOOKUP(Values!$S$6,Castes!$B$2:$F$25,4,0)=Charms!I1622))</f>
        <v>#N/A</v>
      </c>
      <c r="J1622" t="e">
        <f t="shared" ca="1" si="126"/>
        <v>#N/A</v>
      </c>
      <c r="K1622" s="18" t="e">
        <f t="shared" ca="1" si="125"/>
        <v>#N/A</v>
      </c>
      <c r="L1622" t="e">
        <f ca="1">IF(J1622,Charms!B1622,"")</f>
        <v>#N/A</v>
      </c>
      <c r="M1622" t="str">
        <f t="shared" ca="1" si="127"/>
        <v>-</v>
      </c>
      <c r="N1622" s="18" t="str">
        <f t="shared" si="128"/>
        <v>K1622:L5000</v>
      </c>
      <c r="O1622" t="str">
        <f t="shared" si="129"/>
        <v>A1622:A1622</v>
      </c>
    </row>
    <row r="1623" spans="1:15">
      <c r="A1623" s="18">
        <f>Charms!K1623</f>
        <v>0</v>
      </c>
      <c r="B1623">
        <f>Charms!B1623</f>
        <v>0</v>
      </c>
      <c r="C1623" t="b">
        <f ca="1">OR(Values!$S$98&gt;=Charms!M1623,IFERROR(Charms!J1623=OFFSET(Values!$A$24,MATCH("S",Values!$T$25:$T$50,0),0),FALSE))</f>
        <v>1</v>
      </c>
      <c r="D1623" t="e">
        <f>VLOOKUP(Charms!J1623,Values!$A$11:$S$59,19,0)&gt;=Charms!L1623</f>
        <v>#N/A</v>
      </c>
      <c r="E1623" t="e">
        <f>OR(ISBLANK(Charms!I1623),(VLOOKUP(Values!$S$6,Castes!$B$2:$F$25,4,0)=Charms!I1623))</f>
        <v>#N/A</v>
      </c>
      <c r="J1623" t="e">
        <f t="shared" ca="1" si="126"/>
        <v>#N/A</v>
      </c>
      <c r="K1623" s="18" t="e">
        <f t="shared" ca="1" si="125"/>
        <v>#N/A</v>
      </c>
      <c r="L1623" t="e">
        <f ca="1">IF(J1623,Charms!B1623,"")</f>
        <v>#N/A</v>
      </c>
      <c r="M1623" t="str">
        <f t="shared" ca="1" si="127"/>
        <v>-</v>
      </c>
      <c r="N1623" s="18" t="str">
        <f t="shared" si="128"/>
        <v>K1622:L5000</v>
      </c>
      <c r="O1623" t="str">
        <f t="shared" si="129"/>
        <v>A1622:A1623</v>
      </c>
    </row>
    <row r="1624" spans="1:15">
      <c r="A1624" s="18">
        <f>Charms!K1624</f>
        <v>0</v>
      </c>
      <c r="B1624">
        <f>Charms!B1624</f>
        <v>0</v>
      </c>
      <c r="C1624" t="b">
        <f ca="1">OR(Values!$S$98&gt;=Charms!M1624,IFERROR(Charms!J1624=OFFSET(Values!$A$24,MATCH("S",Values!$T$25:$T$50,0),0),FALSE))</f>
        <v>1</v>
      </c>
      <c r="D1624" t="e">
        <f>VLOOKUP(Charms!J1624,Values!$A$11:$S$59,19,0)&gt;=Charms!L1624</f>
        <v>#N/A</v>
      </c>
      <c r="E1624" t="e">
        <f>OR(ISBLANK(Charms!I1624),(VLOOKUP(Values!$S$6,Castes!$B$2:$F$25,4,0)=Charms!I1624))</f>
        <v>#N/A</v>
      </c>
      <c r="J1624" t="e">
        <f t="shared" ca="1" si="126"/>
        <v>#N/A</v>
      </c>
      <c r="K1624" s="18" t="e">
        <f t="shared" ca="1" si="125"/>
        <v>#N/A</v>
      </c>
      <c r="L1624" t="e">
        <f ca="1">IF(J1624,Charms!B1624,"")</f>
        <v>#N/A</v>
      </c>
      <c r="M1624" t="str">
        <f t="shared" ca="1" si="127"/>
        <v>-</v>
      </c>
      <c r="N1624" s="18" t="str">
        <f t="shared" si="128"/>
        <v>K1622:L5000</v>
      </c>
      <c r="O1624" t="str">
        <f t="shared" si="129"/>
        <v>A1622:A1624</v>
      </c>
    </row>
    <row r="1625" spans="1:15">
      <c r="A1625" s="18">
        <f>Charms!K1625</f>
        <v>0</v>
      </c>
      <c r="B1625">
        <f>Charms!B1625</f>
        <v>0</v>
      </c>
      <c r="C1625" t="b">
        <f ca="1">OR(Values!$S$98&gt;=Charms!M1625,IFERROR(Charms!J1625=OFFSET(Values!$A$24,MATCH("S",Values!$T$25:$T$50,0),0),FALSE))</f>
        <v>1</v>
      </c>
      <c r="D1625" t="e">
        <f>VLOOKUP(Charms!J1625,Values!$A$11:$S$59,19,0)&gt;=Charms!L1625</f>
        <v>#N/A</v>
      </c>
      <c r="E1625" t="e">
        <f>OR(ISBLANK(Charms!I1625),(VLOOKUP(Values!$S$6,Castes!$B$2:$F$25,4,0)=Charms!I1625))</f>
        <v>#N/A</v>
      </c>
      <c r="J1625" t="e">
        <f t="shared" ca="1" si="126"/>
        <v>#N/A</v>
      </c>
      <c r="K1625" s="18" t="e">
        <f t="shared" ca="1" si="125"/>
        <v>#N/A</v>
      </c>
      <c r="L1625" t="e">
        <f ca="1">IF(J1625,Charms!B1625,"")</f>
        <v>#N/A</v>
      </c>
      <c r="M1625" t="str">
        <f t="shared" ca="1" si="127"/>
        <v>-</v>
      </c>
      <c r="N1625" s="18" t="str">
        <f t="shared" si="128"/>
        <v>K1622:L5000</v>
      </c>
      <c r="O1625" t="str">
        <f t="shared" si="129"/>
        <v>A1622:A1625</v>
      </c>
    </row>
    <row r="1626" spans="1:15">
      <c r="A1626" s="18">
        <f>Charms!K1626</f>
        <v>0</v>
      </c>
      <c r="B1626">
        <f>Charms!B1626</f>
        <v>0</v>
      </c>
      <c r="C1626" t="b">
        <f ca="1">OR(Values!$S$98&gt;=Charms!M1626,IFERROR(Charms!J1626=OFFSET(Values!$A$24,MATCH("S",Values!$T$25:$T$50,0),0),FALSE))</f>
        <v>1</v>
      </c>
      <c r="D1626" t="e">
        <f>VLOOKUP(Charms!J1626,Values!$A$11:$S$59,19,0)&gt;=Charms!L1626</f>
        <v>#N/A</v>
      </c>
      <c r="E1626" t="e">
        <f>OR(ISBLANK(Charms!I1626),(VLOOKUP(Values!$S$6,Castes!$B$2:$F$25,4,0)=Charms!I1626))</f>
        <v>#N/A</v>
      </c>
      <c r="J1626" t="e">
        <f t="shared" ca="1" si="126"/>
        <v>#N/A</v>
      </c>
      <c r="K1626" s="18" t="e">
        <f t="shared" ca="1" si="125"/>
        <v>#N/A</v>
      </c>
      <c r="L1626" t="e">
        <f ca="1">IF(J1626,Charms!B1626,"")</f>
        <v>#N/A</v>
      </c>
      <c r="M1626" t="str">
        <f t="shared" ca="1" si="127"/>
        <v>-</v>
      </c>
      <c r="N1626" s="18" t="str">
        <f t="shared" si="128"/>
        <v>K1622:L5000</v>
      </c>
      <c r="O1626" t="str">
        <f t="shared" si="129"/>
        <v>A1622:A1626</v>
      </c>
    </row>
    <row r="1627" spans="1:15">
      <c r="A1627" s="18">
        <f>Charms!K1627</f>
        <v>0</v>
      </c>
      <c r="B1627">
        <f>Charms!B1627</f>
        <v>0</v>
      </c>
      <c r="C1627" t="b">
        <f ca="1">OR(Values!$S$98&gt;=Charms!M1627,IFERROR(Charms!J1627=OFFSET(Values!$A$24,MATCH("S",Values!$T$25:$T$50,0),0),FALSE))</f>
        <v>1</v>
      </c>
      <c r="D1627" t="e">
        <f>VLOOKUP(Charms!J1627,Values!$A$11:$S$59,19,0)&gt;=Charms!L1627</f>
        <v>#N/A</v>
      </c>
      <c r="E1627" t="e">
        <f>OR(ISBLANK(Charms!I1627),(VLOOKUP(Values!$S$6,Castes!$B$2:$F$25,4,0)=Charms!I1627))</f>
        <v>#N/A</v>
      </c>
      <c r="J1627" t="e">
        <f t="shared" ca="1" si="126"/>
        <v>#N/A</v>
      </c>
      <c r="K1627" s="18" t="e">
        <f t="shared" ca="1" si="125"/>
        <v>#N/A</v>
      </c>
      <c r="L1627" t="e">
        <f ca="1">IF(J1627,Charms!B1627,"")</f>
        <v>#N/A</v>
      </c>
      <c r="M1627" t="str">
        <f t="shared" ca="1" si="127"/>
        <v>-</v>
      </c>
      <c r="N1627" s="18" t="str">
        <f t="shared" si="128"/>
        <v>K1622:L5000</v>
      </c>
      <c r="O1627" t="str">
        <f t="shared" si="129"/>
        <v>A1622:A1627</v>
      </c>
    </row>
    <row r="1628" spans="1:15">
      <c r="A1628" s="18">
        <f>Charms!K1628</f>
        <v>0</v>
      </c>
      <c r="B1628">
        <f>Charms!B1628</f>
        <v>0</v>
      </c>
      <c r="C1628" t="b">
        <f ca="1">OR(Values!$S$98&gt;=Charms!M1628,IFERROR(Charms!J1628=OFFSET(Values!$A$24,MATCH("S",Values!$T$25:$T$50,0),0),FALSE))</f>
        <v>1</v>
      </c>
      <c r="D1628" t="e">
        <f>VLOOKUP(Charms!J1628,Values!$A$11:$S$59,19,0)&gt;=Charms!L1628</f>
        <v>#N/A</v>
      </c>
      <c r="E1628" t="e">
        <f>OR(ISBLANK(Charms!I1628),(VLOOKUP(Values!$S$6,Castes!$B$2:$F$25,4,0)=Charms!I1628))</f>
        <v>#N/A</v>
      </c>
      <c r="J1628" t="e">
        <f t="shared" ca="1" si="126"/>
        <v>#N/A</v>
      </c>
      <c r="K1628" s="18" t="e">
        <f t="shared" ca="1" si="125"/>
        <v>#N/A</v>
      </c>
      <c r="L1628" t="e">
        <f ca="1">IF(J1628,Charms!B1628,"")</f>
        <v>#N/A</v>
      </c>
      <c r="M1628" t="str">
        <f t="shared" ca="1" si="127"/>
        <v>-</v>
      </c>
      <c r="N1628" s="18" t="str">
        <f t="shared" si="128"/>
        <v>K1622:L5000</v>
      </c>
      <c r="O1628" t="str">
        <f t="shared" si="129"/>
        <v>A1622:A1628</v>
      </c>
    </row>
    <row r="1629" spans="1:15">
      <c r="A1629" s="18">
        <f>Charms!K1629</f>
        <v>0</v>
      </c>
      <c r="B1629">
        <f>Charms!B1629</f>
        <v>0</v>
      </c>
      <c r="C1629" t="b">
        <f ca="1">OR(Values!$S$98&gt;=Charms!M1629,IFERROR(Charms!J1629=OFFSET(Values!$A$24,MATCH("S",Values!$T$25:$T$50,0),0),FALSE))</f>
        <v>1</v>
      </c>
      <c r="D1629" t="e">
        <f>VLOOKUP(Charms!J1629,Values!$A$11:$S$59,19,0)&gt;=Charms!L1629</f>
        <v>#N/A</v>
      </c>
      <c r="E1629" t="e">
        <f>OR(ISBLANK(Charms!I1629),(VLOOKUP(Values!$S$6,Castes!$B$2:$F$25,4,0)=Charms!I1629))</f>
        <v>#N/A</v>
      </c>
      <c r="J1629" t="e">
        <f t="shared" ca="1" si="126"/>
        <v>#N/A</v>
      </c>
      <c r="K1629" s="18" t="e">
        <f t="shared" ca="1" si="125"/>
        <v>#N/A</v>
      </c>
      <c r="L1629" t="e">
        <f ca="1">IF(J1629,Charms!B1629,"")</f>
        <v>#N/A</v>
      </c>
      <c r="M1629" t="str">
        <f t="shared" ca="1" si="127"/>
        <v>-</v>
      </c>
      <c r="N1629" s="18" t="str">
        <f t="shared" si="128"/>
        <v>K1622:L5000</v>
      </c>
      <c r="O1629" t="str">
        <f t="shared" si="129"/>
        <v>A1622:A1629</v>
      </c>
    </row>
    <row r="1630" spans="1:15">
      <c r="A1630" s="18">
        <f>Charms!K1630</f>
        <v>0</v>
      </c>
      <c r="B1630">
        <f>Charms!B1630</f>
        <v>0</v>
      </c>
      <c r="C1630" t="b">
        <f ca="1">OR(Values!$S$98&gt;=Charms!M1630,IFERROR(Charms!J1630=OFFSET(Values!$A$24,MATCH("S",Values!$T$25:$T$50,0),0),FALSE))</f>
        <v>1</v>
      </c>
      <c r="D1630" t="e">
        <f>VLOOKUP(Charms!J1630,Values!$A$11:$S$59,19,0)&gt;=Charms!L1630</f>
        <v>#N/A</v>
      </c>
      <c r="E1630" t="e">
        <f>OR(ISBLANK(Charms!I1630),(VLOOKUP(Values!$S$6,Castes!$B$2:$F$25,4,0)=Charms!I1630))</f>
        <v>#N/A</v>
      </c>
      <c r="J1630" t="e">
        <f t="shared" ca="1" si="126"/>
        <v>#N/A</v>
      </c>
      <c r="K1630" s="18" t="e">
        <f t="shared" ca="1" si="125"/>
        <v>#N/A</v>
      </c>
      <c r="L1630" t="e">
        <f ca="1">IF(J1630,Charms!B1630,"")</f>
        <v>#N/A</v>
      </c>
      <c r="M1630" t="str">
        <f t="shared" ca="1" si="127"/>
        <v>-</v>
      </c>
      <c r="N1630" s="18" t="str">
        <f t="shared" si="128"/>
        <v>K1622:L5000</v>
      </c>
      <c r="O1630" t="str">
        <f t="shared" si="129"/>
        <v>A1622:A1630</v>
      </c>
    </row>
    <row r="1631" spans="1:15">
      <c r="A1631" s="18">
        <f>Charms!K1631</f>
        <v>0</v>
      </c>
      <c r="B1631">
        <f>Charms!B1631</f>
        <v>0</v>
      </c>
      <c r="C1631" t="b">
        <f ca="1">OR(Values!$S$98&gt;=Charms!M1631,IFERROR(Charms!J1631=OFFSET(Values!$A$24,MATCH("S",Values!$T$25:$T$50,0),0),FALSE))</f>
        <v>1</v>
      </c>
      <c r="D1631" t="e">
        <f>VLOOKUP(Charms!J1631,Values!$A$11:$S$59,19,0)&gt;=Charms!L1631</f>
        <v>#N/A</v>
      </c>
      <c r="E1631" t="e">
        <f>OR(ISBLANK(Charms!I1631),(VLOOKUP(Values!$S$6,Castes!$B$2:$F$25,4,0)=Charms!I1631))</f>
        <v>#N/A</v>
      </c>
      <c r="J1631" t="e">
        <f t="shared" ca="1" si="126"/>
        <v>#N/A</v>
      </c>
      <c r="K1631" s="18" t="e">
        <f t="shared" ca="1" si="125"/>
        <v>#N/A</v>
      </c>
      <c r="L1631" t="e">
        <f ca="1">IF(J1631,Charms!B1631,"")</f>
        <v>#N/A</v>
      </c>
      <c r="M1631" t="str">
        <f t="shared" ca="1" si="127"/>
        <v>-</v>
      </c>
      <c r="N1631" s="18" t="str">
        <f t="shared" si="128"/>
        <v>K1622:L5000</v>
      </c>
      <c r="O1631" t="str">
        <f t="shared" si="129"/>
        <v>A1622:A1631</v>
      </c>
    </row>
    <row r="1632" spans="1:15">
      <c r="A1632" s="18">
        <f>Charms!K1632</f>
        <v>0</v>
      </c>
      <c r="B1632">
        <f>Charms!B1632</f>
        <v>0</v>
      </c>
      <c r="C1632" t="b">
        <f ca="1">OR(Values!$S$98&gt;=Charms!M1632,IFERROR(Charms!J1632=OFFSET(Values!$A$24,MATCH("S",Values!$T$25:$T$50,0),0),FALSE))</f>
        <v>1</v>
      </c>
      <c r="D1632" t="e">
        <f>VLOOKUP(Charms!J1632,Values!$A$11:$S$59,19,0)&gt;=Charms!L1632</f>
        <v>#N/A</v>
      </c>
      <c r="E1632" t="e">
        <f>OR(ISBLANK(Charms!I1632),(VLOOKUP(Values!$S$6,Castes!$B$2:$F$25,4,0)=Charms!I1632))</f>
        <v>#N/A</v>
      </c>
      <c r="J1632" t="e">
        <f t="shared" ca="1" si="126"/>
        <v>#N/A</v>
      </c>
      <c r="K1632" s="18" t="e">
        <f t="shared" ca="1" si="125"/>
        <v>#N/A</v>
      </c>
      <c r="L1632" t="e">
        <f ca="1">IF(J1632,Charms!B1632,"")</f>
        <v>#N/A</v>
      </c>
      <c r="M1632" t="str">
        <f t="shared" ca="1" si="127"/>
        <v>-</v>
      </c>
      <c r="N1632" s="18" t="str">
        <f t="shared" si="128"/>
        <v>K1622:L5000</v>
      </c>
      <c r="O1632" t="str">
        <f t="shared" si="129"/>
        <v>A1622:A1632</v>
      </c>
    </row>
    <row r="1633" spans="1:15">
      <c r="A1633" s="18">
        <f>Charms!K1633</f>
        <v>0</v>
      </c>
      <c r="B1633">
        <f>Charms!B1633</f>
        <v>0</v>
      </c>
      <c r="C1633" t="b">
        <f ca="1">OR(Values!$S$98&gt;=Charms!M1633,IFERROR(Charms!J1633=OFFSET(Values!$A$24,MATCH("S",Values!$T$25:$T$50,0),0),FALSE))</f>
        <v>1</v>
      </c>
      <c r="D1633" t="e">
        <f>VLOOKUP(Charms!J1633,Values!$A$11:$S$59,19,0)&gt;=Charms!L1633</f>
        <v>#N/A</v>
      </c>
      <c r="E1633" t="e">
        <f>OR(ISBLANK(Charms!I1633),(VLOOKUP(Values!$S$6,Castes!$B$2:$F$25,4,0)=Charms!I1633))</f>
        <v>#N/A</v>
      </c>
      <c r="J1633" t="e">
        <f t="shared" ca="1" si="126"/>
        <v>#N/A</v>
      </c>
      <c r="K1633" s="18" t="e">
        <f t="shared" ca="1" si="125"/>
        <v>#N/A</v>
      </c>
      <c r="L1633" t="e">
        <f ca="1">IF(J1633,Charms!B1633,"")</f>
        <v>#N/A</v>
      </c>
      <c r="M1633" t="str">
        <f t="shared" ca="1" si="127"/>
        <v>-</v>
      </c>
      <c r="N1633" s="18" t="str">
        <f t="shared" si="128"/>
        <v>K1622:L5000</v>
      </c>
      <c r="O1633" t="str">
        <f t="shared" si="129"/>
        <v>A1622:A1633</v>
      </c>
    </row>
    <row r="1634" spans="1:15">
      <c r="A1634" s="18">
        <f>Charms!K1634</f>
        <v>0</v>
      </c>
      <c r="B1634">
        <f>Charms!B1634</f>
        <v>0</v>
      </c>
      <c r="C1634" t="b">
        <f ca="1">OR(Values!$S$98&gt;=Charms!M1634,IFERROR(Charms!J1634=OFFSET(Values!$A$24,MATCH("S",Values!$T$25:$T$50,0),0),FALSE))</f>
        <v>1</v>
      </c>
      <c r="D1634" t="e">
        <f>VLOOKUP(Charms!J1634,Values!$A$11:$S$59,19,0)&gt;=Charms!L1634</f>
        <v>#N/A</v>
      </c>
      <c r="E1634" t="e">
        <f>OR(ISBLANK(Charms!I1634),(VLOOKUP(Values!$S$6,Castes!$B$2:$F$25,4,0)=Charms!I1634))</f>
        <v>#N/A</v>
      </c>
      <c r="J1634" t="e">
        <f t="shared" ca="1" si="126"/>
        <v>#N/A</v>
      </c>
      <c r="K1634" s="18" t="e">
        <f t="shared" ca="1" si="125"/>
        <v>#N/A</v>
      </c>
      <c r="L1634" t="e">
        <f ca="1">IF(J1634,Charms!B1634,"")</f>
        <v>#N/A</v>
      </c>
      <c r="M1634" t="str">
        <f t="shared" ca="1" si="127"/>
        <v>-</v>
      </c>
      <c r="N1634" s="18" t="str">
        <f t="shared" si="128"/>
        <v>K1622:L5000</v>
      </c>
      <c r="O1634" t="str">
        <f t="shared" si="129"/>
        <v>A1622:A1634</v>
      </c>
    </row>
    <row r="1635" spans="1:15">
      <c r="A1635" s="18">
        <f>Charms!K1635</f>
        <v>0</v>
      </c>
      <c r="B1635">
        <f>Charms!B1635</f>
        <v>0</v>
      </c>
      <c r="C1635" t="b">
        <f ca="1">OR(Values!$S$98&gt;=Charms!M1635,IFERROR(Charms!J1635=OFFSET(Values!$A$24,MATCH("S",Values!$T$25:$T$50,0),0),FALSE))</f>
        <v>1</v>
      </c>
      <c r="D1635" t="e">
        <f>VLOOKUP(Charms!J1635,Values!$A$11:$S$59,19,0)&gt;=Charms!L1635</f>
        <v>#N/A</v>
      </c>
      <c r="E1635" t="e">
        <f>OR(ISBLANK(Charms!I1635),(VLOOKUP(Values!$S$6,Castes!$B$2:$F$25,4,0)=Charms!I1635))</f>
        <v>#N/A</v>
      </c>
      <c r="J1635" t="e">
        <f t="shared" ca="1" si="126"/>
        <v>#N/A</v>
      </c>
      <c r="K1635" s="18" t="e">
        <f t="shared" ca="1" si="125"/>
        <v>#N/A</v>
      </c>
      <c r="L1635" t="e">
        <f ca="1">IF(J1635,Charms!B1635,"")</f>
        <v>#N/A</v>
      </c>
      <c r="M1635" t="str">
        <f t="shared" ca="1" si="127"/>
        <v>-</v>
      </c>
      <c r="N1635" s="18" t="str">
        <f t="shared" si="128"/>
        <v>K1622:L5000</v>
      </c>
      <c r="O1635" t="str">
        <f t="shared" si="129"/>
        <v>A1622:A1635</v>
      </c>
    </row>
    <row r="1636" spans="1:15">
      <c r="A1636" s="18">
        <f>Charms!K1636</f>
        <v>0</v>
      </c>
      <c r="B1636">
        <f>Charms!B1636</f>
        <v>0</v>
      </c>
      <c r="C1636" t="b">
        <f ca="1">OR(Values!$S$98&gt;=Charms!M1636,IFERROR(Charms!J1636=OFFSET(Values!$A$24,MATCH("S",Values!$T$25:$T$50,0),0),FALSE))</f>
        <v>1</v>
      </c>
      <c r="D1636" t="e">
        <f>VLOOKUP(Charms!J1636,Values!$A$11:$S$59,19,0)&gt;=Charms!L1636</f>
        <v>#N/A</v>
      </c>
      <c r="E1636" t="e">
        <f>OR(ISBLANK(Charms!I1636),(VLOOKUP(Values!$S$6,Castes!$B$2:$F$25,4,0)=Charms!I1636))</f>
        <v>#N/A</v>
      </c>
      <c r="J1636" t="e">
        <f t="shared" ca="1" si="126"/>
        <v>#N/A</v>
      </c>
      <c r="K1636" s="18" t="e">
        <f t="shared" ca="1" si="125"/>
        <v>#N/A</v>
      </c>
      <c r="L1636" t="e">
        <f ca="1">IF(J1636,Charms!B1636,"")</f>
        <v>#N/A</v>
      </c>
      <c r="M1636" t="str">
        <f t="shared" ca="1" si="127"/>
        <v>-</v>
      </c>
      <c r="N1636" s="18" t="str">
        <f t="shared" si="128"/>
        <v>K1622:L5000</v>
      </c>
      <c r="O1636" t="str">
        <f t="shared" si="129"/>
        <v>A1622:A1636</v>
      </c>
    </row>
    <row r="1637" spans="1:15">
      <c r="A1637" s="18">
        <f>Charms!K1637</f>
        <v>0</v>
      </c>
      <c r="B1637">
        <f>Charms!B1637</f>
        <v>0</v>
      </c>
      <c r="C1637" t="b">
        <f ca="1">OR(Values!$S$98&gt;=Charms!M1637,IFERROR(Charms!J1637=OFFSET(Values!$A$24,MATCH("S",Values!$T$25:$T$50,0),0),FALSE))</f>
        <v>1</v>
      </c>
      <c r="D1637" t="e">
        <f>VLOOKUP(Charms!J1637,Values!$A$11:$S$59,19,0)&gt;=Charms!L1637</f>
        <v>#N/A</v>
      </c>
      <c r="E1637" t="e">
        <f>OR(ISBLANK(Charms!I1637),(VLOOKUP(Values!$S$6,Castes!$B$2:$F$25,4,0)=Charms!I1637))</f>
        <v>#N/A</v>
      </c>
      <c r="J1637" t="e">
        <f t="shared" ca="1" si="126"/>
        <v>#N/A</v>
      </c>
      <c r="K1637" s="18" t="e">
        <f t="shared" ca="1" si="125"/>
        <v>#N/A</v>
      </c>
      <c r="L1637" t="e">
        <f ca="1">IF(J1637,Charms!B1637,"")</f>
        <v>#N/A</v>
      </c>
      <c r="M1637" t="str">
        <f t="shared" ca="1" si="127"/>
        <v>-</v>
      </c>
      <c r="N1637" s="18" t="str">
        <f t="shared" si="128"/>
        <v>K1622:L5000</v>
      </c>
      <c r="O1637" t="str">
        <f t="shared" si="129"/>
        <v>A1622:A1637</v>
      </c>
    </row>
    <row r="1638" spans="1:15">
      <c r="A1638" s="18">
        <f>Charms!K1638</f>
        <v>0</v>
      </c>
      <c r="B1638">
        <f>Charms!B1638</f>
        <v>0</v>
      </c>
      <c r="C1638" t="b">
        <f ca="1">OR(Values!$S$98&gt;=Charms!M1638,IFERROR(Charms!J1638=OFFSET(Values!$A$24,MATCH("S",Values!$T$25:$T$50,0),0),FALSE))</f>
        <v>1</v>
      </c>
      <c r="D1638" t="e">
        <f>VLOOKUP(Charms!J1638,Values!$A$11:$S$59,19,0)&gt;=Charms!L1638</f>
        <v>#N/A</v>
      </c>
      <c r="E1638" t="e">
        <f>OR(ISBLANK(Charms!I1638),(VLOOKUP(Values!$S$6,Castes!$B$2:$F$25,4,0)=Charms!I1638))</f>
        <v>#N/A</v>
      </c>
      <c r="J1638" t="e">
        <f t="shared" ca="1" si="126"/>
        <v>#N/A</v>
      </c>
      <c r="K1638" s="18" t="e">
        <f t="shared" ca="1" si="125"/>
        <v>#N/A</v>
      </c>
      <c r="L1638" t="e">
        <f ca="1">IF(J1638,Charms!B1638,"")</f>
        <v>#N/A</v>
      </c>
      <c r="M1638" t="str">
        <f t="shared" ca="1" si="127"/>
        <v>-</v>
      </c>
      <c r="N1638" s="18" t="str">
        <f t="shared" si="128"/>
        <v>K1622:L5000</v>
      </c>
      <c r="O1638" t="str">
        <f t="shared" si="129"/>
        <v>A1622:A1638</v>
      </c>
    </row>
    <row r="1639" spans="1:15">
      <c r="A1639" s="18">
        <f>Charms!K1639</f>
        <v>0</v>
      </c>
      <c r="B1639">
        <f>Charms!B1639</f>
        <v>0</v>
      </c>
      <c r="C1639" t="b">
        <f ca="1">OR(Values!$S$98&gt;=Charms!M1639,IFERROR(Charms!J1639=OFFSET(Values!$A$24,MATCH("S",Values!$T$25:$T$50,0),0),FALSE))</f>
        <v>1</v>
      </c>
      <c r="D1639" t="e">
        <f>VLOOKUP(Charms!J1639,Values!$A$11:$S$59,19,0)&gt;=Charms!L1639</f>
        <v>#N/A</v>
      </c>
      <c r="E1639" t="e">
        <f>OR(ISBLANK(Charms!I1639),(VLOOKUP(Values!$S$6,Castes!$B$2:$F$25,4,0)=Charms!I1639))</f>
        <v>#N/A</v>
      </c>
      <c r="J1639" t="e">
        <f t="shared" ca="1" si="126"/>
        <v>#N/A</v>
      </c>
      <c r="K1639" s="18" t="e">
        <f t="shared" ca="1" si="125"/>
        <v>#N/A</v>
      </c>
      <c r="L1639" t="e">
        <f ca="1">IF(J1639,Charms!B1639,"")</f>
        <v>#N/A</v>
      </c>
      <c r="M1639" t="str">
        <f t="shared" ca="1" si="127"/>
        <v>-</v>
      </c>
      <c r="N1639" s="18" t="str">
        <f t="shared" si="128"/>
        <v>K1622:L5000</v>
      </c>
      <c r="O1639" t="str">
        <f t="shared" si="129"/>
        <v>A1622:A1639</v>
      </c>
    </row>
    <row r="1640" spans="1:15">
      <c r="A1640" s="18">
        <f>Charms!K1640</f>
        <v>0</v>
      </c>
      <c r="B1640">
        <f>Charms!B1640</f>
        <v>0</v>
      </c>
      <c r="C1640" t="b">
        <f ca="1">OR(Values!$S$98&gt;=Charms!M1640,IFERROR(Charms!J1640=OFFSET(Values!$A$24,MATCH("S",Values!$T$25:$T$50,0),0),FALSE))</f>
        <v>1</v>
      </c>
      <c r="D1640" t="e">
        <f>VLOOKUP(Charms!J1640,Values!$A$11:$S$59,19,0)&gt;=Charms!L1640</f>
        <v>#N/A</v>
      </c>
      <c r="E1640" t="e">
        <f>OR(ISBLANK(Charms!I1640),(VLOOKUP(Values!$S$6,Castes!$B$2:$F$25,4,0)=Charms!I1640))</f>
        <v>#N/A</v>
      </c>
      <c r="J1640" t="e">
        <f t="shared" ca="1" si="126"/>
        <v>#N/A</v>
      </c>
      <c r="K1640" s="18" t="e">
        <f t="shared" ca="1" si="125"/>
        <v>#N/A</v>
      </c>
      <c r="L1640" t="e">
        <f ca="1">IF(J1640,Charms!B1640,"")</f>
        <v>#N/A</v>
      </c>
      <c r="M1640" t="str">
        <f t="shared" ca="1" si="127"/>
        <v>-</v>
      </c>
      <c r="N1640" s="18" t="str">
        <f t="shared" si="128"/>
        <v>K1622:L5000</v>
      </c>
      <c r="O1640" t="str">
        <f t="shared" si="129"/>
        <v>A1622:A1640</v>
      </c>
    </row>
    <row r="1641" spans="1:15">
      <c r="A1641" s="18">
        <f>Charms!K1641</f>
        <v>0</v>
      </c>
      <c r="B1641">
        <f>Charms!B1641</f>
        <v>0</v>
      </c>
      <c r="C1641" t="b">
        <f ca="1">OR(Values!$S$98&gt;=Charms!M1641,IFERROR(Charms!J1641=OFFSET(Values!$A$24,MATCH("S",Values!$T$25:$T$50,0),0),FALSE))</f>
        <v>1</v>
      </c>
      <c r="D1641" t="e">
        <f>VLOOKUP(Charms!J1641,Values!$A$11:$S$59,19,0)&gt;=Charms!L1641</f>
        <v>#N/A</v>
      </c>
      <c r="E1641" t="e">
        <f>OR(ISBLANK(Charms!I1641),(VLOOKUP(Values!$S$6,Castes!$B$2:$F$25,4,0)=Charms!I1641))</f>
        <v>#N/A</v>
      </c>
      <c r="J1641" t="e">
        <f t="shared" ca="1" si="126"/>
        <v>#N/A</v>
      </c>
      <c r="K1641" s="18" t="e">
        <f t="shared" ca="1" si="125"/>
        <v>#N/A</v>
      </c>
      <c r="L1641" t="e">
        <f ca="1">IF(J1641,Charms!B1641,"")</f>
        <v>#N/A</v>
      </c>
      <c r="M1641" t="str">
        <f t="shared" ca="1" si="127"/>
        <v>-</v>
      </c>
      <c r="N1641" s="18" t="str">
        <f t="shared" si="128"/>
        <v>K1622:L5000</v>
      </c>
      <c r="O1641" t="str">
        <f t="shared" si="129"/>
        <v>A1622:A1641</v>
      </c>
    </row>
    <row r="1642" spans="1:15">
      <c r="A1642" s="18">
        <f>Charms!K1642</f>
        <v>0</v>
      </c>
      <c r="B1642">
        <f>Charms!B1642</f>
        <v>0</v>
      </c>
      <c r="C1642" t="b">
        <f ca="1">OR(Values!$S$98&gt;=Charms!M1642,IFERROR(Charms!J1642=OFFSET(Values!$A$24,MATCH("S",Values!$T$25:$T$50,0),0),FALSE))</f>
        <v>1</v>
      </c>
      <c r="D1642" t="e">
        <f>VLOOKUP(Charms!J1642,Values!$A$11:$S$59,19,0)&gt;=Charms!L1642</f>
        <v>#N/A</v>
      </c>
      <c r="E1642" t="e">
        <f>OR(ISBLANK(Charms!I1642),(VLOOKUP(Values!$S$6,Castes!$B$2:$F$25,4,0)=Charms!I1642))</f>
        <v>#N/A</v>
      </c>
      <c r="J1642" t="e">
        <f t="shared" ca="1" si="126"/>
        <v>#N/A</v>
      </c>
      <c r="K1642" s="18" t="e">
        <f t="shared" ca="1" si="125"/>
        <v>#N/A</v>
      </c>
      <c r="L1642" t="e">
        <f ca="1">IF(J1642,Charms!B1642,"")</f>
        <v>#N/A</v>
      </c>
      <c r="M1642" t="str">
        <f t="shared" ca="1" si="127"/>
        <v>-</v>
      </c>
      <c r="N1642" s="18" t="str">
        <f t="shared" si="128"/>
        <v>K1622:L5000</v>
      </c>
      <c r="O1642" t="str">
        <f t="shared" si="129"/>
        <v>A1622:A1642</v>
      </c>
    </row>
    <row r="1643" spans="1:15">
      <c r="A1643" s="18">
        <f>Charms!K1643</f>
        <v>0</v>
      </c>
      <c r="B1643">
        <f>Charms!B1643</f>
        <v>0</v>
      </c>
      <c r="C1643" t="b">
        <f ca="1">OR(Values!$S$98&gt;=Charms!M1643,IFERROR(Charms!J1643=OFFSET(Values!$A$24,MATCH("S",Values!$T$25:$T$50,0),0),FALSE))</f>
        <v>1</v>
      </c>
      <c r="D1643" t="e">
        <f>VLOOKUP(Charms!J1643,Values!$A$11:$S$59,19,0)&gt;=Charms!L1643</f>
        <v>#N/A</v>
      </c>
      <c r="E1643" t="e">
        <f>OR(ISBLANK(Charms!I1643),(VLOOKUP(Values!$S$6,Castes!$B$2:$F$25,4,0)=Charms!I1643))</f>
        <v>#N/A</v>
      </c>
      <c r="J1643" t="e">
        <f t="shared" ca="1" si="126"/>
        <v>#N/A</v>
      </c>
      <c r="K1643" s="18" t="e">
        <f t="shared" ca="1" si="125"/>
        <v>#N/A</v>
      </c>
      <c r="L1643" t="e">
        <f ca="1">IF(J1643,Charms!B1643,"")</f>
        <v>#N/A</v>
      </c>
      <c r="M1643" t="str">
        <f t="shared" ca="1" si="127"/>
        <v>-</v>
      </c>
      <c r="N1643" s="18" t="str">
        <f t="shared" si="128"/>
        <v>K1622:L5000</v>
      </c>
      <c r="O1643" t="str">
        <f t="shared" si="129"/>
        <v>A1622:A1643</v>
      </c>
    </row>
    <row r="1644" spans="1:15">
      <c r="A1644" s="18">
        <f>Charms!K1644</f>
        <v>0</v>
      </c>
      <c r="B1644">
        <f>Charms!B1644</f>
        <v>0</v>
      </c>
      <c r="C1644" t="b">
        <f ca="1">OR(Values!$S$98&gt;=Charms!M1644,IFERROR(Charms!J1644=OFFSET(Values!$A$24,MATCH("S",Values!$T$25:$T$50,0),0),FALSE))</f>
        <v>1</v>
      </c>
      <c r="D1644" t="e">
        <f>VLOOKUP(Charms!J1644,Values!$A$11:$S$59,19,0)&gt;=Charms!L1644</f>
        <v>#N/A</v>
      </c>
      <c r="E1644" t="e">
        <f>OR(ISBLANK(Charms!I1644),(VLOOKUP(Values!$S$6,Castes!$B$2:$F$25,4,0)=Charms!I1644))</f>
        <v>#N/A</v>
      </c>
      <c r="J1644" t="e">
        <f t="shared" ca="1" si="126"/>
        <v>#N/A</v>
      </c>
      <c r="K1644" s="18" t="e">
        <f t="shared" ca="1" si="125"/>
        <v>#N/A</v>
      </c>
      <c r="L1644" t="e">
        <f ca="1">IF(J1644,Charms!B1644,"")</f>
        <v>#N/A</v>
      </c>
      <c r="M1644" t="str">
        <f t="shared" ca="1" si="127"/>
        <v>-</v>
      </c>
      <c r="N1644" s="18" t="str">
        <f t="shared" si="128"/>
        <v>K1622:L5000</v>
      </c>
      <c r="O1644" t="str">
        <f t="shared" si="129"/>
        <v>A1622:A1644</v>
      </c>
    </row>
    <row r="1645" spans="1:15">
      <c r="A1645" s="18">
        <f>Charms!K1645</f>
        <v>0</v>
      </c>
      <c r="B1645">
        <f>Charms!B1645</f>
        <v>0</v>
      </c>
      <c r="C1645" t="b">
        <f ca="1">OR(Values!$S$98&gt;=Charms!M1645,IFERROR(Charms!J1645=OFFSET(Values!$A$24,MATCH("S",Values!$T$25:$T$50,0),0),FALSE))</f>
        <v>1</v>
      </c>
      <c r="D1645" t="e">
        <f>VLOOKUP(Charms!J1645,Values!$A$11:$S$59,19,0)&gt;=Charms!L1645</f>
        <v>#N/A</v>
      </c>
      <c r="E1645" t="e">
        <f>OR(ISBLANK(Charms!I1645),(VLOOKUP(Values!$S$6,Castes!$B$2:$F$25,4,0)=Charms!I1645))</f>
        <v>#N/A</v>
      </c>
      <c r="J1645" t="e">
        <f t="shared" ca="1" si="126"/>
        <v>#N/A</v>
      </c>
      <c r="K1645" s="18" t="e">
        <f t="shared" ca="1" si="125"/>
        <v>#N/A</v>
      </c>
      <c r="L1645" t="e">
        <f ca="1">IF(J1645,Charms!B1645,"")</f>
        <v>#N/A</v>
      </c>
      <c r="M1645" t="str">
        <f t="shared" ca="1" si="127"/>
        <v>-</v>
      </c>
      <c r="N1645" s="18" t="str">
        <f t="shared" si="128"/>
        <v>K1622:L5000</v>
      </c>
      <c r="O1645" t="str">
        <f t="shared" si="129"/>
        <v>A1622:A1645</v>
      </c>
    </row>
    <row r="1646" spans="1:15">
      <c r="A1646" s="18">
        <f>Charms!K1646</f>
        <v>0</v>
      </c>
      <c r="B1646">
        <f>Charms!B1646</f>
        <v>0</v>
      </c>
      <c r="C1646" t="b">
        <f ca="1">OR(Values!$S$98&gt;=Charms!M1646,IFERROR(Charms!J1646=OFFSET(Values!$A$24,MATCH("S",Values!$T$25:$T$50,0),0),FALSE))</f>
        <v>1</v>
      </c>
      <c r="D1646" t="e">
        <f>VLOOKUP(Charms!J1646,Values!$A$11:$S$59,19,0)&gt;=Charms!L1646</f>
        <v>#N/A</v>
      </c>
      <c r="E1646" t="e">
        <f>OR(ISBLANK(Charms!I1646),(VLOOKUP(Values!$S$6,Castes!$B$2:$F$25,4,0)=Charms!I1646))</f>
        <v>#N/A</v>
      </c>
      <c r="J1646" t="e">
        <f t="shared" ca="1" si="126"/>
        <v>#N/A</v>
      </c>
      <c r="K1646" s="18" t="e">
        <f t="shared" ca="1" si="125"/>
        <v>#N/A</v>
      </c>
      <c r="L1646" t="e">
        <f ca="1">IF(J1646,Charms!B1646,"")</f>
        <v>#N/A</v>
      </c>
      <c r="M1646" t="str">
        <f t="shared" ca="1" si="127"/>
        <v>-</v>
      </c>
      <c r="N1646" s="18" t="str">
        <f t="shared" si="128"/>
        <v>K1622:L5000</v>
      </c>
      <c r="O1646" t="str">
        <f t="shared" si="129"/>
        <v>A1622:A1646</v>
      </c>
    </row>
    <row r="1647" spans="1:15">
      <c r="A1647" s="18">
        <f>Charms!K1647</f>
        <v>0</v>
      </c>
      <c r="B1647">
        <f>Charms!B1647</f>
        <v>0</v>
      </c>
      <c r="C1647" t="b">
        <f ca="1">OR(Values!$S$98&gt;=Charms!M1647,IFERROR(Charms!J1647=OFFSET(Values!$A$24,MATCH("S",Values!$T$25:$T$50,0),0),FALSE))</f>
        <v>1</v>
      </c>
      <c r="D1647" t="e">
        <f>VLOOKUP(Charms!J1647,Values!$A$11:$S$59,19,0)&gt;=Charms!L1647</f>
        <v>#N/A</v>
      </c>
      <c r="E1647" t="e">
        <f>OR(ISBLANK(Charms!I1647),(VLOOKUP(Values!$S$6,Castes!$B$2:$F$25,4,0)=Charms!I1647))</f>
        <v>#N/A</v>
      </c>
      <c r="J1647" t="e">
        <f t="shared" ca="1" si="126"/>
        <v>#N/A</v>
      </c>
      <c r="K1647" s="18" t="e">
        <f t="shared" ca="1" si="125"/>
        <v>#N/A</v>
      </c>
      <c r="L1647" t="e">
        <f ca="1">IF(J1647,Charms!B1647,"")</f>
        <v>#N/A</v>
      </c>
      <c r="M1647" t="str">
        <f t="shared" ca="1" si="127"/>
        <v>-</v>
      </c>
      <c r="N1647" s="18" t="str">
        <f t="shared" si="128"/>
        <v>K1622:L5000</v>
      </c>
      <c r="O1647" t="str">
        <f t="shared" si="129"/>
        <v>A1622:A1647</v>
      </c>
    </row>
    <row r="1648" spans="1:15">
      <c r="A1648" s="18">
        <f>Charms!K1648</f>
        <v>0</v>
      </c>
      <c r="B1648">
        <f>Charms!B1648</f>
        <v>0</v>
      </c>
      <c r="C1648" t="b">
        <f ca="1">OR(Values!$S$98&gt;=Charms!M1648,IFERROR(Charms!J1648=OFFSET(Values!$A$24,MATCH("S",Values!$T$25:$T$50,0),0),FALSE))</f>
        <v>1</v>
      </c>
      <c r="D1648" t="e">
        <f>VLOOKUP(Charms!J1648,Values!$A$11:$S$59,19,0)&gt;=Charms!L1648</f>
        <v>#N/A</v>
      </c>
      <c r="E1648" t="e">
        <f>OR(ISBLANK(Charms!I1648),(VLOOKUP(Values!$S$6,Castes!$B$2:$F$25,4,0)=Charms!I1648))</f>
        <v>#N/A</v>
      </c>
      <c r="J1648" t="e">
        <f t="shared" ca="1" si="126"/>
        <v>#N/A</v>
      </c>
      <c r="K1648" s="18" t="e">
        <f t="shared" ca="1" si="125"/>
        <v>#N/A</v>
      </c>
      <c r="L1648" t="e">
        <f ca="1">IF(J1648,Charms!B1648,"")</f>
        <v>#N/A</v>
      </c>
      <c r="M1648" t="str">
        <f t="shared" ca="1" si="127"/>
        <v>-</v>
      </c>
      <c r="N1648" s="18" t="str">
        <f t="shared" si="128"/>
        <v>K1622:L5000</v>
      </c>
      <c r="O1648" t="str">
        <f t="shared" si="129"/>
        <v>A1622:A1648</v>
      </c>
    </row>
    <row r="1649" spans="1:15">
      <c r="A1649" s="18">
        <f>Charms!K1649</f>
        <v>0</v>
      </c>
      <c r="B1649">
        <f>Charms!B1649</f>
        <v>0</v>
      </c>
      <c r="C1649" t="b">
        <f ca="1">OR(Values!$S$98&gt;=Charms!M1649,IFERROR(Charms!J1649=OFFSET(Values!$A$24,MATCH("S",Values!$T$25:$T$50,0),0),FALSE))</f>
        <v>1</v>
      </c>
      <c r="D1649" t="e">
        <f>VLOOKUP(Charms!J1649,Values!$A$11:$S$59,19,0)&gt;=Charms!L1649</f>
        <v>#N/A</v>
      </c>
      <c r="E1649" t="e">
        <f>OR(ISBLANK(Charms!I1649),(VLOOKUP(Values!$S$6,Castes!$B$2:$F$25,4,0)=Charms!I1649))</f>
        <v>#N/A</v>
      </c>
      <c r="J1649" t="e">
        <f t="shared" ca="1" si="126"/>
        <v>#N/A</v>
      </c>
      <c r="K1649" s="18" t="e">
        <f t="shared" ca="1" si="125"/>
        <v>#N/A</v>
      </c>
      <c r="L1649" t="e">
        <f ca="1">IF(J1649,Charms!B1649,"")</f>
        <v>#N/A</v>
      </c>
      <c r="M1649" t="str">
        <f t="shared" ca="1" si="127"/>
        <v>-</v>
      </c>
      <c r="N1649" s="18" t="str">
        <f t="shared" si="128"/>
        <v>K1622:L5000</v>
      </c>
      <c r="O1649" t="str">
        <f t="shared" si="129"/>
        <v>A1622:A1649</v>
      </c>
    </row>
    <row r="1650" spans="1:15">
      <c r="A1650" s="18">
        <f>Charms!K1650</f>
        <v>0</v>
      </c>
      <c r="B1650">
        <f>Charms!B1650</f>
        <v>0</v>
      </c>
      <c r="C1650" t="b">
        <f ca="1">OR(Values!$S$98&gt;=Charms!M1650,IFERROR(Charms!J1650=OFFSET(Values!$A$24,MATCH("S",Values!$T$25:$T$50,0),0),FALSE))</f>
        <v>1</v>
      </c>
      <c r="D1650" t="e">
        <f>VLOOKUP(Charms!J1650,Values!$A$11:$S$59,19,0)&gt;=Charms!L1650</f>
        <v>#N/A</v>
      </c>
      <c r="E1650" t="e">
        <f>OR(ISBLANK(Charms!I1650),(VLOOKUP(Values!$S$6,Castes!$B$2:$F$25,4,0)=Charms!I1650))</f>
        <v>#N/A</v>
      </c>
      <c r="J1650" t="e">
        <f t="shared" ca="1" si="126"/>
        <v>#N/A</v>
      </c>
      <c r="K1650" s="18" t="e">
        <f t="shared" ca="1" si="125"/>
        <v>#N/A</v>
      </c>
      <c r="L1650" t="e">
        <f ca="1">IF(J1650,Charms!B1650,"")</f>
        <v>#N/A</v>
      </c>
      <c r="M1650" t="str">
        <f t="shared" ca="1" si="127"/>
        <v>-</v>
      </c>
      <c r="N1650" s="18" t="str">
        <f t="shared" si="128"/>
        <v>K1622:L5000</v>
      </c>
      <c r="O1650" t="str">
        <f t="shared" si="129"/>
        <v>A1622:A1650</v>
      </c>
    </row>
    <row r="1651" spans="1:15">
      <c r="A1651" s="18">
        <f>Charms!K1651</f>
        <v>0</v>
      </c>
      <c r="B1651">
        <f>Charms!B1651</f>
        <v>0</v>
      </c>
      <c r="C1651" t="b">
        <f ca="1">OR(Values!$S$98&gt;=Charms!M1651,IFERROR(Charms!J1651=OFFSET(Values!$A$24,MATCH("S",Values!$T$25:$T$50,0),0),FALSE))</f>
        <v>1</v>
      </c>
      <c r="D1651" t="e">
        <f>VLOOKUP(Charms!J1651,Values!$A$11:$S$59,19,0)&gt;=Charms!L1651</f>
        <v>#N/A</v>
      </c>
      <c r="E1651" t="e">
        <f>OR(ISBLANK(Charms!I1651),(VLOOKUP(Values!$S$6,Castes!$B$2:$F$25,4,0)=Charms!I1651))</f>
        <v>#N/A</v>
      </c>
      <c r="J1651" t="e">
        <f t="shared" ca="1" si="126"/>
        <v>#N/A</v>
      </c>
      <c r="K1651" s="18" t="e">
        <f t="shared" ca="1" si="125"/>
        <v>#N/A</v>
      </c>
      <c r="L1651" t="e">
        <f ca="1">IF(J1651,Charms!B1651,"")</f>
        <v>#N/A</v>
      </c>
      <c r="M1651" t="str">
        <f t="shared" ca="1" si="127"/>
        <v>-</v>
      </c>
      <c r="N1651" s="18" t="str">
        <f t="shared" si="128"/>
        <v>K1622:L5000</v>
      </c>
      <c r="O1651" t="str">
        <f t="shared" si="129"/>
        <v>A1622:A1651</v>
      </c>
    </row>
    <row r="1652" spans="1:15">
      <c r="A1652" s="18">
        <f>Charms!K1652</f>
        <v>0</v>
      </c>
      <c r="B1652">
        <f>Charms!B1652</f>
        <v>0</v>
      </c>
      <c r="C1652" t="b">
        <f ca="1">OR(Values!$S$98&gt;=Charms!M1652,IFERROR(Charms!J1652=OFFSET(Values!$A$24,MATCH("S",Values!$T$25:$T$50,0),0),FALSE))</f>
        <v>1</v>
      </c>
      <c r="D1652" t="e">
        <f>VLOOKUP(Charms!J1652,Values!$A$11:$S$59,19,0)&gt;=Charms!L1652</f>
        <v>#N/A</v>
      </c>
      <c r="E1652" t="e">
        <f>OR(ISBLANK(Charms!I1652),(VLOOKUP(Values!$S$6,Castes!$B$2:$F$25,4,0)=Charms!I1652))</f>
        <v>#N/A</v>
      </c>
      <c r="J1652" t="e">
        <f t="shared" ca="1" si="126"/>
        <v>#N/A</v>
      </c>
      <c r="K1652" s="18" t="e">
        <f t="shared" ca="1" si="125"/>
        <v>#N/A</v>
      </c>
      <c r="L1652" t="e">
        <f ca="1">IF(J1652,Charms!B1652,"")</f>
        <v>#N/A</v>
      </c>
      <c r="M1652" t="str">
        <f t="shared" ca="1" si="127"/>
        <v>-</v>
      </c>
      <c r="N1652" s="18" t="str">
        <f t="shared" si="128"/>
        <v>K1622:L5000</v>
      </c>
      <c r="O1652" t="str">
        <f t="shared" si="129"/>
        <v>A1622:A1652</v>
      </c>
    </row>
    <row r="1653" spans="1:15">
      <c r="A1653" s="18">
        <f>Charms!K1653</f>
        <v>0</v>
      </c>
      <c r="B1653">
        <f>Charms!B1653</f>
        <v>0</v>
      </c>
      <c r="C1653" t="b">
        <f ca="1">OR(Values!$S$98&gt;=Charms!M1653,IFERROR(Charms!J1653=OFFSET(Values!$A$24,MATCH("S",Values!$T$25:$T$50,0),0),FALSE))</f>
        <v>1</v>
      </c>
      <c r="D1653" t="e">
        <f>VLOOKUP(Charms!J1653,Values!$A$11:$S$59,19,0)&gt;=Charms!L1653</f>
        <v>#N/A</v>
      </c>
      <c r="E1653" t="e">
        <f>OR(ISBLANK(Charms!I1653),(VLOOKUP(Values!$S$6,Castes!$B$2:$F$25,4,0)=Charms!I1653))</f>
        <v>#N/A</v>
      </c>
      <c r="J1653" t="e">
        <f t="shared" ca="1" si="126"/>
        <v>#N/A</v>
      </c>
      <c r="K1653" s="18" t="e">
        <f t="shared" ca="1" si="125"/>
        <v>#N/A</v>
      </c>
      <c r="L1653" t="e">
        <f ca="1">IF(J1653,Charms!B1653,"")</f>
        <v>#N/A</v>
      </c>
      <c r="M1653" t="str">
        <f t="shared" ca="1" si="127"/>
        <v>-</v>
      </c>
      <c r="N1653" s="18" t="str">
        <f t="shared" si="128"/>
        <v>K1622:L5000</v>
      </c>
      <c r="O1653" t="str">
        <f t="shared" si="129"/>
        <v>A1622:A1653</v>
      </c>
    </row>
    <row r="1654" spans="1:15">
      <c r="A1654" s="18">
        <f>Charms!K1654</f>
        <v>0</v>
      </c>
      <c r="B1654">
        <f>Charms!B1654</f>
        <v>0</v>
      </c>
      <c r="C1654" t="b">
        <f ca="1">OR(Values!$S$98&gt;=Charms!M1654,IFERROR(Charms!J1654=OFFSET(Values!$A$24,MATCH("S",Values!$T$25:$T$50,0),0),FALSE))</f>
        <v>1</v>
      </c>
      <c r="D1654" t="e">
        <f>VLOOKUP(Charms!J1654,Values!$A$11:$S$59,19,0)&gt;=Charms!L1654</f>
        <v>#N/A</v>
      </c>
      <c r="E1654" t="e">
        <f>OR(ISBLANK(Charms!I1654),(VLOOKUP(Values!$S$6,Castes!$B$2:$F$25,4,0)=Charms!I1654))</f>
        <v>#N/A</v>
      </c>
      <c r="J1654" t="e">
        <f t="shared" ca="1" si="126"/>
        <v>#N/A</v>
      </c>
      <c r="K1654" s="18" t="e">
        <f t="shared" ca="1" si="125"/>
        <v>#N/A</v>
      </c>
      <c r="L1654" t="e">
        <f ca="1">IF(J1654,Charms!B1654,"")</f>
        <v>#N/A</v>
      </c>
      <c r="M1654" t="str">
        <f t="shared" ca="1" si="127"/>
        <v>-</v>
      </c>
      <c r="N1654" s="18" t="str">
        <f t="shared" si="128"/>
        <v>K1622:L5000</v>
      </c>
      <c r="O1654" t="str">
        <f t="shared" si="129"/>
        <v>A1622:A1654</v>
      </c>
    </row>
    <row r="1655" spans="1:15">
      <c r="A1655" s="18">
        <f>Charms!K1655</f>
        <v>0</v>
      </c>
      <c r="B1655">
        <f>Charms!B1655</f>
        <v>0</v>
      </c>
      <c r="C1655" t="b">
        <f ca="1">OR(Values!$S$98&gt;=Charms!M1655,IFERROR(Charms!J1655=OFFSET(Values!$A$24,MATCH("S",Values!$T$25:$T$50,0),0),FALSE))</f>
        <v>1</v>
      </c>
      <c r="D1655" t="e">
        <f>VLOOKUP(Charms!J1655,Values!$A$11:$S$59,19,0)&gt;=Charms!L1655</f>
        <v>#N/A</v>
      </c>
      <c r="E1655" t="e">
        <f>OR(ISBLANK(Charms!I1655),(VLOOKUP(Values!$S$6,Castes!$B$2:$F$25,4,0)=Charms!I1655))</f>
        <v>#N/A</v>
      </c>
      <c r="J1655" t="e">
        <f t="shared" ca="1" si="126"/>
        <v>#N/A</v>
      </c>
      <c r="K1655" s="18" t="e">
        <f t="shared" ca="1" si="125"/>
        <v>#N/A</v>
      </c>
      <c r="L1655" t="e">
        <f ca="1">IF(J1655,Charms!B1655,"")</f>
        <v>#N/A</v>
      </c>
      <c r="M1655" t="str">
        <f t="shared" ca="1" si="127"/>
        <v>-</v>
      </c>
      <c r="N1655" s="18" t="str">
        <f t="shared" si="128"/>
        <v>K1622:L5000</v>
      </c>
      <c r="O1655" t="str">
        <f t="shared" si="129"/>
        <v>A1622:A1655</v>
      </c>
    </row>
    <row r="1656" spans="1:15">
      <c r="A1656" s="18">
        <f>Charms!K1656</f>
        <v>0</v>
      </c>
      <c r="B1656">
        <f>Charms!B1656</f>
        <v>0</v>
      </c>
      <c r="C1656" t="b">
        <f ca="1">OR(Values!$S$98&gt;=Charms!M1656,IFERROR(Charms!J1656=OFFSET(Values!$A$24,MATCH("S",Values!$T$25:$T$50,0),0),FALSE))</f>
        <v>1</v>
      </c>
      <c r="D1656" t="e">
        <f>VLOOKUP(Charms!J1656,Values!$A$11:$S$59,19,0)&gt;=Charms!L1656</f>
        <v>#N/A</v>
      </c>
      <c r="E1656" t="e">
        <f>OR(ISBLANK(Charms!I1656),(VLOOKUP(Values!$S$6,Castes!$B$2:$F$25,4,0)=Charms!I1656))</f>
        <v>#N/A</v>
      </c>
      <c r="J1656" t="e">
        <f t="shared" ca="1" si="126"/>
        <v>#N/A</v>
      </c>
      <c r="K1656" s="18" t="e">
        <f t="shared" ca="1" si="125"/>
        <v>#N/A</v>
      </c>
      <c r="L1656" t="e">
        <f ca="1">IF(J1656,Charms!B1656,"")</f>
        <v>#N/A</v>
      </c>
      <c r="M1656" t="str">
        <f t="shared" ca="1" si="127"/>
        <v>-</v>
      </c>
      <c r="N1656" s="18" t="str">
        <f t="shared" si="128"/>
        <v>K1622:L5000</v>
      </c>
      <c r="O1656" t="str">
        <f t="shared" si="129"/>
        <v>A1622:A1656</v>
      </c>
    </row>
    <row r="1657" spans="1:15">
      <c r="A1657" s="18">
        <f>Charms!K1657</f>
        <v>0</v>
      </c>
      <c r="B1657">
        <f>Charms!B1657</f>
        <v>0</v>
      </c>
      <c r="C1657" t="b">
        <f ca="1">OR(Values!$S$98&gt;=Charms!M1657,IFERROR(Charms!J1657=OFFSET(Values!$A$24,MATCH("S",Values!$T$25:$T$50,0),0),FALSE))</f>
        <v>1</v>
      </c>
      <c r="D1657" t="e">
        <f>VLOOKUP(Charms!J1657,Values!$A$11:$S$59,19,0)&gt;=Charms!L1657</f>
        <v>#N/A</v>
      </c>
      <c r="E1657" t="e">
        <f>OR(ISBLANK(Charms!I1657),(VLOOKUP(Values!$S$6,Castes!$B$2:$F$25,4,0)=Charms!I1657))</f>
        <v>#N/A</v>
      </c>
      <c r="J1657" t="e">
        <f t="shared" ca="1" si="126"/>
        <v>#N/A</v>
      </c>
      <c r="K1657" s="18" t="e">
        <f t="shared" ca="1" si="125"/>
        <v>#N/A</v>
      </c>
      <c r="L1657" t="e">
        <f ca="1">IF(J1657,Charms!B1657,"")</f>
        <v>#N/A</v>
      </c>
      <c r="M1657" t="str">
        <f t="shared" ca="1" si="127"/>
        <v>-</v>
      </c>
      <c r="N1657" s="18" t="str">
        <f t="shared" si="128"/>
        <v>K1622:L5000</v>
      </c>
      <c r="O1657" t="str">
        <f t="shared" si="129"/>
        <v>A1622:A1657</v>
      </c>
    </row>
    <row r="1658" spans="1:15">
      <c r="A1658" s="18">
        <f>Charms!K1658</f>
        <v>0</v>
      </c>
      <c r="B1658">
        <f>Charms!B1658</f>
        <v>0</v>
      </c>
      <c r="C1658" t="b">
        <f ca="1">OR(Values!$S$98&gt;=Charms!M1658,IFERROR(Charms!J1658=OFFSET(Values!$A$24,MATCH("S",Values!$T$25:$T$50,0),0),FALSE))</f>
        <v>1</v>
      </c>
      <c r="D1658" t="e">
        <f>VLOOKUP(Charms!J1658,Values!$A$11:$S$59,19,0)&gt;=Charms!L1658</f>
        <v>#N/A</v>
      </c>
      <c r="E1658" t="e">
        <f>OR(ISBLANK(Charms!I1658),(VLOOKUP(Values!$S$6,Castes!$B$2:$F$25,4,0)=Charms!I1658))</f>
        <v>#N/A</v>
      </c>
      <c r="J1658" t="e">
        <f t="shared" ca="1" si="126"/>
        <v>#N/A</v>
      </c>
      <c r="K1658" s="18" t="e">
        <f t="shared" ca="1" si="125"/>
        <v>#N/A</v>
      </c>
      <c r="L1658" t="e">
        <f ca="1">IF(J1658,Charms!B1658,"")</f>
        <v>#N/A</v>
      </c>
      <c r="M1658" t="str">
        <f t="shared" ca="1" si="127"/>
        <v>-</v>
      </c>
      <c r="N1658" s="18" t="str">
        <f t="shared" si="128"/>
        <v>K1622:L5000</v>
      </c>
      <c r="O1658" t="str">
        <f t="shared" si="129"/>
        <v>A1622:A1658</v>
      </c>
    </row>
    <row r="1659" spans="1:15">
      <c r="A1659" s="18">
        <f>Charms!K1659</f>
        <v>0</v>
      </c>
      <c r="B1659">
        <f>Charms!B1659</f>
        <v>0</v>
      </c>
      <c r="C1659" t="b">
        <f ca="1">OR(Values!$S$98&gt;=Charms!M1659,IFERROR(Charms!J1659=OFFSET(Values!$A$24,MATCH("S",Values!$T$25:$T$50,0),0),FALSE))</f>
        <v>1</v>
      </c>
      <c r="D1659" t="e">
        <f>VLOOKUP(Charms!J1659,Values!$A$11:$S$59,19,0)&gt;=Charms!L1659</f>
        <v>#N/A</v>
      </c>
      <c r="E1659" t="e">
        <f>OR(ISBLANK(Charms!I1659),(VLOOKUP(Values!$S$6,Castes!$B$2:$F$25,4,0)=Charms!I1659))</f>
        <v>#N/A</v>
      </c>
      <c r="J1659" t="e">
        <f t="shared" ca="1" si="126"/>
        <v>#N/A</v>
      </c>
      <c r="K1659" s="18" t="e">
        <f t="shared" ca="1" si="125"/>
        <v>#N/A</v>
      </c>
      <c r="L1659" t="e">
        <f ca="1">IF(J1659,Charms!B1659,"")</f>
        <v>#N/A</v>
      </c>
      <c r="M1659" t="str">
        <f t="shared" ca="1" si="127"/>
        <v>-</v>
      </c>
      <c r="N1659" s="18" t="str">
        <f t="shared" si="128"/>
        <v>K1622:L5000</v>
      </c>
      <c r="O1659" t="str">
        <f t="shared" si="129"/>
        <v>A1622:A1659</v>
      </c>
    </row>
    <row r="1660" spans="1:15">
      <c r="A1660" s="18">
        <f>Charms!K1660</f>
        <v>0</v>
      </c>
      <c r="B1660">
        <f>Charms!B1660</f>
        <v>0</v>
      </c>
      <c r="C1660" t="b">
        <f ca="1">OR(Values!$S$98&gt;=Charms!M1660,IFERROR(Charms!J1660=OFFSET(Values!$A$24,MATCH("S",Values!$T$25:$T$50,0),0),FALSE))</f>
        <v>1</v>
      </c>
      <c r="D1660" t="e">
        <f>VLOOKUP(Charms!J1660,Values!$A$11:$S$59,19,0)&gt;=Charms!L1660</f>
        <v>#N/A</v>
      </c>
      <c r="E1660" t="e">
        <f>OR(ISBLANK(Charms!I1660),(VLOOKUP(Values!$S$6,Castes!$B$2:$F$25,4,0)=Charms!I1660))</f>
        <v>#N/A</v>
      </c>
      <c r="J1660" t="e">
        <f t="shared" ca="1" si="126"/>
        <v>#N/A</v>
      </c>
      <c r="K1660" s="18" t="e">
        <f t="shared" ca="1" si="125"/>
        <v>#N/A</v>
      </c>
      <c r="L1660" t="e">
        <f ca="1">IF(J1660,Charms!B1660,"")</f>
        <v>#N/A</v>
      </c>
      <c r="M1660" t="str">
        <f t="shared" ca="1" si="127"/>
        <v>-</v>
      </c>
      <c r="N1660" s="18" t="str">
        <f t="shared" si="128"/>
        <v>K1622:L5000</v>
      </c>
      <c r="O1660" t="str">
        <f t="shared" si="129"/>
        <v>A1622:A1660</v>
      </c>
    </row>
    <row r="1661" spans="1:15">
      <c r="A1661" s="18">
        <f>Charms!K1661</f>
        <v>0</v>
      </c>
      <c r="B1661">
        <f>Charms!B1661</f>
        <v>0</v>
      </c>
      <c r="C1661" t="b">
        <f ca="1">OR(Values!$S$98&gt;=Charms!M1661,IFERROR(Charms!J1661=OFFSET(Values!$A$24,MATCH("S",Values!$T$25:$T$50,0),0),FALSE))</f>
        <v>1</v>
      </c>
      <c r="D1661" t="e">
        <f>VLOOKUP(Charms!J1661,Values!$A$11:$S$59,19,0)&gt;=Charms!L1661</f>
        <v>#N/A</v>
      </c>
      <c r="E1661" t="e">
        <f>OR(ISBLANK(Charms!I1661),(VLOOKUP(Values!$S$6,Castes!$B$2:$F$25,4,0)=Charms!I1661))</f>
        <v>#N/A</v>
      </c>
      <c r="J1661" t="e">
        <f t="shared" ca="1" si="126"/>
        <v>#N/A</v>
      </c>
      <c r="K1661" s="18" t="e">
        <f t="shared" ca="1" si="125"/>
        <v>#N/A</v>
      </c>
      <c r="L1661" t="e">
        <f ca="1">IF(J1661,Charms!B1661,"")</f>
        <v>#N/A</v>
      </c>
      <c r="M1661" t="str">
        <f t="shared" ca="1" si="127"/>
        <v>-</v>
      </c>
      <c r="N1661" s="18" t="str">
        <f t="shared" si="128"/>
        <v>K1622:L5000</v>
      </c>
      <c r="O1661" t="str">
        <f t="shared" si="129"/>
        <v>A1622:A1661</v>
      </c>
    </row>
    <row r="1662" spans="1:15">
      <c r="A1662" s="18">
        <f>Charms!K1662</f>
        <v>0</v>
      </c>
      <c r="B1662">
        <f>Charms!B1662</f>
        <v>0</v>
      </c>
      <c r="C1662" t="b">
        <f ca="1">OR(Values!$S$98&gt;=Charms!M1662,IFERROR(Charms!J1662=OFFSET(Values!$A$24,MATCH("S",Values!$T$25:$T$50,0),0),FALSE))</f>
        <v>1</v>
      </c>
      <c r="D1662" t="e">
        <f>VLOOKUP(Charms!J1662,Values!$A$11:$S$59,19,0)&gt;=Charms!L1662</f>
        <v>#N/A</v>
      </c>
      <c r="E1662" t="e">
        <f>OR(ISBLANK(Charms!I1662),(VLOOKUP(Values!$S$6,Castes!$B$2:$F$25,4,0)=Charms!I1662))</f>
        <v>#N/A</v>
      </c>
      <c r="J1662" t="e">
        <f t="shared" ca="1" si="126"/>
        <v>#N/A</v>
      </c>
      <c r="K1662" s="18" t="e">
        <f t="shared" ca="1" si="125"/>
        <v>#N/A</v>
      </c>
      <c r="L1662" t="e">
        <f ca="1">IF(J1662,Charms!B1662,"")</f>
        <v>#N/A</v>
      </c>
      <c r="M1662" t="str">
        <f t="shared" ca="1" si="127"/>
        <v>-</v>
      </c>
      <c r="N1662" s="18" t="str">
        <f t="shared" si="128"/>
        <v>K1622:L5000</v>
      </c>
      <c r="O1662" t="str">
        <f t="shared" si="129"/>
        <v>A1622:A1662</v>
      </c>
    </row>
    <row r="1663" spans="1:15">
      <c r="A1663" s="18">
        <f>Charms!K1663</f>
        <v>0</v>
      </c>
      <c r="B1663">
        <f>Charms!B1663</f>
        <v>0</v>
      </c>
      <c r="C1663" t="b">
        <f ca="1">OR(Values!$S$98&gt;=Charms!M1663,IFERROR(Charms!J1663=OFFSET(Values!$A$24,MATCH("S",Values!$T$25:$T$50,0),0),FALSE))</f>
        <v>1</v>
      </c>
      <c r="D1663" t="e">
        <f>VLOOKUP(Charms!J1663,Values!$A$11:$S$59,19,0)&gt;=Charms!L1663</f>
        <v>#N/A</v>
      </c>
      <c r="E1663" t="e">
        <f>OR(ISBLANK(Charms!I1663),(VLOOKUP(Values!$S$6,Castes!$B$2:$F$25,4,0)=Charms!I1663))</f>
        <v>#N/A</v>
      </c>
      <c r="J1663" t="e">
        <f t="shared" ca="1" si="126"/>
        <v>#N/A</v>
      </c>
      <c r="K1663" s="18" t="e">
        <f t="shared" ca="1" si="125"/>
        <v>#N/A</v>
      </c>
      <c r="L1663" t="e">
        <f ca="1">IF(J1663,Charms!B1663,"")</f>
        <v>#N/A</v>
      </c>
      <c r="M1663" t="str">
        <f t="shared" ca="1" si="127"/>
        <v>-</v>
      </c>
      <c r="N1663" s="18" t="str">
        <f t="shared" si="128"/>
        <v>K1622:L5000</v>
      </c>
      <c r="O1663" t="str">
        <f t="shared" si="129"/>
        <v>A1622:A1663</v>
      </c>
    </row>
    <row r="1664" spans="1:15">
      <c r="A1664" s="18">
        <f>Charms!K1664</f>
        <v>0</v>
      </c>
      <c r="B1664">
        <f>Charms!B1664</f>
        <v>0</v>
      </c>
      <c r="C1664" t="b">
        <f ca="1">OR(Values!$S$98&gt;=Charms!M1664,IFERROR(Charms!J1664=OFFSET(Values!$A$24,MATCH("S",Values!$T$25:$T$50,0),0),FALSE))</f>
        <v>1</v>
      </c>
      <c r="D1664" t="e">
        <f>VLOOKUP(Charms!J1664,Values!$A$11:$S$59,19,0)&gt;=Charms!L1664</f>
        <v>#N/A</v>
      </c>
      <c r="E1664" t="e">
        <f>OR(ISBLANK(Charms!I1664),(VLOOKUP(Values!$S$6,Castes!$B$2:$F$25,4,0)=Charms!I1664))</f>
        <v>#N/A</v>
      </c>
      <c r="J1664" t="e">
        <f t="shared" ca="1" si="126"/>
        <v>#N/A</v>
      </c>
      <c r="K1664" s="18" t="e">
        <f t="shared" ca="1" si="125"/>
        <v>#N/A</v>
      </c>
      <c r="L1664" t="e">
        <f ca="1">IF(J1664,Charms!B1664,"")</f>
        <v>#N/A</v>
      </c>
      <c r="M1664" t="str">
        <f t="shared" ca="1" si="127"/>
        <v>-</v>
      </c>
      <c r="N1664" s="18" t="str">
        <f t="shared" si="128"/>
        <v>K1622:L5000</v>
      </c>
      <c r="O1664" t="str">
        <f t="shared" si="129"/>
        <v>A1622:A1664</v>
      </c>
    </row>
    <row r="1665" spans="1:15">
      <c r="A1665" s="18">
        <f>Charms!K1665</f>
        <v>0</v>
      </c>
      <c r="B1665">
        <f>Charms!B1665</f>
        <v>0</v>
      </c>
      <c r="C1665" t="b">
        <f ca="1">OR(Values!$S$98&gt;=Charms!M1665,IFERROR(Charms!J1665=OFFSET(Values!$A$24,MATCH("S",Values!$T$25:$T$50,0),0),FALSE))</f>
        <v>1</v>
      </c>
      <c r="D1665" t="e">
        <f>VLOOKUP(Charms!J1665,Values!$A$11:$S$59,19,0)&gt;=Charms!L1665</f>
        <v>#N/A</v>
      </c>
      <c r="E1665" t="e">
        <f>OR(ISBLANK(Charms!I1665),(VLOOKUP(Values!$S$6,Castes!$B$2:$F$25,4,0)=Charms!I1665))</f>
        <v>#N/A</v>
      </c>
      <c r="J1665" t="e">
        <f t="shared" ca="1" si="126"/>
        <v>#N/A</v>
      </c>
      <c r="K1665" s="18" t="e">
        <f t="shared" ca="1" si="125"/>
        <v>#N/A</v>
      </c>
      <c r="L1665" t="e">
        <f ca="1">IF(J1665,Charms!B1665,"")</f>
        <v>#N/A</v>
      </c>
      <c r="M1665" t="str">
        <f t="shared" ca="1" si="127"/>
        <v>-</v>
      </c>
      <c r="N1665" s="18" t="str">
        <f t="shared" si="128"/>
        <v>K1622:L5000</v>
      </c>
      <c r="O1665" t="str">
        <f t="shared" si="129"/>
        <v>A1622:A1665</v>
      </c>
    </row>
    <row r="1666" spans="1:15">
      <c r="A1666" s="18">
        <f>Charms!K1666</f>
        <v>0</v>
      </c>
      <c r="B1666">
        <f>Charms!B1666</f>
        <v>0</v>
      </c>
      <c r="C1666" t="b">
        <f ca="1">OR(Values!$S$98&gt;=Charms!M1666,IFERROR(Charms!J1666=OFFSET(Values!$A$24,MATCH("S",Values!$T$25:$T$50,0),0),FALSE))</f>
        <v>1</v>
      </c>
      <c r="D1666" t="e">
        <f>VLOOKUP(Charms!J1666,Values!$A$11:$S$59,19,0)&gt;=Charms!L1666</f>
        <v>#N/A</v>
      </c>
      <c r="E1666" t="e">
        <f>OR(ISBLANK(Charms!I1666),(VLOOKUP(Values!$S$6,Castes!$B$2:$F$25,4,0)=Charms!I1666))</f>
        <v>#N/A</v>
      </c>
      <c r="J1666" t="e">
        <f t="shared" ca="1" si="126"/>
        <v>#N/A</v>
      </c>
      <c r="K1666" s="18" t="e">
        <f t="shared" ref="K1666:K1729" ca="1" si="130">IF(L1666="","",COUNTIF(INDIRECT("J"&amp;MATCH(A1666,A:A,0)&amp;":J"&amp;ROW()),J1666))</f>
        <v>#N/A</v>
      </c>
      <c r="L1666" t="e">
        <f ca="1">IF(J1666,Charms!B1666,"")</f>
        <v>#N/A</v>
      </c>
      <c r="M1666" t="str">
        <f t="shared" ca="1" si="127"/>
        <v>-</v>
      </c>
      <c r="N1666" s="18" t="str">
        <f t="shared" si="128"/>
        <v>K1622:L5000</v>
      </c>
      <c r="O1666" t="str">
        <f t="shared" si="129"/>
        <v>A1622:A1666</v>
      </c>
    </row>
    <row r="1667" spans="1:15">
      <c r="A1667" s="18">
        <f>Charms!K1667</f>
        <v>0</v>
      </c>
      <c r="B1667">
        <f>Charms!B1667</f>
        <v>0</v>
      </c>
      <c r="C1667" t="b">
        <f ca="1">OR(Values!$S$98&gt;=Charms!M1667,IFERROR(Charms!J1667=OFFSET(Values!$A$24,MATCH("S",Values!$T$25:$T$50,0),0),FALSE))</f>
        <v>1</v>
      </c>
      <c r="D1667" t="e">
        <f>VLOOKUP(Charms!J1667,Values!$A$11:$S$59,19,0)&gt;=Charms!L1667</f>
        <v>#N/A</v>
      </c>
      <c r="E1667" t="e">
        <f>OR(ISBLANK(Charms!I1667),(VLOOKUP(Values!$S$6,Castes!$B$2:$F$25,4,0)=Charms!I1667))</f>
        <v>#N/A</v>
      </c>
      <c r="J1667" t="e">
        <f t="shared" ref="J1667:J1730" ca="1" si="131">(C1667+D1667+E1667+F1667+G1667+H1667+I1667)=3</f>
        <v>#N/A</v>
      </c>
      <c r="K1667" s="18" t="e">
        <f t="shared" ca="1" si="130"/>
        <v>#N/A</v>
      </c>
      <c r="L1667" t="e">
        <f ca="1">IF(J1667,Charms!B1667,"")</f>
        <v>#N/A</v>
      </c>
      <c r="M1667" t="str">
        <f t="shared" ref="M1667:M1730" ca="1" si="132">IFERROR(VLOOKUP(COUNTIF(INDIRECT(O1667),A1667),INDIRECT(N1667),2,0),"-")</f>
        <v>-</v>
      </c>
      <c r="N1667" s="18" t="str">
        <f t="shared" ref="N1667:N1730" si="133">"K"&amp;MATCH(A1667,A:A,0)&amp;":L"&amp;(MATCH(A1667,A:A,0)+COUNTIF(A:A,A1667)-1)</f>
        <v>K1622:L5000</v>
      </c>
      <c r="O1667" t="str">
        <f t="shared" ref="O1667:O1730" si="134">"A"&amp;MATCH(A1667,A:A,0)&amp;":A"&amp;ROW()</f>
        <v>A1622:A1667</v>
      </c>
    </row>
    <row r="1668" spans="1:15">
      <c r="A1668" s="18">
        <f>Charms!K1668</f>
        <v>0</v>
      </c>
      <c r="B1668">
        <f>Charms!B1668</f>
        <v>0</v>
      </c>
      <c r="C1668" t="b">
        <f ca="1">OR(Values!$S$98&gt;=Charms!M1668,IFERROR(Charms!J1668=OFFSET(Values!$A$24,MATCH("S",Values!$T$25:$T$50,0),0),FALSE))</f>
        <v>1</v>
      </c>
      <c r="D1668" t="e">
        <f>VLOOKUP(Charms!J1668,Values!$A$11:$S$59,19,0)&gt;=Charms!L1668</f>
        <v>#N/A</v>
      </c>
      <c r="E1668" t="e">
        <f>OR(ISBLANK(Charms!I1668),(VLOOKUP(Values!$S$6,Castes!$B$2:$F$25,4,0)=Charms!I1668))</f>
        <v>#N/A</v>
      </c>
      <c r="J1668" t="e">
        <f t="shared" ca="1" si="131"/>
        <v>#N/A</v>
      </c>
      <c r="K1668" s="18" t="e">
        <f t="shared" ca="1" si="130"/>
        <v>#N/A</v>
      </c>
      <c r="L1668" t="e">
        <f ca="1">IF(J1668,Charms!B1668,"")</f>
        <v>#N/A</v>
      </c>
      <c r="M1668" t="str">
        <f t="shared" ca="1" si="132"/>
        <v>-</v>
      </c>
      <c r="N1668" s="18" t="str">
        <f t="shared" si="133"/>
        <v>K1622:L5000</v>
      </c>
      <c r="O1668" t="str">
        <f t="shared" si="134"/>
        <v>A1622:A1668</v>
      </c>
    </row>
    <row r="1669" spans="1:15">
      <c r="A1669" s="18">
        <f>Charms!K1669</f>
        <v>0</v>
      </c>
      <c r="B1669">
        <f>Charms!B1669</f>
        <v>0</v>
      </c>
      <c r="C1669" t="b">
        <f ca="1">OR(Values!$S$98&gt;=Charms!M1669,IFERROR(Charms!J1669=OFFSET(Values!$A$24,MATCH("S",Values!$T$25:$T$50,0),0),FALSE))</f>
        <v>1</v>
      </c>
      <c r="D1669" t="e">
        <f>VLOOKUP(Charms!J1669,Values!$A$11:$S$59,19,0)&gt;=Charms!L1669</f>
        <v>#N/A</v>
      </c>
      <c r="E1669" t="e">
        <f>OR(ISBLANK(Charms!I1669),(VLOOKUP(Values!$S$6,Castes!$B$2:$F$25,4,0)=Charms!I1669))</f>
        <v>#N/A</v>
      </c>
      <c r="J1669" t="e">
        <f t="shared" ca="1" si="131"/>
        <v>#N/A</v>
      </c>
      <c r="K1669" s="18" t="e">
        <f t="shared" ca="1" si="130"/>
        <v>#N/A</v>
      </c>
      <c r="L1669" t="e">
        <f ca="1">IF(J1669,Charms!B1669,"")</f>
        <v>#N/A</v>
      </c>
      <c r="M1669" t="str">
        <f t="shared" ca="1" si="132"/>
        <v>-</v>
      </c>
      <c r="N1669" s="18" t="str">
        <f t="shared" si="133"/>
        <v>K1622:L5000</v>
      </c>
      <c r="O1669" t="str">
        <f t="shared" si="134"/>
        <v>A1622:A1669</v>
      </c>
    </row>
    <row r="1670" spans="1:15">
      <c r="A1670" s="18">
        <f>Charms!K1670</f>
        <v>0</v>
      </c>
      <c r="B1670">
        <f>Charms!B1670</f>
        <v>0</v>
      </c>
      <c r="C1670" t="b">
        <f ca="1">OR(Values!$S$98&gt;=Charms!M1670,IFERROR(Charms!J1670=OFFSET(Values!$A$24,MATCH("S",Values!$T$25:$T$50,0),0),FALSE))</f>
        <v>1</v>
      </c>
      <c r="D1670" t="e">
        <f>VLOOKUP(Charms!J1670,Values!$A$11:$S$59,19,0)&gt;=Charms!L1670</f>
        <v>#N/A</v>
      </c>
      <c r="E1670" t="e">
        <f>OR(ISBLANK(Charms!I1670),(VLOOKUP(Values!$S$6,Castes!$B$2:$F$25,4,0)=Charms!I1670))</f>
        <v>#N/A</v>
      </c>
      <c r="J1670" t="e">
        <f t="shared" ca="1" si="131"/>
        <v>#N/A</v>
      </c>
      <c r="K1670" s="18" t="e">
        <f t="shared" ca="1" si="130"/>
        <v>#N/A</v>
      </c>
      <c r="L1670" t="e">
        <f ca="1">IF(J1670,Charms!B1670,"")</f>
        <v>#N/A</v>
      </c>
      <c r="M1670" t="str">
        <f t="shared" ca="1" si="132"/>
        <v>-</v>
      </c>
      <c r="N1670" s="18" t="str">
        <f t="shared" si="133"/>
        <v>K1622:L5000</v>
      </c>
      <c r="O1670" t="str">
        <f t="shared" si="134"/>
        <v>A1622:A1670</v>
      </c>
    </row>
    <row r="1671" spans="1:15">
      <c r="A1671" s="18">
        <f>Charms!K1671</f>
        <v>0</v>
      </c>
      <c r="B1671">
        <f>Charms!B1671</f>
        <v>0</v>
      </c>
      <c r="C1671" t="b">
        <f ca="1">OR(Values!$S$98&gt;=Charms!M1671,IFERROR(Charms!J1671=OFFSET(Values!$A$24,MATCH("S",Values!$T$25:$T$50,0),0),FALSE))</f>
        <v>1</v>
      </c>
      <c r="D1671" t="e">
        <f>VLOOKUP(Charms!J1671,Values!$A$11:$S$59,19,0)&gt;=Charms!L1671</f>
        <v>#N/A</v>
      </c>
      <c r="E1671" t="e">
        <f>OR(ISBLANK(Charms!I1671),(VLOOKUP(Values!$S$6,Castes!$B$2:$F$25,4,0)=Charms!I1671))</f>
        <v>#N/A</v>
      </c>
      <c r="J1671" t="e">
        <f t="shared" ca="1" si="131"/>
        <v>#N/A</v>
      </c>
      <c r="K1671" s="18" t="e">
        <f t="shared" ca="1" si="130"/>
        <v>#N/A</v>
      </c>
      <c r="L1671" t="e">
        <f ca="1">IF(J1671,Charms!B1671,"")</f>
        <v>#N/A</v>
      </c>
      <c r="M1671" t="str">
        <f t="shared" ca="1" si="132"/>
        <v>-</v>
      </c>
      <c r="N1671" s="18" t="str">
        <f t="shared" si="133"/>
        <v>K1622:L5000</v>
      </c>
      <c r="O1671" t="str">
        <f t="shared" si="134"/>
        <v>A1622:A1671</v>
      </c>
    </row>
    <row r="1672" spans="1:15">
      <c r="A1672" s="18">
        <f>Charms!K1672</f>
        <v>0</v>
      </c>
      <c r="B1672">
        <f>Charms!B1672</f>
        <v>0</v>
      </c>
      <c r="C1672" t="b">
        <f ca="1">OR(Values!$S$98&gt;=Charms!M1672,IFERROR(Charms!J1672=OFFSET(Values!$A$24,MATCH("S",Values!$T$25:$T$50,0),0),FALSE))</f>
        <v>1</v>
      </c>
      <c r="D1672" t="e">
        <f>VLOOKUP(Charms!J1672,Values!$A$11:$S$59,19,0)&gt;=Charms!L1672</f>
        <v>#N/A</v>
      </c>
      <c r="E1672" t="e">
        <f>OR(ISBLANK(Charms!I1672),(VLOOKUP(Values!$S$6,Castes!$B$2:$F$25,4,0)=Charms!I1672))</f>
        <v>#N/A</v>
      </c>
      <c r="J1672" t="e">
        <f t="shared" ca="1" si="131"/>
        <v>#N/A</v>
      </c>
      <c r="K1672" s="18" t="e">
        <f t="shared" ca="1" si="130"/>
        <v>#N/A</v>
      </c>
      <c r="L1672" t="e">
        <f ca="1">IF(J1672,Charms!B1672,"")</f>
        <v>#N/A</v>
      </c>
      <c r="M1672" t="str">
        <f t="shared" ca="1" si="132"/>
        <v>-</v>
      </c>
      <c r="N1672" s="18" t="str">
        <f t="shared" si="133"/>
        <v>K1622:L5000</v>
      </c>
      <c r="O1672" t="str">
        <f t="shared" si="134"/>
        <v>A1622:A1672</v>
      </c>
    </row>
    <row r="1673" spans="1:15">
      <c r="A1673" s="18">
        <f>Charms!K1673</f>
        <v>0</v>
      </c>
      <c r="B1673">
        <f>Charms!B1673</f>
        <v>0</v>
      </c>
      <c r="C1673" t="b">
        <f ca="1">OR(Values!$S$98&gt;=Charms!M1673,IFERROR(Charms!J1673=OFFSET(Values!$A$24,MATCH("S",Values!$T$25:$T$50,0),0),FALSE))</f>
        <v>1</v>
      </c>
      <c r="D1673" t="e">
        <f>VLOOKUP(Charms!J1673,Values!$A$11:$S$59,19,0)&gt;=Charms!L1673</f>
        <v>#N/A</v>
      </c>
      <c r="E1673" t="e">
        <f>OR(ISBLANK(Charms!I1673),(VLOOKUP(Values!$S$6,Castes!$B$2:$F$25,4,0)=Charms!I1673))</f>
        <v>#N/A</v>
      </c>
      <c r="J1673" t="e">
        <f t="shared" ca="1" si="131"/>
        <v>#N/A</v>
      </c>
      <c r="K1673" s="18" t="e">
        <f t="shared" ca="1" si="130"/>
        <v>#N/A</v>
      </c>
      <c r="L1673" t="e">
        <f ca="1">IF(J1673,Charms!B1673,"")</f>
        <v>#N/A</v>
      </c>
      <c r="M1673" t="str">
        <f t="shared" ca="1" si="132"/>
        <v>-</v>
      </c>
      <c r="N1673" s="18" t="str">
        <f t="shared" si="133"/>
        <v>K1622:L5000</v>
      </c>
      <c r="O1673" t="str">
        <f t="shared" si="134"/>
        <v>A1622:A1673</v>
      </c>
    </row>
    <row r="1674" spans="1:15">
      <c r="A1674" s="18">
        <f>Charms!K1674</f>
        <v>0</v>
      </c>
      <c r="B1674">
        <f>Charms!B1674</f>
        <v>0</v>
      </c>
      <c r="C1674" t="b">
        <f ca="1">OR(Values!$S$98&gt;=Charms!M1674,IFERROR(Charms!J1674=OFFSET(Values!$A$24,MATCH("S",Values!$T$25:$T$50,0),0),FALSE))</f>
        <v>1</v>
      </c>
      <c r="D1674" t="e">
        <f>VLOOKUP(Charms!J1674,Values!$A$11:$S$59,19,0)&gt;=Charms!L1674</f>
        <v>#N/A</v>
      </c>
      <c r="E1674" t="e">
        <f>OR(ISBLANK(Charms!I1674),(VLOOKUP(Values!$S$6,Castes!$B$2:$F$25,4,0)=Charms!I1674))</f>
        <v>#N/A</v>
      </c>
      <c r="J1674" t="e">
        <f t="shared" ca="1" si="131"/>
        <v>#N/A</v>
      </c>
      <c r="K1674" s="18" t="e">
        <f t="shared" ca="1" si="130"/>
        <v>#N/A</v>
      </c>
      <c r="L1674" t="e">
        <f ca="1">IF(J1674,Charms!B1674,"")</f>
        <v>#N/A</v>
      </c>
      <c r="M1674" t="str">
        <f t="shared" ca="1" si="132"/>
        <v>-</v>
      </c>
      <c r="N1674" s="18" t="str">
        <f t="shared" si="133"/>
        <v>K1622:L5000</v>
      </c>
      <c r="O1674" t="str">
        <f t="shared" si="134"/>
        <v>A1622:A1674</v>
      </c>
    </row>
    <row r="1675" spans="1:15">
      <c r="A1675" s="18">
        <f>Charms!K1675</f>
        <v>0</v>
      </c>
      <c r="B1675">
        <f>Charms!B1675</f>
        <v>0</v>
      </c>
      <c r="C1675" t="b">
        <f ca="1">OR(Values!$S$98&gt;=Charms!M1675,IFERROR(Charms!J1675=OFFSET(Values!$A$24,MATCH("S",Values!$T$25:$T$50,0),0),FALSE))</f>
        <v>1</v>
      </c>
      <c r="D1675" t="e">
        <f>VLOOKUP(Charms!J1675,Values!$A$11:$S$59,19,0)&gt;=Charms!L1675</f>
        <v>#N/A</v>
      </c>
      <c r="E1675" t="e">
        <f>OR(ISBLANK(Charms!I1675),(VLOOKUP(Values!$S$6,Castes!$B$2:$F$25,4,0)=Charms!I1675))</f>
        <v>#N/A</v>
      </c>
      <c r="J1675" t="e">
        <f t="shared" ca="1" si="131"/>
        <v>#N/A</v>
      </c>
      <c r="K1675" s="18" t="e">
        <f t="shared" ca="1" si="130"/>
        <v>#N/A</v>
      </c>
      <c r="L1675" t="e">
        <f ca="1">IF(J1675,Charms!B1675,"")</f>
        <v>#N/A</v>
      </c>
      <c r="M1675" t="str">
        <f t="shared" ca="1" si="132"/>
        <v>-</v>
      </c>
      <c r="N1675" s="18" t="str">
        <f t="shared" si="133"/>
        <v>K1622:L5000</v>
      </c>
      <c r="O1675" t="str">
        <f t="shared" si="134"/>
        <v>A1622:A1675</v>
      </c>
    </row>
    <row r="1676" spans="1:15">
      <c r="A1676" s="18">
        <f>Charms!K1676</f>
        <v>0</v>
      </c>
      <c r="B1676">
        <f>Charms!B1676</f>
        <v>0</v>
      </c>
      <c r="C1676" t="b">
        <f ca="1">OR(Values!$S$98&gt;=Charms!M1676,IFERROR(Charms!J1676=OFFSET(Values!$A$24,MATCH("S",Values!$T$25:$T$50,0),0),FALSE))</f>
        <v>1</v>
      </c>
      <c r="D1676" t="e">
        <f>VLOOKUP(Charms!J1676,Values!$A$11:$S$59,19,0)&gt;=Charms!L1676</f>
        <v>#N/A</v>
      </c>
      <c r="E1676" t="e">
        <f>OR(ISBLANK(Charms!I1676),(VLOOKUP(Values!$S$6,Castes!$B$2:$F$25,4,0)=Charms!I1676))</f>
        <v>#N/A</v>
      </c>
      <c r="J1676" t="e">
        <f t="shared" ca="1" si="131"/>
        <v>#N/A</v>
      </c>
      <c r="K1676" s="18" t="e">
        <f t="shared" ca="1" si="130"/>
        <v>#N/A</v>
      </c>
      <c r="L1676" t="e">
        <f ca="1">IF(J1676,Charms!B1676,"")</f>
        <v>#N/A</v>
      </c>
      <c r="M1676" t="str">
        <f t="shared" ca="1" si="132"/>
        <v>-</v>
      </c>
      <c r="N1676" s="18" t="str">
        <f t="shared" si="133"/>
        <v>K1622:L5000</v>
      </c>
      <c r="O1676" t="str">
        <f t="shared" si="134"/>
        <v>A1622:A1676</v>
      </c>
    </row>
    <row r="1677" spans="1:15">
      <c r="A1677" s="18">
        <f>Charms!K1677</f>
        <v>0</v>
      </c>
      <c r="B1677">
        <f>Charms!B1677</f>
        <v>0</v>
      </c>
      <c r="C1677" t="b">
        <f ca="1">OR(Values!$S$98&gt;=Charms!M1677,IFERROR(Charms!J1677=OFFSET(Values!$A$24,MATCH("S",Values!$T$25:$T$50,0),0),FALSE))</f>
        <v>1</v>
      </c>
      <c r="D1677" t="e">
        <f>VLOOKUP(Charms!J1677,Values!$A$11:$S$59,19,0)&gt;=Charms!L1677</f>
        <v>#N/A</v>
      </c>
      <c r="E1677" t="e">
        <f>OR(ISBLANK(Charms!I1677),(VLOOKUP(Values!$S$6,Castes!$B$2:$F$25,4,0)=Charms!I1677))</f>
        <v>#N/A</v>
      </c>
      <c r="J1677" t="e">
        <f t="shared" ca="1" si="131"/>
        <v>#N/A</v>
      </c>
      <c r="K1677" s="18" t="e">
        <f t="shared" ca="1" si="130"/>
        <v>#N/A</v>
      </c>
      <c r="L1677" t="e">
        <f ca="1">IF(J1677,Charms!B1677,"")</f>
        <v>#N/A</v>
      </c>
      <c r="M1677" t="str">
        <f t="shared" ca="1" si="132"/>
        <v>-</v>
      </c>
      <c r="N1677" s="18" t="str">
        <f t="shared" si="133"/>
        <v>K1622:L5000</v>
      </c>
      <c r="O1677" t="str">
        <f t="shared" si="134"/>
        <v>A1622:A1677</v>
      </c>
    </row>
    <row r="1678" spans="1:15">
      <c r="A1678" s="18">
        <f>Charms!K1678</f>
        <v>0</v>
      </c>
      <c r="B1678">
        <f>Charms!B1678</f>
        <v>0</v>
      </c>
      <c r="C1678" t="b">
        <f ca="1">OR(Values!$S$98&gt;=Charms!M1678,IFERROR(Charms!J1678=OFFSET(Values!$A$24,MATCH("S",Values!$T$25:$T$50,0),0),FALSE))</f>
        <v>1</v>
      </c>
      <c r="D1678" t="e">
        <f>VLOOKUP(Charms!J1678,Values!$A$11:$S$59,19,0)&gt;=Charms!L1678</f>
        <v>#N/A</v>
      </c>
      <c r="E1678" t="e">
        <f>OR(ISBLANK(Charms!I1678),(VLOOKUP(Values!$S$6,Castes!$B$2:$F$25,4,0)=Charms!I1678))</f>
        <v>#N/A</v>
      </c>
      <c r="J1678" t="e">
        <f t="shared" ca="1" si="131"/>
        <v>#N/A</v>
      </c>
      <c r="K1678" s="18" t="e">
        <f t="shared" ca="1" si="130"/>
        <v>#N/A</v>
      </c>
      <c r="L1678" t="e">
        <f ca="1">IF(J1678,Charms!B1678,"")</f>
        <v>#N/A</v>
      </c>
      <c r="M1678" t="str">
        <f t="shared" ca="1" si="132"/>
        <v>-</v>
      </c>
      <c r="N1678" s="18" t="str">
        <f t="shared" si="133"/>
        <v>K1622:L5000</v>
      </c>
      <c r="O1678" t="str">
        <f t="shared" si="134"/>
        <v>A1622:A1678</v>
      </c>
    </row>
    <row r="1679" spans="1:15">
      <c r="A1679" s="18">
        <f>Charms!K1679</f>
        <v>0</v>
      </c>
      <c r="B1679">
        <f>Charms!B1679</f>
        <v>0</v>
      </c>
      <c r="C1679" t="b">
        <f ca="1">OR(Values!$S$98&gt;=Charms!M1679,IFERROR(Charms!J1679=OFFSET(Values!$A$24,MATCH("S",Values!$T$25:$T$50,0),0),FALSE))</f>
        <v>1</v>
      </c>
      <c r="D1679" t="e">
        <f>VLOOKUP(Charms!J1679,Values!$A$11:$S$59,19,0)&gt;=Charms!L1679</f>
        <v>#N/A</v>
      </c>
      <c r="E1679" t="e">
        <f>OR(ISBLANK(Charms!I1679),(VLOOKUP(Values!$S$6,Castes!$B$2:$F$25,4,0)=Charms!I1679))</f>
        <v>#N/A</v>
      </c>
      <c r="J1679" t="e">
        <f t="shared" ca="1" si="131"/>
        <v>#N/A</v>
      </c>
      <c r="K1679" s="18" t="e">
        <f t="shared" ca="1" si="130"/>
        <v>#N/A</v>
      </c>
      <c r="L1679" t="e">
        <f ca="1">IF(J1679,Charms!B1679,"")</f>
        <v>#N/A</v>
      </c>
      <c r="M1679" t="str">
        <f t="shared" ca="1" si="132"/>
        <v>-</v>
      </c>
      <c r="N1679" s="18" t="str">
        <f t="shared" si="133"/>
        <v>K1622:L5000</v>
      </c>
      <c r="O1679" t="str">
        <f t="shared" si="134"/>
        <v>A1622:A1679</v>
      </c>
    </row>
    <row r="1680" spans="1:15">
      <c r="A1680" s="18">
        <f>Charms!K1680</f>
        <v>0</v>
      </c>
      <c r="B1680">
        <f>Charms!B1680</f>
        <v>0</v>
      </c>
      <c r="C1680" t="b">
        <f ca="1">OR(Values!$S$98&gt;=Charms!M1680,IFERROR(Charms!J1680=OFFSET(Values!$A$24,MATCH("S",Values!$T$25:$T$50,0),0),FALSE))</f>
        <v>1</v>
      </c>
      <c r="D1680" t="e">
        <f>VLOOKUP(Charms!J1680,Values!$A$11:$S$59,19,0)&gt;=Charms!L1680</f>
        <v>#N/A</v>
      </c>
      <c r="E1680" t="e">
        <f>OR(ISBLANK(Charms!I1680),(VLOOKUP(Values!$S$6,Castes!$B$2:$F$25,4,0)=Charms!I1680))</f>
        <v>#N/A</v>
      </c>
      <c r="J1680" t="e">
        <f t="shared" ca="1" si="131"/>
        <v>#N/A</v>
      </c>
      <c r="K1680" s="18" t="e">
        <f t="shared" ca="1" si="130"/>
        <v>#N/A</v>
      </c>
      <c r="L1680" t="e">
        <f ca="1">IF(J1680,Charms!B1680,"")</f>
        <v>#N/A</v>
      </c>
      <c r="M1680" t="str">
        <f t="shared" ca="1" si="132"/>
        <v>-</v>
      </c>
      <c r="N1680" s="18" t="str">
        <f t="shared" si="133"/>
        <v>K1622:L5000</v>
      </c>
      <c r="O1680" t="str">
        <f t="shared" si="134"/>
        <v>A1622:A1680</v>
      </c>
    </row>
    <row r="1681" spans="1:15">
      <c r="A1681" s="18">
        <f>Charms!K1681</f>
        <v>0</v>
      </c>
      <c r="B1681">
        <f>Charms!B1681</f>
        <v>0</v>
      </c>
      <c r="C1681" t="b">
        <f ca="1">OR(Values!$S$98&gt;=Charms!M1681,IFERROR(Charms!J1681=OFFSET(Values!$A$24,MATCH("S",Values!$T$25:$T$50,0),0),FALSE))</f>
        <v>1</v>
      </c>
      <c r="D1681" t="e">
        <f>VLOOKUP(Charms!J1681,Values!$A$11:$S$59,19,0)&gt;=Charms!L1681</f>
        <v>#N/A</v>
      </c>
      <c r="E1681" t="e">
        <f>OR(ISBLANK(Charms!I1681),(VLOOKUP(Values!$S$6,Castes!$B$2:$F$25,4,0)=Charms!I1681))</f>
        <v>#N/A</v>
      </c>
      <c r="J1681" t="e">
        <f t="shared" ca="1" si="131"/>
        <v>#N/A</v>
      </c>
      <c r="K1681" s="18" t="e">
        <f t="shared" ca="1" si="130"/>
        <v>#N/A</v>
      </c>
      <c r="L1681" t="e">
        <f ca="1">IF(J1681,Charms!B1681,"")</f>
        <v>#N/A</v>
      </c>
      <c r="M1681" t="str">
        <f t="shared" ca="1" si="132"/>
        <v>-</v>
      </c>
      <c r="N1681" s="18" t="str">
        <f t="shared" si="133"/>
        <v>K1622:L5000</v>
      </c>
      <c r="O1681" t="str">
        <f t="shared" si="134"/>
        <v>A1622:A1681</v>
      </c>
    </row>
    <row r="1682" spans="1:15">
      <c r="A1682" s="18">
        <f>Charms!K1682</f>
        <v>0</v>
      </c>
      <c r="B1682">
        <f>Charms!B1682</f>
        <v>0</v>
      </c>
      <c r="C1682" t="b">
        <f ca="1">OR(Values!$S$98&gt;=Charms!M1682,IFERROR(Charms!J1682=OFFSET(Values!$A$24,MATCH("S",Values!$T$25:$T$50,0),0),FALSE))</f>
        <v>1</v>
      </c>
      <c r="D1682" t="e">
        <f>VLOOKUP(Charms!J1682,Values!$A$11:$S$59,19,0)&gt;=Charms!L1682</f>
        <v>#N/A</v>
      </c>
      <c r="E1682" t="e">
        <f>OR(ISBLANK(Charms!I1682),(VLOOKUP(Values!$S$6,Castes!$B$2:$F$25,4,0)=Charms!I1682))</f>
        <v>#N/A</v>
      </c>
      <c r="J1682" t="e">
        <f t="shared" ca="1" si="131"/>
        <v>#N/A</v>
      </c>
      <c r="K1682" s="18" t="e">
        <f t="shared" ca="1" si="130"/>
        <v>#N/A</v>
      </c>
      <c r="L1682" t="e">
        <f ca="1">IF(J1682,Charms!B1682,"")</f>
        <v>#N/A</v>
      </c>
      <c r="M1682" t="str">
        <f t="shared" ca="1" si="132"/>
        <v>-</v>
      </c>
      <c r="N1682" s="18" t="str">
        <f t="shared" si="133"/>
        <v>K1622:L5000</v>
      </c>
      <c r="O1682" t="str">
        <f t="shared" si="134"/>
        <v>A1622:A1682</v>
      </c>
    </row>
    <row r="1683" spans="1:15">
      <c r="A1683" s="18">
        <f>Charms!K1683</f>
        <v>0</v>
      </c>
      <c r="B1683">
        <f>Charms!B1683</f>
        <v>0</v>
      </c>
      <c r="C1683" t="b">
        <f ca="1">OR(Values!$S$98&gt;=Charms!M1683,IFERROR(Charms!J1683=OFFSET(Values!$A$24,MATCH("S",Values!$T$25:$T$50,0),0),FALSE))</f>
        <v>1</v>
      </c>
      <c r="D1683" t="e">
        <f>VLOOKUP(Charms!J1683,Values!$A$11:$S$59,19,0)&gt;=Charms!L1683</f>
        <v>#N/A</v>
      </c>
      <c r="E1683" t="e">
        <f>OR(ISBLANK(Charms!I1683),(VLOOKUP(Values!$S$6,Castes!$B$2:$F$25,4,0)=Charms!I1683))</f>
        <v>#N/A</v>
      </c>
      <c r="J1683" t="e">
        <f t="shared" ca="1" si="131"/>
        <v>#N/A</v>
      </c>
      <c r="K1683" s="18" t="e">
        <f t="shared" ca="1" si="130"/>
        <v>#N/A</v>
      </c>
      <c r="L1683" t="e">
        <f ca="1">IF(J1683,Charms!B1683,"")</f>
        <v>#N/A</v>
      </c>
      <c r="M1683" t="str">
        <f t="shared" ca="1" si="132"/>
        <v>-</v>
      </c>
      <c r="N1683" s="18" t="str">
        <f t="shared" si="133"/>
        <v>K1622:L5000</v>
      </c>
      <c r="O1683" t="str">
        <f t="shared" si="134"/>
        <v>A1622:A1683</v>
      </c>
    </row>
    <row r="1684" spans="1:15">
      <c r="A1684" s="18">
        <f>Charms!K1684</f>
        <v>0</v>
      </c>
      <c r="B1684">
        <f>Charms!B1684</f>
        <v>0</v>
      </c>
      <c r="C1684" t="b">
        <f ca="1">OR(Values!$S$98&gt;=Charms!M1684,IFERROR(Charms!J1684=OFFSET(Values!$A$24,MATCH("S",Values!$T$25:$T$50,0),0),FALSE))</f>
        <v>1</v>
      </c>
      <c r="D1684" t="e">
        <f>VLOOKUP(Charms!J1684,Values!$A$11:$S$59,19,0)&gt;=Charms!L1684</f>
        <v>#N/A</v>
      </c>
      <c r="E1684" t="e">
        <f>OR(ISBLANK(Charms!I1684),(VLOOKUP(Values!$S$6,Castes!$B$2:$F$25,4,0)=Charms!I1684))</f>
        <v>#N/A</v>
      </c>
      <c r="J1684" t="e">
        <f t="shared" ca="1" si="131"/>
        <v>#N/A</v>
      </c>
      <c r="K1684" s="18" t="e">
        <f t="shared" ca="1" si="130"/>
        <v>#N/A</v>
      </c>
      <c r="L1684" t="e">
        <f ca="1">IF(J1684,Charms!B1684,"")</f>
        <v>#N/A</v>
      </c>
      <c r="M1684" t="str">
        <f t="shared" ca="1" si="132"/>
        <v>-</v>
      </c>
      <c r="N1684" s="18" t="str">
        <f t="shared" si="133"/>
        <v>K1622:L5000</v>
      </c>
      <c r="O1684" t="str">
        <f t="shared" si="134"/>
        <v>A1622:A1684</v>
      </c>
    </row>
    <row r="1685" spans="1:15">
      <c r="A1685" s="18">
        <f>Charms!K1685</f>
        <v>0</v>
      </c>
      <c r="B1685">
        <f>Charms!B1685</f>
        <v>0</v>
      </c>
      <c r="C1685" t="b">
        <f ca="1">OR(Values!$S$98&gt;=Charms!M1685,IFERROR(Charms!J1685=OFFSET(Values!$A$24,MATCH("S",Values!$T$25:$T$50,0),0),FALSE))</f>
        <v>1</v>
      </c>
      <c r="D1685" t="e">
        <f>VLOOKUP(Charms!J1685,Values!$A$11:$S$59,19,0)&gt;=Charms!L1685</f>
        <v>#N/A</v>
      </c>
      <c r="E1685" t="e">
        <f>OR(ISBLANK(Charms!I1685),(VLOOKUP(Values!$S$6,Castes!$B$2:$F$25,4,0)=Charms!I1685))</f>
        <v>#N/A</v>
      </c>
      <c r="J1685" t="e">
        <f t="shared" ca="1" si="131"/>
        <v>#N/A</v>
      </c>
      <c r="K1685" s="18" t="e">
        <f t="shared" ca="1" si="130"/>
        <v>#N/A</v>
      </c>
      <c r="L1685" t="e">
        <f ca="1">IF(J1685,Charms!B1685,"")</f>
        <v>#N/A</v>
      </c>
      <c r="M1685" t="str">
        <f t="shared" ca="1" si="132"/>
        <v>-</v>
      </c>
      <c r="N1685" s="18" t="str">
        <f t="shared" si="133"/>
        <v>K1622:L5000</v>
      </c>
      <c r="O1685" t="str">
        <f t="shared" si="134"/>
        <v>A1622:A1685</v>
      </c>
    </row>
    <row r="1686" spans="1:15">
      <c r="A1686" s="18">
        <f>Charms!K1686</f>
        <v>0</v>
      </c>
      <c r="B1686">
        <f>Charms!B1686</f>
        <v>0</v>
      </c>
      <c r="C1686" t="b">
        <f ca="1">OR(Values!$S$98&gt;=Charms!M1686,IFERROR(Charms!J1686=OFFSET(Values!$A$24,MATCH("S",Values!$T$25:$T$50,0),0),FALSE))</f>
        <v>1</v>
      </c>
      <c r="D1686" t="e">
        <f>VLOOKUP(Charms!J1686,Values!$A$11:$S$59,19,0)&gt;=Charms!L1686</f>
        <v>#N/A</v>
      </c>
      <c r="E1686" t="e">
        <f>OR(ISBLANK(Charms!I1686),(VLOOKUP(Values!$S$6,Castes!$B$2:$F$25,4,0)=Charms!I1686))</f>
        <v>#N/A</v>
      </c>
      <c r="J1686" t="e">
        <f t="shared" ca="1" si="131"/>
        <v>#N/A</v>
      </c>
      <c r="K1686" s="18" t="e">
        <f t="shared" ca="1" si="130"/>
        <v>#N/A</v>
      </c>
      <c r="L1686" t="e">
        <f ca="1">IF(J1686,Charms!B1686,"")</f>
        <v>#N/A</v>
      </c>
      <c r="M1686" t="str">
        <f t="shared" ca="1" si="132"/>
        <v>-</v>
      </c>
      <c r="N1686" s="18" t="str">
        <f t="shared" si="133"/>
        <v>K1622:L5000</v>
      </c>
      <c r="O1686" t="str">
        <f t="shared" si="134"/>
        <v>A1622:A1686</v>
      </c>
    </row>
    <row r="1687" spans="1:15">
      <c r="A1687" s="18">
        <f>Charms!K1687</f>
        <v>0</v>
      </c>
      <c r="B1687">
        <f>Charms!B1687</f>
        <v>0</v>
      </c>
      <c r="C1687" t="b">
        <f ca="1">OR(Values!$S$98&gt;=Charms!M1687,IFERROR(Charms!J1687=OFFSET(Values!$A$24,MATCH("S",Values!$T$25:$T$50,0),0),FALSE))</f>
        <v>1</v>
      </c>
      <c r="D1687" t="e">
        <f>VLOOKUP(Charms!J1687,Values!$A$11:$S$59,19,0)&gt;=Charms!L1687</f>
        <v>#N/A</v>
      </c>
      <c r="E1687" t="e">
        <f>OR(ISBLANK(Charms!I1687),(VLOOKUP(Values!$S$6,Castes!$B$2:$F$25,4,0)=Charms!I1687))</f>
        <v>#N/A</v>
      </c>
      <c r="J1687" t="e">
        <f t="shared" ca="1" si="131"/>
        <v>#N/A</v>
      </c>
      <c r="K1687" s="18" t="e">
        <f t="shared" ca="1" si="130"/>
        <v>#N/A</v>
      </c>
      <c r="L1687" t="e">
        <f ca="1">IF(J1687,Charms!B1687,"")</f>
        <v>#N/A</v>
      </c>
      <c r="M1687" t="str">
        <f t="shared" ca="1" si="132"/>
        <v>-</v>
      </c>
      <c r="N1687" s="18" t="str">
        <f t="shared" si="133"/>
        <v>K1622:L5000</v>
      </c>
      <c r="O1687" t="str">
        <f t="shared" si="134"/>
        <v>A1622:A1687</v>
      </c>
    </row>
    <row r="1688" spans="1:15">
      <c r="A1688" s="18">
        <f>Charms!K1688</f>
        <v>0</v>
      </c>
      <c r="B1688">
        <f>Charms!B1688</f>
        <v>0</v>
      </c>
      <c r="C1688" t="b">
        <f ca="1">OR(Values!$S$98&gt;=Charms!M1688,IFERROR(Charms!J1688=OFFSET(Values!$A$24,MATCH("S",Values!$T$25:$T$50,0),0),FALSE))</f>
        <v>1</v>
      </c>
      <c r="D1688" t="e">
        <f>VLOOKUP(Charms!J1688,Values!$A$11:$S$59,19,0)&gt;=Charms!L1688</f>
        <v>#N/A</v>
      </c>
      <c r="E1688" t="e">
        <f>OR(ISBLANK(Charms!I1688),(VLOOKUP(Values!$S$6,Castes!$B$2:$F$25,4,0)=Charms!I1688))</f>
        <v>#N/A</v>
      </c>
      <c r="J1688" t="e">
        <f t="shared" ca="1" si="131"/>
        <v>#N/A</v>
      </c>
      <c r="K1688" s="18" t="e">
        <f t="shared" ca="1" si="130"/>
        <v>#N/A</v>
      </c>
      <c r="L1688" t="e">
        <f ca="1">IF(J1688,Charms!B1688,"")</f>
        <v>#N/A</v>
      </c>
      <c r="M1688" t="str">
        <f t="shared" ca="1" si="132"/>
        <v>-</v>
      </c>
      <c r="N1688" s="18" t="str">
        <f t="shared" si="133"/>
        <v>K1622:L5000</v>
      </c>
      <c r="O1688" t="str">
        <f t="shared" si="134"/>
        <v>A1622:A1688</v>
      </c>
    </row>
    <row r="1689" spans="1:15">
      <c r="A1689" s="18">
        <f>Charms!K1689</f>
        <v>0</v>
      </c>
      <c r="B1689">
        <f>Charms!B1689</f>
        <v>0</v>
      </c>
      <c r="C1689" t="b">
        <f ca="1">OR(Values!$S$98&gt;=Charms!M1689,IFERROR(Charms!J1689=OFFSET(Values!$A$24,MATCH("S",Values!$T$25:$T$50,0),0),FALSE))</f>
        <v>1</v>
      </c>
      <c r="D1689" t="e">
        <f>VLOOKUP(Charms!J1689,Values!$A$11:$S$59,19,0)&gt;=Charms!L1689</f>
        <v>#N/A</v>
      </c>
      <c r="E1689" t="e">
        <f>OR(ISBLANK(Charms!I1689),(VLOOKUP(Values!$S$6,Castes!$B$2:$F$25,4,0)=Charms!I1689))</f>
        <v>#N/A</v>
      </c>
      <c r="J1689" t="e">
        <f t="shared" ca="1" si="131"/>
        <v>#N/A</v>
      </c>
      <c r="K1689" s="18" t="e">
        <f t="shared" ca="1" si="130"/>
        <v>#N/A</v>
      </c>
      <c r="L1689" t="e">
        <f ca="1">IF(J1689,Charms!B1689,"")</f>
        <v>#N/A</v>
      </c>
      <c r="M1689" t="str">
        <f t="shared" ca="1" si="132"/>
        <v>-</v>
      </c>
      <c r="N1689" s="18" t="str">
        <f t="shared" si="133"/>
        <v>K1622:L5000</v>
      </c>
      <c r="O1689" t="str">
        <f t="shared" si="134"/>
        <v>A1622:A1689</v>
      </c>
    </row>
    <row r="1690" spans="1:15">
      <c r="A1690" s="18">
        <f>Charms!K1690</f>
        <v>0</v>
      </c>
      <c r="B1690">
        <f>Charms!B1690</f>
        <v>0</v>
      </c>
      <c r="C1690" t="b">
        <f ca="1">OR(Values!$S$98&gt;=Charms!M1690,IFERROR(Charms!J1690=OFFSET(Values!$A$24,MATCH("S",Values!$T$25:$T$50,0),0),FALSE))</f>
        <v>1</v>
      </c>
      <c r="D1690" t="e">
        <f>VLOOKUP(Charms!J1690,Values!$A$11:$S$59,19,0)&gt;=Charms!L1690</f>
        <v>#N/A</v>
      </c>
      <c r="E1690" t="e">
        <f>OR(ISBLANK(Charms!I1690),(VLOOKUP(Values!$S$6,Castes!$B$2:$F$25,4,0)=Charms!I1690))</f>
        <v>#N/A</v>
      </c>
      <c r="J1690" t="e">
        <f t="shared" ca="1" si="131"/>
        <v>#N/A</v>
      </c>
      <c r="K1690" s="18" t="e">
        <f t="shared" ca="1" si="130"/>
        <v>#N/A</v>
      </c>
      <c r="L1690" t="e">
        <f ca="1">IF(J1690,Charms!B1690,"")</f>
        <v>#N/A</v>
      </c>
      <c r="M1690" t="str">
        <f t="shared" ca="1" si="132"/>
        <v>-</v>
      </c>
      <c r="N1690" s="18" t="str">
        <f t="shared" si="133"/>
        <v>K1622:L5000</v>
      </c>
      <c r="O1690" t="str">
        <f t="shared" si="134"/>
        <v>A1622:A1690</v>
      </c>
    </row>
    <row r="1691" spans="1:15">
      <c r="A1691" s="18">
        <f>Charms!K1691</f>
        <v>0</v>
      </c>
      <c r="B1691">
        <f>Charms!B1691</f>
        <v>0</v>
      </c>
      <c r="C1691" t="b">
        <f ca="1">OR(Values!$S$98&gt;=Charms!M1691,IFERROR(Charms!J1691=OFFSET(Values!$A$24,MATCH("S",Values!$T$25:$T$50,0),0),FALSE))</f>
        <v>1</v>
      </c>
      <c r="D1691" t="e">
        <f>VLOOKUP(Charms!J1691,Values!$A$11:$S$59,19,0)&gt;=Charms!L1691</f>
        <v>#N/A</v>
      </c>
      <c r="E1691" t="e">
        <f>OR(ISBLANK(Charms!I1691),(VLOOKUP(Values!$S$6,Castes!$B$2:$F$25,4,0)=Charms!I1691))</f>
        <v>#N/A</v>
      </c>
      <c r="J1691" t="e">
        <f t="shared" ca="1" si="131"/>
        <v>#N/A</v>
      </c>
      <c r="K1691" s="18" t="e">
        <f t="shared" ca="1" si="130"/>
        <v>#N/A</v>
      </c>
      <c r="L1691" t="e">
        <f ca="1">IF(J1691,Charms!B1691,"")</f>
        <v>#N/A</v>
      </c>
      <c r="M1691" t="str">
        <f t="shared" ca="1" si="132"/>
        <v>-</v>
      </c>
      <c r="N1691" s="18" t="str">
        <f t="shared" si="133"/>
        <v>K1622:L5000</v>
      </c>
      <c r="O1691" t="str">
        <f t="shared" si="134"/>
        <v>A1622:A1691</v>
      </c>
    </row>
    <row r="1692" spans="1:15">
      <c r="A1692" s="18">
        <f>Charms!K1692</f>
        <v>0</v>
      </c>
      <c r="B1692">
        <f>Charms!B1692</f>
        <v>0</v>
      </c>
      <c r="C1692" t="b">
        <f ca="1">OR(Values!$S$98&gt;=Charms!M1692,IFERROR(Charms!J1692=OFFSET(Values!$A$24,MATCH("S",Values!$T$25:$T$50,0),0),FALSE))</f>
        <v>1</v>
      </c>
      <c r="D1692" t="e">
        <f>VLOOKUP(Charms!J1692,Values!$A$11:$S$59,19,0)&gt;=Charms!L1692</f>
        <v>#N/A</v>
      </c>
      <c r="E1692" t="e">
        <f>OR(ISBLANK(Charms!I1692),(VLOOKUP(Values!$S$6,Castes!$B$2:$F$25,4,0)=Charms!I1692))</f>
        <v>#N/A</v>
      </c>
      <c r="J1692" t="e">
        <f t="shared" ca="1" si="131"/>
        <v>#N/A</v>
      </c>
      <c r="K1692" s="18" t="e">
        <f t="shared" ca="1" si="130"/>
        <v>#N/A</v>
      </c>
      <c r="L1692" t="e">
        <f ca="1">IF(J1692,Charms!B1692,"")</f>
        <v>#N/A</v>
      </c>
      <c r="M1692" t="str">
        <f t="shared" ca="1" si="132"/>
        <v>-</v>
      </c>
      <c r="N1692" s="18" t="str">
        <f t="shared" si="133"/>
        <v>K1622:L5000</v>
      </c>
      <c r="O1692" t="str">
        <f t="shared" si="134"/>
        <v>A1622:A1692</v>
      </c>
    </row>
    <row r="1693" spans="1:15">
      <c r="A1693" s="18">
        <f>Charms!K1693</f>
        <v>0</v>
      </c>
      <c r="B1693">
        <f>Charms!B1693</f>
        <v>0</v>
      </c>
      <c r="C1693" t="b">
        <f ca="1">OR(Values!$S$98&gt;=Charms!M1693,IFERROR(Charms!J1693=OFFSET(Values!$A$24,MATCH("S",Values!$T$25:$T$50,0),0),FALSE))</f>
        <v>1</v>
      </c>
      <c r="D1693" t="e">
        <f>VLOOKUP(Charms!J1693,Values!$A$11:$S$59,19,0)&gt;=Charms!L1693</f>
        <v>#N/A</v>
      </c>
      <c r="E1693" t="e">
        <f>OR(ISBLANK(Charms!I1693),(VLOOKUP(Values!$S$6,Castes!$B$2:$F$25,4,0)=Charms!I1693))</f>
        <v>#N/A</v>
      </c>
      <c r="J1693" t="e">
        <f t="shared" ca="1" si="131"/>
        <v>#N/A</v>
      </c>
      <c r="K1693" s="18" t="e">
        <f t="shared" ca="1" si="130"/>
        <v>#N/A</v>
      </c>
      <c r="L1693" t="e">
        <f ca="1">IF(J1693,Charms!B1693,"")</f>
        <v>#N/A</v>
      </c>
      <c r="M1693" t="str">
        <f t="shared" ca="1" si="132"/>
        <v>-</v>
      </c>
      <c r="N1693" s="18" t="str">
        <f t="shared" si="133"/>
        <v>K1622:L5000</v>
      </c>
      <c r="O1693" t="str">
        <f t="shared" si="134"/>
        <v>A1622:A1693</v>
      </c>
    </row>
    <row r="1694" spans="1:15">
      <c r="A1694" s="18">
        <f>Charms!K1694</f>
        <v>0</v>
      </c>
      <c r="B1694">
        <f>Charms!B1694</f>
        <v>0</v>
      </c>
      <c r="C1694" t="b">
        <f ca="1">OR(Values!$S$98&gt;=Charms!M1694,IFERROR(Charms!J1694=OFFSET(Values!$A$24,MATCH("S",Values!$T$25:$T$50,0),0),FALSE))</f>
        <v>1</v>
      </c>
      <c r="D1694" t="e">
        <f>VLOOKUP(Charms!J1694,Values!$A$11:$S$59,19,0)&gt;=Charms!L1694</f>
        <v>#N/A</v>
      </c>
      <c r="E1694" t="e">
        <f>OR(ISBLANK(Charms!I1694),(VLOOKUP(Values!$S$6,Castes!$B$2:$F$25,4,0)=Charms!I1694))</f>
        <v>#N/A</v>
      </c>
      <c r="J1694" t="e">
        <f t="shared" ca="1" si="131"/>
        <v>#N/A</v>
      </c>
      <c r="K1694" s="18" t="e">
        <f t="shared" ca="1" si="130"/>
        <v>#N/A</v>
      </c>
      <c r="L1694" t="e">
        <f ca="1">IF(J1694,Charms!B1694,"")</f>
        <v>#N/A</v>
      </c>
      <c r="M1694" t="str">
        <f t="shared" ca="1" si="132"/>
        <v>-</v>
      </c>
      <c r="N1694" s="18" t="str">
        <f t="shared" si="133"/>
        <v>K1622:L5000</v>
      </c>
      <c r="O1694" t="str">
        <f t="shared" si="134"/>
        <v>A1622:A1694</v>
      </c>
    </row>
    <row r="1695" spans="1:15">
      <c r="A1695" s="18">
        <f>Charms!K1695</f>
        <v>0</v>
      </c>
      <c r="B1695">
        <f>Charms!B1695</f>
        <v>0</v>
      </c>
      <c r="C1695" t="b">
        <f ca="1">OR(Values!$S$98&gt;=Charms!M1695,IFERROR(Charms!J1695=OFFSET(Values!$A$24,MATCH("S",Values!$T$25:$T$50,0),0),FALSE))</f>
        <v>1</v>
      </c>
      <c r="D1695" t="e">
        <f>VLOOKUP(Charms!J1695,Values!$A$11:$S$59,19,0)&gt;=Charms!L1695</f>
        <v>#N/A</v>
      </c>
      <c r="E1695" t="e">
        <f>OR(ISBLANK(Charms!I1695),(VLOOKUP(Values!$S$6,Castes!$B$2:$F$25,4,0)=Charms!I1695))</f>
        <v>#N/A</v>
      </c>
      <c r="J1695" t="e">
        <f t="shared" ca="1" si="131"/>
        <v>#N/A</v>
      </c>
      <c r="K1695" s="18" t="e">
        <f t="shared" ca="1" si="130"/>
        <v>#N/A</v>
      </c>
      <c r="L1695" t="e">
        <f ca="1">IF(J1695,Charms!B1695,"")</f>
        <v>#N/A</v>
      </c>
      <c r="M1695" t="str">
        <f t="shared" ca="1" si="132"/>
        <v>-</v>
      </c>
      <c r="N1695" s="18" t="str">
        <f t="shared" si="133"/>
        <v>K1622:L5000</v>
      </c>
      <c r="O1695" t="str">
        <f t="shared" si="134"/>
        <v>A1622:A1695</v>
      </c>
    </row>
    <row r="1696" spans="1:15">
      <c r="A1696" s="18">
        <f>Charms!K1696</f>
        <v>0</v>
      </c>
      <c r="B1696">
        <f>Charms!B1696</f>
        <v>0</v>
      </c>
      <c r="C1696" t="b">
        <f ca="1">OR(Values!$S$98&gt;=Charms!M1696,IFERROR(Charms!J1696=OFFSET(Values!$A$24,MATCH("S",Values!$T$25:$T$50,0),0),FALSE))</f>
        <v>1</v>
      </c>
      <c r="D1696" t="e">
        <f>VLOOKUP(Charms!J1696,Values!$A$11:$S$59,19,0)&gt;=Charms!L1696</f>
        <v>#N/A</v>
      </c>
      <c r="E1696" t="e">
        <f>OR(ISBLANK(Charms!I1696),(VLOOKUP(Values!$S$6,Castes!$B$2:$F$25,4,0)=Charms!I1696))</f>
        <v>#N/A</v>
      </c>
      <c r="J1696" t="e">
        <f t="shared" ca="1" si="131"/>
        <v>#N/A</v>
      </c>
      <c r="K1696" s="18" t="e">
        <f t="shared" ca="1" si="130"/>
        <v>#N/A</v>
      </c>
      <c r="L1696" t="e">
        <f ca="1">IF(J1696,Charms!B1696,"")</f>
        <v>#N/A</v>
      </c>
      <c r="M1696" t="str">
        <f t="shared" ca="1" si="132"/>
        <v>-</v>
      </c>
      <c r="N1696" s="18" t="str">
        <f t="shared" si="133"/>
        <v>K1622:L5000</v>
      </c>
      <c r="O1696" t="str">
        <f t="shared" si="134"/>
        <v>A1622:A1696</v>
      </c>
    </row>
    <row r="1697" spans="1:15">
      <c r="A1697" s="18">
        <f>Charms!K1697</f>
        <v>0</v>
      </c>
      <c r="B1697">
        <f>Charms!B1697</f>
        <v>0</v>
      </c>
      <c r="C1697" t="b">
        <f ca="1">OR(Values!$S$98&gt;=Charms!M1697,IFERROR(Charms!J1697=OFFSET(Values!$A$24,MATCH("S",Values!$T$25:$T$50,0),0),FALSE))</f>
        <v>1</v>
      </c>
      <c r="D1697" t="e">
        <f>VLOOKUP(Charms!J1697,Values!$A$11:$S$59,19,0)&gt;=Charms!L1697</f>
        <v>#N/A</v>
      </c>
      <c r="E1697" t="e">
        <f>OR(ISBLANK(Charms!I1697),(VLOOKUP(Values!$S$6,Castes!$B$2:$F$25,4,0)=Charms!I1697))</f>
        <v>#N/A</v>
      </c>
      <c r="J1697" t="e">
        <f t="shared" ca="1" si="131"/>
        <v>#N/A</v>
      </c>
      <c r="K1697" s="18" t="e">
        <f t="shared" ca="1" si="130"/>
        <v>#N/A</v>
      </c>
      <c r="L1697" t="e">
        <f ca="1">IF(J1697,Charms!B1697,"")</f>
        <v>#N/A</v>
      </c>
      <c r="M1697" t="str">
        <f t="shared" ca="1" si="132"/>
        <v>-</v>
      </c>
      <c r="N1697" s="18" t="str">
        <f t="shared" si="133"/>
        <v>K1622:L5000</v>
      </c>
      <c r="O1697" t="str">
        <f t="shared" si="134"/>
        <v>A1622:A1697</v>
      </c>
    </row>
    <row r="1698" spans="1:15">
      <c r="A1698" s="18">
        <f>Charms!K1698</f>
        <v>0</v>
      </c>
      <c r="B1698">
        <f>Charms!B1698</f>
        <v>0</v>
      </c>
      <c r="C1698" t="b">
        <f ca="1">OR(Values!$S$98&gt;=Charms!M1698,IFERROR(Charms!J1698=OFFSET(Values!$A$24,MATCH("S",Values!$T$25:$T$50,0),0),FALSE))</f>
        <v>1</v>
      </c>
      <c r="D1698" t="e">
        <f>VLOOKUP(Charms!J1698,Values!$A$11:$S$59,19,0)&gt;=Charms!L1698</f>
        <v>#N/A</v>
      </c>
      <c r="E1698" t="e">
        <f>OR(ISBLANK(Charms!I1698),(VLOOKUP(Values!$S$6,Castes!$B$2:$F$25,4,0)=Charms!I1698))</f>
        <v>#N/A</v>
      </c>
      <c r="J1698" t="e">
        <f t="shared" ca="1" si="131"/>
        <v>#N/A</v>
      </c>
      <c r="K1698" s="18" t="e">
        <f t="shared" ca="1" si="130"/>
        <v>#N/A</v>
      </c>
      <c r="L1698" t="e">
        <f ca="1">IF(J1698,Charms!B1698,"")</f>
        <v>#N/A</v>
      </c>
      <c r="M1698" t="str">
        <f t="shared" ca="1" si="132"/>
        <v>-</v>
      </c>
      <c r="N1698" s="18" t="str">
        <f t="shared" si="133"/>
        <v>K1622:L5000</v>
      </c>
      <c r="O1698" t="str">
        <f t="shared" si="134"/>
        <v>A1622:A1698</v>
      </c>
    </row>
    <row r="1699" spans="1:15">
      <c r="A1699" s="18">
        <f>Charms!K1699</f>
        <v>0</v>
      </c>
      <c r="B1699">
        <f>Charms!B1699</f>
        <v>0</v>
      </c>
      <c r="C1699" t="b">
        <f ca="1">OR(Values!$S$98&gt;=Charms!M1699,IFERROR(Charms!J1699=OFFSET(Values!$A$24,MATCH("S",Values!$T$25:$T$50,0),0),FALSE))</f>
        <v>1</v>
      </c>
      <c r="D1699" t="e">
        <f>VLOOKUP(Charms!J1699,Values!$A$11:$S$59,19,0)&gt;=Charms!L1699</f>
        <v>#N/A</v>
      </c>
      <c r="E1699" t="e">
        <f>OR(ISBLANK(Charms!I1699),(VLOOKUP(Values!$S$6,Castes!$B$2:$F$25,4,0)=Charms!I1699))</f>
        <v>#N/A</v>
      </c>
      <c r="J1699" t="e">
        <f t="shared" ca="1" si="131"/>
        <v>#N/A</v>
      </c>
      <c r="K1699" s="18" t="e">
        <f t="shared" ca="1" si="130"/>
        <v>#N/A</v>
      </c>
      <c r="L1699" t="e">
        <f ca="1">IF(J1699,Charms!B1699,"")</f>
        <v>#N/A</v>
      </c>
      <c r="M1699" t="str">
        <f t="shared" ca="1" si="132"/>
        <v>-</v>
      </c>
      <c r="N1699" s="18" t="str">
        <f t="shared" si="133"/>
        <v>K1622:L5000</v>
      </c>
      <c r="O1699" t="str">
        <f t="shared" si="134"/>
        <v>A1622:A1699</v>
      </c>
    </row>
    <row r="1700" spans="1:15">
      <c r="A1700" s="18">
        <f>Charms!K1700</f>
        <v>0</v>
      </c>
      <c r="B1700">
        <f>Charms!B1700</f>
        <v>0</v>
      </c>
      <c r="C1700" t="b">
        <f ca="1">OR(Values!$S$98&gt;=Charms!M1700,IFERROR(Charms!J1700=OFFSET(Values!$A$24,MATCH("S",Values!$T$25:$T$50,0),0),FALSE))</f>
        <v>1</v>
      </c>
      <c r="D1700" t="e">
        <f>VLOOKUP(Charms!J1700,Values!$A$11:$S$59,19,0)&gt;=Charms!L1700</f>
        <v>#N/A</v>
      </c>
      <c r="E1700" t="e">
        <f>OR(ISBLANK(Charms!I1700),(VLOOKUP(Values!$S$6,Castes!$B$2:$F$25,4,0)=Charms!I1700))</f>
        <v>#N/A</v>
      </c>
      <c r="J1700" t="e">
        <f t="shared" ca="1" si="131"/>
        <v>#N/A</v>
      </c>
      <c r="K1700" s="18" t="e">
        <f t="shared" ca="1" si="130"/>
        <v>#N/A</v>
      </c>
      <c r="L1700" t="e">
        <f ca="1">IF(J1700,Charms!B1700,"")</f>
        <v>#N/A</v>
      </c>
      <c r="M1700" t="str">
        <f t="shared" ca="1" si="132"/>
        <v>-</v>
      </c>
      <c r="N1700" s="18" t="str">
        <f t="shared" si="133"/>
        <v>K1622:L5000</v>
      </c>
      <c r="O1700" t="str">
        <f t="shared" si="134"/>
        <v>A1622:A1700</v>
      </c>
    </row>
    <row r="1701" spans="1:15">
      <c r="A1701" s="18">
        <f>Charms!K1701</f>
        <v>0</v>
      </c>
      <c r="B1701">
        <f>Charms!B1701</f>
        <v>0</v>
      </c>
      <c r="C1701" t="b">
        <f ca="1">OR(Values!$S$98&gt;=Charms!M1701,IFERROR(Charms!J1701=OFFSET(Values!$A$24,MATCH("S",Values!$T$25:$T$50,0),0),FALSE))</f>
        <v>1</v>
      </c>
      <c r="D1701" t="e">
        <f>VLOOKUP(Charms!J1701,Values!$A$11:$S$59,19,0)&gt;=Charms!L1701</f>
        <v>#N/A</v>
      </c>
      <c r="E1701" t="e">
        <f>OR(ISBLANK(Charms!I1701),(VLOOKUP(Values!$S$6,Castes!$B$2:$F$25,4,0)=Charms!I1701))</f>
        <v>#N/A</v>
      </c>
      <c r="J1701" t="e">
        <f t="shared" ca="1" si="131"/>
        <v>#N/A</v>
      </c>
      <c r="K1701" s="18" t="e">
        <f t="shared" ca="1" si="130"/>
        <v>#N/A</v>
      </c>
      <c r="L1701" t="e">
        <f ca="1">IF(J1701,Charms!B1701,"")</f>
        <v>#N/A</v>
      </c>
      <c r="M1701" t="str">
        <f t="shared" ca="1" si="132"/>
        <v>-</v>
      </c>
      <c r="N1701" s="18" t="str">
        <f t="shared" si="133"/>
        <v>K1622:L5000</v>
      </c>
      <c r="O1701" t="str">
        <f t="shared" si="134"/>
        <v>A1622:A1701</v>
      </c>
    </row>
    <row r="1702" spans="1:15">
      <c r="A1702" s="18">
        <f>Charms!K1702</f>
        <v>0</v>
      </c>
      <c r="B1702">
        <f>Charms!B1702</f>
        <v>0</v>
      </c>
      <c r="C1702" t="b">
        <f ca="1">OR(Values!$S$98&gt;=Charms!M1702,IFERROR(Charms!J1702=OFFSET(Values!$A$24,MATCH("S",Values!$T$25:$T$50,0),0),FALSE))</f>
        <v>1</v>
      </c>
      <c r="D1702" t="e">
        <f>VLOOKUP(Charms!J1702,Values!$A$11:$S$59,19,0)&gt;=Charms!L1702</f>
        <v>#N/A</v>
      </c>
      <c r="E1702" t="e">
        <f>OR(ISBLANK(Charms!I1702),(VLOOKUP(Values!$S$6,Castes!$B$2:$F$25,4,0)=Charms!I1702))</f>
        <v>#N/A</v>
      </c>
      <c r="J1702" t="e">
        <f t="shared" ca="1" si="131"/>
        <v>#N/A</v>
      </c>
      <c r="K1702" s="18" t="e">
        <f t="shared" ca="1" si="130"/>
        <v>#N/A</v>
      </c>
      <c r="L1702" t="e">
        <f ca="1">IF(J1702,Charms!B1702,"")</f>
        <v>#N/A</v>
      </c>
      <c r="M1702" t="str">
        <f t="shared" ca="1" si="132"/>
        <v>-</v>
      </c>
      <c r="N1702" s="18" t="str">
        <f t="shared" si="133"/>
        <v>K1622:L5000</v>
      </c>
      <c r="O1702" t="str">
        <f t="shared" si="134"/>
        <v>A1622:A1702</v>
      </c>
    </row>
    <row r="1703" spans="1:15">
      <c r="A1703" s="18">
        <f>Charms!K1703</f>
        <v>0</v>
      </c>
      <c r="B1703">
        <f>Charms!B1703</f>
        <v>0</v>
      </c>
      <c r="C1703" t="b">
        <f ca="1">OR(Values!$S$98&gt;=Charms!M1703,IFERROR(Charms!J1703=OFFSET(Values!$A$24,MATCH("S",Values!$T$25:$T$50,0),0),FALSE))</f>
        <v>1</v>
      </c>
      <c r="D1703" t="e">
        <f>VLOOKUP(Charms!J1703,Values!$A$11:$S$59,19,0)&gt;=Charms!L1703</f>
        <v>#N/A</v>
      </c>
      <c r="E1703" t="e">
        <f>OR(ISBLANK(Charms!I1703),(VLOOKUP(Values!$S$6,Castes!$B$2:$F$25,4,0)=Charms!I1703))</f>
        <v>#N/A</v>
      </c>
      <c r="J1703" t="e">
        <f t="shared" ca="1" si="131"/>
        <v>#N/A</v>
      </c>
      <c r="K1703" s="18" t="e">
        <f t="shared" ca="1" si="130"/>
        <v>#N/A</v>
      </c>
      <c r="L1703" t="e">
        <f ca="1">IF(J1703,Charms!B1703,"")</f>
        <v>#N/A</v>
      </c>
      <c r="M1703" t="str">
        <f t="shared" ca="1" si="132"/>
        <v>-</v>
      </c>
      <c r="N1703" s="18" t="str">
        <f t="shared" si="133"/>
        <v>K1622:L5000</v>
      </c>
      <c r="O1703" t="str">
        <f t="shared" si="134"/>
        <v>A1622:A1703</v>
      </c>
    </row>
    <row r="1704" spans="1:15">
      <c r="A1704" s="18">
        <f>Charms!K1704</f>
        <v>0</v>
      </c>
      <c r="B1704">
        <f>Charms!B1704</f>
        <v>0</v>
      </c>
      <c r="C1704" t="b">
        <f ca="1">OR(Values!$S$98&gt;=Charms!M1704,IFERROR(Charms!J1704=OFFSET(Values!$A$24,MATCH("S",Values!$T$25:$T$50,0),0),FALSE))</f>
        <v>1</v>
      </c>
      <c r="D1704" t="e">
        <f>VLOOKUP(Charms!J1704,Values!$A$11:$S$59,19,0)&gt;=Charms!L1704</f>
        <v>#N/A</v>
      </c>
      <c r="E1704" t="e">
        <f>OR(ISBLANK(Charms!I1704),(VLOOKUP(Values!$S$6,Castes!$B$2:$F$25,4,0)=Charms!I1704))</f>
        <v>#N/A</v>
      </c>
      <c r="J1704" t="e">
        <f t="shared" ca="1" si="131"/>
        <v>#N/A</v>
      </c>
      <c r="K1704" s="18" t="e">
        <f t="shared" ca="1" si="130"/>
        <v>#N/A</v>
      </c>
      <c r="L1704" t="e">
        <f ca="1">IF(J1704,Charms!B1704,"")</f>
        <v>#N/A</v>
      </c>
      <c r="M1704" t="str">
        <f t="shared" ca="1" si="132"/>
        <v>-</v>
      </c>
      <c r="N1704" s="18" t="str">
        <f t="shared" si="133"/>
        <v>K1622:L5000</v>
      </c>
      <c r="O1704" t="str">
        <f t="shared" si="134"/>
        <v>A1622:A1704</v>
      </c>
    </row>
    <row r="1705" spans="1:15">
      <c r="A1705" s="18">
        <f>Charms!K1705</f>
        <v>0</v>
      </c>
      <c r="B1705">
        <f>Charms!B1705</f>
        <v>0</v>
      </c>
      <c r="C1705" t="b">
        <f ca="1">OR(Values!$S$98&gt;=Charms!M1705,IFERROR(Charms!J1705=OFFSET(Values!$A$24,MATCH("S",Values!$T$25:$T$50,0),0),FALSE))</f>
        <v>1</v>
      </c>
      <c r="D1705" t="e">
        <f>VLOOKUP(Charms!J1705,Values!$A$11:$S$59,19,0)&gt;=Charms!L1705</f>
        <v>#N/A</v>
      </c>
      <c r="E1705" t="e">
        <f>OR(ISBLANK(Charms!I1705),(VLOOKUP(Values!$S$6,Castes!$B$2:$F$25,4,0)=Charms!I1705))</f>
        <v>#N/A</v>
      </c>
      <c r="J1705" t="e">
        <f t="shared" ca="1" si="131"/>
        <v>#N/A</v>
      </c>
      <c r="K1705" s="18" t="e">
        <f t="shared" ca="1" si="130"/>
        <v>#N/A</v>
      </c>
      <c r="L1705" t="e">
        <f ca="1">IF(J1705,Charms!B1705,"")</f>
        <v>#N/A</v>
      </c>
      <c r="M1705" t="str">
        <f t="shared" ca="1" si="132"/>
        <v>-</v>
      </c>
      <c r="N1705" s="18" t="str">
        <f t="shared" si="133"/>
        <v>K1622:L5000</v>
      </c>
      <c r="O1705" t="str">
        <f t="shared" si="134"/>
        <v>A1622:A1705</v>
      </c>
    </row>
    <row r="1706" spans="1:15">
      <c r="A1706" s="18">
        <f>Charms!K1706</f>
        <v>0</v>
      </c>
      <c r="B1706">
        <f>Charms!B1706</f>
        <v>0</v>
      </c>
      <c r="C1706" t="b">
        <f ca="1">OR(Values!$S$98&gt;=Charms!M1706,IFERROR(Charms!J1706=OFFSET(Values!$A$24,MATCH("S",Values!$T$25:$T$50,0),0),FALSE))</f>
        <v>1</v>
      </c>
      <c r="D1706" t="e">
        <f>VLOOKUP(Charms!J1706,Values!$A$11:$S$59,19,0)&gt;=Charms!L1706</f>
        <v>#N/A</v>
      </c>
      <c r="E1706" t="e">
        <f>OR(ISBLANK(Charms!I1706),(VLOOKUP(Values!$S$6,Castes!$B$2:$F$25,4,0)=Charms!I1706))</f>
        <v>#N/A</v>
      </c>
      <c r="J1706" t="e">
        <f t="shared" ca="1" si="131"/>
        <v>#N/A</v>
      </c>
      <c r="K1706" s="18" t="e">
        <f t="shared" ca="1" si="130"/>
        <v>#N/A</v>
      </c>
      <c r="L1706" t="e">
        <f ca="1">IF(J1706,Charms!B1706,"")</f>
        <v>#N/A</v>
      </c>
      <c r="M1706" t="str">
        <f t="shared" ca="1" si="132"/>
        <v>-</v>
      </c>
      <c r="N1706" s="18" t="str">
        <f t="shared" si="133"/>
        <v>K1622:L5000</v>
      </c>
      <c r="O1706" t="str">
        <f t="shared" si="134"/>
        <v>A1622:A1706</v>
      </c>
    </row>
    <row r="1707" spans="1:15">
      <c r="A1707" s="18">
        <f>Charms!K1707</f>
        <v>0</v>
      </c>
      <c r="B1707">
        <f>Charms!B1707</f>
        <v>0</v>
      </c>
      <c r="C1707" t="b">
        <f ca="1">OR(Values!$S$98&gt;=Charms!M1707,IFERROR(Charms!J1707=OFFSET(Values!$A$24,MATCH("S",Values!$T$25:$T$50,0),0),FALSE))</f>
        <v>1</v>
      </c>
      <c r="D1707" t="e">
        <f>VLOOKUP(Charms!J1707,Values!$A$11:$S$59,19,0)&gt;=Charms!L1707</f>
        <v>#N/A</v>
      </c>
      <c r="E1707" t="e">
        <f>OR(ISBLANK(Charms!I1707),(VLOOKUP(Values!$S$6,Castes!$B$2:$F$25,4,0)=Charms!I1707))</f>
        <v>#N/A</v>
      </c>
      <c r="J1707" t="e">
        <f t="shared" ca="1" si="131"/>
        <v>#N/A</v>
      </c>
      <c r="K1707" s="18" t="e">
        <f t="shared" ca="1" si="130"/>
        <v>#N/A</v>
      </c>
      <c r="L1707" t="e">
        <f ca="1">IF(J1707,Charms!B1707,"")</f>
        <v>#N/A</v>
      </c>
      <c r="M1707" t="str">
        <f t="shared" ca="1" si="132"/>
        <v>-</v>
      </c>
      <c r="N1707" s="18" t="str">
        <f t="shared" si="133"/>
        <v>K1622:L5000</v>
      </c>
      <c r="O1707" t="str">
        <f t="shared" si="134"/>
        <v>A1622:A1707</v>
      </c>
    </row>
    <row r="1708" spans="1:15">
      <c r="A1708" s="18">
        <f>Charms!K1708</f>
        <v>0</v>
      </c>
      <c r="B1708">
        <f>Charms!B1708</f>
        <v>0</v>
      </c>
      <c r="C1708" t="b">
        <f ca="1">OR(Values!$S$98&gt;=Charms!M1708,IFERROR(Charms!J1708=OFFSET(Values!$A$24,MATCH("S",Values!$T$25:$T$50,0),0),FALSE))</f>
        <v>1</v>
      </c>
      <c r="D1708" t="e">
        <f>VLOOKUP(Charms!J1708,Values!$A$11:$S$59,19,0)&gt;=Charms!L1708</f>
        <v>#N/A</v>
      </c>
      <c r="E1708" t="e">
        <f>OR(ISBLANK(Charms!I1708),(VLOOKUP(Values!$S$6,Castes!$B$2:$F$25,4,0)=Charms!I1708))</f>
        <v>#N/A</v>
      </c>
      <c r="J1708" t="e">
        <f t="shared" ca="1" si="131"/>
        <v>#N/A</v>
      </c>
      <c r="K1708" s="18" t="e">
        <f t="shared" ca="1" si="130"/>
        <v>#N/A</v>
      </c>
      <c r="L1708" t="e">
        <f ca="1">IF(J1708,Charms!B1708,"")</f>
        <v>#N/A</v>
      </c>
      <c r="M1708" t="str">
        <f t="shared" ca="1" si="132"/>
        <v>-</v>
      </c>
      <c r="N1708" s="18" t="str">
        <f t="shared" si="133"/>
        <v>K1622:L5000</v>
      </c>
      <c r="O1708" t="str">
        <f t="shared" si="134"/>
        <v>A1622:A1708</v>
      </c>
    </row>
    <row r="1709" spans="1:15">
      <c r="A1709" s="18">
        <f>Charms!K1709</f>
        <v>0</v>
      </c>
      <c r="B1709">
        <f>Charms!B1709</f>
        <v>0</v>
      </c>
      <c r="C1709" t="b">
        <f ca="1">OR(Values!$S$98&gt;=Charms!M1709,IFERROR(Charms!J1709=OFFSET(Values!$A$24,MATCH("S",Values!$T$25:$T$50,0),0),FALSE))</f>
        <v>1</v>
      </c>
      <c r="D1709" t="e">
        <f>VLOOKUP(Charms!J1709,Values!$A$11:$S$59,19,0)&gt;=Charms!L1709</f>
        <v>#N/A</v>
      </c>
      <c r="E1709" t="e">
        <f>OR(ISBLANK(Charms!I1709),(VLOOKUP(Values!$S$6,Castes!$B$2:$F$25,4,0)=Charms!I1709))</f>
        <v>#N/A</v>
      </c>
      <c r="J1709" t="e">
        <f t="shared" ca="1" si="131"/>
        <v>#N/A</v>
      </c>
      <c r="K1709" s="18" t="e">
        <f t="shared" ca="1" si="130"/>
        <v>#N/A</v>
      </c>
      <c r="L1709" t="e">
        <f ca="1">IF(J1709,Charms!B1709,"")</f>
        <v>#N/A</v>
      </c>
      <c r="M1709" t="str">
        <f t="shared" ca="1" si="132"/>
        <v>-</v>
      </c>
      <c r="N1709" s="18" t="str">
        <f t="shared" si="133"/>
        <v>K1622:L5000</v>
      </c>
      <c r="O1709" t="str">
        <f t="shared" si="134"/>
        <v>A1622:A1709</v>
      </c>
    </row>
    <row r="1710" spans="1:15">
      <c r="A1710" s="18">
        <f>Charms!K1710</f>
        <v>0</v>
      </c>
      <c r="B1710">
        <f>Charms!B1710</f>
        <v>0</v>
      </c>
      <c r="C1710" t="b">
        <f ca="1">OR(Values!$S$98&gt;=Charms!M1710,IFERROR(Charms!J1710=OFFSET(Values!$A$24,MATCH("S",Values!$T$25:$T$50,0),0),FALSE))</f>
        <v>1</v>
      </c>
      <c r="D1710" t="e">
        <f>VLOOKUP(Charms!J1710,Values!$A$11:$S$59,19,0)&gt;=Charms!L1710</f>
        <v>#N/A</v>
      </c>
      <c r="E1710" t="e">
        <f>OR(ISBLANK(Charms!I1710),(VLOOKUP(Values!$S$6,Castes!$B$2:$F$25,4,0)=Charms!I1710))</f>
        <v>#N/A</v>
      </c>
      <c r="J1710" t="e">
        <f t="shared" ca="1" si="131"/>
        <v>#N/A</v>
      </c>
      <c r="K1710" s="18" t="e">
        <f t="shared" ca="1" si="130"/>
        <v>#N/A</v>
      </c>
      <c r="L1710" t="e">
        <f ca="1">IF(J1710,Charms!B1710,"")</f>
        <v>#N/A</v>
      </c>
      <c r="M1710" t="str">
        <f t="shared" ca="1" si="132"/>
        <v>-</v>
      </c>
      <c r="N1710" s="18" t="str">
        <f t="shared" si="133"/>
        <v>K1622:L5000</v>
      </c>
      <c r="O1710" t="str">
        <f t="shared" si="134"/>
        <v>A1622:A1710</v>
      </c>
    </row>
    <row r="1711" spans="1:15">
      <c r="A1711" s="18">
        <f>Charms!K1711</f>
        <v>0</v>
      </c>
      <c r="B1711">
        <f>Charms!B1711</f>
        <v>0</v>
      </c>
      <c r="C1711" t="b">
        <f ca="1">OR(Values!$S$98&gt;=Charms!M1711,IFERROR(Charms!J1711=OFFSET(Values!$A$24,MATCH("S",Values!$T$25:$T$50,0),0),FALSE))</f>
        <v>1</v>
      </c>
      <c r="D1711" t="e">
        <f>VLOOKUP(Charms!J1711,Values!$A$11:$S$59,19,0)&gt;=Charms!L1711</f>
        <v>#N/A</v>
      </c>
      <c r="E1711" t="e">
        <f>OR(ISBLANK(Charms!I1711),(VLOOKUP(Values!$S$6,Castes!$B$2:$F$25,4,0)=Charms!I1711))</f>
        <v>#N/A</v>
      </c>
      <c r="J1711" t="e">
        <f t="shared" ca="1" si="131"/>
        <v>#N/A</v>
      </c>
      <c r="K1711" s="18" t="e">
        <f t="shared" ca="1" si="130"/>
        <v>#N/A</v>
      </c>
      <c r="L1711" t="e">
        <f ca="1">IF(J1711,Charms!B1711,"")</f>
        <v>#N/A</v>
      </c>
      <c r="M1711" t="str">
        <f t="shared" ca="1" si="132"/>
        <v>-</v>
      </c>
      <c r="N1711" s="18" t="str">
        <f t="shared" si="133"/>
        <v>K1622:L5000</v>
      </c>
      <c r="O1711" t="str">
        <f t="shared" si="134"/>
        <v>A1622:A1711</v>
      </c>
    </row>
    <row r="1712" spans="1:15">
      <c r="A1712" s="18">
        <f>Charms!K1712</f>
        <v>0</v>
      </c>
      <c r="B1712">
        <f>Charms!B1712</f>
        <v>0</v>
      </c>
      <c r="C1712" t="b">
        <f ca="1">OR(Values!$S$98&gt;=Charms!M1712,IFERROR(Charms!J1712=OFFSET(Values!$A$24,MATCH("S",Values!$T$25:$T$50,0),0),FALSE))</f>
        <v>1</v>
      </c>
      <c r="D1712" t="e">
        <f>VLOOKUP(Charms!J1712,Values!$A$11:$S$59,19,0)&gt;=Charms!L1712</f>
        <v>#N/A</v>
      </c>
      <c r="E1712" t="e">
        <f>OR(ISBLANK(Charms!I1712),(VLOOKUP(Values!$S$6,Castes!$B$2:$F$25,4,0)=Charms!I1712))</f>
        <v>#N/A</v>
      </c>
      <c r="J1712" t="e">
        <f t="shared" ca="1" si="131"/>
        <v>#N/A</v>
      </c>
      <c r="K1712" s="18" t="e">
        <f t="shared" ca="1" si="130"/>
        <v>#N/A</v>
      </c>
      <c r="L1712" t="e">
        <f ca="1">IF(J1712,Charms!B1712,"")</f>
        <v>#N/A</v>
      </c>
      <c r="M1712" t="str">
        <f t="shared" ca="1" si="132"/>
        <v>-</v>
      </c>
      <c r="N1712" s="18" t="str">
        <f t="shared" si="133"/>
        <v>K1622:L5000</v>
      </c>
      <c r="O1712" t="str">
        <f t="shared" si="134"/>
        <v>A1622:A1712</v>
      </c>
    </row>
    <row r="1713" spans="1:15">
      <c r="A1713" s="18">
        <f>Charms!K1713</f>
        <v>0</v>
      </c>
      <c r="B1713">
        <f>Charms!B1713</f>
        <v>0</v>
      </c>
      <c r="C1713" t="b">
        <f ca="1">OR(Values!$S$98&gt;=Charms!M1713,IFERROR(Charms!J1713=OFFSET(Values!$A$24,MATCH("S",Values!$T$25:$T$50,0),0),FALSE))</f>
        <v>1</v>
      </c>
      <c r="D1713" t="e">
        <f>VLOOKUP(Charms!J1713,Values!$A$11:$S$59,19,0)&gt;=Charms!L1713</f>
        <v>#N/A</v>
      </c>
      <c r="E1713" t="e">
        <f>OR(ISBLANK(Charms!I1713),(VLOOKUP(Values!$S$6,Castes!$B$2:$F$25,4,0)=Charms!I1713))</f>
        <v>#N/A</v>
      </c>
      <c r="J1713" t="e">
        <f t="shared" ca="1" si="131"/>
        <v>#N/A</v>
      </c>
      <c r="K1713" s="18" t="e">
        <f t="shared" ca="1" si="130"/>
        <v>#N/A</v>
      </c>
      <c r="L1713" t="e">
        <f ca="1">IF(J1713,Charms!B1713,"")</f>
        <v>#N/A</v>
      </c>
      <c r="M1713" t="str">
        <f t="shared" ca="1" si="132"/>
        <v>-</v>
      </c>
      <c r="N1713" s="18" t="str">
        <f t="shared" si="133"/>
        <v>K1622:L5000</v>
      </c>
      <c r="O1713" t="str">
        <f t="shared" si="134"/>
        <v>A1622:A1713</v>
      </c>
    </row>
    <row r="1714" spans="1:15">
      <c r="A1714" s="18">
        <f>Charms!K1714</f>
        <v>0</v>
      </c>
      <c r="B1714">
        <f>Charms!B1714</f>
        <v>0</v>
      </c>
      <c r="C1714" t="b">
        <f ca="1">OR(Values!$S$98&gt;=Charms!M1714,IFERROR(Charms!J1714=OFFSET(Values!$A$24,MATCH("S",Values!$T$25:$T$50,0),0),FALSE))</f>
        <v>1</v>
      </c>
      <c r="D1714" t="e">
        <f>VLOOKUP(Charms!J1714,Values!$A$11:$S$59,19,0)&gt;=Charms!L1714</f>
        <v>#N/A</v>
      </c>
      <c r="E1714" t="e">
        <f>OR(ISBLANK(Charms!I1714),(VLOOKUP(Values!$S$6,Castes!$B$2:$F$25,4,0)=Charms!I1714))</f>
        <v>#N/A</v>
      </c>
      <c r="J1714" t="e">
        <f t="shared" ca="1" si="131"/>
        <v>#N/A</v>
      </c>
      <c r="K1714" s="18" t="e">
        <f t="shared" ca="1" si="130"/>
        <v>#N/A</v>
      </c>
      <c r="L1714" t="e">
        <f ca="1">IF(J1714,Charms!B1714,"")</f>
        <v>#N/A</v>
      </c>
      <c r="M1714" t="str">
        <f t="shared" ca="1" si="132"/>
        <v>-</v>
      </c>
      <c r="N1714" s="18" t="str">
        <f t="shared" si="133"/>
        <v>K1622:L5000</v>
      </c>
      <c r="O1714" t="str">
        <f t="shared" si="134"/>
        <v>A1622:A1714</v>
      </c>
    </row>
    <row r="1715" spans="1:15">
      <c r="A1715" s="18">
        <f>Charms!K1715</f>
        <v>0</v>
      </c>
      <c r="B1715">
        <f>Charms!B1715</f>
        <v>0</v>
      </c>
      <c r="C1715" t="b">
        <f ca="1">OR(Values!$S$98&gt;=Charms!M1715,IFERROR(Charms!J1715=OFFSET(Values!$A$24,MATCH("S",Values!$T$25:$T$50,0),0),FALSE))</f>
        <v>1</v>
      </c>
      <c r="D1715" t="e">
        <f>VLOOKUP(Charms!J1715,Values!$A$11:$S$59,19,0)&gt;=Charms!L1715</f>
        <v>#N/A</v>
      </c>
      <c r="E1715" t="e">
        <f>OR(ISBLANK(Charms!I1715),(VLOOKUP(Values!$S$6,Castes!$B$2:$F$25,4,0)=Charms!I1715))</f>
        <v>#N/A</v>
      </c>
      <c r="J1715" t="e">
        <f t="shared" ca="1" si="131"/>
        <v>#N/A</v>
      </c>
      <c r="K1715" s="18" t="e">
        <f t="shared" ca="1" si="130"/>
        <v>#N/A</v>
      </c>
      <c r="L1715" t="e">
        <f ca="1">IF(J1715,Charms!B1715,"")</f>
        <v>#N/A</v>
      </c>
      <c r="M1715" t="str">
        <f t="shared" ca="1" si="132"/>
        <v>-</v>
      </c>
      <c r="N1715" s="18" t="str">
        <f t="shared" si="133"/>
        <v>K1622:L5000</v>
      </c>
      <c r="O1715" t="str">
        <f t="shared" si="134"/>
        <v>A1622:A1715</v>
      </c>
    </row>
    <row r="1716" spans="1:15">
      <c r="A1716" s="18">
        <f>Charms!K1716</f>
        <v>0</v>
      </c>
      <c r="B1716">
        <f>Charms!B1716</f>
        <v>0</v>
      </c>
      <c r="C1716" t="b">
        <f ca="1">OR(Values!$S$98&gt;=Charms!M1716,IFERROR(Charms!J1716=OFFSET(Values!$A$24,MATCH("S",Values!$T$25:$T$50,0),0),FALSE))</f>
        <v>1</v>
      </c>
      <c r="D1716" t="e">
        <f>VLOOKUP(Charms!J1716,Values!$A$11:$S$59,19,0)&gt;=Charms!L1716</f>
        <v>#N/A</v>
      </c>
      <c r="E1716" t="e">
        <f>OR(ISBLANK(Charms!I1716),(VLOOKUP(Values!$S$6,Castes!$B$2:$F$25,4,0)=Charms!I1716))</f>
        <v>#N/A</v>
      </c>
      <c r="J1716" t="e">
        <f t="shared" ca="1" si="131"/>
        <v>#N/A</v>
      </c>
      <c r="K1716" s="18" t="e">
        <f t="shared" ca="1" si="130"/>
        <v>#N/A</v>
      </c>
      <c r="L1716" t="e">
        <f ca="1">IF(J1716,Charms!B1716,"")</f>
        <v>#N/A</v>
      </c>
      <c r="M1716" t="str">
        <f t="shared" ca="1" si="132"/>
        <v>-</v>
      </c>
      <c r="N1716" s="18" t="str">
        <f t="shared" si="133"/>
        <v>K1622:L5000</v>
      </c>
      <c r="O1716" t="str">
        <f t="shared" si="134"/>
        <v>A1622:A1716</v>
      </c>
    </row>
    <row r="1717" spans="1:15">
      <c r="A1717" s="18">
        <f>Charms!K1717</f>
        <v>0</v>
      </c>
      <c r="B1717">
        <f>Charms!B1717</f>
        <v>0</v>
      </c>
      <c r="C1717" t="b">
        <f ca="1">OR(Values!$S$98&gt;=Charms!M1717,IFERROR(Charms!J1717=OFFSET(Values!$A$24,MATCH("S",Values!$T$25:$T$50,0),0),FALSE))</f>
        <v>1</v>
      </c>
      <c r="D1717" t="e">
        <f>VLOOKUP(Charms!J1717,Values!$A$11:$S$59,19,0)&gt;=Charms!L1717</f>
        <v>#N/A</v>
      </c>
      <c r="E1717" t="e">
        <f>OR(ISBLANK(Charms!I1717),(VLOOKUP(Values!$S$6,Castes!$B$2:$F$25,4,0)=Charms!I1717))</f>
        <v>#N/A</v>
      </c>
      <c r="J1717" t="e">
        <f t="shared" ca="1" si="131"/>
        <v>#N/A</v>
      </c>
      <c r="K1717" s="18" t="e">
        <f t="shared" ca="1" si="130"/>
        <v>#N/A</v>
      </c>
      <c r="L1717" t="e">
        <f ca="1">IF(J1717,Charms!B1717,"")</f>
        <v>#N/A</v>
      </c>
      <c r="M1717" t="str">
        <f t="shared" ca="1" si="132"/>
        <v>-</v>
      </c>
      <c r="N1717" s="18" t="str">
        <f t="shared" si="133"/>
        <v>K1622:L5000</v>
      </c>
      <c r="O1717" t="str">
        <f t="shared" si="134"/>
        <v>A1622:A1717</v>
      </c>
    </row>
    <row r="1718" spans="1:15">
      <c r="A1718" s="18">
        <f>Charms!K1718</f>
        <v>0</v>
      </c>
      <c r="B1718">
        <f>Charms!B1718</f>
        <v>0</v>
      </c>
      <c r="C1718" t="b">
        <f ca="1">OR(Values!$S$98&gt;=Charms!M1718,IFERROR(Charms!J1718=OFFSET(Values!$A$24,MATCH("S",Values!$T$25:$T$50,0),0),FALSE))</f>
        <v>1</v>
      </c>
      <c r="D1718" t="e">
        <f>VLOOKUP(Charms!J1718,Values!$A$11:$S$59,19,0)&gt;=Charms!L1718</f>
        <v>#N/A</v>
      </c>
      <c r="E1718" t="e">
        <f>OR(ISBLANK(Charms!I1718),(VLOOKUP(Values!$S$6,Castes!$B$2:$F$25,4,0)=Charms!I1718))</f>
        <v>#N/A</v>
      </c>
      <c r="J1718" t="e">
        <f t="shared" ca="1" si="131"/>
        <v>#N/A</v>
      </c>
      <c r="K1718" s="18" t="e">
        <f t="shared" ca="1" si="130"/>
        <v>#N/A</v>
      </c>
      <c r="L1718" t="e">
        <f ca="1">IF(J1718,Charms!B1718,"")</f>
        <v>#N/A</v>
      </c>
      <c r="M1718" t="str">
        <f t="shared" ca="1" si="132"/>
        <v>-</v>
      </c>
      <c r="N1718" s="18" t="str">
        <f t="shared" si="133"/>
        <v>K1622:L5000</v>
      </c>
      <c r="O1718" t="str">
        <f t="shared" si="134"/>
        <v>A1622:A1718</v>
      </c>
    </row>
    <row r="1719" spans="1:15">
      <c r="A1719" s="18">
        <f>Charms!K1719</f>
        <v>0</v>
      </c>
      <c r="B1719">
        <f>Charms!B1719</f>
        <v>0</v>
      </c>
      <c r="C1719" t="b">
        <f ca="1">OR(Values!$S$98&gt;=Charms!M1719,IFERROR(Charms!J1719=OFFSET(Values!$A$24,MATCH("S",Values!$T$25:$T$50,0),0),FALSE))</f>
        <v>1</v>
      </c>
      <c r="D1719" t="e">
        <f>VLOOKUP(Charms!J1719,Values!$A$11:$S$59,19,0)&gt;=Charms!L1719</f>
        <v>#N/A</v>
      </c>
      <c r="E1719" t="e">
        <f>OR(ISBLANK(Charms!I1719),(VLOOKUP(Values!$S$6,Castes!$B$2:$F$25,4,0)=Charms!I1719))</f>
        <v>#N/A</v>
      </c>
      <c r="J1719" t="e">
        <f t="shared" ca="1" si="131"/>
        <v>#N/A</v>
      </c>
      <c r="K1719" s="18" t="e">
        <f t="shared" ca="1" si="130"/>
        <v>#N/A</v>
      </c>
      <c r="L1719" t="e">
        <f ca="1">IF(J1719,Charms!B1719,"")</f>
        <v>#N/A</v>
      </c>
      <c r="M1719" t="str">
        <f t="shared" ca="1" si="132"/>
        <v>-</v>
      </c>
      <c r="N1719" s="18" t="str">
        <f t="shared" si="133"/>
        <v>K1622:L5000</v>
      </c>
      <c r="O1719" t="str">
        <f t="shared" si="134"/>
        <v>A1622:A1719</v>
      </c>
    </row>
    <row r="1720" spans="1:15">
      <c r="A1720" s="18">
        <f>Charms!K1720</f>
        <v>0</v>
      </c>
      <c r="B1720">
        <f>Charms!B1720</f>
        <v>0</v>
      </c>
      <c r="C1720" t="b">
        <f ca="1">OR(Values!$S$98&gt;=Charms!M1720,IFERROR(Charms!J1720=OFFSET(Values!$A$24,MATCH("S",Values!$T$25:$T$50,0),0),FALSE))</f>
        <v>1</v>
      </c>
      <c r="D1720" t="e">
        <f>VLOOKUP(Charms!J1720,Values!$A$11:$S$59,19,0)&gt;=Charms!L1720</f>
        <v>#N/A</v>
      </c>
      <c r="E1720" t="e">
        <f>OR(ISBLANK(Charms!I1720),(VLOOKUP(Values!$S$6,Castes!$B$2:$F$25,4,0)=Charms!I1720))</f>
        <v>#N/A</v>
      </c>
      <c r="J1720" t="e">
        <f t="shared" ca="1" si="131"/>
        <v>#N/A</v>
      </c>
      <c r="K1720" s="18" t="e">
        <f t="shared" ca="1" si="130"/>
        <v>#N/A</v>
      </c>
      <c r="L1720" t="e">
        <f ca="1">IF(J1720,Charms!B1720,"")</f>
        <v>#N/A</v>
      </c>
      <c r="M1720" t="str">
        <f t="shared" ca="1" si="132"/>
        <v>-</v>
      </c>
      <c r="N1720" s="18" t="str">
        <f t="shared" si="133"/>
        <v>K1622:L5000</v>
      </c>
      <c r="O1720" t="str">
        <f t="shared" si="134"/>
        <v>A1622:A1720</v>
      </c>
    </row>
    <row r="1721" spans="1:15">
      <c r="A1721" s="18">
        <f>Charms!K1721</f>
        <v>0</v>
      </c>
      <c r="B1721">
        <f>Charms!B1721</f>
        <v>0</v>
      </c>
      <c r="C1721" t="b">
        <f ca="1">OR(Values!$S$98&gt;=Charms!M1721,IFERROR(Charms!J1721=OFFSET(Values!$A$24,MATCH("S",Values!$T$25:$T$50,0),0),FALSE))</f>
        <v>1</v>
      </c>
      <c r="D1721" t="e">
        <f>VLOOKUP(Charms!J1721,Values!$A$11:$S$59,19,0)&gt;=Charms!L1721</f>
        <v>#N/A</v>
      </c>
      <c r="E1721" t="e">
        <f>OR(ISBLANK(Charms!I1721),(VLOOKUP(Values!$S$6,Castes!$B$2:$F$25,4,0)=Charms!I1721))</f>
        <v>#N/A</v>
      </c>
      <c r="J1721" t="e">
        <f t="shared" ca="1" si="131"/>
        <v>#N/A</v>
      </c>
      <c r="K1721" s="18" t="e">
        <f t="shared" ca="1" si="130"/>
        <v>#N/A</v>
      </c>
      <c r="L1721" t="e">
        <f ca="1">IF(J1721,Charms!B1721,"")</f>
        <v>#N/A</v>
      </c>
      <c r="M1721" t="str">
        <f t="shared" ca="1" si="132"/>
        <v>-</v>
      </c>
      <c r="N1721" s="18" t="str">
        <f t="shared" si="133"/>
        <v>K1622:L5000</v>
      </c>
      <c r="O1721" t="str">
        <f t="shared" si="134"/>
        <v>A1622:A1721</v>
      </c>
    </row>
    <row r="1722" spans="1:15">
      <c r="A1722" s="18">
        <f>Charms!K1722</f>
        <v>0</v>
      </c>
      <c r="B1722">
        <f>Charms!B1722</f>
        <v>0</v>
      </c>
      <c r="C1722" t="b">
        <f ca="1">OR(Values!$S$98&gt;=Charms!M1722,IFERROR(Charms!J1722=OFFSET(Values!$A$24,MATCH("S",Values!$T$25:$T$50,0),0),FALSE))</f>
        <v>1</v>
      </c>
      <c r="D1722" t="e">
        <f>VLOOKUP(Charms!J1722,Values!$A$11:$S$59,19,0)&gt;=Charms!L1722</f>
        <v>#N/A</v>
      </c>
      <c r="E1722" t="e">
        <f>OR(ISBLANK(Charms!I1722),(VLOOKUP(Values!$S$6,Castes!$B$2:$F$25,4,0)=Charms!I1722))</f>
        <v>#N/A</v>
      </c>
      <c r="J1722" t="e">
        <f t="shared" ca="1" si="131"/>
        <v>#N/A</v>
      </c>
      <c r="K1722" s="18" t="e">
        <f t="shared" ca="1" si="130"/>
        <v>#N/A</v>
      </c>
      <c r="L1722" t="e">
        <f ca="1">IF(J1722,Charms!B1722,"")</f>
        <v>#N/A</v>
      </c>
      <c r="M1722" t="str">
        <f t="shared" ca="1" si="132"/>
        <v>-</v>
      </c>
      <c r="N1722" s="18" t="str">
        <f t="shared" si="133"/>
        <v>K1622:L5000</v>
      </c>
      <c r="O1722" t="str">
        <f t="shared" si="134"/>
        <v>A1622:A1722</v>
      </c>
    </row>
    <row r="1723" spans="1:15">
      <c r="A1723" s="18">
        <f>Charms!K1723</f>
        <v>0</v>
      </c>
      <c r="B1723">
        <f>Charms!B1723</f>
        <v>0</v>
      </c>
      <c r="C1723" t="b">
        <f ca="1">OR(Values!$S$98&gt;=Charms!M1723,IFERROR(Charms!J1723=OFFSET(Values!$A$24,MATCH("S",Values!$T$25:$T$50,0),0),FALSE))</f>
        <v>1</v>
      </c>
      <c r="D1723" t="e">
        <f>VLOOKUP(Charms!J1723,Values!$A$11:$S$59,19,0)&gt;=Charms!L1723</f>
        <v>#N/A</v>
      </c>
      <c r="E1723" t="e">
        <f>OR(ISBLANK(Charms!I1723),(VLOOKUP(Values!$S$6,Castes!$B$2:$F$25,4,0)=Charms!I1723))</f>
        <v>#N/A</v>
      </c>
      <c r="J1723" t="e">
        <f t="shared" ca="1" si="131"/>
        <v>#N/A</v>
      </c>
      <c r="K1723" s="18" t="e">
        <f t="shared" ca="1" si="130"/>
        <v>#N/A</v>
      </c>
      <c r="L1723" t="e">
        <f ca="1">IF(J1723,Charms!B1723,"")</f>
        <v>#N/A</v>
      </c>
      <c r="M1723" t="str">
        <f t="shared" ca="1" si="132"/>
        <v>-</v>
      </c>
      <c r="N1723" s="18" t="str">
        <f t="shared" si="133"/>
        <v>K1622:L5000</v>
      </c>
      <c r="O1723" t="str">
        <f t="shared" si="134"/>
        <v>A1622:A1723</v>
      </c>
    </row>
    <row r="1724" spans="1:15">
      <c r="A1724" s="18">
        <f>Charms!K1724</f>
        <v>0</v>
      </c>
      <c r="B1724">
        <f>Charms!B1724</f>
        <v>0</v>
      </c>
      <c r="C1724" t="b">
        <f ca="1">OR(Values!$S$98&gt;=Charms!M1724,IFERROR(Charms!J1724=OFFSET(Values!$A$24,MATCH("S",Values!$T$25:$T$50,0),0),FALSE))</f>
        <v>1</v>
      </c>
      <c r="D1724" t="e">
        <f>VLOOKUP(Charms!J1724,Values!$A$11:$S$59,19,0)&gt;=Charms!L1724</f>
        <v>#N/A</v>
      </c>
      <c r="E1724" t="e">
        <f>OR(ISBLANK(Charms!I1724),(VLOOKUP(Values!$S$6,Castes!$B$2:$F$25,4,0)=Charms!I1724))</f>
        <v>#N/A</v>
      </c>
      <c r="J1724" t="e">
        <f t="shared" ca="1" si="131"/>
        <v>#N/A</v>
      </c>
      <c r="K1724" s="18" t="e">
        <f t="shared" ca="1" si="130"/>
        <v>#N/A</v>
      </c>
      <c r="L1724" t="e">
        <f ca="1">IF(J1724,Charms!B1724,"")</f>
        <v>#N/A</v>
      </c>
      <c r="M1724" t="str">
        <f t="shared" ca="1" si="132"/>
        <v>-</v>
      </c>
      <c r="N1724" s="18" t="str">
        <f t="shared" si="133"/>
        <v>K1622:L5000</v>
      </c>
      <c r="O1724" t="str">
        <f t="shared" si="134"/>
        <v>A1622:A1724</v>
      </c>
    </row>
    <row r="1725" spans="1:15">
      <c r="A1725" s="18">
        <f>Charms!K1725</f>
        <v>0</v>
      </c>
      <c r="B1725">
        <f>Charms!B1725</f>
        <v>0</v>
      </c>
      <c r="C1725" t="b">
        <f ca="1">OR(Values!$S$98&gt;=Charms!M1725,IFERROR(Charms!J1725=OFFSET(Values!$A$24,MATCH("S",Values!$T$25:$T$50,0),0),FALSE))</f>
        <v>1</v>
      </c>
      <c r="D1725" t="e">
        <f>VLOOKUP(Charms!J1725,Values!$A$11:$S$59,19,0)&gt;=Charms!L1725</f>
        <v>#N/A</v>
      </c>
      <c r="E1725" t="e">
        <f>OR(ISBLANK(Charms!I1725),(VLOOKUP(Values!$S$6,Castes!$B$2:$F$25,4,0)=Charms!I1725))</f>
        <v>#N/A</v>
      </c>
      <c r="J1725" t="e">
        <f t="shared" ca="1" si="131"/>
        <v>#N/A</v>
      </c>
      <c r="K1725" s="18" t="e">
        <f t="shared" ca="1" si="130"/>
        <v>#N/A</v>
      </c>
      <c r="L1725" t="e">
        <f ca="1">IF(J1725,Charms!B1725,"")</f>
        <v>#N/A</v>
      </c>
      <c r="M1725" t="str">
        <f t="shared" ca="1" si="132"/>
        <v>-</v>
      </c>
      <c r="N1725" s="18" t="str">
        <f t="shared" si="133"/>
        <v>K1622:L5000</v>
      </c>
      <c r="O1725" t="str">
        <f t="shared" si="134"/>
        <v>A1622:A1725</v>
      </c>
    </row>
    <row r="1726" spans="1:15">
      <c r="A1726" s="18">
        <f>Charms!K1726</f>
        <v>0</v>
      </c>
      <c r="B1726">
        <f>Charms!B1726</f>
        <v>0</v>
      </c>
      <c r="C1726" t="b">
        <f ca="1">OR(Values!$S$98&gt;=Charms!M1726,IFERROR(Charms!J1726=OFFSET(Values!$A$24,MATCH("S",Values!$T$25:$T$50,0),0),FALSE))</f>
        <v>1</v>
      </c>
      <c r="D1726" t="e">
        <f>VLOOKUP(Charms!J1726,Values!$A$11:$S$59,19,0)&gt;=Charms!L1726</f>
        <v>#N/A</v>
      </c>
      <c r="E1726" t="e">
        <f>OR(ISBLANK(Charms!I1726),(VLOOKUP(Values!$S$6,Castes!$B$2:$F$25,4,0)=Charms!I1726))</f>
        <v>#N/A</v>
      </c>
      <c r="J1726" t="e">
        <f t="shared" ca="1" si="131"/>
        <v>#N/A</v>
      </c>
      <c r="K1726" s="18" t="e">
        <f t="shared" ca="1" si="130"/>
        <v>#N/A</v>
      </c>
      <c r="L1726" t="e">
        <f ca="1">IF(J1726,Charms!B1726,"")</f>
        <v>#N/A</v>
      </c>
      <c r="M1726" t="str">
        <f t="shared" ca="1" si="132"/>
        <v>-</v>
      </c>
      <c r="N1726" s="18" t="str">
        <f t="shared" si="133"/>
        <v>K1622:L5000</v>
      </c>
      <c r="O1726" t="str">
        <f t="shared" si="134"/>
        <v>A1622:A1726</v>
      </c>
    </row>
    <row r="1727" spans="1:15">
      <c r="A1727" s="18">
        <f>Charms!K1727</f>
        <v>0</v>
      </c>
      <c r="B1727">
        <f>Charms!B1727</f>
        <v>0</v>
      </c>
      <c r="C1727" t="b">
        <f ca="1">OR(Values!$S$98&gt;=Charms!M1727,IFERROR(Charms!J1727=OFFSET(Values!$A$24,MATCH("S",Values!$T$25:$T$50,0),0),FALSE))</f>
        <v>1</v>
      </c>
      <c r="D1727" t="e">
        <f>VLOOKUP(Charms!J1727,Values!$A$11:$S$59,19,0)&gt;=Charms!L1727</f>
        <v>#N/A</v>
      </c>
      <c r="E1727" t="e">
        <f>OR(ISBLANK(Charms!I1727),(VLOOKUP(Values!$S$6,Castes!$B$2:$F$25,4,0)=Charms!I1727))</f>
        <v>#N/A</v>
      </c>
      <c r="J1727" t="e">
        <f t="shared" ca="1" si="131"/>
        <v>#N/A</v>
      </c>
      <c r="K1727" s="18" t="e">
        <f t="shared" ca="1" si="130"/>
        <v>#N/A</v>
      </c>
      <c r="L1727" t="e">
        <f ca="1">IF(J1727,Charms!B1727,"")</f>
        <v>#N/A</v>
      </c>
      <c r="M1727" t="str">
        <f t="shared" ca="1" si="132"/>
        <v>-</v>
      </c>
      <c r="N1727" s="18" t="str">
        <f t="shared" si="133"/>
        <v>K1622:L5000</v>
      </c>
      <c r="O1727" t="str">
        <f t="shared" si="134"/>
        <v>A1622:A1727</v>
      </c>
    </row>
    <row r="1728" spans="1:15">
      <c r="A1728" s="18">
        <f>Charms!K1728</f>
        <v>0</v>
      </c>
      <c r="B1728">
        <f>Charms!B1728</f>
        <v>0</v>
      </c>
      <c r="C1728" t="b">
        <f ca="1">OR(Values!$S$98&gt;=Charms!M1728,IFERROR(Charms!J1728=OFFSET(Values!$A$24,MATCH("S",Values!$T$25:$T$50,0),0),FALSE))</f>
        <v>1</v>
      </c>
      <c r="D1728" t="e">
        <f>VLOOKUP(Charms!J1728,Values!$A$11:$S$59,19,0)&gt;=Charms!L1728</f>
        <v>#N/A</v>
      </c>
      <c r="E1728" t="e">
        <f>OR(ISBLANK(Charms!I1728),(VLOOKUP(Values!$S$6,Castes!$B$2:$F$25,4,0)=Charms!I1728))</f>
        <v>#N/A</v>
      </c>
      <c r="J1728" t="e">
        <f t="shared" ca="1" si="131"/>
        <v>#N/A</v>
      </c>
      <c r="K1728" s="18" t="e">
        <f t="shared" ca="1" si="130"/>
        <v>#N/A</v>
      </c>
      <c r="L1728" t="e">
        <f ca="1">IF(J1728,Charms!B1728,"")</f>
        <v>#N/A</v>
      </c>
      <c r="M1728" t="str">
        <f t="shared" ca="1" si="132"/>
        <v>-</v>
      </c>
      <c r="N1728" s="18" t="str">
        <f t="shared" si="133"/>
        <v>K1622:L5000</v>
      </c>
      <c r="O1728" t="str">
        <f t="shared" si="134"/>
        <v>A1622:A1728</v>
      </c>
    </row>
    <row r="1729" spans="1:15">
      <c r="A1729" s="18">
        <f>Charms!K1729</f>
        <v>0</v>
      </c>
      <c r="B1729">
        <f>Charms!B1729</f>
        <v>0</v>
      </c>
      <c r="C1729" t="b">
        <f ca="1">OR(Values!$S$98&gt;=Charms!M1729,IFERROR(Charms!J1729=OFFSET(Values!$A$24,MATCH("S",Values!$T$25:$T$50,0),0),FALSE))</f>
        <v>1</v>
      </c>
      <c r="D1729" t="e">
        <f>VLOOKUP(Charms!J1729,Values!$A$11:$S$59,19,0)&gt;=Charms!L1729</f>
        <v>#N/A</v>
      </c>
      <c r="E1729" t="e">
        <f>OR(ISBLANK(Charms!I1729),(VLOOKUP(Values!$S$6,Castes!$B$2:$F$25,4,0)=Charms!I1729))</f>
        <v>#N/A</v>
      </c>
      <c r="J1729" t="e">
        <f t="shared" ca="1" si="131"/>
        <v>#N/A</v>
      </c>
      <c r="K1729" s="18" t="e">
        <f t="shared" ca="1" si="130"/>
        <v>#N/A</v>
      </c>
      <c r="L1729" t="e">
        <f ca="1">IF(J1729,Charms!B1729,"")</f>
        <v>#N/A</v>
      </c>
      <c r="M1729" t="str">
        <f t="shared" ca="1" si="132"/>
        <v>-</v>
      </c>
      <c r="N1729" s="18" t="str">
        <f t="shared" si="133"/>
        <v>K1622:L5000</v>
      </c>
      <c r="O1729" t="str">
        <f t="shared" si="134"/>
        <v>A1622:A1729</v>
      </c>
    </row>
    <row r="1730" spans="1:15">
      <c r="A1730" s="18">
        <f>Charms!K1730</f>
        <v>0</v>
      </c>
      <c r="B1730">
        <f>Charms!B1730</f>
        <v>0</v>
      </c>
      <c r="C1730" t="b">
        <f ca="1">OR(Values!$S$98&gt;=Charms!M1730,IFERROR(Charms!J1730=OFFSET(Values!$A$24,MATCH("S",Values!$T$25:$T$50,0),0),FALSE))</f>
        <v>1</v>
      </c>
      <c r="D1730" t="e">
        <f>VLOOKUP(Charms!J1730,Values!$A$11:$S$59,19,0)&gt;=Charms!L1730</f>
        <v>#N/A</v>
      </c>
      <c r="E1730" t="e">
        <f>OR(ISBLANK(Charms!I1730),(VLOOKUP(Values!$S$6,Castes!$B$2:$F$25,4,0)=Charms!I1730))</f>
        <v>#N/A</v>
      </c>
      <c r="J1730" t="e">
        <f t="shared" ca="1" si="131"/>
        <v>#N/A</v>
      </c>
      <c r="K1730" s="18" t="e">
        <f t="shared" ref="K1730:K1793" ca="1" si="135">IF(L1730="","",COUNTIF(INDIRECT("J"&amp;MATCH(A1730,A:A,0)&amp;":J"&amp;ROW()),J1730))</f>
        <v>#N/A</v>
      </c>
      <c r="L1730" t="e">
        <f ca="1">IF(J1730,Charms!B1730,"")</f>
        <v>#N/A</v>
      </c>
      <c r="M1730" t="str">
        <f t="shared" ca="1" si="132"/>
        <v>-</v>
      </c>
      <c r="N1730" s="18" t="str">
        <f t="shared" si="133"/>
        <v>K1622:L5000</v>
      </c>
      <c r="O1730" t="str">
        <f t="shared" si="134"/>
        <v>A1622:A1730</v>
      </c>
    </row>
    <row r="1731" spans="1:15">
      <c r="A1731" s="18">
        <f>Charms!K1731</f>
        <v>0</v>
      </c>
      <c r="B1731">
        <f>Charms!B1731</f>
        <v>0</v>
      </c>
      <c r="C1731" t="b">
        <f ca="1">OR(Values!$S$98&gt;=Charms!M1731,IFERROR(Charms!J1731=OFFSET(Values!$A$24,MATCH("S",Values!$T$25:$T$50,0),0),FALSE))</f>
        <v>1</v>
      </c>
      <c r="D1731" t="e">
        <f>VLOOKUP(Charms!J1731,Values!$A$11:$S$59,19,0)&gt;=Charms!L1731</f>
        <v>#N/A</v>
      </c>
      <c r="E1731" t="e">
        <f>OR(ISBLANK(Charms!I1731),(VLOOKUP(Values!$S$6,Castes!$B$2:$F$25,4,0)=Charms!I1731))</f>
        <v>#N/A</v>
      </c>
      <c r="J1731" t="e">
        <f t="shared" ref="J1731:J1794" ca="1" si="136">(C1731+D1731+E1731+F1731+G1731+H1731+I1731)=3</f>
        <v>#N/A</v>
      </c>
      <c r="K1731" s="18" t="e">
        <f t="shared" ca="1" si="135"/>
        <v>#N/A</v>
      </c>
      <c r="L1731" t="e">
        <f ca="1">IF(J1731,Charms!B1731,"")</f>
        <v>#N/A</v>
      </c>
      <c r="M1731" t="str">
        <f t="shared" ref="M1731:M1794" ca="1" si="137">IFERROR(VLOOKUP(COUNTIF(INDIRECT(O1731),A1731),INDIRECT(N1731),2,0),"-")</f>
        <v>-</v>
      </c>
      <c r="N1731" s="18" t="str">
        <f t="shared" ref="N1731:N1794" si="138">"K"&amp;MATCH(A1731,A:A,0)&amp;":L"&amp;(MATCH(A1731,A:A,0)+COUNTIF(A:A,A1731)-1)</f>
        <v>K1622:L5000</v>
      </c>
      <c r="O1731" t="str">
        <f t="shared" ref="O1731:O1794" si="139">"A"&amp;MATCH(A1731,A:A,0)&amp;":A"&amp;ROW()</f>
        <v>A1622:A1731</v>
      </c>
    </row>
    <row r="1732" spans="1:15">
      <c r="A1732" s="18">
        <f>Charms!K1732</f>
        <v>0</v>
      </c>
      <c r="B1732">
        <f>Charms!B1732</f>
        <v>0</v>
      </c>
      <c r="C1732" t="b">
        <f ca="1">OR(Values!$S$98&gt;=Charms!M1732,IFERROR(Charms!J1732=OFFSET(Values!$A$24,MATCH("S",Values!$T$25:$T$50,0),0),FALSE))</f>
        <v>1</v>
      </c>
      <c r="D1732" t="e">
        <f>VLOOKUP(Charms!J1732,Values!$A$11:$S$59,19,0)&gt;=Charms!L1732</f>
        <v>#N/A</v>
      </c>
      <c r="E1732" t="e">
        <f>OR(ISBLANK(Charms!I1732),(VLOOKUP(Values!$S$6,Castes!$B$2:$F$25,4,0)=Charms!I1732))</f>
        <v>#N/A</v>
      </c>
      <c r="J1732" t="e">
        <f t="shared" ca="1" si="136"/>
        <v>#N/A</v>
      </c>
      <c r="K1732" s="18" t="e">
        <f t="shared" ca="1" si="135"/>
        <v>#N/A</v>
      </c>
      <c r="L1732" t="e">
        <f ca="1">IF(J1732,Charms!B1732,"")</f>
        <v>#N/A</v>
      </c>
      <c r="M1732" t="str">
        <f t="shared" ca="1" si="137"/>
        <v>-</v>
      </c>
      <c r="N1732" s="18" t="str">
        <f t="shared" si="138"/>
        <v>K1622:L5000</v>
      </c>
      <c r="O1732" t="str">
        <f t="shared" si="139"/>
        <v>A1622:A1732</v>
      </c>
    </row>
    <row r="1733" spans="1:15">
      <c r="A1733" s="18">
        <f>Charms!K1733</f>
        <v>0</v>
      </c>
      <c r="B1733">
        <f>Charms!B1733</f>
        <v>0</v>
      </c>
      <c r="C1733" t="b">
        <f ca="1">OR(Values!$S$98&gt;=Charms!M1733,IFERROR(Charms!J1733=OFFSET(Values!$A$24,MATCH("S",Values!$T$25:$T$50,0),0),FALSE))</f>
        <v>1</v>
      </c>
      <c r="D1733" t="e">
        <f>VLOOKUP(Charms!J1733,Values!$A$11:$S$59,19,0)&gt;=Charms!L1733</f>
        <v>#N/A</v>
      </c>
      <c r="E1733" t="e">
        <f>OR(ISBLANK(Charms!I1733),(VLOOKUP(Values!$S$6,Castes!$B$2:$F$25,4,0)=Charms!I1733))</f>
        <v>#N/A</v>
      </c>
      <c r="J1733" t="e">
        <f t="shared" ca="1" si="136"/>
        <v>#N/A</v>
      </c>
      <c r="K1733" s="18" t="e">
        <f t="shared" ca="1" si="135"/>
        <v>#N/A</v>
      </c>
      <c r="L1733" t="e">
        <f ca="1">IF(J1733,Charms!B1733,"")</f>
        <v>#N/A</v>
      </c>
      <c r="M1733" t="str">
        <f t="shared" ca="1" si="137"/>
        <v>-</v>
      </c>
      <c r="N1733" s="18" t="str">
        <f t="shared" si="138"/>
        <v>K1622:L5000</v>
      </c>
      <c r="O1733" t="str">
        <f t="shared" si="139"/>
        <v>A1622:A1733</v>
      </c>
    </row>
    <row r="1734" spans="1:15">
      <c r="A1734" s="18">
        <f>Charms!K1734</f>
        <v>0</v>
      </c>
      <c r="B1734">
        <f>Charms!B1734</f>
        <v>0</v>
      </c>
      <c r="C1734" t="b">
        <f ca="1">OR(Values!$S$98&gt;=Charms!M1734,IFERROR(Charms!J1734=OFFSET(Values!$A$24,MATCH("S",Values!$T$25:$T$50,0),0),FALSE))</f>
        <v>1</v>
      </c>
      <c r="D1734" t="e">
        <f>VLOOKUP(Charms!J1734,Values!$A$11:$S$59,19,0)&gt;=Charms!L1734</f>
        <v>#N/A</v>
      </c>
      <c r="E1734" t="e">
        <f>OR(ISBLANK(Charms!I1734),(VLOOKUP(Values!$S$6,Castes!$B$2:$F$25,4,0)=Charms!I1734))</f>
        <v>#N/A</v>
      </c>
      <c r="J1734" t="e">
        <f t="shared" ca="1" si="136"/>
        <v>#N/A</v>
      </c>
      <c r="K1734" s="18" t="e">
        <f t="shared" ca="1" si="135"/>
        <v>#N/A</v>
      </c>
      <c r="L1734" t="e">
        <f ca="1">IF(J1734,Charms!B1734,"")</f>
        <v>#N/A</v>
      </c>
      <c r="M1734" t="str">
        <f t="shared" ca="1" si="137"/>
        <v>-</v>
      </c>
      <c r="N1734" s="18" t="str">
        <f t="shared" si="138"/>
        <v>K1622:L5000</v>
      </c>
      <c r="O1734" t="str">
        <f t="shared" si="139"/>
        <v>A1622:A1734</v>
      </c>
    </row>
    <row r="1735" spans="1:15">
      <c r="A1735" s="18">
        <f>Charms!K1735</f>
        <v>0</v>
      </c>
      <c r="B1735">
        <f>Charms!B1735</f>
        <v>0</v>
      </c>
      <c r="C1735" t="b">
        <f ca="1">OR(Values!$S$98&gt;=Charms!M1735,IFERROR(Charms!J1735=OFFSET(Values!$A$24,MATCH("S",Values!$T$25:$T$50,0),0),FALSE))</f>
        <v>1</v>
      </c>
      <c r="D1735" t="e">
        <f>VLOOKUP(Charms!J1735,Values!$A$11:$S$59,19,0)&gt;=Charms!L1735</f>
        <v>#N/A</v>
      </c>
      <c r="E1735" t="e">
        <f>OR(ISBLANK(Charms!I1735),(VLOOKUP(Values!$S$6,Castes!$B$2:$F$25,4,0)=Charms!I1735))</f>
        <v>#N/A</v>
      </c>
      <c r="J1735" t="e">
        <f t="shared" ca="1" si="136"/>
        <v>#N/A</v>
      </c>
      <c r="K1735" s="18" t="e">
        <f t="shared" ca="1" si="135"/>
        <v>#N/A</v>
      </c>
      <c r="L1735" t="e">
        <f ca="1">IF(J1735,Charms!B1735,"")</f>
        <v>#N/A</v>
      </c>
      <c r="M1735" t="str">
        <f t="shared" ca="1" si="137"/>
        <v>-</v>
      </c>
      <c r="N1735" s="18" t="str">
        <f t="shared" si="138"/>
        <v>K1622:L5000</v>
      </c>
      <c r="O1735" t="str">
        <f t="shared" si="139"/>
        <v>A1622:A1735</v>
      </c>
    </row>
    <row r="1736" spans="1:15">
      <c r="A1736" s="18">
        <f>Charms!K1736</f>
        <v>0</v>
      </c>
      <c r="B1736">
        <f>Charms!B1736</f>
        <v>0</v>
      </c>
      <c r="C1736" t="b">
        <f ca="1">OR(Values!$S$98&gt;=Charms!M1736,IFERROR(Charms!J1736=OFFSET(Values!$A$24,MATCH("S",Values!$T$25:$T$50,0),0),FALSE))</f>
        <v>1</v>
      </c>
      <c r="D1736" t="e">
        <f>VLOOKUP(Charms!J1736,Values!$A$11:$S$59,19,0)&gt;=Charms!L1736</f>
        <v>#N/A</v>
      </c>
      <c r="E1736" t="e">
        <f>OR(ISBLANK(Charms!I1736),(VLOOKUP(Values!$S$6,Castes!$B$2:$F$25,4,0)=Charms!I1736))</f>
        <v>#N/A</v>
      </c>
      <c r="J1736" t="e">
        <f t="shared" ca="1" si="136"/>
        <v>#N/A</v>
      </c>
      <c r="K1736" s="18" t="e">
        <f t="shared" ca="1" si="135"/>
        <v>#N/A</v>
      </c>
      <c r="L1736" t="e">
        <f ca="1">IF(J1736,Charms!B1736,"")</f>
        <v>#N/A</v>
      </c>
      <c r="M1736" t="str">
        <f t="shared" ca="1" si="137"/>
        <v>-</v>
      </c>
      <c r="N1736" s="18" t="str">
        <f t="shared" si="138"/>
        <v>K1622:L5000</v>
      </c>
      <c r="O1736" t="str">
        <f t="shared" si="139"/>
        <v>A1622:A1736</v>
      </c>
    </row>
    <row r="1737" spans="1:15">
      <c r="A1737" s="18">
        <f>Charms!K1737</f>
        <v>0</v>
      </c>
      <c r="B1737">
        <f>Charms!B1737</f>
        <v>0</v>
      </c>
      <c r="C1737" t="b">
        <f ca="1">OR(Values!$S$98&gt;=Charms!M1737,IFERROR(Charms!J1737=OFFSET(Values!$A$24,MATCH("S",Values!$T$25:$T$50,0),0),FALSE))</f>
        <v>1</v>
      </c>
      <c r="D1737" t="e">
        <f>VLOOKUP(Charms!J1737,Values!$A$11:$S$59,19,0)&gt;=Charms!L1737</f>
        <v>#N/A</v>
      </c>
      <c r="E1737" t="e">
        <f>OR(ISBLANK(Charms!I1737),(VLOOKUP(Values!$S$6,Castes!$B$2:$F$25,4,0)=Charms!I1737))</f>
        <v>#N/A</v>
      </c>
      <c r="J1737" t="e">
        <f t="shared" ca="1" si="136"/>
        <v>#N/A</v>
      </c>
      <c r="K1737" s="18" t="e">
        <f t="shared" ca="1" si="135"/>
        <v>#N/A</v>
      </c>
      <c r="L1737" t="e">
        <f ca="1">IF(J1737,Charms!B1737,"")</f>
        <v>#N/A</v>
      </c>
      <c r="M1737" t="str">
        <f t="shared" ca="1" si="137"/>
        <v>-</v>
      </c>
      <c r="N1737" s="18" t="str">
        <f t="shared" si="138"/>
        <v>K1622:L5000</v>
      </c>
      <c r="O1737" t="str">
        <f t="shared" si="139"/>
        <v>A1622:A1737</v>
      </c>
    </row>
    <row r="1738" spans="1:15">
      <c r="A1738" s="18">
        <f>Charms!K1738</f>
        <v>0</v>
      </c>
      <c r="B1738">
        <f>Charms!B1738</f>
        <v>0</v>
      </c>
      <c r="C1738" t="b">
        <f ca="1">OR(Values!$S$98&gt;=Charms!M1738,IFERROR(Charms!J1738=OFFSET(Values!$A$24,MATCH("S",Values!$T$25:$T$50,0),0),FALSE))</f>
        <v>1</v>
      </c>
      <c r="D1738" t="e">
        <f>VLOOKUP(Charms!J1738,Values!$A$11:$S$59,19,0)&gt;=Charms!L1738</f>
        <v>#N/A</v>
      </c>
      <c r="E1738" t="e">
        <f>OR(ISBLANK(Charms!I1738),(VLOOKUP(Values!$S$6,Castes!$B$2:$F$25,4,0)=Charms!I1738))</f>
        <v>#N/A</v>
      </c>
      <c r="J1738" t="e">
        <f t="shared" ca="1" si="136"/>
        <v>#N/A</v>
      </c>
      <c r="K1738" s="18" t="e">
        <f t="shared" ca="1" si="135"/>
        <v>#N/A</v>
      </c>
      <c r="L1738" t="e">
        <f ca="1">IF(J1738,Charms!B1738,"")</f>
        <v>#N/A</v>
      </c>
      <c r="M1738" t="str">
        <f t="shared" ca="1" si="137"/>
        <v>-</v>
      </c>
      <c r="N1738" s="18" t="str">
        <f t="shared" si="138"/>
        <v>K1622:L5000</v>
      </c>
      <c r="O1738" t="str">
        <f t="shared" si="139"/>
        <v>A1622:A1738</v>
      </c>
    </row>
    <row r="1739" spans="1:15">
      <c r="A1739" s="18">
        <f>Charms!K1739</f>
        <v>0</v>
      </c>
      <c r="B1739">
        <f>Charms!B1739</f>
        <v>0</v>
      </c>
      <c r="C1739" t="b">
        <f ca="1">OR(Values!$S$98&gt;=Charms!M1739,IFERROR(Charms!J1739=OFFSET(Values!$A$24,MATCH("S",Values!$T$25:$T$50,0),0),FALSE))</f>
        <v>1</v>
      </c>
      <c r="D1739" t="e">
        <f>VLOOKUP(Charms!J1739,Values!$A$11:$S$59,19,0)&gt;=Charms!L1739</f>
        <v>#N/A</v>
      </c>
      <c r="E1739" t="e">
        <f>OR(ISBLANK(Charms!I1739),(VLOOKUP(Values!$S$6,Castes!$B$2:$F$25,4,0)=Charms!I1739))</f>
        <v>#N/A</v>
      </c>
      <c r="J1739" t="e">
        <f t="shared" ca="1" si="136"/>
        <v>#N/A</v>
      </c>
      <c r="K1739" s="18" t="e">
        <f t="shared" ca="1" si="135"/>
        <v>#N/A</v>
      </c>
      <c r="L1739" t="e">
        <f ca="1">IF(J1739,Charms!B1739,"")</f>
        <v>#N/A</v>
      </c>
      <c r="M1739" t="str">
        <f t="shared" ca="1" si="137"/>
        <v>-</v>
      </c>
      <c r="N1739" s="18" t="str">
        <f t="shared" si="138"/>
        <v>K1622:L5000</v>
      </c>
      <c r="O1739" t="str">
        <f t="shared" si="139"/>
        <v>A1622:A1739</v>
      </c>
    </row>
    <row r="1740" spans="1:15">
      <c r="A1740" s="18">
        <f>Charms!K1740</f>
        <v>0</v>
      </c>
      <c r="B1740">
        <f>Charms!B1740</f>
        <v>0</v>
      </c>
      <c r="C1740" t="b">
        <f ca="1">OR(Values!$S$98&gt;=Charms!M1740,IFERROR(Charms!J1740=OFFSET(Values!$A$24,MATCH("S",Values!$T$25:$T$50,0),0),FALSE))</f>
        <v>1</v>
      </c>
      <c r="D1740" t="e">
        <f>VLOOKUP(Charms!J1740,Values!$A$11:$S$59,19,0)&gt;=Charms!L1740</f>
        <v>#N/A</v>
      </c>
      <c r="E1740" t="e">
        <f>OR(ISBLANK(Charms!I1740),(VLOOKUP(Values!$S$6,Castes!$B$2:$F$25,4,0)=Charms!I1740))</f>
        <v>#N/A</v>
      </c>
      <c r="J1740" t="e">
        <f t="shared" ca="1" si="136"/>
        <v>#N/A</v>
      </c>
      <c r="K1740" s="18" t="e">
        <f t="shared" ca="1" si="135"/>
        <v>#N/A</v>
      </c>
      <c r="L1740" t="e">
        <f ca="1">IF(J1740,Charms!B1740,"")</f>
        <v>#N/A</v>
      </c>
      <c r="M1740" t="str">
        <f t="shared" ca="1" si="137"/>
        <v>-</v>
      </c>
      <c r="N1740" s="18" t="str">
        <f t="shared" si="138"/>
        <v>K1622:L5000</v>
      </c>
      <c r="O1740" t="str">
        <f t="shared" si="139"/>
        <v>A1622:A1740</v>
      </c>
    </row>
    <row r="1741" spans="1:15">
      <c r="A1741" s="18">
        <f>Charms!K1741</f>
        <v>0</v>
      </c>
      <c r="B1741">
        <f>Charms!B1741</f>
        <v>0</v>
      </c>
      <c r="C1741" t="b">
        <f ca="1">OR(Values!$S$98&gt;=Charms!M1741,IFERROR(Charms!J1741=OFFSET(Values!$A$24,MATCH("S",Values!$T$25:$T$50,0),0),FALSE))</f>
        <v>1</v>
      </c>
      <c r="D1741" t="e">
        <f>VLOOKUP(Charms!J1741,Values!$A$11:$S$59,19,0)&gt;=Charms!L1741</f>
        <v>#N/A</v>
      </c>
      <c r="E1741" t="e">
        <f>OR(ISBLANK(Charms!I1741),(VLOOKUP(Values!$S$6,Castes!$B$2:$F$25,4,0)=Charms!I1741))</f>
        <v>#N/A</v>
      </c>
      <c r="J1741" t="e">
        <f t="shared" ca="1" si="136"/>
        <v>#N/A</v>
      </c>
      <c r="K1741" s="18" t="e">
        <f t="shared" ca="1" si="135"/>
        <v>#N/A</v>
      </c>
      <c r="L1741" t="e">
        <f ca="1">IF(J1741,Charms!B1741,"")</f>
        <v>#N/A</v>
      </c>
      <c r="M1741" t="str">
        <f t="shared" ca="1" si="137"/>
        <v>-</v>
      </c>
      <c r="N1741" s="18" t="str">
        <f t="shared" si="138"/>
        <v>K1622:L5000</v>
      </c>
      <c r="O1741" t="str">
        <f t="shared" si="139"/>
        <v>A1622:A1741</v>
      </c>
    </row>
    <row r="1742" spans="1:15">
      <c r="A1742" s="18">
        <f>Charms!K1742</f>
        <v>0</v>
      </c>
      <c r="B1742">
        <f>Charms!B1742</f>
        <v>0</v>
      </c>
      <c r="C1742" t="b">
        <f ca="1">OR(Values!$S$98&gt;=Charms!M1742,IFERROR(Charms!J1742=OFFSET(Values!$A$24,MATCH("S",Values!$T$25:$T$50,0),0),FALSE))</f>
        <v>1</v>
      </c>
      <c r="D1742" t="e">
        <f>VLOOKUP(Charms!J1742,Values!$A$11:$S$59,19,0)&gt;=Charms!L1742</f>
        <v>#N/A</v>
      </c>
      <c r="E1742" t="e">
        <f>OR(ISBLANK(Charms!I1742),(VLOOKUP(Values!$S$6,Castes!$B$2:$F$25,4,0)=Charms!I1742))</f>
        <v>#N/A</v>
      </c>
      <c r="J1742" t="e">
        <f t="shared" ca="1" si="136"/>
        <v>#N/A</v>
      </c>
      <c r="K1742" s="18" t="e">
        <f t="shared" ca="1" si="135"/>
        <v>#N/A</v>
      </c>
      <c r="L1742" t="e">
        <f ca="1">IF(J1742,Charms!B1742,"")</f>
        <v>#N/A</v>
      </c>
      <c r="M1742" t="str">
        <f t="shared" ca="1" si="137"/>
        <v>-</v>
      </c>
      <c r="N1742" s="18" t="str">
        <f t="shared" si="138"/>
        <v>K1622:L5000</v>
      </c>
      <c r="O1742" t="str">
        <f t="shared" si="139"/>
        <v>A1622:A1742</v>
      </c>
    </row>
    <row r="1743" spans="1:15">
      <c r="A1743" s="18">
        <f>Charms!K1743</f>
        <v>0</v>
      </c>
      <c r="B1743">
        <f>Charms!B1743</f>
        <v>0</v>
      </c>
      <c r="C1743" t="b">
        <f ca="1">OR(Values!$S$98&gt;=Charms!M1743,IFERROR(Charms!J1743=OFFSET(Values!$A$24,MATCH("S",Values!$T$25:$T$50,0),0),FALSE))</f>
        <v>1</v>
      </c>
      <c r="D1743" t="e">
        <f>VLOOKUP(Charms!J1743,Values!$A$11:$S$59,19,0)&gt;=Charms!L1743</f>
        <v>#N/A</v>
      </c>
      <c r="E1743" t="e">
        <f>OR(ISBLANK(Charms!I1743),(VLOOKUP(Values!$S$6,Castes!$B$2:$F$25,4,0)=Charms!I1743))</f>
        <v>#N/A</v>
      </c>
      <c r="J1743" t="e">
        <f t="shared" ca="1" si="136"/>
        <v>#N/A</v>
      </c>
      <c r="K1743" s="18" t="e">
        <f t="shared" ca="1" si="135"/>
        <v>#N/A</v>
      </c>
      <c r="L1743" t="e">
        <f ca="1">IF(J1743,Charms!B1743,"")</f>
        <v>#N/A</v>
      </c>
      <c r="M1743" t="str">
        <f t="shared" ca="1" si="137"/>
        <v>-</v>
      </c>
      <c r="N1743" s="18" t="str">
        <f t="shared" si="138"/>
        <v>K1622:L5000</v>
      </c>
      <c r="O1743" t="str">
        <f t="shared" si="139"/>
        <v>A1622:A1743</v>
      </c>
    </row>
    <row r="1744" spans="1:15">
      <c r="A1744" s="18">
        <f>Charms!K1744</f>
        <v>0</v>
      </c>
      <c r="B1744">
        <f>Charms!B1744</f>
        <v>0</v>
      </c>
      <c r="C1744" t="b">
        <f ca="1">OR(Values!$S$98&gt;=Charms!M1744,IFERROR(Charms!J1744=OFFSET(Values!$A$24,MATCH("S",Values!$T$25:$T$50,0),0),FALSE))</f>
        <v>1</v>
      </c>
      <c r="D1744" t="e">
        <f>VLOOKUP(Charms!J1744,Values!$A$11:$S$59,19,0)&gt;=Charms!L1744</f>
        <v>#N/A</v>
      </c>
      <c r="E1744" t="e">
        <f>OR(ISBLANK(Charms!I1744),(VLOOKUP(Values!$S$6,Castes!$B$2:$F$25,4,0)=Charms!I1744))</f>
        <v>#N/A</v>
      </c>
      <c r="J1744" t="e">
        <f t="shared" ca="1" si="136"/>
        <v>#N/A</v>
      </c>
      <c r="K1744" s="18" t="e">
        <f t="shared" ca="1" si="135"/>
        <v>#N/A</v>
      </c>
      <c r="L1744" t="e">
        <f ca="1">IF(J1744,Charms!B1744,"")</f>
        <v>#N/A</v>
      </c>
      <c r="M1744" t="str">
        <f t="shared" ca="1" si="137"/>
        <v>-</v>
      </c>
      <c r="N1744" s="18" t="str">
        <f t="shared" si="138"/>
        <v>K1622:L5000</v>
      </c>
      <c r="O1744" t="str">
        <f t="shared" si="139"/>
        <v>A1622:A1744</v>
      </c>
    </row>
    <row r="1745" spans="1:15">
      <c r="A1745" s="18">
        <f>Charms!K1745</f>
        <v>0</v>
      </c>
      <c r="B1745">
        <f>Charms!B1745</f>
        <v>0</v>
      </c>
      <c r="C1745" t="b">
        <f ca="1">OR(Values!$S$98&gt;=Charms!M1745,IFERROR(Charms!J1745=OFFSET(Values!$A$24,MATCH("S",Values!$T$25:$T$50,0),0),FALSE))</f>
        <v>1</v>
      </c>
      <c r="D1745" t="e">
        <f>VLOOKUP(Charms!J1745,Values!$A$11:$S$59,19,0)&gt;=Charms!L1745</f>
        <v>#N/A</v>
      </c>
      <c r="E1745" t="e">
        <f>OR(ISBLANK(Charms!I1745),(VLOOKUP(Values!$S$6,Castes!$B$2:$F$25,4,0)=Charms!I1745))</f>
        <v>#N/A</v>
      </c>
      <c r="J1745" t="e">
        <f t="shared" ca="1" si="136"/>
        <v>#N/A</v>
      </c>
      <c r="K1745" s="18" t="e">
        <f t="shared" ca="1" si="135"/>
        <v>#N/A</v>
      </c>
      <c r="L1745" t="e">
        <f ca="1">IF(J1745,Charms!B1745,"")</f>
        <v>#N/A</v>
      </c>
      <c r="M1745" t="str">
        <f t="shared" ca="1" si="137"/>
        <v>-</v>
      </c>
      <c r="N1745" s="18" t="str">
        <f t="shared" si="138"/>
        <v>K1622:L5000</v>
      </c>
      <c r="O1745" t="str">
        <f t="shared" si="139"/>
        <v>A1622:A1745</v>
      </c>
    </row>
    <row r="1746" spans="1:15">
      <c r="A1746" s="18">
        <f>Charms!K1746</f>
        <v>0</v>
      </c>
      <c r="B1746">
        <f>Charms!B1746</f>
        <v>0</v>
      </c>
      <c r="C1746" t="b">
        <f ca="1">OR(Values!$S$98&gt;=Charms!M1746,IFERROR(Charms!J1746=OFFSET(Values!$A$24,MATCH("S",Values!$T$25:$T$50,0),0),FALSE))</f>
        <v>1</v>
      </c>
      <c r="D1746" t="e">
        <f>VLOOKUP(Charms!J1746,Values!$A$11:$S$59,19,0)&gt;=Charms!L1746</f>
        <v>#N/A</v>
      </c>
      <c r="E1746" t="e">
        <f>OR(ISBLANK(Charms!I1746),(VLOOKUP(Values!$S$6,Castes!$B$2:$F$25,4,0)=Charms!I1746))</f>
        <v>#N/A</v>
      </c>
      <c r="J1746" t="e">
        <f t="shared" ca="1" si="136"/>
        <v>#N/A</v>
      </c>
      <c r="K1746" s="18" t="e">
        <f t="shared" ca="1" si="135"/>
        <v>#N/A</v>
      </c>
      <c r="L1746" t="e">
        <f ca="1">IF(J1746,Charms!B1746,"")</f>
        <v>#N/A</v>
      </c>
      <c r="M1746" t="str">
        <f t="shared" ca="1" si="137"/>
        <v>-</v>
      </c>
      <c r="N1746" s="18" t="str">
        <f t="shared" si="138"/>
        <v>K1622:L5000</v>
      </c>
      <c r="O1746" t="str">
        <f t="shared" si="139"/>
        <v>A1622:A1746</v>
      </c>
    </row>
    <row r="1747" spans="1:15">
      <c r="A1747" s="18">
        <f>Charms!K1747</f>
        <v>0</v>
      </c>
      <c r="B1747">
        <f>Charms!B1747</f>
        <v>0</v>
      </c>
      <c r="C1747" t="b">
        <f ca="1">OR(Values!$S$98&gt;=Charms!M1747,IFERROR(Charms!J1747=OFFSET(Values!$A$24,MATCH("S",Values!$T$25:$T$50,0),0),FALSE))</f>
        <v>1</v>
      </c>
      <c r="D1747" t="e">
        <f>VLOOKUP(Charms!J1747,Values!$A$11:$S$59,19,0)&gt;=Charms!L1747</f>
        <v>#N/A</v>
      </c>
      <c r="E1747" t="e">
        <f>OR(ISBLANK(Charms!I1747),(VLOOKUP(Values!$S$6,Castes!$B$2:$F$25,4,0)=Charms!I1747))</f>
        <v>#N/A</v>
      </c>
      <c r="J1747" t="e">
        <f t="shared" ca="1" si="136"/>
        <v>#N/A</v>
      </c>
      <c r="K1747" s="18" t="e">
        <f t="shared" ca="1" si="135"/>
        <v>#N/A</v>
      </c>
      <c r="L1747" t="e">
        <f ca="1">IF(J1747,Charms!B1747,"")</f>
        <v>#N/A</v>
      </c>
      <c r="M1747" t="str">
        <f t="shared" ca="1" si="137"/>
        <v>-</v>
      </c>
      <c r="N1747" s="18" t="str">
        <f t="shared" si="138"/>
        <v>K1622:L5000</v>
      </c>
      <c r="O1747" t="str">
        <f t="shared" si="139"/>
        <v>A1622:A1747</v>
      </c>
    </row>
    <row r="1748" spans="1:15">
      <c r="A1748" s="18">
        <f>Charms!K1748</f>
        <v>0</v>
      </c>
      <c r="B1748">
        <f>Charms!B1748</f>
        <v>0</v>
      </c>
      <c r="C1748" t="b">
        <f ca="1">OR(Values!$S$98&gt;=Charms!M1748,IFERROR(Charms!J1748=OFFSET(Values!$A$24,MATCH("S",Values!$T$25:$T$50,0),0),FALSE))</f>
        <v>1</v>
      </c>
      <c r="D1748" t="e">
        <f>VLOOKUP(Charms!J1748,Values!$A$11:$S$59,19,0)&gt;=Charms!L1748</f>
        <v>#N/A</v>
      </c>
      <c r="E1748" t="e">
        <f>OR(ISBLANK(Charms!I1748),(VLOOKUP(Values!$S$6,Castes!$B$2:$F$25,4,0)=Charms!I1748))</f>
        <v>#N/A</v>
      </c>
      <c r="J1748" t="e">
        <f t="shared" ca="1" si="136"/>
        <v>#N/A</v>
      </c>
      <c r="K1748" s="18" t="e">
        <f t="shared" ca="1" si="135"/>
        <v>#N/A</v>
      </c>
      <c r="L1748" t="e">
        <f ca="1">IF(J1748,Charms!B1748,"")</f>
        <v>#N/A</v>
      </c>
      <c r="M1748" t="str">
        <f t="shared" ca="1" si="137"/>
        <v>-</v>
      </c>
      <c r="N1748" s="18" t="str">
        <f t="shared" si="138"/>
        <v>K1622:L5000</v>
      </c>
      <c r="O1748" t="str">
        <f t="shared" si="139"/>
        <v>A1622:A1748</v>
      </c>
    </row>
    <row r="1749" spans="1:15">
      <c r="A1749" s="18">
        <f>Charms!K1749</f>
        <v>0</v>
      </c>
      <c r="B1749">
        <f>Charms!B1749</f>
        <v>0</v>
      </c>
      <c r="C1749" t="b">
        <f ca="1">OR(Values!$S$98&gt;=Charms!M1749,IFERROR(Charms!J1749=OFFSET(Values!$A$24,MATCH("S",Values!$T$25:$T$50,0),0),FALSE))</f>
        <v>1</v>
      </c>
      <c r="D1749" t="e">
        <f>VLOOKUP(Charms!J1749,Values!$A$11:$S$59,19,0)&gt;=Charms!L1749</f>
        <v>#N/A</v>
      </c>
      <c r="E1749" t="e">
        <f>OR(ISBLANK(Charms!I1749),(VLOOKUP(Values!$S$6,Castes!$B$2:$F$25,4,0)=Charms!I1749))</f>
        <v>#N/A</v>
      </c>
      <c r="J1749" t="e">
        <f t="shared" ca="1" si="136"/>
        <v>#N/A</v>
      </c>
      <c r="K1749" s="18" t="e">
        <f t="shared" ca="1" si="135"/>
        <v>#N/A</v>
      </c>
      <c r="L1749" t="e">
        <f ca="1">IF(J1749,Charms!B1749,"")</f>
        <v>#N/A</v>
      </c>
      <c r="M1749" t="str">
        <f t="shared" ca="1" si="137"/>
        <v>-</v>
      </c>
      <c r="N1749" s="18" t="str">
        <f t="shared" si="138"/>
        <v>K1622:L5000</v>
      </c>
      <c r="O1749" t="str">
        <f t="shared" si="139"/>
        <v>A1622:A1749</v>
      </c>
    </row>
    <row r="1750" spans="1:15">
      <c r="A1750" s="18">
        <f>Charms!K1750</f>
        <v>0</v>
      </c>
      <c r="B1750">
        <f>Charms!B1750</f>
        <v>0</v>
      </c>
      <c r="C1750" t="b">
        <f ca="1">OR(Values!$S$98&gt;=Charms!M1750,IFERROR(Charms!J1750=OFFSET(Values!$A$24,MATCH("S",Values!$T$25:$T$50,0),0),FALSE))</f>
        <v>1</v>
      </c>
      <c r="D1750" t="e">
        <f>VLOOKUP(Charms!J1750,Values!$A$11:$S$59,19,0)&gt;=Charms!L1750</f>
        <v>#N/A</v>
      </c>
      <c r="E1750" t="e">
        <f>OR(ISBLANK(Charms!I1750),(VLOOKUP(Values!$S$6,Castes!$B$2:$F$25,4,0)=Charms!I1750))</f>
        <v>#N/A</v>
      </c>
      <c r="J1750" t="e">
        <f t="shared" ca="1" si="136"/>
        <v>#N/A</v>
      </c>
      <c r="K1750" s="18" t="e">
        <f t="shared" ca="1" si="135"/>
        <v>#N/A</v>
      </c>
      <c r="L1750" t="e">
        <f ca="1">IF(J1750,Charms!B1750,"")</f>
        <v>#N/A</v>
      </c>
      <c r="M1750" t="str">
        <f t="shared" ca="1" si="137"/>
        <v>-</v>
      </c>
      <c r="N1750" s="18" t="str">
        <f t="shared" si="138"/>
        <v>K1622:L5000</v>
      </c>
      <c r="O1750" t="str">
        <f t="shared" si="139"/>
        <v>A1622:A1750</v>
      </c>
    </row>
    <row r="1751" spans="1:15">
      <c r="A1751" s="18">
        <f>Charms!K1751</f>
        <v>0</v>
      </c>
      <c r="B1751">
        <f>Charms!B1751</f>
        <v>0</v>
      </c>
      <c r="C1751" t="b">
        <f ca="1">OR(Values!$S$98&gt;=Charms!M1751,IFERROR(Charms!J1751=OFFSET(Values!$A$24,MATCH("S",Values!$T$25:$T$50,0),0),FALSE))</f>
        <v>1</v>
      </c>
      <c r="D1751" t="e">
        <f>VLOOKUP(Charms!J1751,Values!$A$11:$S$59,19,0)&gt;=Charms!L1751</f>
        <v>#N/A</v>
      </c>
      <c r="E1751" t="e">
        <f>OR(ISBLANK(Charms!I1751),(VLOOKUP(Values!$S$6,Castes!$B$2:$F$25,4,0)=Charms!I1751))</f>
        <v>#N/A</v>
      </c>
      <c r="J1751" t="e">
        <f t="shared" ca="1" si="136"/>
        <v>#N/A</v>
      </c>
      <c r="K1751" s="18" t="e">
        <f t="shared" ca="1" si="135"/>
        <v>#N/A</v>
      </c>
      <c r="L1751" t="e">
        <f ca="1">IF(J1751,Charms!B1751,"")</f>
        <v>#N/A</v>
      </c>
      <c r="M1751" t="str">
        <f t="shared" ca="1" si="137"/>
        <v>-</v>
      </c>
      <c r="N1751" s="18" t="str">
        <f t="shared" si="138"/>
        <v>K1622:L5000</v>
      </c>
      <c r="O1751" t="str">
        <f t="shared" si="139"/>
        <v>A1622:A1751</v>
      </c>
    </row>
    <row r="1752" spans="1:15">
      <c r="A1752" s="18">
        <f>Charms!K1752</f>
        <v>0</v>
      </c>
      <c r="B1752">
        <f>Charms!B1752</f>
        <v>0</v>
      </c>
      <c r="C1752" t="b">
        <f ca="1">OR(Values!$S$98&gt;=Charms!M1752,IFERROR(Charms!J1752=OFFSET(Values!$A$24,MATCH("S",Values!$T$25:$T$50,0),0),FALSE))</f>
        <v>1</v>
      </c>
      <c r="D1752" t="e">
        <f>VLOOKUP(Charms!J1752,Values!$A$11:$S$59,19,0)&gt;=Charms!L1752</f>
        <v>#N/A</v>
      </c>
      <c r="E1752" t="e">
        <f>OR(ISBLANK(Charms!I1752),(VLOOKUP(Values!$S$6,Castes!$B$2:$F$25,4,0)=Charms!I1752))</f>
        <v>#N/A</v>
      </c>
      <c r="J1752" t="e">
        <f t="shared" ca="1" si="136"/>
        <v>#N/A</v>
      </c>
      <c r="K1752" s="18" t="e">
        <f t="shared" ca="1" si="135"/>
        <v>#N/A</v>
      </c>
      <c r="L1752" t="e">
        <f ca="1">IF(J1752,Charms!B1752,"")</f>
        <v>#N/A</v>
      </c>
      <c r="M1752" t="str">
        <f t="shared" ca="1" si="137"/>
        <v>-</v>
      </c>
      <c r="N1752" s="18" t="str">
        <f t="shared" si="138"/>
        <v>K1622:L5000</v>
      </c>
      <c r="O1752" t="str">
        <f t="shared" si="139"/>
        <v>A1622:A1752</v>
      </c>
    </row>
    <row r="1753" spans="1:15">
      <c r="A1753" s="18">
        <f>Charms!K1753</f>
        <v>0</v>
      </c>
      <c r="B1753">
        <f>Charms!B1753</f>
        <v>0</v>
      </c>
      <c r="C1753" t="b">
        <f ca="1">OR(Values!$S$98&gt;=Charms!M1753,IFERROR(Charms!J1753=OFFSET(Values!$A$24,MATCH("S",Values!$T$25:$T$50,0),0),FALSE))</f>
        <v>1</v>
      </c>
      <c r="D1753" t="e">
        <f>VLOOKUP(Charms!J1753,Values!$A$11:$S$59,19,0)&gt;=Charms!L1753</f>
        <v>#N/A</v>
      </c>
      <c r="E1753" t="e">
        <f>OR(ISBLANK(Charms!I1753),(VLOOKUP(Values!$S$6,Castes!$B$2:$F$25,4,0)=Charms!I1753))</f>
        <v>#N/A</v>
      </c>
      <c r="J1753" t="e">
        <f t="shared" ca="1" si="136"/>
        <v>#N/A</v>
      </c>
      <c r="K1753" s="18" t="e">
        <f t="shared" ca="1" si="135"/>
        <v>#N/A</v>
      </c>
      <c r="L1753" t="e">
        <f ca="1">IF(J1753,Charms!B1753,"")</f>
        <v>#N/A</v>
      </c>
      <c r="M1753" t="str">
        <f t="shared" ca="1" si="137"/>
        <v>-</v>
      </c>
      <c r="N1753" s="18" t="str">
        <f t="shared" si="138"/>
        <v>K1622:L5000</v>
      </c>
      <c r="O1753" t="str">
        <f t="shared" si="139"/>
        <v>A1622:A1753</v>
      </c>
    </row>
    <row r="1754" spans="1:15">
      <c r="A1754" s="18">
        <f>Charms!K1754</f>
        <v>0</v>
      </c>
      <c r="B1754">
        <f>Charms!B1754</f>
        <v>0</v>
      </c>
      <c r="C1754" t="b">
        <f ca="1">OR(Values!$S$98&gt;=Charms!M1754,IFERROR(Charms!J1754=OFFSET(Values!$A$24,MATCH("S",Values!$T$25:$T$50,0),0),FALSE))</f>
        <v>1</v>
      </c>
      <c r="D1754" t="e">
        <f>VLOOKUP(Charms!J1754,Values!$A$11:$S$59,19,0)&gt;=Charms!L1754</f>
        <v>#N/A</v>
      </c>
      <c r="E1754" t="e">
        <f>OR(ISBLANK(Charms!I1754),(VLOOKUP(Values!$S$6,Castes!$B$2:$F$25,4,0)=Charms!I1754))</f>
        <v>#N/A</v>
      </c>
      <c r="J1754" t="e">
        <f t="shared" ca="1" si="136"/>
        <v>#N/A</v>
      </c>
      <c r="K1754" s="18" t="e">
        <f t="shared" ca="1" si="135"/>
        <v>#N/A</v>
      </c>
      <c r="L1754" t="e">
        <f ca="1">IF(J1754,Charms!B1754,"")</f>
        <v>#N/A</v>
      </c>
      <c r="M1754" t="str">
        <f t="shared" ca="1" si="137"/>
        <v>-</v>
      </c>
      <c r="N1754" s="18" t="str">
        <f t="shared" si="138"/>
        <v>K1622:L5000</v>
      </c>
      <c r="O1754" t="str">
        <f t="shared" si="139"/>
        <v>A1622:A1754</v>
      </c>
    </row>
    <row r="1755" spans="1:15">
      <c r="A1755" s="18">
        <f>Charms!K1755</f>
        <v>0</v>
      </c>
      <c r="B1755">
        <f>Charms!B1755</f>
        <v>0</v>
      </c>
      <c r="C1755" t="b">
        <f ca="1">OR(Values!$S$98&gt;=Charms!M1755,IFERROR(Charms!J1755=OFFSET(Values!$A$24,MATCH("S",Values!$T$25:$T$50,0),0),FALSE))</f>
        <v>1</v>
      </c>
      <c r="D1755" t="e">
        <f>VLOOKUP(Charms!J1755,Values!$A$11:$S$59,19,0)&gt;=Charms!L1755</f>
        <v>#N/A</v>
      </c>
      <c r="E1755" t="e">
        <f>OR(ISBLANK(Charms!I1755),(VLOOKUP(Values!$S$6,Castes!$B$2:$F$25,4,0)=Charms!I1755))</f>
        <v>#N/A</v>
      </c>
      <c r="J1755" t="e">
        <f t="shared" ca="1" si="136"/>
        <v>#N/A</v>
      </c>
      <c r="K1755" s="18" t="e">
        <f t="shared" ca="1" si="135"/>
        <v>#N/A</v>
      </c>
      <c r="L1755" t="e">
        <f ca="1">IF(J1755,Charms!B1755,"")</f>
        <v>#N/A</v>
      </c>
      <c r="M1755" t="str">
        <f t="shared" ca="1" si="137"/>
        <v>-</v>
      </c>
      <c r="N1755" s="18" t="str">
        <f t="shared" si="138"/>
        <v>K1622:L5000</v>
      </c>
      <c r="O1755" t="str">
        <f t="shared" si="139"/>
        <v>A1622:A1755</v>
      </c>
    </row>
    <row r="1756" spans="1:15">
      <c r="A1756" s="18">
        <f>Charms!K1756</f>
        <v>0</v>
      </c>
      <c r="B1756">
        <f>Charms!B1756</f>
        <v>0</v>
      </c>
      <c r="C1756" t="b">
        <f ca="1">OR(Values!$S$98&gt;=Charms!M1756,IFERROR(Charms!J1756=OFFSET(Values!$A$24,MATCH("S",Values!$T$25:$T$50,0),0),FALSE))</f>
        <v>1</v>
      </c>
      <c r="D1756" t="e">
        <f>VLOOKUP(Charms!J1756,Values!$A$11:$S$59,19,0)&gt;=Charms!L1756</f>
        <v>#N/A</v>
      </c>
      <c r="E1756" t="e">
        <f>OR(ISBLANK(Charms!I1756),(VLOOKUP(Values!$S$6,Castes!$B$2:$F$25,4,0)=Charms!I1756))</f>
        <v>#N/A</v>
      </c>
      <c r="J1756" t="e">
        <f t="shared" ca="1" si="136"/>
        <v>#N/A</v>
      </c>
      <c r="K1756" s="18" t="e">
        <f t="shared" ca="1" si="135"/>
        <v>#N/A</v>
      </c>
      <c r="L1756" t="e">
        <f ca="1">IF(J1756,Charms!B1756,"")</f>
        <v>#N/A</v>
      </c>
      <c r="M1756" t="str">
        <f t="shared" ca="1" si="137"/>
        <v>-</v>
      </c>
      <c r="N1756" s="18" t="str">
        <f t="shared" si="138"/>
        <v>K1622:L5000</v>
      </c>
      <c r="O1756" t="str">
        <f t="shared" si="139"/>
        <v>A1622:A1756</v>
      </c>
    </row>
    <row r="1757" spans="1:15">
      <c r="A1757" s="18">
        <f>Charms!K1757</f>
        <v>0</v>
      </c>
      <c r="B1757">
        <f>Charms!B1757</f>
        <v>0</v>
      </c>
      <c r="C1757" t="b">
        <f ca="1">OR(Values!$S$98&gt;=Charms!M1757,IFERROR(Charms!J1757=OFFSET(Values!$A$24,MATCH("S",Values!$T$25:$T$50,0),0),FALSE))</f>
        <v>1</v>
      </c>
      <c r="D1757" t="e">
        <f>VLOOKUP(Charms!J1757,Values!$A$11:$S$59,19,0)&gt;=Charms!L1757</f>
        <v>#N/A</v>
      </c>
      <c r="E1757" t="e">
        <f>OR(ISBLANK(Charms!I1757),(VLOOKUP(Values!$S$6,Castes!$B$2:$F$25,4,0)=Charms!I1757))</f>
        <v>#N/A</v>
      </c>
      <c r="J1757" t="e">
        <f t="shared" ca="1" si="136"/>
        <v>#N/A</v>
      </c>
      <c r="K1757" s="18" t="e">
        <f t="shared" ca="1" si="135"/>
        <v>#N/A</v>
      </c>
      <c r="L1757" t="e">
        <f ca="1">IF(J1757,Charms!B1757,"")</f>
        <v>#N/A</v>
      </c>
      <c r="M1757" t="str">
        <f t="shared" ca="1" si="137"/>
        <v>-</v>
      </c>
      <c r="N1757" s="18" t="str">
        <f t="shared" si="138"/>
        <v>K1622:L5000</v>
      </c>
      <c r="O1757" t="str">
        <f t="shared" si="139"/>
        <v>A1622:A1757</v>
      </c>
    </row>
    <row r="1758" spans="1:15">
      <c r="A1758" s="18">
        <f>Charms!K1758</f>
        <v>0</v>
      </c>
      <c r="B1758">
        <f>Charms!B1758</f>
        <v>0</v>
      </c>
      <c r="C1758" t="b">
        <f ca="1">OR(Values!$S$98&gt;=Charms!M1758,IFERROR(Charms!J1758=OFFSET(Values!$A$24,MATCH("S",Values!$T$25:$T$50,0),0),FALSE))</f>
        <v>1</v>
      </c>
      <c r="D1758" t="e">
        <f>VLOOKUP(Charms!J1758,Values!$A$11:$S$59,19,0)&gt;=Charms!L1758</f>
        <v>#N/A</v>
      </c>
      <c r="E1758" t="e">
        <f>OR(ISBLANK(Charms!I1758),(VLOOKUP(Values!$S$6,Castes!$B$2:$F$25,4,0)=Charms!I1758))</f>
        <v>#N/A</v>
      </c>
      <c r="J1758" t="e">
        <f t="shared" ca="1" si="136"/>
        <v>#N/A</v>
      </c>
      <c r="K1758" s="18" t="e">
        <f t="shared" ca="1" si="135"/>
        <v>#N/A</v>
      </c>
      <c r="L1758" t="e">
        <f ca="1">IF(J1758,Charms!B1758,"")</f>
        <v>#N/A</v>
      </c>
      <c r="M1758" t="str">
        <f t="shared" ca="1" si="137"/>
        <v>-</v>
      </c>
      <c r="N1758" s="18" t="str">
        <f t="shared" si="138"/>
        <v>K1622:L5000</v>
      </c>
      <c r="O1758" t="str">
        <f t="shared" si="139"/>
        <v>A1622:A1758</v>
      </c>
    </row>
    <row r="1759" spans="1:15">
      <c r="A1759" s="18">
        <f>Charms!K1759</f>
        <v>0</v>
      </c>
      <c r="B1759">
        <f>Charms!B1759</f>
        <v>0</v>
      </c>
      <c r="C1759" t="b">
        <f ca="1">OR(Values!$S$98&gt;=Charms!M1759,IFERROR(Charms!J1759=OFFSET(Values!$A$24,MATCH("S",Values!$T$25:$T$50,0),0),FALSE))</f>
        <v>1</v>
      </c>
      <c r="D1759" t="e">
        <f>VLOOKUP(Charms!J1759,Values!$A$11:$S$59,19,0)&gt;=Charms!L1759</f>
        <v>#N/A</v>
      </c>
      <c r="E1759" t="e">
        <f>OR(ISBLANK(Charms!I1759),(VLOOKUP(Values!$S$6,Castes!$B$2:$F$25,4,0)=Charms!I1759))</f>
        <v>#N/A</v>
      </c>
      <c r="J1759" t="e">
        <f t="shared" ca="1" si="136"/>
        <v>#N/A</v>
      </c>
      <c r="K1759" s="18" t="e">
        <f t="shared" ca="1" si="135"/>
        <v>#N/A</v>
      </c>
      <c r="L1759" t="e">
        <f ca="1">IF(J1759,Charms!B1759,"")</f>
        <v>#N/A</v>
      </c>
      <c r="M1759" t="str">
        <f t="shared" ca="1" si="137"/>
        <v>-</v>
      </c>
      <c r="N1759" s="18" t="str">
        <f t="shared" si="138"/>
        <v>K1622:L5000</v>
      </c>
      <c r="O1759" t="str">
        <f t="shared" si="139"/>
        <v>A1622:A1759</v>
      </c>
    </row>
    <row r="1760" spans="1:15">
      <c r="A1760" s="18">
        <f>Charms!K1760</f>
        <v>0</v>
      </c>
      <c r="B1760">
        <f>Charms!B1760</f>
        <v>0</v>
      </c>
      <c r="C1760" t="b">
        <f ca="1">OR(Values!$S$98&gt;=Charms!M1760,IFERROR(Charms!J1760=OFFSET(Values!$A$24,MATCH("S",Values!$T$25:$T$50,0),0),FALSE))</f>
        <v>1</v>
      </c>
      <c r="D1760" t="e">
        <f>VLOOKUP(Charms!J1760,Values!$A$11:$S$59,19,0)&gt;=Charms!L1760</f>
        <v>#N/A</v>
      </c>
      <c r="E1760" t="e">
        <f>OR(ISBLANK(Charms!I1760),(VLOOKUP(Values!$S$6,Castes!$B$2:$F$25,4,0)=Charms!I1760))</f>
        <v>#N/A</v>
      </c>
      <c r="J1760" t="e">
        <f t="shared" ca="1" si="136"/>
        <v>#N/A</v>
      </c>
      <c r="K1760" s="18" t="e">
        <f t="shared" ca="1" si="135"/>
        <v>#N/A</v>
      </c>
      <c r="L1760" t="e">
        <f ca="1">IF(J1760,Charms!B1760,"")</f>
        <v>#N/A</v>
      </c>
      <c r="M1760" t="str">
        <f t="shared" ca="1" si="137"/>
        <v>-</v>
      </c>
      <c r="N1760" s="18" t="str">
        <f t="shared" si="138"/>
        <v>K1622:L5000</v>
      </c>
      <c r="O1760" t="str">
        <f t="shared" si="139"/>
        <v>A1622:A1760</v>
      </c>
    </row>
    <row r="1761" spans="1:15">
      <c r="A1761" s="18">
        <f>Charms!K1761</f>
        <v>0</v>
      </c>
      <c r="B1761">
        <f>Charms!B1761</f>
        <v>0</v>
      </c>
      <c r="C1761" t="b">
        <f ca="1">OR(Values!$S$98&gt;=Charms!M1761,IFERROR(Charms!J1761=OFFSET(Values!$A$24,MATCH("S",Values!$T$25:$T$50,0),0),FALSE))</f>
        <v>1</v>
      </c>
      <c r="D1761" t="e">
        <f>VLOOKUP(Charms!J1761,Values!$A$11:$S$59,19,0)&gt;=Charms!L1761</f>
        <v>#N/A</v>
      </c>
      <c r="E1761" t="e">
        <f>OR(ISBLANK(Charms!I1761),(VLOOKUP(Values!$S$6,Castes!$B$2:$F$25,4,0)=Charms!I1761))</f>
        <v>#N/A</v>
      </c>
      <c r="J1761" t="e">
        <f t="shared" ca="1" si="136"/>
        <v>#N/A</v>
      </c>
      <c r="K1761" s="18" t="e">
        <f t="shared" ca="1" si="135"/>
        <v>#N/A</v>
      </c>
      <c r="L1761" t="e">
        <f ca="1">IF(J1761,Charms!B1761,"")</f>
        <v>#N/A</v>
      </c>
      <c r="M1761" t="str">
        <f t="shared" ca="1" si="137"/>
        <v>-</v>
      </c>
      <c r="N1761" s="18" t="str">
        <f t="shared" si="138"/>
        <v>K1622:L5000</v>
      </c>
      <c r="O1761" t="str">
        <f t="shared" si="139"/>
        <v>A1622:A1761</v>
      </c>
    </row>
    <row r="1762" spans="1:15">
      <c r="A1762" s="18">
        <f>Charms!K1762</f>
        <v>0</v>
      </c>
      <c r="B1762">
        <f>Charms!B1762</f>
        <v>0</v>
      </c>
      <c r="C1762" t="b">
        <f ca="1">OR(Values!$S$98&gt;=Charms!M1762,IFERROR(Charms!J1762=OFFSET(Values!$A$24,MATCH("S",Values!$T$25:$T$50,0),0),FALSE))</f>
        <v>1</v>
      </c>
      <c r="D1762" t="e">
        <f>VLOOKUP(Charms!J1762,Values!$A$11:$S$59,19,0)&gt;=Charms!L1762</f>
        <v>#N/A</v>
      </c>
      <c r="E1762" t="e">
        <f>OR(ISBLANK(Charms!I1762),(VLOOKUP(Values!$S$6,Castes!$B$2:$F$25,4,0)=Charms!I1762))</f>
        <v>#N/A</v>
      </c>
      <c r="J1762" t="e">
        <f t="shared" ca="1" si="136"/>
        <v>#N/A</v>
      </c>
      <c r="K1762" s="18" t="e">
        <f t="shared" ca="1" si="135"/>
        <v>#N/A</v>
      </c>
      <c r="L1762" t="e">
        <f ca="1">IF(J1762,Charms!B1762,"")</f>
        <v>#N/A</v>
      </c>
      <c r="M1762" t="str">
        <f t="shared" ca="1" si="137"/>
        <v>-</v>
      </c>
      <c r="N1762" s="18" t="str">
        <f t="shared" si="138"/>
        <v>K1622:L5000</v>
      </c>
      <c r="O1762" t="str">
        <f t="shared" si="139"/>
        <v>A1622:A1762</v>
      </c>
    </row>
    <row r="1763" spans="1:15">
      <c r="A1763" s="18">
        <f>Charms!K1763</f>
        <v>0</v>
      </c>
      <c r="B1763">
        <f>Charms!B1763</f>
        <v>0</v>
      </c>
      <c r="C1763" t="b">
        <f ca="1">OR(Values!$S$98&gt;=Charms!M1763,IFERROR(Charms!J1763=OFFSET(Values!$A$24,MATCH("S",Values!$T$25:$T$50,0),0),FALSE))</f>
        <v>1</v>
      </c>
      <c r="D1763" t="e">
        <f>VLOOKUP(Charms!J1763,Values!$A$11:$S$59,19,0)&gt;=Charms!L1763</f>
        <v>#N/A</v>
      </c>
      <c r="E1763" t="e">
        <f>OR(ISBLANK(Charms!I1763),(VLOOKUP(Values!$S$6,Castes!$B$2:$F$25,4,0)=Charms!I1763))</f>
        <v>#N/A</v>
      </c>
      <c r="J1763" t="e">
        <f t="shared" ca="1" si="136"/>
        <v>#N/A</v>
      </c>
      <c r="K1763" s="18" t="e">
        <f t="shared" ca="1" si="135"/>
        <v>#N/A</v>
      </c>
      <c r="L1763" t="e">
        <f ca="1">IF(J1763,Charms!B1763,"")</f>
        <v>#N/A</v>
      </c>
      <c r="M1763" t="str">
        <f t="shared" ca="1" si="137"/>
        <v>-</v>
      </c>
      <c r="N1763" s="18" t="str">
        <f t="shared" si="138"/>
        <v>K1622:L5000</v>
      </c>
      <c r="O1763" t="str">
        <f t="shared" si="139"/>
        <v>A1622:A1763</v>
      </c>
    </row>
    <row r="1764" spans="1:15">
      <c r="A1764" s="18">
        <f>Charms!K1764</f>
        <v>0</v>
      </c>
      <c r="B1764">
        <f>Charms!B1764</f>
        <v>0</v>
      </c>
      <c r="C1764" t="b">
        <f ca="1">OR(Values!$S$98&gt;=Charms!M1764,IFERROR(Charms!J1764=OFFSET(Values!$A$24,MATCH("S",Values!$T$25:$T$50,0),0),FALSE))</f>
        <v>1</v>
      </c>
      <c r="D1764" t="e">
        <f>VLOOKUP(Charms!J1764,Values!$A$11:$S$59,19,0)&gt;=Charms!L1764</f>
        <v>#N/A</v>
      </c>
      <c r="E1764" t="e">
        <f>OR(ISBLANK(Charms!I1764),(VLOOKUP(Values!$S$6,Castes!$B$2:$F$25,4,0)=Charms!I1764))</f>
        <v>#N/A</v>
      </c>
      <c r="J1764" t="e">
        <f t="shared" ca="1" si="136"/>
        <v>#N/A</v>
      </c>
      <c r="K1764" s="18" t="e">
        <f t="shared" ca="1" si="135"/>
        <v>#N/A</v>
      </c>
      <c r="L1764" t="e">
        <f ca="1">IF(J1764,Charms!B1764,"")</f>
        <v>#N/A</v>
      </c>
      <c r="M1764" t="str">
        <f t="shared" ca="1" si="137"/>
        <v>-</v>
      </c>
      <c r="N1764" s="18" t="str">
        <f t="shared" si="138"/>
        <v>K1622:L5000</v>
      </c>
      <c r="O1764" t="str">
        <f t="shared" si="139"/>
        <v>A1622:A1764</v>
      </c>
    </row>
    <row r="1765" spans="1:15">
      <c r="A1765" s="18">
        <f>Charms!K1765</f>
        <v>0</v>
      </c>
      <c r="B1765">
        <f>Charms!B1765</f>
        <v>0</v>
      </c>
      <c r="C1765" t="b">
        <f ca="1">OR(Values!$S$98&gt;=Charms!M1765,IFERROR(Charms!J1765=OFFSET(Values!$A$24,MATCH("S",Values!$T$25:$T$50,0),0),FALSE))</f>
        <v>1</v>
      </c>
      <c r="D1765" t="e">
        <f>VLOOKUP(Charms!J1765,Values!$A$11:$S$59,19,0)&gt;=Charms!L1765</f>
        <v>#N/A</v>
      </c>
      <c r="E1765" t="e">
        <f>OR(ISBLANK(Charms!I1765),(VLOOKUP(Values!$S$6,Castes!$B$2:$F$25,4,0)=Charms!I1765))</f>
        <v>#N/A</v>
      </c>
      <c r="J1765" t="e">
        <f t="shared" ca="1" si="136"/>
        <v>#N/A</v>
      </c>
      <c r="K1765" s="18" t="e">
        <f t="shared" ca="1" si="135"/>
        <v>#N/A</v>
      </c>
      <c r="L1765" t="e">
        <f ca="1">IF(J1765,Charms!B1765,"")</f>
        <v>#N/A</v>
      </c>
      <c r="M1765" t="str">
        <f t="shared" ca="1" si="137"/>
        <v>-</v>
      </c>
      <c r="N1765" s="18" t="str">
        <f t="shared" si="138"/>
        <v>K1622:L5000</v>
      </c>
      <c r="O1765" t="str">
        <f t="shared" si="139"/>
        <v>A1622:A1765</v>
      </c>
    </row>
    <row r="1766" spans="1:15">
      <c r="A1766" s="18">
        <f>Charms!K1766</f>
        <v>0</v>
      </c>
      <c r="B1766">
        <f>Charms!B1766</f>
        <v>0</v>
      </c>
      <c r="C1766" t="b">
        <f ca="1">OR(Values!$S$98&gt;=Charms!M1766,IFERROR(Charms!J1766=OFFSET(Values!$A$24,MATCH("S",Values!$T$25:$T$50,0),0),FALSE))</f>
        <v>1</v>
      </c>
      <c r="D1766" t="e">
        <f>VLOOKUP(Charms!J1766,Values!$A$11:$S$59,19,0)&gt;=Charms!L1766</f>
        <v>#N/A</v>
      </c>
      <c r="E1766" t="e">
        <f>OR(ISBLANK(Charms!I1766),(VLOOKUP(Values!$S$6,Castes!$B$2:$F$25,4,0)=Charms!I1766))</f>
        <v>#N/A</v>
      </c>
      <c r="J1766" t="e">
        <f t="shared" ca="1" si="136"/>
        <v>#N/A</v>
      </c>
      <c r="K1766" s="18" t="e">
        <f t="shared" ca="1" si="135"/>
        <v>#N/A</v>
      </c>
      <c r="L1766" t="e">
        <f ca="1">IF(J1766,Charms!B1766,"")</f>
        <v>#N/A</v>
      </c>
      <c r="M1766" t="str">
        <f t="shared" ca="1" si="137"/>
        <v>-</v>
      </c>
      <c r="N1766" s="18" t="str">
        <f t="shared" si="138"/>
        <v>K1622:L5000</v>
      </c>
      <c r="O1766" t="str">
        <f t="shared" si="139"/>
        <v>A1622:A1766</v>
      </c>
    </row>
    <row r="1767" spans="1:15">
      <c r="A1767" s="18">
        <f>Charms!K1767</f>
        <v>0</v>
      </c>
      <c r="B1767">
        <f>Charms!B1767</f>
        <v>0</v>
      </c>
      <c r="C1767" t="b">
        <f ca="1">OR(Values!$S$98&gt;=Charms!M1767,IFERROR(Charms!J1767=OFFSET(Values!$A$24,MATCH("S",Values!$T$25:$T$50,0),0),FALSE))</f>
        <v>1</v>
      </c>
      <c r="D1767" t="e">
        <f>VLOOKUP(Charms!J1767,Values!$A$11:$S$59,19,0)&gt;=Charms!L1767</f>
        <v>#N/A</v>
      </c>
      <c r="E1767" t="e">
        <f>OR(ISBLANK(Charms!I1767),(VLOOKUP(Values!$S$6,Castes!$B$2:$F$25,4,0)=Charms!I1767))</f>
        <v>#N/A</v>
      </c>
      <c r="J1767" t="e">
        <f t="shared" ca="1" si="136"/>
        <v>#N/A</v>
      </c>
      <c r="K1767" s="18" t="e">
        <f t="shared" ca="1" si="135"/>
        <v>#N/A</v>
      </c>
      <c r="L1767" t="e">
        <f ca="1">IF(J1767,Charms!B1767,"")</f>
        <v>#N/A</v>
      </c>
      <c r="M1767" t="str">
        <f t="shared" ca="1" si="137"/>
        <v>-</v>
      </c>
      <c r="N1767" s="18" t="str">
        <f t="shared" si="138"/>
        <v>K1622:L5000</v>
      </c>
      <c r="O1767" t="str">
        <f t="shared" si="139"/>
        <v>A1622:A1767</v>
      </c>
    </row>
    <row r="1768" spans="1:15">
      <c r="A1768" s="18">
        <f>Charms!K1768</f>
        <v>0</v>
      </c>
      <c r="B1768">
        <f>Charms!B1768</f>
        <v>0</v>
      </c>
      <c r="C1768" t="b">
        <f ca="1">OR(Values!$S$98&gt;=Charms!M1768,IFERROR(Charms!J1768=OFFSET(Values!$A$24,MATCH("S",Values!$T$25:$T$50,0),0),FALSE))</f>
        <v>1</v>
      </c>
      <c r="D1768" t="e">
        <f>VLOOKUP(Charms!J1768,Values!$A$11:$S$59,19,0)&gt;=Charms!L1768</f>
        <v>#N/A</v>
      </c>
      <c r="E1768" t="e">
        <f>OR(ISBLANK(Charms!I1768),(VLOOKUP(Values!$S$6,Castes!$B$2:$F$25,4,0)=Charms!I1768))</f>
        <v>#N/A</v>
      </c>
      <c r="J1768" t="e">
        <f t="shared" ca="1" si="136"/>
        <v>#N/A</v>
      </c>
      <c r="K1768" s="18" t="e">
        <f t="shared" ca="1" si="135"/>
        <v>#N/A</v>
      </c>
      <c r="L1768" t="e">
        <f ca="1">IF(J1768,Charms!B1768,"")</f>
        <v>#N/A</v>
      </c>
      <c r="M1768" t="str">
        <f t="shared" ca="1" si="137"/>
        <v>-</v>
      </c>
      <c r="N1768" s="18" t="str">
        <f t="shared" si="138"/>
        <v>K1622:L5000</v>
      </c>
      <c r="O1768" t="str">
        <f t="shared" si="139"/>
        <v>A1622:A1768</v>
      </c>
    </row>
    <row r="1769" spans="1:15">
      <c r="A1769" s="18">
        <f>Charms!K1769</f>
        <v>0</v>
      </c>
      <c r="B1769">
        <f>Charms!B1769</f>
        <v>0</v>
      </c>
      <c r="C1769" t="b">
        <f ca="1">OR(Values!$S$98&gt;=Charms!M1769,IFERROR(Charms!J1769=OFFSET(Values!$A$24,MATCH("S",Values!$T$25:$T$50,0),0),FALSE))</f>
        <v>1</v>
      </c>
      <c r="D1769" t="e">
        <f>VLOOKUP(Charms!J1769,Values!$A$11:$S$59,19,0)&gt;=Charms!L1769</f>
        <v>#N/A</v>
      </c>
      <c r="E1769" t="e">
        <f>OR(ISBLANK(Charms!I1769),(VLOOKUP(Values!$S$6,Castes!$B$2:$F$25,4,0)=Charms!I1769))</f>
        <v>#N/A</v>
      </c>
      <c r="J1769" t="e">
        <f t="shared" ca="1" si="136"/>
        <v>#N/A</v>
      </c>
      <c r="K1769" s="18" t="e">
        <f t="shared" ca="1" si="135"/>
        <v>#N/A</v>
      </c>
      <c r="L1769" t="e">
        <f ca="1">IF(J1769,Charms!B1769,"")</f>
        <v>#N/A</v>
      </c>
      <c r="M1769" t="str">
        <f t="shared" ca="1" si="137"/>
        <v>-</v>
      </c>
      <c r="N1769" s="18" t="str">
        <f t="shared" si="138"/>
        <v>K1622:L5000</v>
      </c>
      <c r="O1769" t="str">
        <f t="shared" si="139"/>
        <v>A1622:A1769</v>
      </c>
    </row>
    <row r="1770" spans="1:15">
      <c r="A1770" s="18">
        <f>Charms!K1770</f>
        <v>0</v>
      </c>
      <c r="B1770">
        <f>Charms!B1770</f>
        <v>0</v>
      </c>
      <c r="C1770" t="b">
        <f ca="1">OR(Values!$S$98&gt;=Charms!M1770,IFERROR(Charms!J1770=OFFSET(Values!$A$24,MATCH("S",Values!$T$25:$T$50,0),0),FALSE))</f>
        <v>1</v>
      </c>
      <c r="D1770" t="e">
        <f>VLOOKUP(Charms!J1770,Values!$A$11:$S$59,19,0)&gt;=Charms!L1770</f>
        <v>#N/A</v>
      </c>
      <c r="E1770" t="e">
        <f>OR(ISBLANK(Charms!I1770),(VLOOKUP(Values!$S$6,Castes!$B$2:$F$25,4,0)=Charms!I1770))</f>
        <v>#N/A</v>
      </c>
      <c r="J1770" t="e">
        <f t="shared" ca="1" si="136"/>
        <v>#N/A</v>
      </c>
      <c r="K1770" s="18" t="e">
        <f t="shared" ca="1" si="135"/>
        <v>#N/A</v>
      </c>
      <c r="L1770" t="e">
        <f ca="1">IF(J1770,Charms!B1770,"")</f>
        <v>#N/A</v>
      </c>
      <c r="M1770" t="str">
        <f t="shared" ca="1" si="137"/>
        <v>-</v>
      </c>
      <c r="N1770" s="18" t="str">
        <f t="shared" si="138"/>
        <v>K1622:L5000</v>
      </c>
      <c r="O1770" t="str">
        <f t="shared" si="139"/>
        <v>A1622:A1770</v>
      </c>
    </row>
    <row r="1771" spans="1:15">
      <c r="A1771" s="18">
        <f>Charms!K1771</f>
        <v>0</v>
      </c>
      <c r="B1771">
        <f>Charms!B1771</f>
        <v>0</v>
      </c>
      <c r="C1771" t="b">
        <f ca="1">OR(Values!$S$98&gt;=Charms!M1771,IFERROR(Charms!J1771=OFFSET(Values!$A$24,MATCH("S",Values!$T$25:$T$50,0),0),FALSE))</f>
        <v>1</v>
      </c>
      <c r="D1771" t="e">
        <f>VLOOKUP(Charms!J1771,Values!$A$11:$S$59,19,0)&gt;=Charms!L1771</f>
        <v>#N/A</v>
      </c>
      <c r="E1771" t="e">
        <f>OR(ISBLANK(Charms!I1771),(VLOOKUP(Values!$S$6,Castes!$B$2:$F$25,4,0)=Charms!I1771))</f>
        <v>#N/A</v>
      </c>
      <c r="J1771" t="e">
        <f t="shared" ca="1" si="136"/>
        <v>#N/A</v>
      </c>
      <c r="K1771" s="18" t="e">
        <f t="shared" ca="1" si="135"/>
        <v>#N/A</v>
      </c>
      <c r="L1771" t="e">
        <f ca="1">IF(J1771,Charms!B1771,"")</f>
        <v>#N/A</v>
      </c>
      <c r="M1771" t="str">
        <f t="shared" ca="1" si="137"/>
        <v>-</v>
      </c>
      <c r="N1771" s="18" t="str">
        <f t="shared" si="138"/>
        <v>K1622:L5000</v>
      </c>
      <c r="O1771" t="str">
        <f t="shared" si="139"/>
        <v>A1622:A1771</v>
      </c>
    </row>
    <row r="1772" spans="1:15">
      <c r="A1772" s="18">
        <f>Charms!K1772</f>
        <v>0</v>
      </c>
      <c r="B1772">
        <f>Charms!B1772</f>
        <v>0</v>
      </c>
      <c r="C1772" t="b">
        <f ca="1">OR(Values!$S$98&gt;=Charms!M1772,IFERROR(Charms!J1772=OFFSET(Values!$A$24,MATCH("S",Values!$T$25:$T$50,0),0),FALSE))</f>
        <v>1</v>
      </c>
      <c r="D1772" t="e">
        <f>VLOOKUP(Charms!J1772,Values!$A$11:$S$59,19,0)&gt;=Charms!L1772</f>
        <v>#N/A</v>
      </c>
      <c r="E1772" t="e">
        <f>OR(ISBLANK(Charms!I1772),(VLOOKUP(Values!$S$6,Castes!$B$2:$F$25,4,0)=Charms!I1772))</f>
        <v>#N/A</v>
      </c>
      <c r="J1772" t="e">
        <f t="shared" ca="1" si="136"/>
        <v>#N/A</v>
      </c>
      <c r="K1772" s="18" t="e">
        <f t="shared" ca="1" si="135"/>
        <v>#N/A</v>
      </c>
      <c r="L1772" t="e">
        <f ca="1">IF(J1772,Charms!B1772,"")</f>
        <v>#N/A</v>
      </c>
      <c r="M1772" t="str">
        <f t="shared" ca="1" si="137"/>
        <v>-</v>
      </c>
      <c r="N1772" s="18" t="str">
        <f t="shared" si="138"/>
        <v>K1622:L5000</v>
      </c>
      <c r="O1772" t="str">
        <f t="shared" si="139"/>
        <v>A1622:A1772</v>
      </c>
    </row>
    <row r="1773" spans="1:15">
      <c r="A1773" s="18">
        <f>Charms!K1773</f>
        <v>0</v>
      </c>
      <c r="B1773">
        <f>Charms!B1773</f>
        <v>0</v>
      </c>
      <c r="C1773" t="b">
        <f ca="1">OR(Values!$S$98&gt;=Charms!M1773,IFERROR(Charms!J1773=OFFSET(Values!$A$24,MATCH("S",Values!$T$25:$T$50,0),0),FALSE))</f>
        <v>1</v>
      </c>
      <c r="D1773" t="e">
        <f>VLOOKUP(Charms!J1773,Values!$A$11:$S$59,19,0)&gt;=Charms!L1773</f>
        <v>#N/A</v>
      </c>
      <c r="E1773" t="e">
        <f>OR(ISBLANK(Charms!I1773),(VLOOKUP(Values!$S$6,Castes!$B$2:$F$25,4,0)=Charms!I1773))</f>
        <v>#N/A</v>
      </c>
      <c r="J1773" t="e">
        <f t="shared" ca="1" si="136"/>
        <v>#N/A</v>
      </c>
      <c r="K1773" s="18" t="e">
        <f t="shared" ca="1" si="135"/>
        <v>#N/A</v>
      </c>
      <c r="L1773" t="e">
        <f ca="1">IF(J1773,Charms!B1773,"")</f>
        <v>#N/A</v>
      </c>
      <c r="M1773" t="str">
        <f t="shared" ca="1" si="137"/>
        <v>-</v>
      </c>
      <c r="N1773" s="18" t="str">
        <f t="shared" si="138"/>
        <v>K1622:L5000</v>
      </c>
      <c r="O1773" t="str">
        <f t="shared" si="139"/>
        <v>A1622:A1773</v>
      </c>
    </row>
    <row r="1774" spans="1:15">
      <c r="A1774" s="18">
        <f>Charms!K1774</f>
        <v>0</v>
      </c>
      <c r="B1774">
        <f>Charms!B1774</f>
        <v>0</v>
      </c>
      <c r="C1774" t="b">
        <f ca="1">OR(Values!$S$98&gt;=Charms!M1774,IFERROR(Charms!J1774=OFFSET(Values!$A$24,MATCH("S",Values!$T$25:$T$50,0),0),FALSE))</f>
        <v>1</v>
      </c>
      <c r="D1774" t="e">
        <f>VLOOKUP(Charms!J1774,Values!$A$11:$S$59,19,0)&gt;=Charms!L1774</f>
        <v>#N/A</v>
      </c>
      <c r="E1774" t="e">
        <f>OR(ISBLANK(Charms!I1774),(VLOOKUP(Values!$S$6,Castes!$B$2:$F$25,4,0)=Charms!I1774))</f>
        <v>#N/A</v>
      </c>
      <c r="J1774" t="e">
        <f t="shared" ca="1" si="136"/>
        <v>#N/A</v>
      </c>
      <c r="K1774" s="18" t="e">
        <f t="shared" ca="1" si="135"/>
        <v>#N/A</v>
      </c>
      <c r="L1774" t="e">
        <f ca="1">IF(J1774,Charms!B1774,"")</f>
        <v>#N/A</v>
      </c>
      <c r="M1774" t="str">
        <f t="shared" ca="1" si="137"/>
        <v>-</v>
      </c>
      <c r="N1774" s="18" t="str">
        <f t="shared" si="138"/>
        <v>K1622:L5000</v>
      </c>
      <c r="O1774" t="str">
        <f t="shared" si="139"/>
        <v>A1622:A1774</v>
      </c>
    </row>
    <row r="1775" spans="1:15">
      <c r="A1775" s="18">
        <f>Charms!K1775</f>
        <v>0</v>
      </c>
      <c r="B1775">
        <f>Charms!B1775</f>
        <v>0</v>
      </c>
      <c r="C1775" t="b">
        <f ca="1">OR(Values!$S$98&gt;=Charms!M1775,IFERROR(Charms!J1775=OFFSET(Values!$A$24,MATCH("S",Values!$T$25:$T$50,0),0),FALSE))</f>
        <v>1</v>
      </c>
      <c r="D1775" t="e">
        <f>VLOOKUP(Charms!J1775,Values!$A$11:$S$59,19,0)&gt;=Charms!L1775</f>
        <v>#N/A</v>
      </c>
      <c r="E1775" t="e">
        <f>OR(ISBLANK(Charms!I1775),(VLOOKUP(Values!$S$6,Castes!$B$2:$F$25,4,0)=Charms!I1775))</f>
        <v>#N/A</v>
      </c>
      <c r="J1775" t="e">
        <f t="shared" ca="1" si="136"/>
        <v>#N/A</v>
      </c>
      <c r="K1775" s="18" t="e">
        <f t="shared" ca="1" si="135"/>
        <v>#N/A</v>
      </c>
      <c r="L1775" t="e">
        <f ca="1">IF(J1775,Charms!B1775,"")</f>
        <v>#N/A</v>
      </c>
      <c r="M1775" t="str">
        <f t="shared" ca="1" si="137"/>
        <v>-</v>
      </c>
      <c r="N1775" s="18" t="str">
        <f t="shared" si="138"/>
        <v>K1622:L5000</v>
      </c>
      <c r="O1775" t="str">
        <f t="shared" si="139"/>
        <v>A1622:A1775</v>
      </c>
    </row>
    <row r="1776" spans="1:15">
      <c r="A1776" s="18">
        <f>Charms!K1776</f>
        <v>0</v>
      </c>
      <c r="B1776">
        <f>Charms!B1776</f>
        <v>0</v>
      </c>
      <c r="C1776" t="b">
        <f ca="1">OR(Values!$S$98&gt;=Charms!M1776,IFERROR(Charms!J1776=OFFSET(Values!$A$24,MATCH("S",Values!$T$25:$T$50,0),0),FALSE))</f>
        <v>1</v>
      </c>
      <c r="D1776" t="e">
        <f>VLOOKUP(Charms!J1776,Values!$A$11:$S$59,19,0)&gt;=Charms!L1776</f>
        <v>#N/A</v>
      </c>
      <c r="E1776" t="e">
        <f>OR(ISBLANK(Charms!I1776),(VLOOKUP(Values!$S$6,Castes!$B$2:$F$25,4,0)=Charms!I1776))</f>
        <v>#N/A</v>
      </c>
      <c r="J1776" t="e">
        <f t="shared" ca="1" si="136"/>
        <v>#N/A</v>
      </c>
      <c r="K1776" s="18" t="e">
        <f t="shared" ca="1" si="135"/>
        <v>#N/A</v>
      </c>
      <c r="L1776" t="e">
        <f ca="1">IF(J1776,Charms!B1776,"")</f>
        <v>#N/A</v>
      </c>
      <c r="M1776" t="str">
        <f t="shared" ca="1" si="137"/>
        <v>-</v>
      </c>
      <c r="N1776" s="18" t="str">
        <f t="shared" si="138"/>
        <v>K1622:L5000</v>
      </c>
      <c r="O1776" t="str">
        <f t="shared" si="139"/>
        <v>A1622:A1776</v>
      </c>
    </row>
    <row r="1777" spans="1:15">
      <c r="A1777" s="18">
        <f>Charms!K1777</f>
        <v>0</v>
      </c>
      <c r="B1777">
        <f>Charms!B1777</f>
        <v>0</v>
      </c>
      <c r="C1777" t="b">
        <f ca="1">OR(Values!$S$98&gt;=Charms!M1777,IFERROR(Charms!J1777=OFFSET(Values!$A$24,MATCH("S",Values!$T$25:$T$50,0),0),FALSE))</f>
        <v>1</v>
      </c>
      <c r="D1777" t="e">
        <f>VLOOKUP(Charms!J1777,Values!$A$11:$S$59,19,0)&gt;=Charms!L1777</f>
        <v>#N/A</v>
      </c>
      <c r="E1777" t="e">
        <f>OR(ISBLANK(Charms!I1777),(VLOOKUP(Values!$S$6,Castes!$B$2:$F$25,4,0)=Charms!I1777))</f>
        <v>#N/A</v>
      </c>
      <c r="J1777" t="e">
        <f t="shared" ca="1" si="136"/>
        <v>#N/A</v>
      </c>
      <c r="K1777" s="18" t="e">
        <f t="shared" ca="1" si="135"/>
        <v>#N/A</v>
      </c>
      <c r="L1777" t="e">
        <f ca="1">IF(J1777,Charms!B1777,"")</f>
        <v>#N/A</v>
      </c>
      <c r="M1777" t="str">
        <f t="shared" ca="1" si="137"/>
        <v>-</v>
      </c>
      <c r="N1777" s="18" t="str">
        <f t="shared" si="138"/>
        <v>K1622:L5000</v>
      </c>
      <c r="O1777" t="str">
        <f t="shared" si="139"/>
        <v>A1622:A1777</v>
      </c>
    </row>
    <row r="1778" spans="1:15">
      <c r="A1778" s="18">
        <f>Charms!K1778</f>
        <v>0</v>
      </c>
      <c r="B1778">
        <f>Charms!B1778</f>
        <v>0</v>
      </c>
      <c r="C1778" t="b">
        <f ca="1">OR(Values!$S$98&gt;=Charms!M1778,IFERROR(Charms!J1778=OFFSET(Values!$A$24,MATCH("S",Values!$T$25:$T$50,0),0),FALSE))</f>
        <v>1</v>
      </c>
      <c r="D1778" t="e">
        <f>VLOOKUP(Charms!J1778,Values!$A$11:$S$59,19,0)&gt;=Charms!L1778</f>
        <v>#N/A</v>
      </c>
      <c r="E1778" t="e">
        <f>OR(ISBLANK(Charms!I1778),(VLOOKUP(Values!$S$6,Castes!$B$2:$F$25,4,0)=Charms!I1778))</f>
        <v>#N/A</v>
      </c>
      <c r="J1778" t="e">
        <f t="shared" ca="1" si="136"/>
        <v>#N/A</v>
      </c>
      <c r="K1778" s="18" t="e">
        <f t="shared" ca="1" si="135"/>
        <v>#N/A</v>
      </c>
      <c r="L1778" t="e">
        <f ca="1">IF(J1778,Charms!B1778,"")</f>
        <v>#N/A</v>
      </c>
      <c r="M1778" t="str">
        <f t="shared" ca="1" si="137"/>
        <v>-</v>
      </c>
      <c r="N1778" s="18" t="str">
        <f t="shared" si="138"/>
        <v>K1622:L5000</v>
      </c>
      <c r="O1778" t="str">
        <f t="shared" si="139"/>
        <v>A1622:A1778</v>
      </c>
    </row>
    <row r="1779" spans="1:15">
      <c r="A1779" s="18">
        <f>Charms!K1779</f>
        <v>0</v>
      </c>
      <c r="B1779">
        <f>Charms!B1779</f>
        <v>0</v>
      </c>
      <c r="C1779" t="b">
        <f ca="1">OR(Values!$S$98&gt;=Charms!M1779,IFERROR(Charms!J1779=OFFSET(Values!$A$24,MATCH("S",Values!$T$25:$T$50,0),0),FALSE))</f>
        <v>1</v>
      </c>
      <c r="D1779" t="e">
        <f>VLOOKUP(Charms!J1779,Values!$A$11:$S$59,19,0)&gt;=Charms!L1779</f>
        <v>#N/A</v>
      </c>
      <c r="E1779" t="e">
        <f>OR(ISBLANK(Charms!I1779),(VLOOKUP(Values!$S$6,Castes!$B$2:$F$25,4,0)=Charms!I1779))</f>
        <v>#N/A</v>
      </c>
      <c r="J1779" t="e">
        <f t="shared" ca="1" si="136"/>
        <v>#N/A</v>
      </c>
      <c r="K1779" s="18" t="e">
        <f t="shared" ca="1" si="135"/>
        <v>#N/A</v>
      </c>
      <c r="L1779" t="e">
        <f ca="1">IF(J1779,Charms!B1779,"")</f>
        <v>#N/A</v>
      </c>
      <c r="M1779" t="str">
        <f t="shared" ca="1" si="137"/>
        <v>-</v>
      </c>
      <c r="N1779" s="18" t="str">
        <f t="shared" si="138"/>
        <v>K1622:L5000</v>
      </c>
      <c r="O1779" t="str">
        <f t="shared" si="139"/>
        <v>A1622:A1779</v>
      </c>
    </row>
    <row r="1780" spans="1:15">
      <c r="A1780" s="18">
        <f>Charms!K1780</f>
        <v>0</v>
      </c>
      <c r="B1780">
        <f>Charms!B1780</f>
        <v>0</v>
      </c>
      <c r="C1780" t="b">
        <f ca="1">OR(Values!$S$98&gt;=Charms!M1780,IFERROR(Charms!J1780=OFFSET(Values!$A$24,MATCH("S",Values!$T$25:$T$50,0),0),FALSE))</f>
        <v>1</v>
      </c>
      <c r="D1780" t="e">
        <f>VLOOKUP(Charms!J1780,Values!$A$11:$S$59,19,0)&gt;=Charms!L1780</f>
        <v>#N/A</v>
      </c>
      <c r="E1780" t="e">
        <f>OR(ISBLANK(Charms!I1780),(VLOOKUP(Values!$S$6,Castes!$B$2:$F$25,4,0)=Charms!I1780))</f>
        <v>#N/A</v>
      </c>
      <c r="J1780" t="e">
        <f t="shared" ca="1" si="136"/>
        <v>#N/A</v>
      </c>
      <c r="K1780" s="18" t="e">
        <f t="shared" ca="1" si="135"/>
        <v>#N/A</v>
      </c>
      <c r="L1780" t="e">
        <f ca="1">IF(J1780,Charms!B1780,"")</f>
        <v>#N/A</v>
      </c>
      <c r="M1780" t="str">
        <f t="shared" ca="1" si="137"/>
        <v>-</v>
      </c>
      <c r="N1780" s="18" t="str">
        <f t="shared" si="138"/>
        <v>K1622:L5000</v>
      </c>
      <c r="O1780" t="str">
        <f t="shared" si="139"/>
        <v>A1622:A1780</v>
      </c>
    </row>
    <row r="1781" spans="1:15">
      <c r="A1781" s="18">
        <f>Charms!K1781</f>
        <v>0</v>
      </c>
      <c r="B1781">
        <f>Charms!B1781</f>
        <v>0</v>
      </c>
      <c r="C1781" t="b">
        <f ca="1">OR(Values!$S$98&gt;=Charms!M1781,IFERROR(Charms!J1781=OFFSET(Values!$A$24,MATCH("S",Values!$T$25:$T$50,0),0),FALSE))</f>
        <v>1</v>
      </c>
      <c r="D1781" t="e">
        <f>VLOOKUP(Charms!J1781,Values!$A$11:$S$59,19,0)&gt;=Charms!L1781</f>
        <v>#N/A</v>
      </c>
      <c r="E1781" t="e">
        <f>OR(ISBLANK(Charms!I1781),(VLOOKUP(Values!$S$6,Castes!$B$2:$F$25,4,0)=Charms!I1781))</f>
        <v>#N/A</v>
      </c>
      <c r="J1781" t="e">
        <f t="shared" ca="1" si="136"/>
        <v>#N/A</v>
      </c>
      <c r="K1781" s="18" t="e">
        <f t="shared" ca="1" si="135"/>
        <v>#N/A</v>
      </c>
      <c r="L1781" t="e">
        <f ca="1">IF(J1781,Charms!B1781,"")</f>
        <v>#N/A</v>
      </c>
      <c r="M1781" t="str">
        <f t="shared" ca="1" si="137"/>
        <v>-</v>
      </c>
      <c r="N1781" s="18" t="str">
        <f t="shared" si="138"/>
        <v>K1622:L5000</v>
      </c>
      <c r="O1781" t="str">
        <f t="shared" si="139"/>
        <v>A1622:A1781</v>
      </c>
    </row>
    <row r="1782" spans="1:15">
      <c r="A1782" s="18">
        <f>Charms!K1782</f>
        <v>0</v>
      </c>
      <c r="B1782">
        <f>Charms!B1782</f>
        <v>0</v>
      </c>
      <c r="C1782" t="b">
        <f ca="1">OR(Values!$S$98&gt;=Charms!M1782,IFERROR(Charms!J1782=OFFSET(Values!$A$24,MATCH("S",Values!$T$25:$T$50,0),0),FALSE))</f>
        <v>1</v>
      </c>
      <c r="D1782" t="e">
        <f>VLOOKUP(Charms!J1782,Values!$A$11:$S$59,19,0)&gt;=Charms!L1782</f>
        <v>#N/A</v>
      </c>
      <c r="E1782" t="e">
        <f>OR(ISBLANK(Charms!I1782),(VLOOKUP(Values!$S$6,Castes!$B$2:$F$25,4,0)=Charms!I1782))</f>
        <v>#N/A</v>
      </c>
      <c r="J1782" t="e">
        <f t="shared" ca="1" si="136"/>
        <v>#N/A</v>
      </c>
      <c r="K1782" s="18" t="e">
        <f t="shared" ca="1" si="135"/>
        <v>#N/A</v>
      </c>
      <c r="L1782" t="e">
        <f ca="1">IF(J1782,Charms!B1782,"")</f>
        <v>#N/A</v>
      </c>
      <c r="M1782" t="str">
        <f t="shared" ca="1" si="137"/>
        <v>-</v>
      </c>
      <c r="N1782" s="18" t="str">
        <f t="shared" si="138"/>
        <v>K1622:L5000</v>
      </c>
      <c r="O1782" t="str">
        <f t="shared" si="139"/>
        <v>A1622:A1782</v>
      </c>
    </row>
    <row r="1783" spans="1:15">
      <c r="A1783" s="18">
        <f>Charms!K1783</f>
        <v>0</v>
      </c>
      <c r="B1783">
        <f>Charms!B1783</f>
        <v>0</v>
      </c>
      <c r="C1783" t="b">
        <f ca="1">OR(Values!$S$98&gt;=Charms!M1783,IFERROR(Charms!J1783=OFFSET(Values!$A$24,MATCH("S",Values!$T$25:$T$50,0),0),FALSE))</f>
        <v>1</v>
      </c>
      <c r="D1783" t="e">
        <f>VLOOKUP(Charms!J1783,Values!$A$11:$S$59,19,0)&gt;=Charms!L1783</f>
        <v>#N/A</v>
      </c>
      <c r="E1783" t="e">
        <f>OR(ISBLANK(Charms!I1783),(VLOOKUP(Values!$S$6,Castes!$B$2:$F$25,4,0)=Charms!I1783))</f>
        <v>#N/A</v>
      </c>
      <c r="J1783" t="e">
        <f t="shared" ca="1" si="136"/>
        <v>#N/A</v>
      </c>
      <c r="K1783" s="18" t="e">
        <f t="shared" ca="1" si="135"/>
        <v>#N/A</v>
      </c>
      <c r="L1783" t="e">
        <f ca="1">IF(J1783,Charms!B1783,"")</f>
        <v>#N/A</v>
      </c>
      <c r="M1783" t="str">
        <f t="shared" ca="1" si="137"/>
        <v>-</v>
      </c>
      <c r="N1783" s="18" t="str">
        <f t="shared" si="138"/>
        <v>K1622:L5000</v>
      </c>
      <c r="O1783" t="str">
        <f t="shared" si="139"/>
        <v>A1622:A1783</v>
      </c>
    </row>
    <row r="1784" spans="1:15">
      <c r="A1784" s="18">
        <f>Charms!K1784</f>
        <v>0</v>
      </c>
      <c r="B1784">
        <f>Charms!B1784</f>
        <v>0</v>
      </c>
      <c r="C1784" t="b">
        <f ca="1">OR(Values!$S$98&gt;=Charms!M1784,IFERROR(Charms!J1784=OFFSET(Values!$A$24,MATCH("S",Values!$T$25:$T$50,0),0),FALSE))</f>
        <v>1</v>
      </c>
      <c r="D1784" t="e">
        <f>VLOOKUP(Charms!J1784,Values!$A$11:$S$59,19,0)&gt;=Charms!L1784</f>
        <v>#N/A</v>
      </c>
      <c r="E1784" t="e">
        <f>OR(ISBLANK(Charms!I1784),(VLOOKUP(Values!$S$6,Castes!$B$2:$F$25,4,0)=Charms!I1784))</f>
        <v>#N/A</v>
      </c>
      <c r="J1784" t="e">
        <f t="shared" ca="1" si="136"/>
        <v>#N/A</v>
      </c>
      <c r="K1784" s="18" t="e">
        <f t="shared" ca="1" si="135"/>
        <v>#N/A</v>
      </c>
      <c r="L1784" t="e">
        <f ca="1">IF(J1784,Charms!B1784,"")</f>
        <v>#N/A</v>
      </c>
      <c r="M1784" t="str">
        <f t="shared" ca="1" si="137"/>
        <v>-</v>
      </c>
      <c r="N1784" s="18" t="str">
        <f t="shared" si="138"/>
        <v>K1622:L5000</v>
      </c>
      <c r="O1784" t="str">
        <f t="shared" si="139"/>
        <v>A1622:A1784</v>
      </c>
    </row>
    <row r="1785" spans="1:15">
      <c r="A1785" s="18">
        <f>Charms!K1785</f>
        <v>0</v>
      </c>
      <c r="B1785">
        <f>Charms!B1785</f>
        <v>0</v>
      </c>
      <c r="C1785" t="b">
        <f ca="1">OR(Values!$S$98&gt;=Charms!M1785,IFERROR(Charms!J1785=OFFSET(Values!$A$24,MATCH("S",Values!$T$25:$T$50,0),0),FALSE))</f>
        <v>1</v>
      </c>
      <c r="D1785" t="e">
        <f>VLOOKUP(Charms!J1785,Values!$A$11:$S$59,19,0)&gt;=Charms!L1785</f>
        <v>#N/A</v>
      </c>
      <c r="E1785" t="e">
        <f>OR(ISBLANK(Charms!I1785),(VLOOKUP(Values!$S$6,Castes!$B$2:$F$25,4,0)=Charms!I1785))</f>
        <v>#N/A</v>
      </c>
      <c r="J1785" t="e">
        <f t="shared" ca="1" si="136"/>
        <v>#N/A</v>
      </c>
      <c r="K1785" s="18" t="e">
        <f t="shared" ca="1" si="135"/>
        <v>#N/A</v>
      </c>
      <c r="L1785" t="e">
        <f ca="1">IF(J1785,Charms!B1785,"")</f>
        <v>#N/A</v>
      </c>
      <c r="M1785" t="str">
        <f t="shared" ca="1" si="137"/>
        <v>-</v>
      </c>
      <c r="N1785" s="18" t="str">
        <f t="shared" si="138"/>
        <v>K1622:L5000</v>
      </c>
      <c r="O1785" t="str">
        <f t="shared" si="139"/>
        <v>A1622:A1785</v>
      </c>
    </row>
    <row r="1786" spans="1:15">
      <c r="A1786" s="18">
        <f>Charms!K1786</f>
        <v>0</v>
      </c>
      <c r="B1786">
        <f>Charms!B1786</f>
        <v>0</v>
      </c>
      <c r="C1786" t="b">
        <f ca="1">OR(Values!$S$98&gt;=Charms!M1786,IFERROR(Charms!J1786=OFFSET(Values!$A$24,MATCH("S",Values!$T$25:$T$50,0),0),FALSE))</f>
        <v>1</v>
      </c>
      <c r="D1786" t="e">
        <f>VLOOKUP(Charms!J1786,Values!$A$11:$S$59,19,0)&gt;=Charms!L1786</f>
        <v>#N/A</v>
      </c>
      <c r="E1786" t="e">
        <f>OR(ISBLANK(Charms!I1786),(VLOOKUP(Values!$S$6,Castes!$B$2:$F$25,4,0)=Charms!I1786))</f>
        <v>#N/A</v>
      </c>
      <c r="J1786" t="e">
        <f t="shared" ca="1" si="136"/>
        <v>#N/A</v>
      </c>
      <c r="K1786" s="18" t="e">
        <f t="shared" ca="1" si="135"/>
        <v>#N/A</v>
      </c>
      <c r="L1786" t="e">
        <f ca="1">IF(J1786,Charms!B1786,"")</f>
        <v>#N/A</v>
      </c>
      <c r="M1786" t="str">
        <f t="shared" ca="1" si="137"/>
        <v>-</v>
      </c>
      <c r="N1786" s="18" t="str">
        <f t="shared" si="138"/>
        <v>K1622:L5000</v>
      </c>
      <c r="O1786" t="str">
        <f t="shared" si="139"/>
        <v>A1622:A1786</v>
      </c>
    </row>
    <row r="1787" spans="1:15">
      <c r="A1787" s="18">
        <f>Charms!K1787</f>
        <v>0</v>
      </c>
      <c r="B1787">
        <f>Charms!B1787</f>
        <v>0</v>
      </c>
      <c r="C1787" t="b">
        <f ca="1">OR(Values!$S$98&gt;=Charms!M1787,IFERROR(Charms!J1787=OFFSET(Values!$A$24,MATCH("S",Values!$T$25:$T$50,0),0),FALSE))</f>
        <v>1</v>
      </c>
      <c r="D1787" t="e">
        <f>VLOOKUP(Charms!J1787,Values!$A$11:$S$59,19,0)&gt;=Charms!L1787</f>
        <v>#N/A</v>
      </c>
      <c r="E1787" t="e">
        <f>OR(ISBLANK(Charms!I1787),(VLOOKUP(Values!$S$6,Castes!$B$2:$F$25,4,0)=Charms!I1787))</f>
        <v>#N/A</v>
      </c>
      <c r="J1787" t="e">
        <f t="shared" ca="1" si="136"/>
        <v>#N/A</v>
      </c>
      <c r="K1787" s="18" t="e">
        <f t="shared" ca="1" si="135"/>
        <v>#N/A</v>
      </c>
      <c r="L1787" t="e">
        <f ca="1">IF(J1787,Charms!B1787,"")</f>
        <v>#N/A</v>
      </c>
      <c r="M1787" t="str">
        <f t="shared" ca="1" si="137"/>
        <v>-</v>
      </c>
      <c r="N1787" s="18" t="str">
        <f t="shared" si="138"/>
        <v>K1622:L5000</v>
      </c>
      <c r="O1787" t="str">
        <f t="shared" si="139"/>
        <v>A1622:A1787</v>
      </c>
    </row>
    <row r="1788" spans="1:15">
      <c r="A1788" s="18">
        <f>Charms!K1788</f>
        <v>0</v>
      </c>
      <c r="B1788">
        <f>Charms!B1788</f>
        <v>0</v>
      </c>
      <c r="C1788" t="b">
        <f ca="1">OR(Values!$S$98&gt;=Charms!M1788,IFERROR(Charms!J1788=OFFSET(Values!$A$24,MATCH("S",Values!$T$25:$T$50,0),0),FALSE))</f>
        <v>1</v>
      </c>
      <c r="D1788" t="e">
        <f>VLOOKUP(Charms!J1788,Values!$A$11:$S$59,19,0)&gt;=Charms!L1788</f>
        <v>#N/A</v>
      </c>
      <c r="E1788" t="e">
        <f>OR(ISBLANK(Charms!I1788),(VLOOKUP(Values!$S$6,Castes!$B$2:$F$25,4,0)=Charms!I1788))</f>
        <v>#N/A</v>
      </c>
      <c r="J1788" t="e">
        <f t="shared" ca="1" si="136"/>
        <v>#N/A</v>
      </c>
      <c r="K1788" s="18" t="e">
        <f t="shared" ca="1" si="135"/>
        <v>#N/A</v>
      </c>
      <c r="L1788" t="e">
        <f ca="1">IF(J1788,Charms!B1788,"")</f>
        <v>#N/A</v>
      </c>
      <c r="M1788" t="str">
        <f t="shared" ca="1" si="137"/>
        <v>-</v>
      </c>
      <c r="N1788" s="18" t="str">
        <f t="shared" si="138"/>
        <v>K1622:L5000</v>
      </c>
      <c r="O1788" t="str">
        <f t="shared" si="139"/>
        <v>A1622:A1788</v>
      </c>
    </row>
    <row r="1789" spans="1:15">
      <c r="A1789" s="18">
        <f>Charms!K1789</f>
        <v>0</v>
      </c>
      <c r="B1789">
        <f>Charms!B1789</f>
        <v>0</v>
      </c>
      <c r="C1789" t="b">
        <f ca="1">OR(Values!$S$98&gt;=Charms!M1789,IFERROR(Charms!J1789=OFFSET(Values!$A$24,MATCH("S",Values!$T$25:$T$50,0),0),FALSE))</f>
        <v>1</v>
      </c>
      <c r="D1789" t="e">
        <f>VLOOKUP(Charms!J1789,Values!$A$11:$S$59,19,0)&gt;=Charms!L1789</f>
        <v>#N/A</v>
      </c>
      <c r="E1789" t="e">
        <f>OR(ISBLANK(Charms!I1789),(VLOOKUP(Values!$S$6,Castes!$B$2:$F$25,4,0)=Charms!I1789))</f>
        <v>#N/A</v>
      </c>
      <c r="J1789" t="e">
        <f t="shared" ca="1" si="136"/>
        <v>#N/A</v>
      </c>
      <c r="K1789" s="18" t="e">
        <f t="shared" ca="1" si="135"/>
        <v>#N/A</v>
      </c>
      <c r="L1789" t="e">
        <f ca="1">IF(J1789,Charms!B1789,"")</f>
        <v>#N/A</v>
      </c>
      <c r="M1789" t="str">
        <f t="shared" ca="1" si="137"/>
        <v>-</v>
      </c>
      <c r="N1789" s="18" t="str">
        <f t="shared" si="138"/>
        <v>K1622:L5000</v>
      </c>
      <c r="O1789" t="str">
        <f t="shared" si="139"/>
        <v>A1622:A1789</v>
      </c>
    </row>
    <row r="1790" spans="1:15">
      <c r="A1790" s="18">
        <f>Charms!K1790</f>
        <v>0</v>
      </c>
      <c r="B1790">
        <f>Charms!B1790</f>
        <v>0</v>
      </c>
      <c r="C1790" t="b">
        <f ca="1">OR(Values!$S$98&gt;=Charms!M1790,IFERROR(Charms!J1790=OFFSET(Values!$A$24,MATCH("S",Values!$T$25:$T$50,0),0),FALSE))</f>
        <v>1</v>
      </c>
      <c r="D1790" t="e">
        <f>VLOOKUP(Charms!J1790,Values!$A$11:$S$59,19,0)&gt;=Charms!L1790</f>
        <v>#N/A</v>
      </c>
      <c r="E1790" t="e">
        <f>OR(ISBLANK(Charms!I1790),(VLOOKUP(Values!$S$6,Castes!$B$2:$F$25,4,0)=Charms!I1790))</f>
        <v>#N/A</v>
      </c>
      <c r="J1790" t="e">
        <f t="shared" ca="1" si="136"/>
        <v>#N/A</v>
      </c>
      <c r="K1790" s="18" t="e">
        <f t="shared" ca="1" si="135"/>
        <v>#N/A</v>
      </c>
      <c r="L1790" t="e">
        <f ca="1">IF(J1790,Charms!B1790,"")</f>
        <v>#N/A</v>
      </c>
      <c r="M1790" t="str">
        <f t="shared" ca="1" si="137"/>
        <v>-</v>
      </c>
      <c r="N1790" s="18" t="str">
        <f t="shared" si="138"/>
        <v>K1622:L5000</v>
      </c>
      <c r="O1790" t="str">
        <f t="shared" si="139"/>
        <v>A1622:A1790</v>
      </c>
    </row>
    <row r="1791" spans="1:15">
      <c r="A1791" s="18">
        <f>Charms!K1791</f>
        <v>0</v>
      </c>
      <c r="B1791">
        <f>Charms!B1791</f>
        <v>0</v>
      </c>
      <c r="C1791" t="b">
        <f ca="1">OR(Values!$S$98&gt;=Charms!M1791,IFERROR(Charms!J1791=OFFSET(Values!$A$24,MATCH("S",Values!$T$25:$T$50,0),0),FALSE))</f>
        <v>1</v>
      </c>
      <c r="D1791" t="e">
        <f>VLOOKUP(Charms!J1791,Values!$A$11:$S$59,19,0)&gt;=Charms!L1791</f>
        <v>#N/A</v>
      </c>
      <c r="E1791" t="e">
        <f>OR(ISBLANK(Charms!I1791),(VLOOKUP(Values!$S$6,Castes!$B$2:$F$25,4,0)=Charms!I1791))</f>
        <v>#N/A</v>
      </c>
      <c r="J1791" t="e">
        <f t="shared" ca="1" si="136"/>
        <v>#N/A</v>
      </c>
      <c r="K1791" s="18" t="e">
        <f t="shared" ca="1" si="135"/>
        <v>#N/A</v>
      </c>
      <c r="L1791" t="e">
        <f ca="1">IF(J1791,Charms!B1791,"")</f>
        <v>#N/A</v>
      </c>
      <c r="M1791" t="str">
        <f t="shared" ca="1" si="137"/>
        <v>-</v>
      </c>
      <c r="N1791" s="18" t="str">
        <f t="shared" si="138"/>
        <v>K1622:L5000</v>
      </c>
      <c r="O1791" t="str">
        <f t="shared" si="139"/>
        <v>A1622:A1791</v>
      </c>
    </row>
    <row r="1792" spans="1:15">
      <c r="A1792" s="18">
        <f>Charms!K1792</f>
        <v>0</v>
      </c>
      <c r="B1792">
        <f>Charms!B1792</f>
        <v>0</v>
      </c>
      <c r="C1792" t="b">
        <f ca="1">OR(Values!$S$98&gt;=Charms!M1792,IFERROR(Charms!J1792=OFFSET(Values!$A$24,MATCH("S",Values!$T$25:$T$50,0),0),FALSE))</f>
        <v>1</v>
      </c>
      <c r="D1792" t="e">
        <f>VLOOKUP(Charms!J1792,Values!$A$11:$S$59,19,0)&gt;=Charms!L1792</f>
        <v>#N/A</v>
      </c>
      <c r="E1792" t="e">
        <f>OR(ISBLANK(Charms!I1792),(VLOOKUP(Values!$S$6,Castes!$B$2:$F$25,4,0)=Charms!I1792))</f>
        <v>#N/A</v>
      </c>
      <c r="J1792" t="e">
        <f t="shared" ca="1" si="136"/>
        <v>#N/A</v>
      </c>
      <c r="K1792" s="18" t="e">
        <f t="shared" ca="1" si="135"/>
        <v>#N/A</v>
      </c>
      <c r="L1792" t="e">
        <f ca="1">IF(J1792,Charms!B1792,"")</f>
        <v>#N/A</v>
      </c>
      <c r="M1792" t="str">
        <f t="shared" ca="1" si="137"/>
        <v>-</v>
      </c>
      <c r="N1792" s="18" t="str">
        <f t="shared" si="138"/>
        <v>K1622:L5000</v>
      </c>
      <c r="O1792" t="str">
        <f t="shared" si="139"/>
        <v>A1622:A1792</v>
      </c>
    </row>
    <row r="1793" spans="1:15">
      <c r="A1793" s="18">
        <f>Charms!K1793</f>
        <v>0</v>
      </c>
      <c r="B1793">
        <f>Charms!B1793</f>
        <v>0</v>
      </c>
      <c r="C1793" t="b">
        <f ca="1">OR(Values!$S$98&gt;=Charms!M1793,IFERROR(Charms!J1793=OFFSET(Values!$A$24,MATCH("S",Values!$T$25:$T$50,0),0),FALSE))</f>
        <v>1</v>
      </c>
      <c r="D1793" t="e">
        <f>VLOOKUP(Charms!J1793,Values!$A$11:$S$59,19,0)&gt;=Charms!L1793</f>
        <v>#N/A</v>
      </c>
      <c r="E1793" t="e">
        <f>OR(ISBLANK(Charms!I1793),(VLOOKUP(Values!$S$6,Castes!$B$2:$F$25,4,0)=Charms!I1793))</f>
        <v>#N/A</v>
      </c>
      <c r="J1793" t="e">
        <f t="shared" ca="1" si="136"/>
        <v>#N/A</v>
      </c>
      <c r="K1793" s="18" t="e">
        <f t="shared" ca="1" si="135"/>
        <v>#N/A</v>
      </c>
      <c r="L1793" t="e">
        <f ca="1">IF(J1793,Charms!B1793,"")</f>
        <v>#N/A</v>
      </c>
      <c r="M1793" t="str">
        <f t="shared" ca="1" si="137"/>
        <v>-</v>
      </c>
      <c r="N1793" s="18" t="str">
        <f t="shared" si="138"/>
        <v>K1622:L5000</v>
      </c>
      <c r="O1793" t="str">
        <f t="shared" si="139"/>
        <v>A1622:A1793</v>
      </c>
    </row>
    <row r="1794" spans="1:15">
      <c r="A1794" s="18">
        <f>Charms!K1794</f>
        <v>0</v>
      </c>
      <c r="B1794">
        <f>Charms!B1794</f>
        <v>0</v>
      </c>
      <c r="C1794" t="b">
        <f ca="1">OR(Values!$S$98&gt;=Charms!M1794,IFERROR(Charms!J1794=OFFSET(Values!$A$24,MATCH("S",Values!$T$25:$T$50,0),0),FALSE))</f>
        <v>1</v>
      </c>
      <c r="D1794" t="e">
        <f>VLOOKUP(Charms!J1794,Values!$A$11:$S$59,19,0)&gt;=Charms!L1794</f>
        <v>#N/A</v>
      </c>
      <c r="E1794" t="e">
        <f>OR(ISBLANK(Charms!I1794),(VLOOKUP(Values!$S$6,Castes!$B$2:$F$25,4,0)=Charms!I1794))</f>
        <v>#N/A</v>
      </c>
      <c r="J1794" t="e">
        <f t="shared" ca="1" si="136"/>
        <v>#N/A</v>
      </c>
      <c r="K1794" s="18" t="e">
        <f t="shared" ref="K1794:K1857" ca="1" si="140">IF(L1794="","",COUNTIF(INDIRECT("J"&amp;MATCH(A1794,A:A,0)&amp;":J"&amp;ROW()),J1794))</f>
        <v>#N/A</v>
      </c>
      <c r="L1794" t="e">
        <f ca="1">IF(J1794,Charms!B1794,"")</f>
        <v>#N/A</v>
      </c>
      <c r="M1794" t="str">
        <f t="shared" ca="1" si="137"/>
        <v>-</v>
      </c>
      <c r="N1794" s="18" t="str">
        <f t="shared" si="138"/>
        <v>K1622:L5000</v>
      </c>
      <c r="O1794" t="str">
        <f t="shared" si="139"/>
        <v>A1622:A1794</v>
      </c>
    </row>
    <row r="1795" spans="1:15">
      <c r="A1795" s="18">
        <f>Charms!K1795</f>
        <v>0</v>
      </c>
      <c r="B1795">
        <f>Charms!B1795</f>
        <v>0</v>
      </c>
      <c r="C1795" t="b">
        <f ca="1">OR(Values!$S$98&gt;=Charms!M1795,IFERROR(Charms!J1795=OFFSET(Values!$A$24,MATCH("S",Values!$T$25:$T$50,0),0),FALSE))</f>
        <v>1</v>
      </c>
      <c r="D1795" t="e">
        <f>VLOOKUP(Charms!J1795,Values!$A$11:$S$59,19,0)&gt;=Charms!L1795</f>
        <v>#N/A</v>
      </c>
      <c r="E1795" t="e">
        <f>OR(ISBLANK(Charms!I1795),(VLOOKUP(Values!$S$6,Castes!$B$2:$F$25,4,0)=Charms!I1795))</f>
        <v>#N/A</v>
      </c>
      <c r="J1795" t="e">
        <f t="shared" ref="J1795:J1858" ca="1" si="141">(C1795+D1795+E1795+F1795+G1795+H1795+I1795)=3</f>
        <v>#N/A</v>
      </c>
      <c r="K1795" s="18" t="e">
        <f t="shared" ca="1" si="140"/>
        <v>#N/A</v>
      </c>
      <c r="L1795" t="e">
        <f ca="1">IF(J1795,Charms!B1795,"")</f>
        <v>#N/A</v>
      </c>
      <c r="M1795" t="str">
        <f t="shared" ref="M1795:M1858" ca="1" si="142">IFERROR(VLOOKUP(COUNTIF(INDIRECT(O1795),A1795),INDIRECT(N1795),2,0),"-")</f>
        <v>-</v>
      </c>
      <c r="N1795" s="18" t="str">
        <f t="shared" ref="N1795:N1858" si="143">"K"&amp;MATCH(A1795,A:A,0)&amp;":L"&amp;(MATCH(A1795,A:A,0)+COUNTIF(A:A,A1795)-1)</f>
        <v>K1622:L5000</v>
      </c>
      <c r="O1795" t="str">
        <f t="shared" ref="O1795:O1858" si="144">"A"&amp;MATCH(A1795,A:A,0)&amp;":A"&amp;ROW()</f>
        <v>A1622:A1795</v>
      </c>
    </row>
    <row r="1796" spans="1:15">
      <c r="A1796" s="18">
        <f>Charms!K1796</f>
        <v>0</v>
      </c>
      <c r="B1796">
        <f>Charms!B1796</f>
        <v>0</v>
      </c>
      <c r="C1796" t="b">
        <f ca="1">OR(Values!$S$98&gt;=Charms!M1796,IFERROR(Charms!J1796=OFFSET(Values!$A$24,MATCH("S",Values!$T$25:$T$50,0),0),FALSE))</f>
        <v>1</v>
      </c>
      <c r="D1796" t="e">
        <f>VLOOKUP(Charms!J1796,Values!$A$11:$S$59,19,0)&gt;=Charms!L1796</f>
        <v>#N/A</v>
      </c>
      <c r="E1796" t="e">
        <f>OR(ISBLANK(Charms!I1796),(VLOOKUP(Values!$S$6,Castes!$B$2:$F$25,4,0)=Charms!I1796))</f>
        <v>#N/A</v>
      </c>
      <c r="J1796" t="e">
        <f t="shared" ca="1" si="141"/>
        <v>#N/A</v>
      </c>
      <c r="K1796" s="18" t="e">
        <f t="shared" ca="1" si="140"/>
        <v>#N/A</v>
      </c>
      <c r="L1796" t="e">
        <f ca="1">IF(J1796,Charms!B1796,"")</f>
        <v>#N/A</v>
      </c>
      <c r="M1796" t="str">
        <f t="shared" ca="1" si="142"/>
        <v>-</v>
      </c>
      <c r="N1796" s="18" t="str">
        <f t="shared" si="143"/>
        <v>K1622:L5000</v>
      </c>
      <c r="O1796" t="str">
        <f t="shared" si="144"/>
        <v>A1622:A1796</v>
      </c>
    </row>
    <row r="1797" spans="1:15">
      <c r="A1797" s="18">
        <f>Charms!K1797</f>
        <v>0</v>
      </c>
      <c r="B1797">
        <f>Charms!B1797</f>
        <v>0</v>
      </c>
      <c r="C1797" t="b">
        <f ca="1">OR(Values!$S$98&gt;=Charms!M1797,IFERROR(Charms!J1797=OFFSET(Values!$A$24,MATCH("S",Values!$T$25:$T$50,0),0),FALSE))</f>
        <v>1</v>
      </c>
      <c r="D1797" t="e">
        <f>VLOOKUP(Charms!J1797,Values!$A$11:$S$59,19,0)&gt;=Charms!L1797</f>
        <v>#N/A</v>
      </c>
      <c r="E1797" t="e">
        <f>OR(ISBLANK(Charms!I1797),(VLOOKUP(Values!$S$6,Castes!$B$2:$F$25,4,0)=Charms!I1797))</f>
        <v>#N/A</v>
      </c>
      <c r="J1797" t="e">
        <f t="shared" ca="1" si="141"/>
        <v>#N/A</v>
      </c>
      <c r="K1797" s="18" t="e">
        <f t="shared" ca="1" si="140"/>
        <v>#N/A</v>
      </c>
      <c r="L1797" t="e">
        <f ca="1">IF(J1797,Charms!B1797,"")</f>
        <v>#N/A</v>
      </c>
      <c r="M1797" t="str">
        <f t="shared" ca="1" si="142"/>
        <v>-</v>
      </c>
      <c r="N1797" s="18" t="str">
        <f t="shared" si="143"/>
        <v>K1622:L5000</v>
      </c>
      <c r="O1797" t="str">
        <f t="shared" si="144"/>
        <v>A1622:A1797</v>
      </c>
    </row>
    <row r="1798" spans="1:15">
      <c r="A1798" s="18">
        <f>Charms!K1798</f>
        <v>0</v>
      </c>
      <c r="B1798">
        <f>Charms!B1798</f>
        <v>0</v>
      </c>
      <c r="C1798" t="b">
        <f ca="1">OR(Values!$S$98&gt;=Charms!M1798,IFERROR(Charms!J1798=OFFSET(Values!$A$24,MATCH("S",Values!$T$25:$T$50,0),0),FALSE))</f>
        <v>1</v>
      </c>
      <c r="D1798" t="e">
        <f>VLOOKUP(Charms!J1798,Values!$A$11:$S$59,19,0)&gt;=Charms!L1798</f>
        <v>#N/A</v>
      </c>
      <c r="E1798" t="e">
        <f>OR(ISBLANK(Charms!I1798),(VLOOKUP(Values!$S$6,Castes!$B$2:$F$25,4,0)=Charms!I1798))</f>
        <v>#N/A</v>
      </c>
      <c r="J1798" t="e">
        <f t="shared" ca="1" si="141"/>
        <v>#N/A</v>
      </c>
      <c r="K1798" s="18" t="e">
        <f t="shared" ca="1" si="140"/>
        <v>#N/A</v>
      </c>
      <c r="L1798" t="e">
        <f ca="1">IF(J1798,Charms!B1798,"")</f>
        <v>#N/A</v>
      </c>
      <c r="M1798" t="str">
        <f t="shared" ca="1" si="142"/>
        <v>-</v>
      </c>
      <c r="N1798" s="18" t="str">
        <f t="shared" si="143"/>
        <v>K1622:L5000</v>
      </c>
      <c r="O1798" t="str">
        <f t="shared" si="144"/>
        <v>A1622:A1798</v>
      </c>
    </row>
    <row r="1799" spans="1:15">
      <c r="A1799" s="18">
        <f>Charms!K1799</f>
        <v>0</v>
      </c>
      <c r="B1799">
        <f>Charms!B1799</f>
        <v>0</v>
      </c>
      <c r="C1799" t="b">
        <f ca="1">OR(Values!$S$98&gt;=Charms!M1799,IFERROR(Charms!J1799=OFFSET(Values!$A$24,MATCH("S",Values!$T$25:$T$50,0),0),FALSE))</f>
        <v>1</v>
      </c>
      <c r="D1799" t="e">
        <f>VLOOKUP(Charms!J1799,Values!$A$11:$S$59,19,0)&gt;=Charms!L1799</f>
        <v>#N/A</v>
      </c>
      <c r="E1799" t="e">
        <f>OR(ISBLANK(Charms!I1799),(VLOOKUP(Values!$S$6,Castes!$B$2:$F$25,4,0)=Charms!I1799))</f>
        <v>#N/A</v>
      </c>
      <c r="J1799" t="e">
        <f t="shared" ca="1" si="141"/>
        <v>#N/A</v>
      </c>
      <c r="K1799" s="18" t="e">
        <f t="shared" ca="1" si="140"/>
        <v>#N/A</v>
      </c>
      <c r="L1799" t="e">
        <f ca="1">IF(J1799,Charms!B1799,"")</f>
        <v>#N/A</v>
      </c>
      <c r="M1799" t="str">
        <f t="shared" ca="1" si="142"/>
        <v>-</v>
      </c>
      <c r="N1799" s="18" t="str">
        <f t="shared" si="143"/>
        <v>K1622:L5000</v>
      </c>
      <c r="O1799" t="str">
        <f t="shared" si="144"/>
        <v>A1622:A1799</v>
      </c>
    </row>
    <row r="1800" spans="1:15">
      <c r="A1800" s="18">
        <f>Charms!K1800</f>
        <v>0</v>
      </c>
      <c r="B1800">
        <f>Charms!B1800</f>
        <v>0</v>
      </c>
      <c r="C1800" t="b">
        <f ca="1">OR(Values!$S$98&gt;=Charms!M1800,IFERROR(Charms!J1800=OFFSET(Values!$A$24,MATCH("S",Values!$T$25:$T$50,0),0),FALSE))</f>
        <v>1</v>
      </c>
      <c r="D1800" t="e">
        <f>VLOOKUP(Charms!J1800,Values!$A$11:$S$59,19,0)&gt;=Charms!L1800</f>
        <v>#N/A</v>
      </c>
      <c r="E1800" t="e">
        <f>OR(ISBLANK(Charms!I1800),(VLOOKUP(Values!$S$6,Castes!$B$2:$F$25,4,0)=Charms!I1800))</f>
        <v>#N/A</v>
      </c>
      <c r="J1800" t="e">
        <f t="shared" ca="1" si="141"/>
        <v>#N/A</v>
      </c>
      <c r="K1800" s="18" t="e">
        <f t="shared" ca="1" si="140"/>
        <v>#N/A</v>
      </c>
      <c r="L1800" t="e">
        <f ca="1">IF(J1800,Charms!B1800,"")</f>
        <v>#N/A</v>
      </c>
      <c r="M1800" t="str">
        <f t="shared" ca="1" si="142"/>
        <v>-</v>
      </c>
      <c r="N1800" s="18" t="str">
        <f t="shared" si="143"/>
        <v>K1622:L5000</v>
      </c>
      <c r="O1800" t="str">
        <f t="shared" si="144"/>
        <v>A1622:A1800</v>
      </c>
    </row>
    <row r="1801" spans="1:15">
      <c r="A1801" s="18">
        <f>Charms!K1801</f>
        <v>0</v>
      </c>
      <c r="B1801">
        <f>Charms!B1801</f>
        <v>0</v>
      </c>
      <c r="C1801" t="b">
        <f ca="1">OR(Values!$S$98&gt;=Charms!M1801,IFERROR(Charms!J1801=OFFSET(Values!$A$24,MATCH("S",Values!$T$25:$T$50,0),0),FALSE))</f>
        <v>1</v>
      </c>
      <c r="D1801" t="e">
        <f>VLOOKUP(Charms!J1801,Values!$A$11:$S$59,19,0)&gt;=Charms!L1801</f>
        <v>#N/A</v>
      </c>
      <c r="E1801" t="e">
        <f>OR(ISBLANK(Charms!I1801),(VLOOKUP(Values!$S$6,Castes!$B$2:$F$25,4,0)=Charms!I1801))</f>
        <v>#N/A</v>
      </c>
      <c r="J1801" t="e">
        <f t="shared" ca="1" si="141"/>
        <v>#N/A</v>
      </c>
      <c r="K1801" s="18" t="e">
        <f t="shared" ca="1" si="140"/>
        <v>#N/A</v>
      </c>
      <c r="L1801" t="e">
        <f ca="1">IF(J1801,Charms!B1801,"")</f>
        <v>#N/A</v>
      </c>
      <c r="M1801" t="str">
        <f t="shared" ca="1" si="142"/>
        <v>-</v>
      </c>
      <c r="N1801" s="18" t="str">
        <f t="shared" si="143"/>
        <v>K1622:L5000</v>
      </c>
      <c r="O1801" t="str">
        <f t="shared" si="144"/>
        <v>A1622:A1801</v>
      </c>
    </row>
    <row r="1802" spans="1:15">
      <c r="A1802" s="18">
        <f>Charms!K1802</f>
        <v>0</v>
      </c>
      <c r="B1802">
        <f>Charms!B1802</f>
        <v>0</v>
      </c>
      <c r="C1802" t="b">
        <f ca="1">OR(Values!$S$98&gt;=Charms!M1802,IFERROR(Charms!J1802=OFFSET(Values!$A$24,MATCH("S",Values!$T$25:$T$50,0),0),FALSE))</f>
        <v>1</v>
      </c>
      <c r="D1802" t="e">
        <f>VLOOKUP(Charms!J1802,Values!$A$11:$S$59,19,0)&gt;=Charms!L1802</f>
        <v>#N/A</v>
      </c>
      <c r="E1802" t="e">
        <f>OR(ISBLANK(Charms!I1802),(VLOOKUP(Values!$S$6,Castes!$B$2:$F$25,4,0)=Charms!I1802))</f>
        <v>#N/A</v>
      </c>
      <c r="J1802" t="e">
        <f t="shared" ca="1" si="141"/>
        <v>#N/A</v>
      </c>
      <c r="K1802" s="18" t="e">
        <f t="shared" ca="1" si="140"/>
        <v>#N/A</v>
      </c>
      <c r="L1802" t="e">
        <f ca="1">IF(J1802,Charms!B1802,"")</f>
        <v>#N/A</v>
      </c>
      <c r="M1802" t="str">
        <f t="shared" ca="1" si="142"/>
        <v>-</v>
      </c>
      <c r="N1802" s="18" t="str">
        <f t="shared" si="143"/>
        <v>K1622:L5000</v>
      </c>
      <c r="O1802" t="str">
        <f t="shared" si="144"/>
        <v>A1622:A1802</v>
      </c>
    </row>
    <row r="1803" spans="1:15">
      <c r="A1803" s="18">
        <f>Charms!K1803</f>
        <v>0</v>
      </c>
      <c r="B1803">
        <f>Charms!B1803</f>
        <v>0</v>
      </c>
      <c r="C1803" t="b">
        <f ca="1">OR(Values!$S$98&gt;=Charms!M1803,IFERROR(Charms!J1803=OFFSET(Values!$A$24,MATCH("S",Values!$T$25:$T$50,0),0),FALSE))</f>
        <v>1</v>
      </c>
      <c r="D1803" t="e">
        <f>VLOOKUP(Charms!J1803,Values!$A$11:$S$59,19,0)&gt;=Charms!L1803</f>
        <v>#N/A</v>
      </c>
      <c r="E1803" t="e">
        <f>OR(ISBLANK(Charms!I1803),(VLOOKUP(Values!$S$6,Castes!$B$2:$F$25,4,0)=Charms!I1803))</f>
        <v>#N/A</v>
      </c>
      <c r="J1803" t="e">
        <f t="shared" ca="1" si="141"/>
        <v>#N/A</v>
      </c>
      <c r="K1803" s="18" t="e">
        <f t="shared" ca="1" si="140"/>
        <v>#N/A</v>
      </c>
      <c r="L1803" t="e">
        <f ca="1">IF(J1803,Charms!B1803,"")</f>
        <v>#N/A</v>
      </c>
      <c r="M1803" t="str">
        <f t="shared" ca="1" si="142"/>
        <v>-</v>
      </c>
      <c r="N1803" s="18" t="str">
        <f t="shared" si="143"/>
        <v>K1622:L5000</v>
      </c>
      <c r="O1803" t="str">
        <f t="shared" si="144"/>
        <v>A1622:A1803</v>
      </c>
    </row>
    <row r="1804" spans="1:15">
      <c r="A1804" s="18">
        <f>Charms!K1804</f>
        <v>0</v>
      </c>
      <c r="B1804">
        <f>Charms!B1804</f>
        <v>0</v>
      </c>
      <c r="C1804" t="b">
        <f ca="1">OR(Values!$S$98&gt;=Charms!M1804,IFERROR(Charms!J1804=OFFSET(Values!$A$24,MATCH("S",Values!$T$25:$T$50,0),0),FALSE))</f>
        <v>1</v>
      </c>
      <c r="D1804" t="e">
        <f>VLOOKUP(Charms!J1804,Values!$A$11:$S$59,19,0)&gt;=Charms!L1804</f>
        <v>#N/A</v>
      </c>
      <c r="E1804" t="e">
        <f>OR(ISBLANK(Charms!I1804),(VLOOKUP(Values!$S$6,Castes!$B$2:$F$25,4,0)=Charms!I1804))</f>
        <v>#N/A</v>
      </c>
      <c r="J1804" t="e">
        <f t="shared" ca="1" si="141"/>
        <v>#N/A</v>
      </c>
      <c r="K1804" s="18" t="e">
        <f t="shared" ca="1" si="140"/>
        <v>#N/A</v>
      </c>
      <c r="L1804" t="e">
        <f ca="1">IF(J1804,Charms!B1804,"")</f>
        <v>#N/A</v>
      </c>
      <c r="M1804" t="str">
        <f t="shared" ca="1" si="142"/>
        <v>-</v>
      </c>
      <c r="N1804" s="18" t="str">
        <f t="shared" si="143"/>
        <v>K1622:L5000</v>
      </c>
      <c r="O1804" t="str">
        <f t="shared" si="144"/>
        <v>A1622:A1804</v>
      </c>
    </row>
    <row r="1805" spans="1:15">
      <c r="A1805" s="18">
        <f>Charms!K1805</f>
        <v>0</v>
      </c>
      <c r="B1805">
        <f>Charms!B1805</f>
        <v>0</v>
      </c>
      <c r="C1805" t="b">
        <f ca="1">OR(Values!$S$98&gt;=Charms!M1805,IFERROR(Charms!J1805=OFFSET(Values!$A$24,MATCH("S",Values!$T$25:$T$50,0),0),FALSE))</f>
        <v>1</v>
      </c>
      <c r="D1805" t="e">
        <f>VLOOKUP(Charms!J1805,Values!$A$11:$S$59,19,0)&gt;=Charms!L1805</f>
        <v>#N/A</v>
      </c>
      <c r="E1805" t="e">
        <f>OR(ISBLANK(Charms!I1805),(VLOOKUP(Values!$S$6,Castes!$B$2:$F$25,4,0)=Charms!I1805))</f>
        <v>#N/A</v>
      </c>
      <c r="J1805" t="e">
        <f t="shared" ca="1" si="141"/>
        <v>#N/A</v>
      </c>
      <c r="K1805" s="18" t="e">
        <f t="shared" ca="1" si="140"/>
        <v>#N/A</v>
      </c>
      <c r="L1805" t="e">
        <f ca="1">IF(J1805,Charms!B1805,"")</f>
        <v>#N/A</v>
      </c>
      <c r="M1805" t="str">
        <f t="shared" ca="1" si="142"/>
        <v>-</v>
      </c>
      <c r="N1805" s="18" t="str">
        <f t="shared" si="143"/>
        <v>K1622:L5000</v>
      </c>
      <c r="O1805" t="str">
        <f t="shared" si="144"/>
        <v>A1622:A1805</v>
      </c>
    </row>
    <row r="1806" spans="1:15">
      <c r="A1806" s="18">
        <f>Charms!K1806</f>
        <v>0</v>
      </c>
      <c r="B1806">
        <f>Charms!B1806</f>
        <v>0</v>
      </c>
      <c r="C1806" t="b">
        <f ca="1">OR(Values!$S$98&gt;=Charms!M1806,IFERROR(Charms!J1806=OFFSET(Values!$A$24,MATCH("S",Values!$T$25:$T$50,0),0),FALSE))</f>
        <v>1</v>
      </c>
      <c r="D1806" t="e">
        <f>VLOOKUP(Charms!J1806,Values!$A$11:$S$59,19,0)&gt;=Charms!L1806</f>
        <v>#N/A</v>
      </c>
      <c r="E1806" t="e">
        <f>OR(ISBLANK(Charms!I1806),(VLOOKUP(Values!$S$6,Castes!$B$2:$F$25,4,0)=Charms!I1806))</f>
        <v>#N/A</v>
      </c>
      <c r="J1806" t="e">
        <f t="shared" ca="1" si="141"/>
        <v>#N/A</v>
      </c>
      <c r="K1806" s="18" t="e">
        <f t="shared" ca="1" si="140"/>
        <v>#N/A</v>
      </c>
      <c r="L1806" t="e">
        <f ca="1">IF(J1806,Charms!B1806,"")</f>
        <v>#N/A</v>
      </c>
      <c r="M1806" t="str">
        <f t="shared" ca="1" si="142"/>
        <v>-</v>
      </c>
      <c r="N1806" s="18" t="str">
        <f t="shared" si="143"/>
        <v>K1622:L5000</v>
      </c>
      <c r="O1806" t="str">
        <f t="shared" si="144"/>
        <v>A1622:A1806</v>
      </c>
    </row>
    <row r="1807" spans="1:15">
      <c r="A1807" s="18">
        <f>Charms!K1807</f>
        <v>0</v>
      </c>
      <c r="B1807">
        <f>Charms!B1807</f>
        <v>0</v>
      </c>
      <c r="C1807" t="b">
        <f ca="1">OR(Values!$S$98&gt;=Charms!M1807,IFERROR(Charms!J1807=OFFSET(Values!$A$24,MATCH("S",Values!$T$25:$T$50,0),0),FALSE))</f>
        <v>1</v>
      </c>
      <c r="D1807" t="e">
        <f>VLOOKUP(Charms!J1807,Values!$A$11:$S$59,19,0)&gt;=Charms!L1807</f>
        <v>#N/A</v>
      </c>
      <c r="E1807" t="e">
        <f>OR(ISBLANK(Charms!I1807),(VLOOKUP(Values!$S$6,Castes!$B$2:$F$25,4,0)=Charms!I1807))</f>
        <v>#N/A</v>
      </c>
      <c r="J1807" t="e">
        <f t="shared" ca="1" si="141"/>
        <v>#N/A</v>
      </c>
      <c r="K1807" s="18" t="e">
        <f t="shared" ca="1" si="140"/>
        <v>#N/A</v>
      </c>
      <c r="L1807" t="e">
        <f ca="1">IF(J1807,Charms!B1807,"")</f>
        <v>#N/A</v>
      </c>
      <c r="M1807" t="str">
        <f t="shared" ca="1" si="142"/>
        <v>-</v>
      </c>
      <c r="N1807" s="18" t="str">
        <f t="shared" si="143"/>
        <v>K1622:L5000</v>
      </c>
      <c r="O1807" t="str">
        <f t="shared" si="144"/>
        <v>A1622:A1807</v>
      </c>
    </row>
    <row r="1808" spans="1:15">
      <c r="A1808" s="18">
        <f>Charms!K1808</f>
        <v>0</v>
      </c>
      <c r="B1808">
        <f>Charms!B1808</f>
        <v>0</v>
      </c>
      <c r="C1808" t="b">
        <f ca="1">OR(Values!$S$98&gt;=Charms!M1808,IFERROR(Charms!J1808=OFFSET(Values!$A$24,MATCH("S",Values!$T$25:$T$50,0),0),FALSE))</f>
        <v>1</v>
      </c>
      <c r="D1808" t="e">
        <f>VLOOKUP(Charms!J1808,Values!$A$11:$S$59,19,0)&gt;=Charms!L1808</f>
        <v>#N/A</v>
      </c>
      <c r="E1808" t="e">
        <f>OR(ISBLANK(Charms!I1808),(VLOOKUP(Values!$S$6,Castes!$B$2:$F$25,4,0)=Charms!I1808))</f>
        <v>#N/A</v>
      </c>
      <c r="J1808" t="e">
        <f t="shared" ca="1" si="141"/>
        <v>#N/A</v>
      </c>
      <c r="K1808" s="18" t="e">
        <f t="shared" ca="1" si="140"/>
        <v>#N/A</v>
      </c>
      <c r="L1808" t="e">
        <f ca="1">IF(J1808,Charms!B1808,"")</f>
        <v>#N/A</v>
      </c>
      <c r="M1808" t="str">
        <f t="shared" ca="1" si="142"/>
        <v>-</v>
      </c>
      <c r="N1808" s="18" t="str">
        <f t="shared" si="143"/>
        <v>K1622:L5000</v>
      </c>
      <c r="O1808" t="str">
        <f t="shared" si="144"/>
        <v>A1622:A1808</v>
      </c>
    </row>
    <row r="1809" spans="1:15">
      <c r="A1809" s="18">
        <f>Charms!K1809</f>
        <v>0</v>
      </c>
      <c r="B1809">
        <f>Charms!B1809</f>
        <v>0</v>
      </c>
      <c r="C1809" t="b">
        <f ca="1">OR(Values!$S$98&gt;=Charms!M1809,IFERROR(Charms!J1809=OFFSET(Values!$A$24,MATCH("S",Values!$T$25:$T$50,0),0),FALSE))</f>
        <v>1</v>
      </c>
      <c r="D1809" t="e">
        <f>VLOOKUP(Charms!J1809,Values!$A$11:$S$59,19,0)&gt;=Charms!L1809</f>
        <v>#N/A</v>
      </c>
      <c r="E1809" t="e">
        <f>OR(ISBLANK(Charms!I1809),(VLOOKUP(Values!$S$6,Castes!$B$2:$F$25,4,0)=Charms!I1809))</f>
        <v>#N/A</v>
      </c>
      <c r="J1809" t="e">
        <f t="shared" ca="1" si="141"/>
        <v>#N/A</v>
      </c>
      <c r="K1809" s="18" t="e">
        <f t="shared" ca="1" si="140"/>
        <v>#N/A</v>
      </c>
      <c r="L1809" t="e">
        <f ca="1">IF(J1809,Charms!B1809,"")</f>
        <v>#N/A</v>
      </c>
      <c r="M1809" t="str">
        <f t="shared" ca="1" si="142"/>
        <v>-</v>
      </c>
      <c r="N1809" s="18" t="str">
        <f t="shared" si="143"/>
        <v>K1622:L5000</v>
      </c>
      <c r="O1809" t="str">
        <f t="shared" si="144"/>
        <v>A1622:A1809</v>
      </c>
    </row>
    <row r="1810" spans="1:15">
      <c r="A1810" s="18">
        <f>Charms!K1810</f>
        <v>0</v>
      </c>
      <c r="B1810">
        <f>Charms!B1810</f>
        <v>0</v>
      </c>
      <c r="C1810" t="b">
        <f ca="1">OR(Values!$S$98&gt;=Charms!M1810,IFERROR(Charms!J1810=OFFSET(Values!$A$24,MATCH("S",Values!$T$25:$T$50,0),0),FALSE))</f>
        <v>1</v>
      </c>
      <c r="D1810" t="e">
        <f>VLOOKUP(Charms!J1810,Values!$A$11:$S$59,19,0)&gt;=Charms!L1810</f>
        <v>#N/A</v>
      </c>
      <c r="E1810" t="e">
        <f>OR(ISBLANK(Charms!I1810),(VLOOKUP(Values!$S$6,Castes!$B$2:$F$25,4,0)=Charms!I1810))</f>
        <v>#N/A</v>
      </c>
      <c r="J1810" t="e">
        <f t="shared" ca="1" si="141"/>
        <v>#N/A</v>
      </c>
      <c r="K1810" s="18" t="e">
        <f t="shared" ca="1" si="140"/>
        <v>#N/A</v>
      </c>
      <c r="L1810" t="e">
        <f ca="1">IF(J1810,Charms!B1810,"")</f>
        <v>#N/A</v>
      </c>
      <c r="M1810" t="str">
        <f t="shared" ca="1" si="142"/>
        <v>-</v>
      </c>
      <c r="N1810" s="18" t="str">
        <f t="shared" si="143"/>
        <v>K1622:L5000</v>
      </c>
      <c r="O1810" t="str">
        <f t="shared" si="144"/>
        <v>A1622:A1810</v>
      </c>
    </row>
    <row r="1811" spans="1:15">
      <c r="A1811" s="18">
        <f>Charms!K1811</f>
        <v>0</v>
      </c>
      <c r="B1811">
        <f>Charms!B1811</f>
        <v>0</v>
      </c>
      <c r="C1811" t="b">
        <f ca="1">OR(Values!$S$98&gt;=Charms!M1811,IFERROR(Charms!J1811=OFFSET(Values!$A$24,MATCH("S",Values!$T$25:$T$50,0),0),FALSE))</f>
        <v>1</v>
      </c>
      <c r="D1811" t="e">
        <f>VLOOKUP(Charms!J1811,Values!$A$11:$S$59,19,0)&gt;=Charms!L1811</f>
        <v>#N/A</v>
      </c>
      <c r="E1811" t="e">
        <f>OR(ISBLANK(Charms!I1811),(VLOOKUP(Values!$S$6,Castes!$B$2:$F$25,4,0)=Charms!I1811))</f>
        <v>#N/A</v>
      </c>
      <c r="J1811" t="e">
        <f t="shared" ca="1" si="141"/>
        <v>#N/A</v>
      </c>
      <c r="K1811" s="18" t="e">
        <f t="shared" ca="1" si="140"/>
        <v>#N/A</v>
      </c>
      <c r="L1811" t="e">
        <f ca="1">IF(J1811,Charms!B1811,"")</f>
        <v>#N/A</v>
      </c>
      <c r="M1811" t="str">
        <f t="shared" ca="1" si="142"/>
        <v>-</v>
      </c>
      <c r="N1811" s="18" t="str">
        <f t="shared" si="143"/>
        <v>K1622:L5000</v>
      </c>
      <c r="O1811" t="str">
        <f t="shared" si="144"/>
        <v>A1622:A1811</v>
      </c>
    </row>
    <row r="1812" spans="1:15">
      <c r="A1812" s="18">
        <f>Charms!K1812</f>
        <v>0</v>
      </c>
      <c r="B1812">
        <f>Charms!B1812</f>
        <v>0</v>
      </c>
      <c r="C1812" t="b">
        <f ca="1">OR(Values!$S$98&gt;=Charms!M1812,IFERROR(Charms!J1812=OFFSET(Values!$A$24,MATCH("S",Values!$T$25:$T$50,0),0),FALSE))</f>
        <v>1</v>
      </c>
      <c r="D1812" t="e">
        <f>VLOOKUP(Charms!J1812,Values!$A$11:$S$59,19,0)&gt;=Charms!L1812</f>
        <v>#N/A</v>
      </c>
      <c r="E1812" t="e">
        <f>OR(ISBLANK(Charms!I1812),(VLOOKUP(Values!$S$6,Castes!$B$2:$F$25,4,0)=Charms!I1812))</f>
        <v>#N/A</v>
      </c>
      <c r="J1812" t="e">
        <f t="shared" ca="1" si="141"/>
        <v>#N/A</v>
      </c>
      <c r="K1812" s="18" t="e">
        <f t="shared" ca="1" si="140"/>
        <v>#N/A</v>
      </c>
      <c r="L1812" t="e">
        <f ca="1">IF(J1812,Charms!B1812,"")</f>
        <v>#N/A</v>
      </c>
      <c r="M1812" t="str">
        <f t="shared" ca="1" si="142"/>
        <v>-</v>
      </c>
      <c r="N1812" s="18" t="str">
        <f t="shared" si="143"/>
        <v>K1622:L5000</v>
      </c>
      <c r="O1812" t="str">
        <f t="shared" si="144"/>
        <v>A1622:A1812</v>
      </c>
    </row>
    <row r="1813" spans="1:15">
      <c r="A1813" s="18">
        <f>Charms!K1813</f>
        <v>0</v>
      </c>
      <c r="B1813">
        <f>Charms!B1813</f>
        <v>0</v>
      </c>
      <c r="C1813" t="b">
        <f ca="1">OR(Values!$S$98&gt;=Charms!M1813,IFERROR(Charms!J1813=OFFSET(Values!$A$24,MATCH("S",Values!$T$25:$T$50,0),0),FALSE))</f>
        <v>1</v>
      </c>
      <c r="D1813" t="e">
        <f>VLOOKUP(Charms!J1813,Values!$A$11:$S$59,19,0)&gt;=Charms!L1813</f>
        <v>#N/A</v>
      </c>
      <c r="E1813" t="e">
        <f>OR(ISBLANK(Charms!I1813),(VLOOKUP(Values!$S$6,Castes!$B$2:$F$25,4,0)=Charms!I1813))</f>
        <v>#N/A</v>
      </c>
      <c r="J1813" t="e">
        <f t="shared" ca="1" si="141"/>
        <v>#N/A</v>
      </c>
      <c r="K1813" s="18" t="e">
        <f t="shared" ca="1" si="140"/>
        <v>#N/A</v>
      </c>
      <c r="L1813" t="e">
        <f ca="1">IF(J1813,Charms!B1813,"")</f>
        <v>#N/A</v>
      </c>
      <c r="M1813" t="str">
        <f t="shared" ca="1" si="142"/>
        <v>-</v>
      </c>
      <c r="N1813" s="18" t="str">
        <f t="shared" si="143"/>
        <v>K1622:L5000</v>
      </c>
      <c r="O1813" t="str">
        <f t="shared" si="144"/>
        <v>A1622:A1813</v>
      </c>
    </row>
    <row r="1814" spans="1:15">
      <c r="A1814" s="18">
        <f>Charms!K1814</f>
        <v>0</v>
      </c>
      <c r="B1814">
        <f>Charms!B1814</f>
        <v>0</v>
      </c>
      <c r="C1814" t="b">
        <f ca="1">OR(Values!$S$98&gt;=Charms!M1814,IFERROR(Charms!J1814=OFFSET(Values!$A$24,MATCH("S",Values!$T$25:$T$50,0),0),FALSE))</f>
        <v>1</v>
      </c>
      <c r="D1814" t="e">
        <f>VLOOKUP(Charms!J1814,Values!$A$11:$S$59,19,0)&gt;=Charms!L1814</f>
        <v>#N/A</v>
      </c>
      <c r="E1814" t="e">
        <f>OR(ISBLANK(Charms!I1814),(VLOOKUP(Values!$S$6,Castes!$B$2:$F$25,4,0)=Charms!I1814))</f>
        <v>#N/A</v>
      </c>
      <c r="J1814" t="e">
        <f t="shared" ca="1" si="141"/>
        <v>#N/A</v>
      </c>
      <c r="K1814" s="18" t="e">
        <f t="shared" ca="1" si="140"/>
        <v>#N/A</v>
      </c>
      <c r="L1814" t="e">
        <f ca="1">IF(J1814,Charms!B1814,"")</f>
        <v>#N/A</v>
      </c>
      <c r="M1814" t="str">
        <f t="shared" ca="1" si="142"/>
        <v>-</v>
      </c>
      <c r="N1814" s="18" t="str">
        <f t="shared" si="143"/>
        <v>K1622:L5000</v>
      </c>
      <c r="O1814" t="str">
        <f t="shared" si="144"/>
        <v>A1622:A1814</v>
      </c>
    </row>
    <row r="1815" spans="1:15">
      <c r="A1815" s="18">
        <f>Charms!K1815</f>
        <v>0</v>
      </c>
      <c r="B1815">
        <f>Charms!B1815</f>
        <v>0</v>
      </c>
      <c r="C1815" t="b">
        <f ca="1">OR(Values!$S$98&gt;=Charms!M1815,IFERROR(Charms!J1815=OFFSET(Values!$A$24,MATCH("S",Values!$T$25:$T$50,0),0),FALSE))</f>
        <v>1</v>
      </c>
      <c r="D1815" t="e">
        <f>VLOOKUP(Charms!J1815,Values!$A$11:$S$59,19,0)&gt;=Charms!L1815</f>
        <v>#N/A</v>
      </c>
      <c r="E1815" t="e">
        <f>OR(ISBLANK(Charms!I1815),(VLOOKUP(Values!$S$6,Castes!$B$2:$F$25,4,0)=Charms!I1815))</f>
        <v>#N/A</v>
      </c>
      <c r="J1815" t="e">
        <f t="shared" ca="1" si="141"/>
        <v>#N/A</v>
      </c>
      <c r="K1815" s="18" t="e">
        <f t="shared" ca="1" si="140"/>
        <v>#N/A</v>
      </c>
      <c r="L1815" t="e">
        <f ca="1">IF(J1815,Charms!B1815,"")</f>
        <v>#N/A</v>
      </c>
      <c r="M1815" t="str">
        <f t="shared" ca="1" si="142"/>
        <v>-</v>
      </c>
      <c r="N1815" s="18" t="str">
        <f t="shared" si="143"/>
        <v>K1622:L5000</v>
      </c>
      <c r="O1815" t="str">
        <f t="shared" si="144"/>
        <v>A1622:A1815</v>
      </c>
    </row>
    <row r="1816" spans="1:15">
      <c r="A1816" s="18">
        <f>Charms!K1816</f>
        <v>0</v>
      </c>
      <c r="B1816">
        <f>Charms!B1816</f>
        <v>0</v>
      </c>
      <c r="C1816" t="b">
        <f ca="1">OR(Values!$S$98&gt;=Charms!M1816,IFERROR(Charms!J1816=OFFSET(Values!$A$24,MATCH("S",Values!$T$25:$T$50,0),0),FALSE))</f>
        <v>1</v>
      </c>
      <c r="D1816" t="e">
        <f>VLOOKUP(Charms!J1816,Values!$A$11:$S$59,19,0)&gt;=Charms!L1816</f>
        <v>#N/A</v>
      </c>
      <c r="E1816" t="e">
        <f>OR(ISBLANK(Charms!I1816),(VLOOKUP(Values!$S$6,Castes!$B$2:$F$25,4,0)=Charms!I1816))</f>
        <v>#N/A</v>
      </c>
      <c r="J1816" t="e">
        <f t="shared" ca="1" si="141"/>
        <v>#N/A</v>
      </c>
      <c r="K1816" s="18" t="e">
        <f t="shared" ca="1" si="140"/>
        <v>#N/A</v>
      </c>
      <c r="L1816" t="e">
        <f ca="1">IF(J1816,Charms!B1816,"")</f>
        <v>#N/A</v>
      </c>
      <c r="M1816" t="str">
        <f t="shared" ca="1" si="142"/>
        <v>-</v>
      </c>
      <c r="N1816" s="18" t="str">
        <f t="shared" si="143"/>
        <v>K1622:L5000</v>
      </c>
      <c r="O1816" t="str">
        <f t="shared" si="144"/>
        <v>A1622:A1816</v>
      </c>
    </row>
    <row r="1817" spans="1:15">
      <c r="A1817" s="18">
        <f>Charms!K1817</f>
        <v>0</v>
      </c>
      <c r="B1817">
        <f>Charms!B1817</f>
        <v>0</v>
      </c>
      <c r="C1817" t="b">
        <f ca="1">OR(Values!$S$98&gt;=Charms!M1817,IFERROR(Charms!J1817=OFFSET(Values!$A$24,MATCH("S",Values!$T$25:$T$50,0),0),FALSE))</f>
        <v>1</v>
      </c>
      <c r="D1817" t="e">
        <f>VLOOKUP(Charms!J1817,Values!$A$11:$S$59,19,0)&gt;=Charms!L1817</f>
        <v>#N/A</v>
      </c>
      <c r="E1817" t="e">
        <f>OR(ISBLANK(Charms!I1817),(VLOOKUP(Values!$S$6,Castes!$B$2:$F$25,4,0)=Charms!I1817))</f>
        <v>#N/A</v>
      </c>
      <c r="J1817" t="e">
        <f t="shared" ca="1" si="141"/>
        <v>#N/A</v>
      </c>
      <c r="K1817" s="18" t="e">
        <f t="shared" ca="1" si="140"/>
        <v>#N/A</v>
      </c>
      <c r="L1817" t="e">
        <f ca="1">IF(J1817,Charms!B1817,"")</f>
        <v>#N/A</v>
      </c>
      <c r="M1817" t="str">
        <f t="shared" ca="1" si="142"/>
        <v>-</v>
      </c>
      <c r="N1817" s="18" t="str">
        <f t="shared" si="143"/>
        <v>K1622:L5000</v>
      </c>
      <c r="O1817" t="str">
        <f t="shared" si="144"/>
        <v>A1622:A1817</v>
      </c>
    </row>
    <row r="1818" spans="1:15">
      <c r="A1818" s="18">
        <f>Charms!K1818</f>
        <v>0</v>
      </c>
      <c r="B1818">
        <f>Charms!B1818</f>
        <v>0</v>
      </c>
      <c r="C1818" t="b">
        <f ca="1">OR(Values!$S$98&gt;=Charms!M1818,IFERROR(Charms!J1818=OFFSET(Values!$A$24,MATCH("S",Values!$T$25:$T$50,0),0),FALSE))</f>
        <v>1</v>
      </c>
      <c r="D1818" t="e">
        <f>VLOOKUP(Charms!J1818,Values!$A$11:$S$59,19,0)&gt;=Charms!L1818</f>
        <v>#N/A</v>
      </c>
      <c r="E1818" t="e">
        <f>OR(ISBLANK(Charms!I1818),(VLOOKUP(Values!$S$6,Castes!$B$2:$F$25,4,0)=Charms!I1818))</f>
        <v>#N/A</v>
      </c>
      <c r="J1818" t="e">
        <f t="shared" ca="1" si="141"/>
        <v>#N/A</v>
      </c>
      <c r="K1818" s="18" t="e">
        <f t="shared" ca="1" si="140"/>
        <v>#N/A</v>
      </c>
      <c r="L1818" t="e">
        <f ca="1">IF(J1818,Charms!B1818,"")</f>
        <v>#N/A</v>
      </c>
      <c r="M1818" t="str">
        <f t="shared" ca="1" si="142"/>
        <v>-</v>
      </c>
      <c r="N1818" s="18" t="str">
        <f t="shared" si="143"/>
        <v>K1622:L5000</v>
      </c>
      <c r="O1818" t="str">
        <f t="shared" si="144"/>
        <v>A1622:A1818</v>
      </c>
    </row>
    <row r="1819" spans="1:15">
      <c r="A1819" s="18">
        <f>Charms!K1819</f>
        <v>0</v>
      </c>
      <c r="B1819">
        <f>Charms!B1819</f>
        <v>0</v>
      </c>
      <c r="C1819" t="b">
        <f ca="1">OR(Values!$S$98&gt;=Charms!M1819,IFERROR(Charms!J1819=OFFSET(Values!$A$24,MATCH("S",Values!$T$25:$T$50,0),0),FALSE))</f>
        <v>1</v>
      </c>
      <c r="D1819" t="e">
        <f>VLOOKUP(Charms!J1819,Values!$A$11:$S$59,19,0)&gt;=Charms!L1819</f>
        <v>#N/A</v>
      </c>
      <c r="E1819" t="e">
        <f>OR(ISBLANK(Charms!I1819),(VLOOKUP(Values!$S$6,Castes!$B$2:$F$25,4,0)=Charms!I1819))</f>
        <v>#N/A</v>
      </c>
      <c r="J1819" t="e">
        <f t="shared" ca="1" si="141"/>
        <v>#N/A</v>
      </c>
      <c r="K1819" s="18" t="e">
        <f t="shared" ca="1" si="140"/>
        <v>#N/A</v>
      </c>
      <c r="L1819" t="e">
        <f ca="1">IF(J1819,Charms!B1819,"")</f>
        <v>#N/A</v>
      </c>
      <c r="M1819" t="str">
        <f t="shared" ca="1" si="142"/>
        <v>-</v>
      </c>
      <c r="N1819" s="18" t="str">
        <f t="shared" si="143"/>
        <v>K1622:L5000</v>
      </c>
      <c r="O1819" t="str">
        <f t="shared" si="144"/>
        <v>A1622:A1819</v>
      </c>
    </row>
    <row r="1820" spans="1:15">
      <c r="A1820" s="18">
        <f>Charms!K1820</f>
        <v>0</v>
      </c>
      <c r="B1820">
        <f>Charms!B1820</f>
        <v>0</v>
      </c>
      <c r="C1820" t="b">
        <f ca="1">OR(Values!$S$98&gt;=Charms!M1820,IFERROR(Charms!J1820=OFFSET(Values!$A$24,MATCH("S",Values!$T$25:$T$50,0),0),FALSE))</f>
        <v>1</v>
      </c>
      <c r="D1820" t="e">
        <f>VLOOKUP(Charms!J1820,Values!$A$11:$S$59,19,0)&gt;=Charms!L1820</f>
        <v>#N/A</v>
      </c>
      <c r="E1820" t="e">
        <f>OR(ISBLANK(Charms!I1820),(VLOOKUP(Values!$S$6,Castes!$B$2:$F$25,4,0)=Charms!I1820))</f>
        <v>#N/A</v>
      </c>
      <c r="J1820" t="e">
        <f t="shared" ca="1" si="141"/>
        <v>#N/A</v>
      </c>
      <c r="K1820" s="18" t="e">
        <f t="shared" ca="1" si="140"/>
        <v>#N/A</v>
      </c>
      <c r="L1820" t="e">
        <f ca="1">IF(J1820,Charms!B1820,"")</f>
        <v>#N/A</v>
      </c>
      <c r="M1820" t="str">
        <f t="shared" ca="1" si="142"/>
        <v>-</v>
      </c>
      <c r="N1820" s="18" t="str">
        <f t="shared" si="143"/>
        <v>K1622:L5000</v>
      </c>
      <c r="O1820" t="str">
        <f t="shared" si="144"/>
        <v>A1622:A1820</v>
      </c>
    </row>
    <row r="1821" spans="1:15">
      <c r="A1821" s="18">
        <f>Charms!K1821</f>
        <v>0</v>
      </c>
      <c r="B1821">
        <f>Charms!B1821</f>
        <v>0</v>
      </c>
      <c r="C1821" t="b">
        <f ca="1">OR(Values!$S$98&gt;=Charms!M1821,IFERROR(Charms!J1821=OFFSET(Values!$A$24,MATCH("S",Values!$T$25:$T$50,0),0),FALSE))</f>
        <v>1</v>
      </c>
      <c r="D1821" t="e">
        <f>VLOOKUP(Charms!J1821,Values!$A$11:$S$59,19,0)&gt;=Charms!L1821</f>
        <v>#N/A</v>
      </c>
      <c r="E1821" t="e">
        <f>OR(ISBLANK(Charms!I1821),(VLOOKUP(Values!$S$6,Castes!$B$2:$F$25,4,0)=Charms!I1821))</f>
        <v>#N/A</v>
      </c>
      <c r="J1821" t="e">
        <f t="shared" ca="1" si="141"/>
        <v>#N/A</v>
      </c>
      <c r="K1821" s="18" t="e">
        <f t="shared" ca="1" si="140"/>
        <v>#N/A</v>
      </c>
      <c r="L1821" t="e">
        <f ca="1">IF(J1821,Charms!B1821,"")</f>
        <v>#N/A</v>
      </c>
      <c r="M1821" t="str">
        <f t="shared" ca="1" si="142"/>
        <v>-</v>
      </c>
      <c r="N1821" s="18" t="str">
        <f t="shared" si="143"/>
        <v>K1622:L5000</v>
      </c>
      <c r="O1821" t="str">
        <f t="shared" si="144"/>
        <v>A1622:A1821</v>
      </c>
    </row>
    <row r="1822" spans="1:15">
      <c r="A1822" s="18">
        <f>Charms!K1822</f>
        <v>0</v>
      </c>
      <c r="B1822">
        <f>Charms!B1822</f>
        <v>0</v>
      </c>
      <c r="C1822" t="b">
        <f ca="1">OR(Values!$S$98&gt;=Charms!M1822,IFERROR(Charms!J1822=OFFSET(Values!$A$24,MATCH("S",Values!$T$25:$T$50,0),0),FALSE))</f>
        <v>1</v>
      </c>
      <c r="D1822" t="e">
        <f>VLOOKUP(Charms!J1822,Values!$A$11:$S$59,19,0)&gt;=Charms!L1822</f>
        <v>#N/A</v>
      </c>
      <c r="E1822" t="e">
        <f>OR(ISBLANK(Charms!I1822),(VLOOKUP(Values!$S$6,Castes!$B$2:$F$25,4,0)=Charms!I1822))</f>
        <v>#N/A</v>
      </c>
      <c r="J1822" t="e">
        <f t="shared" ca="1" si="141"/>
        <v>#N/A</v>
      </c>
      <c r="K1822" s="18" t="e">
        <f t="shared" ca="1" si="140"/>
        <v>#N/A</v>
      </c>
      <c r="L1822" t="e">
        <f ca="1">IF(J1822,Charms!B1822,"")</f>
        <v>#N/A</v>
      </c>
      <c r="M1822" t="str">
        <f t="shared" ca="1" si="142"/>
        <v>-</v>
      </c>
      <c r="N1822" s="18" t="str">
        <f t="shared" si="143"/>
        <v>K1622:L5000</v>
      </c>
      <c r="O1822" t="str">
        <f t="shared" si="144"/>
        <v>A1622:A1822</v>
      </c>
    </row>
    <row r="1823" spans="1:15">
      <c r="A1823" s="18">
        <f>Charms!K1823</f>
        <v>0</v>
      </c>
      <c r="B1823">
        <f>Charms!B1823</f>
        <v>0</v>
      </c>
      <c r="C1823" t="b">
        <f ca="1">OR(Values!$S$98&gt;=Charms!M1823,IFERROR(Charms!J1823=OFFSET(Values!$A$24,MATCH("S",Values!$T$25:$T$50,0),0),FALSE))</f>
        <v>1</v>
      </c>
      <c r="D1823" t="e">
        <f>VLOOKUP(Charms!J1823,Values!$A$11:$S$59,19,0)&gt;=Charms!L1823</f>
        <v>#N/A</v>
      </c>
      <c r="E1823" t="e">
        <f>OR(ISBLANK(Charms!I1823),(VLOOKUP(Values!$S$6,Castes!$B$2:$F$25,4,0)=Charms!I1823))</f>
        <v>#N/A</v>
      </c>
      <c r="J1823" t="e">
        <f t="shared" ca="1" si="141"/>
        <v>#N/A</v>
      </c>
      <c r="K1823" s="18" t="e">
        <f t="shared" ca="1" si="140"/>
        <v>#N/A</v>
      </c>
      <c r="L1823" t="e">
        <f ca="1">IF(J1823,Charms!B1823,"")</f>
        <v>#N/A</v>
      </c>
      <c r="M1823" t="str">
        <f t="shared" ca="1" si="142"/>
        <v>-</v>
      </c>
      <c r="N1823" s="18" t="str">
        <f t="shared" si="143"/>
        <v>K1622:L5000</v>
      </c>
      <c r="O1823" t="str">
        <f t="shared" si="144"/>
        <v>A1622:A1823</v>
      </c>
    </row>
    <row r="1824" spans="1:15">
      <c r="A1824" s="18">
        <f>Charms!K1824</f>
        <v>0</v>
      </c>
      <c r="B1824">
        <f>Charms!B1824</f>
        <v>0</v>
      </c>
      <c r="C1824" t="b">
        <f ca="1">OR(Values!$S$98&gt;=Charms!M1824,IFERROR(Charms!J1824=OFFSET(Values!$A$24,MATCH("S",Values!$T$25:$T$50,0),0),FALSE))</f>
        <v>1</v>
      </c>
      <c r="D1824" t="e">
        <f>VLOOKUP(Charms!J1824,Values!$A$11:$S$59,19,0)&gt;=Charms!L1824</f>
        <v>#N/A</v>
      </c>
      <c r="E1824" t="e">
        <f>OR(ISBLANK(Charms!I1824),(VLOOKUP(Values!$S$6,Castes!$B$2:$F$25,4,0)=Charms!I1824))</f>
        <v>#N/A</v>
      </c>
      <c r="J1824" t="e">
        <f t="shared" ca="1" si="141"/>
        <v>#N/A</v>
      </c>
      <c r="K1824" s="18" t="e">
        <f t="shared" ca="1" si="140"/>
        <v>#N/A</v>
      </c>
      <c r="L1824" t="e">
        <f ca="1">IF(J1824,Charms!B1824,"")</f>
        <v>#N/A</v>
      </c>
      <c r="M1824" t="str">
        <f t="shared" ca="1" si="142"/>
        <v>-</v>
      </c>
      <c r="N1824" s="18" t="str">
        <f t="shared" si="143"/>
        <v>K1622:L5000</v>
      </c>
      <c r="O1824" t="str">
        <f t="shared" si="144"/>
        <v>A1622:A1824</v>
      </c>
    </row>
    <row r="1825" spans="1:15">
      <c r="A1825" s="18">
        <f>Charms!K1825</f>
        <v>0</v>
      </c>
      <c r="B1825">
        <f>Charms!B1825</f>
        <v>0</v>
      </c>
      <c r="C1825" t="b">
        <f ca="1">OR(Values!$S$98&gt;=Charms!M1825,IFERROR(Charms!J1825=OFFSET(Values!$A$24,MATCH("S",Values!$T$25:$T$50,0),0),FALSE))</f>
        <v>1</v>
      </c>
      <c r="D1825" t="e">
        <f>VLOOKUP(Charms!J1825,Values!$A$11:$S$59,19,0)&gt;=Charms!L1825</f>
        <v>#N/A</v>
      </c>
      <c r="E1825" t="e">
        <f>OR(ISBLANK(Charms!I1825),(VLOOKUP(Values!$S$6,Castes!$B$2:$F$25,4,0)=Charms!I1825))</f>
        <v>#N/A</v>
      </c>
      <c r="J1825" t="e">
        <f t="shared" ca="1" si="141"/>
        <v>#N/A</v>
      </c>
      <c r="K1825" s="18" t="e">
        <f t="shared" ca="1" si="140"/>
        <v>#N/A</v>
      </c>
      <c r="L1825" t="e">
        <f ca="1">IF(J1825,Charms!B1825,"")</f>
        <v>#N/A</v>
      </c>
      <c r="M1825" t="str">
        <f t="shared" ca="1" si="142"/>
        <v>-</v>
      </c>
      <c r="N1825" s="18" t="str">
        <f t="shared" si="143"/>
        <v>K1622:L5000</v>
      </c>
      <c r="O1825" t="str">
        <f t="shared" si="144"/>
        <v>A1622:A1825</v>
      </c>
    </row>
    <row r="1826" spans="1:15">
      <c r="A1826" s="18">
        <f>Charms!K1826</f>
        <v>0</v>
      </c>
      <c r="B1826">
        <f>Charms!B1826</f>
        <v>0</v>
      </c>
      <c r="C1826" t="b">
        <f ca="1">OR(Values!$S$98&gt;=Charms!M1826,IFERROR(Charms!J1826=OFFSET(Values!$A$24,MATCH("S",Values!$T$25:$T$50,0),0),FALSE))</f>
        <v>1</v>
      </c>
      <c r="D1826" t="e">
        <f>VLOOKUP(Charms!J1826,Values!$A$11:$S$59,19,0)&gt;=Charms!L1826</f>
        <v>#N/A</v>
      </c>
      <c r="E1826" t="e">
        <f>OR(ISBLANK(Charms!I1826),(VLOOKUP(Values!$S$6,Castes!$B$2:$F$25,4,0)=Charms!I1826))</f>
        <v>#N/A</v>
      </c>
      <c r="J1826" t="e">
        <f t="shared" ca="1" si="141"/>
        <v>#N/A</v>
      </c>
      <c r="K1826" s="18" t="e">
        <f t="shared" ca="1" si="140"/>
        <v>#N/A</v>
      </c>
      <c r="L1826" t="e">
        <f ca="1">IF(J1826,Charms!B1826,"")</f>
        <v>#N/A</v>
      </c>
      <c r="M1826" t="str">
        <f t="shared" ca="1" si="142"/>
        <v>-</v>
      </c>
      <c r="N1826" s="18" t="str">
        <f t="shared" si="143"/>
        <v>K1622:L5000</v>
      </c>
      <c r="O1826" t="str">
        <f t="shared" si="144"/>
        <v>A1622:A1826</v>
      </c>
    </row>
    <row r="1827" spans="1:15">
      <c r="A1827" s="18">
        <f>Charms!K1827</f>
        <v>0</v>
      </c>
      <c r="B1827">
        <f>Charms!B1827</f>
        <v>0</v>
      </c>
      <c r="C1827" t="b">
        <f ca="1">OR(Values!$S$98&gt;=Charms!M1827,IFERROR(Charms!J1827=OFFSET(Values!$A$24,MATCH("S",Values!$T$25:$T$50,0),0),FALSE))</f>
        <v>1</v>
      </c>
      <c r="D1827" t="e">
        <f>VLOOKUP(Charms!J1827,Values!$A$11:$S$59,19,0)&gt;=Charms!L1827</f>
        <v>#N/A</v>
      </c>
      <c r="E1827" t="e">
        <f>OR(ISBLANK(Charms!I1827),(VLOOKUP(Values!$S$6,Castes!$B$2:$F$25,4,0)=Charms!I1827))</f>
        <v>#N/A</v>
      </c>
      <c r="J1827" t="e">
        <f t="shared" ca="1" si="141"/>
        <v>#N/A</v>
      </c>
      <c r="K1827" s="18" t="e">
        <f t="shared" ca="1" si="140"/>
        <v>#N/A</v>
      </c>
      <c r="L1827" t="e">
        <f ca="1">IF(J1827,Charms!B1827,"")</f>
        <v>#N/A</v>
      </c>
      <c r="M1827" t="str">
        <f t="shared" ca="1" si="142"/>
        <v>-</v>
      </c>
      <c r="N1827" s="18" t="str">
        <f t="shared" si="143"/>
        <v>K1622:L5000</v>
      </c>
      <c r="O1827" t="str">
        <f t="shared" si="144"/>
        <v>A1622:A1827</v>
      </c>
    </row>
    <row r="1828" spans="1:15">
      <c r="A1828" s="18">
        <f>Charms!K1828</f>
        <v>0</v>
      </c>
      <c r="B1828">
        <f>Charms!B1828</f>
        <v>0</v>
      </c>
      <c r="C1828" t="b">
        <f ca="1">OR(Values!$S$98&gt;=Charms!M1828,IFERROR(Charms!J1828=OFFSET(Values!$A$24,MATCH("S",Values!$T$25:$T$50,0),0),FALSE))</f>
        <v>1</v>
      </c>
      <c r="D1828" t="e">
        <f>VLOOKUP(Charms!J1828,Values!$A$11:$S$59,19,0)&gt;=Charms!L1828</f>
        <v>#N/A</v>
      </c>
      <c r="E1828" t="e">
        <f>OR(ISBLANK(Charms!I1828),(VLOOKUP(Values!$S$6,Castes!$B$2:$F$25,4,0)=Charms!I1828))</f>
        <v>#N/A</v>
      </c>
      <c r="J1828" t="e">
        <f t="shared" ca="1" si="141"/>
        <v>#N/A</v>
      </c>
      <c r="K1828" s="18" t="e">
        <f t="shared" ca="1" si="140"/>
        <v>#N/A</v>
      </c>
      <c r="L1828" t="e">
        <f ca="1">IF(J1828,Charms!B1828,"")</f>
        <v>#N/A</v>
      </c>
      <c r="M1828" t="str">
        <f t="shared" ca="1" si="142"/>
        <v>-</v>
      </c>
      <c r="N1828" s="18" t="str">
        <f t="shared" si="143"/>
        <v>K1622:L5000</v>
      </c>
      <c r="O1828" t="str">
        <f t="shared" si="144"/>
        <v>A1622:A1828</v>
      </c>
    </row>
    <row r="1829" spans="1:15">
      <c r="A1829" s="18">
        <f>Charms!K1829</f>
        <v>0</v>
      </c>
      <c r="B1829">
        <f>Charms!B1829</f>
        <v>0</v>
      </c>
      <c r="C1829" t="b">
        <f ca="1">OR(Values!$S$98&gt;=Charms!M1829,IFERROR(Charms!J1829=OFFSET(Values!$A$24,MATCH("S",Values!$T$25:$T$50,0),0),FALSE))</f>
        <v>1</v>
      </c>
      <c r="D1829" t="e">
        <f>VLOOKUP(Charms!J1829,Values!$A$11:$S$59,19,0)&gt;=Charms!L1829</f>
        <v>#N/A</v>
      </c>
      <c r="E1829" t="e">
        <f>OR(ISBLANK(Charms!I1829),(VLOOKUP(Values!$S$6,Castes!$B$2:$F$25,4,0)=Charms!I1829))</f>
        <v>#N/A</v>
      </c>
      <c r="J1829" t="e">
        <f t="shared" ca="1" si="141"/>
        <v>#N/A</v>
      </c>
      <c r="K1829" s="18" t="e">
        <f t="shared" ca="1" si="140"/>
        <v>#N/A</v>
      </c>
      <c r="L1829" t="e">
        <f ca="1">IF(J1829,Charms!B1829,"")</f>
        <v>#N/A</v>
      </c>
      <c r="M1829" t="str">
        <f t="shared" ca="1" si="142"/>
        <v>-</v>
      </c>
      <c r="N1829" s="18" t="str">
        <f t="shared" si="143"/>
        <v>K1622:L5000</v>
      </c>
      <c r="O1829" t="str">
        <f t="shared" si="144"/>
        <v>A1622:A1829</v>
      </c>
    </row>
    <row r="1830" spans="1:15">
      <c r="A1830" s="18">
        <f>Charms!K1830</f>
        <v>0</v>
      </c>
      <c r="B1830">
        <f>Charms!B1830</f>
        <v>0</v>
      </c>
      <c r="C1830" t="b">
        <f ca="1">OR(Values!$S$98&gt;=Charms!M1830,IFERROR(Charms!J1830=OFFSET(Values!$A$24,MATCH("S",Values!$T$25:$T$50,0),0),FALSE))</f>
        <v>1</v>
      </c>
      <c r="D1830" t="e">
        <f>VLOOKUP(Charms!J1830,Values!$A$11:$S$59,19,0)&gt;=Charms!L1830</f>
        <v>#N/A</v>
      </c>
      <c r="E1830" t="e">
        <f>OR(ISBLANK(Charms!I1830),(VLOOKUP(Values!$S$6,Castes!$B$2:$F$25,4,0)=Charms!I1830))</f>
        <v>#N/A</v>
      </c>
      <c r="J1830" t="e">
        <f t="shared" ca="1" si="141"/>
        <v>#N/A</v>
      </c>
      <c r="K1830" s="18" t="e">
        <f t="shared" ca="1" si="140"/>
        <v>#N/A</v>
      </c>
      <c r="L1830" t="e">
        <f ca="1">IF(J1830,Charms!B1830,"")</f>
        <v>#N/A</v>
      </c>
      <c r="M1830" t="str">
        <f t="shared" ca="1" si="142"/>
        <v>-</v>
      </c>
      <c r="N1830" s="18" t="str">
        <f t="shared" si="143"/>
        <v>K1622:L5000</v>
      </c>
      <c r="O1830" t="str">
        <f t="shared" si="144"/>
        <v>A1622:A1830</v>
      </c>
    </row>
    <row r="1831" spans="1:15">
      <c r="A1831" s="18">
        <f>Charms!K1831</f>
        <v>0</v>
      </c>
      <c r="B1831">
        <f>Charms!B1831</f>
        <v>0</v>
      </c>
      <c r="C1831" t="b">
        <f ca="1">OR(Values!$S$98&gt;=Charms!M1831,IFERROR(Charms!J1831=OFFSET(Values!$A$24,MATCH("S",Values!$T$25:$T$50,0),0),FALSE))</f>
        <v>1</v>
      </c>
      <c r="D1831" t="e">
        <f>VLOOKUP(Charms!J1831,Values!$A$11:$S$59,19,0)&gt;=Charms!L1831</f>
        <v>#N/A</v>
      </c>
      <c r="E1831" t="e">
        <f>OR(ISBLANK(Charms!I1831),(VLOOKUP(Values!$S$6,Castes!$B$2:$F$25,4,0)=Charms!I1831))</f>
        <v>#N/A</v>
      </c>
      <c r="J1831" t="e">
        <f t="shared" ca="1" si="141"/>
        <v>#N/A</v>
      </c>
      <c r="K1831" s="18" t="e">
        <f t="shared" ca="1" si="140"/>
        <v>#N/A</v>
      </c>
      <c r="L1831" t="e">
        <f ca="1">IF(J1831,Charms!B1831,"")</f>
        <v>#N/A</v>
      </c>
      <c r="M1831" t="str">
        <f t="shared" ca="1" si="142"/>
        <v>-</v>
      </c>
      <c r="N1831" s="18" t="str">
        <f t="shared" si="143"/>
        <v>K1622:L5000</v>
      </c>
      <c r="O1831" t="str">
        <f t="shared" si="144"/>
        <v>A1622:A1831</v>
      </c>
    </row>
    <row r="1832" spans="1:15">
      <c r="A1832" s="18">
        <f>Charms!K1832</f>
        <v>0</v>
      </c>
      <c r="B1832">
        <f>Charms!B1832</f>
        <v>0</v>
      </c>
      <c r="C1832" t="b">
        <f ca="1">OR(Values!$S$98&gt;=Charms!M1832,IFERROR(Charms!J1832=OFFSET(Values!$A$24,MATCH("S",Values!$T$25:$T$50,0),0),FALSE))</f>
        <v>1</v>
      </c>
      <c r="D1832" t="e">
        <f>VLOOKUP(Charms!J1832,Values!$A$11:$S$59,19,0)&gt;=Charms!L1832</f>
        <v>#N/A</v>
      </c>
      <c r="E1832" t="e">
        <f>OR(ISBLANK(Charms!I1832),(VLOOKUP(Values!$S$6,Castes!$B$2:$F$25,4,0)=Charms!I1832))</f>
        <v>#N/A</v>
      </c>
      <c r="J1832" t="e">
        <f t="shared" ca="1" si="141"/>
        <v>#N/A</v>
      </c>
      <c r="K1832" s="18" t="e">
        <f t="shared" ca="1" si="140"/>
        <v>#N/A</v>
      </c>
      <c r="L1832" t="e">
        <f ca="1">IF(J1832,Charms!B1832,"")</f>
        <v>#N/A</v>
      </c>
      <c r="M1832" t="str">
        <f t="shared" ca="1" si="142"/>
        <v>-</v>
      </c>
      <c r="N1832" s="18" t="str">
        <f t="shared" si="143"/>
        <v>K1622:L5000</v>
      </c>
      <c r="O1832" t="str">
        <f t="shared" si="144"/>
        <v>A1622:A1832</v>
      </c>
    </row>
    <row r="1833" spans="1:15">
      <c r="A1833" s="18">
        <f>Charms!K1833</f>
        <v>0</v>
      </c>
      <c r="B1833">
        <f>Charms!B1833</f>
        <v>0</v>
      </c>
      <c r="C1833" t="b">
        <f ca="1">OR(Values!$S$98&gt;=Charms!M1833,IFERROR(Charms!J1833=OFFSET(Values!$A$24,MATCH("S",Values!$T$25:$T$50,0),0),FALSE))</f>
        <v>1</v>
      </c>
      <c r="D1833" t="e">
        <f>VLOOKUP(Charms!J1833,Values!$A$11:$S$59,19,0)&gt;=Charms!L1833</f>
        <v>#N/A</v>
      </c>
      <c r="E1833" t="e">
        <f>OR(ISBLANK(Charms!I1833),(VLOOKUP(Values!$S$6,Castes!$B$2:$F$25,4,0)=Charms!I1833))</f>
        <v>#N/A</v>
      </c>
      <c r="J1833" t="e">
        <f t="shared" ca="1" si="141"/>
        <v>#N/A</v>
      </c>
      <c r="K1833" s="18" t="e">
        <f t="shared" ca="1" si="140"/>
        <v>#N/A</v>
      </c>
      <c r="L1833" t="e">
        <f ca="1">IF(J1833,Charms!B1833,"")</f>
        <v>#N/A</v>
      </c>
      <c r="M1833" t="str">
        <f t="shared" ca="1" si="142"/>
        <v>-</v>
      </c>
      <c r="N1833" s="18" t="str">
        <f t="shared" si="143"/>
        <v>K1622:L5000</v>
      </c>
      <c r="O1833" t="str">
        <f t="shared" si="144"/>
        <v>A1622:A1833</v>
      </c>
    </row>
    <row r="1834" spans="1:15">
      <c r="A1834" s="18">
        <f>Charms!K1834</f>
        <v>0</v>
      </c>
      <c r="B1834">
        <f>Charms!B1834</f>
        <v>0</v>
      </c>
      <c r="C1834" t="b">
        <f ca="1">OR(Values!$S$98&gt;=Charms!M1834,IFERROR(Charms!J1834=OFFSET(Values!$A$24,MATCH("S",Values!$T$25:$T$50,0),0),FALSE))</f>
        <v>1</v>
      </c>
      <c r="D1834" t="e">
        <f>VLOOKUP(Charms!J1834,Values!$A$11:$S$59,19,0)&gt;=Charms!L1834</f>
        <v>#N/A</v>
      </c>
      <c r="E1834" t="e">
        <f>OR(ISBLANK(Charms!I1834),(VLOOKUP(Values!$S$6,Castes!$B$2:$F$25,4,0)=Charms!I1834))</f>
        <v>#N/A</v>
      </c>
      <c r="J1834" t="e">
        <f t="shared" ca="1" si="141"/>
        <v>#N/A</v>
      </c>
      <c r="K1834" s="18" t="e">
        <f t="shared" ca="1" si="140"/>
        <v>#N/A</v>
      </c>
      <c r="L1834" t="e">
        <f ca="1">IF(J1834,Charms!B1834,"")</f>
        <v>#N/A</v>
      </c>
      <c r="M1834" t="str">
        <f t="shared" ca="1" si="142"/>
        <v>-</v>
      </c>
      <c r="N1834" s="18" t="str">
        <f t="shared" si="143"/>
        <v>K1622:L5000</v>
      </c>
      <c r="O1834" t="str">
        <f t="shared" si="144"/>
        <v>A1622:A1834</v>
      </c>
    </row>
    <row r="1835" spans="1:15">
      <c r="A1835" s="18">
        <f>Charms!K1835</f>
        <v>0</v>
      </c>
      <c r="B1835">
        <f>Charms!B1835</f>
        <v>0</v>
      </c>
      <c r="C1835" t="b">
        <f ca="1">OR(Values!$S$98&gt;=Charms!M1835,IFERROR(Charms!J1835=OFFSET(Values!$A$24,MATCH("S",Values!$T$25:$T$50,0),0),FALSE))</f>
        <v>1</v>
      </c>
      <c r="D1835" t="e">
        <f>VLOOKUP(Charms!J1835,Values!$A$11:$S$59,19,0)&gt;=Charms!L1835</f>
        <v>#N/A</v>
      </c>
      <c r="E1835" t="e">
        <f>OR(ISBLANK(Charms!I1835),(VLOOKUP(Values!$S$6,Castes!$B$2:$F$25,4,0)=Charms!I1835))</f>
        <v>#N/A</v>
      </c>
      <c r="J1835" t="e">
        <f t="shared" ca="1" si="141"/>
        <v>#N/A</v>
      </c>
      <c r="K1835" s="18" t="e">
        <f t="shared" ca="1" si="140"/>
        <v>#N/A</v>
      </c>
      <c r="L1835" t="e">
        <f ca="1">IF(J1835,Charms!B1835,"")</f>
        <v>#N/A</v>
      </c>
      <c r="M1835" t="str">
        <f t="shared" ca="1" si="142"/>
        <v>-</v>
      </c>
      <c r="N1835" s="18" t="str">
        <f t="shared" si="143"/>
        <v>K1622:L5000</v>
      </c>
      <c r="O1835" t="str">
        <f t="shared" si="144"/>
        <v>A1622:A1835</v>
      </c>
    </row>
    <row r="1836" spans="1:15">
      <c r="A1836" s="18">
        <f>Charms!K1836</f>
        <v>0</v>
      </c>
      <c r="B1836">
        <f>Charms!B1836</f>
        <v>0</v>
      </c>
      <c r="C1836" t="b">
        <f ca="1">OR(Values!$S$98&gt;=Charms!M1836,IFERROR(Charms!J1836=OFFSET(Values!$A$24,MATCH("S",Values!$T$25:$T$50,0),0),FALSE))</f>
        <v>1</v>
      </c>
      <c r="D1836" t="e">
        <f>VLOOKUP(Charms!J1836,Values!$A$11:$S$59,19,0)&gt;=Charms!L1836</f>
        <v>#N/A</v>
      </c>
      <c r="E1836" t="e">
        <f>OR(ISBLANK(Charms!I1836),(VLOOKUP(Values!$S$6,Castes!$B$2:$F$25,4,0)=Charms!I1836))</f>
        <v>#N/A</v>
      </c>
      <c r="J1836" t="e">
        <f t="shared" ca="1" si="141"/>
        <v>#N/A</v>
      </c>
      <c r="K1836" s="18" t="e">
        <f t="shared" ca="1" si="140"/>
        <v>#N/A</v>
      </c>
      <c r="L1836" t="e">
        <f ca="1">IF(J1836,Charms!B1836,"")</f>
        <v>#N/A</v>
      </c>
      <c r="M1836" t="str">
        <f t="shared" ca="1" si="142"/>
        <v>-</v>
      </c>
      <c r="N1836" s="18" t="str">
        <f t="shared" si="143"/>
        <v>K1622:L5000</v>
      </c>
      <c r="O1836" t="str">
        <f t="shared" si="144"/>
        <v>A1622:A1836</v>
      </c>
    </row>
    <row r="1837" spans="1:15">
      <c r="A1837" s="18">
        <f>Charms!K1837</f>
        <v>0</v>
      </c>
      <c r="B1837">
        <f>Charms!B1837</f>
        <v>0</v>
      </c>
      <c r="C1837" t="b">
        <f ca="1">OR(Values!$S$98&gt;=Charms!M1837,IFERROR(Charms!J1837=OFFSET(Values!$A$24,MATCH("S",Values!$T$25:$T$50,0),0),FALSE))</f>
        <v>1</v>
      </c>
      <c r="D1837" t="e">
        <f>VLOOKUP(Charms!J1837,Values!$A$11:$S$59,19,0)&gt;=Charms!L1837</f>
        <v>#N/A</v>
      </c>
      <c r="E1837" t="e">
        <f>OR(ISBLANK(Charms!I1837),(VLOOKUP(Values!$S$6,Castes!$B$2:$F$25,4,0)=Charms!I1837))</f>
        <v>#N/A</v>
      </c>
      <c r="J1837" t="e">
        <f t="shared" ca="1" si="141"/>
        <v>#N/A</v>
      </c>
      <c r="K1837" s="18" t="e">
        <f t="shared" ca="1" si="140"/>
        <v>#N/A</v>
      </c>
      <c r="L1837" t="e">
        <f ca="1">IF(J1837,Charms!B1837,"")</f>
        <v>#N/A</v>
      </c>
      <c r="M1837" t="str">
        <f t="shared" ca="1" si="142"/>
        <v>-</v>
      </c>
      <c r="N1837" s="18" t="str">
        <f t="shared" si="143"/>
        <v>K1622:L5000</v>
      </c>
      <c r="O1837" t="str">
        <f t="shared" si="144"/>
        <v>A1622:A1837</v>
      </c>
    </row>
    <row r="1838" spans="1:15">
      <c r="A1838" s="18">
        <f>Charms!K1838</f>
        <v>0</v>
      </c>
      <c r="B1838">
        <f>Charms!B1838</f>
        <v>0</v>
      </c>
      <c r="C1838" t="b">
        <f ca="1">OR(Values!$S$98&gt;=Charms!M1838,IFERROR(Charms!J1838=OFFSET(Values!$A$24,MATCH("S",Values!$T$25:$T$50,0),0),FALSE))</f>
        <v>1</v>
      </c>
      <c r="D1838" t="e">
        <f>VLOOKUP(Charms!J1838,Values!$A$11:$S$59,19,0)&gt;=Charms!L1838</f>
        <v>#N/A</v>
      </c>
      <c r="E1838" t="e">
        <f>OR(ISBLANK(Charms!I1838),(VLOOKUP(Values!$S$6,Castes!$B$2:$F$25,4,0)=Charms!I1838))</f>
        <v>#N/A</v>
      </c>
      <c r="J1838" t="e">
        <f t="shared" ca="1" si="141"/>
        <v>#N/A</v>
      </c>
      <c r="K1838" s="18" t="e">
        <f t="shared" ca="1" si="140"/>
        <v>#N/A</v>
      </c>
      <c r="L1838" t="e">
        <f ca="1">IF(J1838,Charms!B1838,"")</f>
        <v>#N/A</v>
      </c>
      <c r="M1838" t="str">
        <f t="shared" ca="1" si="142"/>
        <v>-</v>
      </c>
      <c r="N1838" s="18" t="str">
        <f t="shared" si="143"/>
        <v>K1622:L5000</v>
      </c>
      <c r="O1838" t="str">
        <f t="shared" si="144"/>
        <v>A1622:A1838</v>
      </c>
    </row>
    <row r="1839" spans="1:15">
      <c r="A1839" s="18">
        <f>Charms!K1839</f>
        <v>0</v>
      </c>
      <c r="B1839">
        <f>Charms!B1839</f>
        <v>0</v>
      </c>
      <c r="C1839" t="b">
        <f ca="1">OR(Values!$S$98&gt;=Charms!M1839,IFERROR(Charms!J1839=OFFSET(Values!$A$24,MATCH("S",Values!$T$25:$T$50,0),0),FALSE))</f>
        <v>1</v>
      </c>
      <c r="D1839" t="e">
        <f>VLOOKUP(Charms!J1839,Values!$A$11:$S$59,19,0)&gt;=Charms!L1839</f>
        <v>#N/A</v>
      </c>
      <c r="E1839" t="e">
        <f>OR(ISBLANK(Charms!I1839),(VLOOKUP(Values!$S$6,Castes!$B$2:$F$25,4,0)=Charms!I1839))</f>
        <v>#N/A</v>
      </c>
      <c r="J1839" t="e">
        <f t="shared" ca="1" si="141"/>
        <v>#N/A</v>
      </c>
      <c r="K1839" s="18" t="e">
        <f t="shared" ca="1" si="140"/>
        <v>#N/A</v>
      </c>
      <c r="L1839" t="e">
        <f ca="1">IF(J1839,Charms!B1839,"")</f>
        <v>#N/A</v>
      </c>
      <c r="M1839" t="str">
        <f t="shared" ca="1" si="142"/>
        <v>-</v>
      </c>
      <c r="N1839" s="18" t="str">
        <f t="shared" si="143"/>
        <v>K1622:L5000</v>
      </c>
      <c r="O1839" t="str">
        <f t="shared" si="144"/>
        <v>A1622:A1839</v>
      </c>
    </row>
    <row r="1840" spans="1:15">
      <c r="A1840" s="18">
        <f>Charms!K1840</f>
        <v>0</v>
      </c>
      <c r="B1840">
        <f>Charms!B1840</f>
        <v>0</v>
      </c>
      <c r="C1840" t="b">
        <f ca="1">OR(Values!$S$98&gt;=Charms!M1840,IFERROR(Charms!J1840=OFFSET(Values!$A$24,MATCH("S",Values!$T$25:$T$50,0),0),FALSE))</f>
        <v>1</v>
      </c>
      <c r="D1840" t="e">
        <f>VLOOKUP(Charms!J1840,Values!$A$11:$S$59,19,0)&gt;=Charms!L1840</f>
        <v>#N/A</v>
      </c>
      <c r="E1840" t="e">
        <f>OR(ISBLANK(Charms!I1840),(VLOOKUP(Values!$S$6,Castes!$B$2:$F$25,4,0)=Charms!I1840))</f>
        <v>#N/A</v>
      </c>
      <c r="J1840" t="e">
        <f t="shared" ca="1" si="141"/>
        <v>#N/A</v>
      </c>
      <c r="K1840" s="18" t="e">
        <f t="shared" ca="1" si="140"/>
        <v>#N/A</v>
      </c>
      <c r="L1840" t="e">
        <f ca="1">IF(J1840,Charms!B1840,"")</f>
        <v>#N/A</v>
      </c>
      <c r="M1840" t="str">
        <f t="shared" ca="1" si="142"/>
        <v>-</v>
      </c>
      <c r="N1840" s="18" t="str">
        <f t="shared" si="143"/>
        <v>K1622:L5000</v>
      </c>
      <c r="O1840" t="str">
        <f t="shared" si="144"/>
        <v>A1622:A1840</v>
      </c>
    </row>
    <row r="1841" spans="1:15">
      <c r="A1841" s="18">
        <f>Charms!K1841</f>
        <v>0</v>
      </c>
      <c r="B1841">
        <f>Charms!B1841</f>
        <v>0</v>
      </c>
      <c r="C1841" t="b">
        <f ca="1">OR(Values!$S$98&gt;=Charms!M1841,IFERROR(Charms!J1841=OFFSET(Values!$A$24,MATCH("S",Values!$T$25:$T$50,0),0),FALSE))</f>
        <v>1</v>
      </c>
      <c r="D1841" t="e">
        <f>VLOOKUP(Charms!J1841,Values!$A$11:$S$59,19,0)&gt;=Charms!L1841</f>
        <v>#N/A</v>
      </c>
      <c r="E1841" t="e">
        <f>OR(ISBLANK(Charms!I1841),(VLOOKUP(Values!$S$6,Castes!$B$2:$F$25,4,0)=Charms!I1841))</f>
        <v>#N/A</v>
      </c>
      <c r="J1841" t="e">
        <f t="shared" ca="1" si="141"/>
        <v>#N/A</v>
      </c>
      <c r="K1841" s="18" t="e">
        <f t="shared" ca="1" si="140"/>
        <v>#N/A</v>
      </c>
      <c r="L1841" t="e">
        <f ca="1">IF(J1841,Charms!B1841,"")</f>
        <v>#N/A</v>
      </c>
      <c r="M1841" t="str">
        <f t="shared" ca="1" si="142"/>
        <v>-</v>
      </c>
      <c r="N1841" s="18" t="str">
        <f t="shared" si="143"/>
        <v>K1622:L5000</v>
      </c>
      <c r="O1841" t="str">
        <f t="shared" si="144"/>
        <v>A1622:A1841</v>
      </c>
    </row>
    <row r="1842" spans="1:15">
      <c r="A1842" s="18">
        <f>Charms!K1842</f>
        <v>0</v>
      </c>
      <c r="B1842">
        <f>Charms!B1842</f>
        <v>0</v>
      </c>
      <c r="C1842" t="b">
        <f ca="1">OR(Values!$S$98&gt;=Charms!M1842,IFERROR(Charms!J1842=OFFSET(Values!$A$24,MATCH("S",Values!$T$25:$T$50,0),0),FALSE))</f>
        <v>1</v>
      </c>
      <c r="D1842" t="e">
        <f>VLOOKUP(Charms!J1842,Values!$A$11:$S$59,19,0)&gt;=Charms!L1842</f>
        <v>#N/A</v>
      </c>
      <c r="E1842" t="e">
        <f>OR(ISBLANK(Charms!I1842),(VLOOKUP(Values!$S$6,Castes!$B$2:$F$25,4,0)=Charms!I1842))</f>
        <v>#N/A</v>
      </c>
      <c r="J1842" t="e">
        <f t="shared" ca="1" si="141"/>
        <v>#N/A</v>
      </c>
      <c r="K1842" s="18" t="e">
        <f t="shared" ca="1" si="140"/>
        <v>#N/A</v>
      </c>
      <c r="L1842" t="e">
        <f ca="1">IF(J1842,Charms!B1842,"")</f>
        <v>#N/A</v>
      </c>
      <c r="M1842" t="str">
        <f t="shared" ca="1" si="142"/>
        <v>-</v>
      </c>
      <c r="N1842" s="18" t="str">
        <f t="shared" si="143"/>
        <v>K1622:L5000</v>
      </c>
      <c r="O1842" t="str">
        <f t="shared" si="144"/>
        <v>A1622:A1842</v>
      </c>
    </row>
    <row r="1843" spans="1:15">
      <c r="A1843" s="18">
        <f>Charms!K1843</f>
        <v>0</v>
      </c>
      <c r="B1843">
        <f>Charms!B1843</f>
        <v>0</v>
      </c>
      <c r="C1843" t="b">
        <f ca="1">OR(Values!$S$98&gt;=Charms!M1843,IFERROR(Charms!J1843=OFFSET(Values!$A$24,MATCH("S",Values!$T$25:$T$50,0),0),FALSE))</f>
        <v>1</v>
      </c>
      <c r="D1843" t="e">
        <f>VLOOKUP(Charms!J1843,Values!$A$11:$S$59,19,0)&gt;=Charms!L1843</f>
        <v>#N/A</v>
      </c>
      <c r="E1843" t="e">
        <f>OR(ISBLANK(Charms!I1843),(VLOOKUP(Values!$S$6,Castes!$B$2:$F$25,4,0)=Charms!I1843))</f>
        <v>#N/A</v>
      </c>
      <c r="J1843" t="e">
        <f t="shared" ca="1" si="141"/>
        <v>#N/A</v>
      </c>
      <c r="K1843" s="18" t="e">
        <f t="shared" ca="1" si="140"/>
        <v>#N/A</v>
      </c>
      <c r="L1843" t="e">
        <f ca="1">IF(J1843,Charms!B1843,"")</f>
        <v>#N/A</v>
      </c>
      <c r="M1843" t="str">
        <f t="shared" ca="1" si="142"/>
        <v>-</v>
      </c>
      <c r="N1843" s="18" t="str">
        <f t="shared" si="143"/>
        <v>K1622:L5000</v>
      </c>
      <c r="O1843" t="str">
        <f t="shared" si="144"/>
        <v>A1622:A1843</v>
      </c>
    </row>
    <row r="1844" spans="1:15">
      <c r="A1844" s="18">
        <f>Charms!K1844</f>
        <v>0</v>
      </c>
      <c r="B1844">
        <f>Charms!B1844</f>
        <v>0</v>
      </c>
      <c r="C1844" t="b">
        <f ca="1">OR(Values!$S$98&gt;=Charms!M1844,IFERROR(Charms!J1844=OFFSET(Values!$A$24,MATCH("S",Values!$T$25:$T$50,0),0),FALSE))</f>
        <v>1</v>
      </c>
      <c r="D1844" t="e">
        <f>VLOOKUP(Charms!J1844,Values!$A$11:$S$59,19,0)&gt;=Charms!L1844</f>
        <v>#N/A</v>
      </c>
      <c r="E1844" t="e">
        <f>OR(ISBLANK(Charms!I1844),(VLOOKUP(Values!$S$6,Castes!$B$2:$F$25,4,0)=Charms!I1844))</f>
        <v>#N/A</v>
      </c>
      <c r="J1844" t="e">
        <f t="shared" ca="1" si="141"/>
        <v>#N/A</v>
      </c>
      <c r="K1844" s="18" t="e">
        <f t="shared" ca="1" si="140"/>
        <v>#N/A</v>
      </c>
      <c r="L1844" t="e">
        <f ca="1">IF(J1844,Charms!B1844,"")</f>
        <v>#N/A</v>
      </c>
      <c r="M1844" t="str">
        <f t="shared" ca="1" si="142"/>
        <v>-</v>
      </c>
      <c r="N1844" s="18" t="str">
        <f t="shared" si="143"/>
        <v>K1622:L5000</v>
      </c>
      <c r="O1844" t="str">
        <f t="shared" si="144"/>
        <v>A1622:A1844</v>
      </c>
    </row>
    <row r="1845" spans="1:15">
      <c r="A1845" s="18">
        <f>Charms!K1845</f>
        <v>0</v>
      </c>
      <c r="B1845">
        <f>Charms!B1845</f>
        <v>0</v>
      </c>
      <c r="C1845" t="b">
        <f ca="1">OR(Values!$S$98&gt;=Charms!M1845,IFERROR(Charms!J1845=OFFSET(Values!$A$24,MATCH("S",Values!$T$25:$T$50,0),0),FALSE))</f>
        <v>1</v>
      </c>
      <c r="D1845" t="e">
        <f>VLOOKUP(Charms!J1845,Values!$A$11:$S$59,19,0)&gt;=Charms!L1845</f>
        <v>#N/A</v>
      </c>
      <c r="E1845" t="e">
        <f>OR(ISBLANK(Charms!I1845),(VLOOKUP(Values!$S$6,Castes!$B$2:$F$25,4,0)=Charms!I1845))</f>
        <v>#N/A</v>
      </c>
      <c r="J1845" t="e">
        <f t="shared" ca="1" si="141"/>
        <v>#N/A</v>
      </c>
      <c r="K1845" s="18" t="e">
        <f t="shared" ca="1" si="140"/>
        <v>#N/A</v>
      </c>
      <c r="L1845" t="e">
        <f ca="1">IF(J1845,Charms!B1845,"")</f>
        <v>#N/A</v>
      </c>
      <c r="M1845" t="str">
        <f t="shared" ca="1" si="142"/>
        <v>-</v>
      </c>
      <c r="N1845" s="18" t="str">
        <f t="shared" si="143"/>
        <v>K1622:L5000</v>
      </c>
      <c r="O1845" t="str">
        <f t="shared" si="144"/>
        <v>A1622:A1845</v>
      </c>
    </row>
    <row r="1846" spans="1:15">
      <c r="A1846" s="18">
        <f>Charms!K1846</f>
        <v>0</v>
      </c>
      <c r="B1846">
        <f>Charms!B1846</f>
        <v>0</v>
      </c>
      <c r="C1846" t="b">
        <f ca="1">OR(Values!$S$98&gt;=Charms!M1846,IFERROR(Charms!J1846=OFFSET(Values!$A$24,MATCH("S",Values!$T$25:$T$50,0),0),FALSE))</f>
        <v>1</v>
      </c>
      <c r="D1846" t="e">
        <f>VLOOKUP(Charms!J1846,Values!$A$11:$S$59,19,0)&gt;=Charms!L1846</f>
        <v>#N/A</v>
      </c>
      <c r="E1846" t="e">
        <f>OR(ISBLANK(Charms!I1846),(VLOOKUP(Values!$S$6,Castes!$B$2:$F$25,4,0)=Charms!I1846))</f>
        <v>#N/A</v>
      </c>
      <c r="J1846" t="e">
        <f t="shared" ca="1" si="141"/>
        <v>#N/A</v>
      </c>
      <c r="K1846" s="18" t="e">
        <f t="shared" ca="1" si="140"/>
        <v>#N/A</v>
      </c>
      <c r="L1846" t="e">
        <f ca="1">IF(J1846,Charms!B1846,"")</f>
        <v>#N/A</v>
      </c>
      <c r="M1846" t="str">
        <f t="shared" ca="1" si="142"/>
        <v>-</v>
      </c>
      <c r="N1846" s="18" t="str">
        <f t="shared" si="143"/>
        <v>K1622:L5000</v>
      </c>
      <c r="O1846" t="str">
        <f t="shared" si="144"/>
        <v>A1622:A1846</v>
      </c>
    </row>
    <row r="1847" spans="1:15">
      <c r="A1847" s="18">
        <f>Charms!K1847</f>
        <v>0</v>
      </c>
      <c r="B1847">
        <f>Charms!B1847</f>
        <v>0</v>
      </c>
      <c r="C1847" t="b">
        <f ca="1">OR(Values!$S$98&gt;=Charms!M1847,IFERROR(Charms!J1847=OFFSET(Values!$A$24,MATCH("S",Values!$T$25:$T$50,0),0),FALSE))</f>
        <v>1</v>
      </c>
      <c r="D1847" t="e">
        <f>VLOOKUP(Charms!J1847,Values!$A$11:$S$59,19,0)&gt;=Charms!L1847</f>
        <v>#N/A</v>
      </c>
      <c r="E1847" t="e">
        <f>OR(ISBLANK(Charms!I1847),(VLOOKUP(Values!$S$6,Castes!$B$2:$F$25,4,0)=Charms!I1847))</f>
        <v>#N/A</v>
      </c>
      <c r="J1847" t="e">
        <f t="shared" ca="1" si="141"/>
        <v>#N/A</v>
      </c>
      <c r="K1847" s="18" t="e">
        <f t="shared" ca="1" si="140"/>
        <v>#N/A</v>
      </c>
      <c r="L1847" t="e">
        <f ca="1">IF(J1847,Charms!B1847,"")</f>
        <v>#N/A</v>
      </c>
      <c r="M1847" t="str">
        <f t="shared" ca="1" si="142"/>
        <v>-</v>
      </c>
      <c r="N1847" s="18" t="str">
        <f t="shared" si="143"/>
        <v>K1622:L5000</v>
      </c>
      <c r="O1847" t="str">
        <f t="shared" si="144"/>
        <v>A1622:A1847</v>
      </c>
    </row>
    <row r="1848" spans="1:15">
      <c r="A1848" s="18">
        <f>Charms!K1848</f>
        <v>0</v>
      </c>
      <c r="B1848">
        <f>Charms!B1848</f>
        <v>0</v>
      </c>
      <c r="C1848" t="b">
        <f ca="1">OR(Values!$S$98&gt;=Charms!M1848,IFERROR(Charms!J1848=OFFSET(Values!$A$24,MATCH("S",Values!$T$25:$T$50,0),0),FALSE))</f>
        <v>1</v>
      </c>
      <c r="D1848" t="e">
        <f>VLOOKUP(Charms!J1848,Values!$A$11:$S$59,19,0)&gt;=Charms!L1848</f>
        <v>#N/A</v>
      </c>
      <c r="E1848" t="e">
        <f>OR(ISBLANK(Charms!I1848),(VLOOKUP(Values!$S$6,Castes!$B$2:$F$25,4,0)=Charms!I1848))</f>
        <v>#N/A</v>
      </c>
      <c r="J1848" t="e">
        <f t="shared" ca="1" si="141"/>
        <v>#N/A</v>
      </c>
      <c r="K1848" s="18" t="e">
        <f t="shared" ca="1" si="140"/>
        <v>#N/A</v>
      </c>
      <c r="L1848" t="e">
        <f ca="1">IF(J1848,Charms!B1848,"")</f>
        <v>#N/A</v>
      </c>
      <c r="M1848" t="str">
        <f t="shared" ca="1" si="142"/>
        <v>-</v>
      </c>
      <c r="N1848" s="18" t="str">
        <f t="shared" si="143"/>
        <v>K1622:L5000</v>
      </c>
      <c r="O1848" t="str">
        <f t="shared" si="144"/>
        <v>A1622:A1848</v>
      </c>
    </row>
    <row r="1849" spans="1:15">
      <c r="A1849" s="18">
        <f>Charms!K1849</f>
        <v>0</v>
      </c>
      <c r="B1849">
        <f>Charms!B1849</f>
        <v>0</v>
      </c>
      <c r="C1849" t="b">
        <f ca="1">OR(Values!$S$98&gt;=Charms!M1849,IFERROR(Charms!J1849=OFFSET(Values!$A$24,MATCH("S",Values!$T$25:$T$50,0),0),FALSE))</f>
        <v>1</v>
      </c>
      <c r="D1849" t="e">
        <f>VLOOKUP(Charms!J1849,Values!$A$11:$S$59,19,0)&gt;=Charms!L1849</f>
        <v>#N/A</v>
      </c>
      <c r="E1849" t="e">
        <f>OR(ISBLANK(Charms!I1849),(VLOOKUP(Values!$S$6,Castes!$B$2:$F$25,4,0)=Charms!I1849))</f>
        <v>#N/A</v>
      </c>
      <c r="J1849" t="e">
        <f t="shared" ca="1" si="141"/>
        <v>#N/A</v>
      </c>
      <c r="K1849" s="18" t="e">
        <f t="shared" ca="1" si="140"/>
        <v>#N/A</v>
      </c>
      <c r="L1849" t="e">
        <f ca="1">IF(J1849,Charms!B1849,"")</f>
        <v>#N/A</v>
      </c>
      <c r="M1849" t="str">
        <f t="shared" ca="1" si="142"/>
        <v>-</v>
      </c>
      <c r="N1849" s="18" t="str">
        <f t="shared" si="143"/>
        <v>K1622:L5000</v>
      </c>
      <c r="O1849" t="str">
        <f t="shared" si="144"/>
        <v>A1622:A1849</v>
      </c>
    </row>
    <row r="1850" spans="1:15">
      <c r="A1850" s="18">
        <f>Charms!K1850</f>
        <v>0</v>
      </c>
      <c r="B1850">
        <f>Charms!B1850</f>
        <v>0</v>
      </c>
      <c r="C1850" t="b">
        <f ca="1">OR(Values!$S$98&gt;=Charms!M1850,IFERROR(Charms!J1850=OFFSET(Values!$A$24,MATCH("S",Values!$T$25:$T$50,0),0),FALSE))</f>
        <v>1</v>
      </c>
      <c r="D1850" t="e">
        <f>VLOOKUP(Charms!J1850,Values!$A$11:$S$59,19,0)&gt;=Charms!L1850</f>
        <v>#N/A</v>
      </c>
      <c r="E1850" t="e">
        <f>OR(ISBLANK(Charms!I1850),(VLOOKUP(Values!$S$6,Castes!$B$2:$F$25,4,0)=Charms!I1850))</f>
        <v>#N/A</v>
      </c>
      <c r="J1850" t="e">
        <f t="shared" ca="1" si="141"/>
        <v>#N/A</v>
      </c>
      <c r="K1850" s="18" t="e">
        <f t="shared" ca="1" si="140"/>
        <v>#N/A</v>
      </c>
      <c r="L1850" t="e">
        <f ca="1">IF(J1850,Charms!B1850,"")</f>
        <v>#N/A</v>
      </c>
      <c r="M1850" t="str">
        <f t="shared" ca="1" si="142"/>
        <v>-</v>
      </c>
      <c r="N1850" s="18" t="str">
        <f t="shared" si="143"/>
        <v>K1622:L5000</v>
      </c>
      <c r="O1850" t="str">
        <f t="shared" si="144"/>
        <v>A1622:A1850</v>
      </c>
    </row>
    <row r="1851" spans="1:15">
      <c r="A1851" s="18">
        <f>Charms!K1851</f>
        <v>0</v>
      </c>
      <c r="B1851">
        <f>Charms!B1851</f>
        <v>0</v>
      </c>
      <c r="C1851" t="b">
        <f ca="1">OR(Values!$S$98&gt;=Charms!M1851,IFERROR(Charms!J1851=OFFSET(Values!$A$24,MATCH("S",Values!$T$25:$T$50,0),0),FALSE))</f>
        <v>1</v>
      </c>
      <c r="D1851" t="e">
        <f>VLOOKUP(Charms!J1851,Values!$A$11:$S$59,19,0)&gt;=Charms!L1851</f>
        <v>#N/A</v>
      </c>
      <c r="E1851" t="e">
        <f>OR(ISBLANK(Charms!I1851),(VLOOKUP(Values!$S$6,Castes!$B$2:$F$25,4,0)=Charms!I1851))</f>
        <v>#N/A</v>
      </c>
      <c r="J1851" t="e">
        <f t="shared" ca="1" si="141"/>
        <v>#N/A</v>
      </c>
      <c r="K1851" s="18" t="e">
        <f t="shared" ca="1" si="140"/>
        <v>#N/A</v>
      </c>
      <c r="L1851" t="e">
        <f ca="1">IF(J1851,Charms!B1851,"")</f>
        <v>#N/A</v>
      </c>
      <c r="M1851" t="str">
        <f t="shared" ca="1" si="142"/>
        <v>-</v>
      </c>
      <c r="N1851" s="18" t="str">
        <f t="shared" si="143"/>
        <v>K1622:L5000</v>
      </c>
      <c r="O1851" t="str">
        <f t="shared" si="144"/>
        <v>A1622:A1851</v>
      </c>
    </row>
    <row r="1852" spans="1:15">
      <c r="A1852" s="18">
        <f>Charms!K1852</f>
        <v>0</v>
      </c>
      <c r="B1852">
        <f>Charms!B1852</f>
        <v>0</v>
      </c>
      <c r="C1852" t="b">
        <f ca="1">OR(Values!$S$98&gt;=Charms!M1852,IFERROR(Charms!J1852=OFFSET(Values!$A$24,MATCH("S",Values!$T$25:$T$50,0),0),FALSE))</f>
        <v>1</v>
      </c>
      <c r="D1852" t="e">
        <f>VLOOKUP(Charms!J1852,Values!$A$11:$S$59,19,0)&gt;=Charms!L1852</f>
        <v>#N/A</v>
      </c>
      <c r="E1852" t="e">
        <f>OR(ISBLANK(Charms!I1852),(VLOOKUP(Values!$S$6,Castes!$B$2:$F$25,4,0)=Charms!I1852))</f>
        <v>#N/A</v>
      </c>
      <c r="J1852" t="e">
        <f t="shared" ca="1" si="141"/>
        <v>#N/A</v>
      </c>
      <c r="K1852" s="18" t="e">
        <f t="shared" ca="1" si="140"/>
        <v>#N/A</v>
      </c>
      <c r="L1852" t="e">
        <f ca="1">IF(J1852,Charms!B1852,"")</f>
        <v>#N/A</v>
      </c>
      <c r="M1852" t="str">
        <f t="shared" ca="1" si="142"/>
        <v>-</v>
      </c>
      <c r="N1852" s="18" t="str">
        <f t="shared" si="143"/>
        <v>K1622:L5000</v>
      </c>
      <c r="O1852" t="str">
        <f t="shared" si="144"/>
        <v>A1622:A1852</v>
      </c>
    </row>
    <row r="1853" spans="1:15">
      <c r="A1853" s="18">
        <f>Charms!K1853</f>
        <v>0</v>
      </c>
      <c r="B1853">
        <f>Charms!B1853</f>
        <v>0</v>
      </c>
      <c r="C1853" t="b">
        <f ca="1">OR(Values!$S$98&gt;=Charms!M1853,IFERROR(Charms!J1853=OFFSET(Values!$A$24,MATCH("S",Values!$T$25:$T$50,0),0),FALSE))</f>
        <v>1</v>
      </c>
      <c r="D1853" t="e">
        <f>VLOOKUP(Charms!J1853,Values!$A$11:$S$59,19,0)&gt;=Charms!L1853</f>
        <v>#N/A</v>
      </c>
      <c r="E1853" t="e">
        <f>OR(ISBLANK(Charms!I1853),(VLOOKUP(Values!$S$6,Castes!$B$2:$F$25,4,0)=Charms!I1853))</f>
        <v>#N/A</v>
      </c>
      <c r="J1853" t="e">
        <f t="shared" ca="1" si="141"/>
        <v>#N/A</v>
      </c>
      <c r="K1853" s="18" t="e">
        <f t="shared" ca="1" si="140"/>
        <v>#N/A</v>
      </c>
      <c r="L1853" t="e">
        <f ca="1">IF(J1853,Charms!B1853,"")</f>
        <v>#N/A</v>
      </c>
      <c r="M1853" t="str">
        <f t="shared" ca="1" si="142"/>
        <v>-</v>
      </c>
      <c r="N1853" s="18" t="str">
        <f t="shared" si="143"/>
        <v>K1622:L5000</v>
      </c>
      <c r="O1853" t="str">
        <f t="shared" si="144"/>
        <v>A1622:A1853</v>
      </c>
    </row>
    <row r="1854" spans="1:15">
      <c r="A1854" s="18">
        <f>Charms!K1854</f>
        <v>0</v>
      </c>
      <c r="B1854">
        <f>Charms!B1854</f>
        <v>0</v>
      </c>
      <c r="C1854" t="b">
        <f ca="1">OR(Values!$S$98&gt;=Charms!M1854,IFERROR(Charms!J1854=OFFSET(Values!$A$24,MATCH("S",Values!$T$25:$T$50,0),0),FALSE))</f>
        <v>1</v>
      </c>
      <c r="D1854" t="e">
        <f>VLOOKUP(Charms!J1854,Values!$A$11:$S$59,19,0)&gt;=Charms!L1854</f>
        <v>#N/A</v>
      </c>
      <c r="E1854" t="e">
        <f>OR(ISBLANK(Charms!I1854),(VLOOKUP(Values!$S$6,Castes!$B$2:$F$25,4,0)=Charms!I1854))</f>
        <v>#N/A</v>
      </c>
      <c r="J1854" t="e">
        <f t="shared" ca="1" si="141"/>
        <v>#N/A</v>
      </c>
      <c r="K1854" s="18" t="e">
        <f t="shared" ca="1" si="140"/>
        <v>#N/A</v>
      </c>
      <c r="L1854" t="e">
        <f ca="1">IF(J1854,Charms!B1854,"")</f>
        <v>#N/A</v>
      </c>
      <c r="M1854" t="str">
        <f t="shared" ca="1" si="142"/>
        <v>-</v>
      </c>
      <c r="N1854" s="18" t="str">
        <f t="shared" si="143"/>
        <v>K1622:L5000</v>
      </c>
      <c r="O1854" t="str">
        <f t="shared" si="144"/>
        <v>A1622:A1854</v>
      </c>
    </row>
    <row r="1855" spans="1:15">
      <c r="A1855" s="18">
        <f>Charms!K1855</f>
        <v>0</v>
      </c>
      <c r="B1855">
        <f>Charms!B1855</f>
        <v>0</v>
      </c>
      <c r="C1855" t="b">
        <f ca="1">OR(Values!$S$98&gt;=Charms!M1855,IFERROR(Charms!J1855=OFFSET(Values!$A$24,MATCH("S",Values!$T$25:$T$50,0),0),FALSE))</f>
        <v>1</v>
      </c>
      <c r="D1855" t="e">
        <f>VLOOKUP(Charms!J1855,Values!$A$11:$S$59,19,0)&gt;=Charms!L1855</f>
        <v>#N/A</v>
      </c>
      <c r="E1855" t="e">
        <f>OR(ISBLANK(Charms!I1855),(VLOOKUP(Values!$S$6,Castes!$B$2:$F$25,4,0)=Charms!I1855))</f>
        <v>#N/A</v>
      </c>
      <c r="J1855" t="e">
        <f t="shared" ca="1" si="141"/>
        <v>#N/A</v>
      </c>
      <c r="K1855" s="18" t="e">
        <f t="shared" ca="1" si="140"/>
        <v>#N/A</v>
      </c>
      <c r="L1855" t="e">
        <f ca="1">IF(J1855,Charms!B1855,"")</f>
        <v>#N/A</v>
      </c>
      <c r="M1855" t="str">
        <f t="shared" ca="1" si="142"/>
        <v>-</v>
      </c>
      <c r="N1855" s="18" t="str">
        <f t="shared" si="143"/>
        <v>K1622:L5000</v>
      </c>
      <c r="O1855" t="str">
        <f t="shared" si="144"/>
        <v>A1622:A1855</v>
      </c>
    </row>
    <row r="1856" spans="1:15">
      <c r="A1856" s="18">
        <f>Charms!K1856</f>
        <v>0</v>
      </c>
      <c r="B1856">
        <f>Charms!B1856</f>
        <v>0</v>
      </c>
      <c r="C1856" t="b">
        <f ca="1">OR(Values!$S$98&gt;=Charms!M1856,IFERROR(Charms!J1856=OFFSET(Values!$A$24,MATCH("S",Values!$T$25:$T$50,0),0),FALSE))</f>
        <v>1</v>
      </c>
      <c r="D1856" t="e">
        <f>VLOOKUP(Charms!J1856,Values!$A$11:$S$59,19,0)&gt;=Charms!L1856</f>
        <v>#N/A</v>
      </c>
      <c r="E1856" t="e">
        <f>OR(ISBLANK(Charms!I1856),(VLOOKUP(Values!$S$6,Castes!$B$2:$F$25,4,0)=Charms!I1856))</f>
        <v>#N/A</v>
      </c>
      <c r="J1856" t="e">
        <f t="shared" ca="1" si="141"/>
        <v>#N/A</v>
      </c>
      <c r="K1856" s="18" t="e">
        <f t="shared" ca="1" si="140"/>
        <v>#N/A</v>
      </c>
      <c r="L1856" t="e">
        <f ca="1">IF(J1856,Charms!B1856,"")</f>
        <v>#N/A</v>
      </c>
      <c r="M1856" t="str">
        <f t="shared" ca="1" si="142"/>
        <v>-</v>
      </c>
      <c r="N1856" s="18" t="str">
        <f t="shared" si="143"/>
        <v>K1622:L5000</v>
      </c>
      <c r="O1856" t="str">
        <f t="shared" si="144"/>
        <v>A1622:A1856</v>
      </c>
    </row>
    <row r="1857" spans="1:15">
      <c r="A1857" s="18">
        <f>Charms!K1857</f>
        <v>0</v>
      </c>
      <c r="B1857">
        <f>Charms!B1857</f>
        <v>0</v>
      </c>
      <c r="C1857" t="b">
        <f ca="1">OR(Values!$S$98&gt;=Charms!M1857,IFERROR(Charms!J1857=OFFSET(Values!$A$24,MATCH("S",Values!$T$25:$T$50,0),0),FALSE))</f>
        <v>1</v>
      </c>
      <c r="D1857" t="e">
        <f>VLOOKUP(Charms!J1857,Values!$A$11:$S$59,19,0)&gt;=Charms!L1857</f>
        <v>#N/A</v>
      </c>
      <c r="E1857" t="e">
        <f>OR(ISBLANK(Charms!I1857),(VLOOKUP(Values!$S$6,Castes!$B$2:$F$25,4,0)=Charms!I1857))</f>
        <v>#N/A</v>
      </c>
      <c r="J1857" t="e">
        <f t="shared" ca="1" si="141"/>
        <v>#N/A</v>
      </c>
      <c r="K1857" s="18" t="e">
        <f t="shared" ca="1" si="140"/>
        <v>#N/A</v>
      </c>
      <c r="L1857" t="e">
        <f ca="1">IF(J1857,Charms!B1857,"")</f>
        <v>#N/A</v>
      </c>
      <c r="M1857" t="str">
        <f t="shared" ca="1" si="142"/>
        <v>-</v>
      </c>
      <c r="N1857" s="18" t="str">
        <f t="shared" si="143"/>
        <v>K1622:L5000</v>
      </c>
      <c r="O1857" t="str">
        <f t="shared" si="144"/>
        <v>A1622:A1857</v>
      </c>
    </row>
    <row r="1858" spans="1:15">
      <c r="A1858" s="18">
        <f>Charms!K1858</f>
        <v>0</v>
      </c>
      <c r="B1858">
        <f>Charms!B1858</f>
        <v>0</v>
      </c>
      <c r="C1858" t="b">
        <f ca="1">OR(Values!$S$98&gt;=Charms!M1858,IFERROR(Charms!J1858=OFFSET(Values!$A$24,MATCH("S",Values!$T$25:$T$50,0),0),FALSE))</f>
        <v>1</v>
      </c>
      <c r="D1858" t="e">
        <f>VLOOKUP(Charms!J1858,Values!$A$11:$S$59,19,0)&gt;=Charms!L1858</f>
        <v>#N/A</v>
      </c>
      <c r="E1858" t="e">
        <f>OR(ISBLANK(Charms!I1858),(VLOOKUP(Values!$S$6,Castes!$B$2:$F$25,4,0)=Charms!I1858))</f>
        <v>#N/A</v>
      </c>
      <c r="J1858" t="e">
        <f t="shared" ca="1" si="141"/>
        <v>#N/A</v>
      </c>
      <c r="K1858" s="18" t="e">
        <f t="shared" ref="K1858:K1921" ca="1" si="145">IF(L1858="","",COUNTIF(INDIRECT("J"&amp;MATCH(A1858,A:A,0)&amp;":J"&amp;ROW()),J1858))</f>
        <v>#N/A</v>
      </c>
      <c r="L1858" t="e">
        <f ca="1">IF(J1858,Charms!B1858,"")</f>
        <v>#N/A</v>
      </c>
      <c r="M1858" t="str">
        <f t="shared" ca="1" si="142"/>
        <v>-</v>
      </c>
      <c r="N1858" s="18" t="str">
        <f t="shared" si="143"/>
        <v>K1622:L5000</v>
      </c>
      <c r="O1858" t="str">
        <f t="shared" si="144"/>
        <v>A1622:A1858</v>
      </c>
    </row>
    <row r="1859" spans="1:15">
      <c r="A1859" s="18">
        <f>Charms!K1859</f>
        <v>0</v>
      </c>
      <c r="B1859">
        <f>Charms!B1859</f>
        <v>0</v>
      </c>
      <c r="C1859" t="b">
        <f ca="1">OR(Values!$S$98&gt;=Charms!M1859,IFERROR(Charms!J1859=OFFSET(Values!$A$24,MATCH("S",Values!$T$25:$T$50,0),0),FALSE))</f>
        <v>1</v>
      </c>
      <c r="D1859" t="e">
        <f>VLOOKUP(Charms!J1859,Values!$A$11:$S$59,19,0)&gt;=Charms!L1859</f>
        <v>#N/A</v>
      </c>
      <c r="E1859" t="e">
        <f>OR(ISBLANK(Charms!I1859),(VLOOKUP(Values!$S$6,Castes!$B$2:$F$25,4,0)=Charms!I1859))</f>
        <v>#N/A</v>
      </c>
      <c r="J1859" t="e">
        <f t="shared" ref="J1859:J1922" ca="1" si="146">(C1859+D1859+E1859+F1859+G1859+H1859+I1859)=3</f>
        <v>#N/A</v>
      </c>
      <c r="K1859" s="18" t="e">
        <f t="shared" ca="1" si="145"/>
        <v>#N/A</v>
      </c>
      <c r="L1859" t="e">
        <f ca="1">IF(J1859,Charms!B1859,"")</f>
        <v>#N/A</v>
      </c>
      <c r="M1859" t="str">
        <f t="shared" ref="M1859:M1922" ca="1" si="147">IFERROR(VLOOKUP(COUNTIF(INDIRECT(O1859),A1859),INDIRECT(N1859),2,0),"-")</f>
        <v>-</v>
      </c>
      <c r="N1859" s="18" t="str">
        <f t="shared" ref="N1859:N1922" si="148">"K"&amp;MATCH(A1859,A:A,0)&amp;":L"&amp;(MATCH(A1859,A:A,0)+COUNTIF(A:A,A1859)-1)</f>
        <v>K1622:L5000</v>
      </c>
      <c r="O1859" t="str">
        <f t="shared" ref="O1859:O1922" si="149">"A"&amp;MATCH(A1859,A:A,0)&amp;":A"&amp;ROW()</f>
        <v>A1622:A1859</v>
      </c>
    </row>
    <row r="1860" spans="1:15">
      <c r="A1860" s="18">
        <f>Charms!K1860</f>
        <v>0</v>
      </c>
      <c r="B1860">
        <f>Charms!B1860</f>
        <v>0</v>
      </c>
      <c r="C1860" t="b">
        <f ca="1">OR(Values!$S$98&gt;=Charms!M1860,IFERROR(Charms!J1860=OFFSET(Values!$A$24,MATCH("S",Values!$T$25:$T$50,0),0),FALSE))</f>
        <v>1</v>
      </c>
      <c r="D1860" t="e">
        <f>VLOOKUP(Charms!J1860,Values!$A$11:$S$59,19,0)&gt;=Charms!L1860</f>
        <v>#N/A</v>
      </c>
      <c r="E1860" t="e">
        <f>OR(ISBLANK(Charms!I1860),(VLOOKUP(Values!$S$6,Castes!$B$2:$F$25,4,0)=Charms!I1860))</f>
        <v>#N/A</v>
      </c>
      <c r="J1860" t="e">
        <f t="shared" ca="1" si="146"/>
        <v>#N/A</v>
      </c>
      <c r="K1860" s="18" t="e">
        <f t="shared" ca="1" si="145"/>
        <v>#N/A</v>
      </c>
      <c r="L1860" t="e">
        <f ca="1">IF(J1860,Charms!B1860,"")</f>
        <v>#N/A</v>
      </c>
      <c r="M1860" t="str">
        <f t="shared" ca="1" si="147"/>
        <v>-</v>
      </c>
      <c r="N1860" s="18" t="str">
        <f t="shared" si="148"/>
        <v>K1622:L5000</v>
      </c>
      <c r="O1860" t="str">
        <f t="shared" si="149"/>
        <v>A1622:A1860</v>
      </c>
    </row>
    <row r="1861" spans="1:15">
      <c r="A1861" s="18">
        <f>Charms!K1861</f>
        <v>0</v>
      </c>
      <c r="B1861">
        <f>Charms!B1861</f>
        <v>0</v>
      </c>
      <c r="C1861" t="b">
        <f ca="1">OR(Values!$S$98&gt;=Charms!M1861,IFERROR(Charms!J1861=OFFSET(Values!$A$24,MATCH("S",Values!$T$25:$T$50,0),0),FALSE))</f>
        <v>1</v>
      </c>
      <c r="D1861" t="e">
        <f>VLOOKUP(Charms!J1861,Values!$A$11:$S$59,19,0)&gt;=Charms!L1861</f>
        <v>#N/A</v>
      </c>
      <c r="E1861" t="e">
        <f>OR(ISBLANK(Charms!I1861),(VLOOKUP(Values!$S$6,Castes!$B$2:$F$25,4,0)=Charms!I1861))</f>
        <v>#N/A</v>
      </c>
      <c r="J1861" t="e">
        <f t="shared" ca="1" si="146"/>
        <v>#N/A</v>
      </c>
      <c r="K1861" s="18" t="e">
        <f t="shared" ca="1" si="145"/>
        <v>#N/A</v>
      </c>
      <c r="L1861" t="e">
        <f ca="1">IF(J1861,Charms!B1861,"")</f>
        <v>#N/A</v>
      </c>
      <c r="M1861" t="str">
        <f t="shared" ca="1" si="147"/>
        <v>-</v>
      </c>
      <c r="N1861" s="18" t="str">
        <f t="shared" si="148"/>
        <v>K1622:L5000</v>
      </c>
      <c r="O1861" t="str">
        <f t="shared" si="149"/>
        <v>A1622:A1861</v>
      </c>
    </row>
    <row r="1862" spans="1:15">
      <c r="A1862" s="18">
        <f>Charms!K1862</f>
        <v>0</v>
      </c>
      <c r="B1862">
        <f>Charms!B1862</f>
        <v>0</v>
      </c>
      <c r="C1862" t="b">
        <f ca="1">OR(Values!$S$98&gt;=Charms!M1862,IFERROR(Charms!J1862=OFFSET(Values!$A$24,MATCH("S",Values!$T$25:$T$50,0),0),FALSE))</f>
        <v>1</v>
      </c>
      <c r="D1862" t="e">
        <f>VLOOKUP(Charms!J1862,Values!$A$11:$S$59,19,0)&gt;=Charms!L1862</f>
        <v>#N/A</v>
      </c>
      <c r="E1862" t="e">
        <f>OR(ISBLANK(Charms!I1862),(VLOOKUP(Values!$S$6,Castes!$B$2:$F$25,4,0)=Charms!I1862))</f>
        <v>#N/A</v>
      </c>
      <c r="J1862" t="e">
        <f t="shared" ca="1" si="146"/>
        <v>#N/A</v>
      </c>
      <c r="K1862" s="18" t="e">
        <f t="shared" ca="1" si="145"/>
        <v>#N/A</v>
      </c>
      <c r="L1862" t="e">
        <f ca="1">IF(J1862,Charms!B1862,"")</f>
        <v>#N/A</v>
      </c>
      <c r="M1862" t="str">
        <f t="shared" ca="1" si="147"/>
        <v>-</v>
      </c>
      <c r="N1862" s="18" t="str">
        <f t="shared" si="148"/>
        <v>K1622:L5000</v>
      </c>
      <c r="O1862" t="str">
        <f t="shared" si="149"/>
        <v>A1622:A1862</v>
      </c>
    </row>
    <row r="1863" spans="1:15">
      <c r="A1863" s="18">
        <f>Charms!K1863</f>
        <v>0</v>
      </c>
      <c r="B1863">
        <f>Charms!B1863</f>
        <v>0</v>
      </c>
      <c r="C1863" t="b">
        <f ca="1">OR(Values!$S$98&gt;=Charms!M1863,IFERROR(Charms!J1863=OFFSET(Values!$A$24,MATCH("S",Values!$T$25:$T$50,0),0),FALSE))</f>
        <v>1</v>
      </c>
      <c r="D1863" t="e">
        <f>VLOOKUP(Charms!J1863,Values!$A$11:$S$59,19,0)&gt;=Charms!L1863</f>
        <v>#N/A</v>
      </c>
      <c r="E1863" t="e">
        <f>OR(ISBLANK(Charms!I1863),(VLOOKUP(Values!$S$6,Castes!$B$2:$F$25,4,0)=Charms!I1863))</f>
        <v>#N/A</v>
      </c>
      <c r="J1863" t="e">
        <f t="shared" ca="1" si="146"/>
        <v>#N/A</v>
      </c>
      <c r="K1863" s="18" t="e">
        <f t="shared" ca="1" si="145"/>
        <v>#N/A</v>
      </c>
      <c r="L1863" t="e">
        <f ca="1">IF(J1863,Charms!B1863,"")</f>
        <v>#N/A</v>
      </c>
      <c r="M1863" t="str">
        <f t="shared" ca="1" si="147"/>
        <v>-</v>
      </c>
      <c r="N1863" s="18" t="str">
        <f t="shared" si="148"/>
        <v>K1622:L5000</v>
      </c>
      <c r="O1863" t="str">
        <f t="shared" si="149"/>
        <v>A1622:A1863</v>
      </c>
    </row>
    <row r="1864" spans="1:15">
      <c r="A1864" s="18">
        <f>Charms!K1864</f>
        <v>0</v>
      </c>
      <c r="B1864">
        <f>Charms!B1864</f>
        <v>0</v>
      </c>
      <c r="C1864" t="b">
        <f ca="1">OR(Values!$S$98&gt;=Charms!M1864,IFERROR(Charms!J1864=OFFSET(Values!$A$24,MATCH("S",Values!$T$25:$T$50,0),0),FALSE))</f>
        <v>1</v>
      </c>
      <c r="D1864" t="e">
        <f>VLOOKUP(Charms!J1864,Values!$A$11:$S$59,19,0)&gt;=Charms!L1864</f>
        <v>#N/A</v>
      </c>
      <c r="E1864" t="e">
        <f>OR(ISBLANK(Charms!I1864),(VLOOKUP(Values!$S$6,Castes!$B$2:$F$25,4,0)=Charms!I1864))</f>
        <v>#N/A</v>
      </c>
      <c r="J1864" t="e">
        <f t="shared" ca="1" si="146"/>
        <v>#N/A</v>
      </c>
      <c r="K1864" s="18" t="e">
        <f t="shared" ca="1" si="145"/>
        <v>#N/A</v>
      </c>
      <c r="L1864" t="e">
        <f ca="1">IF(J1864,Charms!B1864,"")</f>
        <v>#N/A</v>
      </c>
      <c r="M1864" t="str">
        <f t="shared" ca="1" si="147"/>
        <v>-</v>
      </c>
      <c r="N1864" s="18" t="str">
        <f t="shared" si="148"/>
        <v>K1622:L5000</v>
      </c>
      <c r="O1864" t="str">
        <f t="shared" si="149"/>
        <v>A1622:A1864</v>
      </c>
    </row>
    <row r="1865" spans="1:15">
      <c r="A1865" s="18">
        <f>Charms!K1865</f>
        <v>0</v>
      </c>
      <c r="B1865">
        <f>Charms!B1865</f>
        <v>0</v>
      </c>
      <c r="C1865" t="b">
        <f ca="1">OR(Values!$S$98&gt;=Charms!M1865,IFERROR(Charms!J1865=OFFSET(Values!$A$24,MATCH("S",Values!$T$25:$T$50,0),0),FALSE))</f>
        <v>1</v>
      </c>
      <c r="D1865" t="e">
        <f>VLOOKUP(Charms!J1865,Values!$A$11:$S$59,19,0)&gt;=Charms!L1865</f>
        <v>#N/A</v>
      </c>
      <c r="E1865" t="e">
        <f>OR(ISBLANK(Charms!I1865),(VLOOKUP(Values!$S$6,Castes!$B$2:$F$25,4,0)=Charms!I1865))</f>
        <v>#N/A</v>
      </c>
      <c r="J1865" t="e">
        <f t="shared" ca="1" si="146"/>
        <v>#N/A</v>
      </c>
      <c r="K1865" s="18" t="e">
        <f t="shared" ca="1" si="145"/>
        <v>#N/A</v>
      </c>
      <c r="L1865" t="e">
        <f ca="1">IF(J1865,Charms!B1865,"")</f>
        <v>#N/A</v>
      </c>
      <c r="M1865" t="str">
        <f t="shared" ca="1" si="147"/>
        <v>-</v>
      </c>
      <c r="N1865" s="18" t="str">
        <f t="shared" si="148"/>
        <v>K1622:L5000</v>
      </c>
      <c r="O1865" t="str">
        <f t="shared" si="149"/>
        <v>A1622:A1865</v>
      </c>
    </row>
    <row r="1866" spans="1:15">
      <c r="A1866" s="18">
        <f>Charms!K1866</f>
        <v>0</v>
      </c>
      <c r="B1866">
        <f>Charms!B1866</f>
        <v>0</v>
      </c>
      <c r="C1866" t="b">
        <f ca="1">OR(Values!$S$98&gt;=Charms!M1866,IFERROR(Charms!J1866=OFFSET(Values!$A$24,MATCH("S",Values!$T$25:$T$50,0),0),FALSE))</f>
        <v>1</v>
      </c>
      <c r="D1866" t="e">
        <f>VLOOKUP(Charms!J1866,Values!$A$11:$S$59,19,0)&gt;=Charms!L1866</f>
        <v>#N/A</v>
      </c>
      <c r="E1866" t="e">
        <f>OR(ISBLANK(Charms!I1866),(VLOOKUP(Values!$S$6,Castes!$B$2:$F$25,4,0)=Charms!I1866))</f>
        <v>#N/A</v>
      </c>
      <c r="J1866" t="e">
        <f t="shared" ca="1" si="146"/>
        <v>#N/A</v>
      </c>
      <c r="K1866" s="18" t="e">
        <f t="shared" ca="1" si="145"/>
        <v>#N/A</v>
      </c>
      <c r="L1866" t="e">
        <f ca="1">IF(J1866,Charms!B1866,"")</f>
        <v>#N/A</v>
      </c>
      <c r="M1866" t="str">
        <f t="shared" ca="1" si="147"/>
        <v>-</v>
      </c>
      <c r="N1866" s="18" t="str">
        <f t="shared" si="148"/>
        <v>K1622:L5000</v>
      </c>
      <c r="O1866" t="str">
        <f t="shared" si="149"/>
        <v>A1622:A1866</v>
      </c>
    </row>
    <row r="1867" spans="1:15">
      <c r="A1867" s="18">
        <f>Charms!K1867</f>
        <v>0</v>
      </c>
      <c r="B1867">
        <f>Charms!B1867</f>
        <v>0</v>
      </c>
      <c r="C1867" t="b">
        <f ca="1">OR(Values!$S$98&gt;=Charms!M1867,IFERROR(Charms!J1867=OFFSET(Values!$A$24,MATCH("S",Values!$T$25:$T$50,0),0),FALSE))</f>
        <v>1</v>
      </c>
      <c r="D1867" t="e">
        <f>VLOOKUP(Charms!J1867,Values!$A$11:$S$59,19,0)&gt;=Charms!L1867</f>
        <v>#N/A</v>
      </c>
      <c r="E1867" t="e">
        <f>OR(ISBLANK(Charms!I1867),(VLOOKUP(Values!$S$6,Castes!$B$2:$F$25,4,0)=Charms!I1867))</f>
        <v>#N/A</v>
      </c>
      <c r="J1867" t="e">
        <f t="shared" ca="1" si="146"/>
        <v>#N/A</v>
      </c>
      <c r="K1867" s="18" t="e">
        <f t="shared" ca="1" si="145"/>
        <v>#N/A</v>
      </c>
      <c r="L1867" t="e">
        <f ca="1">IF(J1867,Charms!B1867,"")</f>
        <v>#N/A</v>
      </c>
      <c r="M1867" t="str">
        <f t="shared" ca="1" si="147"/>
        <v>-</v>
      </c>
      <c r="N1867" s="18" t="str">
        <f t="shared" si="148"/>
        <v>K1622:L5000</v>
      </c>
      <c r="O1867" t="str">
        <f t="shared" si="149"/>
        <v>A1622:A1867</v>
      </c>
    </row>
    <row r="1868" spans="1:15">
      <c r="A1868" s="18">
        <f>Charms!K1868</f>
        <v>0</v>
      </c>
      <c r="B1868">
        <f>Charms!B1868</f>
        <v>0</v>
      </c>
      <c r="C1868" t="b">
        <f ca="1">OR(Values!$S$98&gt;=Charms!M1868,IFERROR(Charms!J1868=OFFSET(Values!$A$24,MATCH("S",Values!$T$25:$T$50,0),0),FALSE))</f>
        <v>1</v>
      </c>
      <c r="D1868" t="e">
        <f>VLOOKUP(Charms!J1868,Values!$A$11:$S$59,19,0)&gt;=Charms!L1868</f>
        <v>#N/A</v>
      </c>
      <c r="E1868" t="e">
        <f>OR(ISBLANK(Charms!I1868),(VLOOKUP(Values!$S$6,Castes!$B$2:$F$25,4,0)=Charms!I1868))</f>
        <v>#N/A</v>
      </c>
      <c r="J1868" t="e">
        <f t="shared" ca="1" si="146"/>
        <v>#N/A</v>
      </c>
      <c r="K1868" s="18" t="e">
        <f t="shared" ca="1" si="145"/>
        <v>#N/A</v>
      </c>
      <c r="L1868" t="e">
        <f ca="1">IF(J1868,Charms!B1868,"")</f>
        <v>#N/A</v>
      </c>
      <c r="M1868" t="str">
        <f t="shared" ca="1" si="147"/>
        <v>-</v>
      </c>
      <c r="N1868" s="18" t="str">
        <f t="shared" si="148"/>
        <v>K1622:L5000</v>
      </c>
      <c r="O1868" t="str">
        <f t="shared" si="149"/>
        <v>A1622:A1868</v>
      </c>
    </row>
    <row r="1869" spans="1:15">
      <c r="A1869" s="18">
        <f>Charms!K1869</f>
        <v>0</v>
      </c>
      <c r="B1869">
        <f>Charms!B1869</f>
        <v>0</v>
      </c>
      <c r="C1869" t="b">
        <f ca="1">OR(Values!$S$98&gt;=Charms!M1869,IFERROR(Charms!J1869=OFFSET(Values!$A$24,MATCH("S",Values!$T$25:$T$50,0),0),FALSE))</f>
        <v>1</v>
      </c>
      <c r="D1869" t="e">
        <f>VLOOKUP(Charms!J1869,Values!$A$11:$S$59,19,0)&gt;=Charms!L1869</f>
        <v>#N/A</v>
      </c>
      <c r="E1869" t="e">
        <f>OR(ISBLANK(Charms!I1869),(VLOOKUP(Values!$S$6,Castes!$B$2:$F$25,4,0)=Charms!I1869))</f>
        <v>#N/A</v>
      </c>
      <c r="J1869" t="e">
        <f t="shared" ca="1" si="146"/>
        <v>#N/A</v>
      </c>
      <c r="K1869" s="18" t="e">
        <f t="shared" ca="1" si="145"/>
        <v>#N/A</v>
      </c>
      <c r="L1869" t="e">
        <f ca="1">IF(J1869,Charms!B1869,"")</f>
        <v>#N/A</v>
      </c>
      <c r="M1869" t="str">
        <f t="shared" ca="1" si="147"/>
        <v>-</v>
      </c>
      <c r="N1869" s="18" t="str">
        <f t="shared" si="148"/>
        <v>K1622:L5000</v>
      </c>
      <c r="O1869" t="str">
        <f t="shared" si="149"/>
        <v>A1622:A1869</v>
      </c>
    </row>
    <row r="1870" spans="1:15">
      <c r="A1870" s="18">
        <f>Charms!K1870</f>
        <v>0</v>
      </c>
      <c r="B1870">
        <f>Charms!B1870</f>
        <v>0</v>
      </c>
      <c r="C1870" t="b">
        <f ca="1">OR(Values!$S$98&gt;=Charms!M1870,IFERROR(Charms!J1870=OFFSET(Values!$A$24,MATCH("S",Values!$T$25:$T$50,0),0),FALSE))</f>
        <v>1</v>
      </c>
      <c r="D1870" t="e">
        <f>VLOOKUP(Charms!J1870,Values!$A$11:$S$59,19,0)&gt;=Charms!L1870</f>
        <v>#N/A</v>
      </c>
      <c r="E1870" t="e">
        <f>OR(ISBLANK(Charms!I1870),(VLOOKUP(Values!$S$6,Castes!$B$2:$F$25,4,0)=Charms!I1870))</f>
        <v>#N/A</v>
      </c>
      <c r="J1870" t="e">
        <f t="shared" ca="1" si="146"/>
        <v>#N/A</v>
      </c>
      <c r="K1870" s="18" t="e">
        <f t="shared" ca="1" si="145"/>
        <v>#N/A</v>
      </c>
      <c r="L1870" t="e">
        <f ca="1">IF(J1870,Charms!B1870,"")</f>
        <v>#N/A</v>
      </c>
      <c r="M1870" t="str">
        <f t="shared" ca="1" si="147"/>
        <v>-</v>
      </c>
      <c r="N1870" s="18" t="str">
        <f t="shared" si="148"/>
        <v>K1622:L5000</v>
      </c>
      <c r="O1870" t="str">
        <f t="shared" si="149"/>
        <v>A1622:A1870</v>
      </c>
    </row>
    <row r="1871" spans="1:15">
      <c r="A1871" s="18">
        <f>Charms!K1871</f>
        <v>0</v>
      </c>
      <c r="B1871">
        <f>Charms!B1871</f>
        <v>0</v>
      </c>
      <c r="C1871" t="b">
        <f ca="1">OR(Values!$S$98&gt;=Charms!M1871,IFERROR(Charms!J1871=OFFSET(Values!$A$24,MATCH("S",Values!$T$25:$T$50,0),0),FALSE))</f>
        <v>1</v>
      </c>
      <c r="D1871" t="e">
        <f>VLOOKUP(Charms!J1871,Values!$A$11:$S$59,19,0)&gt;=Charms!L1871</f>
        <v>#N/A</v>
      </c>
      <c r="E1871" t="e">
        <f>OR(ISBLANK(Charms!I1871),(VLOOKUP(Values!$S$6,Castes!$B$2:$F$25,4,0)=Charms!I1871))</f>
        <v>#N/A</v>
      </c>
      <c r="J1871" t="e">
        <f t="shared" ca="1" si="146"/>
        <v>#N/A</v>
      </c>
      <c r="K1871" s="18" t="e">
        <f t="shared" ca="1" si="145"/>
        <v>#N/A</v>
      </c>
      <c r="L1871" t="e">
        <f ca="1">IF(J1871,Charms!B1871,"")</f>
        <v>#N/A</v>
      </c>
      <c r="M1871" t="str">
        <f t="shared" ca="1" si="147"/>
        <v>-</v>
      </c>
      <c r="N1871" s="18" t="str">
        <f t="shared" si="148"/>
        <v>K1622:L5000</v>
      </c>
      <c r="O1871" t="str">
        <f t="shared" si="149"/>
        <v>A1622:A1871</v>
      </c>
    </row>
    <row r="1872" spans="1:15">
      <c r="A1872" s="18">
        <f>Charms!K1872</f>
        <v>0</v>
      </c>
      <c r="B1872">
        <f>Charms!B1872</f>
        <v>0</v>
      </c>
      <c r="C1872" t="b">
        <f ca="1">OR(Values!$S$98&gt;=Charms!M1872,IFERROR(Charms!J1872=OFFSET(Values!$A$24,MATCH("S",Values!$T$25:$T$50,0),0),FALSE))</f>
        <v>1</v>
      </c>
      <c r="D1872" t="e">
        <f>VLOOKUP(Charms!J1872,Values!$A$11:$S$59,19,0)&gt;=Charms!L1872</f>
        <v>#N/A</v>
      </c>
      <c r="E1872" t="e">
        <f>OR(ISBLANK(Charms!I1872),(VLOOKUP(Values!$S$6,Castes!$B$2:$F$25,4,0)=Charms!I1872))</f>
        <v>#N/A</v>
      </c>
      <c r="J1872" t="e">
        <f t="shared" ca="1" si="146"/>
        <v>#N/A</v>
      </c>
      <c r="K1872" s="18" t="e">
        <f t="shared" ca="1" si="145"/>
        <v>#N/A</v>
      </c>
      <c r="L1872" t="e">
        <f ca="1">IF(J1872,Charms!B1872,"")</f>
        <v>#N/A</v>
      </c>
      <c r="M1872" t="str">
        <f t="shared" ca="1" si="147"/>
        <v>-</v>
      </c>
      <c r="N1872" s="18" t="str">
        <f t="shared" si="148"/>
        <v>K1622:L5000</v>
      </c>
      <c r="O1872" t="str">
        <f t="shared" si="149"/>
        <v>A1622:A1872</v>
      </c>
    </row>
    <row r="1873" spans="1:15">
      <c r="A1873" s="18">
        <f>Charms!K1873</f>
        <v>0</v>
      </c>
      <c r="B1873">
        <f>Charms!B1873</f>
        <v>0</v>
      </c>
      <c r="C1873" t="b">
        <f ca="1">OR(Values!$S$98&gt;=Charms!M1873,IFERROR(Charms!J1873=OFFSET(Values!$A$24,MATCH("S",Values!$T$25:$T$50,0),0),FALSE))</f>
        <v>1</v>
      </c>
      <c r="D1873" t="e">
        <f>VLOOKUP(Charms!J1873,Values!$A$11:$S$59,19,0)&gt;=Charms!L1873</f>
        <v>#N/A</v>
      </c>
      <c r="E1873" t="e">
        <f>OR(ISBLANK(Charms!I1873),(VLOOKUP(Values!$S$6,Castes!$B$2:$F$25,4,0)=Charms!I1873))</f>
        <v>#N/A</v>
      </c>
      <c r="J1873" t="e">
        <f t="shared" ca="1" si="146"/>
        <v>#N/A</v>
      </c>
      <c r="K1873" s="18" t="e">
        <f t="shared" ca="1" si="145"/>
        <v>#N/A</v>
      </c>
      <c r="L1873" t="e">
        <f ca="1">IF(J1873,Charms!B1873,"")</f>
        <v>#N/A</v>
      </c>
      <c r="M1873" t="str">
        <f t="shared" ca="1" si="147"/>
        <v>-</v>
      </c>
      <c r="N1873" s="18" t="str">
        <f t="shared" si="148"/>
        <v>K1622:L5000</v>
      </c>
      <c r="O1873" t="str">
        <f t="shared" si="149"/>
        <v>A1622:A1873</v>
      </c>
    </row>
    <row r="1874" spans="1:15">
      <c r="A1874" s="18">
        <f>Charms!K1874</f>
        <v>0</v>
      </c>
      <c r="B1874">
        <f>Charms!B1874</f>
        <v>0</v>
      </c>
      <c r="C1874" t="b">
        <f ca="1">OR(Values!$S$98&gt;=Charms!M1874,IFERROR(Charms!J1874=OFFSET(Values!$A$24,MATCH("S",Values!$T$25:$T$50,0),0),FALSE))</f>
        <v>1</v>
      </c>
      <c r="D1874" t="e">
        <f>VLOOKUP(Charms!J1874,Values!$A$11:$S$59,19,0)&gt;=Charms!L1874</f>
        <v>#N/A</v>
      </c>
      <c r="E1874" t="e">
        <f>OR(ISBLANK(Charms!I1874),(VLOOKUP(Values!$S$6,Castes!$B$2:$F$25,4,0)=Charms!I1874))</f>
        <v>#N/A</v>
      </c>
      <c r="J1874" t="e">
        <f t="shared" ca="1" si="146"/>
        <v>#N/A</v>
      </c>
      <c r="K1874" s="18" t="e">
        <f t="shared" ca="1" si="145"/>
        <v>#N/A</v>
      </c>
      <c r="L1874" t="e">
        <f ca="1">IF(J1874,Charms!B1874,"")</f>
        <v>#N/A</v>
      </c>
      <c r="M1874" t="str">
        <f t="shared" ca="1" si="147"/>
        <v>-</v>
      </c>
      <c r="N1874" s="18" t="str">
        <f t="shared" si="148"/>
        <v>K1622:L5000</v>
      </c>
      <c r="O1874" t="str">
        <f t="shared" si="149"/>
        <v>A1622:A1874</v>
      </c>
    </row>
    <row r="1875" spans="1:15">
      <c r="A1875" s="18">
        <f>Charms!K1875</f>
        <v>0</v>
      </c>
      <c r="B1875">
        <f>Charms!B1875</f>
        <v>0</v>
      </c>
      <c r="C1875" t="b">
        <f ca="1">OR(Values!$S$98&gt;=Charms!M1875,IFERROR(Charms!J1875=OFFSET(Values!$A$24,MATCH("S",Values!$T$25:$T$50,0),0),FALSE))</f>
        <v>1</v>
      </c>
      <c r="D1875" t="e">
        <f>VLOOKUP(Charms!J1875,Values!$A$11:$S$59,19,0)&gt;=Charms!L1875</f>
        <v>#N/A</v>
      </c>
      <c r="E1875" t="e">
        <f>OR(ISBLANK(Charms!I1875),(VLOOKUP(Values!$S$6,Castes!$B$2:$F$25,4,0)=Charms!I1875))</f>
        <v>#N/A</v>
      </c>
      <c r="J1875" t="e">
        <f t="shared" ca="1" si="146"/>
        <v>#N/A</v>
      </c>
      <c r="K1875" s="18" t="e">
        <f t="shared" ca="1" si="145"/>
        <v>#N/A</v>
      </c>
      <c r="L1875" t="e">
        <f ca="1">IF(J1875,Charms!B1875,"")</f>
        <v>#N/A</v>
      </c>
      <c r="M1875" t="str">
        <f t="shared" ca="1" si="147"/>
        <v>-</v>
      </c>
      <c r="N1875" s="18" t="str">
        <f t="shared" si="148"/>
        <v>K1622:L5000</v>
      </c>
      <c r="O1875" t="str">
        <f t="shared" si="149"/>
        <v>A1622:A1875</v>
      </c>
    </row>
    <row r="1876" spans="1:15">
      <c r="A1876" s="18">
        <f>Charms!K1876</f>
        <v>0</v>
      </c>
      <c r="B1876">
        <f>Charms!B1876</f>
        <v>0</v>
      </c>
      <c r="C1876" t="b">
        <f ca="1">OR(Values!$S$98&gt;=Charms!M1876,IFERROR(Charms!J1876=OFFSET(Values!$A$24,MATCH("S",Values!$T$25:$T$50,0),0),FALSE))</f>
        <v>1</v>
      </c>
      <c r="D1876" t="e">
        <f>VLOOKUP(Charms!J1876,Values!$A$11:$S$59,19,0)&gt;=Charms!L1876</f>
        <v>#N/A</v>
      </c>
      <c r="E1876" t="e">
        <f>OR(ISBLANK(Charms!I1876),(VLOOKUP(Values!$S$6,Castes!$B$2:$F$25,4,0)=Charms!I1876))</f>
        <v>#N/A</v>
      </c>
      <c r="J1876" t="e">
        <f t="shared" ca="1" si="146"/>
        <v>#N/A</v>
      </c>
      <c r="K1876" s="18" t="e">
        <f t="shared" ca="1" si="145"/>
        <v>#N/A</v>
      </c>
      <c r="L1876" t="e">
        <f ca="1">IF(J1876,Charms!B1876,"")</f>
        <v>#N/A</v>
      </c>
      <c r="M1876" t="str">
        <f t="shared" ca="1" si="147"/>
        <v>-</v>
      </c>
      <c r="N1876" s="18" t="str">
        <f t="shared" si="148"/>
        <v>K1622:L5000</v>
      </c>
      <c r="O1876" t="str">
        <f t="shared" si="149"/>
        <v>A1622:A1876</v>
      </c>
    </row>
    <row r="1877" spans="1:15">
      <c r="A1877" s="18">
        <f>Charms!K1877</f>
        <v>0</v>
      </c>
      <c r="B1877">
        <f>Charms!B1877</f>
        <v>0</v>
      </c>
      <c r="C1877" t="b">
        <f ca="1">OR(Values!$S$98&gt;=Charms!M1877,IFERROR(Charms!J1877=OFFSET(Values!$A$24,MATCH("S",Values!$T$25:$T$50,0),0),FALSE))</f>
        <v>1</v>
      </c>
      <c r="D1877" t="e">
        <f>VLOOKUP(Charms!J1877,Values!$A$11:$S$59,19,0)&gt;=Charms!L1877</f>
        <v>#N/A</v>
      </c>
      <c r="E1877" t="e">
        <f>OR(ISBLANK(Charms!I1877),(VLOOKUP(Values!$S$6,Castes!$B$2:$F$25,4,0)=Charms!I1877))</f>
        <v>#N/A</v>
      </c>
      <c r="J1877" t="e">
        <f t="shared" ca="1" si="146"/>
        <v>#N/A</v>
      </c>
      <c r="K1877" s="18" t="e">
        <f t="shared" ca="1" si="145"/>
        <v>#N/A</v>
      </c>
      <c r="L1877" t="e">
        <f ca="1">IF(J1877,Charms!B1877,"")</f>
        <v>#N/A</v>
      </c>
      <c r="M1877" t="str">
        <f t="shared" ca="1" si="147"/>
        <v>-</v>
      </c>
      <c r="N1877" s="18" t="str">
        <f t="shared" si="148"/>
        <v>K1622:L5000</v>
      </c>
      <c r="O1877" t="str">
        <f t="shared" si="149"/>
        <v>A1622:A1877</v>
      </c>
    </row>
    <row r="1878" spans="1:15">
      <c r="A1878" s="18">
        <f>Charms!K1878</f>
        <v>0</v>
      </c>
      <c r="B1878">
        <f>Charms!B1878</f>
        <v>0</v>
      </c>
      <c r="C1878" t="b">
        <f ca="1">OR(Values!$S$98&gt;=Charms!M1878,IFERROR(Charms!J1878=OFFSET(Values!$A$24,MATCH("S",Values!$T$25:$T$50,0),0),FALSE))</f>
        <v>1</v>
      </c>
      <c r="D1878" t="e">
        <f>VLOOKUP(Charms!J1878,Values!$A$11:$S$59,19,0)&gt;=Charms!L1878</f>
        <v>#N/A</v>
      </c>
      <c r="E1878" t="e">
        <f>OR(ISBLANK(Charms!I1878),(VLOOKUP(Values!$S$6,Castes!$B$2:$F$25,4,0)=Charms!I1878))</f>
        <v>#N/A</v>
      </c>
      <c r="J1878" t="e">
        <f t="shared" ca="1" si="146"/>
        <v>#N/A</v>
      </c>
      <c r="K1878" s="18" t="e">
        <f t="shared" ca="1" si="145"/>
        <v>#N/A</v>
      </c>
      <c r="L1878" t="e">
        <f ca="1">IF(J1878,Charms!B1878,"")</f>
        <v>#N/A</v>
      </c>
      <c r="M1878" t="str">
        <f t="shared" ca="1" si="147"/>
        <v>-</v>
      </c>
      <c r="N1878" s="18" t="str">
        <f t="shared" si="148"/>
        <v>K1622:L5000</v>
      </c>
      <c r="O1878" t="str">
        <f t="shared" si="149"/>
        <v>A1622:A1878</v>
      </c>
    </row>
    <row r="1879" spans="1:15">
      <c r="A1879" s="18">
        <f>Charms!K1879</f>
        <v>0</v>
      </c>
      <c r="B1879">
        <f>Charms!B1879</f>
        <v>0</v>
      </c>
      <c r="C1879" t="b">
        <f ca="1">OR(Values!$S$98&gt;=Charms!M1879,IFERROR(Charms!J1879=OFFSET(Values!$A$24,MATCH("S",Values!$T$25:$T$50,0),0),FALSE))</f>
        <v>1</v>
      </c>
      <c r="D1879" t="e">
        <f>VLOOKUP(Charms!J1879,Values!$A$11:$S$59,19,0)&gt;=Charms!L1879</f>
        <v>#N/A</v>
      </c>
      <c r="E1879" t="e">
        <f>OR(ISBLANK(Charms!I1879),(VLOOKUP(Values!$S$6,Castes!$B$2:$F$25,4,0)=Charms!I1879))</f>
        <v>#N/A</v>
      </c>
      <c r="J1879" t="e">
        <f t="shared" ca="1" si="146"/>
        <v>#N/A</v>
      </c>
      <c r="K1879" s="18" t="e">
        <f t="shared" ca="1" si="145"/>
        <v>#N/A</v>
      </c>
      <c r="L1879" t="e">
        <f ca="1">IF(J1879,Charms!B1879,"")</f>
        <v>#N/A</v>
      </c>
      <c r="M1879" t="str">
        <f t="shared" ca="1" si="147"/>
        <v>-</v>
      </c>
      <c r="N1879" s="18" t="str">
        <f t="shared" si="148"/>
        <v>K1622:L5000</v>
      </c>
      <c r="O1879" t="str">
        <f t="shared" si="149"/>
        <v>A1622:A1879</v>
      </c>
    </row>
    <row r="1880" spans="1:15">
      <c r="A1880" s="18">
        <f>Charms!K1880</f>
        <v>0</v>
      </c>
      <c r="B1880">
        <f>Charms!B1880</f>
        <v>0</v>
      </c>
      <c r="C1880" t="b">
        <f ca="1">OR(Values!$S$98&gt;=Charms!M1880,IFERROR(Charms!J1880=OFFSET(Values!$A$24,MATCH("S",Values!$T$25:$T$50,0),0),FALSE))</f>
        <v>1</v>
      </c>
      <c r="D1880" t="e">
        <f>VLOOKUP(Charms!J1880,Values!$A$11:$S$59,19,0)&gt;=Charms!L1880</f>
        <v>#N/A</v>
      </c>
      <c r="E1880" t="e">
        <f>OR(ISBLANK(Charms!I1880),(VLOOKUP(Values!$S$6,Castes!$B$2:$F$25,4,0)=Charms!I1880))</f>
        <v>#N/A</v>
      </c>
      <c r="J1880" t="e">
        <f t="shared" ca="1" si="146"/>
        <v>#N/A</v>
      </c>
      <c r="K1880" s="18" t="e">
        <f t="shared" ca="1" si="145"/>
        <v>#N/A</v>
      </c>
      <c r="L1880" t="e">
        <f ca="1">IF(J1880,Charms!B1880,"")</f>
        <v>#N/A</v>
      </c>
      <c r="M1880" t="str">
        <f t="shared" ca="1" si="147"/>
        <v>-</v>
      </c>
      <c r="N1880" s="18" t="str">
        <f t="shared" si="148"/>
        <v>K1622:L5000</v>
      </c>
      <c r="O1880" t="str">
        <f t="shared" si="149"/>
        <v>A1622:A1880</v>
      </c>
    </row>
    <row r="1881" spans="1:15">
      <c r="A1881" s="18">
        <f>Charms!K1881</f>
        <v>0</v>
      </c>
      <c r="B1881">
        <f>Charms!B1881</f>
        <v>0</v>
      </c>
      <c r="C1881" t="b">
        <f ca="1">OR(Values!$S$98&gt;=Charms!M1881,IFERROR(Charms!J1881=OFFSET(Values!$A$24,MATCH("S",Values!$T$25:$T$50,0),0),FALSE))</f>
        <v>1</v>
      </c>
      <c r="D1881" t="e">
        <f>VLOOKUP(Charms!J1881,Values!$A$11:$S$59,19,0)&gt;=Charms!L1881</f>
        <v>#N/A</v>
      </c>
      <c r="E1881" t="e">
        <f>OR(ISBLANK(Charms!I1881),(VLOOKUP(Values!$S$6,Castes!$B$2:$F$25,4,0)=Charms!I1881))</f>
        <v>#N/A</v>
      </c>
      <c r="J1881" t="e">
        <f t="shared" ca="1" si="146"/>
        <v>#N/A</v>
      </c>
      <c r="K1881" s="18" t="e">
        <f t="shared" ca="1" si="145"/>
        <v>#N/A</v>
      </c>
      <c r="L1881" t="e">
        <f ca="1">IF(J1881,Charms!B1881,"")</f>
        <v>#N/A</v>
      </c>
      <c r="M1881" t="str">
        <f t="shared" ca="1" si="147"/>
        <v>-</v>
      </c>
      <c r="N1881" s="18" t="str">
        <f t="shared" si="148"/>
        <v>K1622:L5000</v>
      </c>
      <c r="O1881" t="str">
        <f t="shared" si="149"/>
        <v>A1622:A1881</v>
      </c>
    </row>
    <row r="1882" spans="1:15">
      <c r="A1882" s="18">
        <f>Charms!K1882</f>
        <v>0</v>
      </c>
      <c r="B1882">
        <f>Charms!B1882</f>
        <v>0</v>
      </c>
      <c r="C1882" t="b">
        <f ca="1">OR(Values!$S$98&gt;=Charms!M1882,IFERROR(Charms!J1882=OFFSET(Values!$A$24,MATCH("S",Values!$T$25:$T$50,0),0),FALSE))</f>
        <v>1</v>
      </c>
      <c r="D1882" t="e">
        <f>VLOOKUP(Charms!J1882,Values!$A$11:$S$59,19,0)&gt;=Charms!L1882</f>
        <v>#N/A</v>
      </c>
      <c r="E1882" t="e">
        <f>OR(ISBLANK(Charms!I1882),(VLOOKUP(Values!$S$6,Castes!$B$2:$F$25,4,0)=Charms!I1882))</f>
        <v>#N/A</v>
      </c>
      <c r="J1882" t="e">
        <f t="shared" ca="1" si="146"/>
        <v>#N/A</v>
      </c>
      <c r="K1882" s="18" t="e">
        <f t="shared" ca="1" si="145"/>
        <v>#N/A</v>
      </c>
      <c r="L1882" t="e">
        <f ca="1">IF(J1882,Charms!B1882,"")</f>
        <v>#N/A</v>
      </c>
      <c r="M1882" t="str">
        <f t="shared" ca="1" si="147"/>
        <v>-</v>
      </c>
      <c r="N1882" s="18" t="str">
        <f t="shared" si="148"/>
        <v>K1622:L5000</v>
      </c>
      <c r="O1882" t="str">
        <f t="shared" si="149"/>
        <v>A1622:A1882</v>
      </c>
    </row>
    <row r="1883" spans="1:15">
      <c r="A1883" s="18">
        <f>Charms!K1883</f>
        <v>0</v>
      </c>
      <c r="B1883">
        <f>Charms!B1883</f>
        <v>0</v>
      </c>
      <c r="C1883" t="b">
        <f ca="1">OR(Values!$S$98&gt;=Charms!M1883,IFERROR(Charms!J1883=OFFSET(Values!$A$24,MATCH("S",Values!$T$25:$T$50,0),0),FALSE))</f>
        <v>1</v>
      </c>
      <c r="D1883" t="e">
        <f>VLOOKUP(Charms!J1883,Values!$A$11:$S$59,19,0)&gt;=Charms!L1883</f>
        <v>#N/A</v>
      </c>
      <c r="E1883" t="e">
        <f>OR(ISBLANK(Charms!I1883),(VLOOKUP(Values!$S$6,Castes!$B$2:$F$25,4,0)=Charms!I1883))</f>
        <v>#N/A</v>
      </c>
      <c r="J1883" t="e">
        <f t="shared" ca="1" si="146"/>
        <v>#N/A</v>
      </c>
      <c r="K1883" s="18" t="e">
        <f t="shared" ca="1" si="145"/>
        <v>#N/A</v>
      </c>
      <c r="L1883" t="e">
        <f ca="1">IF(J1883,Charms!B1883,"")</f>
        <v>#N/A</v>
      </c>
      <c r="M1883" t="str">
        <f t="shared" ca="1" si="147"/>
        <v>-</v>
      </c>
      <c r="N1883" s="18" t="str">
        <f t="shared" si="148"/>
        <v>K1622:L5000</v>
      </c>
      <c r="O1883" t="str">
        <f t="shared" si="149"/>
        <v>A1622:A1883</v>
      </c>
    </row>
    <row r="1884" spans="1:15">
      <c r="A1884" s="18">
        <f>Charms!K1884</f>
        <v>0</v>
      </c>
      <c r="B1884">
        <f>Charms!B1884</f>
        <v>0</v>
      </c>
      <c r="C1884" t="b">
        <f ca="1">OR(Values!$S$98&gt;=Charms!M1884,IFERROR(Charms!J1884=OFFSET(Values!$A$24,MATCH("S",Values!$T$25:$T$50,0),0),FALSE))</f>
        <v>1</v>
      </c>
      <c r="D1884" t="e">
        <f>VLOOKUP(Charms!J1884,Values!$A$11:$S$59,19,0)&gt;=Charms!L1884</f>
        <v>#N/A</v>
      </c>
      <c r="E1884" t="e">
        <f>OR(ISBLANK(Charms!I1884),(VLOOKUP(Values!$S$6,Castes!$B$2:$F$25,4,0)=Charms!I1884))</f>
        <v>#N/A</v>
      </c>
      <c r="J1884" t="e">
        <f t="shared" ca="1" si="146"/>
        <v>#N/A</v>
      </c>
      <c r="K1884" s="18" t="e">
        <f t="shared" ca="1" si="145"/>
        <v>#N/A</v>
      </c>
      <c r="L1884" t="e">
        <f ca="1">IF(J1884,Charms!B1884,"")</f>
        <v>#N/A</v>
      </c>
      <c r="M1884" t="str">
        <f t="shared" ca="1" si="147"/>
        <v>-</v>
      </c>
      <c r="N1884" s="18" t="str">
        <f t="shared" si="148"/>
        <v>K1622:L5000</v>
      </c>
      <c r="O1884" t="str">
        <f t="shared" si="149"/>
        <v>A1622:A1884</v>
      </c>
    </row>
    <row r="1885" spans="1:15">
      <c r="A1885" s="18">
        <f>Charms!K1885</f>
        <v>0</v>
      </c>
      <c r="B1885">
        <f>Charms!B1885</f>
        <v>0</v>
      </c>
      <c r="C1885" t="b">
        <f ca="1">OR(Values!$S$98&gt;=Charms!M1885,IFERROR(Charms!J1885=OFFSET(Values!$A$24,MATCH("S",Values!$T$25:$T$50,0),0),FALSE))</f>
        <v>1</v>
      </c>
      <c r="D1885" t="e">
        <f>VLOOKUP(Charms!J1885,Values!$A$11:$S$59,19,0)&gt;=Charms!L1885</f>
        <v>#N/A</v>
      </c>
      <c r="E1885" t="e">
        <f>OR(ISBLANK(Charms!I1885),(VLOOKUP(Values!$S$6,Castes!$B$2:$F$25,4,0)=Charms!I1885))</f>
        <v>#N/A</v>
      </c>
      <c r="J1885" t="e">
        <f t="shared" ca="1" si="146"/>
        <v>#N/A</v>
      </c>
      <c r="K1885" s="18" t="e">
        <f t="shared" ca="1" si="145"/>
        <v>#N/A</v>
      </c>
      <c r="L1885" t="e">
        <f ca="1">IF(J1885,Charms!B1885,"")</f>
        <v>#N/A</v>
      </c>
      <c r="M1885" t="str">
        <f t="shared" ca="1" si="147"/>
        <v>-</v>
      </c>
      <c r="N1885" s="18" t="str">
        <f t="shared" si="148"/>
        <v>K1622:L5000</v>
      </c>
      <c r="O1885" t="str">
        <f t="shared" si="149"/>
        <v>A1622:A1885</v>
      </c>
    </row>
    <row r="1886" spans="1:15">
      <c r="A1886" s="18">
        <f>Charms!K1886</f>
        <v>0</v>
      </c>
      <c r="B1886">
        <f>Charms!B1886</f>
        <v>0</v>
      </c>
      <c r="C1886" t="b">
        <f ca="1">OR(Values!$S$98&gt;=Charms!M1886,IFERROR(Charms!J1886=OFFSET(Values!$A$24,MATCH("S",Values!$T$25:$T$50,0),0),FALSE))</f>
        <v>1</v>
      </c>
      <c r="D1886" t="e">
        <f>VLOOKUP(Charms!J1886,Values!$A$11:$S$59,19,0)&gt;=Charms!L1886</f>
        <v>#N/A</v>
      </c>
      <c r="E1886" t="e">
        <f>OR(ISBLANK(Charms!I1886),(VLOOKUP(Values!$S$6,Castes!$B$2:$F$25,4,0)=Charms!I1886))</f>
        <v>#N/A</v>
      </c>
      <c r="J1886" t="e">
        <f t="shared" ca="1" si="146"/>
        <v>#N/A</v>
      </c>
      <c r="K1886" s="18" t="e">
        <f t="shared" ca="1" si="145"/>
        <v>#N/A</v>
      </c>
      <c r="L1886" t="e">
        <f ca="1">IF(J1886,Charms!B1886,"")</f>
        <v>#N/A</v>
      </c>
      <c r="M1886" t="str">
        <f t="shared" ca="1" si="147"/>
        <v>-</v>
      </c>
      <c r="N1886" s="18" t="str">
        <f t="shared" si="148"/>
        <v>K1622:L5000</v>
      </c>
      <c r="O1886" t="str">
        <f t="shared" si="149"/>
        <v>A1622:A1886</v>
      </c>
    </row>
    <row r="1887" spans="1:15">
      <c r="A1887" s="18">
        <f>Charms!K1887</f>
        <v>0</v>
      </c>
      <c r="B1887">
        <f>Charms!B1887</f>
        <v>0</v>
      </c>
      <c r="C1887" t="b">
        <f ca="1">OR(Values!$S$98&gt;=Charms!M1887,IFERROR(Charms!J1887=OFFSET(Values!$A$24,MATCH("S",Values!$T$25:$T$50,0),0),FALSE))</f>
        <v>1</v>
      </c>
      <c r="D1887" t="e">
        <f>VLOOKUP(Charms!J1887,Values!$A$11:$S$59,19,0)&gt;=Charms!L1887</f>
        <v>#N/A</v>
      </c>
      <c r="E1887" t="e">
        <f>OR(ISBLANK(Charms!I1887),(VLOOKUP(Values!$S$6,Castes!$B$2:$F$25,4,0)=Charms!I1887))</f>
        <v>#N/A</v>
      </c>
      <c r="J1887" t="e">
        <f t="shared" ca="1" si="146"/>
        <v>#N/A</v>
      </c>
      <c r="K1887" s="18" t="e">
        <f t="shared" ca="1" si="145"/>
        <v>#N/A</v>
      </c>
      <c r="L1887" t="e">
        <f ca="1">IF(J1887,Charms!B1887,"")</f>
        <v>#N/A</v>
      </c>
      <c r="M1887" t="str">
        <f t="shared" ca="1" si="147"/>
        <v>-</v>
      </c>
      <c r="N1887" s="18" t="str">
        <f t="shared" si="148"/>
        <v>K1622:L5000</v>
      </c>
      <c r="O1887" t="str">
        <f t="shared" si="149"/>
        <v>A1622:A1887</v>
      </c>
    </row>
    <row r="1888" spans="1:15">
      <c r="A1888" s="18">
        <f>Charms!K1888</f>
        <v>0</v>
      </c>
      <c r="B1888">
        <f>Charms!B1888</f>
        <v>0</v>
      </c>
      <c r="C1888" t="b">
        <f ca="1">OR(Values!$S$98&gt;=Charms!M1888,IFERROR(Charms!J1888=OFFSET(Values!$A$24,MATCH("S",Values!$T$25:$T$50,0),0),FALSE))</f>
        <v>1</v>
      </c>
      <c r="D1888" t="e">
        <f>VLOOKUP(Charms!J1888,Values!$A$11:$S$59,19,0)&gt;=Charms!L1888</f>
        <v>#N/A</v>
      </c>
      <c r="E1888" t="e">
        <f>OR(ISBLANK(Charms!I1888),(VLOOKUP(Values!$S$6,Castes!$B$2:$F$25,4,0)=Charms!I1888))</f>
        <v>#N/A</v>
      </c>
      <c r="J1888" t="e">
        <f t="shared" ca="1" si="146"/>
        <v>#N/A</v>
      </c>
      <c r="K1888" s="18" t="e">
        <f t="shared" ca="1" si="145"/>
        <v>#N/A</v>
      </c>
      <c r="L1888" t="e">
        <f ca="1">IF(J1888,Charms!B1888,"")</f>
        <v>#N/A</v>
      </c>
      <c r="M1888" t="str">
        <f t="shared" ca="1" si="147"/>
        <v>-</v>
      </c>
      <c r="N1888" s="18" t="str">
        <f t="shared" si="148"/>
        <v>K1622:L5000</v>
      </c>
      <c r="O1888" t="str">
        <f t="shared" si="149"/>
        <v>A1622:A1888</v>
      </c>
    </row>
    <row r="1889" spans="1:15">
      <c r="A1889" s="18">
        <f>Charms!K1889</f>
        <v>0</v>
      </c>
      <c r="B1889">
        <f>Charms!B1889</f>
        <v>0</v>
      </c>
      <c r="C1889" t="b">
        <f ca="1">OR(Values!$S$98&gt;=Charms!M1889,IFERROR(Charms!J1889=OFFSET(Values!$A$24,MATCH("S",Values!$T$25:$T$50,0),0),FALSE))</f>
        <v>1</v>
      </c>
      <c r="D1889" t="e">
        <f>VLOOKUP(Charms!J1889,Values!$A$11:$S$59,19,0)&gt;=Charms!L1889</f>
        <v>#N/A</v>
      </c>
      <c r="E1889" t="e">
        <f>OR(ISBLANK(Charms!I1889),(VLOOKUP(Values!$S$6,Castes!$B$2:$F$25,4,0)=Charms!I1889))</f>
        <v>#N/A</v>
      </c>
      <c r="J1889" t="e">
        <f t="shared" ca="1" si="146"/>
        <v>#N/A</v>
      </c>
      <c r="K1889" s="18" t="e">
        <f t="shared" ca="1" si="145"/>
        <v>#N/A</v>
      </c>
      <c r="L1889" t="e">
        <f ca="1">IF(J1889,Charms!B1889,"")</f>
        <v>#N/A</v>
      </c>
      <c r="M1889" t="str">
        <f t="shared" ca="1" si="147"/>
        <v>-</v>
      </c>
      <c r="N1889" s="18" t="str">
        <f t="shared" si="148"/>
        <v>K1622:L5000</v>
      </c>
      <c r="O1889" t="str">
        <f t="shared" si="149"/>
        <v>A1622:A1889</v>
      </c>
    </row>
    <row r="1890" spans="1:15">
      <c r="A1890" s="18">
        <f>Charms!K1890</f>
        <v>0</v>
      </c>
      <c r="B1890">
        <f>Charms!B1890</f>
        <v>0</v>
      </c>
      <c r="C1890" t="b">
        <f ca="1">OR(Values!$S$98&gt;=Charms!M1890,IFERROR(Charms!J1890=OFFSET(Values!$A$24,MATCH("S",Values!$T$25:$T$50,0),0),FALSE))</f>
        <v>1</v>
      </c>
      <c r="D1890" t="e">
        <f>VLOOKUP(Charms!J1890,Values!$A$11:$S$59,19,0)&gt;=Charms!L1890</f>
        <v>#N/A</v>
      </c>
      <c r="E1890" t="e">
        <f>OR(ISBLANK(Charms!I1890),(VLOOKUP(Values!$S$6,Castes!$B$2:$F$25,4,0)=Charms!I1890))</f>
        <v>#N/A</v>
      </c>
      <c r="J1890" t="e">
        <f t="shared" ca="1" si="146"/>
        <v>#N/A</v>
      </c>
      <c r="K1890" s="18" t="e">
        <f t="shared" ca="1" si="145"/>
        <v>#N/A</v>
      </c>
      <c r="L1890" t="e">
        <f ca="1">IF(J1890,Charms!B1890,"")</f>
        <v>#N/A</v>
      </c>
      <c r="M1890" t="str">
        <f t="shared" ca="1" si="147"/>
        <v>-</v>
      </c>
      <c r="N1890" s="18" t="str">
        <f t="shared" si="148"/>
        <v>K1622:L5000</v>
      </c>
      <c r="O1890" t="str">
        <f t="shared" si="149"/>
        <v>A1622:A1890</v>
      </c>
    </row>
    <row r="1891" spans="1:15">
      <c r="A1891" s="18">
        <f>Charms!K1891</f>
        <v>0</v>
      </c>
      <c r="B1891">
        <f>Charms!B1891</f>
        <v>0</v>
      </c>
      <c r="C1891" t="b">
        <f ca="1">OR(Values!$S$98&gt;=Charms!M1891,IFERROR(Charms!J1891=OFFSET(Values!$A$24,MATCH("S",Values!$T$25:$T$50,0),0),FALSE))</f>
        <v>1</v>
      </c>
      <c r="D1891" t="e">
        <f>VLOOKUP(Charms!J1891,Values!$A$11:$S$59,19,0)&gt;=Charms!L1891</f>
        <v>#N/A</v>
      </c>
      <c r="E1891" t="e">
        <f>OR(ISBLANK(Charms!I1891),(VLOOKUP(Values!$S$6,Castes!$B$2:$F$25,4,0)=Charms!I1891))</f>
        <v>#N/A</v>
      </c>
      <c r="J1891" t="e">
        <f t="shared" ca="1" si="146"/>
        <v>#N/A</v>
      </c>
      <c r="K1891" s="18" t="e">
        <f t="shared" ca="1" si="145"/>
        <v>#N/A</v>
      </c>
      <c r="L1891" t="e">
        <f ca="1">IF(J1891,Charms!B1891,"")</f>
        <v>#N/A</v>
      </c>
      <c r="M1891" t="str">
        <f t="shared" ca="1" si="147"/>
        <v>-</v>
      </c>
      <c r="N1891" s="18" t="str">
        <f t="shared" si="148"/>
        <v>K1622:L5000</v>
      </c>
      <c r="O1891" t="str">
        <f t="shared" si="149"/>
        <v>A1622:A1891</v>
      </c>
    </row>
    <row r="1892" spans="1:15">
      <c r="A1892" s="18">
        <f>Charms!K1892</f>
        <v>0</v>
      </c>
      <c r="B1892">
        <f>Charms!B1892</f>
        <v>0</v>
      </c>
      <c r="C1892" t="b">
        <f ca="1">OR(Values!$S$98&gt;=Charms!M1892,IFERROR(Charms!J1892=OFFSET(Values!$A$24,MATCH("S",Values!$T$25:$T$50,0),0),FALSE))</f>
        <v>1</v>
      </c>
      <c r="D1892" t="e">
        <f>VLOOKUP(Charms!J1892,Values!$A$11:$S$59,19,0)&gt;=Charms!L1892</f>
        <v>#N/A</v>
      </c>
      <c r="E1892" t="e">
        <f>OR(ISBLANK(Charms!I1892),(VLOOKUP(Values!$S$6,Castes!$B$2:$F$25,4,0)=Charms!I1892))</f>
        <v>#N/A</v>
      </c>
      <c r="J1892" t="e">
        <f t="shared" ca="1" si="146"/>
        <v>#N/A</v>
      </c>
      <c r="K1892" s="18" t="e">
        <f t="shared" ca="1" si="145"/>
        <v>#N/A</v>
      </c>
      <c r="L1892" t="e">
        <f ca="1">IF(J1892,Charms!B1892,"")</f>
        <v>#N/A</v>
      </c>
      <c r="M1892" t="str">
        <f t="shared" ca="1" si="147"/>
        <v>-</v>
      </c>
      <c r="N1892" s="18" t="str">
        <f t="shared" si="148"/>
        <v>K1622:L5000</v>
      </c>
      <c r="O1892" t="str">
        <f t="shared" si="149"/>
        <v>A1622:A1892</v>
      </c>
    </row>
    <row r="1893" spans="1:15">
      <c r="A1893" s="18">
        <f>Charms!K1893</f>
        <v>0</v>
      </c>
      <c r="B1893">
        <f>Charms!B1893</f>
        <v>0</v>
      </c>
      <c r="C1893" t="b">
        <f ca="1">OR(Values!$S$98&gt;=Charms!M1893,IFERROR(Charms!J1893=OFFSET(Values!$A$24,MATCH("S",Values!$T$25:$T$50,0),0),FALSE))</f>
        <v>1</v>
      </c>
      <c r="D1893" t="e">
        <f>VLOOKUP(Charms!J1893,Values!$A$11:$S$59,19,0)&gt;=Charms!L1893</f>
        <v>#N/A</v>
      </c>
      <c r="E1893" t="e">
        <f>OR(ISBLANK(Charms!I1893),(VLOOKUP(Values!$S$6,Castes!$B$2:$F$25,4,0)=Charms!I1893))</f>
        <v>#N/A</v>
      </c>
      <c r="J1893" t="e">
        <f t="shared" ca="1" si="146"/>
        <v>#N/A</v>
      </c>
      <c r="K1893" s="18" t="e">
        <f t="shared" ca="1" si="145"/>
        <v>#N/A</v>
      </c>
      <c r="L1893" t="e">
        <f ca="1">IF(J1893,Charms!B1893,"")</f>
        <v>#N/A</v>
      </c>
      <c r="M1893" t="str">
        <f t="shared" ca="1" si="147"/>
        <v>-</v>
      </c>
      <c r="N1893" s="18" t="str">
        <f t="shared" si="148"/>
        <v>K1622:L5000</v>
      </c>
      <c r="O1893" t="str">
        <f t="shared" si="149"/>
        <v>A1622:A1893</v>
      </c>
    </row>
    <row r="1894" spans="1:15">
      <c r="A1894" s="18">
        <f>Charms!K1894</f>
        <v>0</v>
      </c>
      <c r="B1894">
        <f>Charms!B1894</f>
        <v>0</v>
      </c>
      <c r="C1894" t="b">
        <f ca="1">OR(Values!$S$98&gt;=Charms!M1894,IFERROR(Charms!J1894=OFFSET(Values!$A$24,MATCH("S",Values!$T$25:$T$50,0),0),FALSE))</f>
        <v>1</v>
      </c>
      <c r="D1894" t="e">
        <f>VLOOKUP(Charms!J1894,Values!$A$11:$S$59,19,0)&gt;=Charms!L1894</f>
        <v>#N/A</v>
      </c>
      <c r="E1894" t="e">
        <f>OR(ISBLANK(Charms!I1894),(VLOOKUP(Values!$S$6,Castes!$B$2:$F$25,4,0)=Charms!I1894))</f>
        <v>#N/A</v>
      </c>
      <c r="J1894" t="e">
        <f t="shared" ca="1" si="146"/>
        <v>#N/A</v>
      </c>
      <c r="K1894" s="18" t="e">
        <f t="shared" ca="1" si="145"/>
        <v>#N/A</v>
      </c>
      <c r="L1894" t="e">
        <f ca="1">IF(J1894,Charms!B1894,"")</f>
        <v>#N/A</v>
      </c>
      <c r="M1894" t="str">
        <f t="shared" ca="1" si="147"/>
        <v>-</v>
      </c>
      <c r="N1894" s="18" t="str">
        <f t="shared" si="148"/>
        <v>K1622:L5000</v>
      </c>
      <c r="O1894" t="str">
        <f t="shared" si="149"/>
        <v>A1622:A1894</v>
      </c>
    </row>
    <row r="1895" spans="1:15">
      <c r="A1895" s="18">
        <f>Charms!K1895</f>
        <v>0</v>
      </c>
      <c r="B1895">
        <f>Charms!B1895</f>
        <v>0</v>
      </c>
      <c r="C1895" t="b">
        <f ca="1">OR(Values!$S$98&gt;=Charms!M1895,IFERROR(Charms!J1895=OFFSET(Values!$A$24,MATCH("S",Values!$T$25:$T$50,0),0),FALSE))</f>
        <v>1</v>
      </c>
      <c r="D1895" t="e">
        <f>VLOOKUP(Charms!J1895,Values!$A$11:$S$59,19,0)&gt;=Charms!L1895</f>
        <v>#N/A</v>
      </c>
      <c r="E1895" t="e">
        <f>OR(ISBLANK(Charms!I1895),(VLOOKUP(Values!$S$6,Castes!$B$2:$F$25,4,0)=Charms!I1895))</f>
        <v>#N/A</v>
      </c>
      <c r="J1895" t="e">
        <f t="shared" ca="1" si="146"/>
        <v>#N/A</v>
      </c>
      <c r="K1895" s="18" t="e">
        <f t="shared" ca="1" si="145"/>
        <v>#N/A</v>
      </c>
      <c r="L1895" t="e">
        <f ca="1">IF(J1895,Charms!B1895,"")</f>
        <v>#N/A</v>
      </c>
      <c r="M1895" t="str">
        <f t="shared" ca="1" si="147"/>
        <v>-</v>
      </c>
      <c r="N1895" s="18" t="str">
        <f t="shared" si="148"/>
        <v>K1622:L5000</v>
      </c>
      <c r="O1895" t="str">
        <f t="shared" si="149"/>
        <v>A1622:A1895</v>
      </c>
    </row>
    <row r="1896" spans="1:15">
      <c r="A1896" s="18">
        <f>Charms!K1896</f>
        <v>0</v>
      </c>
      <c r="B1896">
        <f>Charms!B1896</f>
        <v>0</v>
      </c>
      <c r="C1896" t="b">
        <f ca="1">OR(Values!$S$98&gt;=Charms!M1896,IFERROR(Charms!J1896=OFFSET(Values!$A$24,MATCH("S",Values!$T$25:$T$50,0),0),FALSE))</f>
        <v>1</v>
      </c>
      <c r="D1896" t="e">
        <f>VLOOKUP(Charms!J1896,Values!$A$11:$S$59,19,0)&gt;=Charms!L1896</f>
        <v>#N/A</v>
      </c>
      <c r="E1896" t="e">
        <f>OR(ISBLANK(Charms!I1896),(VLOOKUP(Values!$S$6,Castes!$B$2:$F$25,4,0)=Charms!I1896))</f>
        <v>#N/A</v>
      </c>
      <c r="J1896" t="e">
        <f t="shared" ca="1" si="146"/>
        <v>#N/A</v>
      </c>
      <c r="K1896" s="18" t="e">
        <f t="shared" ca="1" si="145"/>
        <v>#N/A</v>
      </c>
      <c r="L1896" t="e">
        <f ca="1">IF(J1896,Charms!B1896,"")</f>
        <v>#N/A</v>
      </c>
      <c r="M1896" t="str">
        <f t="shared" ca="1" si="147"/>
        <v>-</v>
      </c>
      <c r="N1896" s="18" t="str">
        <f t="shared" si="148"/>
        <v>K1622:L5000</v>
      </c>
      <c r="O1896" t="str">
        <f t="shared" si="149"/>
        <v>A1622:A1896</v>
      </c>
    </row>
    <row r="1897" spans="1:15">
      <c r="A1897" s="18">
        <f>Charms!K1897</f>
        <v>0</v>
      </c>
      <c r="B1897">
        <f>Charms!B1897</f>
        <v>0</v>
      </c>
      <c r="C1897" t="b">
        <f ca="1">OR(Values!$S$98&gt;=Charms!M1897,IFERROR(Charms!J1897=OFFSET(Values!$A$24,MATCH("S",Values!$T$25:$T$50,0),0),FALSE))</f>
        <v>1</v>
      </c>
      <c r="D1897" t="e">
        <f>VLOOKUP(Charms!J1897,Values!$A$11:$S$59,19,0)&gt;=Charms!L1897</f>
        <v>#N/A</v>
      </c>
      <c r="E1897" t="e">
        <f>OR(ISBLANK(Charms!I1897),(VLOOKUP(Values!$S$6,Castes!$B$2:$F$25,4,0)=Charms!I1897))</f>
        <v>#N/A</v>
      </c>
      <c r="J1897" t="e">
        <f t="shared" ca="1" si="146"/>
        <v>#N/A</v>
      </c>
      <c r="K1897" s="18" t="e">
        <f t="shared" ca="1" si="145"/>
        <v>#N/A</v>
      </c>
      <c r="L1897" t="e">
        <f ca="1">IF(J1897,Charms!B1897,"")</f>
        <v>#N/A</v>
      </c>
      <c r="M1897" t="str">
        <f t="shared" ca="1" si="147"/>
        <v>-</v>
      </c>
      <c r="N1897" s="18" t="str">
        <f t="shared" si="148"/>
        <v>K1622:L5000</v>
      </c>
      <c r="O1897" t="str">
        <f t="shared" si="149"/>
        <v>A1622:A1897</v>
      </c>
    </row>
    <row r="1898" spans="1:15">
      <c r="A1898" s="18">
        <f>Charms!K1898</f>
        <v>0</v>
      </c>
      <c r="B1898">
        <f>Charms!B1898</f>
        <v>0</v>
      </c>
      <c r="C1898" t="b">
        <f ca="1">OR(Values!$S$98&gt;=Charms!M1898,IFERROR(Charms!J1898=OFFSET(Values!$A$24,MATCH("S",Values!$T$25:$T$50,0),0),FALSE))</f>
        <v>1</v>
      </c>
      <c r="D1898" t="e">
        <f>VLOOKUP(Charms!J1898,Values!$A$11:$S$59,19,0)&gt;=Charms!L1898</f>
        <v>#N/A</v>
      </c>
      <c r="E1898" t="e">
        <f>OR(ISBLANK(Charms!I1898),(VLOOKUP(Values!$S$6,Castes!$B$2:$F$25,4,0)=Charms!I1898))</f>
        <v>#N/A</v>
      </c>
      <c r="J1898" t="e">
        <f t="shared" ca="1" si="146"/>
        <v>#N/A</v>
      </c>
      <c r="K1898" s="18" t="e">
        <f t="shared" ca="1" si="145"/>
        <v>#N/A</v>
      </c>
      <c r="L1898" t="e">
        <f ca="1">IF(J1898,Charms!B1898,"")</f>
        <v>#N/A</v>
      </c>
      <c r="M1898" t="str">
        <f t="shared" ca="1" si="147"/>
        <v>-</v>
      </c>
      <c r="N1898" s="18" t="str">
        <f t="shared" si="148"/>
        <v>K1622:L5000</v>
      </c>
      <c r="O1898" t="str">
        <f t="shared" si="149"/>
        <v>A1622:A1898</v>
      </c>
    </row>
    <row r="1899" spans="1:15">
      <c r="A1899" s="18">
        <f>Charms!K1899</f>
        <v>0</v>
      </c>
      <c r="B1899">
        <f>Charms!B1899</f>
        <v>0</v>
      </c>
      <c r="C1899" t="b">
        <f ca="1">OR(Values!$S$98&gt;=Charms!M1899,IFERROR(Charms!J1899=OFFSET(Values!$A$24,MATCH("S",Values!$T$25:$T$50,0),0),FALSE))</f>
        <v>1</v>
      </c>
      <c r="D1899" t="e">
        <f>VLOOKUP(Charms!J1899,Values!$A$11:$S$59,19,0)&gt;=Charms!L1899</f>
        <v>#N/A</v>
      </c>
      <c r="E1899" t="e">
        <f>OR(ISBLANK(Charms!I1899),(VLOOKUP(Values!$S$6,Castes!$B$2:$F$25,4,0)=Charms!I1899))</f>
        <v>#N/A</v>
      </c>
      <c r="J1899" t="e">
        <f t="shared" ca="1" si="146"/>
        <v>#N/A</v>
      </c>
      <c r="K1899" s="18" t="e">
        <f t="shared" ca="1" si="145"/>
        <v>#N/A</v>
      </c>
      <c r="L1899" t="e">
        <f ca="1">IF(J1899,Charms!B1899,"")</f>
        <v>#N/A</v>
      </c>
      <c r="M1899" t="str">
        <f t="shared" ca="1" si="147"/>
        <v>-</v>
      </c>
      <c r="N1899" s="18" t="str">
        <f t="shared" si="148"/>
        <v>K1622:L5000</v>
      </c>
      <c r="O1899" t="str">
        <f t="shared" si="149"/>
        <v>A1622:A1899</v>
      </c>
    </row>
    <row r="1900" spans="1:15">
      <c r="A1900" s="18">
        <f>Charms!K1900</f>
        <v>0</v>
      </c>
      <c r="B1900">
        <f>Charms!B1900</f>
        <v>0</v>
      </c>
      <c r="C1900" t="b">
        <f ca="1">OR(Values!$S$98&gt;=Charms!M1900,IFERROR(Charms!J1900=OFFSET(Values!$A$24,MATCH("S",Values!$T$25:$T$50,0),0),FALSE))</f>
        <v>1</v>
      </c>
      <c r="D1900" t="e">
        <f>VLOOKUP(Charms!J1900,Values!$A$11:$S$59,19,0)&gt;=Charms!L1900</f>
        <v>#N/A</v>
      </c>
      <c r="E1900" t="e">
        <f>OR(ISBLANK(Charms!I1900),(VLOOKUP(Values!$S$6,Castes!$B$2:$F$25,4,0)=Charms!I1900))</f>
        <v>#N/A</v>
      </c>
      <c r="J1900" t="e">
        <f t="shared" ca="1" si="146"/>
        <v>#N/A</v>
      </c>
      <c r="K1900" s="18" t="e">
        <f t="shared" ca="1" si="145"/>
        <v>#N/A</v>
      </c>
      <c r="L1900" t="e">
        <f ca="1">IF(J1900,Charms!B1900,"")</f>
        <v>#N/A</v>
      </c>
      <c r="M1900" t="str">
        <f t="shared" ca="1" si="147"/>
        <v>-</v>
      </c>
      <c r="N1900" s="18" t="str">
        <f t="shared" si="148"/>
        <v>K1622:L5000</v>
      </c>
      <c r="O1900" t="str">
        <f t="shared" si="149"/>
        <v>A1622:A1900</v>
      </c>
    </row>
    <row r="1901" spans="1:15">
      <c r="A1901" s="18">
        <f>Charms!K1901</f>
        <v>0</v>
      </c>
      <c r="B1901">
        <f>Charms!B1901</f>
        <v>0</v>
      </c>
      <c r="C1901" t="b">
        <f ca="1">OR(Values!$S$98&gt;=Charms!M1901,IFERROR(Charms!J1901=OFFSET(Values!$A$24,MATCH("S",Values!$T$25:$T$50,0),0),FALSE))</f>
        <v>1</v>
      </c>
      <c r="D1901" t="e">
        <f>VLOOKUP(Charms!J1901,Values!$A$11:$S$59,19,0)&gt;=Charms!L1901</f>
        <v>#N/A</v>
      </c>
      <c r="E1901" t="e">
        <f>OR(ISBLANK(Charms!I1901),(VLOOKUP(Values!$S$6,Castes!$B$2:$F$25,4,0)=Charms!I1901))</f>
        <v>#N/A</v>
      </c>
      <c r="J1901" t="e">
        <f t="shared" ca="1" si="146"/>
        <v>#N/A</v>
      </c>
      <c r="K1901" s="18" t="e">
        <f t="shared" ca="1" si="145"/>
        <v>#N/A</v>
      </c>
      <c r="L1901" t="e">
        <f ca="1">IF(J1901,Charms!B1901,"")</f>
        <v>#N/A</v>
      </c>
      <c r="M1901" t="str">
        <f t="shared" ca="1" si="147"/>
        <v>-</v>
      </c>
      <c r="N1901" s="18" t="str">
        <f t="shared" si="148"/>
        <v>K1622:L5000</v>
      </c>
      <c r="O1901" t="str">
        <f t="shared" si="149"/>
        <v>A1622:A1901</v>
      </c>
    </row>
    <row r="1902" spans="1:15">
      <c r="A1902" s="18">
        <f>Charms!K1902</f>
        <v>0</v>
      </c>
      <c r="B1902">
        <f>Charms!B1902</f>
        <v>0</v>
      </c>
      <c r="C1902" t="b">
        <f ca="1">OR(Values!$S$98&gt;=Charms!M1902,IFERROR(Charms!J1902=OFFSET(Values!$A$24,MATCH("S",Values!$T$25:$T$50,0),0),FALSE))</f>
        <v>1</v>
      </c>
      <c r="D1902" t="e">
        <f>VLOOKUP(Charms!J1902,Values!$A$11:$S$59,19,0)&gt;=Charms!L1902</f>
        <v>#N/A</v>
      </c>
      <c r="E1902" t="e">
        <f>OR(ISBLANK(Charms!I1902),(VLOOKUP(Values!$S$6,Castes!$B$2:$F$25,4,0)=Charms!I1902))</f>
        <v>#N/A</v>
      </c>
      <c r="J1902" t="e">
        <f t="shared" ca="1" si="146"/>
        <v>#N/A</v>
      </c>
      <c r="K1902" s="18" t="e">
        <f t="shared" ca="1" si="145"/>
        <v>#N/A</v>
      </c>
      <c r="L1902" t="e">
        <f ca="1">IF(J1902,Charms!B1902,"")</f>
        <v>#N/A</v>
      </c>
      <c r="M1902" t="str">
        <f t="shared" ca="1" si="147"/>
        <v>-</v>
      </c>
      <c r="N1902" s="18" t="str">
        <f t="shared" si="148"/>
        <v>K1622:L5000</v>
      </c>
      <c r="O1902" t="str">
        <f t="shared" si="149"/>
        <v>A1622:A1902</v>
      </c>
    </row>
    <row r="1903" spans="1:15">
      <c r="A1903" s="18">
        <f>Charms!K1903</f>
        <v>0</v>
      </c>
      <c r="B1903">
        <f>Charms!B1903</f>
        <v>0</v>
      </c>
      <c r="C1903" t="b">
        <f ca="1">OR(Values!$S$98&gt;=Charms!M1903,IFERROR(Charms!J1903=OFFSET(Values!$A$24,MATCH("S",Values!$T$25:$T$50,0),0),FALSE))</f>
        <v>1</v>
      </c>
      <c r="D1903" t="e">
        <f>VLOOKUP(Charms!J1903,Values!$A$11:$S$59,19,0)&gt;=Charms!L1903</f>
        <v>#N/A</v>
      </c>
      <c r="E1903" t="e">
        <f>OR(ISBLANK(Charms!I1903),(VLOOKUP(Values!$S$6,Castes!$B$2:$F$25,4,0)=Charms!I1903))</f>
        <v>#N/A</v>
      </c>
      <c r="J1903" t="e">
        <f t="shared" ca="1" si="146"/>
        <v>#N/A</v>
      </c>
      <c r="K1903" s="18" t="e">
        <f t="shared" ca="1" si="145"/>
        <v>#N/A</v>
      </c>
      <c r="L1903" t="e">
        <f ca="1">IF(J1903,Charms!B1903,"")</f>
        <v>#N/A</v>
      </c>
      <c r="M1903" t="str">
        <f t="shared" ca="1" si="147"/>
        <v>-</v>
      </c>
      <c r="N1903" s="18" t="str">
        <f t="shared" si="148"/>
        <v>K1622:L5000</v>
      </c>
      <c r="O1903" t="str">
        <f t="shared" si="149"/>
        <v>A1622:A1903</v>
      </c>
    </row>
    <row r="1904" spans="1:15">
      <c r="A1904" s="18">
        <f>Charms!K1904</f>
        <v>0</v>
      </c>
      <c r="B1904">
        <f>Charms!B1904</f>
        <v>0</v>
      </c>
      <c r="C1904" t="b">
        <f ca="1">OR(Values!$S$98&gt;=Charms!M1904,IFERROR(Charms!J1904=OFFSET(Values!$A$24,MATCH("S",Values!$T$25:$T$50,0),0),FALSE))</f>
        <v>1</v>
      </c>
      <c r="D1904" t="e">
        <f>VLOOKUP(Charms!J1904,Values!$A$11:$S$59,19,0)&gt;=Charms!L1904</f>
        <v>#N/A</v>
      </c>
      <c r="E1904" t="e">
        <f>OR(ISBLANK(Charms!I1904),(VLOOKUP(Values!$S$6,Castes!$B$2:$F$25,4,0)=Charms!I1904))</f>
        <v>#N/A</v>
      </c>
      <c r="J1904" t="e">
        <f t="shared" ca="1" si="146"/>
        <v>#N/A</v>
      </c>
      <c r="K1904" s="18" t="e">
        <f t="shared" ca="1" si="145"/>
        <v>#N/A</v>
      </c>
      <c r="L1904" t="e">
        <f ca="1">IF(J1904,Charms!B1904,"")</f>
        <v>#N/A</v>
      </c>
      <c r="M1904" t="str">
        <f t="shared" ca="1" si="147"/>
        <v>-</v>
      </c>
      <c r="N1904" s="18" t="str">
        <f t="shared" si="148"/>
        <v>K1622:L5000</v>
      </c>
      <c r="O1904" t="str">
        <f t="shared" si="149"/>
        <v>A1622:A1904</v>
      </c>
    </row>
    <row r="1905" spans="1:15">
      <c r="A1905" s="18">
        <f>Charms!K1905</f>
        <v>0</v>
      </c>
      <c r="B1905">
        <f>Charms!B1905</f>
        <v>0</v>
      </c>
      <c r="C1905" t="b">
        <f ca="1">OR(Values!$S$98&gt;=Charms!M1905,IFERROR(Charms!J1905=OFFSET(Values!$A$24,MATCH("S",Values!$T$25:$T$50,0),0),FALSE))</f>
        <v>1</v>
      </c>
      <c r="D1905" t="e">
        <f>VLOOKUP(Charms!J1905,Values!$A$11:$S$59,19,0)&gt;=Charms!L1905</f>
        <v>#N/A</v>
      </c>
      <c r="E1905" t="e">
        <f>OR(ISBLANK(Charms!I1905),(VLOOKUP(Values!$S$6,Castes!$B$2:$F$25,4,0)=Charms!I1905))</f>
        <v>#N/A</v>
      </c>
      <c r="J1905" t="e">
        <f t="shared" ca="1" si="146"/>
        <v>#N/A</v>
      </c>
      <c r="K1905" s="18" t="e">
        <f t="shared" ca="1" si="145"/>
        <v>#N/A</v>
      </c>
      <c r="L1905" t="e">
        <f ca="1">IF(J1905,Charms!B1905,"")</f>
        <v>#N/A</v>
      </c>
      <c r="M1905" t="str">
        <f t="shared" ca="1" si="147"/>
        <v>-</v>
      </c>
      <c r="N1905" s="18" t="str">
        <f t="shared" si="148"/>
        <v>K1622:L5000</v>
      </c>
      <c r="O1905" t="str">
        <f t="shared" si="149"/>
        <v>A1622:A1905</v>
      </c>
    </row>
    <row r="1906" spans="1:15">
      <c r="A1906" s="18">
        <f>Charms!K1906</f>
        <v>0</v>
      </c>
      <c r="B1906">
        <f>Charms!B1906</f>
        <v>0</v>
      </c>
      <c r="C1906" t="b">
        <f ca="1">OR(Values!$S$98&gt;=Charms!M1906,IFERROR(Charms!J1906=OFFSET(Values!$A$24,MATCH("S",Values!$T$25:$T$50,0),0),FALSE))</f>
        <v>1</v>
      </c>
      <c r="D1906" t="e">
        <f>VLOOKUP(Charms!J1906,Values!$A$11:$S$59,19,0)&gt;=Charms!L1906</f>
        <v>#N/A</v>
      </c>
      <c r="E1906" t="e">
        <f>OR(ISBLANK(Charms!I1906),(VLOOKUP(Values!$S$6,Castes!$B$2:$F$25,4,0)=Charms!I1906))</f>
        <v>#N/A</v>
      </c>
      <c r="J1906" t="e">
        <f t="shared" ca="1" si="146"/>
        <v>#N/A</v>
      </c>
      <c r="K1906" s="18" t="e">
        <f t="shared" ca="1" si="145"/>
        <v>#N/A</v>
      </c>
      <c r="L1906" t="e">
        <f ca="1">IF(J1906,Charms!B1906,"")</f>
        <v>#N/A</v>
      </c>
      <c r="M1906" t="str">
        <f t="shared" ca="1" si="147"/>
        <v>-</v>
      </c>
      <c r="N1906" s="18" t="str">
        <f t="shared" si="148"/>
        <v>K1622:L5000</v>
      </c>
      <c r="O1906" t="str">
        <f t="shared" si="149"/>
        <v>A1622:A1906</v>
      </c>
    </row>
    <row r="1907" spans="1:15">
      <c r="A1907" s="18">
        <f>Charms!K1907</f>
        <v>0</v>
      </c>
      <c r="B1907">
        <f>Charms!B1907</f>
        <v>0</v>
      </c>
      <c r="C1907" t="b">
        <f ca="1">OR(Values!$S$98&gt;=Charms!M1907,IFERROR(Charms!J1907=OFFSET(Values!$A$24,MATCH("S",Values!$T$25:$T$50,0),0),FALSE))</f>
        <v>1</v>
      </c>
      <c r="D1907" t="e">
        <f>VLOOKUP(Charms!J1907,Values!$A$11:$S$59,19,0)&gt;=Charms!L1907</f>
        <v>#N/A</v>
      </c>
      <c r="E1907" t="e">
        <f>OR(ISBLANK(Charms!I1907),(VLOOKUP(Values!$S$6,Castes!$B$2:$F$25,4,0)=Charms!I1907))</f>
        <v>#N/A</v>
      </c>
      <c r="J1907" t="e">
        <f t="shared" ca="1" si="146"/>
        <v>#N/A</v>
      </c>
      <c r="K1907" s="18" t="e">
        <f t="shared" ca="1" si="145"/>
        <v>#N/A</v>
      </c>
      <c r="L1907" t="e">
        <f ca="1">IF(J1907,Charms!B1907,"")</f>
        <v>#N/A</v>
      </c>
      <c r="M1907" t="str">
        <f t="shared" ca="1" si="147"/>
        <v>-</v>
      </c>
      <c r="N1907" s="18" t="str">
        <f t="shared" si="148"/>
        <v>K1622:L5000</v>
      </c>
      <c r="O1907" t="str">
        <f t="shared" si="149"/>
        <v>A1622:A1907</v>
      </c>
    </row>
    <row r="1908" spans="1:15">
      <c r="A1908" s="18">
        <f>Charms!K1908</f>
        <v>0</v>
      </c>
      <c r="B1908">
        <f>Charms!B1908</f>
        <v>0</v>
      </c>
      <c r="C1908" t="b">
        <f ca="1">OR(Values!$S$98&gt;=Charms!M1908,IFERROR(Charms!J1908=OFFSET(Values!$A$24,MATCH("S",Values!$T$25:$T$50,0),0),FALSE))</f>
        <v>1</v>
      </c>
      <c r="D1908" t="e">
        <f>VLOOKUP(Charms!J1908,Values!$A$11:$S$59,19,0)&gt;=Charms!L1908</f>
        <v>#N/A</v>
      </c>
      <c r="E1908" t="e">
        <f>OR(ISBLANK(Charms!I1908),(VLOOKUP(Values!$S$6,Castes!$B$2:$F$25,4,0)=Charms!I1908))</f>
        <v>#N/A</v>
      </c>
      <c r="J1908" t="e">
        <f t="shared" ca="1" si="146"/>
        <v>#N/A</v>
      </c>
      <c r="K1908" s="18" t="e">
        <f t="shared" ca="1" si="145"/>
        <v>#N/A</v>
      </c>
      <c r="L1908" t="e">
        <f ca="1">IF(J1908,Charms!B1908,"")</f>
        <v>#N/A</v>
      </c>
      <c r="M1908" t="str">
        <f t="shared" ca="1" si="147"/>
        <v>-</v>
      </c>
      <c r="N1908" s="18" t="str">
        <f t="shared" si="148"/>
        <v>K1622:L5000</v>
      </c>
      <c r="O1908" t="str">
        <f t="shared" si="149"/>
        <v>A1622:A1908</v>
      </c>
    </row>
    <row r="1909" spans="1:15">
      <c r="A1909" s="18">
        <f>Charms!K1909</f>
        <v>0</v>
      </c>
      <c r="B1909">
        <f>Charms!B1909</f>
        <v>0</v>
      </c>
      <c r="C1909" t="b">
        <f ca="1">OR(Values!$S$98&gt;=Charms!M1909,IFERROR(Charms!J1909=OFFSET(Values!$A$24,MATCH("S",Values!$T$25:$T$50,0),0),FALSE))</f>
        <v>1</v>
      </c>
      <c r="D1909" t="e">
        <f>VLOOKUP(Charms!J1909,Values!$A$11:$S$59,19,0)&gt;=Charms!L1909</f>
        <v>#N/A</v>
      </c>
      <c r="E1909" t="e">
        <f>OR(ISBLANK(Charms!I1909),(VLOOKUP(Values!$S$6,Castes!$B$2:$F$25,4,0)=Charms!I1909))</f>
        <v>#N/A</v>
      </c>
      <c r="J1909" t="e">
        <f t="shared" ca="1" si="146"/>
        <v>#N/A</v>
      </c>
      <c r="K1909" s="18" t="e">
        <f t="shared" ca="1" si="145"/>
        <v>#N/A</v>
      </c>
      <c r="L1909" t="e">
        <f ca="1">IF(J1909,Charms!B1909,"")</f>
        <v>#N/A</v>
      </c>
      <c r="M1909" t="str">
        <f t="shared" ca="1" si="147"/>
        <v>-</v>
      </c>
      <c r="N1909" s="18" t="str">
        <f t="shared" si="148"/>
        <v>K1622:L5000</v>
      </c>
      <c r="O1909" t="str">
        <f t="shared" si="149"/>
        <v>A1622:A1909</v>
      </c>
    </row>
    <row r="1910" spans="1:15">
      <c r="A1910" s="18">
        <f>Charms!K1910</f>
        <v>0</v>
      </c>
      <c r="B1910">
        <f>Charms!B1910</f>
        <v>0</v>
      </c>
      <c r="C1910" t="b">
        <f ca="1">OR(Values!$S$98&gt;=Charms!M1910,IFERROR(Charms!J1910=OFFSET(Values!$A$24,MATCH("S",Values!$T$25:$T$50,0),0),FALSE))</f>
        <v>1</v>
      </c>
      <c r="D1910" t="e">
        <f>VLOOKUP(Charms!J1910,Values!$A$11:$S$59,19,0)&gt;=Charms!L1910</f>
        <v>#N/A</v>
      </c>
      <c r="E1910" t="e">
        <f>OR(ISBLANK(Charms!I1910),(VLOOKUP(Values!$S$6,Castes!$B$2:$F$25,4,0)=Charms!I1910))</f>
        <v>#N/A</v>
      </c>
      <c r="J1910" t="e">
        <f t="shared" ca="1" si="146"/>
        <v>#N/A</v>
      </c>
      <c r="K1910" s="18" t="e">
        <f t="shared" ca="1" si="145"/>
        <v>#N/A</v>
      </c>
      <c r="L1910" t="e">
        <f ca="1">IF(J1910,Charms!B1910,"")</f>
        <v>#N/A</v>
      </c>
      <c r="M1910" t="str">
        <f t="shared" ca="1" si="147"/>
        <v>-</v>
      </c>
      <c r="N1910" s="18" t="str">
        <f t="shared" si="148"/>
        <v>K1622:L5000</v>
      </c>
      <c r="O1910" t="str">
        <f t="shared" si="149"/>
        <v>A1622:A1910</v>
      </c>
    </row>
    <row r="1911" spans="1:15">
      <c r="A1911" s="18">
        <f>Charms!K1911</f>
        <v>0</v>
      </c>
      <c r="B1911">
        <f>Charms!B1911</f>
        <v>0</v>
      </c>
      <c r="C1911" t="b">
        <f ca="1">OR(Values!$S$98&gt;=Charms!M1911,IFERROR(Charms!J1911=OFFSET(Values!$A$24,MATCH("S",Values!$T$25:$T$50,0),0),FALSE))</f>
        <v>1</v>
      </c>
      <c r="D1911" t="e">
        <f>VLOOKUP(Charms!J1911,Values!$A$11:$S$59,19,0)&gt;=Charms!L1911</f>
        <v>#N/A</v>
      </c>
      <c r="E1911" t="e">
        <f>OR(ISBLANK(Charms!I1911),(VLOOKUP(Values!$S$6,Castes!$B$2:$F$25,4,0)=Charms!I1911))</f>
        <v>#N/A</v>
      </c>
      <c r="J1911" t="e">
        <f t="shared" ca="1" si="146"/>
        <v>#N/A</v>
      </c>
      <c r="K1911" s="18" t="e">
        <f t="shared" ca="1" si="145"/>
        <v>#N/A</v>
      </c>
      <c r="L1911" t="e">
        <f ca="1">IF(J1911,Charms!B1911,"")</f>
        <v>#N/A</v>
      </c>
      <c r="M1911" t="str">
        <f t="shared" ca="1" si="147"/>
        <v>-</v>
      </c>
      <c r="N1911" s="18" t="str">
        <f t="shared" si="148"/>
        <v>K1622:L5000</v>
      </c>
      <c r="O1911" t="str">
        <f t="shared" si="149"/>
        <v>A1622:A1911</v>
      </c>
    </row>
    <row r="1912" spans="1:15">
      <c r="A1912" s="18">
        <f>Charms!K1912</f>
        <v>0</v>
      </c>
      <c r="B1912">
        <f>Charms!B1912</f>
        <v>0</v>
      </c>
      <c r="C1912" t="b">
        <f ca="1">OR(Values!$S$98&gt;=Charms!M1912,IFERROR(Charms!J1912=OFFSET(Values!$A$24,MATCH("S",Values!$T$25:$T$50,0),0),FALSE))</f>
        <v>1</v>
      </c>
      <c r="D1912" t="e">
        <f>VLOOKUP(Charms!J1912,Values!$A$11:$S$59,19,0)&gt;=Charms!L1912</f>
        <v>#N/A</v>
      </c>
      <c r="E1912" t="e">
        <f>OR(ISBLANK(Charms!I1912),(VLOOKUP(Values!$S$6,Castes!$B$2:$F$25,4,0)=Charms!I1912))</f>
        <v>#N/A</v>
      </c>
      <c r="J1912" t="e">
        <f t="shared" ca="1" si="146"/>
        <v>#N/A</v>
      </c>
      <c r="K1912" s="18" t="e">
        <f t="shared" ca="1" si="145"/>
        <v>#N/A</v>
      </c>
      <c r="L1912" t="e">
        <f ca="1">IF(J1912,Charms!B1912,"")</f>
        <v>#N/A</v>
      </c>
      <c r="M1912" t="str">
        <f t="shared" ca="1" si="147"/>
        <v>-</v>
      </c>
      <c r="N1912" s="18" t="str">
        <f t="shared" si="148"/>
        <v>K1622:L5000</v>
      </c>
      <c r="O1912" t="str">
        <f t="shared" si="149"/>
        <v>A1622:A1912</v>
      </c>
    </row>
    <row r="1913" spans="1:15">
      <c r="A1913" s="18">
        <f>Charms!K1913</f>
        <v>0</v>
      </c>
      <c r="B1913">
        <f>Charms!B1913</f>
        <v>0</v>
      </c>
      <c r="C1913" t="b">
        <f ca="1">OR(Values!$S$98&gt;=Charms!M1913,IFERROR(Charms!J1913=OFFSET(Values!$A$24,MATCH("S",Values!$T$25:$T$50,0),0),FALSE))</f>
        <v>1</v>
      </c>
      <c r="D1913" t="e">
        <f>VLOOKUP(Charms!J1913,Values!$A$11:$S$59,19,0)&gt;=Charms!L1913</f>
        <v>#N/A</v>
      </c>
      <c r="E1913" t="e">
        <f>OR(ISBLANK(Charms!I1913),(VLOOKUP(Values!$S$6,Castes!$B$2:$F$25,4,0)=Charms!I1913))</f>
        <v>#N/A</v>
      </c>
      <c r="J1913" t="e">
        <f t="shared" ca="1" si="146"/>
        <v>#N/A</v>
      </c>
      <c r="K1913" s="18" t="e">
        <f t="shared" ca="1" si="145"/>
        <v>#N/A</v>
      </c>
      <c r="L1913" t="e">
        <f ca="1">IF(J1913,Charms!B1913,"")</f>
        <v>#N/A</v>
      </c>
      <c r="M1913" t="str">
        <f t="shared" ca="1" si="147"/>
        <v>-</v>
      </c>
      <c r="N1913" s="18" t="str">
        <f t="shared" si="148"/>
        <v>K1622:L5000</v>
      </c>
      <c r="O1913" t="str">
        <f t="shared" si="149"/>
        <v>A1622:A1913</v>
      </c>
    </row>
    <row r="1914" spans="1:15">
      <c r="A1914" s="18">
        <f>Charms!K1914</f>
        <v>0</v>
      </c>
      <c r="B1914">
        <f>Charms!B1914</f>
        <v>0</v>
      </c>
      <c r="C1914" t="b">
        <f ca="1">OR(Values!$S$98&gt;=Charms!M1914,IFERROR(Charms!J1914=OFFSET(Values!$A$24,MATCH("S",Values!$T$25:$T$50,0),0),FALSE))</f>
        <v>1</v>
      </c>
      <c r="D1914" t="e">
        <f>VLOOKUP(Charms!J1914,Values!$A$11:$S$59,19,0)&gt;=Charms!L1914</f>
        <v>#N/A</v>
      </c>
      <c r="E1914" t="e">
        <f>OR(ISBLANK(Charms!I1914),(VLOOKUP(Values!$S$6,Castes!$B$2:$F$25,4,0)=Charms!I1914))</f>
        <v>#N/A</v>
      </c>
      <c r="J1914" t="e">
        <f t="shared" ca="1" si="146"/>
        <v>#N/A</v>
      </c>
      <c r="K1914" s="18" t="e">
        <f t="shared" ca="1" si="145"/>
        <v>#N/A</v>
      </c>
      <c r="L1914" t="e">
        <f ca="1">IF(J1914,Charms!B1914,"")</f>
        <v>#N/A</v>
      </c>
      <c r="M1914" t="str">
        <f t="shared" ca="1" si="147"/>
        <v>-</v>
      </c>
      <c r="N1914" s="18" t="str">
        <f t="shared" si="148"/>
        <v>K1622:L5000</v>
      </c>
      <c r="O1914" t="str">
        <f t="shared" si="149"/>
        <v>A1622:A1914</v>
      </c>
    </row>
    <row r="1915" spans="1:15">
      <c r="A1915" s="18">
        <f>Charms!K1915</f>
        <v>0</v>
      </c>
      <c r="B1915">
        <f>Charms!B1915</f>
        <v>0</v>
      </c>
      <c r="C1915" t="b">
        <f ca="1">OR(Values!$S$98&gt;=Charms!M1915,IFERROR(Charms!J1915=OFFSET(Values!$A$24,MATCH("S",Values!$T$25:$T$50,0),0),FALSE))</f>
        <v>1</v>
      </c>
      <c r="D1915" t="e">
        <f>VLOOKUP(Charms!J1915,Values!$A$11:$S$59,19,0)&gt;=Charms!L1915</f>
        <v>#N/A</v>
      </c>
      <c r="E1915" t="e">
        <f>OR(ISBLANK(Charms!I1915),(VLOOKUP(Values!$S$6,Castes!$B$2:$F$25,4,0)=Charms!I1915))</f>
        <v>#N/A</v>
      </c>
      <c r="J1915" t="e">
        <f t="shared" ca="1" si="146"/>
        <v>#N/A</v>
      </c>
      <c r="K1915" s="18" t="e">
        <f t="shared" ca="1" si="145"/>
        <v>#N/A</v>
      </c>
      <c r="L1915" t="e">
        <f ca="1">IF(J1915,Charms!B1915,"")</f>
        <v>#N/A</v>
      </c>
      <c r="M1915" t="str">
        <f t="shared" ca="1" si="147"/>
        <v>-</v>
      </c>
      <c r="N1915" s="18" t="str">
        <f t="shared" si="148"/>
        <v>K1622:L5000</v>
      </c>
      <c r="O1915" t="str">
        <f t="shared" si="149"/>
        <v>A1622:A1915</v>
      </c>
    </row>
    <row r="1916" spans="1:15">
      <c r="A1916" s="18">
        <f>Charms!K1916</f>
        <v>0</v>
      </c>
      <c r="B1916">
        <f>Charms!B1916</f>
        <v>0</v>
      </c>
      <c r="C1916" t="b">
        <f ca="1">OR(Values!$S$98&gt;=Charms!M1916,IFERROR(Charms!J1916=OFFSET(Values!$A$24,MATCH("S",Values!$T$25:$T$50,0),0),FALSE))</f>
        <v>1</v>
      </c>
      <c r="D1916" t="e">
        <f>VLOOKUP(Charms!J1916,Values!$A$11:$S$59,19,0)&gt;=Charms!L1916</f>
        <v>#N/A</v>
      </c>
      <c r="E1916" t="e">
        <f>OR(ISBLANK(Charms!I1916),(VLOOKUP(Values!$S$6,Castes!$B$2:$F$25,4,0)=Charms!I1916))</f>
        <v>#N/A</v>
      </c>
      <c r="J1916" t="e">
        <f t="shared" ca="1" si="146"/>
        <v>#N/A</v>
      </c>
      <c r="K1916" s="18" t="e">
        <f t="shared" ca="1" si="145"/>
        <v>#N/A</v>
      </c>
      <c r="L1916" t="e">
        <f ca="1">IF(J1916,Charms!B1916,"")</f>
        <v>#N/A</v>
      </c>
      <c r="M1916" t="str">
        <f t="shared" ca="1" si="147"/>
        <v>-</v>
      </c>
      <c r="N1916" s="18" t="str">
        <f t="shared" si="148"/>
        <v>K1622:L5000</v>
      </c>
      <c r="O1916" t="str">
        <f t="shared" si="149"/>
        <v>A1622:A1916</v>
      </c>
    </row>
    <row r="1917" spans="1:15">
      <c r="A1917" s="18">
        <f>Charms!K1917</f>
        <v>0</v>
      </c>
      <c r="B1917">
        <f>Charms!B1917</f>
        <v>0</v>
      </c>
      <c r="C1917" t="b">
        <f ca="1">OR(Values!$S$98&gt;=Charms!M1917,IFERROR(Charms!J1917=OFFSET(Values!$A$24,MATCH("S",Values!$T$25:$T$50,0),0),FALSE))</f>
        <v>1</v>
      </c>
      <c r="D1917" t="e">
        <f>VLOOKUP(Charms!J1917,Values!$A$11:$S$59,19,0)&gt;=Charms!L1917</f>
        <v>#N/A</v>
      </c>
      <c r="E1917" t="e">
        <f>OR(ISBLANK(Charms!I1917),(VLOOKUP(Values!$S$6,Castes!$B$2:$F$25,4,0)=Charms!I1917))</f>
        <v>#N/A</v>
      </c>
      <c r="J1917" t="e">
        <f t="shared" ca="1" si="146"/>
        <v>#N/A</v>
      </c>
      <c r="K1917" s="18" t="e">
        <f t="shared" ca="1" si="145"/>
        <v>#N/A</v>
      </c>
      <c r="L1917" t="e">
        <f ca="1">IF(J1917,Charms!B1917,"")</f>
        <v>#N/A</v>
      </c>
      <c r="M1917" t="str">
        <f t="shared" ca="1" si="147"/>
        <v>-</v>
      </c>
      <c r="N1917" s="18" t="str">
        <f t="shared" si="148"/>
        <v>K1622:L5000</v>
      </c>
      <c r="O1917" t="str">
        <f t="shared" si="149"/>
        <v>A1622:A1917</v>
      </c>
    </row>
    <row r="1918" spans="1:15">
      <c r="A1918" s="18">
        <f>Charms!K1918</f>
        <v>0</v>
      </c>
      <c r="B1918">
        <f>Charms!B1918</f>
        <v>0</v>
      </c>
      <c r="C1918" t="b">
        <f ca="1">OR(Values!$S$98&gt;=Charms!M1918,IFERROR(Charms!J1918=OFFSET(Values!$A$24,MATCH("S",Values!$T$25:$T$50,0),0),FALSE))</f>
        <v>1</v>
      </c>
      <c r="D1918" t="e">
        <f>VLOOKUP(Charms!J1918,Values!$A$11:$S$59,19,0)&gt;=Charms!L1918</f>
        <v>#N/A</v>
      </c>
      <c r="E1918" t="e">
        <f>OR(ISBLANK(Charms!I1918),(VLOOKUP(Values!$S$6,Castes!$B$2:$F$25,4,0)=Charms!I1918))</f>
        <v>#N/A</v>
      </c>
      <c r="J1918" t="e">
        <f t="shared" ca="1" si="146"/>
        <v>#N/A</v>
      </c>
      <c r="K1918" s="18" t="e">
        <f t="shared" ca="1" si="145"/>
        <v>#N/A</v>
      </c>
      <c r="L1918" t="e">
        <f ca="1">IF(J1918,Charms!B1918,"")</f>
        <v>#N/A</v>
      </c>
      <c r="M1918" t="str">
        <f t="shared" ca="1" si="147"/>
        <v>-</v>
      </c>
      <c r="N1918" s="18" t="str">
        <f t="shared" si="148"/>
        <v>K1622:L5000</v>
      </c>
      <c r="O1918" t="str">
        <f t="shared" si="149"/>
        <v>A1622:A1918</v>
      </c>
    </row>
    <row r="1919" spans="1:15">
      <c r="A1919" s="18">
        <f>Charms!K1919</f>
        <v>0</v>
      </c>
      <c r="B1919">
        <f>Charms!B1919</f>
        <v>0</v>
      </c>
      <c r="C1919" t="b">
        <f ca="1">OR(Values!$S$98&gt;=Charms!M1919,IFERROR(Charms!J1919=OFFSET(Values!$A$24,MATCH("S",Values!$T$25:$T$50,0),0),FALSE))</f>
        <v>1</v>
      </c>
      <c r="D1919" t="e">
        <f>VLOOKUP(Charms!J1919,Values!$A$11:$S$59,19,0)&gt;=Charms!L1919</f>
        <v>#N/A</v>
      </c>
      <c r="E1919" t="e">
        <f>OR(ISBLANK(Charms!I1919),(VLOOKUP(Values!$S$6,Castes!$B$2:$F$25,4,0)=Charms!I1919))</f>
        <v>#N/A</v>
      </c>
      <c r="J1919" t="e">
        <f t="shared" ca="1" si="146"/>
        <v>#N/A</v>
      </c>
      <c r="K1919" s="18" t="e">
        <f t="shared" ca="1" si="145"/>
        <v>#N/A</v>
      </c>
      <c r="L1919" t="e">
        <f ca="1">IF(J1919,Charms!B1919,"")</f>
        <v>#N/A</v>
      </c>
      <c r="M1919" t="str">
        <f t="shared" ca="1" si="147"/>
        <v>-</v>
      </c>
      <c r="N1919" s="18" t="str">
        <f t="shared" si="148"/>
        <v>K1622:L5000</v>
      </c>
      <c r="O1919" t="str">
        <f t="shared" si="149"/>
        <v>A1622:A1919</v>
      </c>
    </row>
    <row r="1920" spans="1:15">
      <c r="A1920" s="18">
        <f>Charms!K1920</f>
        <v>0</v>
      </c>
      <c r="B1920">
        <f>Charms!B1920</f>
        <v>0</v>
      </c>
      <c r="C1920" t="b">
        <f ca="1">OR(Values!$S$98&gt;=Charms!M1920,IFERROR(Charms!J1920=OFFSET(Values!$A$24,MATCH("S",Values!$T$25:$T$50,0),0),FALSE))</f>
        <v>1</v>
      </c>
      <c r="D1920" t="e">
        <f>VLOOKUP(Charms!J1920,Values!$A$11:$S$59,19,0)&gt;=Charms!L1920</f>
        <v>#N/A</v>
      </c>
      <c r="E1920" t="e">
        <f>OR(ISBLANK(Charms!I1920),(VLOOKUP(Values!$S$6,Castes!$B$2:$F$25,4,0)=Charms!I1920))</f>
        <v>#N/A</v>
      </c>
      <c r="J1920" t="e">
        <f t="shared" ca="1" si="146"/>
        <v>#N/A</v>
      </c>
      <c r="K1920" s="18" t="e">
        <f t="shared" ca="1" si="145"/>
        <v>#N/A</v>
      </c>
      <c r="L1920" t="e">
        <f ca="1">IF(J1920,Charms!B1920,"")</f>
        <v>#N/A</v>
      </c>
      <c r="M1920" t="str">
        <f t="shared" ca="1" si="147"/>
        <v>-</v>
      </c>
      <c r="N1920" s="18" t="str">
        <f t="shared" si="148"/>
        <v>K1622:L5000</v>
      </c>
      <c r="O1920" t="str">
        <f t="shared" si="149"/>
        <v>A1622:A1920</v>
      </c>
    </row>
    <row r="1921" spans="1:15">
      <c r="A1921" s="18">
        <f>Charms!K1921</f>
        <v>0</v>
      </c>
      <c r="B1921">
        <f>Charms!B1921</f>
        <v>0</v>
      </c>
      <c r="C1921" t="b">
        <f ca="1">OR(Values!$S$98&gt;=Charms!M1921,IFERROR(Charms!J1921=OFFSET(Values!$A$24,MATCH("S",Values!$T$25:$T$50,0),0),FALSE))</f>
        <v>1</v>
      </c>
      <c r="D1921" t="e">
        <f>VLOOKUP(Charms!J1921,Values!$A$11:$S$59,19,0)&gt;=Charms!L1921</f>
        <v>#N/A</v>
      </c>
      <c r="E1921" t="e">
        <f>OR(ISBLANK(Charms!I1921),(VLOOKUP(Values!$S$6,Castes!$B$2:$F$25,4,0)=Charms!I1921))</f>
        <v>#N/A</v>
      </c>
      <c r="J1921" t="e">
        <f t="shared" ca="1" si="146"/>
        <v>#N/A</v>
      </c>
      <c r="K1921" s="18" t="e">
        <f t="shared" ca="1" si="145"/>
        <v>#N/A</v>
      </c>
      <c r="L1921" t="e">
        <f ca="1">IF(J1921,Charms!B1921,"")</f>
        <v>#N/A</v>
      </c>
      <c r="M1921" t="str">
        <f t="shared" ca="1" si="147"/>
        <v>-</v>
      </c>
      <c r="N1921" s="18" t="str">
        <f t="shared" si="148"/>
        <v>K1622:L5000</v>
      </c>
      <c r="O1921" t="str">
        <f t="shared" si="149"/>
        <v>A1622:A1921</v>
      </c>
    </row>
    <row r="1922" spans="1:15">
      <c r="A1922" s="18">
        <f>Charms!K1922</f>
        <v>0</v>
      </c>
      <c r="B1922">
        <f>Charms!B1922</f>
        <v>0</v>
      </c>
      <c r="C1922" t="b">
        <f ca="1">OR(Values!$S$98&gt;=Charms!M1922,IFERROR(Charms!J1922=OFFSET(Values!$A$24,MATCH("S",Values!$T$25:$T$50,0),0),FALSE))</f>
        <v>1</v>
      </c>
      <c r="D1922" t="e">
        <f>VLOOKUP(Charms!J1922,Values!$A$11:$S$59,19,0)&gt;=Charms!L1922</f>
        <v>#N/A</v>
      </c>
      <c r="E1922" t="e">
        <f>OR(ISBLANK(Charms!I1922),(VLOOKUP(Values!$S$6,Castes!$B$2:$F$25,4,0)=Charms!I1922))</f>
        <v>#N/A</v>
      </c>
      <c r="J1922" t="e">
        <f t="shared" ca="1" si="146"/>
        <v>#N/A</v>
      </c>
      <c r="K1922" s="18" t="e">
        <f t="shared" ref="K1922:K1985" ca="1" si="150">IF(L1922="","",COUNTIF(INDIRECT("J"&amp;MATCH(A1922,A:A,0)&amp;":J"&amp;ROW()),J1922))</f>
        <v>#N/A</v>
      </c>
      <c r="L1922" t="e">
        <f ca="1">IF(J1922,Charms!B1922,"")</f>
        <v>#N/A</v>
      </c>
      <c r="M1922" t="str">
        <f t="shared" ca="1" si="147"/>
        <v>-</v>
      </c>
      <c r="N1922" s="18" t="str">
        <f t="shared" si="148"/>
        <v>K1622:L5000</v>
      </c>
      <c r="O1922" t="str">
        <f t="shared" si="149"/>
        <v>A1622:A1922</v>
      </c>
    </row>
    <row r="1923" spans="1:15">
      <c r="A1923" s="18">
        <f>Charms!K1923</f>
        <v>0</v>
      </c>
      <c r="B1923">
        <f>Charms!B1923</f>
        <v>0</v>
      </c>
      <c r="C1923" t="b">
        <f ca="1">OR(Values!$S$98&gt;=Charms!M1923,IFERROR(Charms!J1923=OFFSET(Values!$A$24,MATCH("S",Values!$T$25:$T$50,0),0),FALSE))</f>
        <v>1</v>
      </c>
      <c r="D1923" t="e">
        <f>VLOOKUP(Charms!J1923,Values!$A$11:$S$59,19,0)&gt;=Charms!L1923</f>
        <v>#N/A</v>
      </c>
      <c r="E1923" t="e">
        <f>OR(ISBLANK(Charms!I1923),(VLOOKUP(Values!$S$6,Castes!$B$2:$F$25,4,0)=Charms!I1923))</f>
        <v>#N/A</v>
      </c>
      <c r="J1923" t="e">
        <f t="shared" ref="J1923:J1986" ca="1" si="151">(C1923+D1923+E1923+F1923+G1923+H1923+I1923)=3</f>
        <v>#N/A</v>
      </c>
      <c r="K1923" s="18" t="e">
        <f t="shared" ca="1" si="150"/>
        <v>#N/A</v>
      </c>
      <c r="L1923" t="e">
        <f ca="1">IF(J1923,Charms!B1923,"")</f>
        <v>#N/A</v>
      </c>
      <c r="M1923" t="str">
        <f t="shared" ref="M1923:M1986" ca="1" si="152">IFERROR(VLOOKUP(COUNTIF(INDIRECT(O1923),A1923),INDIRECT(N1923),2,0),"-")</f>
        <v>-</v>
      </c>
      <c r="N1923" s="18" t="str">
        <f t="shared" ref="N1923:N1986" si="153">"K"&amp;MATCH(A1923,A:A,0)&amp;":L"&amp;(MATCH(A1923,A:A,0)+COUNTIF(A:A,A1923)-1)</f>
        <v>K1622:L5000</v>
      </c>
      <c r="O1923" t="str">
        <f t="shared" ref="O1923:O1986" si="154">"A"&amp;MATCH(A1923,A:A,0)&amp;":A"&amp;ROW()</f>
        <v>A1622:A1923</v>
      </c>
    </row>
    <row r="1924" spans="1:15">
      <c r="A1924" s="18">
        <f>Charms!K1924</f>
        <v>0</v>
      </c>
      <c r="B1924">
        <f>Charms!B1924</f>
        <v>0</v>
      </c>
      <c r="C1924" t="b">
        <f ca="1">OR(Values!$S$98&gt;=Charms!M1924,IFERROR(Charms!J1924=OFFSET(Values!$A$24,MATCH("S",Values!$T$25:$T$50,0),0),FALSE))</f>
        <v>1</v>
      </c>
      <c r="D1924" t="e">
        <f>VLOOKUP(Charms!J1924,Values!$A$11:$S$59,19,0)&gt;=Charms!L1924</f>
        <v>#N/A</v>
      </c>
      <c r="E1924" t="e">
        <f>OR(ISBLANK(Charms!I1924),(VLOOKUP(Values!$S$6,Castes!$B$2:$F$25,4,0)=Charms!I1924))</f>
        <v>#N/A</v>
      </c>
      <c r="J1924" t="e">
        <f t="shared" ca="1" si="151"/>
        <v>#N/A</v>
      </c>
      <c r="K1924" s="18" t="e">
        <f t="shared" ca="1" si="150"/>
        <v>#N/A</v>
      </c>
      <c r="L1924" t="e">
        <f ca="1">IF(J1924,Charms!B1924,"")</f>
        <v>#N/A</v>
      </c>
      <c r="M1924" t="str">
        <f t="shared" ca="1" si="152"/>
        <v>-</v>
      </c>
      <c r="N1924" s="18" t="str">
        <f t="shared" si="153"/>
        <v>K1622:L5000</v>
      </c>
      <c r="O1924" t="str">
        <f t="shared" si="154"/>
        <v>A1622:A1924</v>
      </c>
    </row>
    <row r="1925" spans="1:15">
      <c r="A1925" s="18">
        <f>Charms!K1925</f>
        <v>0</v>
      </c>
      <c r="B1925">
        <f>Charms!B1925</f>
        <v>0</v>
      </c>
      <c r="C1925" t="b">
        <f ca="1">OR(Values!$S$98&gt;=Charms!M1925,IFERROR(Charms!J1925=OFFSET(Values!$A$24,MATCH("S",Values!$T$25:$T$50,0),0),FALSE))</f>
        <v>1</v>
      </c>
      <c r="D1925" t="e">
        <f>VLOOKUP(Charms!J1925,Values!$A$11:$S$59,19,0)&gt;=Charms!L1925</f>
        <v>#N/A</v>
      </c>
      <c r="E1925" t="e">
        <f>OR(ISBLANK(Charms!I1925),(VLOOKUP(Values!$S$6,Castes!$B$2:$F$25,4,0)=Charms!I1925))</f>
        <v>#N/A</v>
      </c>
      <c r="J1925" t="e">
        <f t="shared" ca="1" si="151"/>
        <v>#N/A</v>
      </c>
      <c r="K1925" s="18" t="e">
        <f t="shared" ca="1" si="150"/>
        <v>#N/A</v>
      </c>
      <c r="L1925" t="e">
        <f ca="1">IF(J1925,Charms!B1925,"")</f>
        <v>#N/A</v>
      </c>
      <c r="M1925" t="str">
        <f t="shared" ca="1" si="152"/>
        <v>-</v>
      </c>
      <c r="N1925" s="18" t="str">
        <f t="shared" si="153"/>
        <v>K1622:L5000</v>
      </c>
      <c r="O1925" t="str">
        <f t="shared" si="154"/>
        <v>A1622:A1925</v>
      </c>
    </row>
    <row r="1926" spans="1:15">
      <c r="A1926" s="18">
        <f>Charms!K1926</f>
        <v>0</v>
      </c>
      <c r="B1926">
        <f>Charms!B1926</f>
        <v>0</v>
      </c>
      <c r="C1926" t="b">
        <f ca="1">OR(Values!$S$98&gt;=Charms!M1926,IFERROR(Charms!J1926=OFFSET(Values!$A$24,MATCH("S",Values!$T$25:$T$50,0),0),FALSE))</f>
        <v>1</v>
      </c>
      <c r="D1926" t="e">
        <f>VLOOKUP(Charms!J1926,Values!$A$11:$S$59,19,0)&gt;=Charms!L1926</f>
        <v>#N/A</v>
      </c>
      <c r="E1926" t="e">
        <f>OR(ISBLANK(Charms!I1926),(VLOOKUP(Values!$S$6,Castes!$B$2:$F$25,4,0)=Charms!I1926))</f>
        <v>#N/A</v>
      </c>
      <c r="J1926" t="e">
        <f t="shared" ca="1" si="151"/>
        <v>#N/A</v>
      </c>
      <c r="K1926" s="18" t="e">
        <f t="shared" ca="1" si="150"/>
        <v>#N/A</v>
      </c>
      <c r="L1926" t="e">
        <f ca="1">IF(J1926,Charms!B1926,"")</f>
        <v>#N/A</v>
      </c>
      <c r="M1926" t="str">
        <f t="shared" ca="1" si="152"/>
        <v>-</v>
      </c>
      <c r="N1926" s="18" t="str">
        <f t="shared" si="153"/>
        <v>K1622:L5000</v>
      </c>
      <c r="O1926" t="str">
        <f t="shared" si="154"/>
        <v>A1622:A1926</v>
      </c>
    </row>
    <row r="1927" spans="1:15">
      <c r="A1927" s="18">
        <f>Charms!K1927</f>
        <v>0</v>
      </c>
      <c r="B1927">
        <f>Charms!B1927</f>
        <v>0</v>
      </c>
      <c r="C1927" t="b">
        <f ca="1">OR(Values!$S$98&gt;=Charms!M1927,IFERROR(Charms!J1927=OFFSET(Values!$A$24,MATCH("S",Values!$T$25:$T$50,0),0),FALSE))</f>
        <v>1</v>
      </c>
      <c r="D1927" t="e">
        <f>VLOOKUP(Charms!J1927,Values!$A$11:$S$59,19,0)&gt;=Charms!L1927</f>
        <v>#N/A</v>
      </c>
      <c r="E1927" t="e">
        <f>OR(ISBLANK(Charms!I1927),(VLOOKUP(Values!$S$6,Castes!$B$2:$F$25,4,0)=Charms!I1927))</f>
        <v>#N/A</v>
      </c>
      <c r="J1927" t="e">
        <f t="shared" ca="1" si="151"/>
        <v>#N/A</v>
      </c>
      <c r="K1927" s="18" t="e">
        <f t="shared" ca="1" si="150"/>
        <v>#N/A</v>
      </c>
      <c r="L1927" t="e">
        <f ca="1">IF(J1927,Charms!B1927,"")</f>
        <v>#N/A</v>
      </c>
      <c r="M1927" t="str">
        <f t="shared" ca="1" si="152"/>
        <v>-</v>
      </c>
      <c r="N1927" s="18" t="str">
        <f t="shared" si="153"/>
        <v>K1622:L5000</v>
      </c>
      <c r="O1927" t="str">
        <f t="shared" si="154"/>
        <v>A1622:A1927</v>
      </c>
    </row>
    <row r="1928" spans="1:15">
      <c r="A1928" s="18">
        <f>Charms!K1928</f>
        <v>0</v>
      </c>
      <c r="B1928">
        <f>Charms!B1928</f>
        <v>0</v>
      </c>
      <c r="C1928" t="b">
        <f ca="1">OR(Values!$S$98&gt;=Charms!M1928,IFERROR(Charms!J1928=OFFSET(Values!$A$24,MATCH("S",Values!$T$25:$T$50,0),0),FALSE))</f>
        <v>1</v>
      </c>
      <c r="D1928" t="e">
        <f>VLOOKUP(Charms!J1928,Values!$A$11:$S$59,19,0)&gt;=Charms!L1928</f>
        <v>#N/A</v>
      </c>
      <c r="E1928" t="e">
        <f>OR(ISBLANK(Charms!I1928),(VLOOKUP(Values!$S$6,Castes!$B$2:$F$25,4,0)=Charms!I1928))</f>
        <v>#N/A</v>
      </c>
      <c r="J1928" t="e">
        <f t="shared" ca="1" si="151"/>
        <v>#N/A</v>
      </c>
      <c r="K1928" s="18" t="e">
        <f t="shared" ca="1" si="150"/>
        <v>#N/A</v>
      </c>
      <c r="L1928" t="e">
        <f ca="1">IF(J1928,Charms!B1928,"")</f>
        <v>#N/A</v>
      </c>
      <c r="M1928" t="str">
        <f t="shared" ca="1" si="152"/>
        <v>-</v>
      </c>
      <c r="N1928" s="18" t="str">
        <f t="shared" si="153"/>
        <v>K1622:L5000</v>
      </c>
      <c r="O1928" t="str">
        <f t="shared" si="154"/>
        <v>A1622:A1928</v>
      </c>
    </row>
    <row r="1929" spans="1:15">
      <c r="A1929" s="18">
        <f>Charms!K1929</f>
        <v>0</v>
      </c>
      <c r="B1929">
        <f>Charms!B1929</f>
        <v>0</v>
      </c>
      <c r="C1929" t="b">
        <f ca="1">OR(Values!$S$98&gt;=Charms!M1929,IFERROR(Charms!J1929=OFFSET(Values!$A$24,MATCH("S",Values!$T$25:$T$50,0),0),FALSE))</f>
        <v>1</v>
      </c>
      <c r="D1929" t="e">
        <f>VLOOKUP(Charms!J1929,Values!$A$11:$S$59,19,0)&gt;=Charms!L1929</f>
        <v>#N/A</v>
      </c>
      <c r="E1929" t="e">
        <f>OR(ISBLANK(Charms!I1929),(VLOOKUP(Values!$S$6,Castes!$B$2:$F$25,4,0)=Charms!I1929))</f>
        <v>#N/A</v>
      </c>
      <c r="J1929" t="e">
        <f t="shared" ca="1" si="151"/>
        <v>#N/A</v>
      </c>
      <c r="K1929" s="18" t="e">
        <f t="shared" ca="1" si="150"/>
        <v>#N/A</v>
      </c>
      <c r="L1929" t="e">
        <f ca="1">IF(J1929,Charms!B1929,"")</f>
        <v>#N/A</v>
      </c>
      <c r="M1929" t="str">
        <f t="shared" ca="1" si="152"/>
        <v>-</v>
      </c>
      <c r="N1929" s="18" t="str">
        <f t="shared" si="153"/>
        <v>K1622:L5000</v>
      </c>
      <c r="O1929" t="str">
        <f t="shared" si="154"/>
        <v>A1622:A1929</v>
      </c>
    </row>
    <row r="1930" spans="1:15">
      <c r="A1930" s="18">
        <f>Charms!K1930</f>
        <v>0</v>
      </c>
      <c r="B1930">
        <f>Charms!B1930</f>
        <v>0</v>
      </c>
      <c r="C1930" t="b">
        <f ca="1">OR(Values!$S$98&gt;=Charms!M1930,IFERROR(Charms!J1930=OFFSET(Values!$A$24,MATCH("S",Values!$T$25:$T$50,0),0),FALSE))</f>
        <v>1</v>
      </c>
      <c r="D1930" t="e">
        <f>VLOOKUP(Charms!J1930,Values!$A$11:$S$59,19,0)&gt;=Charms!L1930</f>
        <v>#N/A</v>
      </c>
      <c r="E1930" t="e">
        <f>OR(ISBLANK(Charms!I1930),(VLOOKUP(Values!$S$6,Castes!$B$2:$F$25,4,0)=Charms!I1930))</f>
        <v>#N/A</v>
      </c>
      <c r="J1930" t="e">
        <f t="shared" ca="1" si="151"/>
        <v>#N/A</v>
      </c>
      <c r="K1930" s="18" t="e">
        <f t="shared" ca="1" si="150"/>
        <v>#N/A</v>
      </c>
      <c r="L1930" t="e">
        <f ca="1">IF(J1930,Charms!B1930,"")</f>
        <v>#N/A</v>
      </c>
      <c r="M1930" t="str">
        <f t="shared" ca="1" si="152"/>
        <v>-</v>
      </c>
      <c r="N1930" s="18" t="str">
        <f t="shared" si="153"/>
        <v>K1622:L5000</v>
      </c>
      <c r="O1930" t="str">
        <f t="shared" si="154"/>
        <v>A1622:A1930</v>
      </c>
    </row>
    <row r="1931" spans="1:15">
      <c r="A1931" s="18">
        <f>Charms!K1931</f>
        <v>0</v>
      </c>
      <c r="B1931">
        <f>Charms!B1931</f>
        <v>0</v>
      </c>
      <c r="C1931" t="b">
        <f ca="1">OR(Values!$S$98&gt;=Charms!M1931,IFERROR(Charms!J1931=OFFSET(Values!$A$24,MATCH("S",Values!$T$25:$T$50,0),0),FALSE))</f>
        <v>1</v>
      </c>
      <c r="D1931" t="e">
        <f>VLOOKUP(Charms!J1931,Values!$A$11:$S$59,19,0)&gt;=Charms!L1931</f>
        <v>#N/A</v>
      </c>
      <c r="E1931" t="e">
        <f>OR(ISBLANK(Charms!I1931),(VLOOKUP(Values!$S$6,Castes!$B$2:$F$25,4,0)=Charms!I1931))</f>
        <v>#N/A</v>
      </c>
      <c r="J1931" t="e">
        <f t="shared" ca="1" si="151"/>
        <v>#N/A</v>
      </c>
      <c r="K1931" s="18" t="e">
        <f t="shared" ca="1" si="150"/>
        <v>#N/A</v>
      </c>
      <c r="L1931" t="e">
        <f ca="1">IF(J1931,Charms!B1931,"")</f>
        <v>#N/A</v>
      </c>
      <c r="M1931" t="str">
        <f t="shared" ca="1" si="152"/>
        <v>-</v>
      </c>
      <c r="N1931" s="18" t="str">
        <f t="shared" si="153"/>
        <v>K1622:L5000</v>
      </c>
      <c r="O1931" t="str">
        <f t="shared" si="154"/>
        <v>A1622:A1931</v>
      </c>
    </row>
    <row r="1932" spans="1:15">
      <c r="A1932" s="18">
        <f>Charms!K1932</f>
        <v>0</v>
      </c>
      <c r="B1932">
        <f>Charms!B1932</f>
        <v>0</v>
      </c>
      <c r="C1932" t="b">
        <f ca="1">OR(Values!$S$98&gt;=Charms!M1932,IFERROR(Charms!J1932=OFFSET(Values!$A$24,MATCH("S",Values!$T$25:$T$50,0),0),FALSE))</f>
        <v>1</v>
      </c>
      <c r="D1932" t="e">
        <f>VLOOKUP(Charms!J1932,Values!$A$11:$S$59,19,0)&gt;=Charms!L1932</f>
        <v>#N/A</v>
      </c>
      <c r="E1932" t="e">
        <f>OR(ISBLANK(Charms!I1932),(VLOOKUP(Values!$S$6,Castes!$B$2:$F$25,4,0)=Charms!I1932))</f>
        <v>#N/A</v>
      </c>
      <c r="J1932" t="e">
        <f t="shared" ca="1" si="151"/>
        <v>#N/A</v>
      </c>
      <c r="K1932" s="18" t="e">
        <f t="shared" ca="1" si="150"/>
        <v>#N/A</v>
      </c>
      <c r="L1932" t="e">
        <f ca="1">IF(J1932,Charms!B1932,"")</f>
        <v>#N/A</v>
      </c>
      <c r="M1932" t="str">
        <f t="shared" ca="1" si="152"/>
        <v>-</v>
      </c>
      <c r="N1932" s="18" t="str">
        <f t="shared" si="153"/>
        <v>K1622:L5000</v>
      </c>
      <c r="O1932" t="str">
        <f t="shared" si="154"/>
        <v>A1622:A1932</v>
      </c>
    </row>
    <row r="1933" spans="1:15">
      <c r="A1933" s="18">
        <f>Charms!K1933</f>
        <v>0</v>
      </c>
      <c r="B1933">
        <f>Charms!B1933</f>
        <v>0</v>
      </c>
      <c r="C1933" t="b">
        <f ca="1">OR(Values!$S$98&gt;=Charms!M1933,IFERROR(Charms!J1933=OFFSET(Values!$A$24,MATCH("S",Values!$T$25:$T$50,0),0),FALSE))</f>
        <v>1</v>
      </c>
      <c r="D1933" t="e">
        <f>VLOOKUP(Charms!J1933,Values!$A$11:$S$59,19,0)&gt;=Charms!L1933</f>
        <v>#N/A</v>
      </c>
      <c r="E1933" t="e">
        <f>OR(ISBLANK(Charms!I1933),(VLOOKUP(Values!$S$6,Castes!$B$2:$F$25,4,0)=Charms!I1933))</f>
        <v>#N/A</v>
      </c>
      <c r="J1933" t="e">
        <f t="shared" ca="1" si="151"/>
        <v>#N/A</v>
      </c>
      <c r="K1933" s="18" t="e">
        <f t="shared" ca="1" si="150"/>
        <v>#N/A</v>
      </c>
      <c r="L1933" t="e">
        <f ca="1">IF(J1933,Charms!B1933,"")</f>
        <v>#N/A</v>
      </c>
      <c r="M1933" t="str">
        <f t="shared" ca="1" si="152"/>
        <v>-</v>
      </c>
      <c r="N1933" s="18" t="str">
        <f t="shared" si="153"/>
        <v>K1622:L5000</v>
      </c>
      <c r="O1933" t="str">
        <f t="shared" si="154"/>
        <v>A1622:A1933</v>
      </c>
    </row>
    <row r="1934" spans="1:15">
      <c r="A1934" s="18">
        <f>Charms!K1934</f>
        <v>0</v>
      </c>
      <c r="B1934">
        <f>Charms!B1934</f>
        <v>0</v>
      </c>
      <c r="C1934" t="b">
        <f ca="1">OR(Values!$S$98&gt;=Charms!M1934,IFERROR(Charms!J1934=OFFSET(Values!$A$24,MATCH("S",Values!$T$25:$T$50,0),0),FALSE))</f>
        <v>1</v>
      </c>
      <c r="D1934" t="e">
        <f>VLOOKUP(Charms!J1934,Values!$A$11:$S$59,19,0)&gt;=Charms!L1934</f>
        <v>#N/A</v>
      </c>
      <c r="E1934" t="e">
        <f>OR(ISBLANK(Charms!I1934),(VLOOKUP(Values!$S$6,Castes!$B$2:$F$25,4,0)=Charms!I1934))</f>
        <v>#N/A</v>
      </c>
      <c r="J1934" t="e">
        <f t="shared" ca="1" si="151"/>
        <v>#N/A</v>
      </c>
      <c r="K1934" s="18" t="e">
        <f t="shared" ca="1" si="150"/>
        <v>#N/A</v>
      </c>
      <c r="L1934" t="e">
        <f ca="1">IF(J1934,Charms!B1934,"")</f>
        <v>#N/A</v>
      </c>
      <c r="M1934" t="str">
        <f t="shared" ca="1" si="152"/>
        <v>-</v>
      </c>
      <c r="N1934" s="18" t="str">
        <f t="shared" si="153"/>
        <v>K1622:L5000</v>
      </c>
      <c r="O1934" t="str">
        <f t="shared" si="154"/>
        <v>A1622:A1934</v>
      </c>
    </row>
    <row r="1935" spans="1:15">
      <c r="A1935" s="18">
        <f>Charms!K1935</f>
        <v>0</v>
      </c>
      <c r="B1935">
        <f>Charms!B1935</f>
        <v>0</v>
      </c>
      <c r="C1935" t="b">
        <f ca="1">OR(Values!$S$98&gt;=Charms!M1935,IFERROR(Charms!J1935=OFFSET(Values!$A$24,MATCH("S",Values!$T$25:$T$50,0),0),FALSE))</f>
        <v>1</v>
      </c>
      <c r="D1935" t="e">
        <f>VLOOKUP(Charms!J1935,Values!$A$11:$S$59,19,0)&gt;=Charms!L1935</f>
        <v>#N/A</v>
      </c>
      <c r="E1935" t="e">
        <f>OR(ISBLANK(Charms!I1935),(VLOOKUP(Values!$S$6,Castes!$B$2:$F$25,4,0)=Charms!I1935))</f>
        <v>#N/A</v>
      </c>
      <c r="J1935" t="e">
        <f t="shared" ca="1" si="151"/>
        <v>#N/A</v>
      </c>
      <c r="K1935" s="18" t="e">
        <f t="shared" ca="1" si="150"/>
        <v>#N/A</v>
      </c>
      <c r="L1935" t="e">
        <f ca="1">IF(J1935,Charms!B1935,"")</f>
        <v>#N/A</v>
      </c>
      <c r="M1935" t="str">
        <f t="shared" ca="1" si="152"/>
        <v>-</v>
      </c>
      <c r="N1935" s="18" t="str">
        <f t="shared" si="153"/>
        <v>K1622:L5000</v>
      </c>
      <c r="O1935" t="str">
        <f t="shared" si="154"/>
        <v>A1622:A1935</v>
      </c>
    </row>
    <row r="1936" spans="1:15">
      <c r="A1936" s="18">
        <f>Charms!K1936</f>
        <v>0</v>
      </c>
      <c r="B1936">
        <f>Charms!B1936</f>
        <v>0</v>
      </c>
      <c r="C1936" t="b">
        <f ca="1">OR(Values!$S$98&gt;=Charms!M1936,IFERROR(Charms!J1936=OFFSET(Values!$A$24,MATCH("S",Values!$T$25:$T$50,0),0),FALSE))</f>
        <v>1</v>
      </c>
      <c r="D1936" t="e">
        <f>VLOOKUP(Charms!J1936,Values!$A$11:$S$59,19,0)&gt;=Charms!L1936</f>
        <v>#N/A</v>
      </c>
      <c r="E1936" t="e">
        <f>OR(ISBLANK(Charms!I1936),(VLOOKUP(Values!$S$6,Castes!$B$2:$F$25,4,0)=Charms!I1936))</f>
        <v>#N/A</v>
      </c>
      <c r="J1936" t="e">
        <f t="shared" ca="1" si="151"/>
        <v>#N/A</v>
      </c>
      <c r="K1936" s="18" t="e">
        <f t="shared" ca="1" si="150"/>
        <v>#N/A</v>
      </c>
      <c r="L1936" t="e">
        <f ca="1">IF(J1936,Charms!B1936,"")</f>
        <v>#N/A</v>
      </c>
      <c r="M1936" t="str">
        <f t="shared" ca="1" si="152"/>
        <v>-</v>
      </c>
      <c r="N1936" s="18" t="str">
        <f t="shared" si="153"/>
        <v>K1622:L5000</v>
      </c>
      <c r="O1936" t="str">
        <f t="shared" si="154"/>
        <v>A1622:A1936</v>
      </c>
    </row>
    <row r="1937" spans="1:15">
      <c r="A1937" s="18">
        <f>Charms!K1937</f>
        <v>0</v>
      </c>
      <c r="B1937">
        <f>Charms!B1937</f>
        <v>0</v>
      </c>
      <c r="C1937" t="b">
        <f ca="1">OR(Values!$S$98&gt;=Charms!M1937,IFERROR(Charms!J1937=OFFSET(Values!$A$24,MATCH("S",Values!$T$25:$T$50,0),0),FALSE))</f>
        <v>1</v>
      </c>
      <c r="D1937" t="e">
        <f>VLOOKUP(Charms!J1937,Values!$A$11:$S$59,19,0)&gt;=Charms!L1937</f>
        <v>#N/A</v>
      </c>
      <c r="E1937" t="e">
        <f>OR(ISBLANK(Charms!I1937),(VLOOKUP(Values!$S$6,Castes!$B$2:$F$25,4,0)=Charms!I1937))</f>
        <v>#N/A</v>
      </c>
      <c r="J1937" t="e">
        <f t="shared" ca="1" si="151"/>
        <v>#N/A</v>
      </c>
      <c r="K1937" s="18" t="e">
        <f t="shared" ca="1" si="150"/>
        <v>#N/A</v>
      </c>
      <c r="L1937" t="e">
        <f ca="1">IF(J1937,Charms!B1937,"")</f>
        <v>#N/A</v>
      </c>
      <c r="M1937" t="str">
        <f t="shared" ca="1" si="152"/>
        <v>-</v>
      </c>
      <c r="N1937" s="18" t="str">
        <f t="shared" si="153"/>
        <v>K1622:L5000</v>
      </c>
      <c r="O1937" t="str">
        <f t="shared" si="154"/>
        <v>A1622:A1937</v>
      </c>
    </row>
    <row r="1938" spans="1:15">
      <c r="A1938" s="18">
        <f>Charms!K1938</f>
        <v>0</v>
      </c>
      <c r="B1938">
        <f>Charms!B1938</f>
        <v>0</v>
      </c>
      <c r="C1938" t="b">
        <f ca="1">OR(Values!$S$98&gt;=Charms!M1938,IFERROR(Charms!J1938=OFFSET(Values!$A$24,MATCH("S",Values!$T$25:$T$50,0),0),FALSE))</f>
        <v>1</v>
      </c>
      <c r="D1938" t="e">
        <f>VLOOKUP(Charms!J1938,Values!$A$11:$S$59,19,0)&gt;=Charms!L1938</f>
        <v>#N/A</v>
      </c>
      <c r="E1938" t="e">
        <f>OR(ISBLANK(Charms!I1938),(VLOOKUP(Values!$S$6,Castes!$B$2:$F$25,4,0)=Charms!I1938))</f>
        <v>#N/A</v>
      </c>
      <c r="J1938" t="e">
        <f t="shared" ca="1" si="151"/>
        <v>#N/A</v>
      </c>
      <c r="K1938" s="18" t="e">
        <f t="shared" ca="1" si="150"/>
        <v>#N/A</v>
      </c>
      <c r="L1938" t="e">
        <f ca="1">IF(J1938,Charms!B1938,"")</f>
        <v>#N/A</v>
      </c>
      <c r="M1938" t="str">
        <f t="shared" ca="1" si="152"/>
        <v>-</v>
      </c>
      <c r="N1938" s="18" t="str">
        <f t="shared" si="153"/>
        <v>K1622:L5000</v>
      </c>
      <c r="O1938" t="str">
        <f t="shared" si="154"/>
        <v>A1622:A1938</v>
      </c>
    </row>
    <row r="1939" spans="1:15">
      <c r="A1939" s="18">
        <f>Charms!K1939</f>
        <v>0</v>
      </c>
      <c r="B1939">
        <f>Charms!B1939</f>
        <v>0</v>
      </c>
      <c r="C1939" t="b">
        <f ca="1">OR(Values!$S$98&gt;=Charms!M1939,IFERROR(Charms!J1939=OFFSET(Values!$A$24,MATCH("S",Values!$T$25:$T$50,0),0),FALSE))</f>
        <v>1</v>
      </c>
      <c r="D1939" t="e">
        <f>VLOOKUP(Charms!J1939,Values!$A$11:$S$59,19,0)&gt;=Charms!L1939</f>
        <v>#N/A</v>
      </c>
      <c r="E1939" t="e">
        <f>OR(ISBLANK(Charms!I1939),(VLOOKUP(Values!$S$6,Castes!$B$2:$F$25,4,0)=Charms!I1939))</f>
        <v>#N/A</v>
      </c>
      <c r="J1939" t="e">
        <f t="shared" ca="1" si="151"/>
        <v>#N/A</v>
      </c>
      <c r="K1939" s="18" t="e">
        <f t="shared" ca="1" si="150"/>
        <v>#N/A</v>
      </c>
      <c r="L1939" t="e">
        <f ca="1">IF(J1939,Charms!B1939,"")</f>
        <v>#N/A</v>
      </c>
      <c r="M1939" t="str">
        <f t="shared" ca="1" si="152"/>
        <v>-</v>
      </c>
      <c r="N1939" s="18" t="str">
        <f t="shared" si="153"/>
        <v>K1622:L5000</v>
      </c>
      <c r="O1939" t="str">
        <f t="shared" si="154"/>
        <v>A1622:A1939</v>
      </c>
    </row>
    <row r="1940" spans="1:15">
      <c r="A1940" s="18">
        <f>Charms!K1940</f>
        <v>0</v>
      </c>
      <c r="B1940">
        <f>Charms!B1940</f>
        <v>0</v>
      </c>
      <c r="C1940" t="b">
        <f ca="1">OR(Values!$S$98&gt;=Charms!M1940,IFERROR(Charms!J1940=OFFSET(Values!$A$24,MATCH("S",Values!$T$25:$T$50,0),0),FALSE))</f>
        <v>1</v>
      </c>
      <c r="D1940" t="e">
        <f>VLOOKUP(Charms!J1940,Values!$A$11:$S$59,19,0)&gt;=Charms!L1940</f>
        <v>#N/A</v>
      </c>
      <c r="E1940" t="e">
        <f>OR(ISBLANK(Charms!I1940),(VLOOKUP(Values!$S$6,Castes!$B$2:$F$25,4,0)=Charms!I1940))</f>
        <v>#N/A</v>
      </c>
      <c r="J1940" t="e">
        <f t="shared" ca="1" si="151"/>
        <v>#N/A</v>
      </c>
      <c r="K1940" s="18" t="e">
        <f t="shared" ca="1" si="150"/>
        <v>#N/A</v>
      </c>
      <c r="L1940" t="e">
        <f ca="1">IF(J1940,Charms!B1940,"")</f>
        <v>#N/A</v>
      </c>
      <c r="M1940" t="str">
        <f t="shared" ca="1" si="152"/>
        <v>-</v>
      </c>
      <c r="N1940" s="18" t="str">
        <f t="shared" si="153"/>
        <v>K1622:L5000</v>
      </c>
      <c r="O1940" t="str">
        <f t="shared" si="154"/>
        <v>A1622:A1940</v>
      </c>
    </row>
    <row r="1941" spans="1:15">
      <c r="A1941" s="18">
        <f>Charms!K1941</f>
        <v>0</v>
      </c>
      <c r="B1941">
        <f>Charms!B1941</f>
        <v>0</v>
      </c>
      <c r="C1941" t="b">
        <f ca="1">OR(Values!$S$98&gt;=Charms!M1941,IFERROR(Charms!J1941=OFFSET(Values!$A$24,MATCH("S",Values!$T$25:$T$50,0),0),FALSE))</f>
        <v>1</v>
      </c>
      <c r="D1941" t="e">
        <f>VLOOKUP(Charms!J1941,Values!$A$11:$S$59,19,0)&gt;=Charms!L1941</f>
        <v>#N/A</v>
      </c>
      <c r="E1941" t="e">
        <f>OR(ISBLANK(Charms!I1941),(VLOOKUP(Values!$S$6,Castes!$B$2:$F$25,4,0)=Charms!I1941))</f>
        <v>#N/A</v>
      </c>
      <c r="J1941" t="e">
        <f t="shared" ca="1" si="151"/>
        <v>#N/A</v>
      </c>
      <c r="K1941" s="18" t="e">
        <f t="shared" ca="1" si="150"/>
        <v>#N/A</v>
      </c>
      <c r="L1941" t="e">
        <f ca="1">IF(J1941,Charms!B1941,"")</f>
        <v>#N/A</v>
      </c>
      <c r="M1941" t="str">
        <f t="shared" ca="1" si="152"/>
        <v>-</v>
      </c>
      <c r="N1941" s="18" t="str">
        <f t="shared" si="153"/>
        <v>K1622:L5000</v>
      </c>
      <c r="O1941" t="str">
        <f t="shared" si="154"/>
        <v>A1622:A1941</v>
      </c>
    </row>
    <row r="1942" spans="1:15">
      <c r="A1942" s="18">
        <f>Charms!K1942</f>
        <v>0</v>
      </c>
      <c r="B1942">
        <f>Charms!B1942</f>
        <v>0</v>
      </c>
      <c r="C1942" t="b">
        <f ca="1">OR(Values!$S$98&gt;=Charms!M1942,IFERROR(Charms!J1942=OFFSET(Values!$A$24,MATCH("S",Values!$T$25:$T$50,0),0),FALSE))</f>
        <v>1</v>
      </c>
      <c r="D1942" t="e">
        <f>VLOOKUP(Charms!J1942,Values!$A$11:$S$59,19,0)&gt;=Charms!L1942</f>
        <v>#N/A</v>
      </c>
      <c r="E1942" t="e">
        <f>OR(ISBLANK(Charms!I1942),(VLOOKUP(Values!$S$6,Castes!$B$2:$F$25,4,0)=Charms!I1942))</f>
        <v>#N/A</v>
      </c>
      <c r="J1942" t="e">
        <f t="shared" ca="1" si="151"/>
        <v>#N/A</v>
      </c>
      <c r="K1942" s="18" t="e">
        <f t="shared" ca="1" si="150"/>
        <v>#N/A</v>
      </c>
      <c r="L1942" t="e">
        <f ca="1">IF(J1942,Charms!B1942,"")</f>
        <v>#N/A</v>
      </c>
      <c r="M1942" t="str">
        <f t="shared" ca="1" si="152"/>
        <v>-</v>
      </c>
      <c r="N1942" s="18" t="str">
        <f t="shared" si="153"/>
        <v>K1622:L5000</v>
      </c>
      <c r="O1942" t="str">
        <f t="shared" si="154"/>
        <v>A1622:A1942</v>
      </c>
    </row>
    <row r="1943" spans="1:15">
      <c r="A1943" s="18">
        <f>Charms!K1943</f>
        <v>0</v>
      </c>
      <c r="B1943">
        <f>Charms!B1943</f>
        <v>0</v>
      </c>
      <c r="C1943" t="b">
        <f ca="1">OR(Values!$S$98&gt;=Charms!M1943,IFERROR(Charms!J1943=OFFSET(Values!$A$24,MATCH("S",Values!$T$25:$T$50,0),0),FALSE))</f>
        <v>1</v>
      </c>
      <c r="D1943" t="e">
        <f>VLOOKUP(Charms!J1943,Values!$A$11:$S$59,19,0)&gt;=Charms!L1943</f>
        <v>#N/A</v>
      </c>
      <c r="E1943" t="e">
        <f>OR(ISBLANK(Charms!I1943),(VLOOKUP(Values!$S$6,Castes!$B$2:$F$25,4,0)=Charms!I1943))</f>
        <v>#N/A</v>
      </c>
      <c r="J1943" t="e">
        <f t="shared" ca="1" si="151"/>
        <v>#N/A</v>
      </c>
      <c r="K1943" s="18" t="e">
        <f t="shared" ca="1" si="150"/>
        <v>#N/A</v>
      </c>
      <c r="L1943" t="e">
        <f ca="1">IF(J1943,Charms!B1943,"")</f>
        <v>#N/A</v>
      </c>
      <c r="M1943" t="str">
        <f t="shared" ca="1" si="152"/>
        <v>-</v>
      </c>
      <c r="N1943" s="18" t="str">
        <f t="shared" si="153"/>
        <v>K1622:L5000</v>
      </c>
      <c r="O1943" t="str">
        <f t="shared" si="154"/>
        <v>A1622:A1943</v>
      </c>
    </row>
    <row r="1944" spans="1:15">
      <c r="A1944" s="18">
        <f>Charms!K1944</f>
        <v>0</v>
      </c>
      <c r="B1944">
        <f>Charms!B1944</f>
        <v>0</v>
      </c>
      <c r="C1944" t="b">
        <f ca="1">OR(Values!$S$98&gt;=Charms!M1944,IFERROR(Charms!J1944=OFFSET(Values!$A$24,MATCH("S",Values!$T$25:$T$50,0),0),FALSE))</f>
        <v>1</v>
      </c>
      <c r="D1944" t="e">
        <f>VLOOKUP(Charms!J1944,Values!$A$11:$S$59,19,0)&gt;=Charms!L1944</f>
        <v>#N/A</v>
      </c>
      <c r="E1944" t="e">
        <f>OR(ISBLANK(Charms!I1944),(VLOOKUP(Values!$S$6,Castes!$B$2:$F$25,4,0)=Charms!I1944))</f>
        <v>#N/A</v>
      </c>
      <c r="J1944" t="e">
        <f t="shared" ca="1" si="151"/>
        <v>#N/A</v>
      </c>
      <c r="K1944" s="18" t="e">
        <f t="shared" ca="1" si="150"/>
        <v>#N/A</v>
      </c>
      <c r="L1944" t="e">
        <f ca="1">IF(J1944,Charms!B1944,"")</f>
        <v>#N/A</v>
      </c>
      <c r="M1944" t="str">
        <f t="shared" ca="1" si="152"/>
        <v>-</v>
      </c>
      <c r="N1944" s="18" t="str">
        <f t="shared" si="153"/>
        <v>K1622:L5000</v>
      </c>
      <c r="O1944" t="str">
        <f t="shared" si="154"/>
        <v>A1622:A1944</v>
      </c>
    </row>
    <row r="1945" spans="1:15">
      <c r="A1945" s="18">
        <f>Charms!K1945</f>
        <v>0</v>
      </c>
      <c r="B1945">
        <f>Charms!B1945</f>
        <v>0</v>
      </c>
      <c r="C1945" t="b">
        <f ca="1">OR(Values!$S$98&gt;=Charms!M1945,IFERROR(Charms!J1945=OFFSET(Values!$A$24,MATCH("S",Values!$T$25:$T$50,0),0),FALSE))</f>
        <v>1</v>
      </c>
      <c r="D1945" t="e">
        <f>VLOOKUP(Charms!J1945,Values!$A$11:$S$59,19,0)&gt;=Charms!L1945</f>
        <v>#N/A</v>
      </c>
      <c r="E1945" t="e">
        <f>OR(ISBLANK(Charms!I1945),(VLOOKUP(Values!$S$6,Castes!$B$2:$F$25,4,0)=Charms!I1945))</f>
        <v>#N/A</v>
      </c>
      <c r="J1945" t="e">
        <f t="shared" ca="1" si="151"/>
        <v>#N/A</v>
      </c>
      <c r="K1945" s="18" t="e">
        <f t="shared" ca="1" si="150"/>
        <v>#N/A</v>
      </c>
      <c r="L1945" t="e">
        <f ca="1">IF(J1945,Charms!B1945,"")</f>
        <v>#N/A</v>
      </c>
      <c r="M1945" t="str">
        <f t="shared" ca="1" si="152"/>
        <v>-</v>
      </c>
      <c r="N1945" s="18" t="str">
        <f t="shared" si="153"/>
        <v>K1622:L5000</v>
      </c>
      <c r="O1945" t="str">
        <f t="shared" si="154"/>
        <v>A1622:A1945</v>
      </c>
    </row>
    <row r="1946" spans="1:15">
      <c r="A1946" s="18">
        <f>Charms!K1946</f>
        <v>0</v>
      </c>
      <c r="B1946">
        <f>Charms!B1946</f>
        <v>0</v>
      </c>
      <c r="C1946" t="b">
        <f ca="1">OR(Values!$S$98&gt;=Charms!M1946,IFERROR(Charms!J1946=OFFSET(Values!$A$24,MATCH("S",Values!$T$25:$T$50,0),0),FALSE))</f>
        <v>1</v>
      </c>
      <c r="D1946" t="e">
        <f>VLOOKUP(Charms!J1946,Values!$A$11:$S$59,19,0)&gt;=Charms!L1946</f>
        <v>#N/A</v>
      </c>
      <c r="E1946" t="e">
        <f>OR(ISBLANK(Charms!I1946),(VLOOKUP(Values!$S$6,Castes!$B$2:$F$25,4,0)=Charms!I1946))</f>
        <v>#N/A</v>
      </c>
      <c r="J1946" t="e">
        <f t="shared" ca="1" si="151"/>
        <v>#N/A</v>
      </c>
      <c r="K1946" s="18" t="e">
        <f t="shared" ca="1" si="150"/>
        <v>#N/A</v>
      </c>
      <c r="L1946" t="e">
        <f ca="1">IF(J1946,Charms!B1946,"")</f>
        <v>#N/A</v>
      </c>
      <c r="M1946" t="str">
        <f t="shared" ca="1" si="152"/>
        <v>-</v>
      </c>
      <c r="N1946" s="18" t="str">
        <f t="shared" si="153"/>
        <v>K1622:L5000</v>
      </c>
      <c r="O1946" t="str">
        <f t="shared" si="154"/>
        <v>A1622:A1946</v>
      </c>
    </row>
    <row r="1947" spans="1:15">
      <c r="A1947" s="18">
        <f>Charms!K1947</f>
        <v>0</v>
      </c>
      <c r="B1947">
        <f>Charms!B1947</f>
        <v>0</v>
      </c>
      <c r="C1947" t="b">
        <f ca="1">OR(Values!$S$98&gt;=Charms!M1947,IFERROR(Charms!J1947=OFFSET(Values!$A$24,MATCH("S",Values!$T$25:$T$50,0),0),FALSE))</f>
        <v>1</v>
      </c>
      <c r="D1947" t="e">
        <f>VLOOKUP(Charms!J1947,Values!$A$11:$S$59,19,0)&gt;=Charms!L1947</f>
        <v>#N/A</v>
      </c>
      <c r="E1947" t="e">
        <f>OR(ISBLANK(Charms!I1947),(VLOOKUP(Values!$S$6,Castes!$B$2:$F$25,4,0)=Charms!I1947))</f>
        <v>#N/A</v>
      </c>
      <c r="J1947" t="e">
        <f t="shared" ca="1" si="151"/>
        <v>#N/A</v>
      </c>
      <c r="K1947" s="18" t="e">
        <f t="shared" ca="1" si="150"/>
        <v>#N/A</v>
      </c>
      <c r="L1947" t="e">
        <f ca="1">IF(J1947,Charms!B1947,"")</f>
        <v>#N/A</v>
      </c>
      <c r="M1947" t="str">
        <f t="shared" ca="1" si="152"/>
        <v>-</v>
      </c>
      <c r="N1947" s="18" t="str">
        <f t="shared" si="153"/>
        <v>K1622:L5000</v>
      </c>
      <c r="O1947" t="str">
        <f t="shared" si="154"/>
        <v>A1622:A1947</v>
      </c>
    </row>
    <row r="1948" spans="1:15">
      <c r="A1948" s="18">
        <f>Charms!K1948</f>
        <v>0</v>
      </c>
      <c r="B1948">
        <f>Charms!B1948</f>
        <v>0</v>
      </c>
      <c r="C1948" t="b">
        <f ca="1">OR(Values!$S$98&gt;=Charms!M1948,IFERROR(Charms!J1948=OFFSET(Values!$A$24,MATCH("S",Values!$T$25:$T$50,0),0),FALSE))</f>
        <v>1</v>
      </c>
      <c r="D1948" t="e">
        <f>VLOOKUP(Charms!J1948,Values!$A$11:$S$59,19,0)&gt;=Charms!L1948</f>
        <v>#N/A</v>
      </c>
      <c r="E1948" t="e">
        <f>OR(ISBLANK(Charms!I1948),(VLOOKUP(Values!$S$6,Castes!$B$2:$F$25,4,0)=Charms!I1948))</f>
        <v>#N/A</v>
      </c>
      <c r="J1948" t="e">
        <f t="shared" ca="1" si="151"/>
        <v>#N/A</v>
      </c>
      <c r="K1948" s="18" t="e">
        <f t="shared" ca="1" si="150"/>
        <v>#N/A</v>
      </c>
      <c r="L1948" t="e">
        <f ca="1">IF(J1948,Charms!B1948,"")</f>
        <v>#N/A</v>
      </c>
      <c r="M1948" t="str">
        <f t="shared" ca="1" si="152"/>
        <v>-</v>
      </c>
      <c r="N1948" s="18" t="str">
        <f t="shared" si="153"/>
        <v>K1622:L5000</v>
      </c>
      <c r="O1948" t="str">
        <f t="shared" si="154"/>
        <v>A1622:A1948</v>
      </c>
    </row>
    <row r="1949" spans="1:15">
      <c r="A1949" s="18">
        <f>Charms!K1949</f>
        <v>0</v>
      </c>
      <c r="B1949">
        <f>Charms!B1949</f>
        <v>0</v>
      </c>
      <c r="C1949" t="b">
        <f ca="1">OR(Values!$S$98&gt;=Charms!M1949,IFERROR(Charms!J1949=OFFSET(Values!$A$24,MATCH("S",Values!$T$25:$T$50,0),0),FALSE))</f>
        <v>1</v>
      </c>
      <c r="D1949" t="e">
        <f>VLOOKUP(Charms!J1949,Values!$A$11:$S$59,19,0)&gt;=Charms!L1949</f>
        <v>#N/A</v>
      </c>
      <c r="E1949" t="e">
        <f>OR(ISBLANK(Charms!I1949),(VLOOKUP(Values!$S$6,Castes!$B$2:$F$25,4,0)=Charms!I1949))</f>
        <v>#N/A</v>
      </c>
      <c r="J1949" t="e">
        <f t="shared" ca="1" si="151"/>
        <v>#N/A</v>
      </c>
      <c r="K1949" s="18" t="e">
        <f t="shared" ca="1" si="150"/>
        <v>#N/A</v>
      </c>
      <c r="L1949" t="e">
        <f ca="1">IF(J1949,Charms!B1949,"")</f>
        <v>#N/A</v>
      </c>
      <c r="M1949" t="str">
        <f t="shared" ca="1" si="152"/>
        <v>-</v>
      </c>
      <c r="N1949" s="18" t="str">
        <f t="shared" si="153"/>
        <v>K1622:L5000</v>
      </c>
      <c r="O1949" t="str">
        <f t="shared" si="154"/>
        <v>A1622:A1949</v>
      </c>
    </row>
    <row r="1950" spans="1:15">
      <c r="A1950" s="18">
        <f>Charms!K1950</f>
        <v>0</v>
      </c>
      <c r="B1950">
        <f>Charms!B1950</f>
        <v>0</v>
      </c>
      <c r="C1950" t="b">
        <f ca="1">OR(Values!$S$98&gt;=Charms!M1950,IFERROR(Charms!J1950=OFFSET(Values!$A$24,MATCH("S",Values!$T$25:$T$50,0),0),FALSE))</f>
        <v>1</v>
      </c>
      <c r="D1950" t="e">
        <f>VLOOKUP(Charms!J1950,Values!$A$11:$S$59,19,0)&gt;=Charms!L1950</f>
        <v>#N/A</v>
      </c>
      <c r="E1950" t="e">
        <f>OR(ISBLANK(Charms!I1950),(VLOOKUP(Values!$S$6,Castes!$B$2:$F$25,4,0)=Charms!I1950))</f>
        <v>#N/A</v>
      </c>
      <c r="J1950" t="e">
        <f t="shared" ca="1" si="151"/>
        <v>#N/A</v>
      </c>
      <c r="K1950" s="18" t="e">
        <f t="shared" ca="1" si="150"/>
        <v>#N/A</v>
      </c>
      <c r="L1950" t="e">
        <f ca="1">IF(J1950,Charms!B1950,"")</f>
        <v>#N/A</v>
      </c>
      <c r="M1950" t="str">
        <f t="shared" ca="1" si="152"/>
        <v>-</v>
      </c>
      <c r="N1950" s="18" t="str">
        <f t="shared" si="153"/>
        <v>K1622:L5000</v>
      </c>
      <c r="O1950" t="str">
        <f t="shared" si="154"/>
        <v>A1622:A1950</v>
      </c>
    </row>
    <row r="1951" spans="1:15">
      <c r="A1951" s="18">
        <f>Charms!K1951</f>
        <v>0</v>
      </c>
      <c r="B1951">
        <f>Charms!B1951</f>
        <v>0</v>
      </c>
      <c r="C1951" t="b">
        <f ca="1">OR(Values!$S$98&gt;=Charms!M1951,IFERROR(Charms!J1951=OFFSET(Values!$A$24,MATCH("S",Values!$T$25:$T$50,0),0),FALSE))</f>
        <v>1</v>
      </c>
      <c r="D1951" t="e">
        <f>VLOOKUP(Charms!J1951,Values!$A$11:$S$59,19,0)&gt;=Charms!L1951</f>
        <v>#N/A</v>
      </c>
      <c r="E1951" t="e">
        <f>OR(ISBLANK(Charms!I1951),(VLOOKUP(Values!$S$6,Castes!$B$2:$F$25,4,0)=Charms!I1951))</f>
        <v>#N/A</v>
      </c>
      <c r="J1951" t="e">
        <f t="shared" ca="1" si="151"/>
        <v>#N/A</v>
      </c>
      <c r="K1951" s="18" t="e">
        <f t="shared" ca="1" si="150"/>
        <v>#N/A</v>
      </c>
      <c r="L1951" t="e">
        <f ca="1">IF(J1951,Charms!B1951,"")</f>
        <v>#N/A</v>
      </c>
      <c r="M1951" t="str">
        <f t="shared" ca="1" si="152"/>
        <v>-</v>
      </c>
      <c r="N1951" s="18" t="str">
        <f t="shared" si="153"/>
        <v>K1622:L5000</v>
      </c>
      <c r="O1951" t="str">
        <f t="shared" si="154"/>
        <v>A1622:A1951</v>
      </c>
    </row>
    <row r="1952" spans="1:15">
      <c r="A1952" s="18">
        <f>Charms!K1952</f>
        <v>0</v>
      </c>
      <c r="B1952">
        <f>Charms!B1952</f>
        <v>0</v>
      </c>
      <c r="C1952" t="b">
        <f ca="1">OR(Values!$S$98&gt;=Charms!M1952,IFERROR(Charms!J1952=OFFSET(Values!$A$24,MATCH("S",Values!$T$25:$T$50,0),0),FALSE))</f>
        <v>1</v>
      </c>
      <c r="D1952" t="e">
        <f>VLOOKUP(Charms!J1952,Values!$A$11:$S$59,19,0)&gt;=Charms!L1952</f>
        <v>#N/A</v>
      </c>
      <c r="E1952" t="e">
        <f>OR(ISBLANK(Charms!I1952),(VLOOKUP(Values!$S$6,Castes!$B$2:$F$25,4,0)=Charms!I1952))</f>
        <v>#N/A</v>
      </c>
      <c r="J1952" t="e">
        <f t="shared" ca="1" si="151"/>
        <v>#N/A</v>
      </c>
      <c r="K1952" s="18" t="e">
        <f t="shared" ca="1" si="150"/>
        <v>#N/A</v>
      </c>
      <c r="L1952" t="e">
        <f ca="1">IF(J1952,Charms!B1952,"")</f>
        <v>#N/A</v>
      </c>
      <c r="M1952" t="str">
        <f t="shared" ca="1" si="152"/>
        <v>-</v>
      </c>
      <c r="N1952" s="18" t="str">
        <f t="shared" si="153"/>
        <v>K1622:L5000</v>
      </c>
      <c r="O1952" t="str">
        <f t="shared" si="154"/>
        <v>A1622:A1952</v>
      </c>
    </row>
    <row r="1953" spans="1:15">
      <c r="A1953" s="18">
        <f>Charms!K1953</f>
        <v>0</v>
      </c>
      <c r="B1953">
        <f>Charms!B1953</f>
        <v>0</v>
      </c>
      <c r="C1953" t="b">
        <f ca="1">OR(Values!$S$98&gt;=Charms!M1953,IFERROR(Charms!J1953=OFFSET(Values!$A$24,MATCH("S",Values!$T$25:$T$50,0),0),FALSE))</f>
        <v>1</v>
      </c>
      <c r="D1953" t="e">
        <f>VLOOKUP(Charms!J1953,Values!$A$11:$S$59,19,0)&gt;=Charms!L1953</f>
        <v>#N/A</v>
      </c>
      <c r="E1953" t="e">
        <f>OR(ISBLANK(Charms!I1953),(VLOOKUP(Values!$S$6,Castes!$B$2:$F$25,4,0)=Charms!I1953))</f>
        <v>#N/A</v>
      </c>
      <c r="J1953" t="e">
        <f t="shared" ca="1" si="151"/>
        <v>#N/A</v>
      </c>
      <c r="K1953" s="18" t="e">
        <f t="shared" ca="1" si="150"/>
        <v>#N/A</v>
      </c>
      <c r="L1953" t="e">
        <f ca="1">IF(J1953,Charms!B1953,"")</f>
        <v>#N/A</v>
      </c>
      <c r="M1953" t="str">
        <f t="shared" ca="1" si="152"/>
        <v>-</v>
      </c>
      <c r="N1953" s="18" t="str">
        <f t="shared" si="153"/>
        <v>K1622:L5000</v>
      </c>
      <c r="O1953" t="str">
        <f t="shared" si="154"/>
        <v>A1622:A1953</v>
      </c>
    </row>
    <row r="1954" spans="1:15">
      <c r="A1954" s="18">
        <f>Charms!K1954</f>
        <v>0</v>
      </c>
      <c r="B1954">
        <f>Charms!B1954</f>
        <v>0</v>
      </c>
      <c r="C1954" t="b">
        <f ca="1">OR(Values!$S$98&gt;=Charms!M1954,IFERROR(Charms!J1954=OFFSET(Values!$A$24,MATCH("S",Values!$T$25:$T$50,0),0),FALSE))</f>
        <v>1</v>
      </c>
      <c r="D1954" t="e">
        <f>VLOOKUP(Charms!J1954,Values!$A$11:$S$59,19,0)&gt;=Charms!L1954</f>
        <v>#N/A</v>
      </c>
      <c r="E1954" t="e">
        <f>OR(ISBLANK(Charms!I1954),(VLOOKUP(Values!$S$6,Castes!$B$2:$F$25,4,0)=Charms!I1954))</f>
        <v>#N/A</v>
      </c>
      <c r="J1954" t="e">
        <f t="shared" ca="1" si="151"/>
        <v>#N/A</v>
      </c>
      <c r="K1954" s="18" t="e">
        <f t="shared" ca="1" si="150"/>
        <v>#N/A</v>
      </c>
      <c r="L1954" t="e">
        <f ca="1">IF(J1954,Charms!B1954,"")</f>
        <v>#N/A</v>
      </c>
      <c r="M1954" t="str">
        <f t="shared" ca="1" si="152"/>
        <v>-</v>
      </c>
      <c r="N1954" s="18" t="str">
        <f t="shared" si="153"/>
        <v>K1622:L5000</v>
      </c>
      <c r="O1954" t="str">
        <f t="shared" si="154"/>
        <v>A1622:A1954</v>
      </c>
    </row>
    <row r="1955" spans="1:15">
      <c r="A1955" s="18">
        <f>Charms!K1955</f>
        <v>0</v>
      </c>
      <c r="B1955">
        <f>Charms!B1955</f>
        <v>0</v>
      </c>
      <c r="C1955" t="b">
        <f ca="1">OR(Values!$S$98&gt;=Charms!M1955,IFERROR(Charms!J1955=OFFSET(Values!$A$24,MATCH("S",Values!$T$25:$T$50,0),0),FALSE))</f>
        <v>1</v>
      </c>
      <c r="D1955" t="e">
        <f>VLOOKUP(Charms!J1955,Values!$A$11:$S$59,19,0)&gt;=Charms!L1955</f>
        <v>#N/A</v>
      </c>
      <c r="E1955" t="e">
        <f>OR(ISBLANK(Charms!I1955),(VLOOKUP(Values!$S$6,Castes!$B$2:$F$25,4,0)=Charms!I1955))</f>
        <v>#N/A</v>
      </c>
      <c r="J1955" t="e">
        <f t="shared" ca="1" si="151"/>
        <v>#N/A</v>
      </c>
      <c r="K1955" s="18" t="e">
        <f t="shared" ca="1" si="150"/>
        <v>#N/A</v>
      </c>
      <c r="L1955" t="e">
        <f ca="1">IF(J1955,Charms!B1955,"")</f>
        <v>#N/A</v>
      </c>
      <c r="M1955" t="str">
        <f t="shared" ca="1" si="152"/>
        <v>-</v>
      </c>
      <c r="N1955" s="18" t="str">
        <f t="shared" si="153"/>
        <v>K1622:L5000</v>
      </c>
      <c r="O1955" t="str">
        <f t="shared" si="154"/>
        <v>A1622:A1955</v>
      </c>
    </row>
    <row r="1956" spans="1:15">
      <c r="A1956" s="18">
        <f>Charms!K1956</f>
        <v>0</v>
      </c>
      <c r="B1956">
        <f>Charms!B1956</f>
        <v>0</v>
      </c>
      <c r="C1956" t="b">
        <f ca="1">OR(Values!$S$98&gt;=Charms!M1956,IFERROR(Charms!J1956=OFFSET(Values!$A$24,MATCH("S",Values!$T$25:$T$50,0),0),FALSE))</f>
        <v>1</v>
      </c>
      <c r="D1956" t="e">
        <f>VLOOKUP(Charms!J1956,Values!$A$11:$S$59,19,0)&gt;=Charms!L1956</f>
        <v>#N/A</v>
      </c>
      <c r="E1956" t="e">
        <f>OR(ISBLANK(Charms!I1956),(VLOOKUP(Values!$S$6,Castes!$B$2:$F$25,4,0)=Charms!I1956))</f>
        <v>#N/A</v>
      </c>
      <c r="J1956" t="e">
        <f t="shared" ca="1" si="151"/>
        <v>#N/A</v>
      </c>
      <c r="K1956" s="18" t="e">
        <f t="shared" ca="1" si="150"/>
        <v>#N/A</v>
      </c>
      <c r="L1956" t="e">
        <f ca="1">IF(J1956,Charms!B1956,"")</f>
        <v>#N/A</v>
      </c>
      <c r="M1956" t="str">
        <f t="shared" ca="1" si="152"/>
        <v>-</v>
      </c>
      <c r="N1956" s="18" t="str">
        <f t="shared" si="153"/>
        <v>K1622:L5000</v>
      </c>
      <c r="O1956" t="str">
        <f t="shared" si="154"/>
        <v>A1622:A1956</v>
      </c>
    </row>
    <row r="1957" spans="1:15">
      <c r="A1957" s="18">
        <f>Charms!K1957</f>
        <v>0</v>
      </c>
      <c r="B1957">
        <f>Charms!B1957</f>
        <v>0</v>
      </c>
      <c r="C1957" t="b">
        <f ca="1">OR(Values!$S$98&gt;=Charms!M1957,IFERROR(Charms!J1957=OFFSET(Values!$A$24,MATCH("S",Values!$T$25:$T$50,0),0),FALSE))</f>
        <v>1</v>
      </c>
      <c r="D1957" t="e">
        <f>VLOOKUP(Charms!J1957,Values!$A$11:$S$59,19,0)&gt;=Charms!L1957</f>
        <v>#N/A</v>
      </c>
      <c r="E1957" t="e">
        <f>OR(ISBLANK(Charms!I1957),(VLOOKUP(Values!$S$6,Castes!$B$2:$F$25,4,0)=Charms!I1957))</f>
        <v>#N/A</v>
      </c>
      <c r="J1957" t="e">
        <f t="shared" ca="1" si="151"/>
        <v>#N/A</v>
      </c>
      <c r="K1957" s="18" t="e">
        <f t="shared" ca="1" si="150"/>
        <v>#N/A</v>
      </c>
      <c r="L1957" t="e">
        <f ca="1">IF(J1957,Charms!B1957,"")</f>
        <v>#N/A</v>
      </c>
      <c r="M1957" t="str">
        <f t="shared" ca="1" si="152"/>
        <v>-</v>
      </c>
      <c r="N1957" s="18" t="str">
        <f t="shared" si="153"/>
        <v>K1622:L5000</v>
      </c>
      <c r="O1957" t="str">
        <f t="shared" si="154"/>
        <v>A1622:A1957</v>
      </c>
    </row>
    <row r="1958" spans="1:15">
      <c r="A1958" s="18">
        <f>Charms!K1958</f>
        <v>0</v>
      </c>
      <c r="B1958">
        <f>Charms!B1958</f>
        <v>0</v>
      </c>
      <c r="C1958" t="b">
        <f ca="1">OR(Values!$S$98&gt;=Charms!M1958,IFERROR(Charms!J1958=OFFSET(Values!$A$24,MATCH("S",Values!$T$25:$T$50,0),0),FALSE))</f>
        <v>1</v>
      </c>
      <c r="D1958" t="e">
        <f>VLOOKUP(Charms!J1958,Values!$A$11:$S$59,19,0)&gt;=Charms!L1958</f>
        <v>#N/A</v>
      </c>
      <c r="E1958" t="e">
        <f>OR(ISBLANK(Charms!I1958),(VLOOKUP(Values!$S$6,Castes!$B$2:$F$25,4,0)=Charms!I1958))</f>
        <v>#N/A</v>
      </c>
      <c r="J1958" t="e">
        <f t="shared" ca="1" si="151"/>
        <v>#N/A</v>
      </c>
      <c r="K1958" s="18" t="e">
        <f t="shared" ca="1" si="150"/>
        <v>#N/A</v>
      </c>
      <c r="L1958" t="e">
        <f ca="1">IF(J1958,Charms!B1958,"")</f>
        <v>#N/A</v>
      </c>
      <c r="M1958" t="str">
        <f t="shared" ca="1" si="152"/>
        <v>-</v>
      </c>
      <c r="N1958" s="18" t="str">
        <f t="shared" si="153"/>
        <v>K1622:L5000</v>
      </c>
      <c r="O1958" t="str">
        <f t="shared" si="154"/>
        <v>A1622:A1958</v>
      </c>
    </row>
    <row r="1959" spans="1:15">
      <c r="A1959" s="18">
        <f>Charms!K1959</f>
        <v>0</v>
      </c>
      <c r="B1959">
        <f>Charms!B1959</f>
        <v>0</v>
      </c>
      <c r="C1959" t="b">
        <f ca="1">OR(Values!$S$98&gt;=Charms!M1959,IFERROR(Charms!J1959=OFFSET(Values!$A$24,MATCH("S",Values!$T$25:$T$50,0),0),FALSE))</f>
        <v>1</v>
      </c>
      <c r="D1959" t="e">
        <f>VLOOKUP(Charms!J1959,Values!$A$11:$S$59,19,0)&gt;=Charms!L1959</f>
        <v>#N/A</v>
      </c>
      <c r="E1959" t="e">
        <f>OR(ISBLANK(Charms!I1959),(VLOOKUP(Values!$S$6,Castes!$B$2:$F$25,4,0)=Charms!I1959))</f>
        <v>#N/A</v>
      </c>
      <c r="J1959" t="e">
        <f t="shared" ca="1" si="151"/>
        <v>#N/A</v>
      </c>
      <c r="K1959" s="18" t="e">
        <f t="shared" ca="1" si="150"/>
        <v>#N/A</v>
      </c>
      <c r="L1959" t="e">
        <f ca="1">IF(J1959,Charms!B1959,"")</f>
        <v>#N/A</v>
      </c>
      <c r="M1959" t="str">
        <f t="shared" ca="1" si="152"/>
        <v>-</v>
      </c>
      <c r="N1959" s="18" t="str">
        <f t="shared" si="153"/>
        <v>K1622:L5000</v>
      </c>
      <c r="O1959" t="str">
        <f t="shared" si="154"/>
        <v>A1622:A1959</v>
      </c>
    </row>
    <row r="1960" spans="1:15">
      <c r="A1960" s="18">
        <f>Charms!K1960</f>
        <v>0</v>
      </c>
      <c r="B1960">
        <f>Charms!B1960</f>
        <v>0</v>
      </c>
      <c r="C1960" t="b">
        <f ca="1">OR(Values!$S$98&gt;=Charms!M1960,IFERROR(Charms!J1960=OFFSET(Values!$A$24,MATCH("S",Values!$T$25:$T$50,0),0),FALSE))</f>
        <v>1</v>
      </c>
      <c r="D1960" t="e">
        <f>VLOOKUP(Charms!J1960,Values!$A$11:$S$59,19,0)&gt;=Charms!L1960</f>
        <v>#N/A</v>
      </c>
      <c r="E1960" t="e">
        <f>OR(ISBLANK(Charms!I1960),(VLOOKUP(Values!$S$6,Castes!$B$2:$F$25,4,0)=Charms!I1960))</f>
        <v>#N/A</v>
      </c>
      <c r="J1960" t="e">
        <f t="shared" ca="1" si="151"/>
        <v>#N/A</v>
      </c>
      <c r="K1960" s="18" t="e">
        <f t="shared" ca="1" si="150"/>
        <v>#N/A</v>
      </c>
      <c r="L1960" t="e">
        <f ca="1">IF(J1960,Charms!B1960,"")</f>
        <v>#N/A</v>
      </c>
      <c r="M1960" t="str">
        <f t="shared" ca="1" si="152"/>
        <v>-</v>
      </c>
      <c r="N1960" s="18" t="str">
        <f t="shared" si="153"/>
        <v>K1622:L5000</v>
      </c>
      <c r="O1960" t="str">
        <f t="shared" si="154"/>
        <v>A1622:A1960</v>
      </c>
    </row>
    <row r="1961" spans="1:15">
      <c r="A1961" s="18">
        <f>Charms!K1961</f>
        <v>0</v>
      </c>
      <c r="B1961">
        <f>Charms!B1961</f>
        <v>0</v>
      </c>
      <c r="C1961" t="b">
        <f ca="1">OR(Values!$S$98&gt;=Charms!M1961,IFERROR(Charms!J1961=OFFSET(Values!$A$24,MATCH("S",Values!$T$25:$T$50,0),0),FALSE))</f>
        <v>1</v>
      </c>
      <c r="D1961" t="e">
        <f>VLOOKUP(Charms!J1961,Values!$A$11:$S$59,19,0)&gt;=Charms!L1961</f>
        <v>#N/A</v>
      </c>
      <c r="E1961" t="e">
        <f>OR(ISBLANK(Charms!I1961),(VLOOKUP(Values!$S$6,Castes!$B$2:$F$25,4,0)=Charms!I1961))</f>
        <v>#N/A</v>
      </c>
      <c r="J1961" t="e">
        <f t="shared" ca="1" si="151"/>
        <v>#N/A</v>
      </c>
      <c r="K1961" s="18" t="e">
        <f t="shared" ca="1" si="150"/>
        <v>#N/A</v>
      </c>
      <c r="L1961" t="e">
        <f ca="1">IF(J1961,Charms!B1961,"")</f>
        <v>#N/A</v>
      </c>
      <c r="M1961" t="str">
        <f t="shared" ca="1" si="152"/>
        <v>-</v>
      </c>
      <c r="N1961" s="18" t="str">
        <f t="shared" si="153"/>
        <v>K1622:L5000</v>
      </c>
      <c r="O1961" t="str">
        <f t="shared" si="154"/>
        <v>A1622:A1961</v>
      </c>
    </row>
    <row r="1962" spans="1:15">
      <c r="A1962" s="18">
        <f>Charms!K1962</f>
        <v>0</v>
      </c>
      <c r="B1962">
        <f>Charms!B1962</f>
        <v>0</v>
      </c>
      <c r="C1962" t="b">
        <f ca="1">OR(Values!$S$98&gt;=Charms!M1962,IFERROR(Charms!J1962=OFFSET(Values!$A$24,MATCH("S",Values!$T$25:$T$50,0),0),FALSE))</f>
        <v>1</v>
      </c>
      <c r="D1962" t="e">
        <f>VLOOKUP(Charms!J1962,Values!$A$11:$S$59,19,0)&gt;=Charms!L1962</f>
        <v>#N/A</v>
      </c>
      <c r="E1962" t="e">
        <f>OR(ISBLANK(Charms!I1962),(VLOOKUP(Values!$S$6,Castes!$B$2:$F$25,4,0)=Charms!I1962))</f>
        <v>#N/A</v>
      </c>
      <c r="J1962" t="e">
        <f t="shared" ca="1" si="151"/>
        <v>#N/A</v>
      </c>
      <c r="K1962" s="18" t="e">
        <f t="shared" ca="1" si="150"/>
        <v>#N/A</v>
      </c>
      <c r="L1962" t="e">
        <f ca="1">IF(J1962,Charms!B1962,"")</f>
        <v>#N/A</v>
      </c>
      <c r="M1962" t="str">
        <f t="shared" ca="1" si="152"/>
        <v>-</v>
      </c>
      <c r="N1962" s="18" t="str">
        <f t="shared" si="153"/>
        <v>K1622:L5000</v>
      </c>
      <c r="O1962" t="str">
        <f t="shared" si="154"/>
        <v>A1622:A1962</v>
      </c>
    </row>
    <row r="1963" spans="1:15">
      <c r="A1963" s="18">
        <f>Charms!K1963</f>
        <v>0</v>
      </c>
      <c r="B1963">
        <f>Charms!B1963</f>
        <v>0</v>
      </c>
      <c r="C1963" t="b">
        <f ca="1">OR(Values!$S$98&gt;=Charms!M1963,IFERROR(Charms!J1963=OFFSET(Values!$A$24,MATCH("S",Values!$T$25:$T$50,0),0),FALSE))</f>
        <v>1</v>
      </c>
      <c r="D1963" t="e">
        <f>VLOOKUP(Charms!J1963,Values!$A$11:$S$59,19,0)&gt;=Charms!L1963</f>
        <v>#N/A</v>
      </c>
      <c r="E1963" t="e">
        <f>OR(ISBLANK(Charms!I1963),(VLOOKUP(Values!$S$6,Castes!$B$2:$F$25,4,0)=Charms!I1963))</f>
        <v>#N/A</v>
      </c>
      <c r="J1963" t="e">
        <f t="shared" ca="1" si="151"/>
        <v>#N/A</v>
      </c>
      <c r="K1963" s="18" t="e">
        <f t="shared" ca="1" si="150"/>
        <v>#N/A</v>
      </c>
      <c r="L1963" t="e">
        <f ca="1">IF(J1963,Charms!B1963,"")</f>
        <v>#N/A</v>
      </c>
      <c r="M1963" t="str">
        <f t="shared" ca="1" si="152"/>
        <v>-</v>
      </c>
      <c r="N1963" s="18" t="str">
        <f t="shared" si="153"/>
        <v>K1622:L5000</v>
      </c>
      <c r="O1963" t="str">
        <f t="shared" si="154"/>
        <v>A1622:A1963</v>
      </c>
    </row>
    <row r="1964" spans="1:15">
      <c r="A1964" s="18">
        <f>Charms!K1964</f>
        <v>0</v>
      </c>
      <c r="B1964">
        <f>Charms!B1964</f>
        <v>0</v>
      </c>
      <c r="C1964" t="b">
        <f ca="1">OR(Values!$S$98&gt;=Charms!M1964,IFERROR(Charms!J1964=OFFSET(Values!$A$24,MATCH("S",Values!$T$25:$T$50,0),0),FALSE))</f>
        <v>1</v>
      </c>
      <c r="D1964" t="e">
        <f>VLOOKUP(Charms!J1964,Values!$A$11:$S$59,19,0)&gt;=Charms!L1964</f>
        <v>#N/A</v>
      </c>
      <c r="E1964" t="e">
        <f>OR(ISBLANK(Charms!I1964),(VLOOKUP(Values!$S$6,Castes!$B$2:$F$25,4,0)=Charms!I1964))</f>
        <v>#N/A</v>
      </c>
      <c r="J1964" t="e">
        <f t="shared" ca="1" si="151"/>
        <v>#N/A</v>
      </c>
      <c r="K1964" s="18" t="e">
        <f t="shared" ca="1" si="150"/>
        <v>#N/A</v>
      </c>
      <c r="L1964" t="e">
        <f ca="1">IF(J1964,Charms!B1964,"")</f>
        <v>#N/A</v>
      </c>
      <c r="M1964" t="str">
        <f t="shared" ca="1" si="152"/>
        <v>-</v>
      </c>
      <c r="N1964" s="18" t="str">
        <f t="shared" si="153"/>
        <v>K1622:L5000</v>
      </c>
      <c r="O1964" t="str">
        <f t="shared" si="154"/>
        <v>A1622:A1964</v>
      </c>
    </row>
    <row r="1965" spans="1:15">
      <c r="A1965" s="18">
        <f>Charms!K1965</f>
        <v>0</v>
      </c>
      <c r="B1965">
        <f>Charms!B1965</f>
        <v>0</v>
      </c>
      <c r="C1965" t="b">
        <f ca="1">OR(Values!$S$98&gt;=Charms!M1965,IFERROR(Charms!J1965=OFFSET(Values!$A$24,MATCH("S",Values!$T$25:$T$50,0),0),FALSE))</f>
        <v>1</v>
      </c>
      <c r="D1965" t="e">
        <f>VLOOKUP(Charms!J1965,Values!$A$11:$S$59,19,0)&gt;=Charms!L1965</f>
        <v>#N/A</v>
      </c>
      <c r="E1965" t="e">
        <f>OR(ISBLANK(Charms!I1965),(VLOOKUP(Values!$S$6,Castes!$B$2:$F$25,4,0)=Charms!I1965))</f>
        <v>#N/A</v>
      </c>
      <c r="J1965" t="e">
        <f t="shared" ca="1" si="151"/>
        <v>#N/A</v>
      </c>
      <c r="K1965" s="18" t="e">
        <f t="shared" ca="1" si="150"/>
        <v>#N/A</v>
      </c>
      <c r="L1965" t="e">
        <f ca="1">IF(J1965,Charms!B1965,"")</f>
        <v>#N/A</v>
      </c>
      <c r="M1965" t="str">
        <f t="shared" ca="1" si="152"/>
        <v>-</v>
      </c>
      <c r="N1965" s="18" t="str">
        <f t="shared" si="153"/>
        <v>K1622:L5000</v>
      </c>
      <c r="O1965" t="str">
        <f t="shared" si="154"/>
        <v>A1622:A1965</v>
      </c>
    </row>
    <row r="1966" spans="1:15">
      <c r="A1966" s="18">
        <f>Charms!K1966</f>
        <v>0</v>
      </c>
      <c r="B1966">
        <f>Charms!B1966</f>
        <v>0</v>
      </c>
      <c r="C1966" t="b">
        <f ca="1">OR(Values!$S$98&gt;=Charms!M1966,IFERROR(Charms!J1966=OFFSET(Values!$A$24,MATCH("S",Values!$T$25:$T$50,0),0),FALSE))</f>
        <v>1</v>
      </c>
      <c r="D1966" t="e">
        <f>VLOOKUP(Charms!J1966,Values!$A$11:$S$59,19,0)&gt;=Charms!L1966</f>
        <v>#N/A</v>
      </c>
      <c r="E1966" t="e">
        <f>OR(ISBLANK(Charms!I1966),(VLOOKUP(Values!$S$6,Castes!$B$2:$F$25,4,0)=Charms!I1966))</f>
        <v>#N/A</v>
      </c>
      <c r="J1966" t="e">
        <f t="shared" ca="1" si="151"/>
        <v>#N/A</v>
      </c>
      <c r="K1966" s="18" t="e">
        <f t="shared" ca="1" si="150"/>
        <v>#N/A</v>
      </c>
      <c r="L1966" t="e">
        <f ca="1">IF(J1966,Charms!B1966,"")</f>
        <v>#N/A</v>
      </c>
      <c r="M1966" t="str">
        <f t="shared" ca="1" si="152"/>
        <v>-</v>
      </c>
      <c r="N1966" s="18" t="str">
        <f t="shared" si="153"/>
        <v>K1622:L5000</v>
      </c>
      <c r="O1966" t="str">
        <f t="shared" si="154"/>
        <v>A1622:A1966</v>
      </c>
    </row>
    <row r="1967" spans="1:15">
      <c r="A1967" s="18">
        <f>Charms!K1967</f>
        <v>0</v>
      </c>
      <c r="B1967">
        <f>Charms!B1967</f>
        <v>0</v>
      </c>
      <c r="C1967" t="b">
        <f ca="1">OR(Values!$S$98&gt;=Charms!M1967,IFERROR(Charms!J1967=OFFSET(Values!$A$24,MATCH("S",Values!$T$25:$T$50,0),0),FALSE))</f>
        <v>1</v>
      </c>
      <c r="D1967" t="e">
        <f>VLOOKUP(Charms!J1967,Values!$A$11:$S$59,19,0)&gt;=Charms!L1967</f>
        <v>#N/A</v>
      </c>
      <c r="E1967" t="e">
        <f>OR(ISBLANK(Charms!I1967),(VLOOKUP(Values!$S$6,Castes!$B$2:$F$25,4,0)=Charms!I1967))</f>
        <v>#N/A</v>
      </c>
      <c r="J1967" t="e">
        <f t="shared" ca="1" si="151"/>
        <v>#N/A</v>
      </c>
      <c r="K1967" s="18" t="e">
        <f t="shared" ca="1" si="150"/>
        <v>#N/A</v>
      </c>
      <c r="L1967" t="e">
        <f ca="1">IF(J1967,Charms!B1967,"")</f>
        <v>#N/A</v>
      </c>
      <c r="M1967" t="str">
        <f t="shared" ca="1" si="152"/>
        <v>-</v>
      </c>
      <c r="N1967" s="18" t="str">
        <f t="shared" si="153"/>
        <v>K1622:L5000</v>
      </c>
      <c r="O1967" t="str">
        <f t="shared" si="154"/>
        <v>A1622:A1967</v>
      </c>
    </row>
    <row r="1968" spans="1:15">
      <c r="A1968" s="18">
        <f>Charms!K1968</f>
        <v>0</v>
      </c>
      <c r="B1968">
        <f>Charms!B1968</f>
        <v>0</v>
      </c>
      <c r="C1968" t="b">
        <f ca="1">OR(Values!$S$98&gt;=Charms!M1968,IFERROR(Charms!J1968=OFFSET(Values!$A$24,MATCH("S",Values!$T$25:$T$50,0),0),FALSE))</f>
        <v>1</v>
      </c>
      <c r="D1968" t="e">
        <f>VLOOKUP(Charms!J1968,Values!$A$11:$S$59,19,0)&gt;=Charms!L1968</f>
        <v>#N/A</v>
      </c>
      <c r="E1968" t="e">
        <f>OR(ISBLANK(Charms!I1968),(VLOOKUP(Values!$S$6,Castes!$B$2:$F$25,4,0)=Charms!I1968))</f>
        <v>#N/A</v>
      </c>
      <c r="J1968" t="e">
        <f t="shared" ca="1" si="151"/>
        <v>#N/A</v>
      </c>
      <c r="K1968" s="18" t="e">
        <f t="shared" ca="1" si="150"/>
        <v>#N/A</v>
      </c>
      <c r="L1968" t="e">
        <f ca="1">IF(J1968,Charms!B1968,"")</f>
        <v>#N/A</v>
      </c>
      <c r="M1968" t="str">
        <f t="shared" ca="1" si="152"/>
        <v>-</v>
      </c>
      <c r="N1968" s="18" t="str">
        <f t="shared" si="153"/>
        <v>K1622:L5000</v>
      </c>
      <c r="O1968" t="str">
        <f t="shared" si="154"/>
        <v>A1622:A1968</v>
      </c>
    </row>
    <row r="1969" spans="1:15">
      <c r="A1969" s="18">
        <f>Charms!K1969</f>
        <v>0</v>
      </c>
      <c r="B1969">
        <f>Charms!B1969</f>
        <v>0</v>
      </c>
      <c r="C1969" t="b">
        <f ca="1">OR(Values!$S$98&gt;=Charms!M1969,IFERROR(Charms!J1969=OFFSET(Values!$A$24,MATCH("S",Values!$T$25:$T$50,0),0),FALSE))</f>
        <v>1</v>
      </c>
      <c r="D1969" t="e">
        <f>VLOOKUP(Charms!J1969,Values!$A$11:$S$59,19,0)&gt;=Charms!L1969</f>
        <v>#N/A</v>
      </c>
      <c r="E1969" t="e">
        <f>OR(ISBLANK(Charms!I1969),(VLOOKUP(Values!$S$6,Castes!$B$2:$F$25,4,0)=Charms!I1969))</f>
        <v>#N/A</v>
      </c>
      <c r="J1969" t="e">
        <f t="shared" ca="1" si="151"/>
        <v>#N/A</v>
      </c>
      <c r="K1969" s="18" t="e">
        <f t="shared" ca="1" si="150"/>
        <v>#N/A</v>
      </c>
      <c r="L1969" t="e">
        <f ca="1">IF(J1969,Charms!B1969,"")</f>
        <v>#N/A</v>
      </c>
      <c r="M1969" t="str">
        <f t="shared" ca="1" si="152"/>
        <v>-</v>
      </c>
      <c r="N1969" s="18" t="str">
        <f t="shared" si="153"/>
        <v>K1622:L5000</v>
      </c>
      <c r="O1969" t="str">
        <f t="shared" si="154"/>
        <v>A1622:A1969</v>
      </c>
    </row>
    <row r="1970" spans="1:15">
      <c r="A1970" s="18">
        <f>Charms!K1970</f>
        <v>0</v>
      </c>
      <c r="B1970">
        <f>Charms!B1970</f>
        <v>0</v>
      </c>
      <c r="C1970" t="b">
        <f ca="1">OR(Values!$S$98&gt;=Charms!M1970,IFERROR(Charms!J1970=OFFSET(Values!$A$24,MATCH("S",Values!$T$25:$T$50,0),0),FALSE))</f>
        <v>1</v>
      </c>
      <c r="D1970" t="e">
        <f>VLOOKUP(Charms!J1970,Values!$A$11:$S$59,19,0)&gt;=Charms!L1970</f>
        <v>#N/A</v>
      </c>
      <c r="E1970" t="e">
        <f>OR(ISBLANK(Charms!I1970),(VLOOKUP(Values!$S$6,Castes!$B$2:$F$25,4,0)=Charms!I1970))</f>
        <v>#N/A</v>
      </c>
      <c r="J1970" t="e">
        <f t="shared" ca="1" si="151"/>
        <v>#N/A</v>
      </c>
      <c r="K1970" s="18" t="e">
        <f t="shared" ca="1" si="150"/>
        <v>#N/A</v>
      </c>
      <c r="L1970" t="e">
        <f ca="1">IF(J1970,Charms!B1970,"")</f>
        <v>#N/A</v>
      </c>
      <c r="M1970" t="str">
        <f t="shared" ca="1" si="152"/>
        <v>-</v>
      </c>
      <c r="N1970" s="18" t="str">
        <f t="shared" si="153"/>
        <v>K1622:L5000</v>
      </c>
      <c r="O1970" t="str">
        <f t="shared" si="154"/>
        <v>A1622:A1970</v>
      </c>
    </row>
    <row r="1971" spans="1:15">
      <c r="A1971" s="18">
        <f>Charms!K1971</f>
        <v>0</v>
      </c>
      <c r="B1971">
        <f>Charms!B1971</f>
        <v>0</v>
      </c>
      <c r="C1971" t="b">
        <f ca="1">OR(Values!$S$98&gt;=Charms!M1971,IFERROR(Charms!J1971=OFFSET(Values!$A$24,MATCH("S",Values!$T$25:$T$50,0),0),FALSE))</f>
        <v>1</v>
      </c>
      <c r="D1971" t="e">
        <f>VLOOKUP(Charms!J1971,Values!$A$11:$S$59,19,0)&gt;=Charms!L1971</f>
        <v>#N/A</v>
      </c>
      <c r="E1971" t="e">
        <f>OR(ISBLANK(Charms!I1971),(VLOOKUP(Values!$S$6,Castes!$B$2:$F$25,4,0)=Charms!I1971))</f>
        <v>#N/A</v>
      </c>
      <c r="J1971" t="e">
        <f t="shared" ca="1" si="151"/>
        <v>#N/A</v>
      </c>
      <c r="K1971" s="18" t="e">
        <f t="shared" ca="1" si="150"/>
        <v>#N/A</v>
      </c>
      <c r="L1971" t="e">
        <f ca="1">IF(J1971,Charms!B1971,"")</f>
        <v>#N/A</v>
      </c>
      <c r="M1971" t="str">
        <f t="shared" ca="1" si="152"/>
        <v>-</v>
      </c>
      <c r="N1971" s="18" t="str">
        <f t="shared" si="153"/>
        <v>K1622:L5000</v>
      </c>
      <c r="O1971" t="str">
        <f t="shared" si="154"/>
        <v>A1622:A1971</v>
      </c>
    </row>
    <row r="1972" spans="1:15">
      <c r="A1972" s="18">
        <f>Charms!K1972</f>
        <v>0</v>
      </c>
      <c r="B1972">
        <f>Charms!B1972</f>
        <v>0</v>
      </c>
      <c r="C1972" t="b">
        <f ca="1">OR(Values!$S$98&gt;=Charms!M1972,IFERROR(Charms!J1972=OFFSET(Values!$A$24,MATCH("S",Values!$T$25:$T$50,0),0),FALSE))</f>
        <v>1</v>
      </c>
      <c r="D1972" t="e">
        <f>VLOOKUP(Charms!J1972,Values!$A$11:$S$59,19,0)&gt;=Charms!L1972</f>
        <v>#N/A</v>
      </c>
      <c r="E1972" t="e">
        <f>OR(ISBLANK(Charms!I1972),(VLOOKUP(Values!$S$6,Castes!$B$2:$F$25,4,0)=Charms!I1972))</f>
        <v>#N/A</v>
      </c>
      <c r="J1972" t="e">
        <f t="shared" ca="1" si="151"/>
        <v>#N/A</v>
      </c>
      <c r="K1972" s="18" t="e">
        <f t="shared" ca="1" si="150"/>
        <v>#N/A</v>
      </c>
      <c r="L1972" t="e">
        <f ca="1">IF(J1972,Charms!B1972,"")</f>
        <v>#N/A</v>
      </c>
      <c r="M1972" t="str">
        <f t="shared" ca="1" si="152"/>
        <v>-</v>
      </c>
      <c r="N1972" s="18" t="str">
        <f t="shared" si="153"/>
        <v>K1622:L5000</v>
      </c>
      <c r="O1972" t="str">
        <f t="shared" si="154"/>
        <v>A1622:A1972</v>
      </c>
    </row>
    <row r="1973" spans="1:15">
      <c r="A1973" s="18">
        <f>Charms!K1973</f>
        <v>0</v>
      </c>
      <c r="B1973">
        <f>Charms!B1973</f>
        <v>0</v>
      </c>
      <c r="C1973" t="b">
        <f ca="1">OR(Values!$S$98&gt;=Charms!M1973,IFERROR(Charms!J1973=OFFSET(Values!$A$24,MATCH("S",Values!$T$25:$T$50,0),0),FALSE))</f>
        <v>1</v>
      </c>
      <c r="D1973" t="e">
        <f>VLOOKUP(Charms!J1973,Values!$A$11:$S$59,19,0)&gt;=Charms!L1973</f>
        <v>#N/A</v>
      </c>
      <c r="E1973" t="e">
        <f>OR(ISBLANK(Charms!I1973),(VLOOKUP(Values!$S$6,Castes!$B$2:$F$25,4,0)=Charms!I1973))</f>
        <v>#N/A</v>
      </c>
      <c r="J1973" t="e">
        <f t="shared" ca="1" si="151"/>
        <v>#N/A</v>
      </c>
      <c r="K1973" s="18" t="e">
        <f t="shared" ca="1" si="150"/>
        <v>#N/A</v>
      </c>
      <c r="L1973" t="e">
        <f ca="1">IF(J1973,Charms!B1973,"")</f>
        <v>#N/A</v>
      </c>
      <c r="M1973" t="str">
        <f t="shared" ca="1" si="152"/>
        <v>-</v>
      </c>
      <c r="N1973" s="18" t="str">
        <f t="shared" si="153"/>
        <v>K1622:L5000</v>
      </c>
      <c r="O1973" t="str">
        <f t="shared" si="154"/>
        <v>A1622:A1973</v>
      </c>
    </row>
    <row r="1974" spans="1:15">
      <c r="A1974" s="18">
        <f>Charms!K1974</f>
        <v>0</v>
      </c>
      <c r="B1974">
        <f>Charms!B1974</f>
        <v>0</v>
      </c>
      <c r="C1974" t="b">
        <f ca="1">OR(Values!$S$98&gt;=Charms!M1974,IFERROR(Charms!J1974=OFFSET(Values!$A$24,MATCH("S",Values!$T$25:$T$50,0),0),FALSE))</f>
        <v>1</v>
      </c>
      <c r="D1974" t="e">
        <f>VLOOKUP(Charms!J1974,Values!$A$11:$S$59,19,0)&gt;=Charms!L1974</f>
        <v>#N/A</v>
      </c>
      <c r="E1974" t="e">
        <f>OR(ISBLANK(Charms!I1974),(VLOOKUP(Values!$S$6,Castes!$B$2:$F$25,4,0)=Charms!I1974))</f>
        <v>#N/A</v>
      </c>
      <c r="J1974" t="e">
        <f t="shared" ca="1" si="151"/>
        <v>#N/A</v>
      </c>
      <c r="K1974" s="18" t="e">
        <f t="shared" ca="1" si="150"/>
        <v>#N/A</v>
      </c>
      <c r="L1974" t="e">
        <f ca="1">IF(J1974,Charms!B1974,"")</f>
        <v>#N/A</v>
      </c>
      <c r="M1974" t="str">
        <f t="shared" ca="1" si="152"/>
        <v>-</v>
      </c>
      <c r="N1974" s="18" t="str">
        <f t="shared" si="153"/>
        <v>K1622:L5000</v>
      </c>
      <c r="O1974" t="str">
        <f t="shared" si="154"/>
        <v>A1622:A1974</v>
      </c>
    </row>
    <row r="1975" spans="1:15">
      <c r="A1975" s="18">
        <f>Charms!K1975</f>
        <v>0</v>
      </c>
      <c r="B1975">
        <f>Charms!B1975</f>
        <v>0</v>
      </c>
      <c r="C1975" t="b">
        <f ca="1">OR(Values!$S$98&gt;=Charms!M1975,IFERROR(Charms!J1975=OFFSET(Values!$A$24,MATCH("S",Values!$T$25:$T$50,0),0),FALSE))</f>
        <v>1</v>
      </c>
      <c r="D1975" t="e">
        <f>VLOOKUP(Charms!J1975,Values!$A$11:$S$59,19,0)&gt;=Charms!L1975</f>
        <v>#N/A</v>
      </c>
      <c r="E1975" t="e">
        <f>OR(ISBLANK(Charms!I1975),(VLOOKUP(Values!$S$6,Castes!$B$2:$F$25,4,0)=Charms!I1975))</f>
        <v>#N/A</v>
      </c>
      <c r="J1975" t="e">
        <f t="shared" ca="1" si="151"/>
        <v>#N/A</v>
      </c>
      <c r="K1975" s="18" t="e">
        <f t="shared" ca="1" si="150"/>
        <v>#N/A</v>
      </c>
      <c r="L1975" t="e">
        <f ca="1">IF(J1975,Charms!B1975,"")</f>
        <v>#N/A</v>
      </c>
      <c r="M1975" t="str">
        <f t="shared" ca="1" si="152"/>
        <v>-</v>
      </c>
      <c r="N1975" s="18" t="str">
        <f t="shared" si="153"/>
        <v>K1622:L5000</v>
      </c>
      <c r="O1975" t="str">
        <f t="shared" si="154"/>
        <v>A1622:A1975</v>
      </c>
    </row>
    <row r="1976" spans="1:15">
      <c r="A1976" s="18">
        <f>Charms!K1976</f>
        <v>0</v>
      </c>
      <c r="B1976">
        <f>Charms!B1976</f>
        <v>0</v>
      </c>
      <c r="C1976" t="b">
        <f ca="1">OR(Values!$S$98&gt;=Charms!M1976,IFERROR(Charms!J1976=OFFSET(Values!$A$24,MATCH("S",Values!$T$25:$T$50,0),0),FALSE))</f>
        <v>1</v>
      </c>
      <c r="D1976" t="e">
        <f>VLOOKUP(Charms!J1976,Values!$A$11:$S$59,19,0)&gt;=Charms!L1976</f>
        <v>#N/A</v>
      </c>
      <c r="E1976" t="e">
        <f>OR(ISBLANK(Charms!I1976),(VLOOKUP(Values!$S$6,Castes!$B$2:$F$25,4,0)=Charms!I1976))</f>
        <v>#N/A</v>
      </c>
      <c r="J1976" t="e">
        <f t="shared" ca="1" si="151"/>
        <v>#N/A</v>
      </c>
      <c r="K1976" s="18" t="e">
        <f t="shared" ca="1" si="150"/>
        <v>#N/A</v>
      </c>
      <c r="L1976" t="e">
        <f ca="1">IF(J1976,Charms!B1976,"")</f>
        <v>#N/A</v>
      </c>
      <c r="M1976" t="str">
        <f t="shared" ca="1" si="152"/>
        <v>-</v>
      </c>
      <c r="N1976" s="18" t="str">
        <f t="shared" si="153"/>
        <v>K1622:L5000</v>
      </c>
      <c r="O1976" t="str">
        <f t="shared" si="154"/>
        <v>A1622:A1976</v>
      </c>
    </row>
    <row r="1977" spans="1:15">
      <c r="A1977" s="18">
        <f>Charms!K1977</f>
        <v>0</v>
      </c>
      <c r="B1977">
        <f>Charms!B1977</f>
        <v>0</v>
      </c>
      <c r="C1977" t="b">
        <f ca="1">OR(Values!$S$98&gt;=Charms!M1977,IFERROR(Charms!J1977=OFFSET(Values!$A$24,MATCH("S",Values!$T$25:$T$50,0),0),FALSE))</f>
        <v>1</v>
      </c>
      <c r="D1977" t="e">
        <f>VLOOKUP(Charms!J1977,Values!$A$11:$S$59,19,0)&gt;=Charms!L1977</f>
        <v>#N/A</v>
      </c>
      <c r="E1977" t="e">
        <f>OR(ISBLANK(Charms!I1977),(VLOOKUP(Values!$S$6,Castes!$B$2:$F$25,4,0)=Charms!I1977))</f>
        <v>#N/A</v>
      </c>
      <c r="J1977" t="e">
        <f t="shared" ca="1" si="151"/>
        <v>#N/A</v>
      </c>
      <c r="K1977" s="18" t="e">
        <f t="shared" ca="1" si="150"/>
        <v>#N/A</v>
      </c>
      <c r="L1977" t="e">
        <f ca="1">IF(J1977,Charms!B1977,"")</f>
        <v>#N/A</v>
      </c>
      <c r="M1977" t="str">
        <f t="shared" ca="1" si="152"/>
        <v>-</v>
      </c>
      <c r="N1977" s="18" t="str">
        <f t="shared" si="153"/>
        <v>K1622:L5000</v>
      </c>
      <c r="O1977" t="str">
        <f t="shared" si="154"/>
        <v>A1622:A1977</v>
      </c>
    </row>
    <row r="1978" spans="1:15">
      <c r="A1978" s="18">
        <f>Charms!K1978</f>
        <v>0</v>
      </c>
      <c r="B1978">
        <f>Charms!B1978</f>
        <v>0</v>
      </c>
      <c r="C1978" t="b">
        <f ca="1">OR(Values!$S$98&gt;=Charms!M1978,IFERROR(Charms!J1978=OFFSET(Values!$A$24,MATCH("S",Values!$T$25:$T$50,0),0),FALSE))</f>
        <v>1</v>
      </c>
      <c r="D1978" t="e">
        <f>VLOOKUP(Charms!J1978,Values!$A$11:$S$59,19,0)&gt;=Charms!L1978</f>
        <v>#N/A</v>
      </c>
      <c r="E1978" t="e">
        <f>OR(ISBLANK(Charms!I1978),(VLOOKUP(Values!$S$6,Castes!$B$2:$F$25,4,0)=Charms!I1978))</f>
        <v>#N/A</v>
      </c>
      <c r="J1978" t="e">
        <f t="shared" ca="1" si="151"/>
        <v>#N/A</v>
      </c>
      <c r="K1978" s="18" t="e">
        <f t="shared" ca="1" si="150"/>
        <v>#N/A</v>
      </c>
      <c r="L1978" t="e">
        <f ca="1">IF(J1978,Charms!B1978,"")</f>
        <v>#N/A</v>
      </c>
      <c r="M1978" t="str">
        <f t="shared" ca="1" si="152"/>
        <v>-</v>
      </c>
      <c r="N1978" s="18" t="str">
        <f t="shared" si="153"/>
        <v>K1622:L5000</v>
      </c>
      <c r="O1978" t="str">
        <f t="shared" si="154"/>
        <v>A1622:A1978</v>
      </c>
    </row>
    <row r="1979" spans="1:15">
      <c r="A1979" s="18">
        <f>Charms!K1979</f>
        <v>0</v>
      </c>
      <c r="B1979">
        <f>Charms!B1979</f>
        <v>0</v>
      </c>
      <c r="C1979" t="b">
        <f ca="1">OR(Values!$S$98&gt;=Charms!M1979,IFERROR(Charms!J1979=OFFSET(Values!$A$24,MATCH("S",Values!$T$25:$T$50,0),0),FALSE))</f>
        <v>1</v>
      </c>
      <c r="D1979" t="e">
        <f>VLOOKUP(Charms!J1979,Values!$A$11:$S$59,19,0)&gt;=Charms!L1979</f>
        <v>#N/A</v>
      </c>
      <c r="E1979" t="e">
        <f>OR(ISBLANK(Charms!I1979),(VLOOKUP(Values!$S$6,Castes!$B$2:$F$25,4,0)=Charms!I1979))</f>
        <v>#N/A</v>
      </c>
      <c r="J1979" t="e">
        <f t="shared" ca="1" si="151"/>
        <v>#N/A</v>
      </c>
      <c r="K1979" s="18" t="e">
        <f t="shared" ca="1" si="150"/>
        <v>#N/A</v>
      </c>
      <c r="L1979" t="e">
        <f ca="1">IF(J1979,Charms!B1979,"")</f>
        <v>#N/A</v>
      </c>
      <c r="M1979" t="str">
        <f t="shared" ca="1" si="152"/>
        <v>-</v>
      </c>
      <c r="N1979" s="18" t="str">
        <f t="shared" si="153"/>
        <v>K1622:L5000</v>
      </c>
      <c r="O1979" t="str">
        <f t="shared" si="154"/>
        <v>A1622:A1979</v>
      </c>
    </row>
    <row r="1980" spans="1:15">
      <c r="A1980" s="18">
        <f>Charms!K1980</f>
        <v>0</v>
      </c>
      <c r="B1980">
        <f>Charms!B1980</f>
        <v>0</v>
      </c>
      <c r="C1980" t="b">
        <f ca="1">OR(Values!$S$98&gt;=Charms!M1980,IFERROR(Charms!J1980=OFFSET(Values!$A$24,MATCH("S",Values!$T$25:$T$50,0),0),FALSE))</f>
        <v>1</v>
      </c>
      <c r="D1980" t="e">
        <f>VLOOKUP(Charms!J1980,Values!$A$11:$S$59,19,0)&gt;=Charms!L1980</f>
        <v>#N/A</v>
      </c>
      <c r="E1980" t="e">
        <f>OR(ISBLANK(Charms!I1980),(VLOOKUP(Values!$S$6,Castes!$B$2:$F$25,4,0)=Charms!I1980))</f>
        <v>#N/A</v>
      </c>
      <c r="J1980" t="e">
        <f t="shared" ca="1" si="151"/>
        <v>#N/A</v>
      </c>
      <c r="K1980" s="18" t="e">
        <f t="shared" ca="1" si="150"/>
        <v>#N/A</v>
      </c>
      <c r="L1980" t="e">
        <f ca="1">IF(J1980,Charms!B1980,"")</f>
        <v>#N/A</v>
      </c>
      <c r="M1980" t="str">
        <f t="shared" ca="1" si="152"/>
        <v>-</v>
      </c>
      <c r="N1980" s="18" t="str">
        <f t="shared" si="153"/>
        <v>K1622:L5000</v>
      </c>
      <c r="O1980" t="str">
        <f t="shared" si="154"/>
        <v>A1622:A1980</v>
      </c>
    </row>
    <row r="1981" spans="1:15">
      <c r="A1981" s="18">
        <f>Charms!K1981</f>
        <v>0</v>
      </c>
      <c r="B1981">
        <f>Charms!B1981</f>
        <v>0</v>
      </c>
      <c r="C1981" t="b">
        <f ca="1">OR(Values!$S$98&gt;=Charms!M1981,IFERROR(Charms!J1981=OFFSET(Values!$A$24,MATCH("S",Values!$T$25:$T$50,0),0),FALSE))</f>
        <v>1</v>
      </c>
      <c r="D1981" t="e">
        <f>VLOOKUP(Charms!J1981,Values!$A$11:$S$59,19,0)&gt;=Charms!L1981</f>
        <v>#N/A</v>
      </c>
      <c r="E1981" t="e">
        <f>OR(ISBLANK(Charms!I1981),(VLOOKUP(Values!$S$6,Castes!$B$2:$F$25,4,0)=Charms!I1981))</f>
        <v>#N/A</v>
      </c>
      <c r="J1981" t="e">
        <f t="shared" ca="1" si="151"/>
        <v>#N/A</v>
      </c>
      <c r="K1981" s="18" t="e">
        <f t="shared" ca="1" si="150"/>
        <v>#N/A</v>
      </c>
      <c r="L1981" t="e">
        <f ca="1">IF(J1981,Charms!B1981,"")</f>
        <v>#N/A</v>
      </c>
      <c r="M1981" t="str">
        <f t="shared" ca="1" si="152"/>
        <v>-</v>
      </c>
      <c r="N1981" s="18" t="str">
        <f t="shared" si="153"/>
        <v>K1622:L5000</v>
      </c>
      <c r="O1981" t="str">
        <f t="shared" si="154"/>
        <v>A1622:A1981</v>
      </c>
    </row>
    <row r="1982" spans="1:15">
      <c r="A1982" s="18">
        <f>Charms!K1982</f>
        <v>0</v>
      </c>
      <c r="B1982">
        <f>Charms!B1982</f>
        <v>0</v>
      </c>
      <c r="C1982" t="b">
        <f ca="1">OR(Values!$S$98&gt;=Charms!M1982,IFERROR(Charms!J1982=OFFSET(Values!$A$24,MATCH("S",Values!$T$25:$T$50,0),0),FALSE))</f>
        <v>1</v>
      </c>
      <c r="D1982" t="e">
        <f>VLOOKUP(Charms!J1982,Values!$A$11:$S$59,19,0)&gt;=Charms!L1982</f>
        <v>#N/A</v>
      </c>
      <c r="E1982" t="e">
        <f>OR(ISBLANK(Charms!I1982),(VLOOKUP(Values!$S$6,Castes!$B$2:$F$25,4,0)=Charms!I1982))</f>
        <v>#N/A</v>
      </c>
      <c r="J1982" t="e">
        <f t="shared" ca="1" si="151"/>
        <v>#N/A</v>
      </c>
      <c r="K1982" s="18" t="e">
        <f t="shared" ca="1" si="150"/>
        <v>#N/A</v>
      </c>
      <c r="L1982" t="e">
        <f ca="1">IF(J1982,Charms!B1982,"")</f>
        <v>#N/A</v>
      </c>
      <c r="M1982" t="str">
        <f t="shared" ca="1" si="152"/>
        <v>-</v>
      </c>
      <c r="N1982" s="18" t="str">
        <f t="shared" si="153"/>
        <v>K1622:L5000</v>
      </c>
      <c r="O1982" t="str">
        <f t="shared" si="154"/>
        <v>A1622:A1982</v>
      </c>
    </row>
    <row r="1983" spans="1:15">
      <c r="A1983" s="18">
        <f>Charms!K1983</f>
        <v>0</v>
      </c>
      <c r="B1983">
        <f>Charms!B1983</f>
        <v>0</v>
      </c>
      <c r="C1983" t="b">
        <f ca="1">OR(Values!$S$98&gt;=Charms!M1983,IFERROR(Charms!J1983=OFFSET(Values!$A$24,MATCH("S",Values!$T$25:$T$50,0),0),FALSE))</f>
        <v>1</v>
      </c>
      <c r="D1983" t="e">
        <f>VLOOKUP(Charms!J1983,Values!$A$11:$S$59,19,0)&gt;=Charms!L1983</f>
        <v>#N/A</v>
      </c>
      <c r="E1983" t="e">
        <f>OR(ISBLANK(Charms!I1983),(VLOOKUP(Values!$S$6,Castes!$B$2:$F$25,4,0)=Charms!I1983))</f>
        <v>#N/A</v>
      </c>
      <c r="J1983" t="e">
        <f t="shared" ca="1" si="151"/>
        <v>#N/A</v>
      </c>
      <c r="K1983" s="18" t="e">
        <f t="shared" ca="1" si="150"/>
        <v>#N/A</v>
      </c>
      <c r="L1983" t="e">
        <f ca="1">IF(J1983,Charms!B1983,"")</f>
        <v>#N/A</v>
      </c>
      <c r="M1983" t="str">
        <f t="shared" ca="1" si="152"/>
        <v>-</v>
      </c>
      <c r="N1983" s="18" t="str">
        <f t="shared" si="153"/>
        <v>K1622:L5000</v>
      </c>
      <c r="O1983" t="str">
        <f t="shared" si="154"/>
        <v>A1622:A1983</v>
      </c>
    </row>
    <row r="1984" spans="1:15">
      <c r="A1984" s="18">
        <f>Charms!K1984</f>
        <v>0</v>
      </c>
      <c r="B1984">
        <f>Charms!B1984</f>
        <v>0</v>
      </c>
      <c r="C1984" t="b">
        <f ca="1">OR(Values!$S$98&gt;=Charms!M1984,IFERROR(Charms!J1984=OFFSET(Values!$A$24,MATCH("S",Values!$T$25:$T$50,0),0),FALSE))</f>
        <v>1</v>
      </c>
      <c r="D1984" t="e">
        <f>VLOOKUP(Charms!J1984,Values!$A$11:$S$59,19,0)&gt;=Charms!L1984</f>
        <v>#N/A</v>
      </c>
      <c r="E1984" t="e">
        <f>OR(ISBLANK(Charms!I1984),(VLOOKUP(Values!$S$6,Castes!$B$2:$F$25,4,0)=Charms!I1984))</f>
        <v>#N/A</v>
      </c>
      <c r="J1984" t="e">
        <f t="shared" ca="1" si="151"/>
        <v>#N/A</v>
      </c>
      <c r="K1984" s="18" t="e">
        <f t="shared" ca="1" si="150"/>
        <v>#N/A</v>
      </c>
      <c r="L1984" t="e">
        <f ca="1">IF(J1984,Charms!B1984,"")</f>
        <v>#N/A</v>
      </c>
      <c r="M1984" t="str">
        <f t="shared" ca="1" si="152"/>
        <v>-</v>
      </c>
      <c r="N1984" s="18" t="str">
        <f t="shared" si="153"/>
        <v>K1622:L5000</v>
      </c>
      <c r="O1984" t="str">
        <f t="shared" si="154"/>
        <v>A1622:A1984</v>
      </c>
    </row>
    <row r="1985" spans="1:15">
      <c r="A1985" s="18">
        <f>Charms!K1985</f>
        <v>0</v>
      </c>
      <c r="B1985">
        <f>Charms!B1985</f>
        <v>0</v>
      </c>
      <c r="C1985" t="b">
        <f ca="1">OR(Values!$S$98&gt;=Charms!M1985,IFERROR(Charms!J1985=OFFSET(Values!$A$24,MATCH("S",Values!$T$25:$T$50,0),0),FALSE))</f>
        <v>1</v>
      </c>
      <c r="D1985" t="e">
        <f>VLOOKUP(Charms!J1985,Values!$A$11:$S$59,19,0)&gt;=Charms!L1985</f>
        <v>#N/A</v>
      </c>
      <c r="E1985" t="e">
        <f>OR(ISBLANK(Charms!I1985),(VLOOKUP(Values!$S$6,Castes!$B$2:$F$25,4,0)=Charms!I1985))</f>
        <v>#N/A</v>
      </c>
      <c r="J1985" t="e">
        <f t="shared" ca="1" si="151"/>
        <v>#N/A</v>
      </c>
      <c r="K1985" s="18" t="e">
        <f t="shared" ca="1" si="150"/>
        <v>#N/A</v>
      </c>
      <c r="L1985" t="e">
        <f ca="1">IF(J1985,Charms!B1985,"")</f>
        <v>#N/A</v>
      </c>
      <c r="M1985" t="str">
        <f t="shared" ca="1" si="152"/>
        <v>-</v>
      </c>
      <c r="N1985" s="18" t="str">
        <f t="shared" si="153"/>
        <v>K1622:L5000</v>
      </c>
      <c r="O1985" t="str">
        <f t="shared" si="154"/>
        <v>A1622:A1985</v>
      </c>
    </row>
    <row r="1986" spans="1:15">
      <c r="A1986" s="18">
        <f>Charms!K1986</f>
        <v>0</v>
      </c>
      <c r="B1986">
        <f>Charms!B1986</f>
        <v>0</v>
      </c>
      <c r="C1986" t="b">
        <f ca="1">OR(Values!$S$98&gt;=Charms!M1986,IFERROR(Charms!J1986=OFFSET(Values!$A$24,MATCH("S",Values!$T$25:$T$50,0),0),FALSE))</f>
        <v>1</v>
      </c>
      <c r="D1986" t="e">
        <f>VLOOKUP(Charms!J1986,Values!$A$11:$S$59,19,0)&gt;=Charms!L1986</f>
        <v>#N/A</v>
      </c>
      <c r="E1986" t="e">
        <f>OR(ISBLANK(Charms!I1986),(VLOOKUP(Values!$S$6,Castes!$B$2:$F$25,4,0)=Charms!I1986))</f>
        <v>#N/A</v>
      </c>
      <c r="J1986" t="e">
        <f t="shared" ca="1" si="151"/>
        <v>#N/A</v>
      </c>
      <c r="K1986" s="18" t="e">
        <f t="shared" ref="K1986:K2049" ca="1" si="155">IF(L1986="","",COUNTIF(INDIRECT("J"&amp;MATCH(A1986,A:A,0)&amp;":J"&amp;ROW()),J1986))</f>
        <v>#N/A</v>
      </c>
      <c r="L1986" t="e">
        <f ca="1">IF(J1986,Charms!B1986,"")</f>
        <v>#N/A</v>
      </c>
      <c r="M1986" t="str">
        <f t="shared" ca="1" si="152"/>
        <v>-</v>
      </c>
      <c r="N1986" s="18" t="str">
        <f t="shared" si="153"/>
        <v>K1622:L5000</v>
      </c>
      <c r="O1986" t="str">
        <f t="shared" si="154"/>
        <v>A1622:A1986</v>
      </c>
    </row>
    <row r="1987" spans="1:15">
      <c r="A1987" s="18">
        <f>Charms!K1987</f>
        <v>0</v>
      </c>
      <c r="B1987">
        <f>Charms!B1987</f>
        <v>0</v>
      </c>
      <c r="C1987" t="b">
        <f ca="1">OR(Values!$S$98&gt;=Charms!M1987,IFERROR(Charms!J1987=OFFSET(Values!$A$24,MATCH("S",Values!$T$25:$T$50,0),0),FALSE))</f>
        <v>1</v>
      </c>
      <c r="D1987" t="e">
        <f>VLOOKUP(Charms!J1987,Values!$A$11:$S$59,19,0)&gt;=Charms!L1987</f>
        <v>#N/A</v>
      </c>
      <c r="E1987" t="e">
        <f>OR(ISBLANK(Charms!I1987),(VLOOKUP(Values!$S$6,Castes!$B$2:$F$25,4,0)=Charms!I1987))</f>
        <v>#N/A</v>
      </c>
      <c r="J1987" t="e">
        <f t="shared" ref="J1987:J2050" ca="1" si="156">(C1987+D1987+E1987+F1987+G1987+H1987+I1987)=3</f>
        <v>#N/A</v>
      </c>
      <c r="K1987" s="18" t="e">
        <f t="shared" ca="1" si="155"/>
        <v>#N/A</v>
      </c>
      <c r="L1987" t="e">
        <f ca="1">IF(J1987,Charms!B1987,"")</f>
        <v>#N/A</v>
      </c>
      <c r="M1987" t="str">
        <f t="shared" ref="M1987:M2050" ca="1" si="157">IFERROR(VLOOKUP(COUNTIF(INDIRECT(O1987),A1987),INDIRECT(N1987),2,0),"-")</f>
        <v>-</v>
      </c>
      <c r="N1987" s="18" t="str">
        <f t="shared" ref="N1987:N2050" si="158">"K"&amp;MATCH(A1987,A:A,0)&amp;":L"&amp;(MATCH(A1987,A:A,0)+COUNTIF(A:A,A1987)-1)</f>
        <v>K1622:L5000</v>
      </c>
      <c r="O1987" t="str">
        <f t="shared" ref="O1987:O2050" si="159">"A"&amp;MATCH(A1987,A:A,0)&amp;":A"&amp;ROW()</f>
        <v>A1622:A1987</v>
      </c>
    </row>
    <row r="1988" spans="1:15">
      <c r="A1988" s="18">
        <f>Charms!K1988</f>
        <v>0</v>
      </c>
      <c r="B1988">
        <f>Charms!B1988</f>
        <v>0</v>
      </c>
      <c r="C1988" t="b">
        <f ca="1">OR(Values!$S$98&gt;=Charms!M1988,IFERROR(Charms!J1988=OFFSET(Values!$A$24,MATCH("S",Values!$T$25:$T$50,0),0),FALSE))</f>
        <v>1</v>
      </c>
      <c r="D1988" t="e">
        <f>VLOOKUP(Charms!J1988,Values!$A$11:$S$59,19,0)&gt;=Charms!L1988</f>
        <v>#N/A</v>
      </c>
      <c r="E1988" t="e">
        <f>OR(ISBLANK(Charms!I1988),(VLOOKUP(Values!$S$6,Castes!$B$2:$F$25,4,0)=Charms!I1988))</f>
        <v>#N/A</v>
      </c>
      <c r="J1988" t="e">
        <f t="shared" ca="1" si="156"/>
        <v>#N/A</v>
      </c>
      <c r="K1988" s="18" t="e">
        <f t="shared" ca="1" si="155"/>
        <v>#N/A</v>
      </c>
      <c r="L1988" t="e">
        <f ca="1">IF(J1988,Charms!B1988,"")</f>
        <v>#N/A</v>
      </c>
      <c r="M1988" t="str">
        <f t="shared" ca="1" si="157"/>
        <v>-</v>
      </c>
      <c r="N1988" s="18" t="str">
        <f t="shared" si="158"/>
        <v>K1622:L5000</v>
      </c>
      <c r="O1988" t="str">
        <f t="shared" si="159"/>
        <v>A1622:A1988</v>
      </c>
    </row>
    <row r="1989" spans="1:15">
      <c r="A1989" s="18">
        <f>Charms!K1989</f>
        <v>0</v>
      </c>
      <c r="B1989">
        <f>Charms!B1989</f>
        <v>0</v>
      </c>
      <c r="C1989" t="b">
        <f ca="1">OR(Values!$S$98&gt;=Charms!M1989,IFERROR(Charms!J1989=OFFSET(Values!$A$24,MATCH("S",Values!$T$25:$T$50,0),0),FALSE))</f>
        <v>1</v>
      </c>
      <c r="D1989" t="e">
        <f>VLOOKUP(Charms!J1989,Values!$A$11:$S$59,19,0)&gt;=Charms!L1989</f>
        <v>#N/A</v>
      </c>
      <c r="E1989" t="e">
        <f>OR(ISBLANK(Charms!I1989),(VLOOKUP(Values!$S$6,Castes!$B$2:$F$25,4,0)=Charms!I1989))</f>
        <v>#N/A</v>
      </c>
      <c r="J1989" t="e">
        <f t="shared" ca="1" si="156"/>
        <v>#N/A</v>
      </c>
      <c r="K1989" s="18" t="e">
        <f t="shared" ca="1" si="155"/>
        <v>#N/A</v>
      </c>
      <c r="L1989" t="e">
        <f ca="1">IF(J1989,Charms!B1989,"")</f>
        <v>#N/A</v>
      </c>
      <c r="M1989" t="str">
        <f t="shared" ca="1" si="157"/>
        <v>-</v>
      </c>
      <c r="N1989" s="18" t="str">
        <f t="shared" si="158"/>
        <v>K1622:L5000</v>
      </c>
      <c r="O1989" t="str">
        <f t="shared" si="159"/>
        <v>A1622:A1989</v>
      </c>
    </row>
    <row r="1990" spans="1:15">
      <c r="A1990" s="18">
        <f>Charms!K1990</f>
        <v>0</v>
      </c>
      <c r="B1990">
        <f>Charms!B1990</f>
        <v>0</v>
      </c>
      <c r="C1990" t="b">
        <f ca="1">OR(Values!$S$98&gt;=Charms!M1990,IFERROR(Charms!J1990=OFFSET(Values!$A$24,MATCH("S",Values!$T$25:$T$50,0),0),FALSE))</f>
        <v>1</v>
      </c>
      <c r="D1990" t="e">
        <f>VLOOKUP(Charms!J1990,Values!$A$11:$S$59,19,0)&gt;=Charms!L1990</f>
        <v>#N/A</v>
      </c>
      <c r="E1990" t="e">
        <f>OR(ISBLANK(Charms!I1990),(VLOOKUP(Values!$S$6,Castes!$B$2:$F$25,4,0)=Charms!I1990))</f>
        <v>#N/A</v>
      </c>
      <c r="J1990" t="e">
        <f t="shared" ca="1" si="156"/>
        <v>#N/A</v>
      </c>
      <c r="K1990" s="18" t="e">
        <f t="shared" ca="1" si="155"/>
        <v>#N/A</v>
      </c>
      <c r="L1990" t="e">
        <f ca="1">IF(J1990,Charms!B1990,"")</f>
        <v>#N/A</v>
      </c>
      <c r="M1990" t="str">
        <f t="shared" ca="1" si="157"/>
        <v>-</v>
      </c>
      <c r="N1990" s="18" t="str">
        <f t="shared" si="158"/>
        <v>K1622:L5000</v>
      </c>
      <c r="O1990" t="str">
        <f t="shared" si="159"/>
        <v>A1622:A1990</v>
      </c>
    </row>
    <row r="1991" spans="1:15">
      <c r="A1991" s="18">
        <f>Charms!K1991</f>
        <v>0</v>
      </c>
      <c r="B1991">
        <f>Charms!B1991</f>
        <v>0</v>
      </c>
      <c r="C1991" t="b">
        <f ca="1">OR(Values!$S$98&gt;=Charms!M1991,IFERROR(Charms!J1991=OFFSET(Values!$A$24,MATCH("S",Values!$T$25:$T$50,0),0),FALSE))</f>
        <v>1</v>
      </c>
      <c r="D1991" t="e">
        <f>VLOOKUP(Charms!J1991,Values!$A$11:$S$59,19,0)&gt;=Charms!L1991</f>
        <v>#N/A</v>
      </c>
      <c r="E1991" t="e">
        <f>OR(ISBLANK(Charms!I1991),(VLOOKUP(Values!$S$6,Castes!$B$2:$F$25,4,0)=Charms!I1991))</f>
        <v>#N/A</v>
      </c>
      <c r="J1991" t="e">
        <f t="shared" ca="1" si="156"/>
        <v>#N/A</v>
      </c>
      <c r="K1991" s="18" t="e">
        <f t="shared" ca="1" si="155"/>
        <v>#N/A</v>
      </c>
      <c r="L1991" t="e">
        <f ca="1">IF(J1991,Charms!B1991,"")</f>
        <v>#N/A</v>
      </c>
      <c r="M1991" t="str">
        <f t="shared" ca="1" si="157"/>
        <v>-</v>
      </c>
      <c r="N1991" s="18" t="str">
        <f t="shared" si="158"/>
        <v>K1622:L5000</v>
      </c>
      <c r="O1991" t="str">
        <f t="shared" si="159"/>
        <v>A1622:A1991</v>
      </c>
    </row>
    <row r="1992" spans="1:15">
      <c r="A1992" s="18">
        <f>Charms!K1992</f>
        <v>0</v>
      </c>
      <c r="B1992">
        <f>Charms!B1992</f>
        <v>0</v>
      </c>
      <c r="C1992" t="b">
        <f ca="1">OR(Values!$S$98&gt;=Charms!M1992,IFERROR(Charms!J1992=OFFSET(Values!$A$24,MATCH("S",Values!$T$25:$T$50,0),0),FALSE))</f>
        <v>1</v>
      </c>
      <c r="D1992" t="e">
        <f>VLOOKUP(Charms!J1992,Values!$A$11:$S$59,19,0)&gt;=Charms!L1992</f>
        <v>#N/A</v>
      </c>
      <c r="E1992" t="e">
        <f>OR(ISBLANK(Charms!I1992),(VLOOKUP(Values!$S$6,Castes!$B$2:$F$25,4,0)=Charms!I1992))</f>
        <v>#N/A</v>
      </c>
      <c r="J1992" t="e">
        <f t="shared" ca="1" si="156"/>
        <v>#N/A</v>
      </c>
      <c r="K1992" s="18" t="e">
        <f t="shared" ca="1" si="155"/>
        <v>#N/A</v>
      </c>
      <c r="L1992" t="e">
        <f ca="1">IF(J1992,Charms!B1992,"")</f>
        <v>#N/A</v>
      </c>
      <c r="M1992" t="str">
        <f t="shared" ca="1" si="157"/>
        <v>-</v>
      </c>
      <c r="N1992" s="18" t="str">
        <f t="shared" si="158"/>
        <v>K1622:L5000</v>
      </c>
      <c r="O1992" t="str">
        <f t="shared" si="159"/>
        <v>A1622:A1992</v>
      </c>
    </row>
    <row r="1993" spans="1:15">
      <c r="A1993" s="18">
        <f>Charms!K1993</f>
        <v>0</v>
      </c>
      <c r="B1993">
        <f>Charms!B1993</f>
        <v>0</v>
      </c>
      <c r="C1993" t="b">
        <f ca="1">OR(Values!$S$98&gt;=Charms!M1993,IFERROR(Charms!J1993=OFFSET(Values!$A$24,MATCH("S",Values!$T$25:$T$50,0),0),FALSE))</f>
        <v>1</v>
      </c>
      <c r="D1993" t="e">
        <f>VLOOKUP(Charms!J1993,Values!$A$11:$S$59,19,0)&gt;=Charms!L1993</f>
        <v>#N/A</v>
      </c>
      <c r="E1993" t="e">
        <f>OR(ISBLANK(Charms!I1993),(VLOOKUP(Values!$S$6,Castes!$B$2:$F$25,4,0)=Charms!I1993))</f>
        <v>#N/A</v>
      </c>
      <c r="J1993" t="e">
        <f t="shared" ca="1" si="156"/>
        <v>#N/A</v>
      </c>
      <c r="K1993" s="18" t="e">
        <f t="shared" ca="1" si="155"/>
        <v>#N/A</v>
      </c>
      <c r="L1993" t="e">
        <f ca="1">IF(J1993,Charms!B1993,"")</f>
        <v>#N/A</v>
      </c>
      <c r="M1993" t="str">
        <f t="shared" ca="1" si="157"/>
        <v>-</v>
      </c>
      <c r="N1993" s="18" t="str">
        <f t="shared" si="158"/>
        <v>K1622:L5000</v>
      </c>
      <c r="O1993" t="str">
        <f t="shared" si="159"/>
        <v>A1622:A1993</v>
      </c>
    </row>
    <row r="1994" spans="1:15">
      <c r="A1994" s="18">
        <f>Charms!K1994</f>
        <v>0</v>
      </c>
      <c r="B1994">
        <f>Charms!B1994</f>
        <v>0</v>
      </c>
      <c r="C1994" t="b">
        <f ca="1">OR(Values!$S$98&gt;=Charms!M1994,IFERROR(Charms!J1994=OFFSET(Values!$A$24,MATCH("S",Values!$T$25:$T$50,0),0),FALSE))</f>
        <v>1</v>
      </c>
      <c r="D1994" t="e">
        <f>VLOOKUP(Charms!J1994,Values!$A$11:$S$59,19,0)&gt;=Charms!L1994</f>
        <v>#N/A</v>
      </c>
      <c r="E1994" t="e">
        <f>OR(ISBLANK(Charms!I1994),(VLOOKUP(Values!$S$6,Castes!$B$2:$F$25,4,0)=Charms!I1994))</f>
        <v>#N/A</v>
      </c>
      <c r="J1994" t="e">
        <f t="shared" ca="1" si="156"/>
        <v>#N/A</v>
      </c>
      <c r="K1994" s="18" t="e">
        <f t="shared" ca="1" si="155"/>
        <v>#N/A</v>
      </c>
      <c r="L1994" t="e">
        <f ca="1">IF(J1994,Charms!B1994,"")</f>
        <v>#N/A</v>
      </c>
      <c r="M1994" t="str">
        <f t="shared" ca="1" si="157"/>
        <v>-</v>
      </c>
      <c r="N1994" s="18" t="str">
        <f t="shared" si="158"/>
        <v>K1622:L5000</v>
      </c>
      <c r="O1994" t="str">
        <f t="shared" si="159"/>
        <v>A1622:A1994</v>
      </c>
    </row>
    <row r="1995" spans="1:15">
      <c r="A1995" s="18">
        <f>Charms!K1995</f>
        <v>0</v>
      </c>
      <c r="B1995">
        <f>Charms!B1995</f>
        <v>0</v>
      </c>
      <c r="C1995" t="b">
        <f ca="1">OR(Values!$S$98&gt;=Charms!M1995,IFERROR(Charms!J1995=OFFSET(Values!$A$24,MATCH("S",Values!$T$25:$T$50,0),0),FALSE))</f>
        <v>1</v>
      </c>
      <c r="D1995" t="e">
        <f>VLOOKUP(Charms!J1995,Values!$A$11:$S$59,19,0)&gt;=Charms!L1995</f>
        <v>#N/A</v>
      </c>
      <c r="E1995" t="e">
        <f>OR(ISBLANK(Charms!I1995),(VLOOKUP(Values!$S$6,Castes!$B$2:$F$25,4,0)=Charms!I1995))</f>
        <v>#N/A</v>
      </c>
      <c r="J1995" t="e">
        <f t="shared" ca="1" si="156"/>
        <v>#N/A</v>
      </c>
      <c r="K1995" s="18" t="e">
        <f t="shared" ca="1" si="155"/>
        <v>#N/A</v>
      </c>
      <c r="L1995" t="e">
        <f ca="1">IF(J1995,Charms!B1995,"")</f>
        <v>#N/A</v>
      </c>
      <c r="M1995" t="str">
        <f t="shared" ca="1" si="157"/>
        <v>-</v>
      </c>
      <c r="N1995" s="18" t="str">
        <f t="shared" si="158"/>
        <v>K1622:L5000</v>
      </c>
      <c r="O1995" t="str">
        <f t="shared" si="159"/>
        <v>A1622:A1995</v>
      </c>
    </row>
    <row r="1996" spans="1:15">
      <c r="A1996" s="18">
        <f>Charms!K1996</f>
        <v>0</v>
      </c>
      <c r="B1996">
        <f>Charms!B1996</f>
        <v>0</v>
      </c>
      <c r="C1996" t="b">
        <f ca="1">OR(Values!$S$98&gt;=Charms!M1996,IFERROR(Charms!J1996=OFFSET(Values!$A$24,MATCH("S",Values!$T$25:$T$50,0),0),FALSE))</f>
        <v>1</v>
      </c>
      <c r="D1996" t="e">
        <f>VLOOKUP(Charms!J1996,Values!$A$11:$S$59,19,0)&gt;=Charms!L1996</f>
        <v>#N/A</v>
      </c>
      <c r="E1996" t="e">
        <f>OR(ISBLANK(Charms!I1996),(VLOOKUP(Values!$S$6,Castes!$B$2:$F$25,4,0)=Charms!I1996))</f>
        <v>#N/A</v>
      </c>
      <c r="J1996" t="e">
        <f t="shared" ca="1" si="156"/>
        <v>#N/A</v>
      </c>
      <c r="K1996" s="18" t="e">
        <f t="shared" ca="1" si="155"/>
        <v>#N/A</v>
      </c>
      <c r="L1996" t="e">
        <f ca="1">IF(J1996,Charms!B1996,"")</f>
        <v>#N/A</v>
      </c>
      <c r="M1996" t="str">
        <f t="shared" ca="1" si="157"/>
        <v>-</v>
      </c>
      <c r="N1996" s="18" t="str">
        <f t="shared" si="158"/>
        <v>K1622:L5000</v>
      </c>
      <c r="O1996" t="str">
        <f t="shared" si="159"/>
        <v>A1622:A1996</v>
      </c>
    </row>
    <row r="1997" spans="1:15">
      <c r="A1997" s="18">
        <f>Charms!K1997</f>
        <v>0</v>
      </c>
      <c r="B1997">
        <f>Charms!B1997</f>
        <v>0</v>
      </c>
      <c r="C1997" t="b">
        <f ca="1">OR(Values!$S$98&gt;=Charms!M1997,IFERROR(Charms!J1997=OFFSET(Values!$A$24,MATCH("S",Values!$T$25:$T$50,0),0),FALSE))</f>
        <v>1</v>
      </c>
      <c r="D1997" t="e">
        <f>VLOOKUP(Charms!J1997,Values!$A$11:$S$59,19,0)&gt;=Charms!L1997</f>
        <v>#N/A</v>
      </c>
      <c r="E1997" t="e">
        <f>OR(ISBLANK(Charms!I1997),(VLOOKUP(Values!$S$6,Castes!$B$2:$F$25,4,0)=Charms!I1997))</f>
        <v>#N/A</v>
      </c>
      <c r="J1997" t="e">
        <f t="shared" ca="1" si="156"/>
        <v>#N/A</v>
      </c>
      <c r="K1997" s="18" t="e">
        <f t="shared" ca="1" si="155"/>
        <v>#N/A</v>
      </c>
      <c r="L1997" t="e">
        <f ca="1">IF(J1997,Charms!B1997,"")</f>
        <v>#N/A</v>
      </c>
      <c r="M1997" t="str">
        <f t="shared" ca="1" si="157"/>
        <v>-</v>
      </c>
      <c r="N1997" s="18" t="str">
        <f t="shared" si="158"/>
        <v>K1622:L5000</v>
      </c>
      <c r="O1997" t="str">
        <f t="shared" si="159"/>
        <v>A1622:A1997</v>
      </c>
    </row>
    <row r="1998" spans="1:15">
      <c r="A1998" s="18">
        <f>Charms!K1998</f>
        <v>0</v>
      </c>
      <c r="B1998">
        <f>Charms!B1998</f>
        <v>0</v>
      </c>
      <c r="C1998" t="b">
        <f ca="1">OR(Values!$S$98&gt;=Charms!M1998,IFERROR(Charms!J1998=OFFSET(Values!$A$24,MATCH("S",Values!$T$25:$T$50,0),0),FALSE))</f>
        <v>1</v>
      </c>
      <c r="D1998" t="e">
        <f>VLOOKUP(Charms!J1998,Values!$A$11:$S$59,19,0)&gt;=Charms!L1998</f>
        <v>#N/A</v>
      </c>
      <c r="E1998" t="e">
        <f>OR(ISBLANK(Charms!I1998),(VLOOKUP(Values!$S$6,Castes!$B$2:$F$25,4,0)=Charms!I1998))</f>
        <v>#N/A</v>
      </c>
      <c r="J1998" t="e">
        <f t="shared" ca="1" si="156"/>
        <v>#N/A</v>
      </c>
      <c r="K1998" s="18" t="e">
        <f t="shared" ca="1" si="155"/>
        <v>#N/A</v>
      </c>
      <c r="L1998" t="e">
        <f ca="1">IF(J1998,Charms!B1998,"")</f>
        <v>#N/A</v>
      </c>
      <c r="M1998" t="str">
        <f t="shared" ca="1" si="157"/>
        <v>-</v>
      </c>
      <c r="N1998" s="18" t="str">
        <f t="shared" si="158"/>
        <v>K1622:L5000</v>
      </c>
      <c r="O1998" t="str">
        <f t="shared" si="159"/>
        <v>A1622:A1998</v>
      </c>
    </row>
    <row r="1999" spans="1:15">
      <c r="A1999" s="18">
        <f>Charms!K1999</f>
        <v>0</v>
      </c>
      <c r="B1999">
        <f>Charms!B1999</f>
        <v>0</v>
      </c>
      <c r="C1999" t="b">
        <f ca="1">OR(Values!$S$98&gt;=Charms!M1999,IFERROR(Charms!J1999=OFFSET(Values!$A$24,MATCH("S",Values!$T$25:$T$50,0),0),FALSE))</f>
        <v>1</v>
      </c>
      <c r="D1999" t="e">
        <f>VLOOKUP(Charms!J1999,Values!$A$11:$S$59,19,0)&gt;=Charms!L1999</f>
        <v>#N/A</v>
      </c>
      <c r="E1999" t="e">
        <f>OR(ISBLANK(Charms!I1999),(VLOOKUP(Values!$S$6,Castes!$B$2:$F$25,4,0)=Charms!I1999))</f>
        <v>#N/A</v>
      </c>
      <c r="J1999" t="e">
        <f t="shared" ca="1" si="156"/>
        <v>#N/A</v>
      </c>
      <c r="K1999" s="18" t="e">
        <f t="shared" ca="1" si="155"/>
        <v>#N/A</v>
      </c>
      <c r="L1999" t="e">
        <f ca="1">IF(J1999,Charms!B1999,"")</f>
        <v>#N/A</v>
      </c>
      <c r="M1999" t="str">
        <f t="shared" ca="1" si="157"/>
        <v>-</v>
      </c>
      <c r="N1999" s="18" t="str">
        <f t="shared" si="158"/>
        <v>K1622:L5000</v>
      </c>
      <c r="O1999" t="str">
        <f t="shared" si="159"/>
        <v>A1622:A1999</v>
      </c>
    </row>
    <row r="2000" spans="1:15">
      <c r="A2000" s="18">
        <f>Charms!K2000</f>
        <v>0</v>
      </c>
      <c r="B2000">
        <f>Charms!B2000</f>
        <v>0</v>
      </c>
      <c r="C2000" t="b">
        <f ca="1">OR(Values!$S$98&gt;=Charms!M2000,IFERROR(Charms!J2000=OFFSET(Values!$A$24,MATCH("S",Values!$T$25:$T$50,0),0),FALSE))</f>
        <v>1</v>
      </c>
      <c r="D2000" t="e">
        <f>VLOOKUP(Charms!J2000,Values!$A$11:$S$59,19,0)&gt;=Charms!L2000</f>
        <v>#N/A</v>
      </c>
      <c r="E2000" t="e">
        <f>OR(ISBLANK(Charms!I2000),(VLOOKUP(Values!$S$6,Castes!$B$2:$F$25,4,0)=Charms!I2000))</f>
        <v>#N/A</v>
      </c>
      <c r="J2000" t="e">
        <f t="shared" ca="1" si="156"/>
        <v>#N/A</v>
      </c>
      <c r="K2000" s="18" t="e">
        <f t="shared" ca="1" si="155"/>
        <v>#N/A</v>
      </c>
      <c r="L2000" t="e">
        <f ca="1">IF(J2000,Charms!B2000,"")</f>
        <v>#N/A</v>
      </c>
      <c r="M2000" t="str">
        <f t="shared" ca="1" si="157"/>
        <v>-</v>
      </c>
      <c r="N2000" s="18" t="str">
        <f t="shared" si="158"/>
        <v>K1622:L5000</v>
      </c>
      <c r="O2000" t="str">
        <f t="shared" si="159"/>
        <v>A1622:A2000</v>
      </c>
    </row>
    <row r="2001" spans="1:15">
      <c r="A2001" s="18">
        <f>Charms!K2001</f>
        <v>0</v>
      </c>
      <c r="B2001">
        <f>Charms!B2001</f>
        <v>0</v>
      </c>
      <c r="C2001" t="b">
        <f ca="1">OR(Values!$S$98&gt;=Charms!M2001,IFERROR(Charms!J2001=OFFSET(Values!$A$24,MATCH("S",Values!$T$25:$T$50,0),0),FALSE))</f>
        <v>1</v>
      </c>
      <c r="D2001" t="e">
        <f>VLOOKUP(Charms!J2001,Values!$A$11:$S$59,19,0)&gt;=Charms!L2001</f>
        <v>#N/A</v>
      </c>
      <c r="E2001" t="e">
        <f>OR(ISBLANK(Charms!I2001),(VLOOKUP(Values!$S$6,Castes!$B$2:$F$25,4,0)=Charms!I2001))</f>
        <v>#N/A</v>
      </c>
      <c r="J2001" t="e">
        <f t="shared" ca="1" si="156"/>
        <v>#N/A</v>
      </c>
      <c r="K2001" s="18" t="e">
        <f t="shared" ca="1" si="155"/>
        <v>#N/A</v>
      </c>
      <c r="L2001" t="e">
        <f ca="1">IF(J2001,Charms!B2001,"")</f>
        <v>#N/A</v>
      </c>
      <c r="M2001" t="str">
        <f t="shared" ca="1" si="157"/>
        <v>-</v>
      </c>
      <c r="N2001" s="18" t="str">
        <f t="shared" si="158"/>
        <v>K1622:L5000</v>
      </c>
      <c r="O2001" t="str">
        <f t="shared" si="159"/>
        <v>A1622:A2001</v>
      </c>
    </row>
    <row r="2002" spans="1:15">
      <c r="A2002" s="18">
        <f>Charms!K2002</f>
        <v>0</v>
      </c>
      <c r="B2002">
        <f>Charms!B2002</f>
        <v>0</v>
      </c>
      <c r="C2002" t="b">
        <f ca="1">OR(Values!$S$98&gt;=Charms!M2002,IFERROR(Charms!J2002=OFFSET(Values!$A$24,MATCH("S",Values!$T$25:$T$50,0),0),FALSE))</f>
        <v>1</v>
      </c>
      <c r="D2002" t="e">
        <f>VLOOKUP(Charms!J2002,Values!$A$11:$S$59,19,0)&gt;=Charms!L2002</f>
        <v>#N/A</v>
      </c>
      <c r="E2002" t="e">
        <f>OR(ISBLANK(Charms!I2002),(VLOOKUP(Values!$S$6,Castes!$B$2:$F$25,4,0)=Charms!I2002))</f>
        <v>#N/A</v>
      </c>
      <c r="J2002" t="e">
        <f t="shared" ca="1" si="156"/>
        <v>#N/A</v>
      </c>
      <c r="K2002" s="18" t="e">
        <f t="shared" ca="1" si="155"/>
        <v>#N/A</v>
      </c>
      <c r="L2002" t="e">
        <f ca="1">IF(J2002,Charms!B2002,"")</f>
        <v>#N/A</v>
      </c>
      <c r="M2002" t="str">
        <f t="shared" ca="1" si="157"/>
        <v>-</v>
      </c>
      <c r="N2002" s="18" t="str">
        <f t="shared" si="158"/>
        <v>K1622:L5000</v>
      </c>
      <c r="O2002" t="str">
        <f t="shared" si="159"/>
        <v>A1622:A2002</v>
      </c>
    </row>
    <row r="2003" spans="1:15">
      <c r="A2003" s="18">
        <f>Charms!K2003</f>
        <v>0</v>
      </c>
      <c r="B2003">
        <f>Charms!B2003</f>
        <v>0</v>
      </c>
      <c r="C2003" t="b">
        <f ca="1">OR(Values!$S$98&gt;=Charms!M2003,IFERROR(Charms!J2003=OFFSET(Values!$A$24,MATCH("S",Values!$T$25:$T$50,0),0),FALSE))</f>
        <v>1</v>
      </c>
      <c r="D2003" t="e">
        <f>VLOOKUP(Charms!J2003,Values!$A$11:$S$59,19,0)&gt;=Charms!L2003</f>
        <v>#N/A</v>
      </c>
      <c r="E2003" t="e">
        <f>OR(ISBLANK(Charms!I2003),(VLOOKUP(Values!$S$6,Castes!$B$2:$F$25,4,0)=Charms!I2003))</f>
        <v>#N/A</v>
      </c>
      <c r="J2003" t="e">
        <f t="shared" ca="1" si="156"/>
        <v>#N/A</v>
      </c>
      <c r="K2003" s="18" t="e">
        <f t="shared" ca="1" si="155"/>
        <v>#N/A</v>
      </c>
      <c r="L2003" t="e">
        <f ca="1">IF(J2003,Charms!B2003,"")</f>
        <v>#N/A</v>
      </c>
      <c r="M2003" t="str">
        <f t="shared" ca="1" si="157"/>
        <v>-</v>
      </c>
      <c r="N2003" s="18" t="str">
        <f t="shared" si="158"/>
        <v>K1622:L5000</v>
      </c>
      <c r="O2003" t="str">
        <f t="shared" si="159"/>
        <v>A1622:A2003</v>
      </c>
    </row>
    <row r="2004" spans="1:15">
      <c r="A2004" s="18">
        <f>Charms!K2004</f>
        <v>0</v>
      </c>
      <c r="B2004">
        <f>Charms!B2004</f>
        <v>0</v>
      </c>
      <c r="C2004" t="b">
        <f ca="1">OR(Values!$S$98&gt;=Charms!M2004,IFERROR(Charms!J2004=OFFSET(Values!$A$24,MATCH("S",Values!$T$25:$T$50,0),0),FALSE))</f>
        <v>1</v>
      </c>
      <c r="D2004" t="e">
        <f>VLOOKUP(Charms!J2004,Values!$A$11:$S$59,19,0)&gt;=Charms!L2004</f>
        <v>#N/A</v>
      </c>
      <c r="E2004" t="e">
        <f>OR(ISBLANK(Charms!I2004),(VLOOKUP(Values!$S$6,Castes!$B$2:$F$25,4,0)=Charms!I2004))</f>
        <v>#N/A</v>
      </c>
      <c r="J2004" t="e">
        <f t="shared" ca="1" si="156"/>
        <v>#N/A</v>
      </c>
      <c r="K2004" s="18" t="e">
        <f t="shared" ca="1" si="155"/>
        <v>#N/A</v>
      </c>
      <c r="L2004" t="e">
        <f ca="1">IF(J2004,Charms!B2004,"")</f>
        <v>#N/A</v>
      </c>
      <c r="M2004" t="str">
        <f t="shared" ca="1" si="157"/>
        <v>-</v>
      </c>
      <c r="N2004" s="18" t="str">
        <f t="shared" si="158"/>
        <v>K1622:L5000</v>
      </c>
      <c r="O2004" t="str">
        <f t="shared" si="159"/>
        <v>A1622:A2004</v>
      </c>
    </row>
    <row r="2005" spans="1:15">
      <c r="A2005" s="18">
        <f>Charms!K2005</f>
        <v>0</v>
      </c>
      <c r="B2005">
        <f>Charms!B2005</f>
        <v>0</v>
      </c>
      <c r="C2005" t="b">
        <f ca="1">OR(Values!$S$98&gt;=Charms!M2005,IFERROR(Charms!J2005=OFFSET(Values!$A$24,MATCH("S",Values!$T$25:$T$50,0),0),FALSE))</f>
        <v>1</v>
      </c>
      <c r="D2005" t="e">
        <f>VLOOKUP(Charms!J2005,Values!$A$11:$S$59,19,0)&gt;=Charms!L2005</f>
        <v>#N/A</v>
      </c>
      <c r="E2005" t="e">
        <f>OR(ISBLANK(Charms!I2005),(VLOOKUP(Values!$S$6,Castes!$B$2:$F$25,4,0)=Charms!I2005))</f>
        <v>#N/A</v>
      </c>
      <c r="J2005" t="e">
        <f t="shared" ca="1" si="156"/>
        <v>#N/A</v>
      </c>
      <c r="K2005" s="18" t="e">
        <f t="shared" ca="1" si="155"/>
        <v>#N/A</v>
      </c>
      <c r="L2005" t="e">
        <f ca="1">IF(J2005,Charms!B2005,"")</f>
        <v>#N/A</v>
      </c>
      <c r="M2005" t="str">
        <f t="shared" ca="1" si="157"/>
        <v>-</v>
      </c>
      <c r="N2005" s="18" t="str">
        <f t="shared" si="158"/>
        <v>K1622:L5000</v>
      </c>
      <c r="O2005" t="str">
        <f t="shared" si="159"/>
        <v>A1622:A2005</v>
      </c>
    </row>
    <row r="2006" spans="1:15">
      <c r="A2006" s="18">
        <f>Charms!K2006</f>
        <v>0</v>
      </c>
      <c r="B2006">
        <f>Charms!B2006</f>
        <v>0</v>
      </c>
      <c r="C2006" t="b">
        <f ca="1">OR(Values!$S$98&gt;=Charms!M2006,IFERROR(Charms!J2006=OFFSET(Values!$A$24,MATCH("S",Values!$T$25:$T$50,0),0),FALSE))</f>
        <v>1</v>
      </c>
      <c r="D2006" t="e">
        <f>VLOOKUP(Charms!J2006,Values!$A$11:$S$59,19,0)&gt;=Charms!L2006</f>
        <v>#N/A</v>
      </c>
      <c r="E2006" t="e">
        <f>OR(ISBLANK(Charms!I2006),(VLOOKUP(Values!$S$6,Castes!$B$2:$F$25,4,0)=Charms!I2006))</f>
        <v>#N/A</v>
      </c>
      <c r="J2006" t="e">
        <f t="shared" ca="1" si="156"/>
        <v>#N/A</v>
      </c>
      <c r="K2006" s="18" t="e">
        <f t="shared" ca="1" si="155"/>
        <v>#N/A</v>
      </c>
      <c r="L2006" t="e">
        <f ca="1">IF(J2006,Charms!B2006,"")</f>
        <v>#N/A</v>
      </c>
      <c r="M2006" t="str">
        <f t="shared" ca="1" si="157"/>
        <v>-</v>
      </c>
      <c r="N2006" s="18" t="str">
        <f t="shared" si="158"/>
        <v>K1622:L5000</v>
      </c>
      <c r="O2006" t="str">
        <f t="shared" si="159"/>
        <v>A1622:A2006</v>
      </c>
    </row>
    <row r="2007" spans="1:15">
      <c r="A2007" s="18">
        <f>Charms!K2007</f>
        <v>0</v>
      </c>
      <c r="B2007">
        <f>Charms!B2007</f>
        <v>0</v>
      </c>
      <c r="C2007" t="b">
        <f ca="1">OR(Values!$S$98&gt;=Charms!M2007,IFERROR(Charms!J2007=OFFSET(Values!$A$24,MATCH("S",Values!$T$25:$T$50,0),0),FALSE))</f>
        <v>1</v>
      </c>
      <c r="D2007" t="e">
        <f>VLOOKUP(Charms!J2007,Values!$A$11:$S$59,19,0)&gt;=Charms!L2007</f>
        <v>#N/A</v>
      </c>
      <c r="E2007" t="e">
        <f>OR(ISBLANK(Charms!I2007),(VLOOKUP(Values!$S$6,Castes!$B$2:$F$25,4,0)=Charms!I2007))</f>
        <v>#N/A</v>
      </c>
      <c r="J2007" t="e">
        <f t="shared" ca="1" si="156"/>
        <v>#N/A</v>
      </c>
      <c r="K2007" s="18" t="e">
        <f t="shared" ca="1" si="155"/>
        <v>#N/A</v>
      </c>
      <c r="L2007" t="e">
        <f ca="1">IF(J2007,Charms!B2007,"")</f>
        <v>#N/A</v>
      </c>
      <c r="M2007" t="str">
        <f t="shared" ca="1" si="157"/>
        <v>-</v>
      </c>
      <c r="N2007" s="18" t="str">
        <f t="shared" si="158"/>
        <v>K1622:L5000</v>
      </c>
      <c r="O2007" t="str">
        <f t="shared" si="159"/>
        <v>A1622:A2007</v>
      </c>
    </row>
    <row r="2008" spans="1:15">
      <c r="A2008" s="18">
        <f>Charms!K2008</f>
        <v>0</v>
      </c>
      <c r="B2008">
        <f>Charms!B2008</f>
        <v>0</v>
      </c>
      <c r="C2008" t="b">
        <f ca="1">OR(Values!$S$98&gt;=Charms!M2008,IFERROR(Charms!J2008=OFFSET(Values!$A$24,MATCH("S",Values!$T$25:$T$50,0),0),FALSE))</f>
        <v>1</v>
      </c>
      <c r="D2008" t="e">
        <f>VLOOKUP(Charms!J2008,Values!$A$11:$S$59,19,0)&gt;=Charms!L2008</f>
        <v>#N/A</v>
      </c>
      <c r="E2008" t="e">
        <f>OR(ISBLANK(Charms!I2008),(VLOOKUP(Values!$S$6,Castes!$B$2:$F$25,4,0)=Charms!I2008))</f>
        <v>#N/A</v>
      </c>
      <c r="J2008" t="e">
        <f t="shared" ca="1" si="156"/>
        <v>#N/A</v>
      </c>
      <c r="K2008" s="18" t="e">
        <f t="shared" ca="1" si="155"/>
        <v>#N/A</v>
      </c>
      <c r="L2008" t="e">
        <f ca="1">IF(J2008,Charms!B2008,"")</f>
        <v>#N/A</v>
      </c>
      <c r="M2008" t="str">
        <f t="shared" ca="1" si="157"/>
        <v>-</v>
      </c>
      <c r="N2008" s="18" t="str">
        <f t="shared" si="158"/>
        <v>K1622:L5000</v>
      </c>
      <c r="O2008" t="str">
        <f t="shared" si="159"/>
        <v>A1622:A2008</v>
      </c>
    </row>
    <row r="2009" spans="1:15">
      <c r="A2009" s="18">
        <f>Charms!K2009</f>
        <v>0</v>
      </c>
      <c r="B2009">
        <f>Charms!B2009</f>
        <v>0</v>
      </c>
      <c r="C2009" t="b">
        <f ca="1">OR(Values!$S$98&gt;=Charms!M2009,IFERROR(Charms!J2009=OFFSET(Values!$A$24,MATCH("S",Values!$T$25:$T$50,0),0),FALSE))</f>
        <v>1</v>
      </c>
      <c r="D2009" t="e">
        <f>VLOOKUP(Charms!J2009,Values!$A$11:$S$59,19,0)&gt;=Charms!L2009</f>
        <v>#N/A</v>
      </c>
      <c r="E2009" t="e">
        <f>OR(ISBLANK(Charms!I2009),(VLOOKUP(Values!$S$6,Castes!$B$2:$F$25,4,0)=Charms!I2009))</f>
        <v>#N/A</v>
      </c>
      <c r="J2009" t="e">
        <f t="shared" ca="1" si="156"/>
        <v>#N/A</v>
      </c>
      <c r="K2009" s="18" t="e">
        <f t="shared" ca="1" si="155"/>
        <v>#N/A</v>
      </c>
      <c r="L2009" t="e">
        <f ca="1">IF(J2009,Charms!B2009,"")</f>
        <v>#N/A</v>
      </c>
      <c r="M2009" t="str">
        <f t="shared" ca="1" si="157"/>
        <v>-</v>
      </c>
      <c r="N2009" s="18" t="str">
        <f t="shared" si="158"/>
        <v>K1622:L5000</v>
      </c>
      <c r="O2009" t="str">
        <f t="shared" si="159"/>
        <v>A1622:A2009</v>
      </c>
    </row>
    <row r="2010" spans="1:15">
      <c r="A2010" s="18">
        <f>Charms!K2010</f>
        <v>0</v>
      </c>
      <c r="B2010">
        <f>Charms!B2010</f>
        <v>0</v>
      </c>
      <c r="C2010" t="b">
        <f ca="1">OR(Values!$S$98&gt;=Charms!M2010,IFERROR(Charms!J2010=OFFSET(Values!$A$24,MATCH("S",Values!$T$25:$T$50,0),0),FALSE))</f>
        <v>1</v>
      </c>
      <c r="D2010" t="e">
        <f>VLOOKUP(Charms!J2010,Values!$A$11:$S$59,19,0)&gt;=Charms!L2010</f>
        <v>#N/A</v>
      </c>
      <c r="E2010" t="e">
        <f>OR(ISBLANK(Charms!I2010),(VLOOKUP(Values!$S$6,Castes!$B$2:$F$25,4,0)=Charms!I2010))</f>
        <v>#N/A</v>
      </c>
      <c r="J2010" t="e">
        <f t="shared" ca="1" si="156"/>
        <v>#N/A</v>
      </c>
      <c r="K2010" s="18" t="e">
        <f t="shared" ca="1" si="155"/>
        <v>#N/A</v>
      </c>
      <c r="L2010" t="e">
        <f ca="1">IF(J2010,Charms!B2010,"")</f>
        <v>#N/A</v>
      </c>
      <c r="M2010" t="str">
        <f t="shared" ca="1" si="157"/>
        <v>-</v>
      </c>
      <c r="N2010" s="18" t="str">
        <f t="shared" si="158"/>
        <v>K1622:L5000</v>
      </c>
      <c r="O2010" t="str">
        <f t="shared" si="159"/>
        <v>A1622:A2010</v>
      </c>
    </row>
    <row r="2011" spans="1:15">
      <c r="A2011" s="18">
        <f>Charms!K2011</f>
        <v>0</v>
      </c>
      <c r="B2011">
        <f>Charms!B2011</f>
        <v>0</v>
      </c>
      <c r="C2011" t="b">
        <f ca="1">OR(Values!$S$98&gt;=Charms!M2011,IFERROR(Charms!J2011=OFFSET(Values!$A$24,MATCH("S",Values!$T$25:$T$50,0),0),FALSE))</f>
        <v>1</v>
      </c>
      <c r="D2011" t="e">
        <f>VLOOKUP(Charms!J2011,Values!$A$11:$S$59,19,0)&gt;=Charms!L2011</f>
        <v>#N/A</v>
      </c>
      <c r="E2011" t="e">
        <f>OR(ISBLANK(Charms!I2011),(VLOOKUP(Values!$S$6,Castes!$B$2:$F$25,4,0)=Charms!I2011))</f>
        <v>#N/A</v>
      </c>
      <c r="J2011" t="e">
        <f t="shared" ca="1" si="156"/>
        <v>#N/A</v>
      </c>
      <c r="K2011" s="18" t="e">
        <f t="shared" ca="1" si="155"/>
        <v>#N/A</v>
      </c>
      <c r="L2011" t="e">
        <f ca="1">IF(J2011,Charms!B2011,"")</f>
        <v>#N/A</v>
      </c>
      <c r="M2011" t="str">
        <f t="shared" ca="1" si="157"/>
        <v>-</v>
      </c>
      <c r="N2011" s="18" t="str">
        <f t="shared" si="158"/>
        <v>K1622:L5000</v>
      </c>
      <c r="O2011" t="str">
        <f t="shared" si="159"/>
        <v>A1622:A2011</v>
      </c>
    </row>
    <row r="2012" spans="1:15">
      <c r="A2012" s="18">
        <f>Charms!K2012</f>
        <v>0</v>
      </c>
      <c r="B2012">
        <f>Charms!B2012</f>
        <v>0</v>
      </c>
      <c r="C2012" t="b">
        <f ca="1">OR(Values!$S$98&gt;=Charms!M2012,IFERROR(Charms!J2012=OFFSET(Values!$A$24,MATCH("S",Values!$T$25:$T$50,0),0),FALSE))</f>
        <v>1</v>
      </c>
      <c r="D2012" t="e">
        <f>VLOOKUP(Charms!J2012,Values!$A$11:$S$59,19,0)&gt;=Charms!L2012</f>
        <v>#N/A</v>
      </c>
      <c r="E2012" t="e">
        <f>OR(ISBLANK(Charms!I2012),(VLOOKUP(Values!$S$6,Castes!$B$2:$F$25,4,0)=Charms!I2012))</f>
        <v>#N/A</v>
      </c>
      <c r="J2012" t="e">
        <f t="shared" ca="1" si="156"/>
        <v>#N/A</v>
      </c>
      <c r="K2012" s="18" t="e">
        <f t="shared" ca="1" si="155"/>
        <v>#N/A</v>
      </c>
      <c r="L2012" t="e">
        <f ca="1">IF(J2012,Charms!B2012,"")</f>
        <v>#N/A</v>
      </c>
      <c r="M2012" t="str">
        <f t="shared" ca="1" si="157"/>
        <v>-</v>
      </c>
      <c r="N2012" s="18" t="str">
        <f t="shared" si="158"/>
        <v>K1622:L5000</v>
      </c>
      <c r="O2012" t="str">
        <f t="shared" si="159"/>
        <v>A1622:A2012</v>
      </c>
    </row>
    <row r="2013" spans="1:15">
      <c r="A2013" s="18">
        <f>Charms!K2013</f>
        <v>0</v>
      </c>
      <c r="B2013">
        <f>Charms!B2013</f>
        <v>0</v>
      </c>
      <c r="C2013" t="b">
        <f ca="1">OR(Values!$S$98&gt;=Charms!M2013,IFERROR(Charms!J2013=OFFSET(Values!$A$24,MATCH("S",Values!$T$25:$T$50,0),0),FALSE))</f>
        <v>1</v>
      </c>
      <c r="D2013" t="e">
        <f>VLOOKUP(Charms!J2013,Values!$A$11:$S$59,19,0)&gt;=Charms!L2013</f>
        <v>#N/A</v>
      </c>
      <c r="E2013" t="e">
        <f>OR(ISBLANK(Charms!I2013),(VLOOKUP(Values!$S$6,Castes!$B$2:$F$25,4,0)=Charms!I2013))</f>
        <v>#N/A</v>
      </c>
      <c r="J2013" t="e">
        <f t="shared" ca="1" si="156"/>
        <v>#N/A</v>
      </c>
      <c r="K2013" s="18" t="e">
        <f t="shared" ca="1" si="155"/>
        <v>#N/A</v>
      </c>
      <c r="L2013" t="e">
        <f ca="1">IF(J2013,Charms!B2013,"")</f>
        <v>#N/A</v>
      </c>
      <c r="M2013" t="str">
        <f t="shared" ca="1" si="157"/>
        <v>-</v>
      </c>
      <c r="N2013" s="18" t="str">
        <f t="shared" si="158"/>
        <v>K1622:L5000</v>
      </c>
      <c r="O2013" t="str">
        <f t="shared" si="159"/>
        <v>A1622:A2013</v>
      </c>
    </row>
    <row r="2014" spans="1:15">
      <c r="A2014" s="18">
        <f>Charms!K2014</f>
        <v>0</v>
      </c>
      <c r="B2014">
        <f>Charms!B2014</f>
        <v>0</v>
      </c>
      <c r="C2014" t="b">
        <f ca="1">OR(Values!$S$98&gt;=Charms!M2014,IFERROR(Charms!J2014=OFFSET(Values!$A$24,MATCH("S",Values!$T$25:$T$50,0),0),FALSE))</f>
        <v>1</v>
      </c>
      <c r="D2014" t="e">
        <f>VLOOKUP(Charms!J2014,Values!$A$11:$S$59,19,0)&gt;=Charms!L2014</f>
        <v>#N/A</v>
      </c>
      <c r="E2014" t="e">
        <f>OR(ISBLANK(Charms!I2014),(VLOOKUP(Values!$S$6,Castes!$B$2:$F$25,4,0)=Charms!I2014))</f>
        <v>#N/A</v>
      </c>
      <c r="J2014" t="e">
        <f t="shared" ca="1" si="156"/>
        <v>#N/A</v>
      </c>
      <c r="K2014" s="18" t="e">
        <f t="shared" ca="1" si="155"/>
        <v>#N/A</v>
      </c>
      <c r="L2014" t="e">
        <f ca="1">IF(J2014,Charms!B2014,"")</f>
        <v>#N/A</v>
      </c>
      <c r="M2014" t="str">
        <f t="shared" ca="1" si="157"/>
        <v>-</v>
      </c>
      <c r="N2014" s="18" t="str">
        <f t="shared" si="158"/>
        <v>K1622:L5000</v>
      </c>
      <c r="O2014" t="str">
        <f t="shared" si="159"/>
        <v>A1622:A2014</v>
      </c>
    </row>
    <row r="2015" spans="1:15">
      <c r="A2015" s="18">
        <f>Charms!K2015</f>
        <v>0</v>
      </c>
      <c r="B2015">
        <f>Charms!B2015</f>
        <v>0</v>
      </c>
      <c r="C2015" t="b">
        <f ca="1">OR(Values!$S$98&gt;=Charms!M2015,IFERROR(Charms!J2015=OFFSET(Values!$A$24,MATCH("S",Values!$T$25:$T$50,0),0),FALSE))</f>
        <v>1</v>
      </c>
      <c r="D2015" t="e">
        <f>VLOOKUP(Charms!J2015,Values!$A$11:$S$59,19,0)&gt;=Charms!L2015</f>
        <v>#N/A</v>
      </c>
      <c r="E2015" t="e">
        <f>OR(ISBLANK(Charms!I2015),(VLOOKUP(Values!$S$6,Castes!$B$2:$F$25,4,0)=Charms!I2015))</f>
        <v>#N/A</v>
      </c>
      <c r="J2015" t="e">
        <f t="shared" ca="1" si="156"/>
        <v>#N/A</v>
      </c>
      <c r="K2015" s="18" t="e">
        <f t="shared" ca="1" si="155"/>
        <v>#N/A</v>
      </c>
      <c r="L2015" t="e">
        <f ca="1">IF(J2015,Charms!B2015,"")</f>
        <v>#N/A</v>
      </c>
      <c r="M2015" t="str">
        <f t="shared" ca="1" si="157"/>
        <v>-</v>
      </c>
      <c r="N2015" s="18" t="str">
        <f t="shared" si="158"/>
        <v>K1622:L5000</v>
      </c>
      <c r="O2015" t="str">
        <f t="shared" si="159"/>
        <v>A1622:A2015</v>
      </c>
    </row>
    <row r="2016" spans="1:15">
      <c r="A2016" s="18">
        <f>Charms!K2016</f>
        <v>0</v>
      </c>
      <c r="B2016">
        <f>Charms!B2016</f>
        <v>0</v>
      </c>
      <c r="C2016" t="b">
        <f ca="1">OR(Values!$S$98&gt;=Charms!M2016,IFERROR(Charms!J2016=OFFSET(Values!$A$24,MATCH("S",Values!$T$25:$T$50,0),0),FALSE))</f>
        <v>1</v>
      </c>
      <c r="D2016" t="e">
        <f>VLOOKUP(Charms!J2016,Values!$A$11:$S$59,19,0)&gt;=Charms!L2016</f>
        <v>#N/A</v>
      </c>
      <c r="E2016" t="e">
        <f>OR(ISBLANK(Charms!I2016),(VLOOKUP(Values!$S$6,Castes!$B$2:$F$25,4,0)=Charms!I2016))</f>
        <v>#N/A</v>
      </c>
      <c r="J2016" t="e">
        <f t="shared" ca="1" si="156"/>
        <v>#N/A</v>
      </c>
      <c r="K2016" s="18" t="e">
        <f t="shared" ca="1" si="155"/>
        <v>#N/A</v>
      </c>
      <c r="L2016" t="e">
        <f ca="1">IF(J2016,Charms!B2016,"")</f>
        <v>#N/A</v>
      </c>
      <c r="M2016" t="str">
        <f t="shared" ca="1" si="157"/>
        <v>-</v>
      </c>
      <c r="N2016" s="18" t="str">
        <f t="shared" si="158"/>
        <v>K1622:L5000</v>
      </c>
      <c r="O2016" t="str">
        <f t="shared" si="159"/>
        <v>A1622:A2016</v>
      </c>
    </row>
    <row r="2017" spans="1:15">
      <c r="A2017" s="18">
        <f>Charms!K2017</f>
        <v>0</v>
      </c>
      <c r="B2017">
        <f>Charms!B2017</f>
        <v>0</v>
      </c>
      <c r="C2017" t="b">
        <f ca="1">OR(Values!$S$98&gt;=Charms!M2017,IFERROR(Charms!J2017=OFFSET(Values!$A$24,MATCH("S",Values!$T$25:$T$50,0),0),FALSE))</f>
        <v>1</v>
      </c>
      <c r="D2017" t="e">
        <f>VLOOKUP(Charms!J2017,Values!$A$11:$S$59,19,0)&gt;=Charms!L2017</f>
        <v>#N/A</v>
      </c>
      <c r="E2017" t="e">
        <f>OR(ISBLANK(Charms!I2017),(VLOOKUP(Values!$S$6,Castes!$B$2:$F$25,4,0)=Charms!I2017))</f>
        <v>#N/A</v>
      </c>
      <c r="J2017" t="e">
        <f t="shared" ca="1" si="156"/>
        <v>#N/A</v>
      </c>
      <c r="K2017" s="18" t="e">
        <f t="shared" ca="1" si="155"/>
        <v>#N/A</v>
      </c>
      <c r="L2017" t="e">
        <f ca="1">IF(J2017,Charms!B2017,"")</f>
        <v>#N/A</v>
      </c>
      <c r="M2017" t="str">
        <f t="shared" ca="1" si="157"/>
        <v>-</v>
      </c>
      <c r="N2017" s="18" t="str">
        <f t="shared" si="158"/>
        <v>K1622:L5000</v>
      </c>
      <c r="O2017" t="str">
        <f t="shared" si="159"/>
        <v>A1622:A2017</v>
      </c>
    </row>
    <row r="2018" spans="1:15">
      <c r="A2018" s="18">
        <f>Charms!K2018</f>
        <v>0</v>
      </c>
      <c r="B2018">
        <f>Charms!B2018</f>
        <v>0</v>
      </c>
      <c r="C2018" t="b">
        <f ca="1">OR(Values!$S$98&gt;=Charms!M2018,IFERROR(Charms!J2018=OFFSET(Values!$A$24,MATCH("S",Values!$T$25:$T$50,0),0),FALSE))</f>
        <v>1</v>
      </c>
      <c r="D2018" t="e">
        <f>VLOOKUP(Charms!J2018,Values!$A$11:$S$59,19,0)&gt;=Charms!L2018</f>
        <v>#N/A</v>
      </c>
      <c r="E2018" t="e">
        <f>OR(ISBLANK(Charms!I2018),(VLOOKUP(Values!$S$6,Castes!$B$2:$F$25,4,0)=Charms!I2018))</f>
        <v>#N/A</v>
      </c>
      <c r="J2018" t="e">
        <f t="shared" ca="1" si="156"/>
        <v>#N/A</v>
      </c>
      <c r="K2018" s="18" t="e">
        <f t="shared" ca="1" si="155"/>
        <v>#N/A</v>
      </c>
      <c r="L2018" t="e">
        <f ca="1">IF(J2018,Charms!B2018,"")</f>
        <v>#N/A</v>
      </c>
      <c r="M2018" t="str">
        <f t="shared" ca="1" si="157"/>
        <v>-</v>
      </c>
      <c r="N2018" s="18" t="str">
        <f t="shared" si="158"/>
        <v>K1622:L5000</v>
      </c>
      <c r="O2018" t="str">
        <f t="shared" si="159"/>
        <v>A1622:A2018</v>
      </c>
    </row>
    <row r="2019" spans="1:15">
      <c r="A2019" s="18">
        <f>Charms!K2019</f>
        <v>0</v>
      </c>
      <c r="B2019">
        <f>Charms!B2019</f>
        <v>0</v>
      </c>
      <c r="C2019" t="b">
        <f ca="1">OR(Values!$S$98&gt;=Charms!M2019,IFERROR(Charms!J2019=OFFSET(Values!$A$24,MATCH("S",Values!$T$25:$T$50,0),0),FALSE))</f>
        <v>1</v>
      </c>
      <c r="D2019" t="e">
        <f>VLOOKUP(Charms!J2019,Values!$A$11:$S$59,19,0)&gt;=Charms!L2019</f>
        <v>#N/A</v>
      </c>
      <c r="E2019" t="e">
        <f>OR(ISBLANK(Charms!I2019),(VLOOKUP(Values!$S$6,Castes!$B$2:$F$25,4,0)=Charms!I2019))</f>
        <v>#N/A</v>
      </c>
      <c r="J2019" t="e">
        <f t="shared" ca="1" si="156"/>
        <v>#N/A</v>
      </c>
      <c r="K2019" s="18" t="e">
        <f t="shared" ca="1" si="155"/>
        <v>#N/A</v>
      </c>
      <c r="L2019" t="e">
        <f ca="1">IF(J2019,Charms!B2019,"")</f>
        <v>#N/A</v>
      </c>
      <c r="M2019" t="str">
        <f t="shared" ca="1" si="157"/>
        <v>-</v>
      </c>
      <c r="N2019" s="18" t="str">
        <f t="shared" si="158"/>
        <v>K1622:L5000</v>
      </c>
      <c r="O2019" t="str">
        <f t="shared" si="159"/>
        <v>A1622:A2019</v>
      </c>
    </row>
    <row r="2020" spans="1:15">
      <c r="A2020" s="18">
        <f>Charms!K2020</f>
        <v>0</v>
      </c>
      <c r="B2020">
        <f>Charms!B2020</f>
        <v>0</v>
      </c>
      <c r="C2020" t="b">
        <f ca="1">OR(Values!$S$98&gt;=Charms!M2020,IFERROR(Charms!J2020=OFFSET(Values!$A$24,MATCH("S",Values!$T$25:$T$50,0),0),FALSE))</f>
        <v>1</v>
      </c>
      <c r="D2020" t="e">
        <f>VLOOKUP(Charms!J2020,Values!$A$11:$S$59,19,0)&gt;=Charms!L2020</f>
        <v>#N/A</v>
      </c>
      <c r="E2020" t="e">
        <f>OR(ISBLANK(Charms!I2020),(VLOOKUP(Values!$S$6,Castes!$B$2:$F$25,4,0)=Charms!I2020))</f>
        <v>#N/A</v>
      </c>
      <c r="J2020" t="e">
        <f t="shared" ca="1" si="156"/>
        <v>#N/A</v>
      </c>
      <c r="K2020" s="18" t="e">
        <f t="shared" ca="1" si="155"/>
        <v>#N/A</v>
      </c>
      <c r="L2020" t="e">
        <f ca="1">IF(J2020,Charms!B2020,"")</f>
        <v>#N/A</v>
      </c>
      <c r="M2020" t="str">
        <f t="shared" ca="1" si="157"/>
        <v>-</v>
      </c>
      <c r="N2020" s="18" t="str">
        <f t="shared" si="158"/>
        <v>K1622:L5000</v>
      </c>
      <c r="O2020" t="str">
        <f t="shared" si="159"/>
        <v>A1622:A2020</v>
      </c>
    </row>
    <row r="2021" spans="1:15">
      <c r="A2021" s="18">
        <f>Charms!K2021</f>
        <v>0</v>
      </c>
      <c r="B2021">
        <f>Charms!B2021</f>
        <v>0</v>
      </c>
      <c r="C2021" t="b">
        <f ca="1">OR(Values!$S$98&gt;=Charms!M2021,IFERROR(Charms!J2021=OFFSET(Values!$A$24,MATCH("S",Values!$T$25:$T$50,0),0),FALSE))</f>
        <v>1</v>
      </c>
      <c r="D2021" t="e">
        <f>VLOOKUP(Charms!J2021,Values!$A$11:$S$59,19,0)&gt;=Charms!L2021</f>
        <v>#N/A</v>
      </c>
      <c r="E2021" t="e">
        <f>OR(ISBLANK(Charms!I2021),(VLOOKUP(Values!$S$6,Castes!$B$2:$F$25,4,0)=Charms!I2021))</f>
        <v>#N/A</v>
      </c>
      <c r="J2021" t="e">
        <f t="shared" ca="1" si="156"/>
        <v>#N/A</v>
      </c>
      <c r="K2021" s="18" t="e">
        <f t="shared" ca="1" si="155"/>
        <v>#N/A</v>
      </c>
      <c r="L2021" t="e">
        <f ca="1">IF(J2021,Charms!B2021,"")</f>
        <v>#N/A</v>
      </c>
      <c r="M2021" t="str">
        <f t="shared" ca="1" si="157"/>
        <v>-</v>
      </c>
      <c r="N2021" s="18" t="str">
        <f t="shared" si="158"/>
        <v>K1622:L5000</v>
      </c>
      <c r="O2021" t="str">
        <f t="shared" si="159"/>
        <v>A1622:A2021</v>
      </c>
    </row>
    <row r="2022" spans="1:15">
      <c r="A2022" s="18">
        <f>Charms!K2022</f>
        <v>0</v>
      </c>
      <c r="B2022">
        <f>Charms!B2022</f>
        <v>0</v>
      </c>
      <c r="C2022" t="b">
        <f ca="1">OR(Values!$S$98&gt;=Charms!M2022,IFERROR(Charms!J2022=OFFSET(Values!$A$24,MATCH("S",Values!$T$25:$T$50,0),0),FALSE))</f>
        <v>1</v>
      </c>
      <c r="D2022" t="e">
        <f>VLOOKUP(Charms!J2022,Values!$A$11:$S$59,19,0)&gt;=Charms!L2022</f>
        <v>#N/A</v>
      </c>
      <c r="E2022" t="e">
        <f>OR(ISBLANK(Charms!I2022),(VLOOKUP(Values!$S$6,Castes!$B$2:$F$25,4,0)=Charms!I2022))</f>
        <v>#N/A</v>
      </c>
      <c r="J2022" t="e">
        <f t="shared" ca="1" si="156"/>
        <v>#N/A</v>
      </c>
      <c r="K2022" s="18" t="e">
        <f t="shared" ca="1" si="155"/>
        <v>#N/A</v>
      </c>
      <c r="L2022" t="e">
        <f ca="1">IF(J2022,Charms!B2022,"")</f>
        <v>#N/A</v>
      </c>
      <c r="M2022" t="str">
        <f t="shared" ca="1" si="157"/>
        <v>-</v>
      </c>
      <c r="N2022" s="18" t="str">
        <f t="shared" si="158"/>
        <v>K1622:L5000</v>
      </c>
      <c r="O2022" t="str">
        <f t="shared" si="159"/>
        <v>A1622:A2022</v>
      </c>
    </row>
    <row r="2023" spans="1:15">
      <c r="A2023" s="18">
        <f>Charms!K2023</f>
        <v>0</v>
      </c>
      <c r="B2023">
        <f>Charms!B2023</f>
        <v>0</v>
      </c>
      <c r="C2023" t="b">
        <f ca="1">OR(Values!$S$98&gt;=Charms!M2023,IFERROR(Charms!J2023=OFFSET(Values!$A$24,MATCH("S",Values!$T$25:$T$50,0),0),FALSE))</f>
        <v>1</v>
      </c>
      <c r="D2023" t="e">
        <f>VLOOKUP(Charms!J2023,Values!$A$11:$S$59,19,0)&gt;=Charms!L2023</f>
        <v>#N/A</v>
      </c>
      <c r="E2023" t="e">
        <f>OR(ISBLANK(Charms!I2023),(VLOOKUP(Values!$S$6,Castes!$B$2:$F$25,4,0)=Charms!I2023))</f>
        <v>#N/A</v>
      </c>
      <c r="J2023" t="e">
        <f t="shared" ca="1" si="156"/>
        <v>#N/A</v>
      </c>
      <c r="K2023" s="18" t="e">
        <f t="shared" ca="1" si="155"/>
        <v>#N/A</v>
      </c>
      <c r="L2023" t="e">
        <f ca="1">IF(J2023,Charms!B2023,"")</f>
        <v>#N/A</v>
      </c>
      <c r="M2023" t="str">
        <f t="shared" ca="1" si="157"/>
        <v>-</v>
      </c>
      <c r="N2023" s="18" t="str">
        <f t="shared" si="158"/>
        <v>K1622:L5000</v>
      </c>
      <c r="O2023" t="str">
        <f t="shared" si="159"/>
        <v>A1622:A2023</v>
      </c>
    </row>
    <row r="2024" spans="1:15">
      <c r="A2024" s="18">
        <f>Charms!K2024</f>
        <v>0</v>
      </c>
      <c r="B2024">
        <f>Charms!B2024</f>
        <v>0</v>
      </c>
      <c r="C2024" t="b">
        <f ca="1">OR(Values!$S$98&gt;=Charms!M2024,IFERROR(Charms!J2024=OFFSET(Values!$A$24,MATCH("S",Values!$T$25:$T$50,0),0),FALSE))</f>
        <v>1</v>
      </c>
      <c r="D2024" t="e">
        <f>VLOOKUP(Charms!J2024,Values!$A$11:$S$59,19,0)&gt;=Charms!L2024</f>
        <v>#N/A</v>
      </c>
      <c r="E2024" t="e">
        <f>OR(ISBLANK(Charms!I2024),(VLOOKUP(Values!$S$6,Castes!$B$2:$F$25,4,0)=Charms!I2024))</f>
        <v>#N/A</v>
      </c>
      <c r="J2024" t="e">
        <f t="shared" ca="1" si="156"/>
        <v>#N/A</v>
      </c>
      <c r="K2024" s="18" t="e">
        <f t="shared" ca="1" si="155"/>
        <v>#N/A</v>
      </c>
      <c r="L2024" t="e">
        <f ca="1">IF(J2024,Charms!B2024,"")</f>
        <v>#N/A</v>
      </c>
      <c r="M2024" t="str">
        <f t="shared" ca="1" si="157"/>
        <v>-</v>
      </c>
      <c r="N2024" s="18" t="str">
        <f t="shared" si="158"/>
        <v>K1622:L5000</v>
      </c>
      <c r="O2024" t="str">
        <f t="shared" si="159"/>
        <v>A1622:A2024</v>
      </c>
    </row>
    <row r="2025" spans="1:15">
      <c r="A2025" s="18">
        <f>Charms!K2025</f>
        <v>0</v>
      </c>
      <c r="B2025">
        <f>Charms!B2025</f>
        <v>0</v>
      </c>
      <c r="C2025" t="b">
        <f ca="1">OR(Values!$S$98&gt;=Charms!M2025,IFERROR(Charms!J2025=OFFSET(Values!$A$24,MATCH("S",Values!$T$25:$T$50,0),0),FALSE))</f>
        <v>1</v>
      </c>
      <c r="D2025" t="e">
        <f>VLOOKUP(Charms!J2025,Values!$A$11:$S$59,19,0)&gt;=Charms!L2025</f>
        <v>#N/A</v>
      </c>
      <c r="E2025" t="e">
        <f>OR(ISBLANK(Charms!I2025),(VLOOKUP(Values!$S$6,Castes!$B$2:$F$25,4,0)=Charms!I2025))</f>
        <v>#N/A</v>
      </c>
      <c r="J2025" t="e">
        <f t="shared" ca="1" si="156"/>
        <v>#N/A</v>
      </c>
      <c r="K2025" s="18" t="e">
        <f t="shared" ca="1" si="155"/>
        <v>#N/A</v>
      </c>
      <c r="L2025" t="e">
        <f ca="1">IF(J2025,Charms!B2025,"")</f>
        <v>#N/A</v>
      </c>
      <c r="M2025" t="str">
        <f t="shared" ca="1" si="157"/>
        <v>-</v>
      </c>
      <c r="N2025" s="18" t="str">
        <f t="shared" si="158"/>
        <v>K1622:L5000</v>
      </c>
      <c r="O2025" t="str">
        <f t="shared" si="159"/>
        <v>A1622:A2025</v>
      </c>
    </row>
    <row r="2026" spans="1:15">
      <c r="A2026" s="18">
        <f>Charms!K2026</f>
        <v>0</v>
      </c>
      <c r="B2026">
        <f>Charms!B2026</f>
        <v>0</v>
      </c>
      <c r="C2026" t="b">
        <f ca="1">OR(Values!$S$98&gt;=Charms!M2026,IFERROR(Charms!J2026=OFFSET(Values!$A$24,MATCH("S",Values!$T$25:$T$50,0),0),FALSE))</f>
        <v>1</v>
      </c>
      <c r="D2026" t="e">
        <f>VLOOKUP(Charms!J2026,Values!$A$11:$S$59,19,0)&gt;=Charms!L2026</f>
        <v>#N/A</v>
      </c>
      <c r="E2026" t="e">
        <f>OR(ISBLANK(Charms!I2026),(VLOOKUP(Values!$S$6,Castes!$B$2:$F$25,4,0)=Charms!I2026))</f>
        <v>#N/A</v>
      </c>
      <c r="J2026" t="e">
        <f t="shared" ca="1" si="156"/>
        <v>#N/A</v>
      </c>
      <c r="K2026" s="18" t="e">
        <f t="shared" ca="1" si="155"/>
        <v>#N/A</v>
      </c>
      <c r="L2026" t="e">
        <f ca="1">IF(J2026,Charms!B2026,"")</f>
        <v>#N/A</v>
      </c>
      <c r="M2026" t="str">
        <f t="shared" ca="1" si="157"/>
        <v>-</v>
      </c>
      <c r="N2026" s="18" t="str">
        <f t="shared" si="158"/>
        <v>K1622:L5000</v>
      </c>
      <c r="O2026" t="str">
        <f t="shared" si="159"/>
        <v>A1622:A2026</v>
      </c>
    </row>
    <row r="2027" spans="1:15">
      <c r="A2027" s="18">
        <f>Charms!K2027</f>
        <v>0</v>
      </c>
      <c r="B2027">
        <f>Charms!B2027</f>
        <v>0</v>
      </c>
      <c r="C2027" t="b">
        <f ca="1">OR(Values!$S$98&gt;=Charms!M2027,IFERROR(Charms!J2027=OFFSET(Values!$A$24,MATCH("S",Values!$T$25:$T$50,0),0),FALSE))</f>
        <v>1</v>
      </c>
      <c r="D2027" t="e">
        <f>VLOOKUP(Charms!J2027,Values!$A$11:$S$59,19,0)&gt;=Charms!L2027</f>
        <v>#N/A</v>
      </c>
      <c r="E2027" t="e">
        <f>OR(ISBLANK(Charms!I2027),(VLOOKUP(Values!$S$6,Castes!$B$2:$F$25,4,0)=Charms!I2027))</f>
        <v>#N/A</v>
      </c>
      <c r="J2027" t="e">
        <f t="shared" ca="1" si="156"/>
        <v>#N/A</v>
      </c>
      <c r="K2027" s="18" t="e">
        <f t="shared" ca="1" si="155"/>
        <v>#N/A</v>
      </c>
      <c r="L2027" t="e">
        <f ca="1">IF(J2027,Charms!B2027,"")</f>
        <v>#N/A</v>
      </c>
      <c r="M2027" t="str">
        <f t="shared" ca="1" si="157"/>
        <v>-</v>
      </c>
      <c r="N2027" s="18" t="str">
        <f t="shared" si="158"/>
        <v>K1622:L5000</v>
      </c>
      <c r="O2027" t="str">
        <f t="shared" si="159"/>
        <v>A1622:A2027</v>
      </c>
    </row>
    <row r="2028" spans="1:15">
      <c r="A2028" s="18">
        <f>Charms!K2028</f>
        <v>0</v>
      </c>
      <c r="B2028">
        <f>Charms!B2028</f>
        <v>0</v>
      </c>
      <c r="C2028" t="b">
        <f ca="1">OR(Values!$S$98&gt;=Charms!M2028,IFERROR(Charms!J2028=OFFSET(Values!$A$24,MATCH("S",Values!$T$25:$T$50,0),0),FALSE))</f>
        <v>1</v>
      </c>
      <c r="D2028" t="e">
        <f>VLOOKUP(Charms!J2028,Values!$A$11:$S$59,19,0)&gt;=Charms!L2028</f>
        <v>#N/A</v>
      </c>
      <c r="E2028" t="e">
        <f>OR(ISBLANK(Charms!I2028),(VLOOKUP(Values!$S$6,Castes!$B$2:$F$25,4,0)=Charms!I2028))</f>
        <v>#N/A</v>
      </c>
      <c r="J2028" t="e">
        <f t="shared" ca="1" si="156"/>
        <v>#N/A</v>
      </c>
      <c r="K2028" s="18" t="e">
        <f t="shared" ca="1" si="155"/>
        <v>#N/A</v>
      </c>
      <c r="L2028" t="e">
        <f ca="1">IF(J2028,Charms!B2028,"")</f>
        <v>#N/A</v>
      </c>
      <c r="M2028" t="str">
        <f t="shared" ca="1" si="157"/>
        <v>-</v>
      </c>
      <c r="N2028" s="18" t="str">
        <f t="shared" si="158"/>
        <v>K1622:L5000</v>
      </c>
      <c r="O2028" t="str">
        <f t="shared" si="159"/>
        <v>A1622:A2028</v>
      </c>
    </row>
    <row r="2029" spans="1:15">
      <c r="A2029" s="18">
        <f>Charms!K2029</f>
        <v>0</v>
      </c>
      <c r="B2029">
        <f>Charms!B2029</f>
        <v>0</v>
      </c>
      <c r="C2029" t="b">
        <f ca="1">OR(Values!$S$98&gt;=Charms!M2029,IFERROR(Charms!J2029=OFFSET(Values!$A$24,MATCH("S",Values!$T$25:$T$50,0),0),FALSE))</f>
        <v>1</v>
      </c>
      <c r="D2029" t="e">
        <f>VLOOKUP(Charms!J2029,Values!$A$11:$S$59,19,0)&gt;=Charms!L2029</f>
        <v>#N/A</v>
      </c>
      <c r="E2029" t="e">
        <f>OR(ISBLANK(Charms!I2029),(VLOOKUP(Values!$S$6,Castes!$B$2:$F$25,4,0)=Charms!I2029))</f>
        <v>#N/A</v>
      </c>
      <c r="J2029" t="e">
        <f t="shared" ca="1" si="156"/>
        <v>#N/A</v>
      </c>
      <c r="K2029" s="18" t="e">
        <f t="shared" ca="1" si="155"/>
        <v>#N/A</v>
      </c>
      <c r="L2029" t="e">
        <f ca="1">IF(J2029,Charms!B2029,"")</f>
        <v>#N/A</v>
      </c>
      <c r="M2029" t="str">
        <f t="shared" ca="1" si="157"/>
        <v>-</v>
      </c>
      <c r="N2029" s="18" t="str">
        <f t="shared" si="158"/>
        <v>K1622:L5000</v>
      </c>
      <c r="O2029" t="str">
        <f t="shared" si="159"/>
        <v>A1622:A2029</v>
      </c>
    </row>
    <row r="2030" spans="1:15">
      <c r="A2030" s="18">
        <f>Charms!K2030</f>
        <v>0</v>
      </c>
      <c r="B2030">
        <f>Charms!B2030</f>
        <v>0</v>
      </c>
      <c r="C2030" t="b">
        <f ca="1">OR(Values!$S$98&gt;=Charms!M2030,IFERROR(Charms!J2030=OFFSET(Values!$A$24,MATCH("S",Values!$T$25:$T$50,0),0),FALSE))</f>
        <v>1</v>
      </c>
      <c r="D2030" t="e">
        <f>VLOOKUP(Charms!J2030,Values!$A$11:$S$59,19,0)&gt;=Charms!L2030</f>
        <v>#N/A</v>
      </c>
      <c r="E2030" t="e">
        <f>OR(ISBLANK(Charms!I2030),(VLOOKUP(Values!$S$6,Castes!$B$2:$F$25,4,0)=Charms!I2030))</f>
        <v>#N/A</v>
      </c>
      <c r="J2030" t="e">
        <f t="shared" ca="1" si="156"/>
        <v>#N/A</v>
      </c>
      <c r="K2030" s="18" t="e">
        <f t="shared" ca="1" si="155"/>
        <v>#N/A</v>
      </c>
      <c r="L2030" t="e">
        <f ca="1">IF(J2030,Charms!B2030,"")</f>
        <v>#N/A</v>
      </c>
      <c r="M2030" t="str">
        <f t="shared" ca="1" si="157"/>
        <v>-</v>
      </c>
      <c r="N2030" s="18" t="str">
        <f t="shared" si="158"/>
        <v>K1622:L5000</v>
      </c>
      <c r="O2030" t="str">
        <f t="shared" si="159"/>
        <v>A1622:A2030</v>
      </c>
    </row>
    <row r="2031" spans="1:15">
      <c r="A2031" s="18">
        <f>Charms!K2031</f>
        <v>0</v>
      </c>
      <c r="B2031">
        <f>Charms!B2031</f>
        <v>0</v>
      </c>
      <c r="C2031" t="b">
        <f ca="1">OR(Values!$S$98&gt;=Charms!M2031,IFERROR(Charms!J2031=OFFSET(Values!$A$24,MATCH("S",Values!$T$25:$T$50,0),0),FALSE))</f>
        <v>1</v>
      </c>
      <c r="D2031" t="e">
        <f>VLOOKUP(Charms!J2031,Values!$A$11:$S$59,19,0)&gt;=Charms!L2031</f>
        <v>#N/A</v>
      </c>
      <c r="E2031" t="e">
        <f>OR(ISBLANK(Charms!I2031),(VLOOKUP(Values!$S$6,Castes!$B$2:$F$25,4,0)=Charms!I2031))</f>
        <v>#N/A</v>
      </c>
      <c r="J2031" t="e">
        <f t="shared" ca="1" si="156"/>
        <v>#N/A</v>
      </c>
      <c r="K2031" s="18" t="e">
        <f t="shared" ca="1" si="155"/>
        <v>#N/A</v>
      </c>
      <c r="L2031" t="e">
        <f ca="1">IF(J2031,Charms!B2031,"")</f>
        <v>#N/A</v>
      </c>
      <c r="M2031" t="str">
        <f t="shared" ca="1" si="157"/>
        <v>-</v>
      </c>
      <c r="N2031" s="18" t="str">
        <f t="shared" si="158"/>
        <v>K1622:L5000</v>
      </c>
      <c r="O2031" t="str">
        <f t="shared" si="159"/>
        <v>A1622:A2031</v>
      </c>
    </row>
    <row r="2032" spans="1:15">
      <c r="A2032" s="18">
        <f>Charms!K2032</f>
        <v>0</v>
      </c>
      <c r="B2032">
        <f>Charms!B2032</f>
        <v>0</v>
      </c>
      <c r="C2032" t="b">
        <f ca="1">OR(Values!$S$98&gt;=Charms!M2032,IFERROR(Charms!J2032=OFFSET(Values!$A$24,MATCH("S",Values!$T$25:$T$50,0),0),FALSE))</f>
        <v>1</v>
      </c>
      <c r="D2032" t="e">
        <f>VLOOKUP(Charms!J2032,Values!$A$11:$S$59,19,0)&gt;=Charms!L2032</f>
        <v>#N/A</v>
      </c>
      <c r="E2032" t="e">
        <f>OR(ISBLANK(Charms!I2032),(VLOOKUP(Values!$S$6,Castes!$B$2:$F$25,4,0)=Charms!I2032))</f>
        <v>#N/A</v>
      </c>
      <c r="J2032" t="e">
        <f t="shared" ca="1" si="156"/>
        <v>#N/A</v>
      </c>
      <c r="K2032" s="18" t="e">
        <f t="shared" ca="1" si="155"/>
        <v>#N/A</v>
      </c>
      <c r="L2032" t="e">
        <f ca="1">IF(J2032,Charms!B2032,"")</f>
        <v>#N/A</v>
      </c>
      <c r="M2032" t="str">
        <f t="shared" ca="1" si="157"/>
        <v>-</v>
      </c>
      <c r="N2032" s="18" t="str">
        <f t="shared" si="158"/>
        <v>K1622:L5000</v>
      </c>
      <c r="O2032" t="str">
        <f t="shared" si="159"/>
        <v>A1622:A2032</v>
      </c>
    </row>
    <row r="2033" spans="1:15">
      <c r="A2033" s="18">
        <f>Charms!K2033</f>
        <v>0</v>
      </c>
      <c r="B2033">
        <f>Charms!B2033</f>
        <v>0</v>
      </c>
      <c r="C2033" t="b">
        <f ca="1">OR(Values!$S$98&gt;=Charms!M2033,IFERROR(Charms!J2033=OFFSET(Values!$A$24,MATCH("S",Values!$T$25:$T$50,0),0),FALSE))</f>
        <v>1</v>
      </c>
      <c r="D2033" t="e">
        <f>VLOOKUP(Charms!J2033,Values!$A$11:$S$59,19,0)&gt;=Charms!L2033</f>
        <v>#N/A</v>
      </c>
      <c r="E2033" t="e">
        <f>OR(ISBLANK(Charms!I2033),(VLOOKUP(Values!$S$6,Castes!$B$2:$F$25,4,0)=Charms!I2033))</f>
        <v>#N/A</v>
      </c>
      <c r="J2033" t="e">
        <f t="shared" ca="1" si="156"/>
        <v>#N/A</v>
      </c>
      <c r="K2033" s="18" t="e">
        <f t="shared" ca="1" si="155"/>
        <v>#N/A</v>
      </c>
      <c r="L2033" t="e">
        <f ca="1">IF(J2033,Charms!B2033,"")</f>
        <v>#N/A</v>
      </c>
      <c r="M2033" t="str">
        <f t="shared" ca="1" si="157"/>
        <v>-</v>
      </c>
      <c r="N2033" s="18" t="str">
        <f t="shared" si="158"/>
        <v>K1622:L5000</v>
      </c>
      <c r="O2033" t="str">
        <f t="shared" si="159"/>
        <v>A1622:A2033</v>
      </c>
    </row>
    <row r="2034" spans="1:15">
      <c r="A2034" s="18">
        <f>Charms!K2034</f>
        <v>0</v>
      </c>
      <c r="B2034">
        <f>Charms!B2034</f>
        <v>0</v>
      </c>
      <c r="C2034" t="b">
        <f ca="1">OR(Values!$S$98&gt;=Charms!M2034,IFERROR(Charms!J2034=OFFSET(Values!$A$24,MATCH("S",Values!$T$25:$T$50,0),0),FALSE))</f>
        <v>1</v>
      </c>
      <c r="D2034" t="e">
        <f>VLOOKUP(Charms!J2034,Values!$A$11:$S$59,19,0)&gt;=Charms!L2034</f>
        <v>#N/A</v>
      </c>
      <c r="E2034" t="e">
        <f>OR(ISBLANK(Charms!I2034),(VLOOKUP(Values!$S$6,Castes!$B$2:$F$25,4,0)=Charms!I2034))</f>
        <v>#N/A</v>
      </c>
      <c r="J2034" t="e">
        <f t="shared" ca="1" si="156"/>
        <v>#N/A</v>
      </c>
      <c r="K2034" s="18" t="e">
        <f t="shared" ca="1" si="155"/>
        <v>#N/A</v>
      </c>
      <c r="L2034" t="e">
        <f ca="1">IF(J2034,Charms!B2034,"")</f>
        <v>#N/A</v>
      </c>
      <c r="M2034" t="str">
        <f t="shared" ca="1" si="157"/>
        <v>-</v>
      </c>
      <c r="N2034" s="18" t="str">
        <f t="shared" si="158"/>
        <v>K1622:L5000</v>
      </c>
      <c r="O2034" t="str">
        <f t="shared" si="159"/>
        <v>A1622:A2034</v>
      </c>
    </row>
    <row r="2035" spans="1:15">
      <c r="A2035" s="18">
        <f>Charms!K2035</f>
        <v>0</v>
      </c>
      <c r="B2035">
        <f>Charms!B2035</f>
        <v>0</v>
      </c>
      <c r="C2035" t="b">
        <f ca="1">OR(Values!$S$98&gt;=Charms!M2035,IFERROR(Charms!J2035=OFFSET(Values!$A$24,MATCH("S",Values!$T$25:$T$50,0),0),FALSE))</f>
        <v>1</v>
      </c>
      <c r="D2035" t="e">
        <f>VLOOKUP(Charms!J2035,Values!$A$11:$S$59,19,0)&gt;=Charms!L2035</f>
        <v>#N/A</v>
      </c>
      <c r="E2035" t="e">
        <f>OR(ISBLANK(Charms!I2035),(VLOOKUP(Values!$S$6,Castes!$B$2:$F$25,4,0)=Charms!I2035))</f>
        <v>#N/A</v>
      </c>
      <c r="J2035" t="e">
        <f t="shared" ca="1" si="156"/>
        <v>#N/A</v>
      </c>
      <c r="K2035" s="18" t="e">
        <f t="shared" ca="1" si="155"/>
        <v>#N/A</v>
      </c>
      <c r="L2035" t="e">
        <f ca="1">IF(J2035,Charms!B2035,"")</f>
        <v>#N/A</v>
      </c>
      <c r="M2035" t="str">
        <f t="shared" ca="1" si="157"/>
        <v>-</v>
      </c>
      <c r="N2035" s="18" t="str">
        <f t="shared" si="158"/>
        <v>K1622:L5000</v>
      </c>
      <c r="O2035" t="str">
        <f t="shared" si="159"/>
        <v>A1622:A2035</v>
      </c>
    </row>
    <row r="2036" spans="1:15">
      <c r="A2036" s="18">
        <f>Charms!K2036</f>
        <v>0</v>
      </c>
      <c r="B2036">
        <f>Charms!B2036</f>
        <v>0</v>
      </c>
      <c r="C2036" t="b">
        <f ca="1">OR(Values!$S$98&gt;=Charms!M2036,IFERROR(Charms!J2036=OFFSET(Values!$A$24,MATCH("S",Values!$T$25:$T$50,0),0),FALSE))</f>
        <v>1</v>
      </c>
      <c r="D2036" t="e">
        <f>VLOOKUP(Charms!J2036,Values!$A$11:$S$59,19,0)&gt;=Charms!L2036</f>
        <v>#N/A</v>
      </c>
      <c r="E2036" t="e">
        <f>OR(ISBLANK(Charms!I2036),(VLOOKUP(Values!$S$6,Castes!$B$2:$F$25,4,0)=Charms!I2036))</f>
        <v>#N/A</v>
      </c>
      <c r="J2036" t="e">
        <f t="shared" ca="1" si="156"/>
        <v>#N/A</v>
      </c>
      <c r="K2036" s="18" t="e">
        <f t="shared" ca="1" si="155"/>
        <v>#N/A</v>
      </c>
      <c r="L2036" t="e">
        <f ca="1">IF(J2036,Charms!B2036,"")</f>
        <v>#N/A</v>
      </c>
      <c r="M2036" t="str">
        <f t="shared" ca="1" si="157"/>
        <v>-</v>
      </c>
      <c r="N2036" s="18" t="str">
        <f t="shared" si="158"/>
        <v>K1622:L5000</v>
      </c>
      <c r="O2036" t="str">
        <f t="shared" si="159"/>
        <v>A1622:A2036</v>
      </c>
    </row>
    <row r="2037" spans="1:15">
      <c r="A2037" s="18">
        <f>Charms!K2037</f>
        <v>0</v>
      </c>
      <c r="B2037">
        <f>Charms!B2037</f>
        <v>0</v>
      </c>
      <c r="C2037" t="b">
        <f ca="1">OR(Values!$S$98&gt;=Charms!M2037,IFERROR(Charms!J2037=OFFSET(Values!$A$24,MATCH("S",Values!$T$25:$T$50,0),0),FALSE))</f>
        <v>1</v>
      </c>
      <c r="D2037" t="e">
        <f>VLOOKUP(Charms!J2037,Values!$A$11:$S$59,19,0)&gt;=Charms!L2037</f>
        <v>#N/A</v>
      </c>
      <c r="E2037" t="e">
        <f>OR(ISBLANK(Charms!I2037),(VLOOKUP(Values!$S$6,Castes!$B$2:$F$25,4,0)=Charms!I2037))</f>
        <v>#N/A</v>
      </c>
      <c r="J2037" t="e">
        <f t="shared" ca="1" si="156"/>
        <v>#N/A</v>
      </c>
      <c r="K2037" s="18" t="e">
        <f t="shared" ca="1" si="155"/>
        <v>#N/A</v>
      </c>
      <c r="L2037" t="e">
        <f ca="1">IF(J2037,Charms!B2037,"")</f>
        <v>#N/A</v>
      </c>
      <c r="M2037" t="str">
        <f t="shared" ca="1" si="157"/>
        <v>-</v>
      </c>
      <c r="N2037" s="18" t="str">
        <f t="shared" si="158"/>
        <v>K1622:L5000</v>
      </c>
      <c r="O2037" t="str">
        <f t="shared" si="159"/>
        <v>A1622:A2037</v>
      </c>
    </row>
    <row r="2038" spans="1:15">
      <c r="A2038" s="18">
        <f>Charms!K2038</f>
        <v>0</v>
      </c>
      <c r="B2038">
        <f>Charms!B2038</f>
        <v>0</v>
      </c>
      <c r="C2038" t="b">
        <f ca="1">OR(Values!$S$98&gt;=Charms!M2038,IFERROR(Charms!J2038=OFFSET(Values!$A$24,MATCH("S",Values!$T$25:$T$50,0),0),FALSE))</f>
        <v>1</v>
      </c>
      <c r="D2038" t="e">
        <f>VLOOKUP(Charms!J2038,Values!$A$11:$S$59,19,0)&gt;=Charms!L2038</f>
        <v>#N/A</v>
      </c>
      <c r="E2038" t="e">
        <f>OR(ISBLANK(Charms!I2038),(VLOOKUP(Values!$S$6,Castes!$B$2:$F$25,4,0)=Charms!I2038))</f>
        <v>#N/A</v>
      </c>
      <c r="J2038" t="e">
        <f t="shared" ca="1" si="156"/>
        <v>#N/A</v>
      </c>
      <c r="K2038" s="18" t="e">
        <f t="shared" ca="1" si="155"/>
        <v>#N/A</v>
      </c>
      <c r="L2038" t="e">
        <f ca="1">IF(J2038,Charms!B2038,"")</f>
        <v>#N/A</v>
      </c>
      <c r="M2038" t="str">
        <f t="shared" ca="1" si="157"/>
        <v>-</v>
      </c>
      <c r="N2038" s="18" t="str">
        <f t="shared" si="158"/>
        <v>K1622:L5000</v>
      </c>
      <c r="O2038" t="str">
        <f t="shared" si="159"/>
        <v>A1622:A2038</v>
      </c>
    </row>
    <row r="2039" spans="1:15">
      <c r="A2039" s="18">
        <f>Charms!K2039</f>
        <v>0</v>
      </c>
      <c r="B2039">
        <f>Charms!B2039</f>
        <v>0</v>
      </c>
      <c r="C2039" t="b">
        <f ca="1">OR(Values!$S$98&gt;=Charms!M2039,IFERROR(Charms!J2039=OFFSET(Values!$A$24,MATCH("S",Values!$T$25:$T$50,0),0),FALSE))</f>
        <v>1</v>
      </c>
      <c r="D2039" t="e">
        <f>VLOOKUP(Charms!J2039,Values!$A$11:$S$59,19,0)&gt;=Charms!L2039</f>
        <v>#N/A</v>
      </c>
      <c r="E2039" t="e">
        <f>OR(ISBLANK(Charms!I2039),(VLOOKUP(Values!$S$6,Castes!$B$2:$F$25,4,0)=Charms!I2039))</f>
        <v>#N/A</v>
      </c>
      <c r="J2039" t="e">
        <f t="shared" ca="1" si="156"/>
        <v>#N/A</v>
      </c>
      <c r="K2039" s="18" t="e">
        <f t="shared" ca="1" si="155"/>
        <v>#N/A</v>
      </c>
      <c r="L2039" t="e">
        <f ca="1">IF(J2039,Charms!B2039,"")</f>
        <v>#N/A</v>
      </c>
      <c r="M2039" t="str">
        <f t="shared" ca="1" si="157"/>
        <v>-</v>
      </c>
      <c r="N2039" s="18" t="str">
        <f t="shared" si="158"/>
        <v>K1622:L5000</v>
      </c>
      <c r="O2039" t="str">
        <f t="shared" si="159"/>
        <v>A1622:A2039</v>
      </c>
    </row>
    <row r="2040" spans="1:15">
      <c r="A2040" s="18">
        <f>Charms!K2040</f>
        <v>0</v>
      </c>
      <c r="B2040">
        <f>Charms!B2040</f>
        <v>0</v>
      </c>
      <c r="C2040" t="b">
        <f ca="1">OR(Values!$S$98&gt;=Charms!M2040,IFERROR(Charms!J2040=OFFSET(Values!$A$24,MATCH("S",Values!$T$25:$T$50,0),0),FALSE))</f>
        <v>1</v>
      </c>
      <c r="D2040" t="e">
        <f>VLOOKUP(Charms!J2040,Values!$A$11:$S$59,19,0)&gt;=Charms!L2040</f>
        <v>#N/A</v>
      </c>
      <c r="E2040" t="e">
        <f>OR(ISBLANK(Charms!I2040),(VLOOKUP(Values!$S$6,Castes!$B$2:$F$25,4,0)=Charms!I2040))</f>
        <v>#N/A</v>
      </c>
      <c r="J2040" t="e">
        <f t="shared" ca="1" si="156"/>
        <v>#N/A</v>
      </c>
      <c r="K2040" s="18" t="e">
        <f t="shared" ca="1" si="155"/>
        <v>#N/A</v>
      </c>
      <c r="L2040" t="e">
        <f ca="1">IF(J2040,Charms!B2040,"")</f>
        <v>#N/A</v>
      </c>
      <c r="M2040" t="str">
        <f t="shared" ca="1" si="157"/>
        <v>-</v>
      </c>
      <c r="N2040" s="18" t="str">
        <f t="shared" si="158"/>
        <v>K1622:L5000</v>
      </c>
      <c r="O2040" t="str">
        <f t="shared" si="159"/>
        <v>A1622:A2040</v>
      </c>
    </row>
    <row r="2041" spans="1:15">
      <c r="A2041" s="18">
        <f>Charms!K2041</f>
        <v>0</v>
      </c>
      <c r="B2041">
        <f>Charms!B2041</f>
        <v>0</v>
      </c>
      <c r="C2041" t="b">
        <f ca="1">OR(Values!$S$98&gt;=Charms!M2041,IFERROR(Charms!J2041=OFFSET(Values!$A$24,MATCH("S",Values!$T$25:$T$50,0),0),FALSE))</f>
        <v>1</v>
      </c>
      <c r="D2041" t="e">
        <f>VLOOKUP(Charms!J2041,Values!$A$11:$S$59,19,0)&gt;=Charms!L2041</f>
        <v>#N/A</v>
      </c>
      <c r="E2041" t="e">
        <f>OR(ISBLANK(Charms!I2041),(VLOOKUP(Values!$S$6,Castes!$B$2:$F$25,4,0)=Charms!I2041))</f>
        <v>#N/A</v>
      </c>
      <c r="J2041" t="e">
        <f t="shared" ca="1" si="156"/>
        <v>#N/A</v>
      </c>
      <c r="K2041" s="18" t="e">
        <f t="shared" ca="1" si="155"/>
        <v>#N/A</v>
      </c>
      <c r="L2041" t="e">
        <f ca="1">IF(J2041,Charms!B2041,"")</f>
        <v>#N/A</v>
      </c>
      <c r="M2041" t="str">
        <f t="shared" ca="1" si="157"/>
        <v>-</v>
      </c>
      <c r="N2041" s="18" t="str">
        <f t="shared" si="158"/>
        <v>K1622:L5000</v>
      </c>
      <c r="O2041" t="str">
        <f t="shared" si="159"/>
        <v>A1622:A2041</v>
      </c>
    </row>
    <row r="2042" spans="1:15">
      <c r="A2042" s="18">
        <f>Charms!K2042</f>
        <v>0</v>
      </c>
      <c r="B2042">
        <f>Charms!B2042</f>
        <v>0</v>
      </c>
      <c r="C2042" t="b">
        <f ca="1">OR(Values!$S$98&gt;=Charms!M2042,IFERROR(Charms!J2042=OFFSET(Values!$A$24,MATCH("S",Values!$T$25:$T$50,0),0),FALSE))</f>
        <v>1</v>
      </c>
      <c r="D2042" t="e">
        <f>VLOOKUP(Charms!J2042,Values!$A$11:$S$59,19,0)&gt;=Charms!L2042</f>
        <v>#N/A</v>
      </c>
      <c r="E2042" t="e">
        <f>OR(ISBLANK(Charms!I2042),(VLOOKUP(Values!$S$6,Castes!$B$2:$F$25,4,0)=Charms!I2042))</f>
        <v>#N/A</v>
      </c>
      <c r="J2042" t="e">
        <f t="shared" ca="1" si="156"/>
        <v>#N/A</v>
      </c>
      <c r="K2042" s="18" t="e">
        <f t="shared" ca="1" si="155"/>
        <v>#N/A</v>
      </c>
      <c r="L2042" t="e">
        <f ca="1">IF(J2042,Charms!B2042,"")</f>
        <v>#N/A</v>
      </c>
      <c r="M2042" t="str">
        <f t="shared" ca="1" si="157"/>
        <v>-</v>
      </c>
      <c r="N2042" s="18" t="str">
        <f t="shared" si="158"/>
        <v>K1622:L5000</v>
      </c>
      <c r="O2042" t="str">
        <f t="shared" si="159"/>
        <v>A1622:A2042</v>
      </c>
    </row>
    <row r="2043" spans="1:15">
      <c r="A2043" s="18">
        <f>Charms!K2043</f>
        <v>0</v>
      </c>
      <c r="B2043">
        <f>Charms!B2043</f>
        <v>0</v>
      </c>
      <c r="C2043" t="b">
        <f ca="1">OR(Values!$S$98&gt;=Charms!M2043,IFERROR(Charms!J2043=OFFSET(Values!$A$24,MATCH("S",Values!$T$25:$T$50,0),0),FALSE))</f>
        <v>1</v>
      </c>
      <c r="D2043" t="e">
        <f>VLOOKUP(Charms!J2043,Values!$A$11:$S$59,19,0)&gt;=Charms!L2043</f>
        <v>#N/A</v>
      </c>
      <c r="E2043" t="e">
        <f>OR(ISBLANK(Charms!I2043),(VLOOKUP(Values!$S$6,Castes!$B$2:$F$25,4,0)=Charms!I2043))</f>
        <v>#N/A</v>
      </c>
      <c r="J2043" t="e">
        <f t="shared" ca="1" si="156"/>
        <v>#N/A</v>
      </c>
      <c r="K2043" s="18" t="e">
        <f t="shared" ca="1" si="155"/>
        <v>#N/A</v>
      </c>
      <c r="L2043" t="e">
        <f ca="1">IF(J2043,Charms!B2043,"")</f>
        <v>#N/A</v>
      </c>
      <c r="M2043" t="str">
        <f t="shared" ca="1" si="157"/>
        <v>-</v>
      </c>
      <c r="N2043" s="18" t="str">
        <f t="shared" si="158"/>
        <v>K1622:L5000</v>
      </c>
      <c r="O2043" t="str">
        <f t="shared" si="159"/>
        <v>A1622:A2043</v>
      </c>
    </row>
    <row r="2044" spans="1:15">
      <c r="A2044" s="18">
        <f>Charms!K2044</f>
        <v>0</v>
      </c>
      <c r="B2044">
        <f>Charms!B2044</f>
        <v>0</v>
      </c>
      <c r="C2044" t="b">
        <f ca="1">OR(Values!$S$98&gt;=Charms!M2044,IFERROR(Charms!J2044=OFFSET(Values!$A$24,MATCH("S",Values!$T$25:$T$50,0),0),FALSE))</f>
        <v>1</v>
      </c>
      <c r="D2044" t="e">
        <f>VLOOKUP(Charms!J2044,Values!$A$11:$S$59,19,0)&gt;=Charms!L2044</f>
        <v>#N/A</v>
      </c>
      <c r="E2044" t="e">
        <f>OR(ISBLANK(Charms!I2044),(VLOOKUP(Values!$S$6,Castes!$B$2:$F$25,4,0)=Charms!I2044))</f>
        <v>#N/A</v>
      </c>
      <c r="J2044" t="e">
        <f t="shared" ca="1" si="156"/>
        <v>#N/A</v>
      </c>
      <c r="K2044" s="18" t="e">
        <f t="shared" ca="1" si="155"/>
        <v>#N/A</v>
      </c>
      <c r="L2044" t="e">
        <f ca="1">IF(J2044,Charms!B2044,"")</f>
        <v>#N/A</v>
      </c>
      <c r="M2044" t="str">
        <f t="shared" ca="1" si="157"/>
        <v>-</v>
      </c>
      <c r="N2044" s="18" t="str">
        <f t="shared" si="158"/>
        <v>K1622:L5000</v>
      </c>
      <c r="O2044" t="str">
        <f t="shared" si="159"/>
        <v>A1622:A2044</v>
      </c>
    </row>
    <row r="2045" spans="1:15">
      <c r="A2045" s="18">
        <f>Charms!K2045</f>
        <v>0</v>
      </c>
      <c r="B2045">
        <f>Charms!B2045</f>
        <v>0</v>
      </c>
      <c r="C2045" t="b">
        <f ca="1">OR(Values!$S$98&gt;=Charms!M2045,IFERROR(Charms!J2045=OFFSET(Values!$A$24,MATCH("S",Values!$T$25:$T$50,0),0),FALSE))</f>
        <v>1</v>
      </c>
      <c r="D2045" t="e">
        <f>VLOOKUP(Charms!J2045,Values!$A$11:$S$59,19,0)&gt;=Charms!L2045</f>
        <v>#N/A</v>
      </c>
      <c r="E2045" t="e">
        <f>OR(ISBLANK(Charms!I2045),(VLOOKUP(Values!$S$6,Castes!$B$2:$F$25,4,0)=Charms!I2045))</f>
        <v>#N/A</v>
      </c>
      <c r="J2045" t="e">
        <f t="shared" ca="1" si="156"/>
        <v>#N/A</v>
      </c>
      <c r="K2045" s="18" t="e">
        <f t="shared" ca="1" si="155"/>
        <v>#N/A</v>
      </c>
      <c r="L2045" t="e">
        <f ca="1">IF(J2045,Charms!B2045,"")</f>
        <v>#N/A</v>
      </c>
      <c r="M2045" t="str">
        <f t="shared" ca="1" si="157"/>
        <v>-</v>
      </c>
      <c r="N2045" s="18" t="str">
        <f t="shared" si="158"/>
        <v>K1622:L5000</v>
      </c>
      <c r="O2045" t="str">
        <f t="shared" si="159"/>
        <v>A1622:A2045</v>
      </c>
    </row>
    <row r="2046" spans="1:15">
      <c r="A2046" s="18">
        <f>Charms!K2046</f>
        <v>0</v>
      </c>
      <c r="B2046">
        <f>Charms!B2046</f>
        <v>0</v>
      </c>
      <c r="C2046" t="b">
        <f ca="1">OR(Values!$S$98&gt;=Charms!M2046,IFERROR(Charms!J2046=OFFSET(Values!$A$24,MATCH("S",Values!$T$25:$T$50,0),0),FALSE))</f>
        <v>1</v>
      </c>
      <c r="D2046" t="e">
        <f>VLOOKUP(Charms!J2046,Values!$A$11:$S$59,19,0)&gt;=Charms!L2046</f>
        <v>#N/A</v>
      </c>
      <c r="E2046" t="e">
        <f>OR(ISBLANK(Charms!I2046),(VLOOKUP(Values!$S$6,Castes!$B$2:$F$25,4,0)=Charms!I2046))</f>
        <v>#N/A</v>
      </c>
      <c r="J2046" t="e">
        <f t="shared" ca="1" si="156"/>
        <v>#N/A</v>
      </c>
      <c r="K2046" s="18" t="e">
        <f t="shared" ca="1" si="155"/>
        <v>#N/A</v>
      </c>
      <c r="L2046" t="e">
        <f ca="1">IF(J2046,Charms!B2046,"")</f>
        <v>#N/A</v>
      </c>
      <c r="M2046" t="str">
        <f t="shared" ca="1" si="157"/>
        <v>-</v>
      </c>
      <c r="N2046" s="18" t="str">
        <f t="shared" si="158"/>
        <v>K1622:L5000</v>
      </c>
      <c r="O2046" t="str">
        <f t="shared" si="159"/>
        <v>A1622:A2046</v>
      </c>
    </row>
    <row r="2047" spans="1:15">
      <c r="A2047" s="18">
        <f>Charms!K2047</f>
        <v>0</v>
      </c>
      <c r="B2047">
        <f>Charms!B2047</f>
        <v>0</v>
      </c>
      <c r="C2047" t="b">
        <f ca="1">OR(Values!$S$98&gt;=Charms!M2047,IFERROR(Charms!J2047=OFFSET(Values!$A$24,MATCH("S",Values!$T$25:$T$50,0),0),FALSE))</f>
        <v>1</v>
      </c>
      <c r="D2047" t="e">
        <f>VLOOKUP(Charms!J2047,Values!$A$11:$S$59,19,0)&gt;=Charms!L2047</f>
        <v>#N/A</v>
      </c>
      <c r="E2047" t="e">
        <f>OR(ISBLANK(Charms!I2047),(VLOOKUP(Values!$S$6,Castes!$B$2:$F$25,4,0)=Charms!I2047))</f>
        <v>#N/A</v>
      </c>
      <c r="J2047" t="e">
        <f t="shared" ca="1" si="156"/>
        <v>#N/A</v>
      </c>
      <c r="K2047" s="18" t="e">
        <f t="shared" ca="1" si="155"/>
        <v>#N/A</v>
      </c>
      <c r="L2047" t="e">
        <f ca="1">IF(J2047,Charms!B2047,"")</f>
        <v>#N/A</v>
      </c>
      <c r="M2047" t="str">
        <f t="shared" ca="1" si="157"/>
        <v>-</v>
      </c>
      <c r="N2047" s="18" t="str">
        <f t="shared" si="158"/>
        <v>K1622:L5000</v>
      </c>
      <c r="O2047" t="str">
        <f t="shared" si="159"/>
        <v>A1622:A2047</v>
      </c>
    </row>
    <row r="2048" spans="1:15">
      <c r="A2048" s="18">
        <f>Charms!K2048</f>
        <v>0</v>
      </c>
      <c r="B2048">
        <f>Charms!B2048</f>
        <v>0</v>
      </c>
      <c r="C2048" t="b">
        <f ca="1">OR(Values!$S$98&gt;=Charms!M2048,IFERROR(Charms!J2048=OFFSET(Values!$A$24,MATCH("S",Values!$T$25:$T$50,0),0),FALSE))</f>
        <v>1</v>
      </c>
      <c r="D2048" t="e">
        <f>VLOOKUP(Charms!J2048,Values!$A$11:$S$59,19,0)&gt;=Charms!L2048</f>
        <v>#N/A</v>
      </c>
      <c r="E2048" t="e">
        <f>OR(ISBLANK(Charms!I2048),(VLOOKUP(Values!$S$6,Castes!$B$2:$F$25,4,0)=Charms!I2048))</f>
        <v>#N/A</v>
      </c>
      <c r="J2048" t="e">
        <f t="shared" ca="1" si="156"/>
        <v>#N/A</v>
      </c>
      <c r="K2048" s="18" t="e">
        <f t="shared" ca="1" si="155"/>
        <v>#N/A</v>
      </c>
      <c r="L2048" t="e">
        <f ca="1">IF(J2048,Charms!B2048,"")</f>
        <v>#N/A</v>
      </c>
      <c r="M2048" t="str">
        <f t="shared" ca="1" si="157"/>
        <v>-</v>
      </c>
      <c r="N2048" s="18" t="str">
        <f t="shared" si="158"/>
        <v>K1622:L5000</v>
      </c>
      <c r="O2048" t="str">
        <f t="shared" si="159"/>
        <v>A1622:A2048</v>
      </c>
    </row>
    <row r="2049" spans="1:15">
      <c r="A2049" s="18">
        <f>Charms!K2049</f>
        <v>0</v>
      </c>
      <c r="B2049">
        <f>Charms!B2049</f>
        <v>0</v>
      </c>
      <c r="C2049" t="b">
        <f ca="1">OR(Values!$S$98&gt;=Charms!M2049,IFERROR(Charms!J2049=OFFSET(Values!$A$24,MATCH("S",Values!$T$25:$T$50,0),0),FALSE))</f>
        <v>1</v>
      </c>
      <c r="D2049" t="e">
        <f>VLOOKUP(Charms!J2049,Values!$A$11:$S$59,19,0)&gt;=Charms!L2049</f>
        <v>#N/A</v>
      </c>
      <c r="E2049" t="e">
        <f>OR(ISBLANK(Charms!I2049),(VLOOKUP(Values!$S$6,Castes!$B$2:$F$25,4,0)=Charms!I2049))</f>
        <v>#N/A</v>
      </c>
      <c r="J2049" t="e">
        <f t="shared" ca="1" si="156"/>
        <v>#N/A</v>
      </c>
      <c r="K2049" s="18" t="e">
        <f t="shared" ca="1" si="155"/>
        <v>#N/A</v>
      </c>
      <c r="L2049" t="e">
        <f ca="1">IF(J2049,Charms!B2049,"")</f>
        <v>#N/A</v>
      </c>
      <c r="M2049" t="str">
        <f t="shared" ca="1" si="157"/>
        <v>-</v>
      </c>
      <c r="N2049" s="18" t="str">
        <f t="shared" si="158"/>
        <v>K1622:L5000</v>
      </c>
      <c r="O2049" t="str">
        <f t="shared" si="159"/>
        <v>A1622:A2049</v>
      </c>
    </row>
    <row r="2050" spans="1:15">
      <c r="A2050" s="18">
        <f>Charms!K2050</f>
        <v>0</v>
      </c>
      <c r="B2050">
        <f>Charms!B2050</f>
        <v>0</v>
      </c>
      <c r="C2050" t="b">
        <f ca="1">OR(Values!$S$98&gt;=Charms!M2050,IFERROR(Charms!J2050=OFFSET(Values!$A$24,MATCH("S",Values!$T$25:$T$50,0),0),FALSE))</f>
        <v>1</v>
      </c>
      <c r="D2050" t="e">
        <f>VLOOKUP(Charms!J2050,Values!$A$11:$S$59,19,0)&gt;=Charms!L2050</f>
        <v>#N/A</v>
      </c>
      <c r="E2050" t="e">
        <f>OR(ISBLANK(Charms!I2050),(VLOOKUP(Values!$S$6,Castes!$B$2:$F$25,4,0)=Charms!I2050))</f>
        <v>#N/A</v>
      </c>
      <c r="J2050" t="e">
        <f t="shared" ca="1" si="156"/>
        <v>#N/A</v>
      </c>
      <c r="K2050" s="18" t="e">
        <f t="shared" ref="K2050:K2113" ca="1" si="160">IF(L2050="","",COUNTIF(INDIRECT("J"&amp;MATCH(A2050,A:A,0)&amp;":J"&amp;ROW()),J2050))</f>
        <v>#N/A</v>
      </c>
      <c r="L2050" t="e">
        <f ca="1">IF(J2050,Charms!B2050,"")</f>
        <v>#N/A</v>
      </c>
      <c r="M2050" t="str">
        <f t="shared" ca="1" si="157"/>
        <v>-</v>
      </c>
      <c r="N2050" s="18" t="str">
        <f t="shared" si="158"/>
        <v>K1622:L5000</v>
      </c>
      <c r="O2050" t="str">
        <f t="shared" si="159"/>
        <v>A1622:A2050</v>
      </c>
    </row>
    <row r="2051" spans="1:15">
      <c r="A2051" s="18">
        <f>Charms!K2051</f>
        <v>0</v>
      </c>
      <c r="B2051">
        <f>Charms!B2051</f>
        <v>0</v>
      </c>
      <c r="C2051" t="b">
        <f ca="1">OR(Values!$S$98&gt;=Charms!M2051,IFERROR(Charms!J2051=OFFSET(Values!$A$24,MATCH("S",Values!$T$25:$T$50,0),0),FALSE))</f>
        <v>1</v>
      </c>
      <c r="D2051" t="e">
        <f>VLOOKUP(Charms!J2051,Values!$A$11:$S$59,19,0)&gt;=Charms!L2051</f>
        <v>#N/A</v>
      </c>
      <c r="E2051" t="e">
        <f>OR(ISBLANK(Charms!I2051),(VLOOKUP(Values!$S$6,Castes!$B$2:$F$25,4,0)=Charms!I2051))</f>
        <v>#N/A</v>
      </c>
      <c r="J2051" t="e">
        <f t="shared" ref="J2051:J2114" ca="1" si="161">(C2051+D2051+E2051+F2051+G2051+H2051+I2051)=3</f>
        <v>#N/A</v>
      </c>
      <c r="K2051" s="18" t="e">
        <f t="shared" ca="1" si="160"/>
        <v>#N/A</v>
      </c>
      <c r="L2051" t="e">
        <f ca="1">IF(J2051,Charms!B2051,"")</f>
        <v>#N/A</v>
      </c>
      <c r="M2051" t="str">
        <f t="shared" ref="M2051:M2114" ca="1" si="162">IFERROR(VLOOKUP(COUNTIF(INDIRECT(O2051),A2051),INDIRECT(N2051),2,0),"-")</f>
        <v>-</v>
      </c>
      <c r="N2051" s="18" t="str">
        <f t="shared" ref="N2051:N2114" si="163">"K"&amp;MATCH(A2051,A:A,0)&amp;":L"&amp;(MATCH(A2051,A:A,0)+COUNTIF(A:A,A2051)-1)</f>
        <v>K1622:L5000</v>
      </c>
      <c r="O2051" t="str">
        <f t="shared" ref="O2051:O2114" si="164">"A"&amp;MATCH(A2051,A:A,0)&amp;":A"&amp;ROW()</f>
        <v>A1622:A2051</v>
      </c>
    </row>
    <row r="2052" spans="1:15">
      <c r="A2052" s="18">
        <f>Charms!K2052</f>
        <v>0</v>
      </c>
      <c r="B2052">
        <f>Charms!B2052</f>
        <v>0</v>
      </c>
      <c r="C2052" t="b">
        <f ca="1">OR(Values!$S$98&gt;=Charms!M2052,IFERROR(Charms!J2052=OFFSET(Values!$A$24,MATCH("S",Values!$T$25:$T$50,0),0),FALSE))</f>
        <v>1</v>
      </c>
      <c r="D2052" t="e">
        <f>VLOOKUP(Charms!J2052,Values!$A$11:$S$59,19,0)&gt;=Charms!L2052</f>
        <v>#N/A</v>
      </c>
      <c r="E2052" t="e">
        <f>OR(ISBLANK(Charms!I2052),(VLOOKUP(Values!$S$6,Castes!$B$2:$F$25,4,0)=Charms!I2052))</f>
        <v>#N/A</v>
      </c>
      <c r="J2052" t="e">
        <f t="shared" ca="1" si="161"/>
        <v>#N/A</v>
      </c>
      <c r="K2052" s="18" t="e">
        <f t="shared" ca="1" si="160"/>
        <v>#N/A</v>
      </c>
      <c r="L2052" t="e">
        <f ca="1">IF(J2052,Charms!B2052,"")</f>
        <v>#N/A</v>
      </c>
      <c r="M2052" t="str">
        <f t="shared" ca="1" si="162"/>
        <v>-</v>
      </c>
      <c r="N2052" s="18" t="str">
        <f t="shared" si="163"/>
        <v>K1622:L5000</v>
      </c>
      <c r="O2052" t="str">
        <f t="shared" si="164"/>
        <v>A1622:A2052</v>
      </c>
    </row>
    <row r="2053" spans="1:15">
      <c r="A2053" s="18">
        <f>Charms!K2053</f>
        <v>0</v>
      </c>
      <c r="B2053">
        <f>Charms!B2053</f>
        <v>0</v>
      </c>
      <c r="C2053" t="b">
        <f ca="1">OR(Values!$S$98&gt;=Charms!M2053,IFERROR(Charms!J2053=OFFSET(Values!$A$24,MATCH("S",Values!$T$25:$T$50,0),0),FALSE))</f>
        <v>1</v>
      </c>
      <c r="D2053" t="e">
        <f>VLOOKUP(Charms!J2053,Values!$A$11:$S$59,19,0)&gt;=Charms!L2053</f>
        <v>#N/A</v>
      </c>
      <c r="E2053" t="e">
        <f>OR(ISBLANK(Charms!I2053),(VLOOKUP(Values!$S$6,Castes!$B$2:$F$25,4,0)=Charms!I2053))</f>
        <v>#N/A</v>
      </c>
      <c r="J2053" t="e">
        <f t="shared" ca="1" si="161"/>
        <v>#N/A</v>
      </c>
      <c r="K2053" s="18" t="e">
        <f t="shared" ca="1" si="160"/>
        <v>#N/A</v>
      </c>
      <c r="L2053" t="e">
        <f ca="1">IF(J2053,Charms!B2053,"")</f>
        <v>#N/A</v>
      </c>
      <c r="M2053" t="str">
        <f t="shared" ca="1" si="162"/>
        <v>-</v>
      </c>
      <c r="N2053" s="18" t="str">
        <f t="shared" si="163"/>
        <v>K1622:L5000</v>
      </c>
      <c r="O2053" t="str">
        <f t="shared" si="164"/>
        <v>A1622:A2053</v>
      </c>
    </row>
    <row r="2054" spans="1:15">
      <c r="A2054" s="18">
        <f>Charms!K2054</f>
        <v>0</v>
      </c>
      <c r="B2054">
        <f>Charms!B2054</f>
        <v>0</v>
      </c>
      <c r="C2054" t="b">
        <f ca="1">OR(Values!$S$98&gt;=Charms!M2054,IFERROR(Charms!J2054=OFFSET(Values!$A$24,MATCH("S",Values!$T$25:$T$50,0),0),FALSE))</f>
        <v>1</v>
      </c>
      <c r="D2054" t="e">
        <f>VLOOKUP(Charms!J2054,Values!$A$11:$S$59,19,0)&gt;=Charms!L2054</f>
        <v>#N/A</v>
      </c>
      <c r="E2054" t="e">
        <f>OR(ISBLANK(Charms!I2054),(VLOOKUP(Values!$S$6,Castes!$B$2:$F$25,4,0)=Charms!I2054))</f>
        <v>#N/A</v>
      </c>
      <c r="J2054" t="e">
        <f t="shared" ca="1" si="161"/>
        <v>#N/A</v>
      </c>
      <c r="K2054" s="18" t="e">
        <f t="shared" ca="1" si="160"/>
        <v>#N/A</v>
      </c>
      <c r="L2054" t="e">
        <f ca="1">IF(J2054,Charms!B2054,"")</f>
        <v>#N/A</v>
      </c>
      <c r="M2054" t="str">
        <f t="shared" ca="1" si="162"/>
        <v>-</v>
      </c>
      <c r="N2054" s="18" t="str">
        <f t="shared" si="163"/>
        <v>K1622:L5000</v>
      </c>
      <c r="O2054" t="str">
        <f t="shared" si="164"/>
        <v>A1622:A2054</v>
      </c>
    </row>
    <row r="2055" spans="1:15">
      <c r="A2055" s="18">
        <f>Charms!K2055</f>
        <v>0</v>
      </c>
      <c r="B2055">
        <f>Charms!B2055</f>
        <v>0</v>
      </c>
      <c r="C2055" t="b">
        <f ca="1">OR(Values!$S$98&gt;=Charms!M2055,IFERROR(Charms!J2055=OFFSET(Values!$A$24,MATCH("S",Values!$T$25:$T$50,0),0),FALSE))</f>
        <v>1</v>
      </c>
      <c r="D2055" t="e">
        <f>VLOOKUP(Charms!J2055,Values!$A$11:$S$59,19,0)&gt;=Charms!L2055</f>
        <v>#N/A</v>
      </c>
      <c r="E2055" t="e">
        <f>OR(ISBLANK(Charms!I2055),(VLOOKUP(Values!$S$6,Castes!$B$2:$F$25,4,0)=Charms!I2055))</f>
        <v>#N/A</v>
      </c>
      <c r="J2055" t="e">
        <f t="shared" ca="1" si="161"/>
        <v>#N/A</v>
      </c>
      <c r="K2055" s="18" t="e">
        <f t="shared" ca="1" si="160"/>
        <v>#N/A</v>
      </c>
      <c r="L2055" t="e">
        <f ca="1">IF(J2055,Charms!B2055,"")</f>
        <v>#N/A</v>
      </c>
      <c r="M2055" t="str">
        <f t="shared" ca="1" si="162"/>
        <v>-</v>
      </c>
      <c r="N2055" s="18" t="str">
        <f t="shared" si="163"/>
        <v>K1622:L5000</v>
      </c>
      <c r="O2055" t="str">
        <f t="shared" si="164"/>
        <v>A1622:A2055</v>
      </c>
    </row>
    <row r="2056" spans="1:15">
      <c r="A2056" s="18">
        <f>Charms!K2056</f>
        <v>0</v>
      </c>
      <c r="B2056">
        <f>Charms!B2056</f>
        <v>0</v>
      </c>
      <c r="C2056" t="b">
        <f ca="1">OR(Values!$S$98&gt;=Charms!M2056,IFERROR(Charms!J2056=OFFSET(Values!$A$24,MATCH("S",Values!$T$25:$T$50,0),0),FALSE))</f>
        <v>1</v>
      </c>
      <c r="D2056" t="e">
        <f>VLOOKUP(Charms!J2056,Values!$A$11:$S$59,19,0)&gt;=Charms!L2056</f>
        <v>#N/A</v>
      </c>
      <c r="E2056" t="e">
        <f>OR(ISBLANK(Charms!I2056),(VLOOKUP(Values!$S$6,Castes!$B$2:$F$25,4,0)=Charms!I2056))</f>
        <v>#N/A</v>
      </c>
      <c r="J2056" t="e">
        <f t="shared" ca="1" si="161"/>
        <v>#N/A</v>
      </c>
      <c r="K2056" s="18" t="e">
        <f t="shared" ca="1" si="160"/>
        <v>#N/A</v>
      </c>
      <c r="L2056" t="e">
        <f ca="1">IF(J2056,Charms!B2056,"")</f>
        <v>#N/A</v>
      </c>
      <c r="M2056" t="str">
        <f t="shared" ca="1" si="162"/>
        <v>-</v>
      </c>
      <c r="N2056" s="18" t="str">
        <f t="shared" si="163"/>
        <v>K1622:L5000</v>
      </c>
      <c r="O2056" t="str">
        <f t="shared" si="164"/>
        <v>A1622:A2056</v>
      </c>
    </row>
    <row r="2057" spans="1:15">
      <c r="A2057" s="18">
        <f>Charms!K2057</f>
        <v>0</v>
      </c>
      <c r="B2057">
        <f>Charms!B2057</f>
        <v>0</v>
      </c>
      <c r="C2057" t="b">
        <f ca="1">OR(Values!$S$98&gt;=Charms!M2057,IFERROR(Charms!J2057=OFFSET(Values!$A$24,MATCH("S",Values!$T$25:$T$50,0),0),FALSE))</f>
        <v>1</v>
      </c>
      <c r="D2057" t="e">
        <f>VLOOKUP(Charms!J2057,Values!$A$11:$S$59,19,0)&gt;=Charms!L2057</f>
        <v>#N/A</v>
      </c>
      <c r="E2057" t="e">
        <f>OR(ISBLANK(Charms!I2057),(VLOOKUP(Values!$S$6,Castes!$B$2:$F$25,4,0)=Charms!I2057))</f>
        <v>#N/A</v>
      </c>
      <c r="J2057" t="e">
        <f t="shared" ca="1" si="161"/>
        <v>#N/A</v>
      </c>
      <c r="K2057" s="18" t="e">
        <f t="shared" ca="1" si="160"/>
        <v>#N/A</v>
      </c>
      <c r="L2057" t="e">
        <f ca="1">IF(J2057,Charms!B2057,"")</f>
        <v>#N/A</v>
      </c>
      <c r="M2057" t="str">
        <f t="shared" ca="1" si="162"/>
        <v>-</v>
      </c>
      <c r="N2057" s="18" t="str">
        <f t="shared" si="163"/>
        <v>K1622:L5000</v>
      </c>
      <c r="O2057" t="str">
        <f t="shared" si="164"/>
        <v>A1622:A2057</v>
      </c>
    </row>
    <row r="2058" spans="1:15">
      <c r="A2058" s="18">
        <f>Charms!K2058</f>
        <v>0</v>
      </c>
      <c r="B2058">
        <f>Charms!B2058</f>
        <v>0</v>
      </c>
      <c r="C2058" t="b">
        <f ca="1">OR(Values!$S$98&gt;=Charms!M2058,IFERROR(Charms!J2058=OFFSET(Values!$A$24,MATCH("S",Values!$T$25:$T$50,0),0),FALSE))</f>
        <v>1</v>
      </c>
      <c r="D2058" t="e">
        <f>VLOOKUP(Charms!J2058,Values!$A$11:$S$59,19,0)&gt;=Charms!L2058</f>
        <v>#N/A</v>
      </c>
      <c r="E2058" t="e">
        <f>OR(ISBLANK(Charms!I2058),(VLOOKUP(Values!$S$6,Castes!$B$2:$F$25,4,0)=Charms!I2058))</f>
        <v>#N/A</v>
      </c>
      <c r="J2058" t="e">
        <f t="shared" ca="1" si="161"/>
        <v>#N/A</v>
      </c>
      <c r="K2058" s="18" t="e">
        <f t="shared" ca="1" si="160"/>
        <v>#N/A</v>
      </c>
      <c r="L2058" t="e">
        <f ca="1">IF(J2058,Charms!B2058,"")</f>
        <v>#N/A</v>
      </c>
      <c r="M2058" t="str">
        <f t="shared" ca="1" si="162"/>
        <v>-</v>
      </c>
      <c r="N2058" s="18" t="str">
        <f t="shared" si="163"/>
        <v>K1622:L5000</v>
      </c>
      <c r="O2058" t="str">
        <f t="shared" si="164"/>
        <v>A1622:A2058</v>
      </c>
    </row>
    <row r="2059" spans="1:15">
      <c r="A2059" s="18">
        <f>Charms!K2059</f>
        <v>0</v>
      </c>
      <c r="B2059">
        <f>Charms!B2059</f>
        <v>0</v>
      </c>
      <c r="C2059" t="b">
        <f ca="1">OR(Values!$S$98&gt;=Charms!M2059,IFERROR(Charms!J2059=OFFSET(Values!$A$24,MATCH("S",Values!$T$25:$T$50,0),0),FALSE))</f>
        <v>1</v>
      </c>
      <c r="D2059" t="e">
        <f>VLOOKUP(Charms!J2059,Values!$A$11:$S$59,19,0)&gt;=Charms!L2059</f>
        <v>#N/A</v>
      </c>
      <c r="E2059" t="e">
        <f>OR(ISBLANK(Charms!I2059),(VLOOKUP(Values!$S$6,Castes!$B$2:$F$25,4,0)=Charms!I2059))</f>
        <v>#N/A</v>
      </c>
      <c r="J2059" t="e">
        <f t="shared" ca="1" si="161"/>
        <v>#N/A</v>
      </c>
      <c r="K2059" s="18" t="e">
        <f t="shared" ca="1" si="160"/>
        <v>#N/A</v>
      </c>
      <c r="L2059" t="e">
        <f ca="1">IF(J2059,Charms!B2059,"")</f>
        <v>#N/A</v>
      </c>
      <c r="M2059" t="str">
        <f t="shared" ca="1" si="162"/>
        <v>-</v>
      </c>
      <c r="N2059" s="18" t="str">
        <f t="shared" si="163"/>
        <v>K1622:L5000</v>
      </c>
      <c r="O2059" t="str">
        <f t="shared" si="164"/>
        <v>A1622:A2059</v>
      </c>
    </row>
    <row r="2060" spans="1:15">
      <c r="A2060" s="18">
        <f>Charms!K2060</f>
        <v>0</v>
      </c>
      <c r="B2060">
        <f>Charms!B2060</f>
        <v>0</v>
      </c>
      <c r="C2060" t="b">
        <f ca="1">OR(Values!$S$98&gt;=Charms!M2060,IFERROR(Charms!J2060=OFFSET(Values!$A$24,MATCH("S",Values!$T$25:$T$50,0),0),FALSE))</f>
        <v>1</v>
      </c>
      <c r="D2060" t="e">
        <f>VLOOKUP(Charms!J2060,Values!$A$11:$S$59,19,0)&gt;=Charms!L2060</f>
        <v>#N/A</v>
      </c>
      <c r="E2060" t="e">
        <f>OR(ISBLANK(Charms!I2060),(VLOOKUP(Values!$S$6,Castes!$B$2:$F$25,4,0)=Charms!I2060))</f>
        <v>#N/A</v>
      </c>
      <c r="J2060" t="e">
        <f t="shared" ca="1" si="161"/>
        <v>#N/A</v>
      </c>
      <c r="K2060" s="18" t="e">
        <f t="shared" ca="1" si="160"/>
        <v>#N/A</v>
      </c>
      <c r="L2060" t="e">
        <f ca="1">IF(J2060,Charms!B2060,"")</f>
        <v>#N/A</v>
      </c>
      <c r="M2060" t="str">
        <f t="shared" ca="1" si="162"/>
        <v>-</v>
      </c>
      <c r="N2060" s="18" t="str">
        <f t="shared" si="163"/>
        <v>K1622:L5000</v>
      </c>
      <c r="O2060" t="str">
        <f t="shared" si="164"/>
        <v>A1622:A2060</v>
      </c>
    </row>
    <row r="2061" spans="1:15">
      <c r="A2061" s="18">
        <f>Charms!K2061</f>
        <v>0</v>
      </c>
      <c r="B2061">
        <f>Charms!B2061</f>
        <v>0</v>
      </c>
      <c r="C2061" t="b">
        <f ca="1">OR(Values!$S$98&gt;=Charms!M2061,IFERROR(Charms!J2061=OFFSET(Values!$A$24,MATCH("S",Values!$T$25:$T$50,0),0),FALSE))</f>
        <v>1</v>
      </c>
      <c r="D2061" t="e">
        <f>VLOOKUP(Charms!J2061,Values!$A$11:$S$59,19,0)&gt;=Charms!L2061</f>
        <v>#N/A</v>
      </c>
      <c r="E2061" t="e">
        <f>OR(ISBLANK(Charms!I2061),(VLOOKUP(Values!$S$6,Castes!$B$2:$F$25,4,0)=Charms!I2061))</f>
        <v>#N/A</v>
      </c>
      <c r="J2061" t="e">
        <f t="shared" ca="1" si="161"/>
        <v>#N/A</v>
      </c>
      <c r="K2061" s="18" t="e">
        <f t="shared" ca="1" si="160"/>
        <v>#N/A</v>
      </c>
      <c r="L2061" t="e">
        <f ca="1">IF(J2061,Charms!B2061,"")</f>
        <v>#N/A</v>
      </c>
      <c r="M2061" t="str">
        <f t="shared" ca="1" si="162"/>
        <v>-</v>
      </c>
      <c r="N2061" s="18" t="str">
        <f t="shared" si="163"/>
        <v>K1622:L5000</v>
      </c>
      <c r="O2061" t="str">
        <f t="shared" si="164"/>
        <v>A1622:A2061</v>
      </c>
    </row>
    <row r="2062" spans="1:15">
      <c r="A2062" s="18">
        <f>Charms!K2062</f>
        <v>0</v>
      </c>
      <c r="B2062">
        <f>Charms!B2062</f>
        <v>0</v>
      </c>
      <c r="C2062" t="b">
        <f ca="1">OR(Values!$S$98&gt;=Charms!M2062,IFERROR(Charms!J2062=OFFSET(Values!$A$24,MATCH("S",Values!$T$25:$T$50,0),0),FALSE))</f>
        <v>1</v>
      </c>
      <c r="D2062" t="e">
        <f>VLOOKUP(Charms!J2062,Values!$A$11:$S$59,19,0)&gt;=Charms!L2062</f>
        <v>#N/A</v>
      </c>
      <c r="E2062" t="e">
        <f>OR(ISBLANK(Charms!I2062),(VLOOKUP(Values!$S$6,Castes!$B$2:$F$25,4,0)=Charms!I2062))</f>
        <v>#N/A</v>
      </c>
      <c r="J2062" t="e">
        <f t="shared" ca="1" si="161"/>
        <v>#N/A</v>
      </c>
      <c r="K2062" s="18" t="e">
        <f t="shared" ca="1" si="160"/>
        <v>#N/A</v>
      </c>
      <c r="L2062" t="e">
        <f ca="1">IF(J2062,Charms!B2062,"")</f>
        <v>#N/A</v>
      </c>
      <c r="M2062" t="str">
        <f t="shared" ca="1" si="162"/>
        <v>-</v>
      </c>
      <c r="N2062" s="18" t="str">
        <f t="shared" si="163"/>
        <v>K1622:L5000</v>
      </c>
      <c r="O2062" t="str">
        <f t="shared" si="164"/>
        <v>A1622:A2062</v>
      </c>
    </row>
    <row r="2063" spans="1:15">
      <c r="A2063" s="18">
        <f>Charms!K2063</f>
        <v>0</v>
      </c>
      <c r="B2063">
        <f>Charms!B2063</f>
        <v>0</v>
      </c>
      <c r="C2063" t="b">
        <f ca="1">OR(Values!$S$98&gt;=Charms!M2063,IFERROR(Charms!J2063=OFFSET(Values!$A$24,MATCH("S",Values!$T$25:$T$50,0),0),FALSE))</f>
        <v>1</v>
      </c>
      <c r="D2063" t="e">
        <f>VLOOKUP(Charms!J2063,Values!$A$11:$S$59,19,0)&gt;=Charms!L2063</f>
        <v>#N/A</v>
      </c>
      <c r="E2063" t="e">
        <f>OR(ISBLANK(Charms!I2063),(VLOOKUP(Values!$S$6,Castes!$B$2:$F$25,4,0)=Charms!I2063))</f>
        <v>#N/A</v>
      </c>
      <c r="J2063" t="e">
        <f t="shared" ca="1" si="161"/>
        <v>#N/A</v>
      </c>
      <c r="K2063" s="18" t="e">
        <f t="shared" ca="1" si="160"/>
        <v>#N/A</v>
      </c>
      <c r="L2063" t="e">
        <f ca="1">IF(J2063,Charms!B2063,"")</f>
        <v>#N/A</v>
      </c>
      <c r="M2063" t="str">
        <f t="shared" ca="1" si="162"/>
        <v>-</v>
      </c>
      <c r="N2063" s="18" t="str">
        <f t="shared" si="163"/>
        <v>K1622:L5000</v>
      </c>
      <c r="O2063" t="str">
        <f t="shared" si="164"/>
        <v>A1622:A2063</v>
      </c>
    </row>
    <row r="2064" spans="1:15">
      <c r="A2064" s="18">
        <f>Charms!K2064</f>
        <v>0</v>
      </c>
      <c r="B2064">
        <f>Charms!B2064</f>
        <v>0</v>
      </c>
      <c r="C2064" t="b">
        <f ca="1">OR(Values!$S$98&gt;=Charms!M2064,IFERROR(Charms!J2064=OFFSET(Values!$A$24,MATCH("S",Values!$T$25:$T$50,0),0),FALSE))</f>
        <v>1</v>
      </c>
      <c r="D2064" t="e">
        <f>VLOOKUP(Charms!J2064,Values!$A$11:$S$59,19,0)&gt;=Charms!L2064</f>
        <v>#N/A</v>
      </c>
      <c r="E2064" t="e">
        <f>OR(ISBLANK(Charms!I2064),(VLOOKUP(Values!$S$6,Castes!$B$2:$F$25,4,0)=Charms!I2064))</f>
        <v>#N/A</v>
      </c>
      <c r="J2064" t="e">
        <f t="shared" ca="1" si="161"/>
        <v>#N/A</v>
      </c>
      <c r="K2064" s="18" t="e">
        <f t="shared" ca="1" si="160"/>
        <v>#N/A</v>
      </c>
      <c r="L2064" t="e">
        <f ca="1">IF(J2064,Charms!B2064,"")</f>
        <v>#N/A</v>
      </c>
      <c r="M2064" t="str">
        <f t="shared" ca="1" si="162"/>
        <v>-</v>
      </c>
      <c r="N2064" s="18" t="str">
        <f t="shared" si="163"/>
        <v>K1622:L5000</v>
      </c>
      <c r="O2064" t="str">
        <f t="shared" si="164"/>
        <v>A1622:A2064</v>
      </c>
    </row>
    <row r="2065" spans="1:15">
      <c r="A2065" s="18">
        <f>Charms!K2065</f>
        <v>0</v>
      </c>
      <c r="B2065">
        <f>Charms!B2065</f>
        <v>0</v>
      </c>
      <c r="C2065" t="b">
        <f ca="1">OR(Values!$S$98&gt;=Charms!M2065,IFERROR(Charms!J2065=OFFSET(Values!$A$24,MATCH("S",Values!$T$25:$T$50,0),0),FALSE))</f>
        <v>1</v>
      </c>
      <c r="D2065" t="e">
        <f>VLOOKUP(Charms!J2065,Values!$A$11:$S$59,19,0)&gt;=Charms!L2065</f>
        <v>#N/A</v>
      </c>
      <c r="E2065" t="e">
        <f>OR(ISBLANK(Charms!I2065),(VLOOKUP(Values!$S$6,Castes!$B$2:$F$25,4,0)=Charms!I2065))</f>
        <v>#N/A</v>
      </c>
      <c r="J2065" t="e">
        <f t="shared" ca="1" si="161"/>
        <v>#N/A</v>
      </c>
      <c r="K2065" s="18" t="e">
        <f t="shared" ca="1" si="160"/>
        <v>#N/A</v>
      </c>
      <c r="L2065" t="e">
        <f ca="1">IF(J2065,Charms!B2065,"")</f>
        <v>#N/A</v>
      </c>
      <c r="M2065" t="str">
        <f t="shared" ca="1" si="162"/>
        <v>-</v>
      </c>
      <c r="N2065" s="18" t="str">
        <f t="shared" si="163"/>
        <v>K1622:L5000</v>
      </c>
      <c r="O2065" t="str">
        <f t="shared" si="164"/>
        <v>A1622:A2065</v>
      </c>
    </row>
    <row r="2066" spans="1:15">
      <c r="A2066" s="18">
        <f>Charms!K2066</f>
        <v>0</v>
      </c>
      <c r="B2066">
        <f>Charms!B2066</f>
        <v>0</v>
      </c>
      <c r="C2066" t="b">
        <f ca="1">OR(Values!$S$98&gt;=Charms!M2066,IFERROR(Charms!J2066=OFFSET(Values!$A$24,MATCH("S",Values!$T$25:$T$50,0),0),FALSE))</f>
        <v>1</v>
      </c>
      <c r="D2066" t="e">
        <f>VLOOKUP(Charms!J2066,Values!$A$11:$S$59,19,0)&gt;=Charms!L2066</f>
        <v>#N/A</v>
      </c>
      <c r="E2066" t="e">
        <f>OR(ISBLANK(Charms!I2066),(VLOOKUP(Values!$S$6,Castes!$B$2:$F$25,4,0)=Charms!I2066))</f>
        <v>#N/A</v>
      </c>
      <c r="J2066" t="e">
        <f t="shared" ca="1" si="161"/>
        <v>#N/A</v>
      </c>
      <c r="K2066" s="18" t="e">
        <f t="shared" ca="1" si="160"/>
        <v>#N/A</v>
      </c>
      <c r="L2066" t="e">
        <f ca="1">IF(J2066,Charms!B2066,"")</f>
        <v>#N/A</v>
      </c>
      <c r="M2066" t="str">
        <f t="shared" ca="1" si="162"/>
        <v>-</v>
      </c>
      <c r="N2066" s="18" t="str">
        <f t="shared" si="163"/>
        <v>K1622:L5000</v>
      </c>
      <c r="O2066" t="str">
        <f t="shared" si="164"/>
        <v>A1622:A2066</v>
      </c>
    </row>
    <row r="2067" spans="1:15">
      <c r="A2067" s="18">
        <f>Charms!K2067</f>
        <v>0</v>
      </c>
      <c r="B2067">
        <f>Charms!B2067</f>
        <v>0</v>
      </c>
      <c r="C2067" t="b">
        <f ca="1">OR(Values!$S$98&gt;=Charms!M2067,IFERROR(Charms!J2067=OFFSET(Values!$A$24,MATCH("S",Values!$T$25:$T$50,0),0),FALSE))</f>
        <v>1</v>
      </c>
      <c r="D2067" t="e">
        <f>VLOOKUP(Charms!J2067,Values!$A$11:$S$59,19,0)&gt;=Charms!L2067</f>
        <v>#N/A</v>
      </c>
      <c r="E2067" t="e">
        <f>OR(ISBLANK(Charms!I2067),(VLOOKUP(Values!$S$6,Castes!$B$2:$F$25,4,0)=Charms!I2067))</f>
        <v>#N/A</v>
      </c>
      <c r="J2067" t="e">
        <f t="shared" ca="1" si="161"/>
        <v>#N/A</v>
      </c>
      <c r="K2067" s="18" t="e">
        <f t="shared" ca="1" si="160"/>
        <v>#N/A</v>
      </c>
      <c r="L2067" t="e">
        <f ca="1">IF(J2067,Charms!B2067,"")</f>
        <v>#N/A</v>
      </c>
      <c r="M2067" t="str">
        <f t="shared" ca="1" si="162"/>
        <v>-</v>
      </c>
      <c r="N2067" s="18" t="str">
        <f t="shared" si="163"/>
        <v>K1622:L5000</v>
      </c>
      <c r="O2067" t="str">
        <f t="shared" si="164"/>
        <v>A1622:A2067</v>
      </c>
    </row>
    <row r="2068" spans="1:15">
      <c r="A2068" s="18">
        <f>Charms!K2068</f>
        <v>0</v>
      </c>
      <c r="B2068">
        <f>Charms!B2068</f>
        <v>0</v>
      </c>
      <c r="C2068" t="b">
        <f ca="1">OR(Values!$S$98&gt;=Charms!M2068,IFERROR(Charms!J2068=OFFSET(Values!$A$24,MATCH("S",Values!$T$25:$T$50,0),0),FALSE))</f>
        <v>1</v>
      </c>
      <c r="D2068" t="e">
        <f>VLOOKUP(Charms!J2068,Values!$A$11:$S$59,19,0)&gt;=Charms!L2068</f>
        <v>#N/A</v>
      </c>
      <c r="E2068" t="e">
        <f>OR(ISBLANK(Charms!I2068),(VLOOKUP(Values!$S$6,Castes!$B$2:$F$25,4,0)=Charms!I2068))</f>
        <v>#N/A</v>
      </c>
      <c r="J2068" t="e">
        <f t="shared" ca="1" si="161"/>
        <v>#N/A</v>
      </c>
      <c r="K2068" s="18" t="e">
        <f t="shared" ca="1" si="160"/>
        <v>#N/A</v>
      </c>
      <c r="L2068" t="e">
        <f ca="1">IF(J2068,Charms!B2068,"")</f>
        <v>#N/A</v>
      </c>
      <c r="M2068" t="str">
        <f t="shared" ca="1" si="162"/>
        <v>-</v>
      </c>
      <c r="N2068" s="18" t="str">
        <f t="shared" si="163"/>
        <v>K1622:L5000</v>
      </c>
      <c r="O2068" t="str">
        <f t="shared" si="164"/>
        <v>A1622:A2068</v>
      </c>
    </row>
    <row r="2069" spans="1:15">
      <c r="A2069" s="18">
        <f>Charms!K2069</f>
        <v>0</v>
      </c>
      <c r="B2069">
        <f>Charms!B2069</f>
        <v>0</v>
      </c>
      <c r="C2069" t="b">
        <f ca="1">OR(Values!$S$98&gt;=Charms!M2069,IFERROR(Charms!J2069=OFFSET(Values!$A$24,MATCH("S",Values!$T$25:$T$50,0),0),FALSE))</f>
        <v>1</v>
      </c>
      <c r="D2069" t="e">
        <f>VLOOKUP(Charms!J2069,Values!$A$11:$S$59,19,0)&gt;=Charms!L2069</f>
        <v>#N/A</v>
      </c>
      <c r="E2069" t="e">
        <f>OR(ISBLANK(Charms!I2069),(VLOOKUP(Values!$S$6,Castes!$B$2:$F$25,4,0)=Charms!I2069))</f>
        <v>#N/A</v>
      </c>
      <c r="J2069" t="e">
        <f t="shared" ca="1" si="161"/>
        <v>#N/A</v>
      </c>
      <c r="K2069" s="18" t="e">
        <f t="shared" ca="1" si="160"/>
        <v>#N/A</v>
      </c>
      <c r="L2069" t="e">
        <f ca="1">IF(J2069,Charms!B2069,"")</f>
        <v>#N/A</v>
      </c>
      <c r="M2069" t="str">
        <f t="shared" ca="1" si="162"/>
        <v>-</v>
      </c>
      <c r="N2069" s="18" t="str">
        <f t="shared" si="163"/>
        <v>K1622:L5000</v>
      </c>
      <c r="O2069" t="str">
        <f t="shared" si="164"/>
        <v>A1622:A2069</v>
      </c>
    </row>
    <row r="2070" spans="1:15">
      <c r="A2070" s="18">
        <f>Charms!K2070</f>
        <v>0</v>
      </c>
      <c r="B2070">
        <f>Charms!B2070</f>
        <v>0</v>
      </c>
      <c r="C2070" t="b">
        <f ca="1">OR(Values!$S$98&gt;=Charms!M2070,IFERROR(Charms!J2070=OFFSET(Values!$A$24,MATCH("S",Values!$T$25:$T$50,0),0),FALSE))</f>
        <v>1</v>
      </c>
      <c r="D2070" t="e">
        <f>VLOOKUP(Charms!J2070,Values!$A$11:$S$59,19,0)&gt;=Charms!L2070</f>
        <v>#N/A</v>
      </c>
      <c r="E2070" t="e">
        <f>OR(ISBLANK(Charms!I2070),(VLOOKUP(Values!$S$6,Castes!$B$2:$F$25,4,0)=Charms!I2070))</f>
        <v>#N/A</v>
      </c>
      <c r="J2070" t="e">
        <f t="shared" ca="1" si="161"/>
        <v>#N/A</v>
      </c>
      <c r="K2070" s="18" t="e">
        <f t="shared" ca="1" si="160"/>
        <v>#N/A</v>
      </c>
      <c r="L2070" t="e">
        <f ca="1">IF(J2070,Charms!B2070,"")</f>
        <v>#N/A</v>
      </c>
      <c r="M2070" t="str">
        <f t="shared" ca="1" si="162"/>
        <v>-</v>
      </c>
      <c r="N2070" s="18" t="str">
        <f t="shared" si="163"/>
        <v>K1622:L5000</v>
      </c>
      <c r="O2070" t="str">
        <f t="shared" si="164"/>
        <v>A1622:A2070</v>
      </c>
    </row>
    <row r="2071" spans="1:15">
      <c r="A2071" s="18">
        <f>Charms!K2071</f>
        <v>0</v>
      </c>
      <c r="B2071">
        <f>Charms!B2071</f>
        <v>0</v>
      </c>
      <c r="C2071" t="b">
        <f ca="1">OR(Values!$S$98&gt;=Charms!M2071,IFERROR(Charms!J2071=OFFSET(Values!$A$24,MATCH("S",Values!$T$25:$T$50,0),0),FALSE))</f>
        <v>1</v>
      </c>
      <c r="D2071" t="e">
        <f>VLOOKUP(Charms!J2071,Values!$A$11:$S$59,19,0)&gt;=Charms!L2071</f>
        <v>#N/A</v>
      </c>
      <c r="E2071" t="e">
        <f>OR(ISBLANK(Charms!I2071),(VLOOKUP(Values!$S$6,Castes!$B$2:$F$25,4,0)=Charms!I2071))</f>
        <v>#N/A</v>
      </c>
      <c r="J2071" t="e">
        <f t="shared" ca="1" si="161"/>
        <v>#N/A</v>
      </c>
      <c r="K2071" s="18" t="e">
        <f t="shared" ca="1" si="160"/>
        <v>#N/A</v>
      </c>
      <c r="L2071" t="e">
        <f ca="1">IF(J2071,Charms!B2071,"")</f>
        <v>#N/A</v>
      </c>
      <c r="M2071" t="str">
        <f t="shared" ca="1" si="162"/>
        <v>-</v>
      </c>
      <c r="N2071" s="18" t="str">
        <f t="shared" si="163"/>
        <v>K1622:L5000</v>
      </c>
      <c r="O2071" t="str">
        <f t="shared" si="164"/>
        <v>A1622:A2071</v>
      </c>
    </row>
    <row r="2072" spans="1:15">
      <c r="A2072" s="18">
        <f>Charms!K2072</f>
        <v>0</v>
      </c>
      <c r="B2072">
        <f>Charms!B2072</f>
        <v>0</v>
      </c>
      <c r="C2072" t="b">
        <f ca="1">OR(Values!$S$98&gt;=Charms!M2072,IFERROR(Charms!J2072=OFFSET(Values!$A$24,MATCH("S",Values!$T$25:$T$50,0),0),FALSE))</f>
        <v>1</v>
      </c>
      <c r="D2072" t="e">
        <f>VLOOKUP(Charms!J2072,Values!$A$11:$S$59,19,0)&gt;=Charms!L2072</f>
        <v>#N/A</v>
      </c>
      <c r="E2072" t="e">
        <f>OR(ISBLANK(Charms!I2072),(VLOOKUP(Values!$S$6,Castes!$B$2:$F$25,4,0)=Charms!I2072))</f>
        <v>#N/A</v>
      </c>
      <c r="J2072" t="e">
        <f t="shared" ca="1" si="161"/>
        <v>#N/A</v>
      </c>
      <c r="K2072" s="18" t="e">
        <f t="shared" ca="1" si="160"/>
        <v>#N/A</v>
      </c>
      <c r="L2072" t="e">
        <f ca="1">IF(J2072,Charms!B2072,"")</f>
        <v>#N/A</v>
      </c>
      <c r="M2072" t="str">
        <f t="shared" ca="1" si="162"/>
        <v>-</v>
      </c>
      <c r="N2072" s="18" t="str">
        <f t="shared" si="163"/>
        <v>K1622:L5000</v>
      </c>
      <c r="O2072" t="str">
        <f t="shared" si="164"/>
        <v>A1622:A2072</v>
      </c>
    </row>
    <row r="2073" spans="1:15">
      <c r="A2073" s="18">
        <f>Charms!K2073</f>
        <v>0</v>
      </c>
      <c r="B2073">
        <f>Charms!B2073</f>
        <v>0</v>
      </c>
      <c r="C2073" t="b">
        <f ca="1">OR(Values!$S$98&gt;=Charms!M2073,IFERROR(Charms!J2073=OFFSET(Values!$A$24,MATCH("S",Values!$T$25:$T$50,0),0),FALSE))</f>
        <v>1</v>
      </c>
      <c r="D2073" t="e">
        <f>VLOOKUP(Charms!J2073,Values!$A$11:$S$59,19,0)&gt;=Charms!L2073</f>
        <v>#N/A</v>
      </c>
      <c r="E2073" t="e">
        <f>OR(ISBLANK(Charms!I2073),(VLOOKUP(Values!$S$6,Castes!$B$2:$F$25,4,0)=Charms!I2073))</f>
        <v>#N/A</v>
      </c>
      <c r="J2073" t="e">
        <f t="shared" ca="1" si="161"/>
        <v>#N/A</v>
      </c>
      <c r="K2073" s="18" t="e">
        <f t="shared" ca="1" si="160"/>
        <v>#N/A</v>
      </c>
      <c r="L2073" t="e">
        <f ca="1">IF(J2073,Charms!B2073,"")</f>
        <v>#N/A</v>
      </c>
      <c r="M2073" t="str">
        <f t="shared" ca="1" si="162"/>
        <v>-</v>
      </c>
      <c r="N2073" s="18" t="str">
        <f t="shared" si="163"/>
        <v>K1622:L5000</v>
      </c>
      <c r="O2073" t="str">
        <f t="shared" si="164"/>
        <v>A1622:A2073</v>
      </c>
    </row>
    <row r="2074" spans="1:15">
      <c r="A2074" s="18">
        <f>Charms!K2074</f>
        <v>0</v>
      </c>
      <c r="B2074">
        <f>Charms!B2074</f>
        <v>0</v>
      </c>
      <c r="C2074" t="b">
        <f ca="1">OR(Values!$S$98&gt;=Charms!M2074,IFERROR(Charms!J2074=OFFSET(Values!$A$24,MATCH("S",Values!$T$25:$T$50,0),0),FALSE))</f>
        <v>1</v>
      </c>
      <c r="D2074" t="e">
        <f>VLOOKUP(Charms!J2074,Values!$A$11:$S$59,19,0)&gt;=Charms!L2074</f>
        <v>#N/A</v>
      </c>
      <c r="E2074" t="e">
        <f>OR(ISBLANK(Charms!I2074),(VLOOKUP(Values!$S$6,Castes!$B$2:$F$25,4,0)=Charms!I2074))</f>
        <v>#N/A</v>
      </c>
      <c r="J2074" t="e">
        <f t="shared" ca="1" si="161"/>
        <v>#N/A</v>
      </c>
      <c r="K2074" s="18" t="e">
        <f t="shared" ca="1" si="160"/>
        <v>#N/A</v>
      </c>
      <c r="L2074" t="e">
        <f ca="1">IF(J2074,Charms!B2074,"")</f>
        <v>#N/A</v>
      </c>
      <c r="M2074" t="str">
        <f t="shared" ca="1" si="162"/>
        <v>-</v>
      </c>
      <c r="N2074" s="18" t="str">
        <f t="shared" si="163"/>
        <v>K1622:L5000</v>
      </c>
      <c r="O2074" t="str">
        <f t="shared" si="164"/>
        <v>A1622:A2074</v>
      </c>
    </row>
    <row r="2075" spans="1:15">
      <c r="A2075" s="18">
        <f>Charms!K2075</f>
        <v>0</v>
      </c>
      <c r="B2075">
        <f>Charms!B2075</f>
        <v>0</v>
      </c>
      <c r="C2075" t="b">
        <f ca="1">OR(Values!$S$98&gt;=Charms!M2075,IFERROR(Charms!J2075=OFFSET(Values!$A$24,MATCH("S",Values!$T$25:$T$50,0),0),FALSE))</f>
        <v>1</v>
      </c>
      <c r="D2075" t="e">
        <f>VLOOKUP(Charms!J2075,Values!$A$11:$S$59,19,0)&gt;=Charms!L2075</f>
        <v>#N/A</v>
      </c>
      <c r="E2075" t="e">
        <f>OR(ISBLANK(Charms!I2075),(VLOOKUP(Values!$S$6,Castes!$B$2:$F$25,4,0)=Charms!I2075))</f>
        <v>#N/A</v>
      </c>
      <c r="J2075" t="e">
        <f t="shared" ca="1" si="161"/>
        <v>#N/A</v>
      </c>
      <c r="K2075" s="18" t="e">
        <f t="shared" ca="1" si="160"/>
        <v>#N/A</v>
      </c>
      <c r="L2075" t="e">
        <f ca="1">IF(J2075,Charms!B2075,"")</f>
        <v>#N/A</v>
      </c>
      <c r="M2075" t="str">
        <f t="shared" ca="1" si="162"/>
        <v>-</v>
      </c>
      <c r="N2075" s="18" t="str">
        <f t="shared" si="163"/>
        <v>K1622:L5000</v>
      </c>
      <c r="O2075" t="str">
        <f t="shared" si="164"/>
        <v>A1622:A2075</v>
      </c>
    </row>
    <row r="2076" spans="1:15">
      <c r="A2076" s="18">
        <f>Charms!K2076</f>
        <v>0</v>
      </c>
      <c r="B2076">
        <f>Charms!B2076</f>
        <v>0</v>
      </c>
      <c r="C2076" t="b">
        <f ca="1">OR(Values!$S$98&gt;=Charms!M2076,IFERROR(Charms!J2076=OFFSET(Values!$A$24,MATCH("S",Values!$T$25:$T$50,0),0),FALSE))</f>
        <v>1</v>
      </c>
      <c r="D2076" t="e">
        <f>VLOOKUP(Charms!J2076,Values!$A$11:$S$59,19,0)&gt;=Charms!L2076</f>
        <v>#N/A</v>
      </c>
      <c r="E2076" t="e">
        <f>OR(ISBLANK(Charms!I2076),(VLOOKUP(Values!$S$6,Castes!$B$2:$F$25,4,0)=Charms!I2076))</f>
        <v>#N/A</v>
      </c>
      <c r="J2076" t="e">
        <f t="shared" ca="1" si="161"/>
        <v>#N/A</v>
      </c>
      <c r="K2076" s="18" t="e">
        <f t="shared" ca="1" si="160"/>
        <v>#N/A</v>
      </c>
      <c r="L2076" t="e">
        <f ca="1">IF(J2076,Charms!B2076,"")</f>
        <v>#N/A</v>
      </c>
      <c r="M2076" t="str">
        <f t="shared" ca="1" si="162"/>
        <v>-</v>
      </c>
      <c r="N2076" s="18" t="str">
        <f t="shared" si="163"/>
        <v>K1622:L5000</v>
      </c>
      <c r="O2076" t="str">
        <f t="shared" si="164"/>
        <v>A1622:A2076</v>
      </c>
    </row>
    <row r="2077" spans="1:15">
      <c r="A2077" s="18">
        <f>Charms!K2077</f>
        <v>0</v>
      </c>
      <c r="B2077">
        <f>Charms!B2077</f>
        <v>0</v>
      </c>
      <c r="C2077" t="b">
        <f ca="1">OR(Values!$S$98&gt;=Charms!M2077,IFERROR(Charms!J2077=OFFSET(Values!$A$24,MATCH("S",Values!$T$25:$T$50,0),0),FALSE))</f>
        <v>1</v>
      </c>
      <c r="D2077" t="e">
        <f>VLOOKUP(Charms!J2077,Values!$A$11:$S$59,19,0)&gt;=Charms!L2077</f>
        <v>#N/A</v>
      </c>
      <c r="E2077" t="e">
        <f>OR(ISBLANK(Charms!I2077),(VLOOKUP(Values!$S$6,Castes!$B$2:$F$25,4,0)=Charms!I2077))</f>
        <v>#N/A</v>
      </c>
      <c r="J2077" t="e">
        <f t="shared" ca="1" si="161"/>
        <v>#N/A</v>
      </c>
      <c r="K2077" s="18" t="e">
        <f t="shared" ca="1" si="160"/>
        <v>#N/A</v>
      </c>
      <c r="L2077" t="e">
        <f ca="1">IF(J2077,Charms!B2077,"")</f>
        <v>#N/A</v>
      </c>
      <c r="M2077" t="str">
        <f t="shared" ca="1" si="162"/>
        <v>-</v>
      </c>
      <c r="N2077" s="18" t="str">
        <f t="shared" si="163"/>
        <v>K1622:L5000</v>
      </c>
      <c r="O2077" t="str">
        <f t="shared" si="164"/>
        <v>A1622:A2077</v>
      </c>
    </row>
    <row r="2078" spans="1:15">
      <c r="A2078" s="18">
        <f>Charms!K2078</f>
        <v>0</v>
      </c>
      <c r="B2078">
        <f>Charms!B2078</f>
        <v>0</v>
      </c>
      <c r="C2078" t="b">
        <f ca="1">OR(Values!$S$98&gt;=Charms!M2078,IFERROR(Charms!J2078=OFFSET(Values!$A$24,MATCH("S",Values!$T$25:$T$50,0),0),FALSE))</f>
        <v>1</v>
      </c>
      <c r="D2078" t="e">
        <f>VLOOKUP(Charms!J2078,Values!$A$11:$S$59,19,0)&gt;=Charms!L2078</f>
        <v>#N/A</v>
      </c>
      <c r="E2078" t="e">
        <f>OR(ISBLANK(Charms!I2078),(VLOOKUP(Values!$S$6,Castes!$B$2:$F$25,4,0)=Charms!I2078))</f>
        <v>#N/A</v>
      </c>
      <c r="J2078" t="e">
        <f t="shared" ca="1" si="161"/>
        <v>#N/A</v>
      </c>
      <c r="K2078" s="18" t="e">
        <f t="shared" ca="1" si="160"/>
        <v>#N/A</v>
      </c>
      <c r="L2078" t="e">
        <f ca="1">IF(J2078,Charms!B2078,"")</f>
        <v>#N/A</v>
      </c>
      <c r="M2078" t="str">
        <f t="shared" ca="1" si="162"/>
        <v>-</v>
      </c>
      <c r="N2078" s="18" t="str">
        <f t="shared" si="163"/>
        <v>K1622:L5000</v>
      </c>
      <c r="O2078" t="str">
        <f t="shared" si="164"/>
        <v>A1622:A2078</v>
      </c>
    </row>
    <row r="2079" spans="1:15">
      <c r="A2079" s="18">
        <f>Charms!K2079</f>
        <v>0</v>
      </c>
      <c r="B2079">
        <f>Charms!B2079</f>
        <v>0</v>
      </c>
      <c r="C2079" t="b">
        <f ca="1">OR(Values!$S$98&gt;=Charms!M2079,IFERROR(Charms!J2079=OFFSET(Values!$A$24,MATCH("S",Values!$T$25:$T$50,0),0),FALSE))</f>
        <v>1</v>
      </c>
      <c r="D2079" t="e">
        <f>VLOOKUP(Charms!J2079,Values!$A$11:$S$59,19,0)&gt;=Charms!L2079</f>
        <v>#N/A</v>
      </c>
      <c r="E2079" t="e">
        <f>OR(ISBLANK(Charms!I2079),(VLOOKUP(Values!$S$6,Castes!$B$2:$F$25,4,0)=Charms!I2079))</f>
        <v>#N/A</v>
      </c>
      <c r="J2079" t="e">
        <f t="shared" ca="1" si="161"/>
        <v>#N/A</v>
      </c>
      <c r="K2079" s="18" t="e">
        <f t="shared" ca="1" si="160"/>
        <v>#N/A</v>
      </c>
      <c r="L2079" t="e">
        <f ca="1">IF(J2079,Charms!B2079,"")</f>
        <v>#N/A</v>
      </c>
      <c r="M2079" t="str">
        <f t="shared" ca="1" si="162"/>
        <v>-</v>
      </c>
      <c r="N2079" s="18" t="str">
        <f t="shared" si="163"/>
        <v>K1622:L5000</v>
      </c>
      <c r="O2079" t="str">
        <f t="shared" si="164"/>
        <v>A1622:A2079</v>
      </c>
    </row>
    <row r="2080" spans="1:15">
      <c r="A2080" s="18">
        <f>Charms!K2080</f>
        <v>0</v>
      </c>
      <c r="B2080">
        <f>Charms!B2080</f>
        <v>0</v>
      </c>
      <c r="C2080" t="b">
        <f ca="1">OR(Values!$S$98&gt;=Charms!M2080,IFERROR(Charms!J2080=OFFSET(Values!$A$24,MATCH("S",Values!$T$25:$T$50,0),0),FALSE))</f>
        <v>1</v>
      </c>
      <c r="D2080" t="e">
        <f>VLOOKUP(Charms!J2080,Values!$A$11:$S$59,19,0)&gt;=Charms!L2080</f>
        <v>#N/A</v>
      </c>
      <c r="E2080" t="e">
        <f>OR(ISBLANK(Charms!I2080),(VLOOKUP(Values!$S$6,Castes!$B$2:$F$25,4,0)=Charms!I2080))</f>
        <v>#N/A</v>
      </c>
      <c r="J2080" t="e">
        <f t="shared" ca="1" si="161"/>
        <v>#N/A</v>
      </c>
      <c r="K2080" s="18" t="e">
        <f t="shared" ca="1" si="160"/>
        <v>#N/A</v>
      </c>
      <c r="L2080" t="e">
        <f ca="1">IF(J2080,Charms!B2080,"")</f>
        <v>#N/A</v>
      </c>
      <c r="M2080" t="str">
        <f t="shared" ca="1" si="162"/>
        <v>-</v>
      </c>
      <c r="N2080" s="18" t="str">
        <f t="shared" si="163"/>
        <v>K1622:L5000</v>
      </c>
      <c r="O2080" t="str">
        <f t="shared" si="164"/>
        <v>A1622:A2080</v>
      </c>
    </row>
    <row r="2081" spans="1:15">
      <c r="A2081" s="18">
        <f>Charms!K2081</f>
        <v>0</v>
      </c>
      <c r="B2081">
        <f>Charms!B2081</f>
        <v>0</v>
      </c>
      <c r="C2081" t="b">
        <f ca="1">OR(Values!$S$98&gt;=Charms!M2081,IFERROR(Charms!J2081=OFFSET(Values!$A$24,MATCH("S",Values!$T$25:$T$50,0),0),FALSE))</f>
        <v>1</v>
      </c>
      <c r="D2081" t="e">
        <f>VLOOKUP(Charms!J2081,Values!$A$11:$S$59,19,0)&gt;=Charms!L2081</f>
        <v>#N/A</v>
      </c>
      <c r="E2081" t="e">
        <f>OR(ISBLANK(Charms!I2081),(VLOOKUP(Values!$S$6,Castes!$B$2:$F$25,4,0)=Charms!I2081))</f>
        <v>#N/A</v>
      </c>
      <c r="J2081" t="e">
        <f t="shared" ca="1" si="161"/>
        <v>#N/A</v>
      </c>
      <c r="K2081" s="18" t="e">
        <f t="shared" ca="1" si="160"/>
        <v>#N/A</v>
      </c>
      <c r="L2081" t="e">
        <f ca="1">IF(J2081,Charms!B2081,"")</f>
        <v>#N/A</v>
      </c>
      <c r="M2081" t="str">
        <f t="shared" ca="1" si="162"/>
        <v>-</v>
      </c>
      <c r="N2081" s="18" t="str">
        <f t="shared" si="163"/>
        <v>K1622:L5000</v>
      </c>
      <c r="O2081" t="str">
        <f t="shared" si="164"/>
        <v>A1622:A2081</v>
      </c>
    </row>
    <row r="2082" spans="1:15">
      <c r="A2082" s="18">
        <f>Charms!K2082</f>
        <v>0</v>
      </c>
      <c r="B2082">
        <f>Charms!B2082</f>
        <v>0</v>
      </c>
      <c r="C2082" t="b">
        <f ca="1">OR(Values!$S$98&gt;=Charms!M2082,IFERROR(Charms!J2082=OFFSET(Values!$A$24,MATCH("S",Values!$T$25:$T$50,0),0),FALSE))</f>
        <v>1</v>
      </c>
      <c r="D2082" t="e">
        <f>VLOOKUP(Charms!J2082,Values!$A$11:$S$59,19,0)&gt;=Charms!L2082</f>
        <v>#N/A</v>
      </c>
      <c r="E2082" t="e">
        <f>OR(ISBLANK(Charms!I2082),(VLOOKUP(Values!$S$6,Castes!$B$2:$F$25,4,0)=Charms!I2082))</f>
        <v>#N/A</v>
      </c>
      <c r="J2082" t="e">
        <f t="shared" ca="1" si="161"/>
        <v>#N/A</v>
      </c>
      <c r="K2082" s="18" t="e">
        <f t="shared" ca="1" si="160"/>
        <v>#N/A</v>
      </c>
      <c r="L2082" t="e">
        <f ca="1">IF(J2082,Charms!B2082,"")</f>
        <v>#N/A</v>
      </c>
      <c r="M2082" t="str">
        <f t="shared" ca="1" si="162"/>
        <v>-</v>
      </c>
      <c r="N2082" s="18" t="str">
        <f t="shared" si="163"/>
        <v>K1622:L5000</v>
      </c>
      <c r="O2082" t="str">
        <f t="shared" si="164"/>
        <v>A1622:A2082</v>
      </c>
    </row>
    <row r="2083" spans="1:15">
      <c r="A2083" s="18">
        <f>Charms!K2083</f>
        <v>0</v>
      </c>
      <c r="B2083">
        <f>Charms!B2083</f>
        <v>0</v>
      </c>
      <c r="C2083" t="b">
        <f ca="1">OR(Values!$S$98&gt;=Charms!M2083,IFERROR(Charms!J2083=OFFSET(Values!$A$24,MATCH("S",Values!$T$25:$T$50,0),0),FALSE))</f>
        <v>1</v>
      </c>
      <c r="D2083" t="e">
        <f>VLOOKUP(Charms!J2083,Values!$A$11:$S$59,19,0)&gt;=Charms!L2083</f>
        <v>#N/A</v>
      </c>
      <c r="E2083" t="e">
        <f>OR(ISBLANK(Charms!I2083),(VLOOKUP(Values!$S$6,Castes!$B$2:$F$25,4,0)=Charms!I2083))</f>
        <v>#N/A</v>
      </c>
      <c r="J2083" t="e">
        <f t="shared" ca="1" si="161"/>
        <v>#N/A</v>
      </c>
      <c r="K2083" s="18" t="e">
        <f t="shared" ca="1" si="160"/>
        <v>#N/A</v>
      </c>
      <c r="L2083" t="e">
        <f ca="1">IF(J2083,Charms!B2083,"")</f>
        <v>#N/A</v>
      </c>
      <c r="M2083" t="str">
        <f t="shared" ca="1" si="162"/>
        <v>-</v>
      </c>
      <c r="N2083" s="18" t="str">
        <f t="shared" si="163"/>
        <v>K1622:L5000</v>
      </c>
      <c r="O2083" t="str">
        <f t="shared" si="164"/>
        <v>A1622:A2083</v>
      </c>
    </row>
    <row r="2084" spans="1:15">
      <c r="A2084" s="18">
        <f>Charms!K2084</f>
        <v>0</v>
      </c>
      <c r="B2084">
        <f>Charms!B2084</f>
        <v>0</v>
      </c>
      <c r="C2084" t="b">
        <f ca="1">OR(Values!$S$98&gt;=Charms!M2084,IFERROR(Charms!J2084=OFFSET(Values!$A$24,MATCH("S",Values!$T$25:$T$50,0),0),FALSE))</f>
        <v>1</v>
      </c>
      <c r="D2084" t="e">
        <f>VLOOKUP(Charms!J2084,Values!$A$11:$S$59,19,0)&gt;=Charms!L2084</f>
        <v>#N/A</v>
      </c>
      <c r="E2084" t="e">
        <f>OR(ISBLANK(Charms!I2084),(VLOOKUP(Values!$S$6,Castes!$B$2:$F$25,4,0)=Charms!I2084))</f>
        <v>#N/A</v>
      </c>
      <c r="J2084" t="e">
        <f t="shared" ca="1" si="161"/>
        <v>#N/A</v>
      </c>
      <c r="K2084" s="18" t="e">
        <f t="shared" ca="1" si="160"/>
        <v>#N/A</v>
      </c>
      <c r="L2084" t="e">
        <f ca="1">IF(J2084,Charms!B2084,"")</f>
        <v>#N/A</v>
      </c>
      <c r="M2084" t="str">
        <f t="shared" ca="1" si="162"/>
        <v>-</v>
      </c>
      <c r="N2084" s="18" t="str">
        <f t="shared" si="163"/>
        <v>K1622:L5000</v>
      </c>
      <c r="O2084" t="str">
        <f t="shared" si="164"/>
        <v>A1622:A2084</v>
      </c>
    </row>
    <row r="2085" spans="1:15">
      <c r="A2085" s="18">
        <f>Charms!K2085</f>
        <v>0</v>
      </c>
      <c r="B2085">
        <f>Charms!B2085</f>
        <v>0</v>
      </c>
      <c r="C2085" t="b">
        <f ca="1">OR(Values!$S$98&gt;=Charms!M2085,IFERROR(Charms!J2085=OFFSET(Values!$A$24,MATCH("S",Values!$T$25:$T$50,0),0),FALSE))</f>
        <v>1</v>
      </c>
      <c r="D2085" t="e">
        <f>VLOOKUP(Charms!J2085,Values!$A$11:$S$59,19,0)&gt;=Charms!L2085</f>
        <v>#N/A</v>
      </c>
      <c r="E2085" t="e">
        <f>OR(ISBLANK(Charms!I2085),(VLOOKUP(Values!$S$6,Castes!$B$2:$F$25,4,0)=Charms!I2085))</f>
        <v>#N/A</v>
      </c>
      <c r="J2085" t="e">
        <f t="shared" ca="1" si="161"/>
        <v>#N/A</v>
      </c>
      <c r="K2085" s="18" t="e">
        <f t="shared" ca="1" si="160"/>
        <v>#N/A</v>
      </c>
      <c r="L2085" t="e">
        <f ca="1">IF(J2085,Charms!B2085,"")</f>
        <v>#N/A</v>
      </c>
      <c r="M2085" t="str">
        <f t="shared" ca="1" si="162"/>
        <v>-</v>
      </c>
      <c r="N2085" s="18" t="str">
        <f t="shared" si="163"/>
        <v>K1622:L5000</v>
      </c>
      <c r="O2085" t="str">
        <f t="shared" si="164"/>
        <v>A1622:A2085</v>
      </c>
    </row>
    <row r="2086" spans="1:15">
      <c r="A2086" s="18">
        <f>Charms!K2086</f>
        <v>0</v>
      </c>
      <c r="B2086">
        <f>Charms!B2086</f>
        <v>0</v>
      </c>
      <c r="C2086" t="b">
        <f ca="1">OR(Values!$S$98&gt;=Charms!M2086,IFERROR(Charms!J2086=OFFSET(Values!$A$24,MATCH("S",Values!$T$25:$T$50,0),0),FALSE))</f>
        <v>1</v>
      </c>
      <c r="D2086" t="e">
        <f>VLOOKUP(Charms!J2086,Values!$A$11:$S$59,19,0)&gt;=Charms!L2086</f>
        <v>#N/A</v>
      </c>
      <c r="E2086" t="e">
        <f>OR(ISBLANK(Charms!I2086),(VLOOKUP(Values!$S$6,Castes!$B$2:$F$25,4,0)=Charms!I2086))</f>
        <v>#N/A</v>
      </c>
      <c r="J2086" t="e">
        <f t="shared" ca="1" si="161"/>
        <v>#N/A</v>
      </c>
      <c r="K2086" s="18" t="e">
        <f t="shared" ca="1" si="160"/>
        <v>#N/A</v>
      </c>
      <c r="L2086" t="e">
        <f ca="1">IF(J2086,Charms!B2086,"")</f>
        <v>#N/A</v>
      </c>
      <c r="M2086" t="str">
        <f t="shared" ca="1" si="162"/>
        <v>-</v>
      </c>
      <c r="N2086" s="18" t="str">
        <f t="shared" si="163"/>
        <v>K1622:L5000</v>
      </c>
      <c r="O2086" t="str">
        <f t="shared" si="164"/>
        <v>A1622:A2086</v>
      </c>
    </row>
    <row r="2087" spans="1:15">
      <c r="A2087" s="18">
        <f>Charms!K2087</f>
        <v>0</v>
      </c>
      <c r="B2087">
        <f>Charms!B2087</f>
        <v>0</v>
      </c>
      <c r="C2087" t="b">
        <f ca="1">OR(Values!$S$98&gt;=Charms!M2087,IFERROR(Charms!J2087=OFFSET(Values!$A$24,MATCH("S",Values!$T$25:$T$50,0),0),FALSE))</f>
        <v>1</v>
      </c>
      <c r="D2087" t="e">
        <f>VLOOKUP(Charms!J2087,Values!$A$11:$S$59,19,0)&gt;=Charms!L2087</f>
        <v>#N/A</v>
      </c>
      <c r="E2087" t="e">
        <f>OR(ISBLANK(Charms!I2087),(VLOOKUP(Values!$S$6,Castes!$B$2:$F$25,4,0)=Charms!I2087))</f>
        <v>#N/A</v>
      </c>
      <c r="J2087" t="e">
        <f t="shared" ca="1" si="161"/>
        <v>#N/A</v>
      </c>
      <c r="K2087" s="18" t="e">
        <f t="shared" ca="1" si="160"/>
        <v>#N/A</v>
      </c>
      <c r="L2087" t="e">
        <f ca="1">IF(J2087,Charms!B2087,"")</f>
        <v>#N/A</v>
      </c>
      <c r="M2087" t="str">
        <f t="shared" ca="1" si="162"/>
        <v>-</v>
      </c>
      <c r="N2087" s="18" t="str">
        <f t="shared" si="163"/>
        <v>K1622:L5000</v>
      </c>
      <c r="O2087" t="str">
        <f t="shared" si="164"/>
        <v>A1622:A2087</v>
      </c>
    </row>
    <row r="2088" spans="1:15">
      <c r="A2088" s="18">
        <f>Charms!K2088</f>
        <v>0</v>
      </c>
      <c r="B2088">
        <f>Charms!B2088</f>
        <v>0</v>
      </c>
      <c r="C2088" t="b">
        <f ca="1">OR(Values!$S$98&gt;=Charms!M2088,IFERROR(Charms!J2088=OFFSET(Values!$A$24,MATCH("S",Values!$T$25:$T$50,0),0),FALSE))</f>
        <v>1</v>
      </c>
      <c r="D2088" t="e">
        <f>VLOOKUP(Charms!J2088,Values!$A$11:$S$59,19,0)&gt;=Charms!L2088</f>
        <v>#N/A</v>
      </c>
      <c r="E2088" t="e">
        <f>OR(ISBLANK(Charms!I2088),(VLOOKUP(Values!$S$6,Castes!$B$2:$F$25,4,0)=Charms!I2088))</f>
        <v>#N/A</v>
      </c>
      <c r="J2088" t="e">
        <f t="shared" ca="1" si="161"/>
        <v>#N/A</v>
      </c>
      <c r="K2088" s="18" t="e">
        <f t="shared" ca="1" si="160"/>
        <v>#N/A</v>
      </c>
      <c r="L2088" t="e">
        <f ca="1">IF(J2088,Charms!B2088,"")</f>
        <v>#N/A</v>
      </c>
      <c r="M2088" t="str">
        <f t="shared" ca="1" si="162"/>
        <v>-</v>
      </c>
      <c r="N2088" s="18" t="str">
        <f t="shared" si="163"/>
        <v>K1622:L5000</v>
      </c>
      <c r="O2088" t="str">
        <f t="shared" si="164"/>
        <v>A1622:A2088</v>
      </c>
    </row>
    <row r="2089" spans="1:15">
      <c r="A2089" s="18">
        <f>Charms!K2089</f>
        <v>0</v>
      </c>
      <c r="B2089">
        <f>Charms!B2089</f>
        <v>0</v>
      </c>
      <c r="C2089" t="b">
        <f ca="1">OR(Values!$S$98&gt;=Charms!M2089,IFERROR(Charms!J2089=OFFSET(Values!$A$24,MATCH("S",Values!$T$25:$T$50,0),0),FALSE))</f>
        <v>1</v>
      </c>
      <c r="D2089" t="e">
        <f>VLOOKUP(Charms!J2089,Values!$A$11:$S$59,19,0)&gt;=Charms!L2089</f>
        <v>#N/A</v>
      </c>
      <c r="E2089" t="e">
        <f>OR(ISBLANK(Charms!I2089),(VLOOKUP(Values!$S$6,Castes!$B$2:$F$25,4,0)=Charms!I2089))</f>
        <v>#N/A</v>
      </c>
      <c r="J2089" t="e">
        <f t="shared" ca="1" si="161"/>
        <v>#N/A</v>
      </c>
      <c r="K2089" s="18" t="e">
        <f t="shared" ca="1" si="160"/>
        <v>#N/A</v>
      </c>
      <c r="L2089" t="e">
        <f ca="1">IF(J2089,Charms!B2089,"")</f>
        <v>#N/A</v>
      </c>
      <c r="M2089" t="str">
        <f t="shared" ca="1" si="162"/>
        <v>-</v>
      </c>
      <c r="N2089" s="18" t="str">
        <f t="shared" si="163"/>
        <v>K1622:L5000</v>
      </c>
      <c r="O2089" t="str">
        <f t="shared" si="164"/>
        <v>A1622:A2089</v>
      </c>
    </row>
    <row r="2090" spans="1:15">
      <c r="A2090" s="18">
        <f>Charms!K2090</f>
        <v>0</v>
      </c>
      <c r="B2090">
        <f>Charms!B2090</f>
        <v>0</v>
      </c>
      <c r="C2090" t="b">
        <f ca="1">OR(Values!$S$98&gt;=Charms!M2090,IFERROR(Charms!J2090=OFFSET(Values!$A$24,MATCH("S",Values!$T$25:$T$50,0),0),FALSE))</f>
        <v>1</v>
      </c>
      <c r="D2090" t="e">
        <f>VLOOKUP(Charms!J2090,Values!$A$11:$S$59,19,0)&gt;=Charms!L2090</f>
        <v>#N/A</v>
      </c>
      <c r="E2090" t="e">
        <f>OR(ISBLANK(Charms!I2090),(VLOOKUP(Values!$S$6,Castes!$B$2:$F$25,4,0)=Charms!I2090))</f>
        <v>#N/A</v>
      </c>
      <c r="J2090" t="e">
        <f t="shared" ca="1" si="161"/>
        <v>#N/A</v>
      </c>
      <c r="K2090" s="18" t="e">
        <f t="shared" ca="1" si="160"/>
        <v>#N/A</v>
      </c>
      <c r="L2090" t="e">
        <f ca="1">IF(J2090,Charms!B2090,"")</f>
        <v>#N/A</v>
      </c>
      <c r="M2090" t="str">
        <f t="shared" ca="1" si="162"/>
        <v>-</v>
      </c>
      <c r="N2090" s="18" t="str">
        <f t="shared" si="163"/>
        <v>K1622:L5000</v>
      </c>
      <c r="O2090" t="str">
        <f t="shared" si="164"/>
        <v>A1622:A2090</v>
      </c>
    </row>
    <row r="2091" spans="1:15">
      <c r="A2091" s="18">
        <f>Charms!K2091</f>
        <v>0</v>
      </c>
      <c r="B2091">
        <f>Charms!B2091</f>
        <v>0</v>
      </c>
      <c r="C2091" t="b">
        <f ca="1">OR(Values!$S$98&gt;=Charms!M2091,IFERROR(Charms!J2091=OFFSET(Values!$A$24,MATCH("S",Values!$T$25:$T$50,0),0),FALSE))</f>
        <v>1</v>
      </c>
      <c r="D2091" t="e">
        <f>VLOOKUP(Charms!J2091,Values!$A$11:$S$59,19,0)&gt;=Charms!L2091</f>
        <v>#N/A</v>
      </c>
      <c r="E2091" t="e">
        <f>OR(ISBLANK(Charms!I2091),(VLOOKUP(Values!$S$6,Castes!$B$2:$F$25,4,0)=Charms!I2091))</f>
        <v>#N/A</v>
      </c>
      <c r="J2091" t="e">
        <f t="shared" ca="1" si="161"/>
        <v>#N/A</v>
      </c>
      <c r="K2091" s="18" t="e">
        <f t="shared" ca="1" si="160"/>
        <v>#N/A</v>
      </c>
      <c r="L2091" t="e">
        <f ca="1">IF(J2091,Charms!B2091,"")</f>
        <v>#N/A</v>
      </c>
      <c r="M2091" t="str">
        <f t="shared" ca="1" si="162"/>
        <v>-</v>
      </c>
      <c r="N2091" s="18" t="str">
        <f t="shared" si="163"/>
        <v>K1622:L5000</v>
      </c>
      <c r="O2091" t="str">
        <f t="shared" si="164"/>
        <v>A1622:A2091</v>
      </c>
    </row>
    <row r="2092" spans="1:15">
      <c r="A2092" s="18">
        <f>Charms!K2092</f>
        <v>0</v>
      </c>
      <c r="B2092">
        <f>Charms!B2092</f>
        <v>0</v>
      </c>
      <c r="C2092" t="b">
        <f ca="1">OR(Values!$S$98&gt;=Charms!M2092,IFERROR(Charms!J2092=OFFSET(Values!$A$24,MATCH("S",Values!$T$25:$T$50,0),0),FALSE))</f>
        <v>1</v>
      </c>
      <c r="D2092" t="e">
        <f>VLOOKUP(Charms!J2092,Values!$A$11:$S$59,19,0)&gt;=Charms!L2092</f>
        <v>#N/A</v>
      </c>
      <c r="E2092" t="e">
        <f>OR(ISBLANK(Charms!I2092),(VLOOKUP(Values!$S$6,Castes!$B$2:$F$25,4,0)=Charms!I2092))</f>
        <v>#N/A</v>
      </c>
      <c r="J2092" t="e">
        <f t="shared" ca="1" si="161"/>
        <v>#N/A</v>
      </c>
      <c r="K2092" s="18" t="e">
        <f t="shared" ca="1" si="160"/>
        <v>#N/A</v>
      </c>
      <c r="L2092" t="e">
        <f ca="1">IF(J2092,Charms!B2092,"")</f>
        <v>#N/A</v>
      </c>
      <c r="M2092" t="str">
        <f t="shared" ca="1" si="162"/>
        <v>-</v>
      </c>
      <c r="N2092" s="18" t="str">
        <f t="shared" si="163"/>
        <v>K1622:L5000</v>
      </c>
      <c r="O2092" t="str">
        <f t="shared" si="164"/>
        <v>A1622:A2092</v>
      </c>
    </row>
    <row r="2093" spans="1:15">
      <c r="A2093" s="18">
        <f>Charms!K2093</f>
        <v>0</v>
      </c>
      <c r="B2093">
        <f>Charms!B2093</f>
        <v>0</v>
      </c>
      <c r="C2093" t="b">
        <f ca="1">OR(Values!$S$98&gt;=Charms!M2093,IFERROR(Charms!J2093=OFFSET(Values!$A$24,MATCH("S",Values!$T$25:$T$50,0),0),FALSE))</f>
        <v>1</v>
      </c>
      <c r="D2093" t="e">
        <f>VLOOKUP(Charms!J2093,Values!$A$11:$S$59,19,0)&gt;=Charms!L2093</f>
        <v>#N/A</v>
      </c>
      <c r="E2093" t="e">
        <f>OR(ISBLANK(Charms!I2093),(VLOOKUP(Values!$S$6,Castes!$B$2:$F$25,4,0)=Charms!I2093))</f>
        <v>#N/A</v>
      </c>
      <c r="J2093" t="e">
        <f t="shared" ca="1" si="161"/>
        <v>#N/A</v>
      </c>
      <c r="K2093" s="18" t="e">
        <f t="shared" ca="1" si="160"/>
        <v>#N/A</v>
      </c>
      <c r="L2093" t="e">
        <f ca="1">IF(J2093,Charms!B2093,"")</f>
        <v>#N/A</v>
      </c>
      <c r="M2093" t="str">
        <f t="shared" ca="1" si="162"/>
        <v>-</v>
      </c>
      <c r="N2093" s="18" t="str">
        <f t="shared" si="163"/>
        <v>K1622:L5000</v>
      </c>
      <c r="O2093" t="str">
        <f t="shared" si="164"/>
        <v>A1622:A2093</v>
      </c>
    </row>
    <row r="2094" spans="1:15">
      <c r="A2094" s="18">
        <f>Charms!K2094</f>
        <v>0</v>
      </c>
      <c r="B2094">
        <f>Charms!B2094</f>
        <v>0</v>
      </c>
      <c r="C2094" t="b">
        <f ca="1">OR(Values!$S$98&gt;=Charms!M2094,IFERROR(Charms!J2094=OFFSET(Values!$A$24,MATCH("S",Values!$T$25:$T$50,0),0),FALSE))</f>
        <v>1</v>
      </c>
      <c r="D2094" t="e">
        <f>VLOOKUP(Charms!J2094,Values!$A$11:$S$59,19,0)&gt;=Charms!L2094</f>
        <v>#N/A</v>
      </c>
      <c r="E2094" t="e">
        <f>OR(ISBLANK(Charms!I2094),(VLOOKUP(Values!$S$6,Castes!$B$2:$F$25,4,0)=Charms!I2094))</f>
        <v>#N/A</v>
      </c>
      <c r="J2094" t="e">
        <f t="shared" ca="1" si="161"/>
        <v>#N/A</v>
      </c>
      <c r="K2094" s="18" t="e">
        <f t="shared" ca="1" si="160"/>
        <v>#N/A</v>
      </c>
      <c r="L2094" t="e">
        <f ca="1">IF(J2094,Charms!B2094,"")</f>
        <v>#N/A</v>
      </c>
      <c r="M2094" t="str">
        <f t="shared" ca="1" si="162"/>
        <v>-</v>
      </c>
      <c r="N2094" s="18" t="str">
        <f t="shared" si="163"/>
        <v>K1622:L5000</v>
      </c>
      <c r="O2094" t="str">
        <f t="shared" si="164"/>
        <v>A1622:A2094</v>
      </c>
    </row>
    <row r="2095" spans="1:15">
      <c r="A2095" s="18">
        <f>Charms!K2095</f>
        <v>0</v>
      </c>
      <c r="B2095">
        <f>Charms!B2095</f>
        <v>0</v>
      </c>
      <c r="C2095" t="b">
        <f ca="1">OR(Values!$S$98&gt;=Charms!M2095,IFERROR(Charms!J2095=OFFSET(Values!$A$24,MATCH("S",Values!$T$25:$T$50,0),0),FALSE))</f>
        <v>1</v>
      </c>
      <c r="D2095" t="e">
        <f>VLOOKUP(Charms!J2095,Values!$A$11:$S$59,19,0)&gt;=Charms!L2095</f>
        <v>#N/A</v>
      </c>
      <c r="E2095" t="e">
        <f>OR(ISBLANK(Charms!I2095),(VLOOKUP(Values!$S$6,Castes!$B$2:$F$25,4,0)=Charms!I2095))</f>
        <v>#N/A</v>
      </c>
      <c r="J2095" t="e">
        <f t="shared" ca="1" si="161"/>
        <v>#N/A</v>
      </c>
      <c r="K2095" s="18" t="e">
        <f t="shared" ca="1" si="160"/>
        <v>#N/A</v>
      </c>
      <c r="L2095" t="e">
        <f ca="1">IF(J2095,Charms!B2095,"")</f>
        <v>#N/A</v>
      </c>
      <c r="M2095" t="str">
        <f t="shared" ca="1" si="162"/>
        <v>-</v>
      </c>
      <c r="N2095" s="18" t="str">
        <f t="shared" si="163"/>
        <v>K1622:L5000</v>
      </c>
      <c r="O2095" t="str">
        <f t="shared" si="164"/>
        <v>A1622:A2095</v>
      </c>
    </row>
    <row r="2096" spans="1:15">
      <c r="A2096" s="18">
        <f>Charms!K2096</f>
        <v>0</v>
      </c>
      <c r="B2096">
        <f>Charms!B2096</f>
        <v>0</v>
      </c>
      <c r="C2096" t="b">
        <f ca="1">OR(Values!$S$98&gt;=Charms!M2096,IFERROR(Charms!J2096=OFFSET(Values!$A$24,MATCH("S",Values!$T$25:$T$50,0),0),FALSE))</f>
        <v>1</v>
      </c>
      <c r="D2096" t="e">
        <f>VLOOKUP(Charms!J2096,Values!$A$11:$S$59,19,0)&gt;=Charms!L2096</f>
        <v>#N/A</v>
      </c>
      <c r="E2096" t="e">
        <f>OR(ISBLANK(Charms!I2096),(VLOOKUP(Values!$S$6,Castes!$B$2:$F$25,4,0)=Charms!I2096))</f>
        <v>#N/A</v>
      </c>
      <c r="J2096" t="e">
        <f t="shared" ca="1" si="161"/>
        <v>#N/A</v>
      </c>
      <c r="K2096" s="18" t="e">
        <f t="shared" ca="1" si="160"/>
        <v>#N/A</v>
      </c>
      <c r="L2096" t="e">
        <f ca="1">IF(J2096,Charms!B2096,"")</f>
        <v>#N/A</v>
      </c>
      <c r="M2096" t="str">
        <f t="shared" ca="1" si="162"/>
        <v>-</v>
      </c>
      <c r="N2096" s="18" t="str">
        <f t="shared" si="163"/>
        <v>K1622:L5000</v>
      </c>
      <c r="O2096" t="str">
        <f t="shared" si="164"/>
        <v>A1622:A2096</v>
      </c>
    </row>
    <row r="2097" spans="1:15">
      <c r="A2097" s="18">
        <f>Charms!K2097</f>
        <v>0</v>
      </c>
      <c r="B2097">
        <f>Charms!B2097</f>
        <v>0</v>
      </c>
      <c r="C2097" t="b">
        <f ca="1">OR(Values!$S$98&gt;=Charms!M2097,IFERROR(Charms!J2097=OFFSET(Values!$A$24,MATCH("S",Values!$T$25:$T$50,0),0),FALSE))</f>
        <v>1</v>
      </c>
      <c r="D2097" t="e">
        <f>VLOOKUP(Charms!J2097,Values!$A$11:$S$59,19,0)&gt;=Charms!L2097</f>
        <v>#N/A</v>
      </c>
      <c r="E2097" t="e">
        <f>OR(ISBLANK(Charms!I2097),(VLOOKUP(Values!$S$6,Castes!$B$2:$F$25,4,0)=Charms!I2097))</f>
        <v>#N/A</v>
      </c>
      <c r="J2097" t="e">
        <f t="shared" ca="1" si="161"/>
        <v>#N/A</v>
      </c>
      <c r="K2097" s="18" t="e">
        <f t="shared" ca="1" si="160"/>
        <v>#N/A</v>
      </c>
      <c r="L2097" t="e">
        <f ca="1">IF(J2097,Charms!B2097,"")</f>
        <v>#N/A</v>
      </c>
      <c r="M2097" t="str">
        <f t="shared" ca="1" si="162"/>
        <v>-</v>
      </c>
      <c r="N2097" s="18" t="str">
        <f t="shared" si="163"/>
        <v>K1622:L5000</v>
      </c>
      <c r="O2097" t="str">
        <f t="shared" si="164"/>
        <v>A1622:A2097</v>
      </c>
    </row>
    <row r="2098" spans="1:15">
      <c r="A2098" s="18">
        <f>Charms!K2098</f>
        <v>0</v>
      </c>
      <c r="B2098">
        <f>Charms!B2098</f>
        <v>0</v>
      </c>
      <c r="C2098" t="b">
        <f ca="1">OR(Values!$S$98&gt;=Charms!M2098,IFERROR(Charms!J2098=OFFSET(Values!$A$24,MATCH("S",Values!$T$25:$T$50,0),0),FALSE))</f>
        <v>1</v>
      </c>
      <c r="D2098" t="e">
        <f>VLOOKUP(Charms!J2098,Values!$A$11:$S$59,19,0)&gt;=Charms!L2098</f>
        <v>#N/A</v>
      </c>
      <c r="E2098" t="e">
        <f>OR(ISBLANK(Charms!I2098),(VLOOKUP(Values!$S$6,Castes!$B$2:$F$25,4,0)=Charms!I2098))</f>
        <v>#N/A</v>
      </c>
      <c r="J2098" t="e">
        <f t="shared" ca="1" si="161"/>
        <v>#N/A</v>
      </c>
      <c r="K2098" s="18" t="e">
        <f t="shared" ca="1" si="160"/>
        <v>#N/A</v>
      </c>
      <c r="L2098" t="e">
        <f ca="1">IF(J2098,Charms!B2098,"")</f>
        <v>#N/A</v>
      </c>
      <c r="M2098" t="str">
        <f t="shared" ca="1" si="162"/>
        <v>-</v>
      </c>
      <c r="N2098" s="18" t="str">
        <f t="shared" si="163"/>
        <v>K1622:L5000</v>
      </c>
      <c r="O2098" t="str">
        <f t="shared" si="164"/>
        <v>A1622:A2098</v>
      </c>
    </row>
    <row r="2099" spans="1:15">
      <c r="A2099" s="18">
        <f>Charms!K2099</f>
        <v>0</v>
      </c>
      <c r="B2099">
        <f>Charms!B2099</f>
        <v>0</v>
      </c>
      <c r="C2099" t="b">
        <f ca="1">OR(Values!$S$98&gt;=Charms!M2099,IFERROR(Charms!J2099=OFFSET(Values!$A$24,MATCH("S",Values!$T$25:$T$50,0),0),FALSE))</f>
        <v>1</v>
      </c>
      <c r="D2099" t="e">
        <f>VLOOKUP(Charms!J2099,Values!$A$11:$S$59,19,0)&gt;=Charms!L2099</f>
        <v>#N/A</v>
      </c>
      <c r="E2099" t="e">
        <f>OR(ISBLANK(Charms!I2099),(VLOOKUP(Values!$S$6,Castes!$B$2:$F$25,4,0)=Charms!I2099))</f>
        <v>#N/A</v>
      </c>
      <c r="J2099" t="e">
        <f t="shared" ca="1" si="161"/>
        <v>#N/A</v>
      </c>
      <c r="K2099" s="18" t="e">
        <f t="shared" ca="1" si="160"/>
        <v>#N/A</v>
      </c>
      <c r="L2099" t="e">
        <f ca="1">IF(J2099,Charms!B2099,"")</f>
        <v>#N/A</v>
      </c>
      <c r="M2099" t="str">
        <f t="shared" ca="1" si="162"/>
        <v>-</v>
      </c>
      <c r="N2099" s="18" t="str">
        <f t="shared" si="163"/>
        <v>K1622:L5000</v>
      </c>
      <c r="O2099" t="str">
        <f t="shared" si="164"/>
        <v>A1622:A2099</v>
      </c>
    </row>
    <row r="2100" spans="1:15">
      <c r="A2100" s="18">
        <f>Charms!K2100</f>
        <v>0</v>
      </c>
      <c r="B2100">
        <f>Charms!B2100</f>
        <v>0</v>
      </c>
      <c r="C2100" t="b">
        <f ca="1">OR(Values!$S$98&gt;=Charms!M2100,IFERROR(Charms!J2100=OFFSET(Values!$A$24,MATCH("S",Values!$T$25:$T$50,0),0),FALSE))</f>
        <v>1</v>
      </c>
      <c r="D2100" t="e">
        <f>VLOOKUP(Charms!J2100,Values!$A$11:$S$59,19,0)&gt;=Charms!L2100</f>
        <v>#N/A</v>
      </c>
      <c r="E2100" t="e">
        <f>OR(ISBLANK(Charms!I2100),(VLOOKUP(Values!$S$6,Castes!$B$2:$F$25,4,0)=Charms!I2100))</f>
        <v>#N/A</v>
      </c>
      <c r="J2100" t="e">
        <f t="shared" ca="1" si="161"/>
        <v>#N/A</v>
      </c>
      <c r="K2100" s="18" t="e">
        <f t="shared" ca="1" si="160"/>
        <v>#N/A</v>
      </c>
      <c r="L2100" t="e">
        <f ca="1">IF(J2100,Charms!B2100,"")</f>
        <v>#N/A</v>
      </c>
      <c r="M2100" t="str">
        <f t="shared" ca="1" si="162"/>
        <v>-</v>
      </c>
      <c r="N2100" s="18" t="str">
        <f t="shared" si="163"/>
        <v>K1622:L5000</v>
      </c>
      <c r="O2100" t="str">
        <f t="shared" si="164"/>
        <v>A1622:A2100</v>
      </c>
    </row>
    <row r="2101" spans="1:15">
      <c r="A2101" s="18">
        <f>Charms!K2101</f>
        <v>0</v>
      </c>
      <c r="B2101">
        <f>Charms!B2101</f>
        <v>0</v>
      </c>
      <c r="C2101" t="b">
        <f ca="1">OR(Values!$S$98&gt;=Charms!M2101,IFERROR(Charms!J2101=OFFSET(Values!$A$24,MATCH("S",Values!$T$25:$T$50,0),0),FALSE))</f>
        <v>1</v>
      </c>
      <c r="D2101" t="e">
        <f>VLOOKUP(Charms!J2101,Values!$A$11:$S$59,19,0)&gt;=Charms!L2101</f>
        <v>#N/A</v>
      </c>
      <c r="E2101" t="e">
        <f>OR(ISBLANK(Charms!I2101),(VLOOKUP(Values!$S$6,Castes!$B$2:$F$25,4,0)=Charms!I2101))</f>
        <v>#N/A</v>
      </c>
      <c r="J2101" t="e">
        <f t="shared" ca="1" si="161"/>
        <v>#N/A</v>
      </c>
      <c r="K2101" s="18" t="e">
        <f t="shared" ca="1" si="160"/>
        <v>#N/A</v>
      </c>
      <c r="L2101" t="e">
        <f ca="1">IF(J2101,Charms!B2101,"")</f>
        <v>#N/A</v>
      </c>
      <c r="M2101" t="str">
        <f t="shared" ca="1" si="162"/>
        <v>-</v>
      </c>
      <c r="N2101" s="18" t="str">
        <f t="shared" si="163"/>
        <v>K1622:L5000</v>
      </c>
      <c r="O2101" t="str">
        <f t="shared" si="164"/>
        <v>A1622:A2101</v>
      </c>
    </row>
    <row r="2102" spans="1:15">
      <c r="A2102" s="18">
        <f>Charms!K2102</f>
        <v>0</v>
      </c>
      <c r="B2102">
        <f>Charms!B2102</f>
        <v>0</v>
      </c>
      <c r="C2102" t="b">
        <f ca="1">OR(Values!$S$98&gt;=Charms!M2102,IFERROR(Charms!J2102=OFFSET(Values!$A$24,MATCH("S",Values!$T$25:$T$50,0),0),FALSE))</f>
        <v>1</v>
      </c>
      <c r="D2102" t="e">
        <f>VLOOKUP(Charms!J2102,Values!$A$11:$S$59,19,0)&gt;=Charms!L2102</f>
        <v>#N/A</v>
      </c>
      <c r="E2102" t="e">
        <f>OR(ISBLANK(Charms!I2102),(VLOOKUP(Values!$S$6,Castes!$B$2:$F$25,4,0)=Charms!I2102))</f>
        <v>#N/A</v>
      </c>
      <c r="J2102" t="e">
        <f t="shared" ca="1" si="161"/>
        <v>#N/A</v>
      </c>
      <c r="K2102" s="18" t="e">
        <f t="shared" ca="1" si="160"/>
        <v>#N/A</v>
      </c>
      <c r="L2102" t="e">
        <f ca="1">IF(J2102,Charms!B2102,"")</f>
        <v>#N/A</v>
      </c>
      <c r="M2102" t="str">
        <f t="shared" ca="1" si="162"/>
        <v>-</v>
      </c>
      <c r="N2102" s="18" t="str">
        <f t="shared" si="163"/>
        <v>K1622:L5000</v>
      </c>
      <c r="O2102" t="str">
        <f t="shared" si="164"/>
        <v>A1622:A2102</v>
      </c>
    </row>
    <row r="2103" spans="1:15">
      <c r="A2103" s="18">
        <f>Charms!K2103</f>
        <v>0</v>
      </c>
      <c r="B2103">
        <f>Charms!B2103</f>
        <v>0</v>
      </c>
      <c r="C2103" t="b">
        <f ca="1">OR(Values!$S$98&gt;=Charms!M2103,IFERROR(Charms!J2103=OFFSET(Values!$A$24,MATCH("S",Values!$T$25:$T$50,0),0),FALSE))</f>
        <v>1</v>
      </c>
      <c r="D2103" t="e">
        <f>VLOOKUP(Charms!J2103,Values!$A$11:$S$59,19,0)&gt;=Charms!L2103</f>
        <v>#N/A</v>
      </c>
      <c r="E2103" t="e">
        <f>OR(ISBLANK(Charms!I2103),(VLOOKUP(Values!$S$6,Castes!$B$2:$F$25,4,0)=Charms!I2103))</f>
        <v>#N/A</v>
      </c>
      <c r="J2103" t="e">
        <f t="shared" ca="1" si="161"/>
        <v>#N/A</v>
      </c>
      <c r="K2103" s="18" t="e">
        <f t="shared" ca="1" si="160"/>
        <v>#N/A</v>
      </c>
      <c r="L2103" t="e">
        <f ca="1">IF(J2103,Charms!B2103,"")</f>
        <v>#N/A</v>
      </c>
      <c r="M2103" t="str">
        <f t="shared" ca="1" si="162"/>
        <v>-</v>
      </c>
      <c r="N2103" s="18" t="str">
        <f t="shared" si="163"/>
        <v>K1622:L5000</v>
      </c>
      <c r="O2103" t="str">
        <f t="shared" si="164"/>
        <v>A1622:A2103</v>
      </c>
    </row>
    <row r="2104" spans="1:15">
      <c r="A2104" s="18">
        <f>Charms!K2104</f>
        <v>0</v>
      </c>
      <c r="B2104">
        <f>Charms!B2104</f>
        <v>0</v>
      </c>
      <c r="C2104" t="b">
        <f ca="1">OR(Values!$S$98&gt;=Charms!M2104,IFERROR(Charms!J2104=OFFSET(Values!$A$24,MATCH("S",Values!$T$25:$T$50,0),0),FALSE))</f>
        <v>1</v>
      </c>
      <c r="D2104" t="e">
        <f>VLOOKUP(Charms!J2104,Values!$A$11:$S$59,19,0)&gt;=Charms!L2104</f>
        <v>#N/A</v>
      </c>
      <c r="E2104" t="e">
        <f>OR(ISBLANK(Charms!I2104),(VLOOKUP(Values!$S$6,Castes!$B$2:$F$25,4,0)=Charms!I2104))</f>
        <v>#N/A</v>
      </c>
      <c r="J2104" t="e">
        <f t="shared" ca="1" si="161"/>
        <v>#N/A</v>
      </c>
      <c r="K2104" s="18" t="e">
        <f t="shared" ca="1" si="160"/>
        <v>#N/A</v>
      </c>
      <c r="L2104" t="e">
        <f ca="1">IF(J2104,Charms!B2104,"")</f>
        <v>#N/A</v>
      </c>
      <c r="M2104" t="str">
        <f t="shared" ca="1" si="162"/>
        <v>-</v>
      </c>
      <c r="N2104" s="18" t="str">
        <f t="shared" si="163"/>
        <v>K1622:L5000</v>
      </c>
      <c r="O2104" t="str">
        <f t="shared" si="164"/>
        <v>A1622:A2104</v>
      </c>
    </row>
    <row r="2105" spans="1:15">
      <c r="A2105" s="18">
        <f>Charms!K2105</f>
        <v>0</v>
      </c>
      <c r="B2105">
        <f>Charms!B2105</f>
        <v>0</v>
      </c>
      <c r="C2105" t="b">
        <f ca="1">OR(Values!$S$98&gt;=Charms!M2105,IFERROR(Charms!J2105=OFFSET(Values!$A$24,MATCH("S",Values!$T$25:$T$50,0),0),FALSE))</f>
        <v>1</v>
      </c>
      <c r="D2105" t="e">
        <f>VLOOKUP(Charms!J2105,Values!$A$11:$S$59,19,0)&gt;=Charms!L2105</f>
        <v>#N/A</v>
      </c>
      <c r="E2105" t="e">
        <f>OR(ISBLANK(Charms!I2105),(VLOOKUP(Values!$S$6,Castes!$B$2:$F$25,4,0)=Charms!I2105))</f>
        <v>#N/A</v>
      </c>
      <c r="J2105" t="e">
        <f t="shared" ca="1" si="161"/>
        <v>#N/A</v>
      </c>
      <c r="K2105" s="18" t="e">
        <f t="shared" ca="1" si="160"/>
        <v>#N/A</v>
      </c>
      <c r="L2105" t="e">
        <f ca="1">IF(J2105,Charms!B2105,"")</f>
        <v>#N/A</v>
      </c>
      <c r="M2105" t="str">
        <f t="shared" ca="1" si="162"/>
        <v>-</v>
      </c>
      <c r="N2105" s="18" t="str">
        <f t="shared" si="163"/>
        <v>K1622:L5000</v>
      </c>
      <c r="O2105" t="str">
        <f t="shared" si="164"/>
        <v>A1622:A2105</v>
      </c>
    </row>
    <row r="2106" spans="1:15">
      <c r="A2106" s="18">
        <f>Charms!K2106</f>
        <v>0</v>
      </c>
      <c r="B2106">
        <f>Charms!B2106</f>
        <v>0</v>
      </c>
      <c r="C2106" t="b">
        <f ca="1">OR(Values!$S$98&gt;=Charms!M2106,IFERROR(Charms!J2106=OFFSET(Values!$A$24,MATCH("S",Values!$T$25:$T$50,0),0),FALSE))</f>
        <v>1</v>
      </c>
      <c r="D2106" t="e">
        <f>VLOOKUP(Charms!J2106,Values!$A$11:$S$59,19,0)&gt;=Charms!L2106</f>
        <v>#N/A</v>
      </c>
      <c r="E2106" t="e">
        <f>OR(ISBLANK(Charms!I2106),(VLOOKUP(Values!$S$6,Castes!$B$2:$F$25,4,0)=Charms!I2106))</f>
        <v>#N/A</v>
      </c>
      <c r="J2106" t="e">
        <f t="shared" ca="1" si="161"/>
        <v>#N/A</v>
      </c>
      <c r="K2106" s="18" t="e">
        <f t="shared" ca="1" si="160"/>
        <v>#N/A</v>
      </c>
      <c r="L2106" t="e">
        <f ca="1">IF(J2106,Charms!B2106,"")</f>
        <v>#N/A</v>
      </c>
      <c r="M2106" t="str">
        <f t="shared" ca="1" si="162"/>
        <v>-</v>
      </c>
      <c r="N2106" s="18" t="str">
        <f t="shared" si="163"/>
        <v>K1622:L5000</v>
      </c>
      <c r="O2106" t="str">
        <f t="shared" si="164"/>
        <v>A1622:A2106</v>
      </c>
    </row>
    <row r="2107" spans="1:15">
      <c r="A2107" s="18">
        <f>Charms!K2107</f>
        <v>0</v>
      </c>
      <c r="B2107">
        <f>Charms!B2107</f>
        <v>0</v>
      </c>
      <c r="C2107" t="b">
        <f ca="1">OR(Values!$S$98&gt;=Charms!M2107,IFERROR(Charms!J2107=OFFSET(Values!$A$24,MATCH("S",Values!$T$25:$T$50,0),0),FALSE))</f>
        <v>1</v>
      </c>
      <c r="D2107" t="e">
        <f>VLOOKUP(Charms!J2107,Values!$A$11:$S$59,19,0)&gt;=Charms!L2107</f>
        <v>#N/A</v>
      </c>
      <c r="E2107" t="e">
        <f>OR(ISBLANK(Charms!I2107),(VLOOKUP(Values!$S$6,Castes!$B$2:$F$25,4,0)=Charms!I2107))</f>
        <v>#N/A</v>
      </c>
      <c r="J2107" t="e">
        <f t="shared" ca="1" si="161"/>
        <v>#N/A</v>
      </c>
      <c r="K2107" s="18" t="e">
        <f t="shared" ca="1" si="160"/>
        <v>#N/A</v>
      </c>
      <c r="L2107" t="e">
        <f ca="1">IF(J2107,Charms!B2107,"")</f>
        <v>#N/A</v>
      </c>
      <c r="M2107" t="str">
        <f t="shared" ca="1" si="162"/>
        <v>-</v>
      </c>
      <c r="N2107" s="18" t="str">
        <f t="shared" si="163"/>
        <v>K1622:L5000</v>
      </c>
      <c r="O2107" t="str">
        <f t="shared" si="164"/>
        <v>A1622:A2107</v>
      </c>
    </row>
    <row r="2108" spans="1:15">
      <c r="A2108" s="18">
        <f>Charms!K2108</f>
        <v>0</v>
      </c>
      <c r="B2108">
        <f>Charms!B2108</f>
        <v>0</v>
      </c>
      <c r="C2108" t="b">
        <f ca="1">OR(Values!$S$98&gt;=Charms!M2108,IFERROR(Charms!J2108=OFFSET(Values!$A$24,MATCH("S",Values!$T$25:$T$50,0),0),FALSE))</f>
        <v>1</v>
      </c>
      <c r="D2108" t="e">
        <f>VLOOKUP(Charms!J2108,Values!$A$11:$S$59,19,0)&gt;=Charms!L2108</f>
        <v>#N/A</v>
      </c>
      <c r="E2108" t="e">
        <f>OR(ISBLANK(Charms!I2108),(VLOOKUP(Values!$S$6,Castes!$B$2:$F$25,4,0)=Charms!I2108))</f>
        <v>#N/A</v>
      </c>
      <c r="J2108" t="e">
        <f t="shared" ca="1" si="161"/>
        <v>#N/A</v>
      </c>
      <c r="K2108" s="18" t="e">
        <f t="shared" ca="1" si="160"/>
        <v>#N/A</v>
      </c>
      <c r="L2108" t="e">
        <f ca="1">IF(J2108,Charms!B2108,"")</f>
        <v>#N/A</v>
      </c>
      <c r="M2108" t="str">
        <f t="shared" ca="1" si="162"/>
        <v>-</v>
      </c>
      <c r="N2108" s="18" t="str">
        <f t="shared" si="163"/>
        <v>K1622:L5000</v>
      </c>
      <c r="O2108" t="str">
        <f t="shared" si="164"/>
        <v>A1622:A2108</v>
      </c>
    </row>
    <row r="2109" spans="1:15">
      <c r="A2109" s="18">
        <f>Charms!K2109</f>
        <v>0</v>
      </c>
      <c r="B2109">
        <f>Charms!B2109</f>
        <v>0</v>
      </c>
      <c r="C2109" t="b">
        <f ca="1">OR(Values!$S$98&gt;=Charms!M2109,IFERROR(Charms!J2109=OFFSET(Values!$A$24,MATCH("S",Values!$T$25:$T$50,0),0),FALSE))</f>
        <v>1</v>
      </c>
      <c r="D2109" t="e">
        <f>VLOOKUP(Charms!J2109,Values!$A$11:$S$59,19,0)&gt;=Charms!L2109</f>
        <v>#N/A</v>
      </c>
      <c r="E2109" t="e">
        <f>OR(ISBLANK(Charms!I2109),(VLOOKUP(Values!$S$6,Castes!$B$2:$F$25,4,0)=Charms!I2109))</f>
        <v>#N/A</v>
      </c>
      <c r="J2109" t="e">
        <f t="shared" ca="1" si="161"/>
        <v>#N/A</v>
      </c>
      <c r="K2109" s="18" t="e">
        <f t="shared" ca="1" si="160"/>
        <v>#N/A</v>
      </c>
      <c r="L2109" t="e">
        <f ca="1">IF(J2109,Charms!B2109,"")</f>
        <v>#N/A</v>
      </c>
      <c r="M2109" t="str">
        <f t="shared" ca="1" si="162"/>
        <v>-</v>
      </c>
      <c r="N2109" s="18" t="str">
        <f t="shared" si="163"/>
        <v>K1622:L5000</v>
      </c>
      <c r="O2109" t="str">
        <f t="shared" si="164"/>
        <v>A1622:A2109</v>
      </c>
    </row>
    <row r="2110" spans="1:15">
      <c r="A2110" s="18">
        <f>Charms!K2110</f>
        <v>0</v>
      </c>
      <c r="B2110">
        <f>Charms!B2110</f>
        <v>0</v>
      </c>
      <c r="C2110" t="b">
        <f ca="1">OR(Values!$S$98&gt;=Charms!M2110,IFERROR(Charms!J2110=OFFSET(Values!$A$24,MATCH("S",Values!$T$25:$T$50,0),0),FALSE))</f>
        <v>1</v>
      </c>
      <c r="D2110" t="e">
        <f>VLOOKUP(Charms!J2110,Values!$A$11:$S$59,19,0)&gt;=Charms!L2110</f>
        <v>#N/A</v>
      </c>
      <c r="E2110" t="e">
        <f>OR(ISBLANK(Charms!I2110),(VLOOKUP(Values!$S$6,Castes!$B$2:$F$25,4,0)=Charms!I2110))</f>
        <v>#N/A</v>
      </c>
      <c r="J2110" t="e">
        <f t="shared" ca="1" si="161"/>
        <v>#N/A</v>
      </c>
      <c r="K2110" s="18" t="e">
        <f t="shared" ca="1" si="160"/>
        <v>#N/A</v>
      </c>
      <c r="L2110" t="e">
        <f ca="1">IF(J2110,Charms!B2110,"")</f>
        <v>#N/A</v>
      </c>
      <c r="M2110" t="str">
        <f t="shared" ca="1" si="162"/>
        <v>-</v>
      </c>
      <c r="N2110" s="18" t="str">
        <f t="shared" si="163"/>
        <v>K1622:L5000</v>
      </c>
      <c r="O2110" t="str">
        <f t="shared" si="164"/>
        <v>A1622:A2110</v>
      </c>
    </row>
    <row r="2111" spans="1:15">
      <c r="A2111" s="18">
        <f>Charms!K2111</f>
        <v>0</v>
      </c>
      <c r="B2111">
        <f>Charms!B2111</f>
        <v>0</v>
      </c>
      <c r="C2111" t="b">
        <f ca="1">OR(Values!$S$98&gt;=Charms!M2111,IFERROR(Charms!J2111=OFFSET(Values!$A$24,MATCH("S",Values!$T$25:$T$50,0),0),FALSE))</f>
        <v>1</v>
      </c>
      <c r="D2111" t="e">
        <f>VLOOKUP(Charms!J2111,Values!$A$11:$S$59,19,0)&gt;=Charms!L2111</f>
        <v>#N/A</v>
      </c>
      <c r="E2111" t="e">
        <f>OR(ISBLANK(Charms!I2111),(VLOOKUP(Values!$S$6,Castes!$B$2:$F$25,4,0)=Charms!I2111))</f>
        <v>#N/A</v>
      </c>
      <c r="J2111" t="e">
        <f t="shared" ca="1" si="161"/>
        <v>#N/A</v>
      </c>
      <c r="K2111" s="18" t="e">
        <f t="shared" ca="1" si="160"/>
        <v>#N/A</v>
      </c>
      <c r="L2111" t="e">
        <f ca="1">IF(J2111,Charms!B2111,"")</f>
        <v>#N/A</v>
      </c>
      <c r="M2111" t="str">
        <f t="shared" ca="1" si="162"/>
        <v>-</v>
      </c>
      <c r="N2111" s="18" t="str">
        <f t="shared" si="163"/>
        <v>K1622:L5000</v>
      </c>
      <c r="O2111" t="str">
        <f t="shared" si="164"/>
        <v>A1622:A2111</v>
      </c>
    </row>
    <row r="2112" spans="1:15">
      <c r="A2112" s="18">
        <f>Charms!K2112</f>
        <v>0</v>
      </c>
      <c r="B2112">
        <f>Charms!B2112</f>
        <v>0</v>
      </c>
      <c r="C2112" t="b">
        <f ca="1">OR(Values!$S$98&gt;=Charms!M2112,IFERROR(Charms!J2112=OFFSET(Values!$A$24,MATCH("S",Values!$T$25:$T$50,0),0),FALSE))</f>
        <v>1</v>
      </c>
      <c r="D2112" t="e">
        <f>VLOOKUP(Charms!J2112,Values!$A$11:$S$59,19,0)&gt;=Charms!L2112</f>
        <v>#N/A</v>
      </c>
      <c r="E2112" t="e">
        <f>OR(ISBLANK(Charms!I2112),(VLOOKUP(Values!$S$6,Castes!$B$2:$F$25,4,0)=Charms!I2112))</f>
        <v>#N/A</v>
      </c>
      <c r="J2112" t="e">
        <f t="shared" ca="1" si="161"/>
        <v>#N/A</v>
      </c>
      <c r="K2112" s="18" t="e">
        <f t="shared" ca="1" si="160"/>
        <v>#N/A</v>
      </c>
      <c r="L2112" t="e">
        <f ca="1">IF(J2112,Charms!B2112,"")</f>
        <v>#N/A</v>
      </c>
      <c r="M2112" t="str">
        <f t="shared" ca="1" si="162"/>
        <v>-</v>
      </c>
      <c r="N2112" s="18" t="str">
        <f t="shared" si="163"/>
        <v>K1622:L5000</v>
      </c>
      <c r="O2112" t="str">
        <f t="shared" si="164"/>
        <v>A1622:A2112</v>
      </c>
    </row>
    <row r="2113" spans="1:15">
      <c r="A2113" s="18">
        <f>Charms!K2113</f>
        <v>0</v>
      </c>
      <c r="B2113">
        <f>Charms!B2113</f>
        <v>0</v>
      </c>
      <c r="C2113" t="b">
        <f ca="1">OR(Values!$S$98&gt;=Charms!M2113,IFERROR(Charms!J2113=OFFSET(Values!$A$24,MATCH("S",Values!$T$25:$T$50,0),0),FALSE))</f>
        <v>1</v>
      </c>
      <c r="D2113" t="e">
        <f>VLOOKUP(Charms!J2113,Values!$A$11:$S$59,19,0)&gt;=Charms!L2113</f>
        <v>#N/A</v>
      </c>
      <c r="E2113" t="e">
        <f>OR(ISBLANK(Charms!I2113),(VLOOKUP(Values!$S$6,Castes!$B$2:$F$25,4,0)=Charms!I2113))</f>
        <v>#N/A</v>
      </c>
      <c r="J2113" t="e">
        <f t="shared" ca="1" si="161"/>
        <v>#N/A</v>
      </c>
      <c r="K2113" s="18" t="e">
        <f t="shared" ca="1" si="160"/>
        <v>#N/A</v>
      </c>
      <c r="L2113" t="e">
        <f ca="1">IF(J2113,Charms!B2113,"")</f>
        <v>#N/A</v>
      </c>
      <c r="M2113" t="str">
        <f t="shared" ca="1" si="162"/>
        <v>-</v>
      </c>
      <c r="N2113" s="18" t="str">
        <f t="shared" si="163"/>
        <v>K1622:L5000</v>
      </c>
      <c r="O2113" t="str">
        <f t="shared" si="164"/>
        <v>A1622:A2113</v>
      </c>
    </row>
    <row r="2114" spans="1:15">
      <c r="A2114" s="18">
        <f>Charms!K2114</f>
        <v>0</v>
      </c>
      <c r="B2114">
        <f>Charms!B2114</f>
        <v>0</v>
      </c>
      <c r="C2114" t="b">
        <f ca="1">OR(Values!$S$98&gt;=Charms!M2114,IFERROR(Charms!J2114=OFFSET(Values!$A$24,MATCH("S",Values!$T$25:$T$50,0),0),FALSE))</f>
        <v>1</v>
      </c>
      <c r="D2114" t="e">
        <f>VLOOKUP(Charms!J2114,Values!$A$11:$S$59,19,0)&gt;=Charms!L2114</f>
        <v>#N/A</v>
      </c>
      <c r="E2114" t="e">
        <f>OR(ISBLANK(Charms!I2114),(VLOOKUP(Values!$S$6,Castes!$B$2:$F$25,4,0)=Charms!I2114))</f>
        <v>#N/A</v>
      </c>
      <c r="J2114" t="e">
        <f t="shared" ca="1" si="161"/>
        <v>#N/A</v>
      </c>
      <c r="K2114" s="18" t="e">
        <f t="shared" ref="K2114:K2177" ca="1" si="165">IF(L2114="","",COUNTIF(INDIRECT("J"&amp;MATCH(A2114,A:A,0)&amp;":J"&amp;ROW()),J2114))</f>
        <v>#N/A</v>
      </c>
      <c r="L2114" t="e">
        <f ca="1">IF(J2114,Charms!B2114,"")</f>
        <v>#N/A</v>
      </c>
      <c r="M2114" t="str">
        <f t="shared" ca="1" si="162"/>
        <v>-</v>
      </c>
      <c r="N2114" s="18" t="str">
        <f t="shared" si="163"/>
        <v>K1622:L5000</v>
      </c>
      <c r="O2114" t="str">
        <f t="shared" si="164"/>
        <v>A1622:A2114</v>
      </c>
    </row>
    <row r="2115" spans="1:15">
      <c r="A2115" s="18">
        <f>Charms!K2115</f>
        <v>0</v>
      </c>
      <c r="B2115">
        <f>Charms!B2115</f>
        <v>0</v>
      </c>
      <c r="C2115" t="b">
        <f ca="1">OR(Values!$S$98&gt;=Charms!M2115,IFERROR(Charms!J2115=OFFSET(Values!$A$24,MATCH("S",Values!$T$25:$T$50,0),0),FALSE))</f>
        <v>1</v>
      </c>
      <c r="D2115" t="e">
        <f>VLOOKUP(Charms!J2115,Values!$A$11:$S$59,19,0)&gt;=Charms!L2115</f>
        <v>#N/A</v>
      </c>
      <c r="E2115" t="e">
        <f>OR(ISBLANK(Charms!I2115),(VLOOKUP(Values!$S$6,Castes!$B$2:$F$25,4,0)=Charms!I2115))</f>
        <v>#N/A</v>
      </c>
      <c r="J2115" t="e">
        <f t="shared" ref="J2115:J2178" ca="1" si="166">(C2115+D2115+E2115+F2115+G2115+H2115+I2115)=3</f>
        <v>#N/A</v>
      </c>
      <c r="K2115" s="18" t="e">
        <f t="shared" ca="1" si="165"/>
        <v>#N/A</v>
      </c>
      <c r="L2115" t="e">
        <f ca="1">IF(J2115,Charms!B2115,"")</f>
        <v>#N/A</v>
      </c>
      <c r="M2115" t="str">
        <f t="shared" ref="M2115:M2178" ca="1" si="167">IFERROR(VLOOKUP(COUNTIF(INDIRECT(O2115),A2115),INDIRECT(N2115),2,0),"-")</f>
        <v>-</v>
      </c>
      <c r="N2115" s="18" t="str">
        <f t="shared" ref="N2115:N2178" si="168">"K"&amp;MATCH(A2115,A:A,0)&amp;":L"&amp;(MATCH(A2115,A:A,0)+COUNTIF(A:A,A2115)-1)</f>
        <v>K1622:L5000</v>
      </c>
      <c r="O2115" t="str">
        <f t="shared" ref="O2115:O2178" si="169">"A"&amp;MATCH(A2115,A:A,0)&amp;":A"&amp;ROW()</f>
        <v>A1622:A2115</v>
      </c>
    </row>
    <row r="2116" spans="1:15">
      <c r="A2116" s="18">
        <f>Charms!K2116</f>
        <v>0</v>
      </c>
      <c r="B2116">
        <f>Charms!B2116</f>
        <v>0</v>
      </c>
      <c r="C2116" t="b">
        <f ca="1">OR(Values!$S$98&gt;=Charms!M2116,IFERROR(Charms!J2116=OFFSET(Values!$A$24,MATCH("S",Values!$T$25:$T$50,0),0),FALSE))</f>
        <v>1</v>
      </c>
      <c r="D2116" t="e">
        <f>VLOOKUP(Charms!J2116,Values!$A$11:$S$59,19,0)&gt;=Charms!L2116</f>
        <v>#N/A</v>
      </c>
      <c r="E2116" t="e">
        <f>OR(ISBLANK(Charms!I2116),(VLOOKUP(Values!$S$6,Castes!$B$2:$F$25,4,0)=Charms!I2116))</f>
        <v>#N/A</v>
      </c>
      <c r="J2116" t="e">
        <f t="shared" ca="1" si="166"/>
        <v>#N/A</v>
      </c>
      <c r="K2116" s="18" t="e">
        <f t="shared" ca="1" si="165"/>
        <v>#N/A</v>
      </c>
      <c r="L2116" t="e">
        <f ca="1">IF(J2116,Charms!B2116,"")</f>
        <v>#N/A</v>
      </c>
      <c r="M2116" t="str">
        <f t="shared" ca="1" si="167"/>
        <v>-</v>
      </c>
      <c r="N2116" s="18" t="str">
        <f t="shared" si="168"/>
        <v>K1622:L5000</v>
      </c>
      <c r="O2116" t="str">
        <f t="shared" si="169"/>
        <v>A1622:A2116</v>
      </c>
    </row>
    <row r="2117" spans="1:15">
      <c r="A2117" s="18">
        <f>Charms!K2117</f>
        <v>0</v>
      </c>
      <c r="B2117">
        <f>Charms!B2117</f>
        <v>0</v>
      </c>
      <c r="C2117" t="b">
        <f ca="1">OR(Values!$S$98&gt;=Charms!M2117,IFERROR(Charms!J2117=OFFSET(Values!$A$24,MATCH("S",Values!$T$25:$T$50,0),0),FALSE))</f>
        <v>1</v>
      </c>
      <c r="D2117" t="e">
        <f>VLOOKUP(Charms!J2117,Values!$A$11:$S$59,19,0)&gt;=Charms!L2117</f>
        <v>#N/A</v>
      </c>
      <c r="E2117" t="e">
        <f>OR(ISBLANK(Charms!I2117),(VLOOKUP(Values!$S$6,Castes!$B$2:$F$25,4,0)=Charms!I2117))</f>
        <v>#N/A</v>
      </c>
      <c r="J2117" t="e">
        <f t="shared" ca="1" si="166"/>
        <v>#N/A</v>
      </c>
      <c r="K2117" s="18" t="e">
        <f t="shared" ca="1" si="165"/>
        <v>#N/A</v>
      </c>
      <c r="L2117" t="e">
        <f ca="1">IF(J2117,Charms!B2117,"")</f>
        <v>#N/A</v>
      </c>
      <c r="M2117" t="str">
        <f t="shared" ca="1" si="167"/>
        <v>-</v>
      </c>
      <c r="N2117" s="18" t="str">
        <f t="shared" si="168"/>
        <v>K1622:L5000</v>
      </c>
      <c r="O2117" t="str">
        <f t="shared" si="169"/>
        <v>A1622:A2117</v>
      </c>
    </row>
    <row r="2118" spans="1:15">
      <c r="A2118" s="18">
        <f>Charms!K2118</f>
        <v>0</v>
      </c>
      <c r="B2118">
        <f>Charms!B2118</f>
        <v>0</v>
      </c>
      <c r="C2118" t="b">
        <f ca="1">OR(Values!$S$98&gt;=Charms!M2118,IFERROR(Charms!J2118=OFFSET(Values!$A$24,MATCH("S",Values!$T$25:$T$50,0),0),FALSE))</f>
        <v>1</v>
      </c>
      <c r="D2118" t="e">
        <f>VLOOKUP(Charms!J2118,Values!$A$11:$S$59,19,0)&gt;=Charms!L2118</f>
        <v>#N/A</v>
      </c>
      <c r="E2118" t="e">
        <f>OR(ISBLANK(Charms!I2118),(VLOOKUP(Values!$S$6,Castes!$B$2:$F$25,4,0)=Charms!I2118))</f>
        <v>#N/A</v>
      </c>
      <c r="J2118" t="e">
        <f t="shared" ca="1" si="166"/>
        <v>#N/A</v>
      </c>
      <c r="K2118" s="18" t="e">
        <f t="shared" ca="1" si="165"/>
        <v>#N/A</v>
      </c>
      <c r="L2118" t="e">
        <f ca="1">IF(J2118,Charms!B2118,"")</f>
        <v>#N/A</v>
      </c>
      <c r="M2118" t="str">
        <f t="shared" ca="1" si="167"/>
        <v>-</v>
      </c>
      <c r="N2118" s="18" t="str">
        <f t="shared" si="168"/>
        <v>K1622:L5000</v>
      </c>
      <c r="O2118" t="str">
        <f t="shared" si="169"/>
        <v>A1622:A2118</v>
      </c>
    </row>
    <row r="2119" spans="1:15">
      <c r="A2119" s="18">
        <f>Charms!K2119</f>
        <v>0</v>
      </c>
      <c r="B2119">
        <f>Charms!B2119</f>
        <v>0</v>
      </c>
      <c r="C2119" t="b">
        <f ca="1">OR(Values!$S$98&gt;=Charms!M2119,IFERROR(Charms!J2119=OFFSET(Values!$A$24,MATCH("S",Values!$T$25:$T$50,0),0),FALSE))</f>
        <v>1</v>
      </c>
      <c r="D2119" t="e">
        <f>VLOOKUP(Charms!J2119,Values!$A$11:$S$59,19,0)&gt;=Charms!L2119</f>
        <v>#N/A</v>
      </c>
      <c r="E2119" t="e">
        <f>OR(ISBLANK(Charms!I2119),(VLOOKUP(Values!$S$6,Castes!$B$2:$F$25,4,0)=Charms!I2119))</f>
        <v>#N/A</v>
      </c>
      <c r="J2119" t="e">
        <f t="shared" ca="1" si="166"/>
        <v>#N/A</v>
      </c>
      <c r="K2119" s="18" t="e">
        <f t="shared" ca="1" si="165"/>
        <v>#N/A</v>
      </c>
      <c r="L2119" t="e">
        <f ca="1">IF(J2119,Charms!B2119,"")</f>
        <v>#N/A</v>
      </c>
      <c r="M2119" t="str">
        <f t="shared" ca="1" si="167"/>
        <v>-</v>
      </c>
      <c r="N2119" s="18" t="str">
        <f t="shared" si="168"/>
        <v>K1622:L5000</v>
      </c>
      <c r="O2119" t="str">
        <f t="shared" si="169"/>
        <v>A1622:A2119</v>
      </c>
    </row>
    <row r="2120" spans="1:15">
      <c r="A2120" s="18">
        <f>Charms!K2120</f>
        <v>0</v>
      </c>
      <c r="B2120">
        <f>Charms!B2120</f>
        <v>0</v>
      </c>
      <c r="C2120" t="b">
        <f ca="1">OR(Values!$S$98&gt;=Charms!M2120,IFERROR(Charms!J2120=OFFSET(Values!$A$24,MATCH("S",Values!$T$25:$T$50,0),0),FALSE))</f>
        <v>1</v>
      </c>
      <c r="D2120" t="e">
        <f>VLOOKUP(Charms!J2120,Values!$A$11:$S$59,19,0)&gt;=Charms!L2120</f>
        <v>#N/A</v>
      </c>
      <c r="E2120" t="e">
        <f>OR(ISBLANK(Charms!I2120),(VLOOKUP(Values!$S$6,Castes!$B$2:$F$25,4,0)=Charms!I2120))</f>
        <v>#N/A</v>
      </c>
      <c r="J2120" t="e">
        <f t="shared" ca="1" si="166"/>
        <v>#N/A</v>
      </c>
      <c r="K2120" s="18" t="e">
        <f t="shared" ca="1" si="165"/>
        <v>#N/A</v>
      </c>
      <c r="L2120" t="e">
        <f ca="1">IF(J2120,Charms!B2120,"")</f>
        <v>#N/A</v>
      </c>
      <c r="M2120" t="str">
        <f t="shared" ca="1" si="167"/>
        <v>-</v>
      </c>
      <c r="N2120" s="18" t="str">
        <f t="shared" si="168"/>
        <v>K1622:L5000</v>
      </c>
      <c r="O2120" t="str">
        <f t="shared" si="169"/>
        <v>A1622:A2120</v>
      </c>
    </row>
    <row r="2121" spans="1:15">
      <c r="A2121" s="18">
        <f>Charms!K2121</f>
        <v>0</v>
      </c>
      <c r="B2121">
        <f>Charms!B2121</f>
        <v>0</v>
      </c>
      <c r="C2121" t="b">
        <f ca="1">OR(Values!$S$98&gt;=Charms!M2121,IFERROR(Charms!J2121=OFFSET(Values!$A$24,MATCH("S",Values!$T$25:$T$50,0),0),FALSE))</f>
        <v>1</v>
      </c>
      <c r="D2121" t="e">
        <f>VLOOKUP(Charms!J2121,Values!$A$11:$S$59,19,0)&gt;=Charms!L2121</f>
        <v>#N/A</v>
      </c>
      <c r="E2121" t="e">
        <f>OR(ISBLANK(Charms!I2121),(VLOOKUP(Values!$S$6,Castes!$B$2:$F$25,4,0)=Charms!I2121))</f>
        <v>#N/A</v>
      </c>
      <c r="J2121" t="e">
        <f t="shared" ca="1" si="166"/>
        <v>#N/A</v>
      </c>
      <c r="K2121" s="18" t="e">
        <f t="shared" ca="1" si="165"/>
        <v>#N/A</v>
      </c>
      <c r="L2121" t="e">
        <f ca="1">IF(J2121,Charms!B2121,"")</f>
        <v>#N/A</v>
      </c>
      <c r="M2121" t="str">
        <f t="shared" ca="1" si="167"/>
        <v>-</v>
      </c>
      <c r="N2121" s="18" t="str">
        <f t="shared" si="168"/>
        <v>K1622:L5000</v>
      </c>
      <c r="O2121" t="str">
        <f t="shared" si="169"/>
        <v>A1622:A2121</v>
      </c>
    </row>
    <row r="2122" spans="1:15">
      <c r="A2122" s="18">
        <f>Charms!K2122</f>
        <v>0</v>
      </c>
      <c r="B2122">
        <f>Charms!B2122</f>
        <v>0</v>
      </c>
      <c r="C2122" t="b">
        <f ca="1">OR(Values!$S$98&gt;=Charms!M2122,IFERROR(Charms!J2122=OFFSET(Values!$A$24,MATCH("S",Values!$T$25:$T$50,0),0),FALSE))</f>
        <v>1</v>
      </c>
      <c r="D2122" t="e">
        <f>VLOOKUP(Charms!J2122,Values!$A$11:$S$59,19,0)&gt;=Charms!L2122</f>
        <v>#N/A</v>
      </c>
      <c r="E2122" t="e">
        <f>OR(ISBLANK(Charms!I2122),(VLOOKUP(Values!$S$6,Castes!$B$2:$F$25,4,0)=Charms!I2122))</f>
        <v>#N/A</v>
      </c>
      <c r="J2122" t="e">
        <f t="shared" ca="1" si="166"/>
        <v>#N/A</v>
      </c>
      <c r="K2122" s="18" t="e">
        <f t="shared" ca="1" si="165"/>
        <v>#N/A</v>
      </c>
      <c r="L2122" t="e">
        <f ca="1">IF(J2122,Charms!B2122,"")</f>
        <v>#N/A</v>
      </c>
      <c r="M2122" t="str">
        <f t="shared" ca="1" si="167"/>
        <v>-</v>
      </c>
      <c r="N2122" s="18" t="str">
        <f t="shared" si="168"/>
        <v>K1622:L5000</v>
      </c>
      <c r="O2122" t="str">
        <f t="shared" si="169"/>
        <v>A1622:A2122</v>
      </c>
    </row>
    <row r="2123" spans="1:15">
      <c r="A2123" s="18">
        <f>Charms!K2123</f>
        <v>0</v>
      </c>
      <c r="B2123">
        <f>Charms!B2123</f>
        <v>0</v>
      </c>
      <c r="C2123" t="b">
        <f ca="1">OR(Values!$S$98&gt;=Charms!M2123,IFERROR(Charms!J2123=OFFSET(Values!$A$24,MATCH("S",Values!$T$25:$T$50,0),0),FALSE))</f>
        <v>1</v>
      </c>
      <c r="D2123" t="e">
        <f>VLOOKUP(Charms!J2123,Values!$A$11:$S$59,19,0)&gt;=Charms!L2123</f>
        <v>#N/A</v>
      </c>
      <c r="E2123" t="e">
        <f>OR(ISBLANK(Charms!I2123),(VLOOKUP(Values!$S$6,Castes!$B$2:$F$25,4,0)=Charms!I2123))</f>
        <v>#N/A</v>
      </c>
      <c r="J2123" t="e">
        <f t="shared" ca="1" si="166"/>
        <v>#N/A</v>
      </c>
      <c r="K2123" s="18" t="e">
        <f t="shared" ca="1" si="165"/>
        <v>#N/A</v>
      </c>
      <c r="L2123" t="e">
        <f ca="1">IF(J2123,Charms!B2123,"")</f>
        <v>#N/A</v>
      </c>
      <c r="M2123" t="str">
        <f t="shared" ca="1" si="167"/>
        <v>-</v>
      </c>
      <c r="N2123" s="18" t="str">
        <f t="shared" si="168"/>
        <v>K1622:L5000</v>
      </c>
      <c r="O2123" t="str">
        <f t="shared" si="169"/>
        <v>A1622:A2123</v>
      </c>
    </row>
    <row r="2124" spans="1:15">
      <c r="A2124" s="18">
        <f>Charms!K2124</f>
        <v>0</v>
      </c>
      <c r="B2124">
        <f>Charms!B2124</f>
        <v>0</v>
      </c>
      <c r="C2124" t="b">
        <f ca="1">OR(Values!$S$98&gt;=Charms!M2124,IFERROR(Charms!J2124=OFFSET(Values!$A$24,MATCH("S",Values!$T$25:$T$50,0),0),FALSE))</f>
        <v>1</v>
      </c>
      <c r="D2124" t="e">
        <f>VLOOKUP(Charms!J2124,Values!$A$11:$S$59,19,0)&gt;=Charms!L2124</f>
        <v>#N/A</v>
      </c>
      <c r="E2124" t="e">
        <f>OR(ISBLANK(Charms!I2124),(VLOOKUP(Values!$S$6,Castes!$B$2:$F$25,4,0)=Charms!I2124))</f>
        <v>#N/A</v>
      </c>
      <c r="J2124" t="e">
        <f t="shared" ca="1" si="166"/>
        <v>#N/A</v>
      </c>
      <c r="K2124" s="18" t="e">
        <f t="shared" ca="1" si="165"/>
        <v>#N/A</v>
      </c>
      <c r="L2124" t="e">
        <f ca="1">IF(J2124,Charms!B2124,"")</f>
        <v>#N/A</v>
      </c>
      <c r="M2124" t="str">
        <f t="shared" ca="1" si="167"/>
        <v>-</v>
      </c>
      <c r="N2124" s="18" t="str">
        <f t="shared" si="168"/>
        <v>K1622:L5000</v>
      </c>
      <c r="O2124" t="str">
        <f t="shared" si="169"/>
        <v>A1622:A2124</v>
      </c>
    </row>
    <row r="2125" spans="1:15">
      <c r="A2125" s="18">
        <f>Charms!K2125</f>
        <v>0</v>
      </c>
      <c r="B2125">
        <f>Charms!B2125</f>
        <v>0</v>
      </c>
      <c r="C2125" t="b">
        <f ca="1">OR(Values!$S$98&gt;=Charms!M2125,IFERROR(Charms!J2125=OFFSET(Values!$A$24,MATCH("S",Values!$T$25:$T$50,0),0),FALSE))</f>
        <v>1</v>
      </c>
      <c r="D2125" t="e">
        <f>VLOOKUP(Charms!J2125,Values!$A$11:$S$59,19,0)&gt;=Charms!L2125</f>
        <v>#N/A</v>
      </c>
      <c r="E2125" t="e">
        <f>OR(ISBLANK(Charms!I2125),(VLOOKUP(Values!$S$6,Castes!$B$2:$F$25,4,0)=Charms!I2125))</f>
        <v>#N/A</v>
      </c>
      <c r="J2125" t="e">
        <f t="shared" ca="1" si="166"/>
        <v>#N/A</v>
      </c>
      <c r="K2125" s="18" t="e">
        <f t="shared" ca="1" si="165"/>
        <v>#N/A</v>
      </c>
      <c r="L2125" t="e">
        <f ca="1">IF(J2125,Charms!B2125,"")</f>
        <v>#N/A</v>
      </c>
      <c r="M2125" t="str">
        <f t="shared" ca="1" si="167"/>
        <v>-</v>
      </c>
      <c r="N2125" s="18" t="str">
        <f t="shared" si="168"/>
        <v>K1622:L5000</v>
      </c>
      <c r="O2125" t="str">
        <f t="shared" si="169"/>
        <v>A1622:A2125</v>
      </c>
    </row>
    <row r="2126" spans="1:15">
      <c r="A2126" s="18">
        <f>Charms!K2126</f>
        <v>0</v>
      </c>
      <c r="B2126">
        <f>Charms!B2126</f>
        <v>0</v>
      </c>
      <c r="C2126" t="b">
        <f ca="1">OR(Values!$S$98&gt;=Charms!M2126,IFERROR(Charms!J2126=OFFSET(Values!$A$24,MATCH("S",Values!$T$25:$T$50,0),0),FALSE))</f>
        <v>1</v>
      </c>
      <c r="D2126" t="e">
        <f>VLOOKUP(Charms!J2126,Values!$A$11:$S$59,19,0)&gt;=Charms!L2126</f>
        <v>#N/A</v>
      </c>
      <c r="E2126" t="e">
        <f>OR(ISBLANK(Charms!I2126),(VLOOKUP(Values!$S$6,Castes!$B$2:$F$25,4,0)=Charms!I2126))</f>
        <v>#N/A</v>
      </c>
      <c r="J2126" t="e">
        <f t="shared" ca="1" si="166"/>
        <v>#N/A</v>
      </c>
      <c r="K2126" s="18" t="e">
        <f t="shared" ca="1" si="165"/>
        <v>#N/A</v>
      </c>
      <c r="L2126" t="e">
        <f ca="1">IF(J2126,Charms!B2126,"")</f>
        <v>#N/A</v>
      </c>
      <c r="M2126" t="str">
        <f t="shared" ca="1" si="167"/>
        <v>-</v>
      </c>
      <c r="N2126" s="18" t="str">
        <f t="shared" si="168"/>
        <v>K1622:L5000</v>
      </c>
      <c r="O2126" t="str">
        <f t="shared" si="169"/>
        <v>A1622:A2126</v>
      </c>
    </row>
    <row r="2127" spans="1:15">
      <c r="A2127" s="18">
        <f>Charms!K2127</f>
        <v>0</v>
      </c>
      <c r="B2127">
        <f>Charms!B2127</f>
        <v>0</v>
      </c>
      <c r="C2127" t="b">
        <f ca="1">OR(Values!$S$98&gt;=Charms!M2127,IFERROR(Charms!J2127=OFFSET(Values!$A$24,MATCH("S",Values!$T$25:$T$50,0),0),FALSE))</f>
        <v>1</v>
      </c>
      <c r="D2127" t="e">
        <f>VLOOKUP(Charms!J2127,Values!$A$11:$S$59,19,0)&gt;=Charms!L2127</f>
        <v>#N/A</v>
      </c>
      <c r="E2127" t="e">
        <f>OR(ISBLANK(Charms!I2127),(VLOOKUP(Values!$S$6,Castes!$B$2:$F$25,4,0)=Charms!I2127))</f>
        <v>#N/A</v>
      </c>
      <c r="J2127" t="e">
        <f t="shared" ca="1" si="166"/>
        <v>#N/A</v>
      </c>
      <c r="K2127" s="18" t="e">
        <f t="shared" ca="1" si="165"/>
        <v>#N/A</v>
      </c>
      <c r="L2127" t="e">
        <f ca="1">IF(J2127,Charms!B2127,"")</f>
        <v>#N/A</v>
      </c>
      <c r="M2127" t="str">
        <f t="shared" ca="1" si="167"/>
        <v>-</v>
      </c>
      <c r="N2127" s="18" t="str">
        <f t="shared" si="168"/>
        <v>K1622:L5000</v>
      </c>
      <c r="O2127" t="str">
        <f t="shared" si="169"/>
        <v>A1622:A2127</v>
      </c>
    </row>
    <row r="2128" spans="1:15">
      <c r="A2128" s="18">
        <f>Charms!K2128</f>
        <v>0</v>
      </c>
      <c r="B2128">
        <f>Charms!B2128</f>
        <v>0</v>
      </c>
      <c r="C2128" t="b">
        <f ca="1">OR(Values!$S$98&gt;=Charms!M2128,IFERROR(Charms!J2128=OFFSET(Values!$A$24,MATCH("S",Values!$T$25:$T$50,0),0),FALSE))</f>
        <v>1</v>
      </c>
      <c r="D2128" t="e">
        <f>VLOOKUP(Charms!J2128,Values!$A$11:$S$59,19,0)&gt;=Charms!L2128</f>
        <v>#N/A</v>
      </c>
      <c r="E2128" t="e">
        <f>OR(ISBLANK(Charms!I2128),(VLOOKUP(Values!$S$6,Castes!$B$2:$F$25,4,0)=Charms!I2128))</f>
        <v>#N/A</v>
      </c>
      <c r="J2128" t="e">
        <f t="shared" ca="1" si="166"/>
        <v>#N/A</v>
      </c>
      <c r="K2128" s="18" t="e">
        <f t="shared" ca="1" si="165"/>
        <v>#N/A</v>
      </c>
      <c r="L2128" t="e">
        <f ca="1">IF(J2128,Charms!B2128,"")</f>
        <v>#N/A</v>
      </c>
      <c r="M2128" t="str">
        <f t="shared" ca="1" si="167"/>
        <v>-</v>
      </c>
      <c r="N2128" s="18" t="str">
        <f t="shared" si="168"/>
        <v>K1622:L5000</v>
      </c>
      <c r="O2128" t="str">
        <f t="shared" si="169"/>
        <v>A1622:A2128</v>
      </c>
    </row>
    <row r="2129" spans="1:15">
      <c r="A2129" s="18">
        <f>Charms!K2129</f>
        <v>0</v>
      </c>
      <c r="B2129">
        <f>Charms!B2129</f>
        <v>0</v>
      </c>
      <c r="C2129" t="b">
        <f ca="1">OR(Values!$S$98&gt;=Charms!M2129,IFERROR(Charms!J2129=OFFSET(Values!$A$24,MATCH("S",Values!$T$25:$T$50,0),0),FALSE))</f>
        <v>1</v>
      </c>
      <c r="D2129" t="e">
        <f>VLOOKUP(Charms!J2129,Values!$A$11:$S$59,19,0)&gt;=Charms!L2129</f>
        <v>#N/A</v>
      </c>
      <c r="E2129" t="e">
        <f>OR(ISBLANK(Charms!I2129),(VLOOKUP(Values!$S$6,Castes!$B$2:$F$25,4,0)=Charms!I2129))</f>
        <v>#N/A</v>
      </c>
      <c r="J2129" t="e">
        <f t="shared" ca="1" si="166"/>
        <v>#N/A</v>
      </c>
      <c r="K2129" s="18" t="e">
        <f t="shared" ca="1" si="165"/>
        <v>#N/A</v>
      </c>
      <c r="L2129" t="e">
        <f ca="1">IF(J2129,Charms!B2129,"")</f>
        <v>#N/A</v>
      </c>
      <c r="M2129" t="str">
        <f t="shared" ca="1" si="167"/>
        <v>-</v>
      </c>
      <c r="N2129" s="18" t="str">
        <f t="shared" si="168"/>
        <v>K1622:L5000</v>
      </c>
      <c r="O2129" t="str">
        <f t="shared" si="169"/>
        <v>A1622:A2129</v>
      </c>
    </row>
    <row r="2130" spans="1:15">
      <c r="A2130" s="18">
        <f>Charms!K2130</f>
        <v>0</v>
      </c>
      <c r="B2130">
        <f>Charms!B2130</f>
        <v>0</v>
      </c>
      <c r="C2130" t="b">
        <f ca="1">OR(Values!$S$98&gt;=Charms!M2130,IFERROR(Charms!J2130=OFFSET(Values!$A$24,MATCH("S",Values!$T$25:$T$50,0),0),FALSE))</f>
        <v>1</v>
      </c>
      <c r="D2130" t="e">
        <f>VLOOKUP(Charms!J2130,Values!$A$11:$S$59,19,0)&gt;=Charms!L2130</f>
        <v>#N/A</v>
      </c>
      <c r="E2130" t="e">
        <f>OR(ISBLANK(Charms!I2130),(VLOOKUP(Values!$S$6,Castes!$B$2:$F$25,4,0)=Charms!I2130))</f>
        <v>#N/A</v>
      </c>
      <c r="J2130" t="e">
        <f t="shared" ca="1" si="166"/>
        <v>#N/A</v>
      </c>
      <c r="K2130" s="18" t="e">
        <f t="shared" ca="1" si="165"/>
        <v>#N/A</v>
      </c>
      <c r="L2130" t="e">
        <f ca="1">IF(J2130,Charms!B2130,"")</f>
        <v>#N/A</v>
      </c>
      <c r="M2130" t="str">
        <f t="shared" ca="1" si="167"/>
        <v>-</v>
      </c>
      <c r="N2130" s="18" t="str">
        <f t="shared" si="168"/>
        <v>K1622:L5000</v>
      </c>
      <c r="O2130" t="str">
        <f t="shared" si="169"/>
        <v>A1622:A2130</v>
      </c>
    </row>
    <row r="2131" spans="1:15">
      <c r="A2131" s="18">
        <f>Charms!K2131</f>
        <v>0</v>
      </c>
      <c r="B2131">
        <f>Charms!B2131</f>
        <v>0</v>
      </c>
      <c r="C2131" t="b">
        <f ca="1">OR(Values!$S$98&gt;=Charms!M2131,IFERROR(Charms!J2131=OFFSET(Values!$A$24,MATCH("S",Values!$T$25:$T$50,0),0),FALSE))</f>
        <v>1</v>
      </c>
      <c r="D2131" t="e">
        <f>VLOOKUP(Charms!J2131,Values!$A$11:$S$59,19,0)&gt;=Charms!L2131</f>
        <v>#N/A</v>
      </c>
      <c r="E2131" t="e">
        <f>OR(ISBLANK(Charms!I2131),(VLOOKUP(Values!$S$6,Castes!$B$2:$F$25,4,0)=Charms!I2131))</f>
        <v>#N/A</v>
      </c>
      <c r="J2131" t="e">
        <f t="shared" ca="1" si="166"/>
        <v>#N/A</v>
      </c>
      <c r="K2131" s="18" t="e">
        <f t="shared" ca="1" si="165"/>
        <v>#N/A</v>
      </c>
      <c r="L2131" t="e">
        <f ca="1">IF(J2131,Charms!B2131,"")</f>
        <v>#N/A</v>
      </c>
      <c r="M2131" t="str">
        <f t="shared" ca="1" si="167"/>
        <v>-</v>
      </c>
      <c r="N2131" s="18" t="str">
        <f t="shared" si="168"/>
        <v>K1622:L5000</v>
      </c>
      <c r="O2131" t="str">
        <f t="shared" si="169"/>
        <v>A1622:A2131</v>
      </c>
    </row>
    <row r="2132" spans="1:15">
      <c r="A2132" s="18">
        <f>Charms!K2132</f>
        <v>0</v>
      </c>
      <c r="B2132">
        <f>Charms!B2132</f>
        <v>0</v>
      </c>
      <c r="C2132" t="b">
        <f ca="1">OR(Values!$S$98&gt;=Charms!M2132,IFERROR(Charms!J2132=OFFSET(Values!$A$24,MATCH("S",Values!$T$25:$T$50,0),0),FALSE))</f>
        <v>1</v>
      </c>
      <c r="D2132" t="e">
        <f>VLOOKUP(Charms!J2132,Values!$A$11:$S$59,19,0)&gt;=Charms!L2132</f>
        <v>#N/A</v>
      </c>
      <c r="E2132" t="e">
        <f>OR(ISBLANK(Charms!I2132),(VLOOKUP(Values!$S$6,Castes!$B$2:$F$25,4,0)=Charms!I2132))</f>
        <v>#N/A</v>
      </c>
      <c r="J2132" t="e">
        <f t="shared" ca="1" si="166"/>
        <v>#N/A</v>
      </c>
      <c r="K2132" s="18" t="e">
        <f t="shared" ca="1" si="165"/>
        <v>#N/A</v>
      </c>
      <c r="L2132" t="e">
        <f ca="1">IF(J2132,Charms!B2132,"")</f>
        <v>#N/A</v>
      </c>
      <c r="M2132" t="str">
        <f t="shared" ca="1" si="167"/>
        <v>-</v>
      </c>
      <c r="N2132" s="18" t="str">
        <f t="shared" si="168"/>
        <v>K1622:L5000</v>
      </c>
      <c r="O2132" t="str">
        <f t="shared" si="169"/>
        <v>A1622:A2132</v>
      </c>
    </row>
    <row r="2133" spans="1:15">
      <c r="A2133" s="18">
        <f>Charms!K2133</f>
        <v>0</v>
      </c>
      <c r="B2133">
        <f>Charms!B2133</f>
        <v>0</v>
      </c>
      <c r="C2133" t="b">
        <f ca="1">OR(Values!$S$98&gt;=Charms!M2133,IFERROR(Charms!J2133=OFFSET(Values!$A$24,MATCH("S",Values!$T$25:$T$50,0),0),FALSE))</f>
        <v>1</v>
      </c>
      <c r="D2133" t="e">
        <f>VLOOKUP(Charms!J2133,Values!$A$11:$S$59,19,0)&gt;=Charms!L2133</f>
        <v>#N/A</v>
      </c>
      <c r="E2133" t="e">
        <f>OR(ISBLANK(Charms!I2133),(VLOOKUP(Values!$S$6,Castes!$B$2:$F$25,4,0)=Charms!I2133))</f>
        <v>#N/A</v>
      </c>
      <c r="J2133" t="e">
        <f t="shared" ca="1" si="166"/>
        <v>#N/A</v>
      </c>
      <c r="K2133" s="18" t="e">
        <f t="shared" ca="1" si="165"/>
        <v>#N/A</v>
      </c>
      <c r="L2133" t="e">
        <f ca="1">IF(J2133,Charms!B2133,"")</f>
        <v>#N/A</v>
      </c>
      <c r="M2133" t="str">
        <f t="shared" ca="1" si="167"/>
        <v>-</v>
      </c>
      <c r="N2133" s="18" t="str">
        <f t="shared" si="168"/>
        <v>K1622:L5000</v>
      </c>
      <c r="O2133" t="str">
        <f t="shared" si="169"/>
        <v>A1622:A2133</v>
      </c>
    </row>
    <row r="2134" spans="1:15">
      <c r="A2134" s="18">
        <f>Charms!K2134</f>
        <v>0</v>
      </c>
      <c r="B2134">
        <f>Charms!B2134</f>
        <v>0</v>
      </c>
      <c r="C2134" t="b">
        <f ca="1">OR(Values!$S$98&gt;=Charms!M2134,IFERROR(Charms!J2134=OFFSET(Values!$A$24,MATCH("S",Values!$T$25:$T$50,0),0),FALSE))</f>
        <v>1</v>
      </c>
      <c r="D2134" t="e">
        <f>VLOOKUP(Charms!J2134,Values!$A$11:$S$59,19,0)&gt;=Charms!L2134</f>
        <v>#N/A</v>
      </c>
      <c r="E2134" t="e">
        <f>OR(ISBLANK(Charms!I2134),(VLOOKUP(Values!$S$6,Castes!$B$2:$F$25,4,0)=Charms!I2134))</f>
        <v>#N/A</v>
      </c>
      <c r="J2134" t="e">
        <f t="shared" ca="1" si="166"/>
        <v>#N/A</v>
      </c>
      <c r="K2134" s="18" t="e">
        <f t="shared" ca="1" si="165"/>
        <v>#N/A</v>
      </c>
      <c r="L2134" t="e">
        <f ca="1">IF(J2134,Charms!B2134,"")</f>
        <v>#N/A</v>
      </c>
      <c r="M2134" t="str">
        <f t="shared" ca="1" si="167"/>
        <v>-</v>
      </c>
      <c r="N2134" s="18" t="str">
        <f t="shared" si="168"/>
        <v>K1622:L5000</v>
      </c>
      <c r="O2134" t="str">
        <f t="shared" si="169"/>
        <v>A1622:A2134</v>
      </c>
    </row>
    <row r="2135" spans="1:15">
      <c r="A2135" s="18">
        <f>Charms!K2135</f>
        <v>0</v>
      </c>
      <c r="B2135">
        <f>Charms!B2135</f>
        <v>0</v>
      </c>
      <c r="C2135" t="b">
        <f ca="1">OR(Values!$S$98&gt;=Charms!M2135,IFERROR(Charms!J2135=OFFSET(Values!$A$24,MATCH("S",Values!$T$25:$T$50,0),0),FALSE))</f>
        <v>1</v>
      </c>
      <c r="D2135" t="e">
        <f>VLOOKUP(Charms!J2135,Values!$A$11:$S$59,19,0)&gt;=Charms!L2135</f>
        <v>#N/A</v>
      </c>
      <c r="E2135" t="e">
        <f>OR(ISBLANK(Charms!I2135),(VLOOKUP(Values!$S$6,Castes!$B$2:$F$25,4,0)=Charms!I2135))</f>
        <v>#N/A</v>
      </c>
      <c r="J2135" t="e">
        <f t="shared" ca="1" si="166"/>
        <v>#N/A</v>
      </c>
      <c r="K2135" s="18" t="e">
        <f t="shared" ca="1" si="165"/>
        <v>#N/A</v>
      </c>
      <c r="L2135" t="e">
        <f ca="1">IF(J2135,Charms!B2135,"")</f>
        <v>#N/A</v>
      </c>
      <c r="M2135" t="str">
        <f t="shared" ca="1" si="167"/>
        <v>-</v>
      </c>
      <c r="N2135" s="18" t="str">
        <f t="shared" si="168"/>
        <v>K1622:L5000</v>
      </c>
      <c r="O2135" t="str">
        <f t="shared" si="169"/>
        <v>A1622:A2135</v>
      </c>
    </row>
    <row r="2136" spans="1:15">
      <c r="A2136" s="18">
        <f>Charms!K2136</f>
        <v>0</v>
      </c>
      <c r="B2136">
        <f>Charms!B2136</f>
        <v>0</v>
      </c>
      <c r="C2136" t="b">
        <f ca="1">OR(Values!$S$98&gt;=Charms!M2136,IFERROR(Charms!J2136=OFFSET(Values!$A$24,MATCH("S",Values!$T$25:$T$50,0),0),FALSE))</f>
        <v>1</v>
      </c>
      <c r="D2136" t="e">
        <f>VLOOKUP(Charms!J2136,Values!$A$11:$S$59,19,0)&gt;=Charms!L2136</f>
        <v>#N/A</v>
      </c>
      <c r="E2136" t="e">
        <f>OR(ISBLANK(Charms!I2136),(VLOOKUP(Values!$S$6,Castes!$B$2:$F$25,4,0)=Charms!I2136))</f>
        <v>#N/A</v>
      </c>
      <c r="J2136" t="e">
        <f t="shared" ca="1" si="166"/>
        <v>#N/A</v>
      </c>
      <c r="K2136" s="18" t="e">
        <f t="shared" ca="1" si="165"/>
        <v>#N/A</v>
      </c>
      <c r="L2136" t="e">
        <f ca="1">IF(J2136,Charms!B2136,"")</f>
        <v>#N/A</v>
      </c>
      <c r="M2136" t="str">
        <f t="shared" ca="1" si="167"/>
        <v>-</v>
      </c>
      <c r="N2136" s="18" t="str">
        <f t="shared" si="168"/>
        <v>K1622:L5000</v>
      </c>
      <c r="O2136" t="str">
        <f t="shared" si="169"/>
        <v>A1622:A2136</v>
      </c>
    </row>
    <row r="2137" spans="1:15">
      <c r="A2137" s="18">
        <f>Charms!K2137</f>
        <v>0</v>
      </c>
      <c r="B2137">
        <f>Charms!B2137</f>
        <v>0</v>
      </c>
      <c r="C2137" t="b">
        <f ca="1">OR(Values!$S$98&gt;=Charms!M2137,IFERROR(Charms!J2137=OFFSET(Values!$A$24,MATCH("S",Values!$T$25:$T$50,0),0),FALSE))</f>
        <v>1</v>
      </c>
      <c r="D2137" t="e">
        <f>VLOOKUP(Charms!J2137,Values!$A$11:$S$59,19,0)&gt;=Charms!L2137</f>
        <v>#N/A</v>
      </c>
      <c r="E2137" t="e">
        <f>OR(ISBLANK(Charms!I2137),(VLOOKUP(Values!$S$6,Castes!$B$2:$F$25,4,0)=Charms!I2137))</f>
        <v>#N/A</v>
      </c>
      <c r="J2137" t="e">
        <f t="shared" ca="1" si="166"/>
        <v>#N/A</v>
      </c>
      <c r="K2137" s="18" t="e">
        <f t="shared" ca="1" si="165"/>
        <v>#N/A</v>
      </c>
      <c r="L2137" t="e">
        <f ca="1">IF(J2137,Charms!B2137,"")</f>
        <v>#N/A</v>
      </c>
      <c r="M2137" t="str">
        <f t="shared" ca="1" si="167"/>
        <v>-</v>
      </c>
      <c r="N2137" s="18" t="str">
        <f t="shared" si="168"/>
        <v>K1622:L5000</v>
      </c>
      <c r="O2137" t="str">
        <f t="shared" si="169"/>
        <v>A1622:A2137</v>
      </c>
    </row>
    <row r="2138" spans="1:15">
      <c r="A2138" s="18">
        <f>Charms!K2138</f>
        <v>0</v>
      </c>
      <c r="B2138">
        <f>Charms!B2138</f>
        <v>0</v>
      </c>
      <c r="C2138" t="b">
        <f ca="1">OR(Values!$S$98&gt;=Charms!M2138,IFERROR(Charms!J2138=OFFSET(Values!$A$24,MATCH("S",Values!$T$25:$T$50,0),0),FALSE))</f>
        <v>1</v>
      </c>
      <c r="D2138" t="e">
        <f>VLOOKUP(Charms!J2138,Values!$A$11:$S$59,19,0)&gt;=Charms!L2138</f>
        <v>#N/A</v>
      </c>
      <c r="E2138" t="e">
        <f>OR(ISBLANK(Charms!I2138),(VLOOKUP(Values!$S$6,Castes!$B$2:$F$25,4,0)=Charms!I2138))</f>
        <v>#N/A</v>
      </c>
      <c r="J2138" t="e">
        <f t="shared" ca="1" si="166"/>
        <v>#N/A</v>
      </c>
      <c r="K2138" s="18" t="e">
        <f t="shared" ca="1" si="165"/>
        <v>#N/A</v>
      </c>
      <c r="L2138" t="e">
        <f ca="1">IF(J2138,Charms!B2138,"")</f>
        <v>#N/A</v>
      </c>
      <c r="M2138" t="str">
        <f t="shared" ca="1" si="167"/>
        <v>-</v>
      </c>
      <c r="N2138" s="18" t="str">
        <f t="shared" si="168"/>
        <v>K1622:L5000</v>
      </c>
      <c r="O2138" t="str">
        <f t="shared" si="169"/>
        <v>A1622:A2138</v>
      </c>
    </row>
    <row r="2139" spans="1:15">
      <c r="A2139" s="18">
        <f>Charms!K2139</f>
        <v>0</v>
      </c>
      <c r="B2139">
        <f>Charms!B2139</f>
        <v>0</v>
      </c>
      <c r="C2139" t="b">
        <f ca="1">OR(Values!$S$98&gt;=Charms!M2139,IFERROR(Charms!J2139=OFFSET(Values!$A$24,MATCH("S",Values!$T$25:$T$50,0),0),FALSE))</f>
        <v>1</v>
      </c>
      <c r="D2139" t="e">
        <f>VLOOKUP(Charms!J2139,Values!$A$11:$S$59,19,0)&gt;=Charms!L2139</f>
        <v>#N/A</v>
      </c>
      <c r="E2139" t="e">
        <f>OR(ISBLANK(Charms!I2139),(VLOOKUP(Values!$S$6,Castes!$B$2:$F$25,4,0)=Charms!I2139))</f>
        <v>#N/A</v>
      </c>
      <c r="J2139" t="e">
        <f t="shared" ca="1" si="166"/>
        <v>#N/A</v>
      </c>
      <c r="K2139" s="18" t="e">
        <f t="shared" ca="1" si="165"/>
        <v>#N/A</v>
      </c>
      <c r="L2139" t="e">
        <f ca="1">IF(J2139,Charms!B2139,"")</f>
        <v>#N/A</v>
      </c>
      <c r="M2139" t="str">
        <f t="shared" ca="1" si="167"/>
        <v>-</v>
      </c>
      <c r="N2139" s="18" t="str">
        <f t="shared" si="168"/>
        <v>K1622:L5000</v>
      </c>
      <c r="O2139" t="str">
        <f t="shared" si="169"/>
        <v>A1622:A2139</v>
      </c>
    </row>
    <row r="2140" spans="1:15">
      <c r="A2140" s="18">
        <f>Charms!K2140</f>
        <v>0</v>
      </c>
      <c r="B2140">
        <f>Charms!B2140</f>
        <v>0</v>
      </c>
      <c r="C2140" t="b">
        <f ca="1">OR(Values!$S$98&gt;=Charms!M2140,IFERROR(Charms!J2140=OFFSET(Values!$A$24,MATCH("S",Values!$T$25:$T$50,0),0),FALSE))</f>
        <v>1</v>
      </c>
      <c r="D2140" t="e">
        <f>VLOOKUP(Charms!J2140,Values!$A$11:$S$59,19,0)&gt;=Charms!L2140</f>
        <v>#N/A</v>
      </c>
      <c r="E2140" t="e">
        <f>OR(ISBLANK(Charms!I2140),(VLOOKUP(Values!$S$6,Castes!$B$2:$F$25,4,0)=Charms!I2140))</f>
        <v>#N/A</v>
      </c>
      <c r="J2140" t="e">
        <f t="shared" ca="1" si="166"/>
        <v>#N/A</v>
      </c>
      <c r="K2140" s="18" t="e">
        <f t="shared" ca="1" si="165"/>
        <v>#N/A</v>
      </c>
      <c r="L2140" t="e">
        <f ca="1">IF(J2140,Charms!B2140,"")</f>
        <v>#N/A</v>
      </c>
      <c r="M2140" t="str">
        <f t="shared" ca="1" si="167"/>
        <v>-</v>
      </c>
      <c r="N2140" s="18" t="str">
        <f t="shared" si="168"/>
        <v>K1622:L5000</v>
      </c>
      <c r="O2140" t="str">
        <f t="shared" si="169"/>
        <v>A1622:A2140</v>
      </c>
    </row>
    <row r="2141" spans="1:15">
      <c r="A2141" s="18">
        <f>Charms!K2141</f>
        <v>0</v>
      </c>
      <c r="B2141">
        <f>Charms!B2141</f>
        <v>0</v>
      </c>
      <c r="C2141" t="b">
        <f ca="1">OR(Values!$S$98&gt;=Charms!M2141,IFERROR(Charms!J2141=OFFSET(Values!$A$24,MATCH("S",Values!$T$25:$T$50,0),0),FALSE))</f>
        <v>1</v>
      </c>
      <c r="D2141" t="e">
        <f>VLOOKUP(Charms!J2141,Values!$A$11:$S$59,19,0)&gt;=Charms!L2141</f>
        <v>#N/A</v>
      </c>
      <c r="E2141" t="e">
        <f>OR(ISBLANK(Charms!I2141),(VLOOKUP(Values!$S$6,Castes!$B$2:$F$25,4,0)=Charms!I2141))</f>
        <v>#N/A</v>
      </c>
      <c r="J2141" t="e">
        <f t="shared" ca="1" si="166"/>
        <v>#N/A</v>
      </c>
      <c r="K2141" s="18" t="e">
        <f t="shared" ca="1" si="165"/>
        <v>#N/A</v>
      </c>
      <c r="L2141" t="e">
        <f ca="1">IF(J2141,Charms!B2141,"")</f>
        <v>#N/A</v>
      </c>
      <c r="M2141" t="str">
        <f t="shared" ca="1" si="167"/>
        <v>-</v>
      </c>
      <c r="N2141" s="18" t="str">
        <f t="shared" si="168"/>
        <v>K1622:L5000</v>
      </c>
      <c r="O2141" t="str">
        <f t="shared" si="169"/>
        <v>A1622:A2141</v>
      </c>
    </row>
    <row r="2142" spans="1:15">
      <c r="A2142" s="18">
        <f>Charms!K2142</f>
        <v>0</v>
      </c>
      <c r="B2142">
        <f>Charms!B2142</f>
        <v>0</v>
      </c>
      <c r="C2142" t="b">
        <f ca="1">OR(Values!$S$98&gt;=Charms!M2142,IFERROR(Charms!J2142=OFFSET(Values!$A$24,MATCH("S",Values!$T$25:$T$50,0),0),FALSE))</f>
        <v>1</v>
      </c>
      <c r="D2142" t="e">
        <f>VLOOKUP(Charms!J2142,Values!$A$11:$S$59,19,0)&gt;=Charms!L2142</f>
        <v>#N/A</v>
      </c>
      <c r="E2142" t="e">
        <f>OR(ISBLANK(Charms!I2142),(VLOOKUP(Values!$S$6,Castes!$B$2:$F$25,4,0)=Charms!I2142))</f>
        <v>#N/A</v>
      </c>
      <c r="J2142" t="e">
        <f t="shared" ca="1" si="166"/>
        <v>#N/A</v>
      </c>
      <c r="K2142" s="18" t="e">
        <f t="shared" ca="1" si="165"/>
        <v>#N/A</v>
      </c>
      <c r="L2142" t="e">
        <f ca="1">IF(J2142,Charms!B2142,"")</f>
        <v>#N/A</v>
      </c>
      <c r="M2142" t="str">
        <f t="shared" ca="1" si="167"/>
        <v>-</v>
      </c>
      <c r="N2142" s="18" t="str">
        <f t="shared" si="168"/>
        <v>K1622:L5000</v>
      </c>
      <c r="O2142" t="str">
        <f t="shared" si="169"/>
        <v>A1622:A2142</v>
      </c>
    </row>
    <row r="2143" spans="1:15">
      <c r="A2143" s="18">
        <f>Charms!K2143</f>
        <v>0</v>
      </c>
      <c r="B2143">
        <f>Charms!B2143</f>
        <v>0</v>
      </c>
      <c r="C2143" t="b">
        <f ca="1">OR(Values!$S$98&gt;=Charms!M2143,IFERROR(Charms!J2143=OFFSET(Values!$A$24,MATCH("S",Values!$T$25:$T$50,0),0),FALSE))</f>
        <v>1</v>
      </c>
      <c r="D2143" t="e">
        <f>VLOOKUP(Charms!J2143,Values!$A$11:$S$59,19,0)&gt;=Charms!L2143</f>
        <v>#N/A</v>
      </c>
      <c r="E2143" t="e">
        <f>OR(ISBLANK(Charms!I2143),(VLOOKUP(Values!$S$6,Castes!$B$2:$F$25,4,0)=Charms!I2143))</f>
        <v>#N/A</v>
      </c>
      <c r="J2143" t="e">
        <f t="shared" ca="1" si="166"/>
        <v>#N/A</v>
      </c>
      <c r="K2143" s="18" t="e">
        <f t="shared" ca="1" si="165"/>
        <v>#N/A</v>
      </c>
      <c r="L2143" t="e">
        <f ca="1">IF(J2143,Charms!B2143,"")</f>
        <v>#N/A</v>
      </c>
      <c r="M2143" t="str">
        <f t="shared" ca="1" si="167"/>
        <v>-</v>
      </c>
      <c r="N2143" s="18" t="str">
        <f t="shared" si="168"/>
        <v>K1622:L5000</v>
      </c>
      <c r="O2143" t="str">
        <f t="shared" si="169"/>
        <v>A1622:A2143</v>
      </c>
    </row>
    <row r="2144" spans="1:15">
      <c r="A2144" s="18">
        <f>Charms!K2144</f>
        <v>0</v>
      </c>
      <c r="B2144">
        <f>Charms!B2144</f>
        <v>0</v>
      </c>
      <c r="C2144" t="b">
        <f ca="1">OR(Values!$S$98&gt;=Charms!M2144,IFERROR(Charms!J2144=OFFSET(Values!$A$24,MATCH("S",Values!$T$25:$T$50,0),0),FALSE))</f>
        <v>1</v>
      </c>
      <c r="D2144" t="e">
        <f>VLOOKUP(Charms!J2144,Values!$A$11:$S$59,19,0)&gt;=Charms!L2144</f>
        <v>#N/A</v>
      </c>
      <c r="E2144" t="e">
        <f>OR(ISBLANK(Charms!I2144),(VLOOKUP(Values!$S$6,Castes!$B$2:$F$25,4,0)=Charms!I2144))</f>
        <v>#N/A</v>
      </c>
      <c r="J2144" t="e">
        <f t="shared" ca="1" si="166"/>
        <v>#N/A</v>
      </c>
      <c r="K2144" s="18" t="e">
        <f t="shared" ca="1" si="165"/>
        <v>#N/A</v>
      </c>
      <c r="L2144" t="e">
        <f ca="1">IF(J2144,Charms!B2144,"")</f>
        <v>#N/A</v>
      </c>
      <c r="M2144" t="str">
        <f t="shared" ca="1" si="167"/>
        <v>-</v>
      </c>
      <c r="N2144" s="18" t="str">
        <f t="shared" si="168"/>
        <v>K1622:L5000</v>
      </c>
      <c r="O2144" t="str">
        <f t="shared" si="169"/>
        <v>A1622:A2144</v>
      </c>
    </row>
    <row r="2145" spans="1:15">
      <c r="A2145" s="18">
        <f>Charms!K2145</f>
        <v>0</v>
      </c>
      <c r="B2145">
        <f>Charms!B2145</f>
        <v>0</v>
      </c>
      <c r="C2145" t="b">
        <f ca="1">OR(Values!$S$98&gt;=Charms!M2145,IFERROR(Charms!J2145=OFFSET(Values!$A$24,MATCH("S",Values!$T$25:$T$50,0),0),FALSE))</f>
        <v>1</v>
      </c>
      <c r="D2145" t="e">
        <f>VLOOKUP(Charms!J2145,Values!$A$11:$S$59,19,0)&gt;=Charms!L2145</f>
        <v>#N/A</v>
      </c>
      <c r="E2145" t="e">
        <f>OR(ISBLANK(Charms!I2145),(VLOOKUP(Values!$S$6,Castes!$B$2:$F$25,4,0)=Charms!I2145))</f>
        <v>#N/A</v>
      </c>
      <c r="J2145" t="e">
        <f t="shared" ca="1" si="166"/>
        <v>#N/A</v>
      </c>
      <c r="K2145" s="18" t="e">
        <f t="shared" ca="1" si="165"/>
        <v>#N/A</v>
      </c>
      <c r="L2145" t="e">
        <f ca="1">IF(J2145,Charms!B2145,"")</f>
        <v>#N/A</v>
      </c>
      <c r="M2145" t="str">
        <f t="shared" ca="1" si="167"/>
        <v>-</v>
      </c>
      <c r="N2145" s="18" t="str">
        <f t="shared" si="168"/>
        <v>K1622:L5000</v>
      </c>
      <c r="O2145" t="str">
        <f t="shared" si="169"/>
        <v>A1622:A2145</v>
      </c>
    </row>
    <row r="2146" spans="1:15">
      <c r="A2146" s="18">
        <f>Charms!K2146</f>
        <v>0</v>
      </c>
      <c r="B2146">
        <f>Charms!B2146</f>
        <v>0</v>
      </c>
      <c r="C2146" t="b">
        <f ca="1">OR(Values!$S$98&gt;=Charms!M2146,IFERROR(Charms!J2146=OFFSET(Values!$A$24,MATCH("S",Values!$T$25:$T$50,0),0),FALSE))</f>
        <v>1</v>
      </c>
      <c r="D2146" t="e">
        <f>VLOOKUP(Charms!J2146,Values!$A$11:$S$59,19,0)&gt;=Charms!L2146</f>
        <v>#N/A</v>
      </c>
      <c r="E2146" t="e">
        <f>OR(ISBLANK(Charms!I2146),(VLOOKUP(Values!$S$6,Castes!$B$2:$F$25,4,0)=Charms!I2146))</f>
        <v>#N/A</v>
      </c>
      <c r="J2146" t="e">
        <f t="shared" ca="1" si="166"/>
        <v>#N/A</v>
      </c>
      <c r="K2146" s="18" t="e">
        <f t="shared" ca="1" si="165"/>
        <v>#N/A</v>
      </c>
      <c r="L2146" t="e">
        <f ca="1">IF(J2146,Charms!B2146,"")</f>
        <v>#N/A</v>
      </c>
      <c r="M2146" t="str">
        <f t="shared" ca="1" si="167"/>
        <v>-</v>
      </c>
      <c r="N2146" s="18" t="str">
        <f t="shared" si="168"/>
        <v>K1622:L5000</v>
      </c>
      <c r="O2146" t="str">
        <f t="shared" si="169"/>
        <v>A1622:A2146</v>
      </c>
    </row>
    <row r="2147" spans="1:15">
      <c r="A2147" s="18">
        <f>Charms!K2147</f>
        <v>0</v>
      </c>
      <c r="B2147">
        <f>Charms!B2147</f>
        <v>0</v>
      </c>
      <c r="C2147" t="b">
        <f ca="1">OR(Values!$S$98&gt;=Charms!M2147,IFERROR(Charms!J2147=OFFSET(Values!$A$24,MATCH("S",Values!$T$25:$T$50,0),0),FALSE))</f>
        <v>1</v>
      </c>
      <c r="D2147" t="e">
        <f>VLOOKUP(Charms!J2147,Values!$A$11:$S$59,19,0)&gt;=Charms!L2147</f>
        <v>#N/A</v>
      </c>
      <c r="E2147" t="e">
        <f>OR(ISBLANK(Charms!I2147),(VLOOKUP(Values!$S$6,Castes!$B$2:$F$25,4,0)=Charms!I2147))</f>
        <v>#N/A</v>
      </c>
      <c r="J2147" t="e">
        <f t="shared" ca="1" si="166"/>
        <v>#N/A</v>
      </c>
      <c r="K2147" s="18" t="e">
        <f t="shared" ca="1" si="165"/>
        <v>#N/A</v>
      </c>
      <c r="L2147" t="e">
        <f ca="1">IF(J2147,Charms!B2147,"")</f>
        <v>#N/A</v>
      </c>
      <c r="M2147" t="str">
        <f t="shared" ca="1" si="167"/>
        <v>-</v>
      </c>
      <c r="N2147" s="18" t="str">
        <f t="shared" si="168"/>
        <v>K1622:L5000</v>
      </c>
      <c r="O2147" t="str">
        <f t="shared" si="169"/>
        <v>A1622:A2147</v>
      </c>
    </row>
    <row r="2148" spans="1:15">
      <c r="A2148" s="18">
        <f>Charms!K2148</f>
        <v>0</v>
      </c>
      <c r="B2148">
        <f>Charms!B2148</f>
        <v>0</v>
      </c>
      <c r="C2148" t="b">
        <f ca="1">OR(Values!$S$98&gt;=Charms!M2148,IFERROR(Charms!J2148=OFFSET(Values!$A$24,MATCH("S",Values!$T$25:$T$50,0),0),FALSE))</f>
        <v>1</v>
      </c>
      <c r="D2148" t="e">
        <f>VLOOKUP(Charms!J2148,Values!$A$11:$S$59,19,0)&gt;=Charms!L2148</f>
        <v>#N/A</v>
      </c>
      <c r="E2148" t="e">
        <f>OR(ISBLANK(Charms!I2148),(VLOOKUP(Values!$S$6,Castes!$B$2:$F$25,4,0)=Charms!I2148))</f>
        <v>#N/A</v>
      </c>
      <c r="J2148" t="e">
        <f t="shared" ca="1" si="166"/>
        <v>#N/A</v>
      </c>
      <c r="K2148" s="18" t="e">
        <f t="shared" ca="1" si="165"/>
        <v>#N/A</v>
      </c>
      <c r="L2148" t="e">
        <f ca="1">IF(J2148,Charms!B2148,"")</f>
        <v>#N/A</v>
      </c>
      <c r="M2148" t="str">
        <f t="shared" ca="1" si="167"/>
        <v>-</v>
      </c>
      <c r="N2148" s="18" t="str">
        <f t="shared" si="168"/>
        <v>K1622:L5000</v>
      </c>
      <c r="O2148" t="str">
        <f t="shared" si="169"/>
        <v>A1622:A2148</v>
      </c>
    </row>
    <row r="2149" spans="1:15">
      <c r="A2149" s="18">
        <f>Charms!K2149</f>
        <v>0</v>
      </c>
      <c r="B2149">
        <f>Charms!B2149</f>
        <v>0</v>
      </c>
      <c r="C2149" t="b">
        <f ca="1">OR(Values!$S$98&gt;=Charms!M2149,IFERROR(Charms!J2149=OFFSET(Values!$A$24,MATCH("S",Values!$T$25:$T$50,0),0),FALSE))</f>
        <v>1</v>
      </c>
      <c r="D2149" t="e">
        <f>VLOOKUP(Charms!J2149,Values!$A$11:$S$59,19,0)&gt;=Charms!L2149</f>
        <v>#N/A</v>
      </c>
      <c r="E2149" t="e">
        <f>OR(ISBLANK(Charms!I2149),(VLOOKUP(Values!$S$6,Castes!$B$2:$F$25,4,0)=Charms!I2149))</f>
        <v>#N/A</v>
      </c>
      <c r="J2149" t="e">
        <f t="shared" ca="1" si="166"/>
        <v>#N/A</v>
      </c>
      <c r="K2149" s="18" t="e">
        <f t="shared" ca="1" si="165"/>
        <v>#N/A</v>
      </c>
      <c r="L2149" t="e">
        <f ca="1">IF(J2149,Charms!B2149,"")</f>
        <v>#N/A</v>
      </c>
      <c r="M2149" t="str">
        <f t="shared" ca="1" si="167"/>
        <v>-</v>
      </c>
      <c r="N2149" s="18" t="str">
        <f t="shared" si="168"/>
        <v>K1622:L5000</v>
      </c>
      <c r="O2149" t="str">
        <f t="shared" si="169"/>
        <v>A1622:A2149</v>
      </c>
    </row>
    <row r="2150" spans="1:15">
      <c r="A2150" s="18">
        <f>Charms!K2150</f>
        <v>0</v>
      </c>
      <c r="B2150">
        <f>Charms!B2150</f>
        <v>0</v>
      </c>
      <c r="C2150" t="b">
        <f ca="1">OR(Values!$S$98&gt;=Charms!M2150,IFERROR(Charms!J2150=OFFSET(Values!$A$24,MATCH("S",Values!$T$25:$T$50,0),0),FALSE))</f>
        <v>1</v>
      </c>
      <c r="D2150" t="e">
        <f>VLOOKUP(Charms!J2150,Values!$A$11:$S$59,19,0)&gt;=Charms!L2150</f>
        <v>#N/A</v>
      </c>
      <c r="E2150" t="e">
        <f>OR(ISBLANK(Charms!I2150),(VLOOKUP(Values!$S$6,Castes!$B$2:$F$25,4,0)=Charms!I2150))</f>
        <v>#N/A</v>
      </c>
      <c r="J2150" t="e">
        <f t="shared" ca="1" si="166"/>
        <v>#N/A</v>
      </c>
      <c r="K2150" s="18" t="e">
        <f t="shared" ca="1" si="165"/>
        <v>#N/A</v>
      </c>
      <c r="L2150" t="e">
        <f ca="1">IF(J2150,Charms!B2150,"")</f>
        <v>#N/A</v>
      </c>
      <c r="M2150" t="str">
        <f t="shared" ca="1" si="167"/>
        <v>-</v>
      </c>
      <c r="N2150" s="18" t="str">
        <f t="shared" si="168"/>
        <v>K1622:L5000</v>
      </c>
      <c r="O2150" t="str">
        <f t="shared" si="169"/>
        <v>A1622:A2150</v>
      </c>
    </row>
    <row r="2151" spans="1:15">
      <c r="A2151" s="18">
        <f>Charms!K2151</f>
        <v>0</v>
      </c>
      <c r="B2151">
        <f>Charms!B2151</f>
        <v>0</v>
      </c>
      <c r="C2151" t="b">
        <f ca="1">OR(Values!$S$98&gt;=Charms!M2151,IFERROR(Charms!J2151=OFFSET(Values!$A$24,MATCH("S",Values!$T$25:$T$50,0),0),FALSE))</f>
        <v>1</v>
      </c>
      <c r="D2151" t="e">
        <f>VLOOKUP(Charms!J2151,Values!$A$11:$S$59,19,0)&gt;=Charms!L2151</f>
        <v>#N/A</v>
      </c>
      <c r="E2151" t="e">
        <f>OR(ISBLANK(Charms!I2151),(VLOOKUP(Values!$S$6,Castes!$B$2:$F$25,4,0)=Charms!I2151))</f>
        <v>#N/A</v>
      </c>
      <c r="J2151" t="e">
        <f t="shared" ca="1" si="166"/>
        <v>#N/A</v>
      </c>
      <c r="K2151" s="18" t="e">
        <f t="shared" ca="1" si="165"/>
        <v>#N/A</v>
      </c>
      <c r="L2151" t="e">
        <f ca="1">IF(J2151,Charms!B2151,"")</f>
        <v>#N/A</v>
      </c>
      <c r="M2151" t="str">
        <f t="shared" ca="1" si="167"/>
        <v>-</v>
      </c>
      <c r="N2151" s="18" t="str">
        <f t="shared" si="168"/>
        <v>K1622:L5000</v>
      </c>
      <c r="O2151" t="str">
        <f t="shared" si="169"/>
        <v>A1622:A2151</v>
      </c>
    </row>
    <row r="2152" spans="1:15">
      <c r="A2152" s="18">
        <f>Charms!K2152</f>
        <v>0</v>
      </c>
      <c r="B2152">
        <f>Charms!B2152</f>
        <v>0</v>
      </c>
      <c r="C2152" t="b">
        <f ca="1">OR(Values!$S$98&gt;=Charms!M2152,IFERROR(Charms!J2152=OFFSET(Values!$A$24,MATCH("S",Values!$T$25:$T$50,0),0),FALSE))</f>
        <v>1</v>
      </c>
      <c r="D2152" t="e">
        <f>VLOOKUP(Charms!J2152,Values!$A$11:$S$59,19,0)&gt;=Charms!L2152</f>
        <v>#N/A</v>
      </c>
      <c r="E2152" t="e">
        <f>OR(ISBLANK(Charms!I2152),(VLOOKUP(Values!$S$6,Castes!$B$2:$F$25,4,0)=Charms!I2152))</f>
        <v>#N/A</v>
      </c>
      <c r="J2152" t="e">
        <f t="shared" ca="1" si="166"/>
        <v>#N/A</v>
      </c>
      <c r="K2152" s="18" t="e">
        <f t="shared" ca="1" si="165"/>
        <v>#N/A</v>
      </c>
      <c r="L2152" t="e">
        <f ca="1">IF(J2152,Charms!B2152,"")</f>
        <v>#N/A</v>
      </c>
      <c r="M2152" t="str">
        <f t="shared" ca="1" si="167"/>
        <v>-</v>
      </c>
      <c r="N2152" s="18" t="str">
        <f t="shared" si="168"/>
        <v>K1622:L5000</v>
      </c>
      <c r="O2152" t="str">
        <f t="shared" si="169"/>
        <v>A1622:A2152</v>
      </c>
    </row>
    <row r="2153" spans="1:15">
      <c r="A2153" s="18">
        <f>Charms!K2153</f>
        <v>0</v>
      </c>
      <c r="B2153">
        <f>Charms!B2153</f>
        <v>0</v>
      </c>
      <c r="C2153" t="b">
        <f ca="1">OR(Values!$S$98&gt;=Charms!M2153,IFERROR(Charms!J2153=OFFSET(Values!$A$24,MATCH("S",Values!$T$25:$T$50,0),0),FALSE))</f>
        <v>1</v>
      </c>
      <c r="D2153" t="e">
        <f>VLOOKUP(Charms!J2153,Values!$A$11:$S$59,19,0)&gt;=Charms!L2153</f>
        <v>#N/A</v>
      </c>
      <c r="E2153" t="e">
        <f>OR(ISBLANK(Charms!I2153),(VLOOKUP(Values!$S$6,Castes!$B$2:$F$25,4,0)=Charms!I2153))</f>
        <v>#N/A</v>
      </c>
      <c r="J2153" t="e">
        <f t="shared" ca="1" si="166"/>
        <v>#N/A</v>
      </c>
      <c r="K2153" s="18" t="e">
        <f t="shared" ca="1" si="165"/>
        <v>#N/A</v>
      </c>
      <c r="L2153" t="e">
        <f ca="1">IF(J2153,Charms!B2153,"")</f>
        <v>#N/A</v>
      </c>
      <c r="M2153" t="str">
        <f t="shared" ca="1" si="167"/>
        <v>-</v>
      </c>
      <c r="N2153" s="18" t="str">
        <f t="shared" si="168"/>
        <v>K1622:L5000</v>
      </c>
      <c r="O2153" t="str">
        <f t="shared" si="169"/>
        <v>A1622:A2153</v>
      </c>
    </row>
    <row r="2154" spans="1:15">
      <c r="A2154" s="18">
        <f>Charms!K2154</f>
        <v>0</v>
      </c>
      <c r="B2154">
        <f>Charms!B2154</f>
        <v>0</v>
      </c>
      <c r="C2154" t="b">
        <f ca="1">OR(Values!$S$98&gt;=Charms!M2154,IFERROR(Charms!J2154=OFFSET(Values!$A$24,MATCH("S",Values!$T$25:$T$50,0),0),FALSE))</f>
        <v>1</v>
      </c>
      <c r="D2154" t="e">
        <f>VLOOKUP(Charms!J2154,Values!$A$11:$S$59,19,0)&gt;=Charms!L2154</f>
        <v>#N/A</v>
      </c>
      <c r="E2154" t="e">
        <f>OR(ISBLANK(Charms!I2154),(VLOOKUP(Values!$S$6,Castes!$B$2:$F$25,4,0)=Charms!I2154))</f>
        <v>#N/A</v>
      </c>
      <c r="J2154" t="e">
        <f t="shared" ca="1" si="166"/>
        <v>#N/A</v>
      </c>
      <c r="K2154" s="18" t="e">
        <f t="shared" ca="1" si="165"/>
        <v>#N/A</v>
      </c>
      <c r="L2154" t="e">
        <f ca="1">IF(J2154,Charms!B2154,"")</f>
        <v>#N/A</v>
      </c>
      <c r="M2154" t="str">
        <f t="shared" ca="1" si="167"/>
        <v>-</v>
      </c>
      <c r="N2154" s="18" t="str">
        <f t="shared" si="168"/>
        <v>K1622:L5000</v>
      </c>
      <c r="O2154" t="str">
        <f t="shared" si="169"/>
        <v>A1622:A2154</v>
      </c>
    </row>
    <row r="2155" spans="1:15">
      <c r="A2155" s="18">
        <f>Charms!K2155</f>
        <v>0</v>
      </c>
      <c r="B2155">
        <f>Charms!B2155</f>
        <v>0</v>
      </c>
      <c r="C2155" t="b">
        <f ca="1">OR(Values!$S$98&gt;=Charms!M2155,IFERROR(Charms!J2155=OFFSET(Values!$A$24,MATCH("S",Values!$T$25:$T$50,0),0),FALSE))</f>
        <v>1</v>
      </c>
      <c r="D2155" t="e">
        <f>VLOOKUP(Charms!J2155,Values!$A$11:$S$59,19,0)&gt;=Charms!L2155</f>
        <v>#N/A</v>
      </c>
      <c r="E2155" t="e">
        <f>OR(ISBLANK(Charms!I2155),(VLOOKUP(Values!$S$6,Castes!$B$2:$F$25,4,0)=Charms!I2155))</f>
        <v>#N/A</v>
      </c>
      <c r="J2155" t="e">
        <f t="shared" ca="1" si="166"/>
        <v>#N/A</v>
      </c>
      <c r="K2155" s="18" t="e">
        <f t="shared" ca="1" si="165"/>
        <v>#N/A</v>
      </c>
      <c r="L2155" t="e">
        <f ca="1">IF(J2155,Charms!B2155,"")</f>
        <v>#N/A</v>
      </c>
      <c r="M2155" t="str">
        <f t="shared" ca="1" si="167"/>
        <v>-</v>
      </c>
      <c r="N2155" s="18" t="str">
        <f t="shared" si="168"/>
        <v>K1622:L5000</v>
      </c>
      <c r="O2155" t="str">
        <f t="shared" si="169"/>
        <v>A1622:A2155</v>
      </c>
    </row>
    <row r="2156" spans="1:15">
      <c r="A2156" s="18">
        <f>Charms!K2156</f>
        <v>0</v>
      </c>
      <c r="B2156">
        <f>Charms!B2156</f>
        <v>0</v>
      </c>
      <c r="C2156" t="b">
        <f ca="1">OR(Values!$S$98&gt;=Charms!M2156,IFERROR(Charms!J2156=OFFSET(Values!$A$24,MATCH("S",Values!$T$25:$T$50,0),0),FALSE))</f>
        <v>1</v>
      </c>
      <c r="D2156" t="e">
        <f>VLOOKUP(Charms!J2156,Values!$A$11:$S$59,19,0)&gt;=Charms!L2156</f>
        <v>#N/A</v>
      </c>
      <c r="E2156" t="e">
        <f>OR(ISBLANK(Charms!I2156),(VLOOKUP(Values!$S$6,Castes!$B$2:$F$25,4,0)=Charms!I2156))</f>
        <v>#N/A</v>
      </c>
      <c r="J2156" t="e">
        <f t="shared" ca="1" si="166"/>
        <v>#N/A</v>
      </c>
      <c r="K2156" s="18" t="e">
        <f t="shared" ca="1" si="165"/>
        <v>#N/A</v>
      </c>
      <c r="L2156" t="e">
        <f ca="1">IF(J2156,Charms!B2156,"")</f>
        <v>#N/A</v>
      </c>
      <c r="M2156" t="str">
        <f t="shared" ca="1" si="167"/>
        <v>-</v>
      </c>
      <c r="N2156" s="18" t="str">
        <f t="shared" si="168"/>
        <v>K1622:L5000</v>
      </c>
      <c r="O2156" t="str">
        <f t="shared" si="169"/>
        <v>A1622:A2156</v>
      </c>
    </row>
    <row r="2157" spans="1:15">
      <c r="A2157" s="18">
        <f>Charms!K2157</f>
        <v>0</v>
      </c>
      <c r="B2157">
        <f>Charms!B2157</f>
        <v>0</v>
      </c>
      <c r="C2157" t="b">
        <f ca="1">OR(Values!$S$98&gt;=Charms!M2157,IFERROR(Charms!J2157=OFFSET(Values!$A$24,MATCH("S",Values!$T$25:$T$50,0),0),FALSE))</f>
        <v>1</v>
      </c>
      <c r="D2157" t="e">
        <f>VLOOKUP(Charms!J2157,Values!$A$11:$S$59,19,0)&gt;=Charms!L2157</f>
        <v>#N/A</v>
      </c>
      <c r="E2157" t="e">
        <f>OR(ISBLANK(Charms!I2157),(VLOOKUP(Values!$S$6,Castes!$B$2:$F$25,4,0)=Charms!I2157))</f>
        <v>#N/A</v>
      </c>
      <c r="J2157" t="e">
        <f t="shared" ca="1" si="166"/>
        <v>#N/A</v>
      </c>
      <c r="K2157" s="18" t="e">
        <f t="shared" ca="1" si="165"/>
        <v>#N/A</v>
      </c>
      <c r="L2157" t="e">
        <f ca="1">IF(J2157,Charms!B2157,"")</f>
        <v>#N/A</v>
      </c>
      <c r="M2157" t="str">
        <f t="shared" ca="1" si="167"/>
        <v>-</v>
      </c>
      <c r="N2157" s="18" t="str">
        <f t="shared" si="168"/>
        <v>K1622:L5000</v>
      </c>
      <c r="O2157" t="str">
        <f t="shared" si="169"/>
        <v>A1622:A2157</v>
      </c>
    </row>
    <row r="2158" spans="1:15">
      <c r="A2158" s="18">
        <f>Charms!K2158</f>
        <v>0</v>
      </c>
      <c r="B2158">
        <f>Charms!B2158</f>
        <v>0</v>
      </c>
      <c r="C2158" t="b">
        <f ca="1">OR(Values!$S$98&gt;=Charms!M2158,IFERROR(Charms!J2158=OFFSET(Values!$A$24,MATCH("S",Values!$T$25:$T$50,0),0),FALSE))</f>
        <v>1</v>
      </c>
      <c r="D2158" t="e">
        <f>VLOOKUP(Charms!J2158,Values!$A$11:$S$59,19,0)&gt;=Charms!L2158</f>
        <v>#N/A</v>
      </c>
      <c r="E2158" t="e">
        <f>OR(ISBLANK(Charms!I2158),(VLOOKUP(Values!$S$6,Castes!$B$2:$F$25,4,0)=Charms!I2158))</f>
        <v>#N/A</v>
      </c>
      <c r="J2158" t="e">
        <f t="shared" ca="1" si="166"/>
        <v>#N/A</v>
      </c>
      <c r="K2158" s="18" t="e">
        <f t="shared" ca="1" si="165"/>
        <v>#N/A</v>
      </c>
      <c r="L2158" t="e">
        <f ca="1">IF(J2158,Charms!B2158,"")</f>
        <v>#N/A</v>
      </c>
      <c r="M2158" t="str">
        <f t="shared" ca="1" si="167"/>
        <v>-</v>
      </c>
      <c r="N2158" s="18" t="str">
        <f t="shared" si="168"/>
        <v>K1622:L5000</v>
      </c>
      <c r="O2158" t="str">
        <f t="shared" si="169"/>
        <v>A1622:A2158</v>
      </c>
    </row>
    <row r="2159" spans="1:15">
      <c r="A2159" s="18">
        <f>Charms!K2159</f>
        <v>0</v>
      </c>
      <c r="B2159">
        <f>Charms!B2159</f>
        <v>0</v>
      </c>
      <c r="C2159" t="b">
        <f ca="1">OR(Values!$S$98&gt;=Charms!M2159,IFERROR(Charms!J2159=OFFSET(Values!$A$24,MATCH("S",Values!$T$25:$T$50,0),0),FALSE))</f>
        <v>1</v>
      </c>
      <c r="D2159" t="e">
        <f>VLOOKUP(Charms!J2159,Values!$A$11:$S$59,19,0)&gt;=Charms!L2159</f>
        <v>#N/A</v>
      </c>
      <c r="E2159" t="e">
        <f>OR(ISBLANK(Charms!I2159),(VLOOKUP(Values!$S$6,Castes!$B$2:$F$25,4,0)=Charms!I2159))</f>
        <v>#N/A</v>
      </c>
      <c r="J2159" t="e">
        <f t="shared" ca="1" si="166"/>
        <v>#N/A</v>
      </c>
      <c r="K2159" s="18" t="e">
        <f t="shared" ca="1" si="165"/>
        <v>#N/A</v>
      </c>
      <c r="L2159" t="e">
        <f ca="1">IF(J2159,Charms!B2159,"")</f>
        <v>#N/A</v>
      </c>
      <c r="M2159" t="str">
        <f t="shared" ca="1" si="167"/>
        <v>-</v>
      </c>
      <c r="N2159" s="18" t="str">
        <f t="shared" si="168"/>
        <v>K1622:L5000</v>
      </c>
      <c r="O2159" t="str">
        <f t="shared" si="169"/>
        <v>A1622:A2159</v>
      </c>
    </row>
    <row r="2160" spans="1:15">
      <c r="A2160" s="18">
        <f>Charms!K2160</f>
        <v>0</v>
      </c>
      <c r="B2160">
        <f>Charms!B2160</f>
        <v>0</v>
      </c>
      <c r="C2160" t="b">
        <f ca="1">OR(Values!$S$98&gt;=Charms!M2160,IFERROR(Charms!J2160=OFFSET(Values!$A$24,MATCH("S",Values!$T$25:$T$50,0),0),FALSE))</f>
        <v>1</v>
      </c>
      <c r="D2160" t="e">
        <f>VLOOKUP(Charms!J2160,Values!$A$11:$S$59,19,0)&gt;=Charms!L2160</f>
        <v>#N/A</v>
      </c>
      <c r="E2160" t="e">
        <f>OR(ISBLANK(Charms!I2160),(VLOOKUP(Values!$S$6,Castes!$B$2:$F$25,4,0)=Charms!I2160))</f>
        <v>#N/A</v>
      </c>
      <c r="J2160" t="e">
        <f t="shared" ca="1" si="166"/>
        <v>#N/A</v>
      </c>
      <c r="K2160" s="18" t="e">
        <f t="shared" ca="1" si="165"/>
        <v>#N/A</v>
      </c>
      <c r="L2160" t="e">
        <f ca="1">IF(J2160,Charms!B2160,"")</f>
        <v>#N/A</v>
      </c>
      <c r="M2160" t="str">
        <f t="shared" ca="1" si="167"/>
        <v>-</v>
      </c>
      <c r="N2160" s="18" t="str">
        <f t="shared" si="168"/>
        <v>K1622:L5000</v>
      </c>
      <c r="O2160" t="str">
        <f t="shared" si="169"/>
        <v>A1622:A2160</v>
      </c>
    </row>
    <row r="2161" spans="1:15">
      <c r="A2161" s="18">
        <f>Charms!K2161</f>
        <v>0</v>
      </c>
      <c r="B2161">
        <f>Charms!B2161</f>
        <v>0</v>
      </c>
      <c r="C2161" t="b">
        <f ca="1">OR(Values!$S$98&gt;=Charms!M2161,IFERROR(Charms!J2161=OFFSET(Values!$A$24,MATCH("S",Values!$T$25:$T$50,0),0),FALSE))</f>
        <v>1</v>
      </c>
      <c r="D2161" t="e">
        <f>VLOOKUP(Charms!J2161,Values!$A$11:$S$59,19,0)&gt;=Charms!L2161</f>
        <v>#N/A</v>
      </c>
      <c r="E2161" t="e">
        <f>OR(ISBLANK(Charms!I2161),(VLOOKUP(Values!$S$6,Castes!$B$2:$F$25,4,0)=Charms!I2161))</f>
        <v>#N/A</v>
      </c>
      <c r="J2161" t="e">
        <f t="shared" ca="1" si="166"/>
        <v>#N/A</v>
      </c>
      <c r="K2161" s="18" t="e">
        <f t="shared" ca="1" si="165"/>
        <v>#N/A</v>
      </c>
      <c r="L2161" t="e">
        <f ca="1">IF(J2161,Charms!B2161,"")</f>
        <v>#N/A</v>
      </c>
      <c r="M2161" t="str">
        <f t="shared" ca="1" si="167"/>
        <v>-</v>
      </c>
      <c r="N2161" s="18" t="str">
        <f t="shared" si="168"/>
        <v>K1622:L5000</v>
      </c>
      <c r="O2161" t="str">
        <f t="shared" si="169"/>
        <v>A1622:A2161</v>
      </c>
    </row>
    <row r="2162" spans="1:15">
      <c r="A2162" s="18">
        <f>Charms!K2162</f>
        <v>0</v>
      </c>
      <c r="B2162">
        <f>Charms!B2162</f>
        <v>0</v>
      </c>
      <c r="C2162" t="b">
        <f ca="1">OR(Values!$S$98&gt;=Charms!M2162,IFERROR(Charms!J2162=OFFSET(Values!$A$24,MATCH("S",Values!$T$25:$T$50,0),0),FALSE))</f>
        <v>1</v>
      </c>
      <c r="D2162" t="e">
        <f>VLOOKUP(Charms!J2162,Values!$A$11:$S$59,19,0)&gt;=Charms!L2162</f>
        <v>#N/A</v>
      </c>
      <c r="E2162" t="e">
        <f>OR(ISBLANK(Charms!I2162),(VLOOKUP(Values!$S$6,Castes!$B$2:$F$25,4,0)=Charms!I2162))</f>
        <v>#N/A</v>
      </c>
      <c r="J2162" t="e">
        <f t="shared" ca="1" si="166"/>
        <v>#N/A</v>
      </c>
      <c r="K2162" s="18" t="e">
        <f t="shared" ca="1" si="165"/>
        <v>#N/A</v>
      </c>
      <c r="L2162" t="e">
        <f ca="1">IF(J2162,Charms!B2162,"")</f>
        <v>#N/A</v>
      </c>
      <c r="M2162" t="str">
        <f t="shared" ca="1" si="167"/>
        <v>-</v>
      </c>
      <c r="N2162" s="18" t="str">
        <f t="shared" si="168"/>
        <v>K1622:L5000</v>
      </c>
      <c r="O2162" t="str">
        <f t="shared" si="169"/>
        <v>A1622:A2162</v>
      </c>
    </row>
    <row r="2163" spans="1:15">
      <c r="A2163" s="18">
        <f>Charms!K2163</f>
        <v>0</v>
      </c>
      <c r="B2163">
        <f>Charms!B2163</f>
        <v>0</v>
      </c>
      <c r="C2163" t="b">
        <f ca="1">OR(Values!$S$98&gt;=Charms!M2163,IFERROR(Charms!J2163=OFFSET(Values!$A$24,MATCH("S",Values!$T$25:$T$50,0),0),FALSE))</f>
        <v>1</v>
      </c>
      <c r="D2163" t="e">
        <f>VLOOKUP(Charms!J2163,Values!$A$11:$S$59,19,0)&gt;=Charms!L2163</f>
        <v>#N/A</v>
      </c>
      <c r="E2163" t="e">
        <f>OR(ISBLANK(Charms!I2163),(VLOOKUP(Values!$S$6,Castes!$B$2:$F$25,4,0)=Charms!I2163))</f>
        <v>#N/A</v>
      </c>
      <c r="J2163" t="e">
        <f t="shared" ca="1" si="166"/>
        <v>#N/A</v>
      </c>
      <c r="K2163" s="18" t="e">
        <f t="shared" ca="1" si="165"/>
        <v>#N/A</v>
      </c>
      <c r="L2163" t="e">
        <f ca="1">IF(J2163,Charms!B2163,"")</f>
        <v>#N/A</v>
      </c>
      <c r="M2163" t="str">
        <f t="shared" ca="1" si="167"/>
        <v>-</v>
      </c>
      <c r="N2163" s="18" t="str">
        <f t="shared" si="168"/>
        <v>K1622:L5000</v>
      </c>
      <c r="O2163" t="str">
        <f t="shared" si="169"/>
        <v>A1622:A2163</v>
      </c>
    </row>
    <row r="2164" spans="1:15">
      <c r="A2164" s="18">
        <f>Charms!K2164</f>
        <v>0</v>
      </c>
      <c r="B2164">
        <f>Charms!B2164</f>
        <v>0</v>
      </c>
      <c r="C2164" t="b">
        <f ca="1">OR(Values!$S$98&gt;=Charms!M2164,IFERROR(Charms!J2164=OFFSET(Values!$A$24,MATCH("S",Values!$T$25:$T$50,0),0),FALSE))</f>
        <v>1</v>
      </c>
      <c r="D2164" t="e">
        <f>VLOOKUP(Charms!J2164,Values!$A$11:$S$59,19,0)&gt;=Charms!L2164</f>
        <v>#N/A</v>
      </c>
      <c r="E2164" t="e">
        <f>OR(ISBLANK(Charms!I2164),(VLOOKUP(Values!$S$6,Castes!$B$2:$F$25,4,0)=Charms!I2164))</f>
        <v>#N/A</v>
      </c>
      <c r="J2164" t="e">
        <f t="shared" ca="1" si="166"/>
        <v>#N/A</v>
      </c>
      <c r="K2164" s="18" t="e">
        <f t="shared" ca="1" si="165"/>
        <v>#N/A</v>
      </c>
      <c r="L2164" t="e">
        <f ca="1">IF(J2164,Charms!B2164,"")</f>
        <v>#N/A</v>
      </c>
      <c r="M2164" t="str">
        <f t="shared" ca="1" si="167"/>
        <v>-</v>
      </c>
      <c r="N2164" s="18" t="str">
        <f t="shared" si="168"/>
        <v>K1622:L5000</v>
      </c>
      <c r="O2164" t="str">
        <f t="shared" si="169"/>
        <v>A1622:A2164</v>
      </c>
    </row>
    <row r="2165" spans="1:15">
      <c r="A2165" s="18">
        <f>Charms!K2165</f>
        <v>0</v>
      </c>
      <c r="B2165">
        <f>Charms!B2165</f>
        <v>0</v>
      </c>
      <c r="C2165" t="b">
        <f ca="1">OR(Values!$S$98&gt;=Charms!M2165,IFERROR(Charms!J2165=OFFSET(Values!$A$24,MATCH("S",Values!$T$25:$T$50,0),0),FALSE))</f>
        <v>1</v>
      </c>
      <c r="D2165" t="e">
        <f>VLOOKUP(Charms!J2165,Values!$A$11:$S$59,19,0)&gt;=Charms!L2165</f>
        <v>#N/A</v>
      </c>
      <c r="E2165" t="e">
        <f>OR(ISBLANK(Charms!I2165),(VLOOKUP(Values!$S$6,Castes!$B$2:$F$25,4,0)=Charms!I2165))</f>
        <v>#N/A</v>
      </c>
      <c r="J2165" t="e">
        <f t="shared" ca="1" si="166"/>
        <v>#N/A</v>
      </c>
      <c r="K2165" s="18" t="e">
        <f t="shared" ca="1" si="165"/>
        <v>#N/A</v>
      </c>
      <c r="L2165" t="e">
        <f ca="1">IF(J2165,Charms!B2165,"")</f>
        <v>#N/A</v>
      </c>
      <c r="M2165" t="str">
        <f t="shared" ca="1" si="167"/>
        <v>-</v>
      </c>
      <c r="N2165" s="18" t="str">
        <f t="shared" si="168"/>
        <v>K1622:L5000</v>
      </c>
      <c r="O2165" t="str">
        <f t="shared" si="169"/>
        <v>A1622:A2165</v>
      </c>
    </row>
    <row r="2166" spans="1:15">
      <c r="A2166" s="18">
        <f>Charms!K2166</f>
        <v>0</v>
      </c>
      <c r="B2166">
        <f>Charms!B2166</f>
        <v>0</v>
      </c>
      <c r="C2166" t="b">
        <f ca="1">OR(Values!$S$98&gt;=Charms!M2166,IFERROR(Charms!J2166=OFFSET(Values!$A$24,MATCH("S",Values!$T$25:$T$50,0),0),FALSE))</f>
        <v>1</v>
      </c>
      <c r="D2166" t="e">
        <f>VLOOKUP(Charms!J2166,Values!$A$11:$S$59,19,0)&gt;=Charms!L2166</f>
        <v>#N/A</v>
      </c>
      <c r="E2166" t="e">
        <f>OR(ISBLANK(Charms!I2166),(VLOOKUP(Values!$S$6,Castes!$B$2:$F$25,4,0)=Charms!I2166))</f>
        <v>#N/A</v>
      </c>
      <c r="J2166" t="e">
        <f t="shared" ca="1" si="166"/>
        <v>#N/A</v>
      </c>
      <c r="K2166" s="18" t="e">
        <f t="shared" ca="1" si="165"/>
        <v>#N/A</v>
      </c>
      <c r="L2166" t="e">
        <f ca="1">IF(J2166,Charms!B2166,"")</f>
        <v>#N/A</v>
      </c>
      <c r="M2166" t="str">
        <f t="shared" ca="1" si="167"/>
        <v>-</v>
      </c>
      <c r="N2166" s="18" t="str">
        <f t="shared" si="168"/>
        <v>K1622:L5000</v>
      </c>
      <c r="O2166" t="str">
        <f t="shared" si="169"/>
        <v>A1622:A2166</v>
      </c>
    </row>
    <row r="2167" spans="1:15">
      <c r="A2167" s="18">
        <f>Charms!K2167</f>
        <v>0</v>
      </c>
      <c r="B2167">
        <f>Charms!B2167</f>
        <v>0</v>
      </c>
      <c r="C2167" t="b">
        <f ca="1">OR(Values!$S$98&gt;=Charms!M2167,IFERROR(Charms!J2167=OFFSET(Values!$A$24,MATCH("S",Values!$T$25:$T$50,0),0),FALSE))</f>
        <v>1</v>
      </c>
      <c r="D2167" t="e">
        <f>VLOOKUP(Charms!J2167,Values!$A$11:$S$59,19,0)&gt;=Charms!L2167</f>
        <v>#N/A</v>
      </c>
      <c r="E2167" t="e">
        <f>OR(ISBLANK(Charms!I2167),(VLOOKUP(Values!$S$6,Castes!$B$2:$F$25,4,0)=Charms!I2167))</f>
        <v>#N/A</v>
      </c>
      <c r="J2167" t="e">
        <f t="shared" ca="1" si="166"/>
        <v>#N/A</v>
      </c>
      <c r="K2167" s="18" t="e">
        <f t="shared" ca="1" si="165"/>
        <v>#N/A</v>
      </c>
      <c r="L2167" t="e">
        <f ca="1">IF(J2167,Charms!B2167,"")</f>
        <v>#N/A</v>
      </c>
      <c r="M2167" t="str">
        <f t="shared" ca="1" si="167"/>
        <v>-</v>
      </c>
      <c r="N2167" s="18" t="str">
        <f t="shared" si="168"/>
        <v>K1622:L5000</v>
      </c>
      <c r="O2167" t="str">
        <f t="shared" si="169"/>
        <v>A1622:A2167</v>
      </c>
    </row>
    <row r="2168" spans="1:15">
      <c r="A2168" s="18">
        <f>Charms!K2168</f>
        <v>0</v>
      </c>
      <c r="B2168">
        <f>Charms!B2168</f>
        <v>0</v>
      </c>
      <c r="C2168" t="b">
        <f ca="1">OR(Values!$S$98&gt;=Charms!M2168,IFERROR(Charms!J2168=OFFSET(Values!$A$24,MATCH("S",Values!$T$25:$T$50,0),0),FALSE))</f>
        <v>1</v>
      </c>
      <c r="D2168" t="e">
        <f>VLOOKUP(Charms!J2168,Values!$A$11:$S$59,19,0)&gt;=Charms!L2168</f>
        <v>#N/A</v>
      </c>
      <c r="E2168" t="e">
        <f>OR(ISBLANK(Charms!I2168),(VLOOKUP(Values!$S$6,Castes!$B$2:$F$25,4,0)=Charms!I2168))</f>
        <v>#N/A</v>
      </c>
      <c r="J2168" t="e">
        <f t="shared" ca="1" si="166"/>
        <v>#N/A</v>
      </c>
      <c r="K2168" s="18" t="e">
        <f t="shared" ca="1" si="165"/>
        <v>#N/A</v>
      </c>
      <c r="L2168" t="e">
        <f ca="1">IF(J2168,Charms!B2168,"")</f>
        <v>#N/A</v>
      </c>
      <c r="M2168" t="str">
        <f t="shared" ca="1" si="167"/>
        <v>-</v>
      </c>
      <c r="N2168" s="18" t="str">
        <f t="shared" si="168"/>
        <v>K1622:L5000</v>
      </c>
      <c r="O2168" t="str">
        <f t="shared" si="169"/>
        <v>A1622:A2168</v>
      </c>
    </row>
    <row r="2169" spans="1:15">
      <c r="A2169" s="18">
        <f>Charms!K2169</f>
        <v>0</v>
      </c>
      <c r="B2169">
        <f>Charms!B2169</f>
        <v>0</v>
      </c>
      <c r="C2169" t="b">
        <f ca="1">OR(Values!$S$98&gt;=Charms!M2169,IFERROR(Charms!J2169=OFFSET(Values!$A$24,MATCH("S",Values!$T$25:$T$50,0),0),FALSE))</f>
        <v>1</v>
      </c>
      <c r="D2169" t="e">
        <f>VLOOKUP(Charms!J2169,Values!$A$11:$S$59,19,0)&gt;=Charms!L2169</f>
        <v>#N/A</v>
      </c>
      <c r="E2169" t="e">
        <f>OR(ISBLANK(Charms!I2169),(VLOOKUP(Values!$S$6,Castes!$B$2:$F$25,4,0)=Charms!I2169))</f>
        <v>#N/A</v>
      </c>
      <c r="J2169" t="e">
        <f t="shared" ca="1" si="166"/>
        <v>#N/A</v>
      </c>
      <c r="K2169" s="18" t="e">
        <f t="shared" ca="1" si="165"/>
        <v>#N/A</v>
      </c>
      <c r="L2169" t="e">
        <f ca="1">IF(J2169,Charms!B2169,"")</f>
        <v>#N/A</v>
      </c>
      <c r="M2169" t="str">
        <f t="shared" ca="1" si="167"/>
        <v>-</v>
      </c>
      <c r="N2169" s="18" t="str">
        <f t="shared" si="168"/>
        <v>K1622:L5000</v>
      </c>
      <c r="O2169" t="str">
        <f t="shared" si="169"/>
        <v>A1622:A2169</v>
      </c>
    </row>
    <row r="2170" spans="1:15">
      <c r="A2170" s="18">
        <f>Charms!K2170</f>
        <v>0</v>
      </c>
      <c r="B2170">
        <f>Charms!B2170</f>
        <v>0</v>
      </c>
      <c r="C2170" t="b">
        <f ca="1">OR(Values!$S$98&gt;=Charms!M2170,IFERROR(Charms!J2170=OFFSET(Values!$A$24,MATCH("S",Values!$T$25:$T$50,0),0),FALSE))</f>
        <v>1</v>
      </c>
      <c r="D2170" t="e">
        <f>VLOOKUP(Charms!J2170,Values!$A$11:$S$59,19,0)&gt;=Charms!L2170</f>
        <v>#N/A</v>
      </c>
      <c r="E2170" t="e">
        <f>OR(ISBLANK(Charms!I2170),(VLOOKUP(Values!$S$6,Castes!$B$2:$F$25,4,0)=Charms!I2170))</f>
        <v>#N/A</v>
      </c>
      <c r="J2170" t="e">
        <f t="shared" ca="1" si="166"/>
        <v>#N/A</v>
      </c>
      <c r="K2170" s="18" t="e">
        <f t="shared" ca="1" si="165"/>
        <v>#N/A</v>
      </c>
      <c r="L2170" t="e">
        <f ca="1">IF(J2170,Charms!B2170,"")</f>
        <v>#N/A</v>
      </c>
      <c r="M2170" t="str">
        <f t="shared" ca="1" si="167"/>
        <v>-</v>
      </c>
      <c r="N2170" s="18" t="str">
        <f t="shared" si="168"/>
        <v>K1622:L5000</v>
      </c>
      <c r="O2170" t="str">
        <f t="shared" si="169"/>
        <v>A1622:A2170</v>
      </c>
    </row>
    <row r="2171" spans="1:15">
      <c r="A2171" s="18">
        <f>Charms!K2171</f>
        <v>0</v>
      </c>
      <c r="B2171">
        <f>Charms!B2171</f>
        <v>0</v>
      </c>
      <c r="C2171" t="b">
        <f ca="1">OR(Values!$S$98&gt;=Charms!M2171,IFERROR(Charms!J2171=OFFSET(Values!$A$24,MATCH("S",Values!$T$25:$T$50,0),0),FALSE))</f>
        <v>1</v>
      </c>
      <c r="D2171" t="e">
        <f>VLOOKUP(Charms!J2171,Values!$A$11:$S$59,19,0)&gt;=Charms!L2171</f>
        <v>#N/A</v>
      </c>
      <c r="E2171" t="e">
        <f>OR(ISBLANK(Charms!I2171),(VLOOKUP(Values!$S$6,Castes!$B$2:$F$25,4,0)=Charms!I2171))</f>
        <v>#N/A</v>
      </c>
      <c r="J2171" t="e">
        <f t="shared" ca="1" si="166"/>
        <v>#N/A</v>
      </c>
      <c r="K2171" s="18" t="e">
        <f t="shared" ca="1" si="165"/>
        <v>#N/A</v>
      </c>
      <c r="L2171" t="e">
        <f ca="1">IF(J2171,Charms!B2171,"")</f>
        <v>#N/A</v>
      </c>
      <c r="M2171" t="str">
        <f t="shared" ca="1" si="167"/>
        <v>-</v>
      </c>
      <c r="N2171" s="18" t="str">
        <f t="shared" si="168"/>
        <v>K1622:L5000</v>
      </c>
      <c r="O2171" t="str">
        <f t="shared" si="169"/>
        <v>A1622:A2171</v>
      </c>
    </row>
    <row r="2172" spans="1:15">
      <c r="A2172" s="18">
        <f>Charms!K2172</f>
        <v>0</v>
      </c>
      <c r="B2172">
        <f>Charms!B2172</f>
        <v>0</v>
      </c>
      <c r="C2172" t="b">
        <f ca="1">OR(Values!$S$98&gt;=Charms!M2172,IFERROR(Charms!J2172=OFFSET(Values!$A$24,MATCH("S",Values!$T$25:$T$50,0),0),FALSE))</f>
        <v>1</v>
      </c>
      <c r="D2172" t="e">
        <f>VLOOKUP(Charms!J2172,Values!$A$11:$S$59,19,0)&gt;=Charms!L2172</f>
        <v>#N/A</v>
      </c>
      <c r="E2172" t="e">
        <f>OR(ISBLANK(Charms!I2172),(VLOOKUP(Values!$S$6,Castes!$B$2:$F$25,4,0)=Charms!I2172))</f>
        <v>#N/A</v>
      </c>
      <c r="J2172" t="e">
        <f t="shared" ca="1" si="166"/>
        <v>#N/A</v>
      </c>
      <c r="K2172" s="18" t="e">
        <f t="shared" ca="1" si="165"/>
        <v>#N/A</v>
      </c>
      <c r="L2172" t="e">
        <f ca="1">IF(J2172,Charms!B2172,"")</f>
        <v>#N/A</v>
      </c>
      <c r="M2172" t="str">
        <f t="shared" ca="1" si="167"/>
        <v>-</v>
      </c>
      <c r="N2172" s="18" t="str">
        <f t="shared" si="168"/>
        <v>K1622:L5000</v>
      </c>
      <c r="O2172" t="str">
        <f t="shared" si="169"/>
        <v>A1622:A2172</v>
      </c>
    </row>
    <row r="2173" spans="1:15">
      <c r="A2173" s="18">
        <f>Charms!K2173</f>
        <v>0</v>
      </c>
      <c r="B2173">
        <f>Charms!B2173</f>
        <v>0</v>
      </c>
      <c r="C2173" t="b">
        <f ca="1">OR(Values!$S$98&gt;=Charms!M2173,IFERROR(Charms!J2173=OFFSET(Values!$A$24,MATCH("S",Values!$T$25:$T$50,0),0),FALSE))</f>
        <v>1</v>
      </c>
      <c r="D2173" t="e">
        <f>VLOOKUP(Charms!J2173,Values!$A$11:$S$59,19,0)&gt;=Charms!L2173</f>
        <v>#N/A</v>
      </c>
      <c r="E2173" t="e">
        <f>OR(ISBLANK(Charms!I2173),(VLOOKUP(Values!$S$6,Castes!$B$2:$F$25,4,0)=Charms!I2173))</f>
        <v>#N/A</v>
      </c>
      <c r="J2173" t="e">
        <f t="shared" ca="1" si="166"/>
        <v>#N/A</v>
      </c>
      <c r="K2173" s="18" t="e">
        <f t="shared" ca="1" si="165"/>
        <v>#N/A</v>
      </c>
      <c r="L2173" t="e">
        <f ca="1">IF(J2173,Charms!B2173,"")</f>
        <v>#N/A</v>
      </c>
      <c r="M2173" t="str">
        <f t="shared" ca="1" si="167"/>
        <v>-</v>
      </c>
      <c r="N2173" s="18" t="str">
        <f t="shared" si="168"/>
        <v>K1622:L5000</v>
      </c>
      <c r="O2173" t="str">
        <f t="shared" si="169"/>
        <v>A1622:A2173</v>
      </c>
    </row>
    <row r="2174" spans="1:15">
      <c r="A2174" s="18">
        <f>Charms!K2174</f>
        <v>0</v>
      </c>
      <c r="B2174">
        <f>Charms!B2174</f>
        <v>0</v>
      </c>
      <c r="C2174" t="b">
        <f ca="1">OR(Values!$S$98&gt;=Charms!M2174,IFERROR(Charms!J2174=OFFSET(Values!$A$24,MATCH("S",Values!$T$25:$T$50,0),0),FALSE))</f>
        <v>1</v>
      </c>
      <c r="D2174" t="e">
        <f>VLOOKUP(Charms!J2174,Values!$A$11:$S$59,19,0)&gt;=Charms!L2174</f>
        <v>#N/A</v>
      </c>
      <c r="E2174" t="e">
        <f>OR(ISBLANK(Charms!I2174),(VLOOKUP(Values!$S$6,Castes!$B$2:$F$25,4,0)=Charms!I2174))</f>
        <v>#N/A</v>
      </c>
      <c r="J2174" t="e">
        <f t="shared" ca="1" si="166"/>
        <v>#N/A</v>
      </c>
      <c r="K2174" s="18" t="e">
        <f t="shared" ca="1" si="165"/>
        <v>#N/A</v>
      </c>
      <c r="L2174" t="e">
        <f ca="1">IF(J2174,Charms!B2174,"")</f>
        <v>#N/A</v>
      </c>
      <c r="M2174" t="str">
        <f t="shared" ca="1" si="167"/>
        <v>-</v>
      </c>
      <c r="N2174" s="18" t="str">
        <f t="shared" si="168"/>
        <v>K1622:L5000</v>
      </c>
      <c r="O2174" t="str">
        <f t="shared" si="169"/>
        <v>A1622:A2174</v>
      </c>
    </row>
    <row r="2175" spans="1:15">
      <c r="A2175" s="18">
        <f>Charms!K2175</f>
        <v>0</v>
      </c>
      <c r="B2175">
        <f>Charms!B2175</f>
        <v>0</v>
      </c>
      <c r="C2175" t="b">
        <f ca="1">OR(Values!$S$98&gt;=Charms!M2175,IFERROR(Charms!J2175=OFFSET(Values!$A$24,MATCH("S",Values!$T$25:$T$50,0),0),FALSE))</f>
        <v>1</v>
      </c>
      <c r="D2175" t="e">
        <f>VLOOKUP(Charms!J2175,Values!$A$11:$S$59,19,0)&gt;=Charms!L2175</f>
        <v>#N/A</v>
      </c>
      <c r="E2175" t="e">
        <f>OR(ISBLANK(Charms!I2175),(VLOOKUP(Values!$S$6,Castes!$B$2:$F$25,4,0)=Charms!I2175))</f>
        <v>#N/A</v>
      </c>
      <c r="J2175" t="e">
        <f t="shared" ca="1" si="166"/>
        <v>#N/A</v>
      </c>
      <c r="K2175" s="18" t="e">
        <f t="shared" ca="1" si="165"/>
        <v>#N/A</v>
      </c>
      <c r="L2175" t="e">
        <f ca="1">IF(J2175,Charms!B2175,"")</f>
        <v>#N/A</v>
      </c>
      <c r="M2175" t="str">
        <f t="shared" ca="1" si="167"/>
        <v>-</v>
      </c>
      <c r="N2175" s="18" t="str">
        <f t="shared" si="168"/>
        <v>K1622:L5000</v>
      </c>
      <c r="O2175" t="str">
        <f t="shared" si="169"/>
        <v>A1622:A2175</v>
      </c>
    </row>
    <row r="2176" spans="1:15">
      <c r="A2176" s="18">
        <f>Charms!K2176</f>
        <v>0</v>
      </c>
      <c r="B2176">
        <f>Charms!B2176</f>
        <v>0</v>
      </c>
      <c r="C2176" t="b">
        <f ca="1">OR(Values!$S$98&gt;=Charms!M2176,IFERROR(Charms!J2176=OFFSET(Values!$A$24,MATCH("S",Values!$T$25:$T$50,0),0),FALSE))</f>
        <v>1</v>
      </c>
      <c r="D2176" t="e">
        <f>VLOOKUP(Charms!J2176,Values!$A$11:$S$59,19,0)&gt;=Charms!L2176</f>
        <v>#N/A</v>
      </c>
      <c r="E2176" t="e">
        <f>OR(ISBLANK(Charms!I2176),(VLOOKUP(Values!$S$6,Castes!$B$2:$F$25,4,0)=Charms!I2176))</f>
        <v>#N/A</v>
      </c>
      <c r="J2176" t="e">
        <f t="shared" ca="1" si="166"/>
        <v>#N/A</v>
      </c>
      <c r="K2176" s="18" t="e">
        <f t="shared" ca="1" si="165"/>
        <v>#N/A</v>
      </c>
      <c r="L2176" t="e">
        <f ca="1">IF(J2176,Charms!B2176,"")</f>
        <v>#N/A</v>
      </c>
      <c r="M2176" t="str">
        <f t="shared" ca="1" si="167"/>
        <v>-</v>
      </c>
      <c r="N2176" s="18" t="str">
        <f t="shared" si="168"/>
        <v>K1622:L5000</v>
      </c>
      <c r="O2176" t="str">
        <f t="shared" si="169"/>
        <v>A1622:A2176</v>
      </c>
    </row>
    <row r="2177" spans="1:15">
      <c r="A2177" s="18">
        <f>Charms!K2177</f>
        <v>0</v>
      </c>
      <c r="B2177">
        <f>Charms!B2177</f>
        <v>0</v>
      </c>
      <c r="C2177" t="b">
        <f ca="1">OR(Values!$S$98&gt;=Charms!M2177,IFERROR(Charms!J2177=OFFSET(Values!$A$24,MATCH("S",Values!$T$25:$T$50,0),0),FALSE))</f>
        <v>1</v>
      </c>
      <c r="D2177" t="e">
        <f>VLOOKUP(Charms!J2177,Values!$A$11:$S$59,19,0)&gt;=Charms!L2177</f>
        <v>#N/A</v>
      </c>
      <c r="E2177" t="e">
        <f>OR(ISBLANK(Charms!I2177),(VLOOKUP(Values!$S$6,Castes!$B$2:$F$25,4,0)=Charms!I2177))</f>
        <v>#N/A</v>
      </c>
      <c r="J2177" t="e">
        <f t="shared" ca="1" si="166"/>
        <v>#N/A</v>
      </c>
      <c r="K2177" s="18" t="e">
        <f t="shared" ca="1" si="165"/>
        <v>#N/A</v>
      </c>
      <c r="L2177" t="e">
        <f ca="1">IF(J2177,Charms!B2177,"")</f>
        <v>#N/A</v>
      </c>
      <c r="M2177" t="str">
        <f t="shared" ca="1" si="167"/>
        <v>-</v>
      </c>
      <c r="N2177" s="18" t="str">
        <f t="shared" si="168"/>
        <v>K1622:L5000</v>
      </c>
      <c r="O2177" t="str">
        <f t="shared" si="169"/>
        <v>A1622:A2177</v>
      </c>
    </row>
    <row r="2178" spans="1:15">
      <c r="A2178" s="18">
        <f>Charms!K2178</f>
        <v>0</v>
      </c>
      <c r="B2178">
        <f>Charms!B2178</f>
        <v>0</v>
      </c>
      <c r="C2178" t="b">
        <f ca="1">OR(Values!$S$98&gt;=Charms!M2178,IFERROR(Charms!J2178=OFFSET(Values!$A$24,MATCH("S",Values!$T$25:$T$50,0),0),FALSE))</f>
        <v>1</v>
      </c>
      <c r="D2178" t="e">
        <f>VLOOKUP(Charms!J2178,Values!$A$11:$S$59,19,0)&gt;=Charms!L2178</f>
        <v>#N/A</v>
      </c>
      <c r="E2178" t="e">
        <f>OR(ISBLANK(Charms!I2178),(VLOOKUP(Values!$S$6,Castes!$B$2:$F$25,4,0)=Charms!I2178))</f>
        <v>#N/A</v>
      </c>
      <c r="J2178" t="e">
        <f t="shared" ca="1" si="166"/>
        <v>#N/A</v>
      </c>
      <c r="K2178" s="18" t="e">
        <f t="shared" ref="K2178:K2241" ca="1" si="170">IF(L2178="","",COUNTIF(INDIRECT("J"&amp;MATCH(A2178,A:A,0)&amp;":J"&amp;ROW()),J2178))</f>
        <v>#N/A</v>
      </c>
      <c r="L2178" t="e">
        <f ca="1">IF(J2178,Charms!B2178,"")</f>
        <v>#N/A</v>
      </c>
      <c r="M2178" t="str">
        <f t="shared" ca="1" si="167"/>
        <v>-</v>
      </c>
      <c r="N2178" s="18" t="str">
        <f t="shared" si="168"/>
        <v>K1622:L5000</v>
      </c>
      <c r="O2178" t="str">
        <f t="shared" si="169"/>
        <v>A1622:A2178</v>
      </c>
    </row>
    <row r="2179" spans="1:15">
      <c r="A2179" s="18">
        <f>Charms!K2179</f>
        <v>0</v>
      </c>
      <c r="B2179">
        <f>Charms!B2179</f>
        <v>0</v>
      </c>
      <c r="C2179" t="b">
        <f ca="1">OR(Values!$S$98&gt;=Charms!M2179,IFERROR(Charms!J2179=OFFSET(Values!$A$24,MATCH("S",Values!$T$25:$T$50,0),0),FALSE))</f>
        <v>1</v>
      </c>
      <c r="D2179" t="e">
        <f>VLOOKUP(Charms!J2179,Values!$A$11:$S$59,19,0)&gt;=Charms!L2179</f>
        <v>#N/A</v>
      </c>
      <c r="E2179" t="e">
        <f>OR(ISBLANK(Charms!I2179),(VLOOKUP(Values!$S$6,Castes!$B$2:$F$25,4,0)=Charms!I2179))</f>
        <v>#N/A</v>
      </c>
      <c r="J2179" t="e">
        <f t="shared" ref="J2179:J2242" ca="1" si="171">(C2179+D2179+E2179+F2179+G2179+H2179+I2179)=3</f>
        <v>#N/A</v>
      </c>
      <c r="K2179" s="18" t="e">
        <f t="shared" ca="1" si="170"/>
        <v>#N/A</v>
      </c>
      <c r="L2179" t="e">
        <f ca="1">IF(J2179,Charms!B2179,"")</f>
        <v>#N/A</v>
      </c>
      <c r="M2179" t="str">
        <f t="shared" ref="M2179:M2242" ca="1" si="172">IFERROR(VLOOKUP(COUNTIF(INDIRECT(O2179),A2179),INDIRECT(N2179),2,0),"-")</f>
        <v>-</v>
      </c>
      <c r="N2179" s="18" t="str">
        <f t="shared" ref="N2179:N2242" si="173">"K"&amp;MATCH(A2179,A:A,0)&amp;":L"&amp;(MATCH(A2179,A:A,0)+COUNTIF(A:A,A2179)-1)</f>
        <v>K1622:L5000</v>
      </c>
      <c r="O2179" t="str">
        <f t="shared" ref="O2179:O2242" si="174">"A"&amp;MATCH(A2179,A:A,0)&amp;":A"&amp;ROW()</f>
        <v>A1622:A2179</v>
      </c>
    </row>
    <row r="2180" spans="1:15">
      <c r="A2180" s="18">
        <f>Charms!K2180</f>
        <v>0</v>
      </c>
      <c r="B2180">
        <f>Charms!B2180</f>
        <v>0</v>
      </c>
      <c r="C2180" t="b">
        <f ca="1">OR(Values!$S$98&gt;=Charms!M2180,IFERROR(Charms!J2180=OFFSET(Values!$A$24,MATCH("S",Values!$T$25:$T$50,0),0),FALSE))</f>
        <v>1</v>
      </c>
      <c r="D2180" t="e">
        <f>VLOOKUP(Charms!J2180,Values!$A$11:$S$59,19,0)&gt;=Charms!L2180</f>
        <v>#N/A</v>
      </c>
      <c r="E2180" t="e">
        <f>OR(ISBLANK(Charms!I2180),(VLOOKUP(Values!$S$6,Castes!$B$2:$F$25,4,0)=Charms!I2180))</f>
        <v>#N/A</v>
      </c>
      <c r="J2180" t="e">
        <f t="shared" ca="1" si="171"/>
        <v>#N/A</v>
      </c>
      <c r="K2180" s="18" t="e">
        <f t="shared" ca="1" si="170"/>
        <v>#N/A</v>
      </c>
      <c r="L2180" t="e">
        <f ca="1">IF(J2180,Charms!B2180,"")</f>
        <v>#N/A</v>
      </c>
      <c r="M2180" t="str">
        <f t="shared" ca="1" si="172"/>
        <v>-</v>
      </c>
      <c r="N2180" s="18" t="str">
        <f t="shared" si="173"/>
        <v>K1622:L5000</v>
      </c>
      <c r="O2180" t="str">
        <f t="shared" si="174"/>
        <v>A1622:A2180</v>
      </c>
    </row>
    <row r="2181" spans="1:15">
      <c r="A2181" s="18">
        <f>Charms!K2181</f>
        <v>0</v>
      </c>
      <c r="B2181">
        <f>Charms!B2181</f>
        <v>0</v>
      </c>
      <c r="C2181" t="b">
        <f ca="1">OR(Values!$S$98&gt;=Charms!M2181,IFERROR(Charms!J2181=OFFSET(Values!$A$24,MATCH("S",Values!$T$25:$T$50,0),0),FALSE))</f>
        <v>1</v>
      </c>
      <c r="D2181" t="e">
        <f>VLOOKUP(Charms!J2181,Values!$A$11:$S$59,19,0)&gt;=Charms!L2181</f>
        <v>#N/A</v>
      </c>
      <c r="E2181" t="e">
        <f>OR(ISBLANK(Charms!I2181),(VLOOKUP(Values!$S$6,Castes!$B$2:$F$25,4,0)=Charms!I2181))</f>
        <v>#N/A</v>
      </c>
      <c r="J2181" t="e">
        <f t="shared" ca="1" si="171"/>
        <v>#N/A</v>
      </c>
      <c r="K2181" s="18" t="e">
        <f t="shared" ca="1" si="170"/>
        <v>#N/A</v>
      </c>
      <c r="L2181" t="e">
        <f ca="1">IF(J2181,Charms!B2181,"")</f>
        <v>#N/A</v>
      </c>
      <c r="M2181" t="str">
        <f t="shared" ca="1" si="172"/>
        <v>-</v>
      </c>
      <c r="N2181" s="18" t="str">
        <f t="shared" si="173"/>
        <v>K1622:L5000</v>
      </c>
      <c r="O2181" t="str">
        <f t="shared" si="174"/>
        <v>A1622:A2181</v>
      </c>
    </row>
    <row r="2182" spans="1:15">
      <c r="A2182" s="18">
        <f>Charms!K2182</f>
        <v>0</v>
      </c>
      <c r="B2182">
        <f>Charms!B2182</f>
        <v>0</v>
      </c>
      <c r="C2182" t="b">
        <f ca="1">OR(Values!$S$98&gt;=Charms!M2182,IFERROR(Charms!J2182=OFFSET(Values!$A$24,MATCH("S",Values!$T$25:$T$50,0),0),FALSE))</f>
        <v>1</v>
      </c>
      <c r="D2182" t="e">
        <f>VLOOKUP(Charms!J2182,Values!$A$11:$S$59,19,0)&gt;=Charms!L2182</f>
        <v>#N/A</v>
      </c>
      <c r="E2182" t="e">
        <f>OR(ISBLANK(Charms!I2182),(VLOOKUP(Values!$S$6,Castes!$B$2:$F$25,4,0)=Charms!I2182))</f>
        <v>#N/A</v>
      </c>
      <c r="J2182" t="e">
        <f t="shared" ca="1" si="171"/>
        <v>#N/A</v>
      </c>
      <c r="K2182" s="18" t="e">
        <f t="shared" ca="1" si="170"/>
        <v>#N/A</v>
      </c>
      <c r="L2182" t="e">
        <f ca="1">IF(J2182,Charms!B2182,"")</f>
        <v>#N/A</v>
      </c>
      <c r="M2182" t="str">
        <f t="shared" ca="1" si="172"/>
        <v>-</v>
      </c>
      <c r="N2182" s="18" t="str">
        <f t="shared" si="173"/>
        <v>K1622:L5000</v>
      </c>
      <c r="O2182" t="str">
        <f t="shared" si="174"/>
        <v>A1622:A2182</v>
      </c>
    </row>
    <row r="2183" spans="1:15">
      <c r="A2183" s="18">
        <f>Charms!K2183</f>
        <v>0</v>
      </c>
      <c r="B2183">
        <f>Charms!B2183</f>
        <v>0</v>
      </c>
      <c r="C2183" t="b">
        <f ca="1">OR(Values!$S$98&gt;=Charms!M2183,IFERROR(Charms!J2183=OFFSET(Values!$A$24,MATCH("S",Values!$T$25:$T$50,0),0),FALSE))</f>
        <v>1</v>
      </c>
      <c r="D2183" t="e">
        <f>VLOOKUP(Charms!J2183,Values!$A$11:$S$59,19,0)&gt;=Charms!L2183</f>
        <v>#N/A</v>
      </c>
      <c r="E2183" t="e">
        <f>OR(ISBLANK(Charms!I2183),(VLOOKUP(Values!$S$6,Castes!$B$2:$F$25,4,0)=Charms!I2183))</f>
        <v>#N/A</v>
      </c>
      <c r="J2183" t="e">
        <f t="shared" ca="1" si="171"/>
        <v>#N/A</v>
      </c>
      <c r="K2183" s="18" t="e">
        <f t="shared" ca="1" si="170"/>
        <v>#N/A</v>
      </c>
      <c r="L2183" t="e">
        <f ca="1">IF(J2183,Charms!B2183,"")</f>
        <v>#N/A</v>
      </c>
      <c r="M2183" t="str">
        <f t="shared" ca="1" si="172"/>
        <v>-</v>
      </c>
      <c r="N2183" s="18" t="str">
        <f t="shared" si="173"/>
        <v>K1622:L5000</v>
      </c>
      <c r="O2183" t="str">
        <f t="shared" si="174"/>
        <v>A1622:A2183</v>
      </c>
    </row>
    <row r="2184" spans="1:15">
      <c r="A2184" s="18">
        <f>Charms!K2184</f>
        <v>0</v>
      </c>
      <c r="B2184">
        <f>Charms!B2184</f>
        <v>0</v>
      </c>
      <c r="C2184" t="b">
        <f ca="1">OR(Values!$S$98&gt;=Charms!M2184,IFERROR(Charms!J2184=OFFSET(Values!$A$24,MATCH("S",Values!$T$25:$T$50,0),0),FALSE))</f>
        <v>1</v>
      </c>
      <c r="D2184" t="e">
        <f>VLOOKUP(Charms!J2184,Values!$A$11:$S$59,19,0)&gt;=Charms!L2184</f>
        <v>#N/A</v>
      </c>
      <c r="E2184" t="e">
        <f>OR(ISBLANK(Charms!I2184),(VLOOKUP(Values!$S$6,Castes!$B$2:$F$25,4,0)=Charms!I2184))</f>
        <v>#N/A</v>
      </c>
      <c r="J2184" t="e">
        <f t="shared" ca="1" si="171"/>
        <v>#N/A</v>
      </c>
      <c r="K2184" s="18" t="e">
        <f t="shared" ca="1" si="170"/>
        <v>#N/A</v>
      </c>
      <c r="L2184" t="e">
        <f ca="1">IF(J2184,Charms!B2184,"")</f>
        <v>#N/A</v>
      </c>
      <c r="M2184" t="str">
        <f t="shared" ca="1" si="172"/>
        <v>-</v>
      </c>
      <c r="N2184" s="18" t="str">
        <f t="shared" si="173"/>
        <v>K1622:L5000</v>
      </c>
      <c r="O2184" t="str">
        <f t="shared" si="174"/>
        <v>A1622:A2184</v>
      </c>
    </row>
    <row r="2185" spans="1:15">
      <c r="A2185" s="18">
        <f>Charms!K2185</f>
        <v>0</v>
      </c>
      <c r="B2185">
        <f>Charms!B2185</f>
        <v>0</v>
      </c>
      <c r="C2185" t="b">
        <f ca="1">OR(Values!$S$98&gt;=Charms!M2185,IFERROR(Charms!J2185=OFFSET(Values!$A$24,MATCH("S",Values!$T$25:$T$50,0),0),FALSE))</f>
        <v>1</v>
      </c>
      <c r="D2185" t="e">
        <f>VLOOKUP(Charms!J2185,Values!$A$11:$S$59,19,0)&gt;=Charms!L2185</f>
        <v>#N/A</v>
      </c>
      <c r="E2185" t="e">
        <f>OR(ISBLANK(Charms!I2185),(VLOOKUP(Values!$S$6,Castes!$B$2:$F$25,4,0)=Charms!I2185))</f>
        <v>#N/A</v>
      </c>
      <c r="J2185" t="e">
        <f t="shared" ca="1" si="171"/>
        <v>#N/A</v>
      </c>
      <c r="K2185" s="18" t="e">
        <f t="shared" ca="1" si="170"/>
        <v>#N/A</v>
      </c>
      <c r="L2185" t="e">
        <f ca="1">IF(J2185,Charms!B2185,"")</f>
        <v>#N/A</v>
      </c>
      <c r="M2185" t="str">
        <f t="shared" ca="1" si="172"/>
        <v>-</v>
      </c>
      <c r="N2185" s="18" t="str">
        <f t="shared" si="173"/>
        <v>K1622:L5000</v>
      </c>
      <c r="O2185" t="str">
        <f t="shared" si="174"/>
        <v>A1622:A2185</v>
      </c>
    </row>
    <row r="2186" spans="1:15">
      <c r="A2186" s="18">
        <f>Charms!K2186</f>
        <v>0</v>
      </c>
      <c r="B2186">
        <f>Charms!B2186</f>
        <v>0</v>
      </c>
      <c r="C2186" t="b">
        <f ca="1">OR(Values!$S$98&gt;=Charms!M2186,IFERROR(Charms!J2186=OFFSET(Values!$A$24,MATCH("S",Values!$T$25:$T$50,0),0),FALSE))</f>
        <v>1</v>
      </c>
      <c r="D2186" t="e">
        <f>VLOOKUP(Charms!J2186,Values!$A$11:$S$59,19,0)&gt;=Charms!L2186</f>
        <v>#N/A</v>
      </c>
      <c r="E2186" t="e">
        <f>OR(ISBLANK(Charms!I2186),(VLOOKUP(Values!$S$6,Castes!$B$2:$F$25,4,0)=Charms!I2186))</f>
        <v>#N/A</v>
      </c>
      <c r="J2186" t="e">
        <f t="shared" ca="1" si="171"/>
        <v>#N/A</v>
      </c>
      <c r="K2186" s="18" t="e">
        <f t="shared" ca="1" si="170"/>
        <v>#N/A</v>
      </c>
      <c r="L2186" t="e">
        <f ca="1">IF(J2186,Charms!B2186,"")</f>
        <v>#N/A</v>
      </c>
      <c r="M2186" t="str">
        <f t="shared" ca="1" si="172"/>
        <v>-</v>
      </c>
      <c r="N2186" s="18" t="str">
        <f t="shared" si="173"/>
        <v>K1622:L5000</v>
      </c>
      <c r="O2186" t="str">
        <f t="shared" si="174"/>
        <v>A1622:A2186</v>
      </c>
    </row>
    <row r="2187" spans="1:15">
      <c r="A2187" s="18">
        <f>Charms!K2187</f>
        <v>0</v>
      </c>
      <c r="B2187">
        <f>Charms!B2187</f>
        <v>0</v>
      </c>
      <c r="C2187" t="b">
        <f ca="1">OR(Values!$S$98&gt;=Charms!M2187,IFERROR(Charms!J2187=OFFSET(Values!$A$24,MATCH("S",Values!$T$25:$T$50,0),0),FALSE))</f>
        <v>1</v>
      </c>
      <c r="D2187" t="e">
        <f>VLOOKUP(Charms!J2187,Values!$A$11:$S$59,19,0)&gt;=Charms!L2187</f>
        <v>#N/A</v>
      </c>
      <c r="E2187" t="e">
        <f>OR(ISBLANK(Charms!I2187),(VLOOKUP(Values!$S$6,Castes!$B$2:$F$25,4,0)=Charms!I2187))</f>
        <v>#N/A</v>
      </c>
      <c r="J2187" t="e">
        <f t="shared" ca="1" si="171"/>
        <v>#N/A</v>
      </c>
      <c r="K2187" s="18" t="e">
        <f t="shared" ca="1" si="170"/>
        <v>#N/A</v>
      </c>
      <c r="L2187" t="e">
        <f ca="1">IF(J2187,Charms!B2187,"")</f>
        <v>#N/A</v>
      </c>
      <c r="M2187" t="str">
        <f t="shared" ca="1" si="172"/>
        <v>-</v>
      </c>
      <c r="N2187" s="18" t="str">
        <f t="shared" si="173"/>
        <v>K1622:L5000</v>
      </c>
      <c r="O2187" t="str">
        <f t="shared" si="174"/>
        <v>A1622:A2187</v>
      </c>
    </row>
    <row r="2188" spans="1:15">
      <c r="A2188" s="18">
        <f>Charms!K2188</f>
        <v>0</v>
      </c>
      <c r="B2188">
        <f>Charms!B2188</f>
        <v>0</v>
      </c>
      <c r="C2188" t="b">
        <f ca="1">OR(Values!$S$98&gt;=Charms!M2188,IFERROR(Charms!J2188=OFFSET(Values!$A$24,MATCH("S",Values!$T$25:$T$50,0),0),FALSE))</f>
        <v>1</v>
      </c>
      <c r="D2188" t="e">
        <f>VLOOKUP(Charms!J2188,Values!$A$11:$S$59,19,0)&gt;=Charms!L2188</f>
        <v>#N/A</v>
      </c>
      <c r="E2188" t="e">
        <f>OR(ISBLANK(Charms!I2188),(VLOOKUP(Values!$S$6,Castes!$B$2:$F$25,4,0)=Charms!I2188))</f>
        <v>#N/A</v>
      </c>
      <c r="J2188" t="e">
        <f t="shared" ca="1" si="171"/>
        <v>#N/A</v>
      </c>
      <c r="K2188" s="18" t="e">
        <f t="shared" ca="1" si="170"/>
        <v>#N/A</v>
      </c>
      <c r="L2188" t="e">
        <f ca="1">IF(J2188,Charms!B2188,"")</f>
        <v>#N/A</v>
      </c>
      <c r="M2188" t="str">
        <f t="shared" ca="1" si="172"/>
        <v>-</v>
      </c>
      <c r="N2188" s="18" t="str">
        <f t="shared" si="173"/>
        <v>K1622:L5000</v>
      </c>
      <c r="O2188" t="str">
        <f t="shared" si="174"/>
        <v>A1622:A2188</v>
      </c>
    </row>
    <row r="2189" spans="1:15">
      <c r="A2189" s="18">
        <f>Charms!K2189</f>
        <v>0</v>
      </c>
      <c r="B2189">
        <f>Charms!B2189</f>
        <v>0</v>
      </c>
      <c r="C2189" t="b">
        <f ca="1">OR(Values!$S$98&gt;=Charms!M2189,IFERROR(Charms!J2189=OFFSET(Values!$A$24,MATCH("S",Values!$T$25:$T$50,0),0),FALSE))</f>
        <v>1</v>
      </c>
      <c r="D2189" t="e">
        <f>VLOOKUP(Charms!J2189,Values!$A$11:$S$59,19,0)&gt;=Charms!L2189</f>
        <v>#N/A</v>
      </c>
      <c r="E2189" t="e">
        <f>OR(ISBLANK(Charms!I2189),(VLOOKUP(Values!$S$6,Castes!$B$2:$F$25,4,0)=Charms!I2189))</f>
        <v>#N/A</v>
      </c>
      <c r="J2189" t="e">
        <f t="shared" ca="1" si="171"/>
        <v>#N/A</v>
      </c>
      <c r="K2189" s="18" t="e">
        <f t="shared" ca="1" si="170"/>
        <v>#N/A</v>
      </c>
      <c r="L2189" t="e">
        <f ca="1">IF(J2189,Charms!B2189,"")</f>
        <v>#N/A</v>
      </c>
      <c r="M2189" t="str">
        <f t="shared" ca="1" si="172"/>
        <v>-</v>
      </c>
      <c r="N2189" s="18" t="str">
        <f t="shared" si="173"/>
        <v>K1622:L5000</v>
      </c>
      <c r="O2189" t="str">
        <f t="shared" si="174"/>
        <v>A1622:A2189</v>
      </c>
    </row>
    <row r="2190" spans="1:15">
      <c r="A2190" s="18">
        <f>Charms!K2190</f>
        <v>0</v>
      </c>
      <c r="B2190">
        <f>Charms!B2190</f>
        <v>0</v>
      </c>
      <c r="C2190" t="b">
        <f ca="1">OR(Values!$S$98&gt;=Charms!M2190,IFERROR(Charms!J2190=OFFSET(Values!$A$24,MATCH("S",Values!$T$25:$T$50,0),0),FALSE))</f>
        <v>1</v>
      </c>
      <c r="D2190" t="e">
        <f>VLOOKUP(Charms!J2190,Values!$A$11:$S$59,19,0)&gt;=Charms!L2190</f>
        <v>#N/A</v>
      </c>
      <c r="E2190" t="e">
        <f>OR(ISBLANK(Charms!I2190),(VLOOKUP(Values!$S$6,Castes!$B$2:$F$25,4,0)=Charms!I2190))</f>
        <v>#N/A</v>
      </c>
      <c r="J2190" t="e">
        <f t="shared" ca="1" si="171"/>
        <v>#N/A</v>
      </c>
      <c r="K2190" s="18" t="e">
        <f t="shared" ca="1" si="170"/>
        <v>#N/A</v>
      </c>
      <c r="L2190" t="e">
        <f ca="1">IF(J2190,Charms!B2190,"")</f>
        <v>#N/A</v>
      </c>
      <c r="M2190" t="str">
        <f t="shared" ca="1" si="172"/>
        <v>-</v>
      </c>
      <c r="N2190" s="18" t="str">
        <f t="shared" si="173"/>
        <v>K1622:L5000</v>
      </c>
      <c r="O2190" t="str">
        <f t="shared" si="174"/>
        <v>A1622:A2190</v>
      </c>
    </row>
    <row r="2191" spans="1:15">
      <c r="A2191" s="18">
        <f>Charms!K2191</f>
        <v>0</v>
      </c>
      <c r="B2191">
        <f>Charms!B2191</f>
        <v>0</v>
      </c>
      <c r="C2191" t="b">
        <f ca="1">OR(Values!$S$98&gt;=Charms!M2191,IFERROR(Charms!J2191=OFFSET(Values!$A$24,MATCH("S",Values!$T$25:$T$50,0),0),FALSE))</f>
        <v>1</v>
      </c>
      <c r="D2191" t="e">
        <f>VLOOKUP(Charms!J2191,Values!$A$11:$S$59,19,0)&gt;=Charms!L2191</f>
        <v>#N/A</v>
      </c>
      <c r="E2191" t="e">
        <f>OR(ISBLANK(Charms!I2191),(VLOOKUP(Values!$S$6,Castes!$B$2:$F$25,4,0)=Charms!I2191))</f>
        <v>#N/A</v>
      </c>
      <c r="J2191" t="e">
        <f t="shared" ca="1" si="171"/>
        <v>#N/A</v>
      </c>
      <c r="K2191" s="18" t="e">
        <f t="shared" ca="1" si="170"/>
        <v>#N/A</v>
      </c>
      <c r="L2191" t="e">
        <f ca="1">IF(J2191,Charms!B2191,"")</f>
        <v>#N/A</v>
      </c>
      <c r="M2191" t="str">
        <f t="shared" ca="1" si="172"/>
        <v>-</v>
      </c>
      <c r="N2191" s="18" t="str">
        <f t="shared" si="173"/>
        <v>K1622:L5000</v>
      </c>
      <c r="O2191" t="str">
        <f t="shared" si="174"/>
        <v>A1622:A2191</v>
      </c>
    </row>
    <row r="2192" spans="1:15">
      <c r="A2192" s="18">
        <f>Charms!K2192</f>
        <v>0</v>
      </c>
      <c r="B2192">
        <f>Charms!B2192</f>
        <v>0</v>
      </c>
      <c r="C2192" t="b">
        <f ca="1">OR(Values!$S$98&gt;=Charms!M2192,IFERROR(Charms!J2192=OFFSET(Values!$A$24,MATCH("S",Values!$T$25:$T$50,0),0),FALSE))</f>
        <v>1</v>
      </c>
      <c r="D2192" t="e">
        <f>VLOOKUP(Charms!J2192,Values!$A$11:$S$59,19,0)&gt;=Charms!L2192</f>
        <v>#N/A</v>
      </c>
      <c r="E2192" t="e">
        <f>OR(ISBLANK(Charms!I2192),(VLOOKUP(Values!$S$6,Castes!$B$2:$F$25,4,0)=Charms!I2192))</f>
        <v>#N/A</v>
      </c>
      <c r="J2192" t="e">
        <f t="shared" ca="1" si="171"/>
        <v>#N/A</v>
      </c>
      <c r="K2192" s="18" t="e">
        <f t="shared" ca="1" si="170"/>
        <v>#N/A</v>
      </c>
      <c r="L2192" t="e">
        <f ca="1">IF(J2192,Charms!B2192,"")</f>
        <v>#N/A</v>
      </c>
      <c r="M2192" t="str">
        <f t="shared" ca="1" si="172"/>
        <v>-</v>
      </c>
      <c r="N2192" s="18" t="str">
        <f t="shared" si="173"/>
        <v>K1622:L5000</v>
      </c>
      <c r="O2192" t="str">
        <f t="shared" si="174"/>
        <v>A1622:A2192</v>
      </c>
    </row>
    <row r="2193" spans="1:15">
      <c r="A2193" s="18">
        <f>Charms!K2193</f>
        <v>0</v>
      </c>
      <c r="B2193">
        <f>Charms!B2193</f>
        <v>0</v>
      </c>
      <c r="C2193" t="b">
        <f ca="1">OR(Values!$S$98&gt;=Charms!M2193,IFERROR(Charms!J2193=OFFSET(Values!$A$24,MATCH("S",Values!$T$25:$T$50,0),0),FALSE))</f>
        <v>1</v>
      </c>
      <c r="D2193" t="e">
        <f>VLOOKUP(Charms!J2193,Values!$A$11:$S$59,19,0)&gt;=Charms!L2193</f>
        <v>#N/A</v>
      </c>
      <c r="E2193" t="e">
        <f>OR(ISBLANK(Charms!I2193),(VLOOKUP(Values!$S$6,Castes!$B$2:$F$25,4,0)=Charms!I2193))</f>
        <v>#N/A</v>
      </c>
      <c r="J2193" t="e">
        <f t="shared" ca="1" si="171"/>
        <v>#N/A</v>
      </c>
      <c r="K2193" s="18" t="e">
        <f t="shared" ca="1" si="170"/>
        <v>#N/A</v>
      </c>
      <c r="L2193" t="e">
        <f ca="1">IF(J2193,Charms!B2193,"")</f>
        <v>#N/A</v>
      </c>
      <c r="M2193" t="str">
        <f t="shared" ca="1" si="172"/>
        <v>-</v>
      </c>
      <c r="N2193" s="18" t="str">
        <f t="shared" si="173"/>
        <v>K1622:L5000</v>
      </c>
      <c r="O2193" t="str">
        <f t="shared" si="174"/>
        <v>A1622:A2193</v>
      </c>
    </row>
    <row r="2194" spans="1:15">
      <c r="A2194" s="18">
        <f>Charms!K2194</f>
        <v>0</v>
      </c>
      <c r="B2194">
        <f>Charms!B2194</f>
        <v>0</v>
      </c>
      <c r="C2194" t="b">
        <f ca="1">OR(Values!$S$98&gt;=Charms!M2194,IFERROR(Charms!J2194=OFFSET(Values!$A$24,MATCH("S",Values!$T$25:$T$50,0),0),FALSE))</f>
        <v>1</v>
      </c>
      <c r="D2194" t="e">
        <f>VLOOKUP(Charms!J2194,Values!$A$11:$S$59,19,0)&gt;=Charms!L2194</f>
        <v>#N/A</v>
      </c>
      <c r="E2194" t="e">
        <f>OR(ISBLANK(Charms!I2194),(VLOOKUP(Values!$S$6,Castes!$B$2:$F$25,4,0)=Charms!I2194))</f>
        <v>#N/A</v>
      </c>
      <c r="J2194" t="e">
        <f t="shared" ca="1" si="171"/>
        <v>#N/A</v>
      </c>
      <c r="K2194" s="18" t="e">
        <f t="shared" ca="1" si="170"/>
        <v>#N/A</v>
      </c>
      <c r="L2194" t="e">
        <f ca="1">IF(J2194,Charms!B2194,"")</f>
        <v>#N/A</v>
      </c>
      <c r="M2194" t="str">
        <f t="shared" ca="1" si="172"/>
        <v>-</v>
      </c>
      <c r="N2194" s="18" t="str">
        <f t="shared" si="173"/>
        <v>K1622:L5000</v>
      </c>
      <c r="O2194" t="str">
        <f t="shared" si="174"/>
        <v>A1622:A2194</v>
      </c>
    </row>
    <row r="2195" spans="1:15">
      <c r="A2195" s="18">
        <f>Charms!K2195</f>
        <v>0</v>
      </c>
      <c r="B2195">
        <f>Charms!B2195</f>
        <v>0</v>
      </c>
      <c r="C2195" t="b">
        <f ca="1">OR(Values!$S$98&gt;=Charms!M2195,IFERROR(Charms!J2195=OFFSET(Values!$A$24,MATCH("S",Values!$T$25:$T$50,0),0),FALSE))</f>
        <v>1</v>
      </c>
      <c r="D2195" t="e">
        <f>VLOOKUP(Charms!J2195,Values!$A$11:$S$59,19,0)&gt;=Charms!L2195</f>
        <v>#N/A</v>
      </c>
      <c r="E2195" t="e">
        <f>OR(ISBLANK(Charms!I2195),(VLOOKUP(Values!$S$6,Castes!$B$2:$F$25,4,0)=Charms!I2195))</f>
        <v>#N/A</v>
      </c>
      <c r="J2195" t="e">
        <f t="shared" ca="1" si="171"/>
        <v>#N/A</v>
      </c>
      <c r="K2195" s="18" t="e">
        <f t="shared" ca="1" si="170"/>
        <v>#N/A</v>
      </c>
      <c r="L2195" t="e">
        <f ca="1">IF(J2195,Charms!B2195,"")</f>
        <v>#N/A</v>
      </c>
      <c r="M2195" t="str">
        <f t="shared" ca="1" si="172"/>
        <v>-</v>
      </c>
      <c r="N2195" s="18" t="str">
        <f t="shared" si="173"/>
        <v>K1622:L5000</v>
      </c>
      <c r="O2195" t="str">
        <f t="shared" si="174"/>
        <v>A1622:A2195</v>
      </c>
    </row>
    <row r="2196" spans="1:15">
      <c r="A2196" s="18">
        <f>Charms!K2196</f>
        <v>0</v>
      </c>
      <c r="B2196">
        <f>Charms!B2196</f>
        <v>0</v>
      </c>
      <c r="C2196" t="b">
        <f ca="1">OR(Values!$S$98&gt;=Charms!M2196,IFERROR(Charms!J2196=OFFSET(Values!$A$24,MATCH("S",Values!$T$25:$T$50,0),0),FALSE))</f>
        <v>1</v>
      </c>
      <c r="D2196" t="e">
        <f>VLOOKUP(Charms!J2196,Values!$A$11:$S$59,19,0)&gt;=Charms!L2196</f>
        <v>#N/A</v>
      </c>
      <c r="E2196" t="e">
        <f>OR(ISBLANK(Charms!I2196),(VLOOKUP(Values!$S$6,Castes!$B$2:$F$25,4,0)=Charms!I2196))</f>
        <v>#N/A</v>
      </c>
      <c r="J2196" t="e">
        <f t="shared" ca="1" si="171"/>
        <v>#N/A</v>
      </c>
      <c r="K2196" s="18" t="e">
        <f t="shared" ca="1" si="170"/>
        <v>#N/A</v>
      </c>
      <c r="L2196" t="e">
        <f ca="1">IF(J2196,Charms!B2196,"")</f>
        <v>#N/A</v>
      </c>
      <c r="M2196" t="str">
        <f t="shared" ca="1" si="172"/>
        <v>-</v>
      </c>
      <c r="N2196" s="18" t="str">
        <f t="shared" si="173"/>
        <v>K1622:L5000</v>
      </c>
      <c r="O2196" t="str">
        <f t="shared" si="174"/>
        <v>A1622:A2196</v>
      </c>
    </row>
    <row r="2197" spans="1:15">
      <c r="A2197" s="18">
        <f>Charms!K2197</f>
        <v>0</v>
      </c>
      <c r="B2197">
        <f>Charms!B2197</f>
        <v>0</v>
      </c>
      <c r="C2197" t="b">
        <f ca="1">OR(Values!$S$98&gt;=Charms!M2197,IFERROR(Charms!J2197=OFFSET(Values!$A$24,MATCH("S",Values!$T$25:$T$50,0),0),FALSE))</f>
        <v>1</v>
      </c>
      <c r="D2197" t="e">
        <f>VLOOKUP(Charms!J2197,Values!$A$11:$S$59,19,0)&gt;=Charms!L2197</f>
        <v>#N/A</v>
      </c>
      <c r="E2197" t="e">
        <f>OR(ISBLANK(Charms!I2197),(VLOOKUP(Values!$S$6,Castes!$B$2:$F$25,4,0)=Charms!I2197))</f>
        <v>#N/A</v>
      </c>
      <c r="J2197" t="e">
        <f t="shared" ca="1" si="171"/>
        <v>#N/A</v>
      </c>
      <c r="K2197" s="18" t="e">
        <f t="shared" ca="1" si="170"/>
        <v>#N/A</v>
      </c>
      <c r="L2197" t="e">
        <f ca="1">IF(J2197,Charms!B2197,"")</f>
        <v>#N/A</v>
      </c>
      <c r="M2197" t="str">
        <f t="shared" ca="1" si="172"/>
        <v>-</v>
      </c>
      <c r="N2197" s="18" t="str">
        <f t="shared" si="173"/>
        <v>K1622:L5000</v>
      </c>
      <c r="O2197" t="str">
        <f t="shared" si="174"/>
        <v>A1622:A2197</v>
      </c>
    </row>
    <row r="2198" spans="1:15">
      <c r="A2198" s="18">
        <f>Charms!K2198</f>
        <v>0</v>
      </c>
      <c r="B2198">
        <f>Charms!B2198</f>
        <v>0</v>
      </c>
      <c r="C2198" t="b">
        <f ca="1">OR(Values!$S$98&gt;=Charms!M2198,IFERROR(Charms!J2198=OFFSET(Values!$A$24,MATCH("S",Values!$T$25:$T$50,0),0),FALSE))</f>
        <v>1</v>
      </c>
      <c r="D2198" t="e">
        <f>VLOOKUP(Charms!J2198,Values!$A$11:$S$59,19,0)&gt;=Charms!L2198</f>
        <v>#N/A</v>
      </c>
      <c r="E2198" t="e">
        <f>OR(ISBLANK(Charms!I2198),(VLOOKUP(Values!$S$6,Castes!$B$2:$F$25,4,0)=Charms!I2198))</f>
        <v>#N/A</v>
      </c>
      <c r="J2198" t="e">
        <f t="shared" ca="1" si="171"/>
        <v>#N/A</v>
      </c>
      <c r="K2198" s="18" t="e">
        <f t="shared" ca="1" si="170"/>
        <v>#N/A</v>
      </c>
      <c r="L2198" t="e">
        <f ca="1">IF(J2198,Charms!B2198,"")</f>
        <v>#N/A</v>
      </c>
      <c r="M2198" t="str">
        <f t="shared" ca="1" si="172"/>
        <v>-</v>
      </c>
      <c r="N2198" s="18" t="str">
        <f t="shared" si="173"/>
        <v>K1622:L5000</v>
      </c>
      <c r="O2198" t="str">
        <f t="shared" si="174"/>
        <v>A1622:A2198</v>
      </c>
    </row>
    <row r="2199" spans="1:15">
      <c r="A2199" s="18">
        <f>Charms!K2199</f>
        <v>0</v>
      </c>
      <c r="B2199">
        <f>Charms!B2199</f>
        <v>0</v>
      </c>
      <c r="C2199" t="b">
        <f ca="1">OR(Values!$S$98&gt;=Charms!M2199,IFERROR(Charms!J2199=OFFSET(Values!$A$24,MATCH("S",Values!$T$25:$T$50,0),0),FALSE))</f>
        <v>1</v>
      </c>
      <c r="D2199" t="e">
        <f>VLOOKUP(Charms!J2199,Values!$A$11:$S$59,19,0)&gt;=Charms!L2199</f>
        <v>#N/A</v>
      </c>
      <c r="E2199" t="e">
        <f>OR(ISBLANK(Charms!I2199),(VLOOKUP(Values!$S$6,Castes!$B$2:$F$25,4,0)=Charms!I2199))</f>
        <v>#N/A</v>
      </c>
      <c r="J2199" t="e">
        <f t="shared" ca="1" si="171"/>
        <v>#N/A</v>
      </c>
      <c r="K2199" s="18" t="e">
        <f t="shared" ca="1" si="170"/>
        <v>#N/A</v>
      </c>
      <c r="L2199" t="e">
        <f ca="1">IF(J2199,Charms!B2199,"")</f>
        <v>#N/A</v>
      </c>
      <c r="M2199" t="str">
        <f t="shared" ca="1" si="172"/>
        <v>-</v>
      </c>
      <c r="N2199" s="18" t="str">
        <f t="shared" si="173"/>
        <v>K1622:L5000</v>
      </c>
      <c r="O2199" t="str">
        <f t="shared" si="174"/>
        <v>A1622:A2199</v>
      </c>
    </row>
    <row r="2200" spans="1:15">
      <c r="A2200" s="18">
        <f>Charms!K2200</f>
        <v>0</v>
      </c>
      <c r="B2200">
        <f>Charms!B2200</f>
        <v>0</v>
      </c>
      <c r="C2200" t="b">
        <f ca="1">OR(Values!$S$98&gt;=Charms!M2200,IFERROR(Charms!J2200=OFFSET(Values!$A$24,MATCH("S",Values!$T$25:$T$50,0),0),FALSE))</f>
        <v>1</v>
      </c>
      <c r="D2200" t="e">
        <f>VLOOKUP(Charms!J2200,Values!$A$11:$S$59,19,0)&gt;=Charms!L2200</f>
        <v>#N/A</v>
      </c>
      <c r="E2200" t="e">
        <f>OR(ISBLANK(Charms!I2200),(VLOOKUP(Values!$S$6,Castes!$B$2:$F$25,4,0)=Charms!I2200))</f>
        <v>#N/A</v>
      </c>
      <c r="J2200" t="e">
        <f t="shared" ca="1" si="171"/>
        <v>#N/A</v>
      </c>
      <c r="K2200" s="18" t="e">
        <f t="shared" ca="1" si="170"/>
        <v>#N/A</v>
      </c>
      <c r="L2200" t="e">
        <f ca="1">IF(J2200,Charms!B2200,"")</f>
        <v>#N/A</v>
      </c>
      <c r="M2200" t="str">
        <f t="shared" ca="1" si="172"/>
        <v>-</v>
      </c>
      <c r="N2200" s="18" t="str">
        <f t="shared" si="173"/>
        <v>K1622:L5000</v>
      </c>
      <c r="O2200" t="str">
        <f t="shared" si="174"/>
        <v>A1622:A2200</v>
      </c>
    </row>
    <row r="2201" spans="1:15">
      <c r="A2201" s="18">
        <f>Charms!K2201</f>
        <v>0</v>
      </c>
      <c r="B2201">
        <f>Charms!B2201</f>
        <v>0</v>
      </c>
      <c r="C2201" t="b">
        <f ca="1">OR(Values!$S$98&gt;=Charms!M2201,IFERROR(Charms!J2201=OFFSET(Values!$A$24,MATCH("S",Values!$T$25:$T$50,0),0),FALSE))</f>
        <v>1</v>
      </c>
      <c r="D2201" t="e">
        <f>VLOOKUP(Charms!J2201,Values!$A$11:$S$59,19,0)&gt;=Charms!L2201</f>
        <v>#N/A</v>
      </c>
      <c r="E2201" t="e">
        <f>OR(ISBLANK(Charms!I2201),(VLOOKUP(Values!$S$6,Castes!$B$2:$F$25,4,0)=Charms!I2201))</f>
        <v>#N/A</v>
      </c>
      <c r="J2201" t="e">
        <f t="shared" ca="1" si="171"/>
        <v>#N/A</v>
      </c>
      <c r="K2201" s="18" t="e">
        <f t="shared" ca="1" si="170"/>
        <v>#N/A</v>
      </c>
      <c r="L2201" t="e">
        <f ca="1">IF(J2201,Charms!B2201,"")</f>
        <v>#N/A</v>
      </c>
      <c r="M2201" t="str">
        <f t="shared" ca="1" si="172"/>
        <v>-</v>
      </c>
      <c r="N2201" s="18" t="str">
        <f t="shared" si="173"/>
        <v>K1622:L5000</v>
      </c>
      <c r="O2201" t="str">
        <f t="shared" si="174"/>
        <v>A1622:A2201</v>
      </c>
    </row>
    <row r="2202" spans="1:15">
      <c r="A2202" s="18">
        <f>Charms!K2202</f>
        <v>0</v>
      </c>
      <c r="B2202">
        <f>Charms!B2202</f>
        <v>0</v>
      </c>
      <c r="C2202" t="b">
        <f ca="1">OR(Values!$S$98&gt;=Charms!M2202,IFERROR(Charms!J2202=OFFSET(Values!$A$24,MATCH("S",Values!$T$25:$T$50,0),0),FALSE))</f>
        <v>1</v>
      </c>
      <c r="D2202" t="e">
        <f>VLOOKUP(Charms!J2202,Values!$A$11:$S$59,19,0)&gt;=Charms!L2202</f>
        <v>#N/A</v>
      </c>
      <c r="E2202" t="e">
        <f>OR(ISBLANK(Charms!I2202),(VLOOKUP(Values!$S$6,Castes!$B$2:$F$25,4,0)=Charms!I2202))</f>
        <v>#N/A</v>
      </c>
      <c r="J2202" t="e">
        <f t="shared" ca="1" si="171"/>
        <v>#N/A</v>
      </c>
      <c r="K2202" s="18" t="e">
        <f t="shared" ca="1" si="170"/>
        <v>#N/A</v>
      </c>
      <c r="L2202" t="e">
        <f ca="1">IF(J2202,Charms!B2202,"")</f>
        <v>#N/A</v>
      </c>
      <c r="M2202" t="str">
        <f t="shared" ca="1" si="172"/>
        <v>-</v>
      </c>
      <c r="N2202" s="18" t="str">
        <f t="shared" si="173"/>
        <v>K1622:L5000</v>
      </c>
      <c r="O2202" t="str">
        <f t="shared" si="174"/>
        <v>A1622:A2202</v>
      </c>
    </row>
    <row r="2203" spans="1:15">
      <c r="A2203" s="18">
        <f>Charms!K2203</f>
        <v>0</v>
      </c>
      <c r="B2203">
        <f>Charms!B2203</f>
        <v>0</v>
      </c>
      <c r="C2203" t="b">
        <f ca="1">OR(Values!$S$98&gt;=Charms!M2203,IFERROR(Charms!J2203=OFFSET(Values!$A$24,MATCH("S",Values!$T$25:$T$50,0),0),FALSE))</f>
        <v>1</v>
      </c>
      <c r="D2203" t="e">
        <f>VLOOKUP(Charms!J2203,Values!$A$11:$S$59,19,0)&gt;=Charms!L2203</f>
        <v>#N/A</v>
      </c>
      <c r="E2203" t="e">
        <f>OR(ISBLANK(Charms!I2203),(VLOOKUP(Values!$S$6,Castes!$B$2:$F$25,4,0)=Charms!I2203))</f>
        <v>#N/A</v>
      </c>
      <c r="J2203" t="e">
        <f t="shared" ca="1" si="171"/>
        <v>#N/A</v>
      </c>
      <c r="K2203" s="18" t="e">
        <f t="shared" ca="1" si="170"/>
        <v>#N/A</v>
      </c>
      <c r="L2203" t="e">
        <f ca="1">IF(J2203,Charms!B2203,"")</f>
        <v>#N/A</v>
      </c>
      <c r="M2203" t="str">
        <f t="shared" ca="1" si="172"/>
        <v>-</v>
      </c>
      <c r="N2203" s="18" t="str">
        <f t="shared" si="173"/>
        <v>K1622:L5000</v>
      </c>
      <c r="O2203" t="str">
        <f t="shared" si="174"/>
        <v>A1622:A2203</v>
      </c>
    </row>
    <row r="2204" spans="1:15">
      <c r="A2204" s="18">
        <f>Charms!K2204</f>
        <v>0</v>
      </c>
      <c r="B2204">
        <f>Charms!B2204</f>
        <v>0</v>
      </c>
      <c r="C2204" t="b">
        <f ca="1">OR(Values!$S$98&gt;=Charms!M2204,IFERROR(Charms!J2204=OFFSET(Values!$A$24,MATCH("S",Values!$T$25:$T$50,0),0),FALSE))</f>
        <v>1</v>
      </c>
      <c r="D2204" t="e">
        <f>VLOOKUP(Charms!J2204,Values!$A$11:$S$59,19,0)&gt;=Charms!L2204</f>
        <v>#N/A</v>
      </c>
      <c r="E2204" t="e">
        <f>OR(ISBLANK(Charms!I2204),(VLOOKUP(Values!$S$6,Castes!$B$2:$F$25,4,0)=Charms!I2204))</f>
        <v>#N/A</v>
      </c>
      <c r="J2204" t="e">
        <f t="shared" ca="1" si="171"/>
        <v>#N/A</v>
      </c>
      <c r="K2204" s="18" t="e">
        <f t="shared" ca="1" si="170"/>
        <v>#N/A</v>
      </c>
      <c r="L2204" t="e">
        <f ca="1">IF(J2204,Charms!B2204,"")</f>
        <v>#N/A</v>
      </c>
      <c r="M2204" t="str">
        <f t="shared" ca="1" si="172"/>
        <v>-</v>
      </c>
      <c r="N2204" s="18" t="str">
        <f t="shared" si="173"/>
        <v>K1622:L5000</v>
      </c>
      <c r="O2204" t="str">
        <f t="shared" si="174"/>
        <v>A1622:A2204</v>
      </c>
    </row>
    <row r="2205" spans="1:15">
      <c r="A2205" s="18">
        <f>Charms!K2205</f>
        <v>0</v>
      </c>
      <c r="B2205">
        <f>Charms!B2205</f>
        <v>0</v>
      </c>
      <c r="C2205" t="b">
        <f ca="1">OR(Values!$S$98&gt;=Charms!M2205,IFERROR(Charms!J2205=OFFSET(Values!$A$24,MATCH("S",Values!$T$25:$T$50,0),0),FALSE))</f>
        <v>1</v>
      </c>
      <c r="D2205" t="e">
        <f>VLOOKUP(Charms!J2205,Values!$A$11:$S$59,19,0)&gt;=Charms!L2205</f>
        <v>#N/A</v>
      </c>
      <c r="E2205" t="e">
        <f>OR(ISBLANK(Charms!I2205),(VLOOKUP(Values!$S$6,Castes!$B$2:$F$25,4,0)=Charms!I2205))</f>
        <v>#N/A</v>
      </c>
      <c r="J2205" t="e">
        <f t="shared" ca="1" si="171"/>
        <v>#N/A</v>
      </c>
      <c r="K2205" s="18" t="e">
        <f t="shared" ca="1" si="170"/>
        <v>#N/A</v>
      </c>
      <c r="L2205" t="e">
        <f ca="1">IF(J2205,Charms!B2205,"")</f>
        <v>#N/A</v>
      </c>
      <c r="M2205" t="str">
        <f t="shared" ca="1" si="172"/>
        <v>-</v>
      </c>
      <c r="N2205" s="18" t="str">
        <f t="shared" si="173"/>
        <v>K1622:L5000</v>
      </c>
      <c r="O2205" t="str">
        <f t="shared" si="174"/>
        <v>A1622:A2205</v>
      </c>
    </row>
    <row r="2206" spans="1:15">
      <c r="A2206" s="18">
        <f>Charms!K2206</f>
        <v>0</v>
      </c>
      <c r="B2206">
        <f>Charms!B2206</f>
        <v>0</v>
      </c>
      <c r="C2206" t="b">
        <f ca="1">OR(Values!$S$98&gt;=Charms!M2206,IFERROR(Charms!J2206=OFFSET(Values!$A$24,MATCH("S",Values!$T$25:$T$50,0),0),FALSE))</f>
        <v>1</v>
      </c>
      <c r="D2206" t="e">
        <f>VLOOKUP(Charms!J2206,Values!$A$11:$S$59,19,0)&gt;=Charms!L2206</f>
        <v>#N/A</v>
      </c>
      <c r="E2206" t="e">
        <f>OR(ISBLANK(Charms!I2206),(VLOOKUP(Values!$S$6,Castes!$B$2:$F$25,4,0)=Charms!I2206))</f>
        <v>#N/A</v>
      </c>
      <c r="J2206" t="e">
        <f t="shared" ca="1" si="171"/>
        <v>#N/A</v>
      </c>
      <c r="K2206" s="18" t="e">
        <f t="shared" ca="1" si="170"/>
        <v>#N/A</v>
      </c>
      <c r="L2206" t="e">
        <f ca="1">IF(J2206,Charms!B2206,"")</f>
        <v>#N/A</v>
      </c>
      <c r="M2206" t="str">
        <f t="shared" ca="1" si="172"/>
        <v>-</v>
      </c>
      <c r="N2206" s="18" t="str">
        <f t="shared" si="173"/>
        <v>K1622:L5000</v>
      </c>
      <c r="O2206" t="str">
        <f t="shared" si="174"/>
        <v>A1622:A2206</v>
      </c>
    </row>
    <row r="2207" spans="1:15">
      <c r="A2207" s="18">
        <f>Charms!K2207</f>
        <v>0</v>
      </c>
      <c r="B2207">
        <f>Charms!B2207</f>
        <v>0</v>
      </c>
      <c r="C2207" t="b">
        <f ca="1">OR(Values!$S$98&gt;=Charms!M2207,IFERROR(Charms!J2207=OFFSET(Values!$A$24,MATCH("S",Values!$T$25:$T$50,0),0),FALSE))</f>
        <v>1</v>
      </c>
      <c r="D2207" t="e">
        <f>VLOOKUP(Charms!J2207,Values!$A$11:$S$59,19,0)&gt;=Charms!L2207</f>
        <v>#N/A</v>
      </c>
      <c r="E2207" t="e">
        <f>OR(ISBLANK(Charms!I2207),(VLOOKUP(Values!$S$6,Castes!$B$2:$F$25,4,0)=Charms!I2207))</f>
        <v>#N/A</v>
      </c>
      <c r="J2207" t="e">
        <f t="shared" ca="1" si="171"/>
        <v>#N/A</v>
      </c>
      <c r="K2207" s="18" t="e">
        <f t="shared" ca="1" si="170"/>
        <v>#N/A</v>
      </c>
      <c r="L2207" t="e">
        <f ca="1">IF(J2207,Charms!B2207,"")</f>
        <v>#N/A</v>
      </c>
      <c r="M2207" t="str">
        <f t="shared" ca="1" si="172"/>
        <v>-</v>
      </c>
      <c r="N2207" s="18" t="str">
        <f t="shared" si="173"/>
        <v>K1622:L5000</v>
      </c>
      <c r="O2207" t="str">
        <f t="shared" si="174"/>
        <v>A1622:A2207</v>
      </c>
    </row>
    <row r="2208" spans="1:15">
      <c r="A2208" s="18">
        <f>Charms!K2208</f>
        <v>0</v>
      </c>
      <c r="B2208">
        <f>Charms!B2208</f>
        <v>0</v>
      </c>
      <c r="C2208" t="b">
        <f ca="1">OR(Values!$S$98&gt;=Charms!M2208,IFERROR(Charms!J2208=OFFSET(Values!$A$24,MATCH("S",Values!$T$25:$T$50,0),0),FALSE))</f>
        <v>1</v>
      </c>
      <c r="D2208" t="e">
        <f>VLOOKUP(Charms!J2208,Values!$A$11:$S$59,19,0)&gt;=Charms!L2208</f>
        <v>#N/A</v>
      </c>
      <c r="E2208" t="e">
        <f>OR(ISBLANK(Charms!I2208),(VLOOKUP(Values!$S$6,Castes!$B$2:$F$25,4,0)=Charms!I2208))</f>
        <v>#N/A</v>
      </c>
      <c r="J2208" t="e">
        <f t="shared" ca="1" si="171"/>
        <v>#N/A</v>
      </c>
      <c r="K2208" s="18" t="e">
        <f t="shared" ca="1" si="170"/>
        <v>#N/A</v>
      </c>
      <c r="L2208" t="e">
        <f ca="1">IF(J2208,Charms!B2208,"")</f>
        <v>#N/A</v>
      </c>
      <c r="M2208" t="str">
        <f t="shared" ca="1" si="172"/>
        <v>-</v>
      </c>
      <c r="N2208" s="18" t="str">
        <f t="shared" si="173"/>
        <v>K1622:L5000</v>
      </c>
      <c r="O2208" t="str">
        <f t="shared" si="174"/>
        <v>A1622:A2208</v>
      </c>
    </row>
    <row r="2209" spans="1:15">
      <c r="A2209" s="18">
        <f>Charms!K2209</f>
        <v>0</v>
      </c>
      <c r="B2209">
        <f>Charms!B2209</f>
        <v>0</v>
      </c>
      <c r="C2209" t="b">
        <f ca="1">OR(Values!$S$98&gt;=Charms!M2209,IFERROR(Charms!J2209=OFFSET(Values!$A$24,MATCH("S",Values!$T$25:$T$50,0),0),FALSE))</f>
        <v>1</v>
      </c>
      <c r="D2209" t="e">
        <f>VLOOKUP(Charms!J2209,Values!$A$11:$S$59,19,0)&gt;=Charms!L2209</f>
        <v>#N/A</v>
      </c>
      <c r="E2209" t="e">
        <f>OR(ISBLANK(Charms!I2209),(VLOOKUP(Values!$S$6,Castes!$B$2:$F$25,4,0)=Charms!I2209))</f>
        <v>#N/A</v>
      </c>
      <c r="J2209" t="e">
        <f t="shared" ca="1" si="171"/>
        <v>#N/A</v>
      </c>
      <c r="K2209" s="18" t="e">
        <f t="shared" ca="1" si="170"/>
        <v>#N/A</v>
      </c>
      <c r="L2209" t="e">
        <f ca="1">IF(J2209,Charms!B2209,"")</f>
        <v>#N/A</v>
      </c>
      <c r="M2209" t="str">
        <f t="shared" ca="1" si="172"/>
        <v>-</v>
      </c>
      <c r="N2209" s="18" t="str">
        <f t="shared" si="173"/>
        <v>K1622:L5000</v>
      </c>
      <c r="O2209" t="str">
        <f t="shared" si="174"/>
        <v>A1622:A2209</v>
      </c>
    </row>
    <row r="2210" spans="1:15">
      <c r="A2210" s="18">
        <f>Charms!K2210</f>
        <v>0</v>
      </c>
      <c r="B2210">
        <f>Charms!B2210</f>
        <v>0</v>
      </c>
      <c r="C2210" t="b">
        <f ca="1">OR(Values!$S$98&gt;=Charms!M2210,IFERROR(Charms!J2210=OFFSET(Values!$A$24,MATCH("S",Values!$T$25:$T$50,0),0),FALSE))</f>
        <v>1</v>
      </c>
      <c r="D2210" t="e">
        <f>VLOOKUP(Charms!J2210,Values!$A$11:$S$59,19,0)&gt;=Charms!L2210</f>
        <v>#N/A</v>
      </c>
      <c r="E2210" t="e">
        <f>OR(ISBLANK(Charms!I2210),(VLOOKUP(Values!$S$6,Castes!$B$2:$F$25,4,0)=Charms!I2210))</f>
        <v>#N/A</v>
      </c>
      <c r="J2210" t="e">
        <f t="shared" ca="1" si="171"/>
        <v>#N/A</v>
      </c>
      <c r="K2210" s="18" t="e">
        <f t="shared" ca="1" si="170"/>
        <v>#N/A</v>
      </c>
      <c r="L2210" t="e">
        <f ca="1">IF(J2210,Charms!B2210,"")</f>
        <v>#N/A</v>
      </c>
      <c r="M2210" t="str">
        <f t="shared" ca="1" si="172"/>
        <v>-</v>
      </c>
      <c r="N2210" s="18" t="str">
        <f t="shared" si="173"/>
        <v>K1622:L5000</v>
      </c>
      <c r="O2210" t="str">
        <f t="shared" si="174"/>
        <v>A1622:A2210</v>
      </c>
    </row>
    <row r="2211" spans="1:15">
      <c r="A2211" s="18">
        <f>Charms!K2211</f>
        <v>0</v>
      </c>
      <c r="B2211">
        <f>Charms!B2211</f>
        <v>0</v>
      </c>
      <c r="C2211" t="b">
        <f ca="1">OR(Values!$S$98&gt;=Charms!M2211,IFERROR(Charms!J2211=OFFSET(Values!$A$24,MATCH("S",Values!$T$25:$T$50,0),0),FALSE))</f>
        <v>1</v>
      </c>
      <c r="D2211" t="e">
        <f>VLOOKUP(Charms!J2211,Values!$A$11:$S$59,19,0)&gt;=Charms!L2211</f>
        <v>#N/A</v>
      </c>
      <c r="E2211" t="e">
        <f>OR(ISBLANK(Charms!I2211),(VLOOKUP(Values!$S$6,Castes!$B$2:$F$25,4,0)=Charms!I2211))</f>
        <v>#N/A</v>
      </c>
      <c r="J2211" t="e">
        <f t="shared" ca="1" si="171"/>
        <v>#N/A</v>
      </c>
      <c r="K2211" s="18" t="e">
        <f t="shared" ca="1" si="170"/>
        <v>#N/A</v>
      </c>
      <c r="L2211" t="e">
        <f ca="1">IF(J2211,Charms!B2211,"")</f>
        <v>#N/A</v>
      </c>
      <c r="M2211" t="str">
        <f t="shared" ca="1" si="172"/>
        <v>-</v>
      </c>
      <c r="N2211" s="18" t="str">
        <f t="shared" si="173"/>
        <v>K1622:L5000</v>
      </c>
      <c r="O2211" t="str">
        <f t="shared" si="174"/>
        <v>A1622:A2211</v>
      </c>
    </row>
    <row r="2212" spans="1:15">
      <c r="A2212" s="18">
        <f>Charms!K2212</f>
        <v>0</v>
      </c>
      <c r="B2212">
        <f>Charms!B2212</f>
        <v>0</v>
      </c>
      <c r="C2212" t="b">
        <f ca="1">OR(Values!$S$98&gt;=Charms!M2212,IFERROR(Charms!J2212=OFFSET(Values!$A$24,MATCH("S",Values!$T$25:$T$50,0),0),FALSE))</f>
        <v>1</v>
      </c>
      <c r="D2212" t="e">
        <f>VLOOKUP(Charms!J2212,Values!$A$11:$S$59,19,0)&gt;=Charms!L2212</f>
        <v>#N/A</v>
      </c>
      <c r="E2212" t="e">
        <f>OR(ISBLANK(Charms!I2212),(VLOOKUP(Values!$S$6,Castes!$B$2:$F$25,4,0)=Charms!I2212))</f>
        <v>#N/A</v>
      </c>
      <c r="J2212" t="e">
        <f t="shared" ca="1" si="171"/>
        <v>#N/A</v>
      </c>
      <c r="K2212" s="18" t="e">
        <f t="shared" ca="1" si="170"/>
        <v>#N/A</v>
      </c>
      <c r="L2212" t="e">
        <f ca="1">IF(J2212,Charms!B2212,"")</f>
        <v>#N/A</v>
      </c>
      <c r="M2212" t="str">
        <f t="shared" ca="1" si="172"/>
        <v>-</v>
      </c>
      <c r="N2212" s="18" t="str">
        <f t="shared" si="173"/>
        <v>K1622:L5000</v>
      </c>
      <c r="O2212" t="str">
        <f t="shared" si="174"/>
        <v>A1622:A2212</v>
      </c>
    </row>
    <row r="2213" spans="1:15">
      <c r="A2213" s="18">
        <f>Charms!K2213</f>
        <v>0</v>
      </c>
      <c r="B2213">
        <f>Charms!B2213</f>
        <v>0</v>
      </c>
      <c r="C2213" t="b">
        <f ca="1">OR(Values!$S$98&gt;=Charms!M2213,IFERROR(Charms!J2213=OFFSET(Values!$A$24,MATCH("S",Values!$T$25:$T$50,0),0),FALSE))</f>
        <v>1</v>
      </c>
      <c r="D2213" t="e">
        <f>VLOOKUP(Charms!J2213,Values!$A$11:$S$59,19,0)&gt;=Charms!L2213</f>
        <v>#N/A</v>
      </c>
      <c r="E2213" t="e">
        <f>OR(ISBLANK(Charms!I2213),(VLOOKUP(Values!$S$6,Castes!$B$2:$F$25,4,0)=Charms!I2213))</f>
        <v>#N/A</v>
      </c>
      <c r="J2213" t="e">
        <f t="shared" ca="1" si="171"/>
        <v>#N/A</v>
      </c>
      <c r="K2213" s="18" t="e">
        <f t="shared" ca="1" si="170"/>
        <v>#N/A</v>
      </c>
      <c r="L2213" t="e">
        <f ca="1">IF(J2213,Charms!B2213,"")</f>
        <v>#N/A</v>
      </c>
      <c r="M2213" t="str">
        <f t="shared" ca="1" si="172"/>
        <v>-</v>
      </c>
      <c r="N2213" s="18" t="str">
        <f t="shared" si="173"/>
        <v>K1622:L5000</v>
      </c>
      <c r="O2213" t="str">
        <f t="shared" si="174"/>
        <v>A1622:A2213</v>
      </c>
    </row>
    <row r="2214" spans="1:15">
      <c r="A2214" s="18">
        <f>Charms!K2214</f>
        <v>0</v>
      </c>
      <c r="B2214">
        <f>Charms!B2214</f>
        <v>0</v>
      </c>
      <c r="C2214" t="b">
        <f ca="1">OR(Values!$S$98&gt;=Charms!M2214,IFERROR(Charms!J2214=OFFSET(Values!$A$24,MATCH("S",Values!$T$25:$T$50,0),0),FALSE))</f>
        <v>1</v>
      </c>
      <c r="D2214" t="e">
        <f>VLOOKUP(Charms!J2214,Values!$A$11:$S$59,19,0)&gt;=Charms!L2214</f>
        <v>#N/A</v>
      </c>
      <c r="E2214" t="e">
        <f>OR(ISBLANK(Charms!I2214),(VLOOKUP(Values!$S$6,Castes!$B$2:$F$25,4,0)=Charms!I2214))</f>
        <v>#N/A</v>
      </c>
      <c r="J2214" t="e">
        <f t="shared" ca="1" si="171"/>
        <v>#N/A</v>
      </c>
      <c r="K2214" s="18" t="e">
        <f t="shared" ca="1" si="170"/>
        <v>#N/A</v>
      </c>
      <c r="L2214" t="e">
        <f ca="1">IF(J2214,Charms!B2214,"")</f>
        <v>#N/A</v>
      </c>
      <c r="M2214" t="str">
        <f t="shared" ca="1" si="172"/>
        <v>-</v>
      </c>
      <c r="N2214" s="18" t="str">
        <f t="shared" si="173"/>
        <v>K1622:L5000</v>
      </c>
      <c r="O2214" t="str">
        <f t="shared" si="174"/>
        <v>A1622:A2214</v>
      </c>
    </row>
    <row r="2215" spans="1:15">
      <c r="A2215" s="18">
        <f>Charms!K2215</f>
        <v>0</v>
      </c>
      <c r="B2215">
        <f>Charms!B2215</f>
        <v>0</v>
      </c>
      <c r="C2215" t="b">
        <f ca="1">OR(Values!$S$98&gt;=Charms!M2215,IFERROR(Charms!J2215=OFFSET(Values!$A$24,MATCH("S",Values!$T$25:$T$50,0),0),FALSE))</f>
        <v>1</v>
      </c>
      <c r="D2215" t="e">
        <f>VLOOKUP(Charms!J2215,Values!$A$11:$S$59,19,0)&gt;=Charms!L2215</f>
        <v>#N/A</v>
      </c>
      <c r="E2215" t="e">
        <f>OR(ISBLANK(Charms!I2215),(VLOOKUP(Values!$S$6,Castes!$B$2:$F$25,4,0)=Charms!I2215))</f>
        <v>#N/A</v>
      </c>
      <c r="J2215" t="e">
        <f t="shared" ca="1" si="171"/>
        <v>#N/A</v>
      </c>
      <c r="K2215" s="18" t="e">
        <f t="shared" ca="1" si="170"/>
        <v>#N/A</v>
      </c>
      <c r="L2215" t="e">
        <f ca="1">IF(J2215,Charms!B2215,"")</f>
        <v>#N/A</v>
      </c>
      <c r="M2215" t="str">
        <f t="shared" ca="1" si="172"/>
        <v>-</v>
      </c>
      <c r="N2215" s="18" t="str">
        <f t="shared" si="173"/>
        <v>K1622:L5000</v>
      </c>
      <c r="O2215" t="str">
        <f t="shared" si="174"/>
        <v>A1622:A2215</v>
      </c>
    </row>
    <row r="2216" spans="1:15">
      <c r="A2216" s="18">
        <f>Charms!K2216</f>
        <v>0</v>
      </c>
      <c r="B2216">
        <f>Charms!B2216</f>
        <v>0</v>
      </c>
      <c r="C2216" t="b">
        <f ca="1">OR(Values!$S$98&gt;=Charms!M2216,IFERROR(Charms!J2216=OFFSET(Values!$A$24,MATCH("S",Values!$T$25:$T$50,0),0),FALSE))</f>
        <v>1</v>
      </c>
      <c r="D2216" t="e">
        <f>VLOOKUP(Charms!J2216,Values!$A$11:$S$59,19,0)&gt;=Charms!L2216</f>
        <v>#N/A</v>
      </c>
      <c r="E2216" t="e">
        <f>OR(ISBLANK(Charms!I2216),(VLOOKUP(Values!$S$6,Castes!$B$2:$F$25,4,0)=Charms!I2216))</f>
        <v>#N/A</v>
      </c>
      <c r="J2216" t="e">
        <f t="shared" ca="1" si="171"/>
        <v>#N/A</v>
      </c>
      <c r="K2216" s="18" t="e">
        <f t="shared" ca="1" si="170"/>
        <v>#N/A</v>
      </c>
      <c r="L2216" t="e">
        <f ca="1">IF(J2216,Charms!B2216,"")</f>
        <v>#N/A</v>
      </c>
      <c r="M2216" t="str">
        <f t="shared" ca="1" si="172"/>
        <v>-</v>
      </c>
      <c r="N2216" s="18" t="str">
        <f t="shared" si="173"/>
        <v>K1622:L5000</v>
      </c>
      <c r="O2216" t="str">
        <f t="shared" si="174"/>
        <v>A1622:A2216</v>
      </c>
    </row>
    <row r="2217" spans="1:15">
      <c r="A2217" s="18">
        <f>Charms!K2217</f>
        <v>0</v>
      </c>
      <c r="B2217">
        <f>Charms!B2217</f>
        <v>0</v>
      </c>
      <c r="C2217" t="b">
        <f ca="1">OR(Values!$S$98&gt;=Charms!M2217,IFERROR(Charms!J2217=OFFSET(Values!$A$24,MATCH("S",Values!$T$25:$T$50,0),0),FALSE))</f>
        <v>1</v>
      </c>
      <c r="D2217" t="e">
        <f>VLOOKUP(Charms!J2217,Values!$A$11:$S$59,19,0)&gt;=Charms!L2217</f>
        <v>#N/A</v>
      </c>
      <c r="E2217" t="e">
        <f>OR(ISBLANK(Charms!I2217),(VLOOKUP(Values!$S$6,Castes!$B$2:$F$25,4,0)=Charms!I2217))</f>
        <v>#N/A</v>
      </c>
      <c r="J2217" t="e">
        <f t="shared" ca="1" si="171"/>
        <v>#N/A</v>
      </c>
      <c r="K2217" s="18" t="e">
        <f t="shared" ca="1" si="170"/>
        <v>#N/A</v>
      </c>
      <c r="L2217" t="e">
        <f ca="1">IF(J2217,Charms!B2217,"")</f>
        <v>#N/A</v>
      </c>
      <c r="M2217" t="str">
        <f t="shared" ca="1" si="172"/>
        <v>-</v>
      </c>
      <c r="N2217" s="18" t="str">
        <f t="shared" si="173"/>
        <v>K1622:L5000</v>
      </c>
      <c r="O2217" t="str">
        <f t="shared" si="174"/>
        <v>A1622:A2217</v>
      </c>
    </row>
    <row r="2218" spans="1:15">
      <c r="A2218" s="18">
        <f>Charms!K2218</f>
        <v>0</v>
      </c>
      <c r="B2218">
        <f>Charms!B2218</f>
        <v>0</v>
      </c>
      <c r="C2218" t="b">
        <f ca="1">OR(Values!$S$98&gt;=Charms!M2218,IFERROR(Charms!J2218=OFFSET(Values!$A$24,MATCH("S",Values!$T$25:$T$50,0),0),FALSE))</f>
        <v>1</v>
      </c>
      <c r="D2218" t="e">
        <f>VLOOKUP(Charms!J2218,Values!$A$11:$S$59,19,0)&gt;=Charms!L2218</f>
        <v>#N/A</v>
      </c>
      <c r="E2218" t="e">
        <f>OR(ISBLANK(Charms!I2218),(VLOOKUP(Values!$S$6,Castes!$B$2:$F$25,4,0)=Charms!I2218))</f>
        <v>#N/A</v>
      </c>
      <c r="J2218" t="e">
        <f t="shared" ca="1" si="171"/>
        <v>#N/A</v>
      </c>
      <c r="K2218" s="18" t="e">
        <f t="shared" ca="1" si="170"/>
        <v>#N/A</v>
      </c>
      <c r="L2218" t="e">
        <f ca="1">IF(J2218,Charms!B2218,"")</f>
        <v>#N/A</v>
      </c>
      <c r="M2218" t="str">
        <f t="shared" ca="1" si="172"/>
        <v>-</v>
      </c>
      <c r="N2218" s="18" t="str">
        <f t="shared" si="173"/>
        <v>K1622:L5000</v>
      </c>
      <c r="O2218" t="str">
        <f t="shared" si="174"/>
        <v>A1622:A2218</v>
      </c>
    </row>
    <row r="2219" spans="1:15">
      <c r="A2219" s="18">
        <f>Charms!K2219</f>
        <v>0</v>
      </c>
      <c r="B2219">
        <f>Charms!B2219</f>
        <v>0</v>
      </c>
      <c r="C2219" t="b">
        <f ca="1">OR(Values!$S$98&gt;=Charms!M2219,IFERROR(Charms!J2219=OFFSET(Values!$A$24,MATCH("S",Values!$T$25:$T$50,0),0),FALSE))</f>
        <v>1</v>
      </c>
      <c r="D2219" t="e">
        <f>VLOOKUP(Charms!J2219,Values!$A$11:$S$59,19,0)&gt;=Charms!L2219</f>
        <v>#N/A</v>
      </c>
      <c r="E2219" t="e">
        <f>OR(ISBLANK(Charms!I2219),(VLOOKUP(Values!$S$6,Castes!$B$2:$F$25,4,0)=Charms!I2219))</f>
        <v>#N/A</v>
      </c>
      <c r="J2219" t="e">
        <f t="shared" ca="1" si="171"/>
        <v>#N/A</v>
      </c>
      <c r="K2219" s="18" t="e">
        <f t="shared" ca="1" si="170"/>
        <v>#N/A</v>
      </c>
      <c r="L2219" t="e">
        <f ca="1">IF(J2219,Charms!B2219,"")</f>
        <v>#N/A</v>
      </c>
      <c r="M2219" t="str">
        <f t="shared" ca="1" si="172"/>
        <v>-</v>
      </c>
      <c r="N2219" s="18" t="str">
        <f t="shared" si="173"/>
        <v>K1622:L5000</v>
      </c>
      <c r="O2219" t="str">
        <f t="shared" si="174"/>
        <v>A1622:A2219</v>
      </c>
    </row>
    <row r="2220" spans="1:15">
      <c r="A2220" s="18">
        <f>Charms!K2220</f>
        <v>0</v>
      </c>
      <c r="B2220">
        <f>Charms!B2220</f>
        <v>0</v>
      </c>
      <c r="C2220" t="b">
        <f ca="1">OR(Values!$S$98&gt;=Charms!M2220,IFERROR(Charms!J2220=OFFSET(Values!$A$24,MATCH("S",Values!$T$25:$T$50,0),0),FALSE))</f>
        <v>1</v>
      </c>
      <c r="D2220" t="e">
        <f>VLOOKUP(Charms!J2220,Values!$A$11:$S$59,19,0)&gt;=Charms!L2220</f>
        <v>#N/A</v>
      </c>
      <c r="E2220" t="e">
        <f>OR(ISBLANK(Charms!I2220),(VLOOKUP(Values!$S$6,Castes!$B$2:$F$25,4,0)=Charms!I2220))</f>
        <v>#N/A</v>
      </c>
      <c r="J2220" t="e">
        <f t="shared" ca="1" si="171"/>
        <v>#N/A</v>
      </c>
      <c r="K2220" s="18" t="e">
        <f t="shared" ca="1" si="170"/>
        <v>#N/A</v>
      </c>
      <c r="L2220" t="e">
        <f ca="1">IF(J2220,Charms!B2220,"")</f>
        <v>#N/A</v>
      </c>
      <c r="M2220" t="str">
        <f t="shared" ca="1" si="172"/>
        <v>-</v>
      </c>
      <c r="N2220" s="18" t="str">
        <f t="shared" si="173"/>
        <v>K1622:L5000</v>
      </c>
      <c r="O2220" t="str">
        <f t="shared" si="174"/>
        <v>A1622:A2220</v>
      </c>
    </row>
    <row r="2221" spans="1:15">
      <c r="A2221" s="18">
        <f>Charms!K2221</f>
        <v>0</v>
      </c>
      <c r="B2221">
        <f>Charms!B2221</f>
        <v>0</v>
      </c>
      <c r="C2221" t="b">
        <f ca="1">OR(Values!$S$98&gt;=Charms!M2221,IFERROR(Charms!J2221=OFFSET(Values!$A$24,MATCH("S",Values!$T$25:$T$50,0),0),FALSE))</f>
        <v>1</v>
      </c>
      <c r="D2221" t="e">
        <f>VLOOKUP(Charms!J2221,Values!$A$11:$S$59,19,0)&gt;=Charms!L2221</f>
        <v>#N/A</v>
      </c>
      <c r="E2221" t="e">
        <f>OR(ISBLANK(Charms!I2221),(VLOOKUP(Values!$S$6,Castes!$B$2:$F$25,4,0)=Charms!I2221))</f>
        <v>#N/A</v>
      </c>
      <c r="J2221" t="e">
        <f t="shared" ca="1" si="171"/>
        <v>#N/A</v>
      </c>
      <c r="K2221" s="18" t="e">
        <f t="shared" ca="1" si="170"/>
        <v>#N/A</v>
      </c>
      <c r="L2221" t="e">
        <f ca="1">IF(J2221,Charms!B2221,"")</f>
        <v>#N/A</v>
      </c>
      <c r="M2221" t="str">
        <f t="shared" ca="1" si="172"/>
        <v>-</v>
      </c>
      <c r="N2221" s="18" t="str">
        <f t="shared" si="173"/>
        <v>K1622:L5000</v>
      </c>
      <c r="O2221" t="str">
        <f t="shared" si="174"/>
        <v>A1622:A2221</v>
      </c>
    </row>
    <row r="2222" spans="1:15">
      <c r="A2222" s="18">
        <f>Charms!K2222</f>
        <v>0</v>
      </c>
      <c r="B2222">
        <f>Charms!B2222</f>
        <v>0</v>
      </c>
      <c r="C2222" t="b">
        <f ca="1">OR(Values!$S$98&gt;=Charms!M2222,IFERROR(Charms!J2222=OFFSET(Values!$A$24,MATCH("S",Values!$T$25:$T$50,0),0),FALSE))</f>
        <v>1</v>
      </c>
      <c r="D2222" t="e">
        <f>VLOOKUP(Charms!J2222,Values!$A$11:$S$59,19,0)&gt;=Charms!L2222</f>
        <v>#N/A</v>
      </c>
      <c r="E2222" t="e">
        <f>OR(ISBLANK(Charms!I2222),(VLOOKUP(Values!$S$6,Castes!$B$2:$F$25,4,0)=Charms!I2222))</f>
        <v>#N/A</v>
      </c>
      <c r="J2222" t="e">
        <f t="shared" ca="1" si="171"/>
        <v>#N/A</v>
      </c>
      <c r="K2222" s="18" t="e">
        <f t="shared" ca="1" si="170"/>
        <v>#N/A</v>
      </c>
      <c r="L2222" t="e">
        <f ca="1">IF(J2222,Charms!B2222,"")</f>
        <v>#N/A</v>
      </c>
      <c r="M2222" t="str">
        <f t="shared" ca="1" si="172"/>
        <v>-</v>
      </c>
      <c r="N2222" s="18" t="str">
        <f t="shared" si="173"/>
        <v>K1622:L5000</v>
      </c>
      <c r="O2222" t="str">
        <f t="shared" si="174"/>
        <v>A1622:A2222</v>
      </c>
    </row>
    <row r="2223" spans="1:15">
      <c r="A2223" s="18">
        <f>Charms!K2223</f>
        <v>0</v>
      </c>
      <c r="B2223">
        <f>Charms!B2223</f>
        <v>0</v>
      </c>
      <c r="C2223" t="b">
        <f ca="1">OR(Values!$S$98&gt;=Charms!M2223,IFERROR(Charms!J2223=OFFSET(Values!$A$24,MATCH("S",Values!$T$25:$T$50,0),0),FALSE))</f>
        <v>1</v>
      </c>
      <c r="D2223" t="e">
        <f>VLOOKUP(Charms!J2223,Values!$A$11:$S$59,19,0)&gt;=Charms!L2223</f>
        <v>#N/A</v>
      </c>
      <c r="E2223" t="e">
        <f>OR(ISBLANK(Charms!I2223),(VLOOKUP(Values!$S$6,Castes!$B$2:$F$25,4,0)=Charms!I2223))</f>
        <v>#N/A</v>
      </c>
      <c r="J2223" t="e">
        <f t="shared" ca="1" si="171"/>
        <v>#N/A</v>
      </c>
      <c r="K2223" s="18" t="e">
        <f t="shared" ca="1" si="170"/>
        <v>#N/A</v>
      </c>
      <c r="L2223" t="e">
        <f ca="1">IF(J2223,Charms!B2223,"")</f>
        <v>#N/A</v>
      </c>
      <c r="M2223" t="str">
        <f t="shared" ca="1" si="172"/>
        <v>-</v>
      </c>
      <c r="N2223" s="18" t="str">
        <f t="shared" si="173"/>
        <v>K1622:L5000</v>
      </c>
      <c r="O2223" t="str">
        <f t="shared" si="174"/>
        <v>A1622:A2223</v>
      </c>
    </row>
    <row r="2224" spans="1:15">
      <c r="A2224" s="18">
        <f>Charms!K2224</f>
        <v>0</v>
      </c>
      <c r="B2224">
        <f>Charms!B2224</f>
        <v>0</v>
      </c>
      <c r="C2224" t="b">
        <f ca="1">OR(Values!$S$98&gt;=Charms!M2224,IFERROR(Charms!J2224=OFFSET(Values!$A$24,MATCH("S",Values!$T$25:$T$50,0),0),FALSE))</f>
        <v>1</v>
      </c>
      <c r="D2224" t="e">
        <f>VLOOKUP(Charms!J2224,Values!$A$11:$S$59,19,0)&gt;=Charms!L2224</f>
        <v>#N/A</v>
      </c>
      <c r="E2224" t="e">
        <f>OR(ISBLANK(Charms!I2224),(VLOOKUP(Values!$S$6,Castes!$B$2:$F$25,4,0)=Charms!I2224))</f>
        <v>#N/A</v>
      </c>
      <c r="J2224" t="e">
        <f t="shared" ca="1" si="171"/>
        <v>#N/A</v>
      </c>
      <c r="K2224" s="18" t="e">
        <f t="shared" ca="1" si="170"/>
        <v>#N/A</v>
      </c>
      <c r="L2224" t="e">
        <f ca="1">IF(J2224,Charms!B2224,"")</f>
        <v>#N/A</v>
      </c>
      <c r="M2224" t="str">
        <f t="shared" ca="1" si="172"/>
        <v>-</v>
      </c>
      <c r="N2224" s="18" t="str">
        <f t="shared" si="173"/>
        <v>K1622:L5000</v>
      </c>
      <c r="O2224" t="str">
        <f t="shared" si="174"/>
        <v>A1622:A2224</v>
      </c>
    </row>
    <row r="2225" spans="1:15">
      <c r="A2225" s="18">
        <f>Charms!K2225</f>
        <v>0</v>
      </c>
      <c r="B2225">
        <f>Charms!B2225</f>
        <v>0</v>
      </c>
      <c r="C2225" t="b">
        <f ca="1">OR(Values!$S$98&gt;=Charms!M2225,IFERROR(Charms!J2225=OFFSET(Values!$A$24,MATCH("S",Values!$T$25:$T$50,0),0),FALSE))</f>
        <v>1</v>
      </c>
      <c r="D2225" t="e">
        <f>VLOOKUP(Charms!J2225,Values!$A$11:$S$59,19,0)&gt;=Charms!L2225</f>
        <v>#N/A</v>
      </c>
      <c r="E2225" t="e">
        <f>OR(ISBLANK(Charms!I2225),(VLOOKUP(Values!$S$6,Castes!$B$2:$F$25,4,0)=Charms!I2225))</f>
        <v>#N/A</v>
      </c>
      <c r="J2225" t="e">
        <f t="shared" ca="1" si="171"/>
        <v>#N/A</v>
      </c>
      <c r="K2225" s="18" t="e">
        <f t="shared" ca="1" si="170"/>
        <v>#N/A</v>
      </c>
      <c r="L2225" t="e">
        <f ca="1">IF(J2225,Charms!B2225,"")</f>
        <v>#N/A</v>
      </c>
      <c r="M2225" t="str">
        <f t="shared" ca="1" si="172"/>
        <v>-</v>
      </c>
      <c r="N2225" s="18" t="str">
        <f t="shared" si="173"/>
        <v>K1622:L5000</v>
      </c>
      <c r="O2225" t="str">
        <f t="shared" si="174"/>
        <v>A1622:A2225</v>
      </c>
    </row>
    <row r="2226" spans="1:15">
      <c r="A2226" s="18">
        <f>Charms!K2226</f>
        <v>0</v>
      </c>
      <c r="B2226">
        <f>Charms!B2226</f>
        <v>0</v>
      </c>
      <c r="C2226" t="b">
        <f ca="1">OR(Values!$S$98&gt;=Charms!M2226,IFERROR(Charms!J2226=OFFSET(Values!$A$24,MATCH("S",Values!$T$25:$T$50,0),0),FALSE))</f>
        <v>1</v>
      </c>
      <c r="D2226" t="e">
        <f>VLOOKUP(Charms!J2226,Values!$A$11:$S$59,19,0)&gt;=Charms!L2226</f>
        <v>#N/A</v>
      </c>
      <c r="E2226" t="e">
        <f>OR(ISBLANK(Charms!I2226),(VLOOKUP(Values!$S$6,Castes!$B$2:$F$25,4,0)=Charms!I2226))</f>
        <v>#N/A</v>
      </c>
      <c r="J2226" t="e">
        <f t="shared" ca="1" si="171"/>
        <v>#N/A</v>
      </c>
      <c r="K2226" s="18" t="e">
        <f t="shared" ca="1" si="170"/>
        <v>#N/A</v>
      </c>
      <c r="L2226" t="e">
        <f ca="1">IF(J2226,Charms!B2226,"")</f>
        <v>#N/A</v>
      </c>
      <c r="M2226" t="str">
        <f t="shared" ca="1" si="172"/>
        <v>-</v>
      </c>
      <c r="N2226" s="18" t="str">
        <f t="shared" si="173"/>
        <v>K1622:L5000</v>
      </c>
      <c r="O2226" t="str">
        <f t="shared" si="174"/>
        <v>A1622:A2226</v>
      </c>
    </row>
    <row r="2227" spans="1:15">
      <c r="A2227" s="18">
        <f>Charms!K2227</f>
        <v>0</v>
      </c>
      <c r="B2227">
        <f>Charms!B2227</f>
        <v>0</v>
      </c>
      <c r="C2227" t="b">
        <f ca="1">OR(Values!$S$98&gt;=Charms!M2227,IFERROR(Charms!J2227=OFFSET(Values!$A$24,MATCH("S",Values!$T$25:$T$50,0),0),FALSE))</f>
        <v>1</v>
      </c>
      <c r="D2227" t="e">
        <f>VLOOKUP(Charms!J2227,Values!$A$11:$S$59,19,0)&gt;=Charms!L2227</f>
        <v>#N/A</v>
      </c>
      <c r="E2227" t="e">
        <f>OR(ISBLANK(Charms!I2227),(VLOOKUP(Values!$S$6,Castes!$B$2:$F$25,4,0)=Charms!I2227))</f>
        <v>#N/A</v>
      </c>
      <c r="J2227" t="e">
        <f t="shared" ca="1" si="171"/>
        <v>#N/A</v>
      </c>
      <c r="K2227" s="18" t="e">
        <f t="shared" ca="1" si="170"/>
        <v>#N/A</v>
      </c>
      <c r="L2227" t="e">
        <f ca="1">IF(J2227,Charms!B2227,"")</f>
        <v>#N/A</v>
      </c>
      <c r="M2227" t="str">
        <f t="shared" ca="1" si="172"/>
        <v>-</v>
      </c>
      <c r="N2227" s="18" t="str">
        <f t="shared" si="173"/>
        <v>K1622:L5000</v>
      </c>
      <c r="O2227" t="str">
        <f t="shared" si="174"/>
        <v>A1622:A2227</v>
      </c>
    </row>
    <row r="2228" spans="1:15">
      <c r="A2228" s="18">
        <f>Charms!K2228</f>
        <v>0</v>
      </c>
      <c r="B2228">
        <f>Charms!B2228</f>
        <v>0</v>
      </c>
      <c r="C2228" t="b">
        <f ca="1">OR(Values!$S$98&gt;=Charms!M2228,IFERROR(Charms!J2228=OFFSET(Values!$A$24,MATCH("S",Values!$T$25:$T$50,0),0),FALSE))</f>
        <v>1</v>
      </c>
      <c r="D2228" t="e">
        <f>VLOOKUP(Charms!J2228,Values!$A$11:$S$59,19,0)&gt;=Charms!L2228</f>
        <v>#N/A</v>
      </c>
      <c r="E2228" t="e">
        <f>OR(ISBLANK(Charms!I2228),(VLOOKUP(Values!$S$6,Castes!$B$2:$F$25,4,0)=Charms!I2228))</f>
        <v>#N/A</v>
      </c>
      <c r="J2228" t="e">
        <f t="shared" ca="1" si="171"/>
        <v>#N/A</v>
      </c>
      <c r="K2228" s="18" t="e">
        <f t="shared" ca="1" si="170"/>
        <v>#N/A</v>
      </c>
      <c r="L2228" t="e">
        <f ca="1">IF(J2228,Charms!B2228,"")</f>
        <v>#N/A</v>
      </c>
      <c r="M2228" t="str">
        <f t="shared" ca="1" si="172"/>
        <v>-</v>
      </c>
      <c r="N2228" s="18" t="str">
        <f t="shared" si="173"/>
        <v>K1622:L5000</v>
      </c>
      <c r="O2228" t="str">
        <f t="shared" si="174"/>
        <v>A1622:A2228</v>
      </c>
    </row>
    <row r="2229" spans="1:15">
      <c r="A2229" s="18">
        <f>Charms!K2229</f>
        <v>0</v>
      </c>
      <c r="B2229">
        <f>Charms!B2229</f>
        <v>0</v>
      </c>
      <c r="C2229" t="b">
        <f ca="1">OR(Values!$S$98&gt;=Charms!M2229,IFERROR(Charms!J2229=OFFSET(Values!$A$24,MATCH("S",Values!$T$25:$T$50,0),0),FALSE))</f>
        <v>1</v>
      </c>
      <c r="D2229" t="e">
        <f>VLOOKUP(Charms!J2229,Values!$A$11:$S$59,19,0)&gt;=Charms!L2229</f>
        <v>#N/A</v>
      </c>
      <c r="E2229" t="e">
        <f>OR(ISBLANK(Charms!I2229),(VLOOKUP(Values!$S$6,Castes!$B$2:$F$25,4,0)=Charms!I2229))</f>
        <v>#N/A</v>
      </c>
      <c r="J2229" t="e">
        <f t="shared" ca="1" si="171"/>
        <v>#N/A</v>
      </c>
      <c r="K2229" s="18" t="e">
        <f t="shared" ca="1" si="170"/>
        <v>#N/A</v>
      </c>
      <c r="L2229" t="e">
        <f ca="1">IF(J2229,Charms!B2229,"")</f>
        <v>#N/A</v>
      </c>
      <c r="M2229" t="str">
        <f t="shared" ca="1" si="172"/>
        <v>-</v>
      </c>
      <c r="N2229" s="18" t="str">
        <f t="shared" si="173"/>
        <v>K1622:L5000</v>
      </c>
      <c r="O2229" t="str">
        <f t="shared" si="174"/>
        <v>A1622:A2229</v>
      </c>
    </row>
    <row r="2230" spans="1:15">
      <c r="A2230" s="18">
        <f>Charms!K2230</f>
        <v>0</v>
      </c>
      <c r="B2230">
        <f>Charms!B2230</f>
        <v>0</v>
      </c>
      <c r="C2230" t="b">
        <f ca="1">OR(Values!$S$98&gt;=Charms!M2230,IFERROR(Charms!J2230=OFFSET(Values!$A$24,MATCH("S",Values!$T$25:$T$50,0),0),FALSE))</f>
        <v>1</v>
      </c>
      <c r="D2230" t="e">
        <f>VLOOKUP(Charms!J2230,Values!$A$11:$S$59,19,0)&gt;=Charms!L2230</f>
        <v>#N/A</v>
      </c>
      <c r="E2230" t="e">
        <f>OR(ISBLANK(Charms!I2230),(VLOOKUP(Values!$S$6,Castes!$B$2:$F$25,4,0)=Charms!I2230))</f>
        <v>#N/A</v>
      </c>
      <c r="J2230" t="e">
        <f t="shared" ca="1" si="171"/>
        <v>#N/A</v>
      </c>
      <c r="K2230" s="18" t="e">
        <f t="shared" ca="1" si="170"/>
        <v>#N/A</v>
      </c>
      <c r="L2230" t="e">
        <f ca="1">IF(J2230,Charms!B2230,"")</f>
        <v>#N/A</v>
      </c>
      <c r="M2230" t="str">
        <f t="shared" ca="1" si="172"/>
        <v>-</v>
      </c>
      <c r="N2230" s="18" t="str">
        <f t="shared" si="173"/>
        <v>K1622:L5000</v>
      </c>
      <c r="O2230" t="str">
        <f t="shared" si="174"/>
        <v>A1622:A2230</v>
      </c>
    </row>
    <row r="2231" spans="1:15">
      <c r="A2231" s="18">
        <f>Charms!K2231</f>
        <v>0</v>
      </c>
      <c r="B2231">
        <f>Charms!B2231</f>
        <v>0</v>
      </c>
      <c r="C2231" t="b">
        <f ca="1">OR(Values!$S$98&gt;=Charms!M2231,IFERROR(Charms!J2231=OFFSET(Values!$A$24,MATCH("S",Values!$T$25:$T$50,0),0),FALSE))</f>
        <v>1</v>
      </c>
      <c r="D2231" t="e">
        <f>VLOOKUP(Charms!J2231,Values!$A$11:$S$59,19,0)&gt;=Charms!L2231</f>
        <v>#N/A</v>
      </c>
      <c r="E2231" t="e">
        <f>OR(ISBLANK(Charms!I2231),(VLOOKUP(Values!$S$6,Castes!$B$2:$F$25,4,0)=Charms!I2231))</f>
        <v>#N/A</v>
      </c>
      <c r="J2231" t="e">
        <f t="shared" ca="1" si="171"/>
        <v>#N/A</v>
      </c>
      <c r="K2231" s="18" t="e">
        <f t="shared" ca="1" si="170"/>
        <v>#N/A</v>
      </c>
      <c r="L2231" t="e">
        <f ca="1">IF(J2231,Charms!B2231,"")</f>
        <v>#N/A</v>
      </c>
      <c r="M2231" t="str">
        <f t="shared" ca="1" si="172"/>
        <v>-</v>
      </c>
      <c r="N2231" s="18" t="str">
        <f t="shared" si="173"/>
        <v>K1622:L5000</v>
      </c>
      <c r="O2231" t="str">
        <f t="shared" si="174"/>
        <v>A1622:A2231</v>
      </c>
    </row>
    <row r="2232" spans="1:15">
      <c r="A2232" s="18">
        <f>Charms!K2232</f>
        <v>0</v>
      </c>
      <c r="B2232">
        <f>Charms!B2232</f>
        <v>0</v>
      </c>
      <c r="C2232" t="b">
        <f ca="1">OR(Values!$S$98&gt;=Charms!M2232,IFERROR(Charms!J2232=OFFSET(Values!$A$24,MATCH("S",Values!$T$25:$T$50,0),0),FALSE))</f>
        <v>1</v>
      </c>
      <c r="D2232" t="e">
        <f>VLOOKUP(Charms!J2232,Values!$A$11:$S$59,19,0)&gt;=Charms!L2232</f>
        <v>#N/A</v>
      </c>
      <c r="E2232" t="e">
        <f>OR(ISBLANK(Charms!I2232),(VLOOKUP(Values!$S$6,Castes!$B$2:$F$25,4,0)=Charms!I2232))</f>
        <v>#N/A</v>
      </c>
      <c r="J2232" t="e">
        <f t="shared" ca="1" si="171"/>
        <v>#N/A</v>
      </c>
      <c r="K2232" s="18" t="e">
        <f t="shared" ca="1" si="170"/>
        <v>#N/A</v>
      </c>
      <c r="L2232" t="e">
        <f ca="1">IF(J2232,Charms!B2232,"")</f>
        <v>#N/A</v>
      </c>
      <c r="M2232" t="str">
        <f t="shared" ca="1" si="172"/>
        <v>-</v>
      </c>
      <c r="N2232" s="18" t="str">
        <f t="shared" si="173"/>
        <v>K1622:L5000</v>
      </c>
      <c r="O2232" t="str">
        <f t="shared" si="174"/>
        <v>A1622:A2232</v>
      </c>
    </row>
    <row r="2233" spans="1:15">
      <c r="A2233" s="18">
        <f>Charms!K2233</f>
        <v>0</v>
      </c>
      <c r="B2233">
        <f>Charms!B2233</f>
        <v>0</v>
      </c>
      <c r="C2233" t="b">
        <f ca="1">OR(Values!$S$98&gt;=Charms!M2233,IFERROR(Charms!J2233=OFFSET(Values!$A$24,MATCH("S",Values!$T$25:$T$50,0),0),FALSE))</f>
        <v>1</v>
      </c>
      <c r="D2233" t="e">
        <f>VLOOKUP(Charms!J2233,Values!$A$11:$S$59,19,0)&gt;=Charms!L2233</f>
        <v>#N/A</v>
      </c>
      <c r="E2233" t="e">
        <f>OR(ISBLANK(Charms!I2233),(VLOOKUP(Values!$S$6,Castes!$B$2:$F$25,4,0)=Charms!I2233))</f>
        <v>#N/A</v>
      </c>
      <c r="J2233" t="e">
        <f t="shared" ca="1" si="171"/>
        <v>#N/A</v>
      </c>
      <c r="K2233" s="18" t="e">
        <f t="shared" ca="1" si="170"/>
        <v>#N/A</v>
      </c>
      <c r="L2233" t="e">
        <f ca="1">IF(J2233,Charms!B2233,"")</f>
        <v>#N/A</v>
      </c>
      <c r="M2233" t="str">
        <f t="shared" ca="1" si="172"/>
        <v>-</v>
      </c>
      <c r="N2233" s="18" t="str">
        <f t="shared" si="173"/>
        <v>K1622:L5000</v>
      </c>
      <c r="O2233" t="str">
        <f t="shared" si="174"/>
        <v>A1622:A2233</v>
      </c>
    </row>
    <row r="2234" spans="1:15">
      <c r="A2234" s="18">
        <f>Charms!K2234</f>
        <v>0</v>
      </c>
      <c r="B2234">
        <f>Charms!B2234</f>
        <v>0</v>
      </c>
      <c r="C2234" t="b">
        <f ca="1">OR(Values!$S$98&gt;=Charms!M2234,IFERROR(Charms!J2234=OFFSET(Values!$A$24,MATCH("S",Values!$T$25:$T$50,0),0),FALSE))</f>
        <v>1</v>
      </c>
      <c r="D2234" t="e">
        <f>VLOOKUP(Charms!J2234,Values!$A$11:$S$59,19,0)&gt;=Charms!L2234</f>
        <v>#N/A</v>
      </c>
      <c r="E2234" t="e">
        <f>OR(ISBLANK(Charms!I2234),(VLOOKUP(Values!$S$6,Castes!$B$2:$F$25,4,0)=Charms!I2234))</f>
        <v>#N/A</v>
      </c>
      <c r="J2234" t="e">
        <f t="shared" ca="1" si="171"/>
        <v>#N/A</v>
      </c>
      <c r="K2234" s="18" t="e">
        <f t="shared" ca="1" si="170"/>
        <v>#N/A</v>
      </c>
      <c r="L2234" t="e">
        <f ca="1">IF(J2234,Charms!B2234,"")</f>
        <v>#N/A</v>
      </c>
      <c r="M2234" t="str">
        <f t="shared" ca="1" si="172"/>
        <v>-</v>
      </c>
      <c r="N2234" s="18" t="str">
        <f t="shared" si="173"/>
        <v>K1622:L5000</v>
      </c>
      <c r="O2234" t="str">
        <f t="shared" si="174"/>
        <v>A1622:A2234</v>
      </c>
    </row>
    <row r="2235" spans="1:15">
      <c r="A2235" s="18">
        <f>Charms!K2235</f>
        <v>0</v>
      </c>
      <c r="B2235">
        <f>Charms!B2235</f>
        <v>0</v>
      </c>
      <c r="C2235" t="b">
        <f ca="1">OR(Values!$S$98&gt;=Charms!M2235,IFERROR(Charms!J2235=OFFSET(Values!$A$24,MATCH("S",Values!$T$25:$T$50,0),0),FALSE))</f>
        <v>1</v>
      </c>
      <c r="D2235" t="e">
        <f>VLOOKUP(Charms!J2235,Values!$A$11:$S$59,19,0)&gt;=Charms!L2235</f>
        <v>#N/A</v>
      </c>
      <c r="E2235" t="e">
        <f>OR(ISBLANK(Charms!I2235),(VLOOKUP(Values!$S$6,Castes!$B$2:$F$25,4,0)=Charms!I2235))</f>
        <v>#N/A</v>
      </c>
      <c r="J2235" t="e">
        <f t="shared" ca="1" si="171"/>
        <v>#N/A</v>
      </c>
      <c r="K2235" s="18" t="e">
        <f t="shared" ca="1" si="170"/>
        <v>#N/A</v>
      </c>
      <c r="L2235" t="e">
        <f ca="1">IF(J2235,Charms!B2235,"")</f>
        <v>#N/A</v>
      </c>
      <c r="M2235" t="str">
        <f t="shared" ca="1" si="172"/>
        <v>-</v>
      </c>
      <c r="N2235" s="18" t="str">
        <f t="shared" si="173"/>
        <v>K1622:L5000</v>
      </c>
      <c r="O2235" t="str">
        <f t="shared" si="174"/>
        <v>A1622:A2235</v>
      </c>
    </row>
    <row r="2236" spans="1:15">
      <c r="A2236" s="18">
        <f>Charms!K2236</f>
        <v>0</v>
      </c>
      <c r="B2236">
        <f>Charms!B2236</f>
        <v>0</v>
      </c>
      <c r="C2236" t="b">
        <f ca="1">OR(Values!$S$98&gt;=Charms!M2236,IFERROR(Charms!J2236=OFFSET(Values!$A$24,MATCH("S",Values!$T$25:$T$50,0),0),FALSE))</f>
        <v>1</v>
      </c>
      <c r="D2236" t="e">
        <f>VLOOKUP(Charms!J2236,Values!$A$11:$S$59,19,0)&gt;=Charms!L2236</f>
        <v>#N/A</v>
      </c>
      <c r="E2236" t="e">
        <f>OR(ISBLANK(Charms!I2236),(VLOOKUP(Values!$S$6,Castes!$B$2:$F$25,4,0)=Charms!I2236))</f>
        <v>#N/A</v>
      </c>
      <c r="J2236" t="e">
        <f t="shared" ca="1" si="171"/>
        <v>#N/A</v>
      </c>
      <c r="K2236" s="18" t="e">
        <f t="shared" ca="1" si="170"/>
        <v>#N/A</v>
      </c>
      <c r="L2236" t="e">
        <f ca="1">IF(J2236,Charms!B2236,"")</f>
        <v>#N/A</v>
      </c>
      <c r="M2236" t="str">
        <f t="shared" ca="1" si="172"/>
        <v>-</v>
      </c>
      <c r="N2236" s="18" t="str">
        <f t="shared" si="173"/>
        <v>K1622:L5000</v>
      </c>
      <c r="O2236" t="str">
        <f t="shared" si="174"/>
        <v>A1622:A2236</v>
      </c>
    </row>
    <row r="2237" spans="1:15">
      <c r="A2237" s="18">
        <f>Charms!K2237</f>
        <v>0</v>
      </c>
      <c r="B2237">
        <f>Charms!B2237</f>
        <v>0</v>
      </c>
      <c r="C2237" t="b">
        <f ca="1">OR(Values!$S$98&gt;=Charms!M2237,IFERROR(Charms!J2237=OFFSET(Values!$A$24,MATCH("S",Values!$T$25:$T$50,0),0),FALSE))</f>
        <v>1</v>
      </c>
      <c r="D2237" t="e">
        <f>VLOOKUP(Charms!J2237,Values!$A$11:$S$59,19,0)&gt;=Charms!L2237</f>
        <v>#N/A</v>
      </c>
      <c r="E2237" t="e">
        <f>OR(ISBLANK(Charms!I2237),(VLOOKUP(Values!$S$6,Castes!$B$2:$F$25,4,0)=Charms!I2237))</f>
        <v>#N/A</v>
      </c>
      <c r="J2237" t="e">
        <f t="shared" ca="1" si="171"/>
        <v>#N/A</v>
      </c>
      <c r="K2237" s="18" t="e">
        <f t="shared" ca="1" si="170"/>
        <v>#N/A</v>
      </c>
      <c r="L2237" t="e">
        <f ca="1">IF(J2237,Charms!B2237,"")</f>
        <v>#N/A</v>
      </c>
      <c r="M2237" t="str">
        <f t="shared" ca="1" si="172"/>
        <v>-</v>
      </c>
      <c r="N2237" s="18" t="str">
        <f t="shared" si="173"/>
        <v>K1622:L5000</v>
      </c>
      <c r="O2237" t="str">
        <f t="shared" si="174"/>
        <v>A1622:A2237</v>
      </c>
    </row>
    <row r="2238" spans="1:15">
      <c r="A2238" s="18">
        <f>Charms!K2238</f>
        <v>0</v>
      </c>
      <c r="B2238">
        <f>Charms!B2238</f>
        <v>0</v>
      </c>
      <c r="C2238" t="b">
        <f ca="1">OR(Values!$S$98&gt;=Charms!M2238,IFERROR(Charms!J2238=OFFSET(Values!$A$24,MATCH("S",Values!$T$25:$T$50,0),0),FALSE))</f>
        <v>1</v>
      </c>
      <c r="D2238" t="e">
        <f>VLOOKUP(Charms!J2238,Values!$A$11:$S$59,19,0)&gt;=Charms!L2238</f>
        <v>#N/A</v>
      </c>
      <c r="E2238" t="e">
        <f>OR(ISBLANK(Charms!I2238),(VLOOKUP(Values!$S$6,Castes!$B$2:$F$25,4,0)=Charms!I2238))</f>
        <v>#N/A</v>
      </c>
      <c r="J2238" t="e">
        <f t="shared" ca="1" si="171"/>
        <v>#N/A</v>
      </c>
      <c r="K2238" s="18" t="e">
        <f t="shared" ca="1" si="170"/>
        <v>#N/A</v>
      </c>
      <c r="L2238" t="e">
        <f ca="1">IF(J2238,Charms!B2238,"")</f>
        <v>#N/A</v>
      </c>
      <c r="M2238" t="str">
        <f t="shared" ca="1" si="172"/>
        <v>-</v>
      </c>
      <c r="N2238" s="18" t="str">
        <f t="shared" si="173"/>
        <v>K1622:L5000</v>
      </c>
      <c r="O2238" t="str">
        <f t="shared" si="174"/>
        <v>A1622:A2238</v>
      </c>
    </row>
    <row r="2239" spans="1:15">
      <c r="A2239" s="18">
        <f>Charms!K2239</f>
        <v>0</v>
      </c>
      <c r="B2239">
        <f>Charms!B2239</f>
        <v>0</v>
      </c>
      <c r="C2239" t="b">
        <f ca="1">OR(Values!$S$98&gt;=Charms!M2239,IFERROR(Charms!J2239=OFFSET(Values!$A$24,MATCH("S",Values!$T$25:$T$50,0),0),FALSE))</f>
        <v>1</v>
      </c>
      <c r="D2239" t="e">
        <f>VLOOKUP(Charms!J2239,Values!$A$11:$S$59,19,0)&gt;=Charms!L2239</f>
        <v>#N/A</v>
      </c>
      <c r="E2239" t="e">
        <f>OR(ISBLANK(Charms!I2239),(VLOOKUP(Values!$S$6,Castes!$B$2:$F$25,4,0)=Charms!I2239))</f>
        <v>#N/A</v>
      </c>
      <c r="J2239" t="e">
        <f t="shared" ca="1" si="171"/>
        <v>#N/A</v>
      </c>
      <c r="K2239" s="18" t="e">
        <f t="shared" ca="1" si="170"/>
        <v>#N/A</v>
      </c>
      <c r="L2239" t="e">
        <f ca="1">IF(J2239,Charms!B2239,"")</f>
        <v>#N/A</v>
      </c>
      <c r="M2239" t="str">
        <f t="shared" ca="1" si="172"/>
        <v>-</v>
      </c>
      <c r="N2239" s="18" t="str">
        <f t="shared" si="173"/>
        <v>K1622:L5000</v>
      </c>
      <c r="O2239" t="str">
        <f t="shared" si="174"/>
        <v>A1622:A2239</v>
      </c>
    </row>
    <row r="2240" spans="1:15">
      <c r="A2240" s="18">
        <f>Charms!K2240</f>
        <v>0</v>
      </c>
      <c r="B2240">
        <f>Charms!B2240</f>
        <v>0</v>
      </c>
      <c r="C2240" t="b">
        <f ca="1">OR(Values!$S$98&gt;=Charms!M2240,IFERROR(Charms!J2240=OFFSET(Values!$A$24,MATCH("S",Values!$T$25:$T$50,0),0),FALSE))</f>
        <v>1</v>
      </c>
      <c r="D2240" t="e">
        <f>VLOOKUP(Charms!J2240,Values!$A$11:$S$59,19,0)&gt;=Charms!L2240</f>
        <v>#N/A</v>
      </c>
      <c r="E2240" t="e">
        <f>OR(ISBLANK(Charms!I2240),(VLOOKUP(Values!$S$6,Castes!$B$2:$F$25,4,0)=Charms!I2240))</f>
        <v>#N/A</v>
      </c>
      <c r="J2240" t="e">
        <f t="shared" ca="1" si="171"/>
        <v>#N/A</v>
      </c>
      <c r="K2240" s="18" t="e">
        <f t="shared" ca="1" si="170"/>
        <v>#N/A</v>
      </c>
      <c r="L2240" t="e">
        <f ca="1">IF(J2240,Charms!B2240,"")</f>
        <v>#N/A</v>
      </c>
      <c r="M2240" t="str">
        <f t="shared" ca="1" si="172"/>
        <v>-</v>
      </c>
      <c r="N2240" s="18" t="str">
        <f t="shared" si="173"/>
        <v>K1622:L5000</v>
      </c>
      <c r="O2240" t="str">
        <f t="shared" si="174"/>
        <v>A1622:A2240</v>
      </c>
    </row>
    <row r="2241" spans="1:15">
      <c r="A2241" s="18">
        <f>Charms!K2241</f>
        <v>0</v>
      </c>
      <c r="B2241">
        <f>Charms!B2241</f>
        <v>0</v>
      </c>
      <c r="C2241" t="b">
        <f ca="1">OR(Values!$S$98&gt;=Charms!M2241,IFERROR(Charms!J2241=OFFSET(Values!$A$24,MATCH("S",Values!$T$25:$T$50,0),0),FALSE))</f>
        <v>1</v>
      </c>
      <c r="D2241" t="e">
        <f>VLOOKUP(Charms!J2241,Values!$A$11:$S$59,19,0)&gt;=Charms!L2241</f>
        <v>#N/A</v>
      </c>
      <c r="E2241" t="e">
        <f>OR(ISBLANK(Charms!I2241),(VLOOKUP(Values!$S$6,Castes!$B$2:$F$25,4,0)=Charms!I2241))</f>
        <v>#N/A</v>
      </c>
      <c r="J2241" t="e">
        <f t="shared" ca="1" si="171"/>
        <v>#N/A</v>
      </c>
      <c r="K2241" s="18" t="e">
        <f t="shared" ca="1" si="170"/>
        <v>#N/A</v>
      </c>
      <c r="L2241" t="e">
        <f ca="1">IF(J2241,Charms!B2241,"")</f>
        <v>#N/A</v>
      </c>
      <c r="M2241" t="str">
        <f t="shared" ca="1" si="172"/>
        <v>-</v>
      </c>
      <c r="N2241" s="18" t="str">
        <f t="shared" si="173"/>
        <v>K1622:L5000</v>
      </c>
      <c r="O2241" t="str">
        <f t="shared" si="174"/>
        <v>A1622:A2241</v>
      </c>
    </row>
    <row r="2242" spans="1:15">
      <c r="A2242" s="18">
        <f>Charms!K2242</f>
        <v>0</v>
      </c>
      <c r="B2242">
        <f>Charms!B2242</f>
        <v>0</v>
      </c>
      <c r="C2242" t="b">
        <f ca="1">OR(Values!$S$98&gt;=Charms!M2242,IFERROR(Charms!J2242=OFFSET(Values!$A$24,MATCH("S",Values!$T$25:$T$50,0),0),FALSE))</f>
        <v>1</v>
      </c>
      <c r="D2242" t="e">
        <f>VLOOKUP(Charms!J2242,Values!$A$11:$S$59,19,0)&gt;=Charms!L2242</f>
        <v>#N/A</v>
      </c>
      <c r="E2242" t="e">
        <f>OR(ISBLANK(Charms!I2242),(VLOOKUP(Values!$S$6,Castes!$B$2:$F$25,4,0)=Charms!I2242))</f>
        <v>#N/A</v>
      </c>
      <c r="J2242" t="e">
        <f t="shared" ca="1" si="171"/>
        <v>#N/A</v>
      </c>
      <c r="K2242" s="18" t="e">
        <f t="shared" ref="K2242:K2305" ca="1" si="175">IF(L2242="","",COUNTIF(INDIRECT("J"&amp;MATCH(A2242,A:A,0)&amp;":J"&amp;ROW()),J2242))</f>
        <v>#N/A</v>
      </c>
      <c r="L2242" t="e">
        <f ca="1">IF(J2242,Charms!B2242,"")</f>
        <v>#N/A</v>
      </c>
      <c r="M2242" t="str">
        <f t="shared" ca="1" si="172"/>
        <v>-</v>
      </c>
      <c r="N2242" s="18" t="str">
        <f t="shared" si="173"/>
        <v>K1622:L5000</v>
      </c>
      <c r="O2242" t="str">
        <f t="shared" si="174"/>
        <v>A1622:A2242</v>
      </c>
    </row>
    <row r="2243" spans="1:15">
      <c r="A2243" s="18">
        <f>Charms!K2243</f>
        <v>0</v>
      </c>
      <c r="B2243">
        <f>Charms!B2243</f>
        <v>0</v>
      </c>
      <c r="C2243" t="b">
        <f ca="1">OR(Values!$S$98&gt;=Charms!M2243,IFERROR(Charms!J2243=OFFSET(Values!$A$24,MATCH("S",Values!$T$25:$T$50,0),0),FALSE))</f>
        <v>1</v>
      </c>
      <c r="D2243" t="e">
        <f>VLOOKUP(Charms!J2243,Values!$A$11:$S$59,19,0)&gt;=Charms!L2243</f>
        <v>#N/A</v>
      </c>
      <c r="E2243" t="e">
        <f>OR(ISBLANK(Charms!I2243),(VLOOKUP(Values!$S$6,Castes!$B$2:$F$25,4,0)=Charms!I2243))</f>
        <v>#N/A</v>
      </c>
      <c r="J2243" t="e">
        <f t="shared" ref="J2243:J2306" ca="1" si="176">(C2243+D2243+E2243+F2243+G2243+H2243+I2243)=3</f>
        <v>#N/A</v>
      </c>
      <c r="K2243" s="18" t="e">
        <f t="shared" ca="1" si="175"/>
        <v>#N/A</v>
      </c>
      <c r="L2243" t="e">
        <f ca="1">IF(J2243,Charms!B2243,"")</f>
        <v>#N/A</v>
      </c>
      <c r="M2243" t="str">
        <f t="shared" ref="M2243:M2306" ca="1" si="177">IFERROR(VLOOKUP(COUNTIF(INDIRECT(O2243),A2243),INDIRECT(N2243),2,0),"-")</f>
        <v>-</v>
      </c>
      <c r="N2243" s="18" t="str">
        <f t="shared" ref="N2243:N2306" si="178">"K"&amp;MATCH(A2243,A:A,0)&amp;":L"&amp;(MATCH(A2243,A:A,0)+COUNTIF(A:A,A2243)-1)</f>
        <v>K1622:L5000</v>
      </c>
      <c r="O2243" t="str">
        <f t="shared" ref="O2243:O2306" si="179">"A"&amp;MATCH(A2243,A:A,0)&amp;":A"&amp;ROW()</f>
        <v>A1622:A2243</v>
      </c>
    </row>
    <row r="2244" spans="1:15">
      <c r="A2244" s="18">
        <f>Charms!K2244</f>
        <v>0</v>
      </c>
      <c r="B2244">
        <f>Charms!B2244</f>
        <v>0</v>
      </c>
      <c r="C2244" t="b">
        <f ca="1">OR(Values!$S$98&gt;=Charms!M2244,IFERROR(Charms!J2244=OFFSET(Values!$A$24,MATCH("S",Values!$T$25:$T$50,0),0),FALSE))</f>
        <v>1</v>
      </c>
      <c r="D2244" t="e">
        <f>VLOOKUP(Charms!J2244,Values!$A$11:$S$59,19,0)&gt;=Charms!L2244</f>
        <v>#N/A</v>
      </c>
      <c r="E2244" t="e">
        <f>OR(ISBLANK(Charms!I2244),(VLOOKUP(Values!$S$6,Castes!$B$2:$F$25,4,0)=Charms!I2244))</f>
        <v>#N/A</v>
      </c>
      <c r="J2244" t="e">
        <f t="shared" ca="1" si="176"/>
        <v>#N/A</v>
      </c>
      <c r="K2244" s="18" t="e">
        <f t="shared" ca="1" si="175"/>
        <v>#N/A</v>
      </c>
      <c r="L2244" t="e">
        <f ca="1">IF(J2244,Charms!B2244,"")</f>
        <v>#N/A</v>
      </c>
      <c r="M2244" t="str">
        <f t="shared" ca="1" si="177"/>
        <v>-</v>
      </c>
      <c r="N2244" s="18" t="str">
        <f t="shared" si="178"/>
        <v>K1622:L5000</v>
      </c>
      <c r="O2244" t="str">
        <f t="shared" si="179"/>
        <v>A1622:A2244</v>
      </c>
    </row>
    <row r="2245" spans="1:15">
      <c r="A2245" s="18">
        <f>Charms!K2245</f>
        <v>0</v>
      </c>
      <c r="B2245">
        <f>Charms!B2245</f>
        <v>0</v>
      </c>
      <c r="C2245" t="b">
        <f ca="1">OR(Values!$S$98&gt;=Charms!M2245,IFERROR(Charms!J2245=OFFSET(Values!$A$24,MATCH("S",Values!$T$25:$T$50,0),0),FALSE))</f>
        <v>1</v>
      </c>
      <c r="D2245" t="e">
        <f>VLOOKUP(Charms!J2245,Values!$A$11:$S$59,19,0)&gt;=Charms!L2245</f>
        <v>#N/A</v>
      </c>
      <c r="E2245" t="e">
        <f>OR(ISBLANK(Charms!I2245),(VLOOKUP(Values!$S$6,Castes!$B$2:$F$25,4,0)=Charms!I2245))</f>
        <v>#N/A</v>
      </c>
      <c r="J2245" t="e">
        <f t="shared" ca="1" si="176"/>
        <v>#N/A</v>
      </c>
      <c r="K2245" s="18" t="e">
        <f t="shared" ca="1" si="175"/>
        <v>#N/A</v>
      </c>
      <c r="L2245" t="e">
        <f ca="1">IF(J2245,Charms!B2245,"")</f>
        <v>#N/A</v>
      </c>
      <c r="M2245" t="str">
        <f t="shared" ca="1" si="177"/>
        <v>-</v>
      </c>
      <c r="N2245" s="18" t="str">
        <f t="shared" si="178"/>
        <v>K1622:L5000</v>
      </c>
      <c r="O2245" t="str">
        <f t="shared" si="179"/>
        <v>A1622:A2245</v>
      </c>
    </row>
    <row r="2246" spans="1:15">
      <c r="A2246" s="18">
        <f>Charms!K2246</f>
        <v>0</v>
      </c>
      <c r="B2246">
        <f>Charms!B2246</f>
        <v>0</v>
      </c>
      <c r="C2246" t="b">
        <f ca="1">OR(Values!$S$98&gt;=Charms!M2246,IFERROR(Charms!J2246=OFFSET(Values!$A$24,MATCH("S",Values!$T$25:$T$50,0),0),FALSE))</f>
        <v>1</v>
      </c>
      <c r="D2246" t="e">
        <f>VLOOKUP(Charms!J2246,Values!$A$11:$S$59,19,0)&gt;=Charms!L2246</f>
        <v>#N/A</v>
      </c>
      <c r="E2246" t="e">
        <f>OR(ISBLANK(Charms!I2246),(VLOOKUP(Values!$S$6,Castes!$B$2:$F$25,4,0)=Charms!I2246))</f>
        <v>#N/A</v>
      </c>
      <c r="J2246" t="e">
        <f t="shared" ca="1" si="176"/>
        <v>#N/A</v>
      </c>
      <c r="K2246" s="18" t="e">
        <f t="shared" ca="1" si="175"/>
        <v>#N/A</v>
      </c>
      <c r="L2246" t="e">
        <f ca="1">IF(J2246,Charms!B2246,"")</f>
        <v>#N/A</v>
      </c>
      <c r="M2246" t="str">
        <f t="shared" ca="1" si="177"/>
        <v>-</v>
      </c>
      <c r="N2246" s="18" t="str">
        <f t="shared" si="178"/>
        <v>K1622:L5000</v>
      </c>
      <c r="O2246" t="str">
        <f t="shared" si="179"/>
        <v>A1622:A2246</v>
      </c>
    </row>
    <row r="2247" spans="1:15">
      <c r="A2247" s="18">
        <f>Charms!K2247</f>
        <v>0</v>
      </c>
      <c r="B2247">
        <f>Charms!B2247</f>
        <v>0</v>
      </c>
      <c r="C2247" t="b">
        <f ca="1">OR(Values!$S$98&gt;=Charms!M2247,IFERROR(Charms!J2247=OFFSET(Values!$A$24,MATCH("S",Values!$T$25:$T$50,0),0),FALSE))</f>
        <v>1</v>
      </c>
      <c r="D2247" t="e">
        <f>VLOOKUP(Charms!J2247,Values!$A$11:$S$59,19,0)&gt;=Charms!L2247</f>
        <v>#N/A</v>
      </c>
      <c r="E2247" t="e">
        <f>OR(ISBLANK(Charms!I2247),(VLOOKUP(Values!$S$6,Castes!$B$2:$F$25,4,0)=Charms!I2247))</f>
        <v>#N/A</v>
      </c>
      <c r="J2247" t="e">
        <f t="shared" ca="1" si="176"/>
        <v>#N/A</v>
      </c>
      <c r="K2247" s="18" t="e">
        <f t="shared" ca="1" si="175"/>
        <v>#N/A</v>
      </c>
      <c r="L2247" t="e">
        <f ca="1">IF(J2247,Charms!B2247,"")</f>
        <v>#N/A</v>
      </c>
      <c r="M2247" t="str">
        <f t="shared" ca="1" si="177"/>
        <v>-</v>
      </c>
      <c r="N2247" s="18" t="str">
        <f t="shared" si="178"/>
        <v>K1622:L5000</v>
      </c>
      <c r="O2247" t="str">
        <f t="shared" si="179"/>
        <v>A1622:A2247</v>
      </c>
    </row>
    <row r="2248" spans="1:15">
      <c r="A2248" s="18">
        <f>Charms!K2248</f>
        <v>0</v>
      </c>
      <c r="B2248">
        <f>Charms!B2248</f>
        <v>0</v>
      </c>
      <c r="C2248" t="b">
        <f ca="1">OR(Values!$S$98&gt;=Charms!M2248,IFERROR(Charms!J2248=OFFSET(Values!$A$24,MATCH("S",Values!$T$25:$T$50,0),0),FALSE))</f>
        <v>1</v>
      </c>
      <c r="D2248" t="e">
        <f>VLOOKUP(Charms!J2248,Values!$A$11:$S$59,19,0)&gt;=Charms!L2248</f>
        <v>#N/A</v>
      </c>
      <c r="E2248" t="e">
        <f>OR(ISBLANK(Charms!I2248),(VLOOKUP(Values!$S$6,Castes!$B$2:$F$25,4,0)=Charms!I2248))</f>
        <v>#N/A</v>
      </c>
      <c r="J2248" t="e">
        <f t="shared" ca="1" si="176"/>
        <v>#N/A</v>
      </c>
      <c r="K2248" s="18" t="e">
        <f t="shared" ca="1" si="175"/>
        <v>#N/A</v>
      </c>
      <c r="L2248" t="e">
        <f ca="1">IF(J2248,Charms!B2248,"")</f>
        <v>#N/A</v>
      </c>
      <c r="M2248" t="str">
        <f t="shared" ca="1" si="177"/>
        <v>-</v>
      </c>
      <c r="N2248" s="18" t="str">
        <f t="shared" si="178"/>
        <v>K1622:L5000</v>
      </c>
      <c r="O2248" t="str">
        <f t="shared" si="179"/>
        <v>A1622:A2248</v>
      </c>
    </row>
    <row r="2249" spans="1:15">
      <c r="A2249" s="18">
        <f>Charms!K2249</f>
        <v>0</v>
      </c>
      <c r="B2249">
        <f>Charms!B2249</f>
        <v>0</v>
      </c>
      <c r="C2249" t="b">
        <f ca="1">OR(Values!$S$98&gt;=Charms!M2249,IFERROR(Charms!J2249=OFFSET(Values!$A$24,MATCH("S",Values!$T$25:$T$50,0),0),FALSE))</f>
        <v>1</v>
      </c>
      <c r="D2249" t="e">
        <f>VLOOKUP(Charms!J2249,Values!$A$11:$S$59,19,0)&gt;=Charms!L2249</f>
        <v>#N/A</v>
      </c>
      <c r="E2249" t="e">
        <f>OR(ISBLANK(Charms!I2249),(VLOOKUP(Values!$S$6,Castes!$B$2:$F$25,4,0)=Charms!I2249))</f>
        <v>#N/A</v>
      </c>
      <c r="J2249" t="e">
        <f t="shared" ca="1" si="176"/>
        <v>#N/A</v>
      </c>
      <c r="K2249" s="18" t="e">
        <f t="shared" ca="1" si="175"/>
        <v>#N/A</v>
      </c>
      <c r="L2249" t="e">
        <f ca="1">IF(J2249,Charms!B2249,"")</f>
        <v>#N/A</v>
      </c>
      <c r="M2249" t="str">
        <f t="shared" ca="1" si="177"/>
        <v>-</v>
      </c>
      <c r="N2249" s="18" t="str">
        <f t="shared" si="178"/>
        <v>K1622:L5000</v>
      </c>
      <c r="O2249" t="str">
        <f t="shared" si="179"/>
        <v>A1622:A2249</v>
      </c>
    </row>
    <row r="2250" spans="1:15">
      <c r="A2250" s="18">
        <f>Charms!K2250</f>
        <v>0</v>
      </c>
      <c r="B2250">
        <f>Charms!B2250</f>
        <v>0</v>
      </c>
      <c r="C2250" t="b">
        <f ca="1">OR(Values!$S$98&gt;=Charms!M2250,IFERROR(Charms!J2250=OFFSET(Values!$A$24,MATCH("S",Values!$T$25:$T$50,0),0),FALSE))</f>
        <v>1</v>
      </c>
      <c r="D2250" t="e">
        <f>VLOOKUP(Charms!J2250,Values!$A$11:$S$59,19,0)&gt;=Charms!L2250</f>
        <v>#N/A</v>
      </c>
      <c r="E2250" t="e">
        <f>OR(ISBLANK(Charms!I2250),(VLOOKUP(Values!$S$6,Castes!$B$2:$F$25,4,0)=Charms!I2250))</f>
        <v>#N/A</v>
      </c>
      <c r="J2250" t="e">
        <f t="shared" ca="1" si="176"/>
        <v>#N/A</v>
      </c>
      <c r="K2250" s="18" t="e">
        <f t="shared" ca="1" si="175"/>
        <v>#N/A</v>
      </c>
      <c r="L2250" t="e">
        <f ca="1">IF(J2250,Charms!B2250,"")</f>
        <v>#N/A</v>
      </c>
      <c r="M2250" t="str">
        <f t="shared" ca="1" si="177"/>
        <v>-</v>
      </c>
      <c r="N2250" s="18" t="str">
        <f t="shared" si="178"/>
        <v>K1622:L5000</v>
      </c>
      <c r="O2250" t="str">
        <f t="shared" si="179"/>
        <v>A1622:A2250</v>
      </c>
    </row>
    <row r="2251" spans="1:15">
      <c r="A2251" s="18">
        <f>Charms!K2251</f>
        <v>0</v>
      </c>
      <c r="B2251">
        <f>Charms!B2251</f>
        <v>0</v>
      </c>
      <c r="C2251" t="b">
        <f ca="1">OR(Values!$S$98&gt;=Charms!M2251,IFERROR(Charms!J2251=OFFSET(Values!$A$24,MATCH("S",Values!$T$25:$T$50,0),0),FALSE))</f>
        <v>1</v>
      </c>
      <c r="D2251" t="e">
        <f>VLOOKUP(Charms!J2251,Values!$A$11:$S$59,19,0)&gt;=Charms!L2251</f>
        <v>#N/A</v>
      </c>
      <c r="E2251" t="e">
        <f>OR(ISBLANK(Charms!I2251),(VLOOKUP(Values!$S$6,Castes!$B$2:$F$25,4,0)=Charms!I2251))</f>
        <v>#N/A</v>
      </c>
      <c r="J2251" t="e">
        <f t="shared" ca="1" si="176"/>
        <v>#N/A</v>
      </c>
      <c r="K2251" s="18" t="e">
        <f t="shared" ca="1" si="175"/>
        <v>#N/A</v>
      </c>
      <c r="L2251" t="e">
        <f ca="1">IF(J2251,Charms!B2251,"")</f>
        <v>#N/A</v>
      </c>
      <c r="M2251" t="str">
        <f t="shared" ca="1" si="177"/>
        <v>-</v>
      </c>
      <c r="N2251" s="18" t="str">
        <f t="shared" si="178"/>
        <v>K1622:L5000</v>
      </c>
      <c r="O2251" t="str">
        <f t="shared" si="179"/>
        <v>A1622:A2251</v>
      </c>
    </row>
    <row r="2252" spans="1:15">
      <c r="A2252" s="18">
        <f>Charms!K2252</f>
        <v>0</v>
      </c>
      <c r="B2252">
        <f>Charms!B2252</f>
        <v>0</v>
      </c>
      <c r="C2252" t="b">
        <f ca="1">OR(Values!$S$98&gt;=Charms!M2252,IFERROR(Charms!J2252=OFFSET(Values!$A$24,MATCH("S",Values!$T$25:$T$50,0),0),FALSE))</f>
        <v>1</v>
      </c>
      <c r="D2252" t="e">
        <f>VLOOKUP(Charms!J2252,Values!$A$11:$S$59,19,0)&gt;=Charms!L2252</f>
        <v>#N/A</v>
      </c>
      <c r="E2252" t="e">
        <f>OR(ISBLANK(Charms!I2252),(VLOOKUP(Values!$S$6,Castes!$B$2:$F$25,4,0)=Charms!I2252))</f>
        <v>#N/A</v>
      </c>
      <c r="J2252" t="e">
        <f t="shared" ca="1" si="176"/>
        <v>#N/A</v>
      </c>
      <c r="K2252" s="18" t="e">
        <f t="shared" ca="1" si="175"/>
        <v>#N/A</v>
      </c>
      <c r="L2252" t="e">
        <f ca="1">IF(J2252,Charms!B2252,"")</f>
        <v>#N/A</v>
      </c>
      <c r="M2252" t="str">
        <f t="shared" ca="1" si="177"/>
        <v>-</v>
      </c>
      <c r="N2252" s="18" t="str">
        <f t="shared" si="178"/>
        <v>K1622:L5000</v>
      </c>
      <c r="O2252" t="str">
        <f t="shared" si="179"/>
        <v>A1622:A2252</v>
      </c>
    </row>
    <row r="2253" spans="1:15">
      <c r="A2253" s="18">
        <f>Charms!K2253</f>
        <v>0</v>
      </c>
      <c r="B2253">
        <f>Charms!B2253</f>
        <v>0</v>
      </c>
      <c r="C2253" t="b">
        <f ca="1">OR(Values!$S$98&gt;=Charms!M2253,IFERROR(Charms!J2253=OFFSET(Values!$A$24,MATCH("S",Values!$T$25:$T$50,0),0),FALSE))</f>
        <v>1</v>
      </c>
      <c r="D2253" t="e">
        <f>VLOOKUP(Charms!J2253,Values!$A$11:$S$59,19,0)&gt;=Charms!L2253</f>
        <v>#N/A</v>
      </c>
      <c r="E2253" t="e">
        <f>OR(ISBLANK(Charms!I2253),(VLOOKUP(Values!$S$6,Castes!$B$2:$F$25,4,0)=Charms!I2253))</f>
        <v>#N/A</v>
      </c>
      <c r="J2253" t="e">
        <f t="shared" ca="1" si="176"/>
        <v>#N/A</v>
      </c>
      <c r="K2253" s="18" t="e">
        <f t="shared" ca="1" si="175"/>
        <v>#N/A</v>
      </c>
      <c r="L2253" t="e">
        <f ca="1">IF(J2253,Charms!B2253,"")</f>
        <v>#N/A</v>
      </c>
      <c r="M2253" t="str">
        <f t="shared" ca="1" si="177"/>
        <v>-</v>
      </c>
      <c r="N2253" s="18" t="str">
        <f t="shared" si="178"/>
        <v>K1622:L5000</v>
      </c>
      <c r="O2253" t="str">
        <f t="shared" si="179"/>
        <v>A1622:A2253</v>
      </c>
    </row>
    <row r="2254" spans="1:15">
      <c r="A2254" s="18">
        <f>Charms!K2254</f>
        <v>0</v>
      </c>
      <c r="B2254">
        <f>Charms!B2254</f>
        <v>0</v>
      </c>
      <c r="C2254" t="b">
        <f ca="1">OR(Values!$S$98&gt;=Charms!M2254,IFERROR(Charms!J2254=OFFSET(Values!$A$24,MATCH("S",Values!$T$25:$T$50,0),0),FALSE))</f>
        <v>1</v>
      </c>
      <c r="D2254" t="e">
        <f>VLOOKUP(Charms!J2254,Values!$A$11:$S$59,19,0)&gt;=Charms!L2254</f>
        <v>#N/A</v>
      </c>
      <c r="E2254" t="e">
        <f>OR(ISBLANK(Charms!I2254),(VLOOKUP(Values!$S$6,Castes!$B$2:$F$25,4,0)=Charms!I2254))</f>
        <v>#N/A</v>
      </c>
      <c r="J2254" t="e">
        <f t="shared" ca="1" si="176"/>
        <v>#N/A</v>
      </c>
      <c r="K2254" s="18" t="e">
        <f t="shared" ca="1" si="175"/>
        <v>#N/A</v>
      </c>
      <c r="L2254" t="e">
        <f ca="1">IF(J2254,Charms!B2254,"")</f>
        <v>#N/A</v>
      </c>
      <c r="M2254" t="str">
        <f t="shared" ca="1" si="177"/>
        <v>-</v>
      </c>
      <c r="N2254" s="18" t="str">
        <f t="shared" si="178"/>
        <v>K1622:L5000</v>
      </c>
      <c r="O2254" t="str">
        <f t="shared" si="179"/>
        <v>A1622:A2254</v>
      </c>
    </row>
    <row r="2255" spans="1:15">
      <c r="A2255" s="18">
        <f>Charms!K2255</f>
        <v>0</v>
      </c>
      <c r="B2255">
        <f>Charms!B2255</f>
        <v>0</v>
      </c>
      <c r="C2255" t="b">
        <f ca="1">OR(Values!$S$98&gt;=Charms!M2255,IFERROR(Charms!J2255=OFFSET(Values!$A$24,MATCH("S",Values!$T$25:$T$50,0),0),FALSE))</f>
        <v>1</v>
      </c>
      <c r="D2255" t="e">
        <f>VLOOKUP(Charms!J2255,Values!$A$11:$S$59,19,0)&gt;=Charms!L2255</f>
        <v>#N/A</v>
      </c>
      <c r="E2255" t="e">
        <f>OR(ISBLANK(Charms!I2255),(VLOOKUP(Values!$S$6,Castes!$B$2:$F$25,4,0)=Charms!I2255))</f>
        <v>#N/A</v>
      </c>
      <c r="J2255" t="e">
        <f t="shared" ca="1" si="176"/>
        <v>#N/A</v>
      </c>
      <c r="K2255" s="18" t="e">
        <f t="shared" ca="1" si="175"/>
        <v>#N/A</v>
      </c>
      <c r="L2255" t="e">
        <f ca="1">IF(J2255,Charms!B2255,"")</f>
        <v>#N/A</v>
      </c>
      <c r="M2255" t="str">
        <f t="shared" ca="1" si="177"/>
        <v>-</v>
      </c>
      <c r="N2255" s="18" t="str">
        <f t="shared" si="178"/>
        <v>K1622:L5000</v>
      </c>
      <c r="O2255" t="str">
        <f t="shared" si="179"/>
        <v>A1622:A2255</v>
      </c>
    </row>
    <row r="2256" spans="1:15">
      <c r="A2256" s="18">
        <f>Charms!K2256</f>
        <v>0</v>
      </c>
      <c r="B2256">
        <f>Charms!B2256</f>
        <v>0</v>
      </c>
      <c r="C2256" t="b">
        <f ca="1">OR(Values!$S$98&gt;=Charms!M2256,IFERROR(Charms!J2256=OFFSET(Values!$A$24,MATCH("S",Values!$T$25:$T$50,0),0),FALSE))</f>
        <v>1</v>
      </c>
      <c r="D2256" t="e">
        <f>VLOOKUP(Charms!J2256,Values!$A$11:$S$59,19,0)&gt;=Charms!L2256</f>
        <v>#N/A</v>
      </c>
      <c r="E2256" t="e">
        <f>OR(ISBLANK(Charms!I2256),(VLOOKUP(Values!$S$6,Castes!$B$2:$F$25,4,0)=Charms!I2256))</f>
        <v>#N/A</v>
      </c>
      <c r="J2256" t="e">
        <f t="shared" ca="1" si="176"/>
        <v>#N/A</v>
      </c>
      <c r="K2256" s="18" t="e">
        <f t="shared" ca="1" si="175"/>
        <v>#N/A</v>
      </c>
      <c r="L2256" t="e">
        <f ca="1">IF(J2256,Charms!B2256,"")</f>
        <v>#N/A</v>
      </c>
      <c r="M2256" t="str">
        <f t="shared" ca="1" si="177"/>
        <v>-</v>
      </c>
      <c r="N2256" s="18" t="str">
        <f t="shared" si="178"/>
        <v>K1622:L5000</v>
      </c>
      <c r="O2256" t="str">
        <f t="shared" si="179"/>
        <v>A1622:A2256</v>
      </c>
    </row>
    <row r="2257" spans="1:15">
      <c r="A2257" s="18">
        <f>Charms!K2257</f>
        <v>0</v>
      </c>
      <c r="B2257">
        <f>Charms!B2257</f>
        <v>0</v>
      </c>
      <c r="C2257" t="b">
        <f ca="1">OR(Values!$S$98&gt;=Charms!M2257,IFERROR(Charms!J2257=OFFSET(Values!$A$24,MATCH("S",Values!$T$25:$T$50,0),0),FALSE))</f>
        <v>1</v>
      </c>
      <c r="D2257" t="e">
        <f>VLOOKUP(Charms!J2257,Values!$A$11:$S$59,19,0)&gt;=Charms!L2257</f>
        <v>#N/A</v>
      </c>
      <c r="E2257" t="e">
        <f>OR(ISBLANK(Charms!I2257),(VLOOKUP(Values!$S$6,Castes!$B$2:$F$25,4,0)=Charms!I2257))</f>
        <v>#N/A</v>
      </c>
      <c r="J2257" t="e">
        <f t="shared" ca="1" si="176"/>
        <v>#N/A</v>
      </c>
      <c r="K2257" s="18" t="e">
        <f t="shared" ca="1" si="175"/>
        <v>#N/A</v>
      </c>
      <c r="L2257" t="e">
        <f ca="1">IF(J2257,Charms!B2257,"")</f>
        <v>#N/A</v>
      </c>
      <c r="M2257" t="str">
        <f t="shared" ca="1" si="177"/>
        <v>-</v>
      </c>
      <c r="N2257" s="18" t="str">
        <f t="shared" si="178"/>
        <v>K1622:L5000</v>
      </c>
      <c r="O2257" t="str">
        <f t="shared" si="179"/>
        <v>A1622:A2257</v>
      </c>
    </row>
    <row r="2258" spans="1:15">
      <c r="A2258" s="18">
        <f>Charms!K2258</f>
        <v>0</v>
      </c>
      <c r="B2258">
        <f>Charms!B2258</f>
        <v>0</v>
      </c>
      <c r="C2258" t="b">
        <f ca="1">OR(Values!$S$98&gt;=Charms!M2258,IFERROR(Charms!J2258=OFFSET(Values!$A$24,MATCH("S",Values!$T$25:$T$50,0),0),FALSE))</f>
        <v>1</v>
      </c>
      <c r="D2258" t="e">
        <f>VLOOKUP(Charms!J2258,Values!$A$11:$S$59,19,0)&gt;=Charms!L2258</f>
        <v>#N/A</v>
      </c>
      <c r="E2258" t="e">
        <f>OR(ISBLANK(Charms!I2258),(VLOOKUP(Values!$S$6,Castes!$B$2:$F$25,4,0)=Charms!I2258))</f>
        <v>#N/A</v>
      </c>
      <c r="J2258" t="e">
        <f t="shared" ca="1" si="176"/>
        <v>#N/A</v>
      </c>
      <c r="K2258" s="18" t="e">
        <f t="shared" ca="1" si="175"/>
        <v>#N/A</v>
      </c>
      <c r="L2258" t="e">
        <f ca="1">IF(J2258,Charms!B2258,"")</f>
        <v>#N/A</v>
      </c>
      <c r="M2258" t="str">
        <f t="shared" ca="1" si="177"/>
        <v>-</v>
      </c>
      <c r="N2258" s="18" t="str">
        <f t="shared" si="178"/>
        <v>K1622:L5000</v>
      </c>
      <c r="O2258" t="str">
        <f t="shared" si="179"/>
        <v>A1622:A2258</v>
      </c>
    </row>
    <row r="2259" spans="1:15">
      <c r="A2259" s="18">
        <f>Charms!K2259</f>
        <v>0</v>
      </c>
      <c r="B2259">
        <f>Charms!B2259</f>
        <v>0</v>
      </c>
      <c r="C2259" t="b">
        <f ca="1">OR(Values!$S$98&gt;=Charms!M2259,IFERROR(Charms!J2259=OFFSET(Values!$A$24,MATCH("S",Values!$T$25:$T$50,0),0),FALSE))</f>
        <v>1</v>
      </c>
      <c r="D2259" t="e">
        <f>VLOOKUP(Charms!J2259,Values!$A$11:$S$59,19,0)&gt;=Charms!L2259</f>
        <v>#N/A</v>
      </c>
      <c r="E2259" t="e">
        <f>OR(ISBLANK(Charms!I2259),(VLOOKUP(Values!$S$6,Castes!$B$2:$F$25,4,0)=Charms!I2259))</f>
        <v>#N/A</v>
      </c>
      <c r="J2259" t="e">
        <f t="shared" ca="1" si="176"/>
        <v>#N/A</v>
      </c>
      <c r="K2259" s="18" t="e">
        <f t="shared" ca="1" si="175"/>
        <v>#N/A</v>
      </c>
      <c r="L2259" t="e">
        <f ca="1">IF(J2259,Charms!B2259,"")</f>
        <v>#N/A</v>
      </c>
      <c r="M2259" t="str">
        <f t="shared" ca="1" si="177"/>
        <v>-</v>
      </c>
      <c r="N2259" s="18" t="str">
        <f t="shared" si="178"/>
        <v>K1622:L5000</v>
      </c>
      <c r="O2259" t="str">
        <f t="shared" si="179"/>
        <v>A1622:A2259</v>
      </c>
    </row>
    <row r="2260" spans="1:15">
      <c r="A2260" s="18">
        <f>Charms!K2260</f>
        <v>0</v>
      </c>
      <c r="B2260">
        <f>Charms!B2260</f>
        <v>0</v>
      </c>
      <c r="C2260" t="b">
        <f ca="1">OR(Values!$S$98&gt;=Charms!M2260,IFERROR(Charms!J2260=OFFSET(Values!$A$24,MATCH("S",Values!$T$25:$T$50,0),0),FALSE))</f>
        <v>1</v>
      </c>
      <c r="D2260" t="e">
        <f>VLOOKUP(Charms!J2260,Values!$A$11:$S$59,19,0)&gt;=Charms!L2260</f>
        <v>#N/A</v>
      </c>
      <c r="E2260" t="e">
        <f>OR(ISBLANK(Charms!I2260),(VLOOKUP(Values!$S$6,Castes!$B$2:$F$25,4,0)=Charms!I2260))</f>
        <v>#N/A</v>
      </c>
      <c r="J2260" t="e">
        <f t="shared" ca="1" si="176"/>
        <v>#N/A</v>
      </c>
      <c r="K2260" s="18" t="e">
        <f t="shared" ca="1" si="175"/>
        <v>#N/A</v>
      </c>
      <c r="L2260" t="e">
        <f ca="1">IF(J2260,Charms!B2260,"")</f>
        <v>#N/A</v>
      </c>
      <c r="M2260" t="str">
        <f t="shared" ca="1" si="177"/>
        <v>-</v>
      </c>
      <c r="N2260" s="18" t="str">
        <f t="shared" si="178"/>
        <v>K1622:L5000</v>
      </c>
      <c r="O2260" t="str">
        <f t="shared" si="179"/>
        <v>A1622:A2260</v>
      </c>
    </row>
    <row r="2261" spans="1:15">
      <c r="A2261" s="18">
        <f>Charms!K2261</f>
        <v>0</v>
      </c>
      <c r="B2261">
        <f>Charms!B2261</f>
        <v>0</v>
      </c>
      <c r="C2261" t="b">
        <f ca="1">OR(Values!$S$98&gt;=Charms!M2261,IFERROR(Charms!J2261=OFFSET(Values!$A$24,MATCH("S",Values!$T$25:$T$50,0),0),FALSE))</f>
        <v>1</v>
      </c>
      <c r="D2261" t="e">
        <f>VLOOKUP(Charms!J2261,Values!$A$11:$S$59,19,0)&gt;=Charms!L2261</f>
        <v>#N/A</v>
      </c>
      <c r="E2261" t="e">
        <f>OR(ISBLANK(Charms!I2261),(VLOOKUP(Values!$S$6,Castes!$B$2:$F$25,4,0)=Charms!I2261))</f>
        <v>#N/A</v>
      </c>
      <c r="J2261" t="e">
        <f t="shared" ca="1" si="176"/>
        <v>#N/A</v>
      </c>
      <c r="K2261" s="18" t="e">
        <f t="shared" ca="1" si="175"/>
        <v>#N/A</v>
      </c>
      <c r="L2261" t="e">
        <f ca="1">IF(J2261,Charms!B2261,"")</f>
        <v>#N/A</v>
      </c>
      <c r="M2261" t="str">
        <f t="shared" ca="1" si="177"/>
        <v>-</v>
      </c>
      <c r="N2261" s="18" t="str">
        <f t="shared" si="178"/>
        <v>K1622:L5000</v>
      </c>
      <c r="O2261" t="str">
        <f t="shared" si="179"/>
        <v>A1622:A2261</v>
      </c>
    </row>
    <row r="2262" spans="1:15">
      <c r="A2262" s="18">
        <f>Charms!K2262</f>
        <v>0</v>
      </c>
      <c r="B2262">
        <f>Charms!B2262</f>
        <v>0</v>
      </c>
      <c r="C2262" t="b">
        <f ca="1">OR(Values!$S$98&gt;=Charms!M2262,IFERROR(Charms!J2262=OFFSET(Values!$A$24,MATCH("S",Values!$T$25:$T$50,0),0),FALSE))</f>
        <v>1</v>
      </c>
      <c r="D2262" t="e">
        <f>VLOOKUP(Charms!J2262,Values!$A$11:$S$59,19,0)&gt;=Charms!L2262</f>
        <v>#N/A</v>
      </c>
      <c r="E2262" t="e">
        <f>OR(ISBLANK(Charms!I2262),(VLOOKUP(Values!$S$6,Castes!$B$2:$F$25,4,0)=Charms!I2262))</f>
        <v>#N/A</v>
      </c>
      <c r="J2262" t="e">
        <f t="shared" ca="1" si="176"/>
        <v>#N/A</v>
      </c>
      <c r="K2262" s="18" t="e">
        <f t="shared" ca="1" si="175"/>
        <v>#N/A</v>
      </c>
      <c r="L2262" t="e">
        <f ca="1">IF(J2262,Charms!B2262,"")</f>
        <v>#N/A</v>
      </c>
      <c r="M2262" t="str">
        <f t="shared" ca="1" si="177"/>
        <v>-</v>
      </c>
      <c r="N2262" s="18" t="str">
        <f t="shared" si="178"/>
        <v>K1622:L5000</v>
      </c>
      <c r="O2262" t="str">
        <f t="shared" si="179"/>
        <v>A1622:A2262</v>
      </c>
    </row>
    <row r="2263" spans="1:15">
      <c r="A2263" s="18">
        <f>Charms!K2263</f>
        <v>0</v>
      </c>
      <c r="B2263">
        <f>Charms!B2263</f>
        <v>0</v>
      </c>
      <c r="C2263" t="b">
        <f ca="1">OR(Values!$S$98&gt;=Charms!M2263,IFERROR(Charms!J2263=OFFSET(Values!$A$24,MATCH("S",Values!$T$25:$T$50,0),0),FALSE))</f>
        <v>1</v>
      </c>
      <c r="D2263" t="e">
        <f>VLOOKUP(Charms!J2263,Values!$A$11:$S$59,19,0)&gt;=Charms!L2263</f>
        <v>#N/A</v>
      </c>
      <c r="E2263" t="e">
        <f>OR(ISBLANK(Charms!I2263),(VLOOKUP(Values!$S$6,Castes!$B$2:$F$25,4,0)=Charms!I2263))</f>
        <v>#N/A</v>
      </c>
      <c r="J2263" t="e">
        <f t="shared" ca="1" si="176"/>
        <v>#N/A</v>
      </c>
      <c r="K2263" s="18" t="e">
        <f t="shared" ca="1" si="175"/>
        <v>#N/A</v>
      </c>
      <c r="L2263" t="e">
        <f ca="1">IF(J2263,Charms!B2263,"")</f>
        <v>#N/A</v>
      </c>
      <c r="M2263" t="str">
        <f t="shared" ca="1" si="177"/>
        <v>-</v>
      </c>
      <c r="N2263" s="18" t="str">
        <f t="shared" si="178"/>
        <v>K1622:L5000</v>
      </c>
      <c r="O2263" t="str">
        <f t="shared" si="179"/>
        <v>A1622:A2263</v>
      </c>
    </row>
    <row r="2264" spans="1:15">
      <c r="A2264" s="18">
        <f>Charms!K2264</f>
        <v>0</v>
      </c>
      <c r="B2264">
        <f>Charms!B2264</f>
        <v>0</v>
      </c>
      <c r="C2264" t="b">
        <f ca="1">OR(Values!$S$98&gt;=Charms!M2264,IFERROR(Charms!J2264=OFFSET(Values!$A$24,MATCH("S",Values!$T$25:$T$50,0),0),FALSE))</f>
        <v>1</v>
      </c>
      <c r="D2264" t="e">
        <f>VLOOKUP(Charms!J2264,Values!$A$11:$S$59,19,0)&gt;=Charms!L2264</f>
        <v>#N/A</v>
      </c>
      <c r="E2264" t="e">
        <f>OR(ISBLANK(Charms!I2264),(VLOOKUP(Values!$S$6,Castes!$B$2:$F$25,4,0)=Charms!I2264))</f>
        <v>#N/A</v>
      </c>
      <c r="J2264" t="e">
        <f t="shared" ca="1" si="176"/>
        <v>#N/A</v>
      </c>
      <c r="K2264" s="18" t="e">
        <f t="shared" ca="1" si="175"/>
        <v>#N/A</v>
      </c>
      <c r="L2264" t="e">
        <f ca="1">IF(J2264,Charms!B2264,"")</f>
        <v>#N/A</v>
      </c>
      <c r="M2264" t="str">
        <f t="shared" ca="1" si="177"/>
        <v>-</v>
      </c>
      <c r="N2264" s="18" t="str">
        <f t="shared" si="178"/>
        <v>K1622:L5000</v>
      </c>
      <c r="O2264" t="str">
        <f t="shared" si="179"/>
        <v>A1622:A2264</v>
      </c>
    </row>
    <row r="2265" spans="1:15">
      <c r="A2265" s="18">
        <f>Charms!K2265</f>
        <v>0</v>
      </c>
      <c r="B2265">
        <f>Charms!B2265</f>
        <v>0</v>
      </c>
      <c r="C2265" t="b">
        <f ca="1">OR(Values!$S$98&gt;=Charms!M2265,IFERROR(Charms!J2265=OFFSET(Values!$A$24,MATCH("S",Values!$T$25:$T$50,0),0),FALSE))</f>
        <v>1</v>
      </c>
      <c r="D2265" t="e">
        <f>VLOOKUP(Charms!J2265,Values!$A$11:$S$59,19,0)&gt;=Charms!L2265</f>
        <v>#N/A</v>
      </c>
      <c r="E2265" t="e">
        <f>OR(ISBLANK(Charms!I2265),(VLOOKUP(Values!$S$6,Castes!$B$2:$F$25,4,0)=Charms!I2265))</f>
        <v>#N/A</v>
      </c>
      <c r="J2265" t="e">
        <f t="shared" ca="1" si="176"/>
        <v>#N/A</v>
      </c>
      <c r="K2265" s="18" t="e">
        <f t="shared" ca="1" si="175"/>
        <v>#N/A</v>
      </c>
      <c r="L2265" t="e">
        <f ca="1">IF(J2265,Charms!B2265,"")</f>
        <v>#N/A</v>
      </c>
      <c r="M2265" t="str">
        <f t="shared" ca="1" si="177"/>
        <v>-</v>
      </c>
      <c r="N2265" s="18" t="str">
        <f t="shared" si="178"/>
        <v>K1622:L5000</v>
      </c>
      <c r="O2265" t="str">
        <f t="shared" si="179"/>
        <v>A1622:A2265</v>
      </c>
    </row>
    <row r="2266" spans="1:15">
      <c r="A2266" s="18">
        <f>Charms!K2266</f>
        <v>0</v>
      </c>
      <c r="B2266">
        <f>Charms!B2266</f>
        <v>0</v>
      </c>
      <c r="C2266" t="b">
        <f ca="1">OR(Values!$S$98&gt;=Charms!M2266,IFERROR(Charms!J2266=OFFSET(Values!$A$24,MATCH("S",Values!$T$25:$T$50,0),0),FALSE))</f>
        <v>1</v>
      </c>
      <c r="D2266" t="e">
        <f>VLOOKUP(Charms!J2266,Values!$A$11:$S$59,19,0)&gt;=Charms!L2266</f>
        <v>#N/A</v>
      </c>
      <c r="E2266" t="e">
        <f>OR(ISBLANK(Charms!I2266),(VLOOKUP(Values!$S$6,Castes!$B$2:$F$25,4,0)=Charms!I2266))</f>
        <v>#N/A</v>
      </c>
      <c r="J2266" t="e">
        <f t="shared" ca="1" si="176"/>
        <v>#N/A</v>
      </c>
      <c r="K2266" s="18" t="e">
        <f t="shared" ca="1" si="175"/>
        <v>#N/A</v>
      </c>
      <c r="L2266" t="e">
        <f ca="1">IF(J2266,Charms!B2266,"")</f>
        <v>#N/A</v>
      </c>
      <c r="M2266" t="str">
        <f t="shared" ca="1" si="177"/>
        <v>-</v>
      </c>
      <c r="N2266" s="18" t="str">
        <f t="shared" si="178"/>
        <v>K1622:L5000</v>
      </c>
      <c r="O2266" t="str">
        <f t="shared" si="179"/>
        <v>A1622:A2266</v>
      </c>
    </row>
    <row r="2267" spans="1:15">
      <c r="A2267" s="18">
        <f>Charms!K2267</f>
        <v>0</v>
      </c>
      <c r="B2267">
        <f>Charms!B2267</f>
        <v>0</v>
      </c>
      <c r="C2267" t="b">
        <f ca="1">OR(Values!$S$98&gt;=Charms!M2267,IFERROR(Charms!J2267=OFFSET(Values!$A$24,MATCH("S",Values!$T$25:$T$50,0),0),FALSE))</f>
        <v>1</v>
      </c>
      <c r="D2267" t="e">
        <f>VLOOKUP(Charms!J2267,Values!$A$11:$S$59,19,0)&gt;=Charms!L2267</f>
        <v>#N/A</v>
      </c>
      <c r="E2267" t="e">
        <f>OR(ISBLANK(Charms!I2267),(VLOOKUP(Values!$S$6,Castes!$B$2:$F$25,4,0)=Charms!I2267))</f>
        <v>#N/A</v>
      </c>
      <c r="J2267" t="e">
        <f t="shared" ca="1" si="176"/>
        <v>#N/A</v>
      </c>
      <c r="K2267" s="18" t="e">
        <f t="shared" ca="1" si="175"/>
        <v>#N/A</v>
      </c>
      <c r="L2267" t="e">
        <f ca="1">IF(J2267,Charms!B2267,"")</f>
        <v>#N/A</v>
      </c>
      <c r="M2267" t="str">
        <f t="shared" ca="1" si="177"/>
        <v>-</v>
      </c>
      <c r="N2267" s="18" t="str">
        <f t="shared" si="178"/>
        <v>K1622:L5000</v>
      </c>
      <c r="O2267" t="str">
        <f t="shared" si="179"/>
        <v>A1622:A2267</v>
      </c>
    </row>
    <row r="2268" spans="1:15">
      <c r="A2268" s="18">
        <f>Charms!K2268</f>
        <v>0</v>
      </c>
      <c r="B2268">
        <f>Charms!B2268</f>
        <v>0</v>
      </c>
      <c r="C2268" t="b">
        <f ca="1">OR(Values!$S$98&gt;=Charms!M2268,IFERROR(Charms!J2268=OFFSET(Values!$A$24,MATCH("S",Values!$T$25:$T$50,0),0),FALSE))</f>
        <v>1</v>
      </c>
      <c r="D2268" t="e">
        <f>VLOOKUP(Charms!J2268,Values!$A$11:$S$59,19,0)&gt;=Charms!L2268</f>
        <v>#N/A</v>
      </c>
      <c r="E2268" t="e">
        <f>OR(ISBLANK(Charms!I2268),(VLOOKUP(Values!$S$6,Castes!$B$2:$F$25,4,0)=Charms!I2268))</f>
        <v>#N/A</v>
      </c>
      <c r="J2268" t="e">
        <f t="shared" ca="1" si="176"/>
        <v>#N/A</v>
      </c>
      <c r="K2268" s="18" t="e">
        <f t="shared" ca="1" si="175"/>
        <v>#N/A</v>
      </c>
      <c r="L2268" t="e">
        <f ca="1">IF(J2268,Charms!B2268,"")</f>
        <v>#N/A</v>
      </c>
      <c r="M2268" t="str">
        <f t="shared" ca="1" si="177"/>
        <v>-</v>
      </c>
      <c r="N2268" s="18" t="str">
        <f t="shared" si="178"/>
        <v>K1622:L5000</v>
      </c>
      <c r="O2268" t="str">
        <f t="shared" si="179"/>
        <v>A1622:A2268</v>
      </c>
    </row>
    <row r="2269" spans="1:15">
      <c r="A2269" s="18">
        <f>Charms!K2269</f>
        <v>0</v>
      </c>
      <c r="B2269">
        <f>Charms!B2269</f>
        <v>0</v>
      </c>
      <c r="C2269" t="b">
        <f ca="1">OR(Values!$S$98&gt;=Charms!M2269,IFERROR(Charms!J2269=OFFSET(Values!$A$24,MATCH("S",Values!$T$25:$T$50,0),0),FALSE))</f>
        <v>1</v>
      </c>
      <c r="D2269" t="e">
        <f>VLOOKUP(Charms!J2269,Values!$A$11:$S$59,19,0)&gt;=Charms!L2269</f>
        <v>#N/A</v>
      </c>
      <c r="E2269" t="e">
        <f>OR(ISBLANK(Charms!I2269),(VLOOKUP(Values!$S$6,Castes!$B$2:$F$25,4,0)=Charms!I2269))</f>
        <v>#N/A</v>
      </c>
      <c r="J2269" t="e">
        <f t="shared" ca="1" si="176"/>
        <v>#N/A</v>
      </c>
      <c r="K2269" s="18" t="e">
        <f t="shared" ca="1" si="175"/>
        <v>#N/A</v>
      </c>
      <c r="L2269" t="e">
        <f ca="1">IF(J2269,Charms!B2269,"")</f>
        <v>#N/A</v>
      </c>
      <c r="M2269" t="str">
        <f t="shared" ca="1" si="177"/>
        <v>-</v>
      </c>
      <c r="N2269" s="18" t="str">
        <f t="shared" si="178"/>
        <v>K1622:L5000</v>
      </c>
      <c r="O2269" t="str">
        <f t="shared" si="179"/>
        <v>A1622:A2269</v>
      </c>
    </row>
    <row r="2270" spans="1:15">
      <c r="A2270" s="18">
        <f>Charms!K2270</f>
        <v>0</v>
      </c>
      <c r="B2270">
        <f>Charms!B2270</f>
        <v>0</v>
      </c>
      <c r="C2270" t="b">
        <f ca="1">OR(Values!$S$98&gt;=Charms!M2270,IFERROR(Charms!J2270=OFFSET(Values!$A$24,MATCH("S",Values!$T$25:$T$50,0),0),FALSE))</f>
        <v>1</v>
      </c>
      <c r="D2270" t="e">
        <f>VLOOKUP(Charms!J2270,Values!$A$11:$S$59,19,0)&gt;=Charms!L2270</f>
        <v>#N/A</v>
      </c>
      <c r="E2270" t="e">
        <f>OR(ISBLANK(Charms!I2270),(VLOOKUP(Values!$S$6,Castes!$B$2:$F$25,4,0)=Charms!I2270))</f>
        <v>#N/A</v>
      </c>
      <c r="J2270" t="e">
        <f t="shared" ca="1" si="176"/>
        <v>#N/A</v>
      </c>
      <c r="K2270" s="18" t="e">
        <f t="shared" ca="1" si="175"/>
        <v>#N/A</v>
      </c>
      <c r="L2270" t="e">
        <f ca="1">IF(J2270,Charms!B2270,"")</f>
        <v>#N/A</v>
      </c>
      <c r="M2270" t="str">
        <f t="shared" ca="1" si="177"/>
        <v>-</v>
      </c>
      <c r="N2270" s="18" t="str">
        <f t="shared" si="178"/>
        <v>K1622:L5000</v>
      </c>
      <c r="O2270" t="str">
        <f t="shared" si="179"/>
        <v>A1622:A2270</v>
      </c>
    </row>
    <row r="2271" spans="1:15">
      <c r="A2271" s="18">
        <f>Charms!K2271</f>
        <v>0</v>
      </c>
      <c r="B2271">
        <f>Charms!B2271</f>
        <v>0</v>
      </c>
      <c r="C2271" t="b">
        <f ca="1">OR(Values!$S$98&gt;=Charms!M2271,IFERROR(Charms!J2271=OFFSET(Values!$A$24,MATCH("S",Values!$T$25:$T$50,0),0),FALSE))</f>
        <v>1</v>
      </c>
      <c r="D2271" t="e">
        <f>VLOOKUP(Charms!J2271,Values!$A$11:$S$59,19,0)&gt;=Charms!L2271</f>
        <v>#N/A</v>
      </c>
      <c r="E2271" t="e">
        <f>OR(ISBLANK(Charms!I2271),(VLOOKUP(Values!$S$6,Castes!$B$2:$F$25,4,0)=Charms!I2271))</f>
        <v>#N/A</v>
      </c>
      <c r="J2271" t="e">
        <f t="shared" ca="1" si="176"/>
        <v>#N/A</v>
      </c>
      <c r="K2271" s="18" t="e">
        <f t="shared" ca="1" si="175"/>
        <v>#N/A</v>
      </c>
      <c r="L2271" t="e">
        <f ca="1">IF(J2271,Charms!B2271,"")</f>
        <v>#N/A</v>
      </c>
      <c r="M2271" t="str">
        <f t="shared" ca="1" si="177"/>
        <v>-</v>
      </c>
      <c r="N2271" s="18" t="str">
        <f t="shared" si="178"/>
        <v>K1622:L5000</v>
      </c>
      <c r="O2271" t="str">
        <f t="shared" si="179"/>
        <v>A1622:A2271</v>
      </c>
    </row>
    <row r="2272" spans="1:15">
      <c r="A2272" s="18">
        <f>Charms!K2272</f>
        <v>0</v>
      </c>
      <c r="B2272">
        <f>Charms!B2272</f>
        <v>0</v>
      </c>
      <c r="C2272" t="b">
        <f ca="1">OR(Values!$S$98&gt;=Charms!M2272,IFERROR(Charms!J2272=OFFSET(Values!$A$24,MATCH("S",Values!$T$25:$T$50,0),0),FALSE))</f>
        <v>1</v>
      </c>
      <c r="D2272" t="e">
        <f>VLOOKUP(Charms!J2272,Values!$A$11:$S$59,19,0)&gt;=Charms!L2272</f>
        <v>#N/A</v>
      </c>
      <c r="E2272" t="e">
        <f>OR(ISBLANK(Charms!I2272),(VLOOKUP(Values!$S$6,Castes!$B$2:$F$25,4,0)=Charms!I2272))</f>
        <v>#N/A</v>
      </c>
      <c r="J2272" t="e">
        <f t="shared" ca="1" si="176"/>
        <v>#N/A</v>
      </c>
      <c r="K2272" s="18" t="e">
        <f t="shared" ca="1" si="175"/>
        <v>#N/A</v>
      </c>
      <c r="L2272" t="e">
        <f ca="1">IF(J2272,Charms!B2272,"")</f>
        <v>#N/A</v>
      </c>
      <c r="M2272" t="str">
        <f t="shared" ca="1" si="177"/>
        <v>-</v>
      </c>
      <c r="N2272" s="18" t="str">
        <f t="shared" si="178"/>
        <v>K1622:L5000</v>
      </c>
      <c r="O2272" t="str">
        <f t="shared" si="179"/>
        <v>A1622:A2272</v>
      </c>
    </row>
    <row r="2273" spans="1:15">
      <c r="A2273" s="18">
        <f>Charms!K2273</f>
        <v>0</v>
      </c>
      <c r="B2273">
        <f>Charms!B2273</f>
        <v>0</v>
      </c>
      <c r="C2273" t="b">
        <f ca="1">OR(Values!$S$98&gt;=Charms!M2273,IFERROR(Charms!J2273=OFFSET(Values!$A$24,MATCH("S",Values!$T$25:$T$50,0),0),FALSE))</f>
        <v>1</v>
      </c>
      <c r="D2273" t="e">
        <f>VLOOKUP(Charms!J2273,Values!$A$11:$S$59,19,0)&gt;=Charms!L2273</f>
        <v>#N/A</v>
      </c>
      <c r="E2273" t="e">
        <f>OR(ISBLANK(Charms!I2273),(VLOOKUP(Values!$S$6,Castes!$B$2:$F$25,4,0)=Charms!I2273))</f>
        <v>#N/A</v>
      </c>
      <c r="J2273" t="e">
        <f t="shared" ca="1" si="176"/>
        <v>#N/A</v>
      </c>
      <c r="K2273" s="18" t="e">
        <f t="shared" ca="1" si="175"/>
        <v>#N/A</v>
      </c>
      <c r="L2273" t="e">
        <f ca="1">IF(J2273,Charms!B2273,"")</f>
        <v>#N/A</v>
      </c>
      <c r="M2273" t="str">
        <f t="shared" ca="1" si="177"/>
        <v>-</v>
      </c>
      <c r="N2273" s="18" t="str">
        <f t="shared" si="178"/>
        <v>K1622:L5000</v>
      </c>
      <c r="O2273" t="str">
        <f t="shared" si="179"/>
        <v>A1622:A2273</v>
      </c>
    </row>
    <row r="2274" spans="1:15">
      <c r="A2274" s="18">
        <f>Charms!K2274</f>
        <v>0</v>
      </c>
      <c r="B2274">
        <f>Charms!B2274</f>
        <v>0</v>
      </c>
      <c r="C2274" t="b">
        <f ca="1">OR(Values!$S$98&gt;=Charms!M2274,IFERROR(Charms!J2274=OFFSET(Values!$A$24,MATCH("S",Values!$T$25:$T$50,0),0),FALSE))</f>
        <v>1</v>
      </c>
      <c r="D2274" t="e">
        <f>VLOOKUP(Charms!J2274,Values!$A$11:$S$59,19,0)&gt;=Charms!L2274</f>
        <v>#N/A</v>
      </c>
      <c r="E2274" t="e">
        <f>OR(ISBLANK(Charms!I2274),(VLOOKUP(Values!$S$6,Castes!$B$2:$F$25,4,0)=Charms!I2274))</f>
        <v>#N/A</v>
      </c>
      <c r="J2274" t="e">
        <f t="shared" ca="1" si="176"/>
        <v>#N/A</v>
      </c>
      <c r="K2274" s="18" t="e">
        <f t="shared" ca="1" si="175"/>
        <v>#N/A</v>
      </c>
      <c r="L2274" t="e">
        <f ca="1">IF(J2274,Charms!B2274,"")</f>
        <v>#N/A</v>
      </c>
      <c r="M2274" t="str">
        <f t="shared" ca="1" si="177"/>
        <v>-</v>
      </c>
      <c r="N2274" s="18" t="str">
        <f t="shared" si="178"/>
        <v>K1622:L5000</v>
      </c>
      <c r="O2274" t="str">
        <f t="shared" si="179"/>
        <v>A1622:A2274</v>
      </c>
    </row>
    <row r="2275" spans="1:15">
      <c r="A2275" s="18">
        <f>Charms!K2275</f>
        <v>0</v>
      </c>
      <c r="B2275">
        <f>Charms!B2275</f>
        <v>0</v>
      </c>
      <c r="C2275" t="b">
        <f ca="1">OR(Values!$S$98&gt;=Charms!M2275,IFERROR(Charms!J2275=OFFSET(Values!$A$24,MATCH("S",Values!$T$25:$T$50,0),0),FALSE))</f>
        <v>1</v>
      </c>
      <c r="D2275" t="e">
        <f>VLOOKUP(Charms!J2275,Values!$A$11:$S$59,19,0)&gt;=Charms!L2275</f>
        <v>#N/A</v>
      </c>
      <c r="E2275" t="e">
        <f>OR(ISBLANK(Charms!I2275),(VLOOKUP(Values!$S$6,Castes!$B$2:$F$25,4,0)=Charms!I2275))</f>
        <v>#N/A</v>
      </c>
      <c r="J2275" t="e">
        <f t="shared" ca="1" si="176"/>
        <v>#N/A</v>
      </c>
      <c r="K2275" s="18" t="e">
        <f t="shared" ca="1" si="175"/>
        <v>#N/A</v>
      </c>
      <c r="L2275" t="e">
        <f ca="1">IF(J2275,Charms!B2275,"")</f>
        <v>#N/A</v>
      </c>
      <c r="M2275" t="str">
        <f t="shared" ca="1" si="177"/>
        <v>-</v>
      </c>
      <c r="N2275" s="18" t="str">
        <f t="shared" si="178"/>
        <v>K1622:L5000</v>
      </c>
      <c r="O2275" t="str">
        <f t="shared" si="179"/>
        <v>A1622:A2275</v>
      </c>
    </row>
    <row r="2276" spans="1:15">
      <c r="A2276" s="18">
        <f>Charms!K2276</f>
        <v>0</v>
      </c>
      <c r="B2276">
        <f>Charms!B2276</f>
        <v>0</v>
      </c>
      <c r="C2276" t="b">
        <f ca="1">OR(Values!$S$98&gt;=Charms!M2276,IFERROR(Charms!J2276=OFFSET(Values!$A$24,MATCH("S",Values!$T$25:$T$50,0),0),FALSE))</f>
        <v>1</v>
      </c>
      <c r="D2276" t="e">
        <f>VLOOKUP(Charms!J2276,Values!$A$11:$S$59,19,0)&gt;=Charms!L2276</f>
        <v>#N/A</v>
      </c>
      <c r="E2276" t="e">
        <f>OR(ISBLANK(Charms!I2276),(VLOOKUP(Values!$S$6,Castes!$B$2:$F$25,4,0)=Charms!I2276))</f>
        <v>#N/A</v>
      </c>
      <c r="J2276" t="e">
        <f t="shared" ca="1" si="176"/>
        <v>#N/A</v>
      </c>
      <c r="K2276" s="18" t="e">
        <f t="shared" ca="1" si="175"/>
        <v>#N/A</v>
      </c>
      <c r="L2276" t="e">
        <f ca="1">IF(J2276,Charms!B2276,"")</f>
        <v>#N/A</v>
      </c>
      <c r="M2276" t="str">
        <f t="shared" ca="1" si="177"/>
        <v>-</v>
      </c>
      <c r="N2276" s="18" t="str">
        <f t="shared" si="178"/>
        <v>K1622:L5000</v>
      </c>
      <c r="O2276" t="str">
        <f t="shared" si="179"/>
        <v>A1622:A2276</v>
      </c>
    </row>
    <row r="2277" spans="1:15">
      <c r="A2277" s="18">
        <f>Charms!K2277</f>
        <v>0</v>
      </c>
      <c r="B2277">
        <f>Charms!B2277</f>
        <v>0</v>
      </c>
      <c r="C2277" t="b">
        <f ca="1">OR(Values!$S$98&gt;=Charms!M2277,IFERROR(Charms!J2277=OFFSET(Values!$A$24,MATCH("S",Values!$T$25:$T$50,0),0),FALSE))</f>
        <v>1</v>
      </c>
      <c r="D2277" t="e">
        <f>VLOOKUP(Charms!J2277,Values!$A$11:$S$59,19,0)&gt;=Charms!L2277</f>
        <v>#N/A</v>
      </c>
      <c r="E2277" t="e">
        <f>OR(ISBLANK(Charms!I2277),(VLOOKUP(Values!$S$6,Castes!$B$2:$F$25,4,0)=Charms!I2277))</f>
        <v>#N/A</v>
      </c>
      <c r="J2277" t="e">
        <f t="shared" ca="1" si="176"/>
        <v>#N/A</v>
      </c>
      <c r="K2277" s="18" t="e">
        <f t="shared" ca="1" si="175"/>
        <v>#N/A</v>
      </c>
      <c r="L2277" t="e">
        <f ca="1">IF(J2277,Charms!B2277,"")</f>
        <v>#N/A</v>
      </c>
      <c r="M2277" t="str">
        <f t="shared" ca="1" si="177"/>
        <v>-</v>
      </c>
      <c r="N2277" s="18" t="str">
        <f t="shared" si="178"/>
        <v>K1622:L5000</v>
      </c>
      <c r="O2277" t="str">
        <f t="shared" si="179"/>
        <v>A1622:A2277</v>
      </c>
    </row>
    <row r="2278" spans="1:15">
      <c r="A2278" s="18">
        <f>Charms!K2278</f>
        <v>0</v>
      </c>
      <c r="B2278">
        <f>Charms!B2278</f>
        <v>0</v>
      </c>
      <c r="C2278" t="b">
        <f ca="1">OR(Values!$S$98&gt;=Charms!M2278,IFERROR(Charms!J2278=OFFSET(Values!$A$24,MATCH("S",Values!$T$25:$T$50,0),0),FALSE))</f>
        <v>1</v>
      </c>
      <c r="D2278" t="e">
        <f>VLOOKUP(Charms!J2278,Values!$A$11:$S$59,19,0)&gt;=Charms!L2278</f>
        <v>#N/A</v>
      </c>
      <c r="E2278" t="e">
        <f>OR(ISBLANK(Charms!I2278),(VLOOKUP(Values!$S$6,Castes!$B$2:$F$25,4,0)=Charms!I2278))</f>
        <v>#N/A</v>
      </c>
      <c r="J2278" t="e">
        <f t="shared" ca="1" si="176"/>
        <v>#N/A</v>
      </c>
      <c r="K2278" s="18" t="e">
        <f t="shared" ca="1" si="175"/>
        <v>#N/A</v>
      </c>
      <c r="L2278" t="e">
        <f ca="1">IF(J2278,Charms!B2278,"")</f>
        <v>#N/A</v>
      </c>
      <c r="M2278" t="str">
        <f t="shared" ca="1" si="177"/>
        <v>-</v>
      </c>
      <c r="N2278" s="18" t="str">
        <f t="shared" si="178"/>
        <v>K1622:L5000</v>
      </c>
      <c r="O2278" t="str">
        <f t="shared" si="179"/>
        <v>A1622:A2278</v>
      </c>
    </row>
    <row r="2279" spans="1:15">
      <c r="A2279" s="18">
        <f>Charms!K2279</f>
        <v>0</v>
      </c>
      <c r="B2279">
        <f>Charms!B2279</f>
        <v>0</v>
      </c>
      <c r="C2279" t="b">
        <f ca="1">OR(Values!$S$98&gt;=Charms!M2279,IFERROR(Charms!J2279=OFFSET(Values!$A$24,MATCH("S",Values!$T$25:$T$50,0),0),FALSE))</f>
        <v>1</v>
      </c>
      <c r="D2279" t="e">
        <f>VLOOKUP(Charms!J2279,Values!$A$11:$S$59,19,0)&gt;=Charms!L2279</f>
        <v>#N/A</v>
      </c>
      <c r="E2279" t="e">
        <f>OR(ISBLANK(Charms!I2279),(VLOOKUP(Values!$S$6,Castes!$B$2:$F$25,4,0)=Charms!I2279))</f>
        <v>#N/A</v>
      </c>
      <c r="J2279" t="e">
        <f t="shared" ca="1" si="176"/>
        <v>#N/A</v>
      </c>
      <c r="K2279" s="18" t="e">
        <f t="shared" ca="1" si="175"/>
        <v>#N/A</v>
      </c>
      <c r="L2279" t="e">
        <f ca="1">IF(J2279,Charms!B2279,"")</f>
        <v>#N/A</v>
      </c>
      <c r="M2279" t="str">
        <f t="shared" ca="1" si="177"/>
        <v>-</v>
      </c>
      <c r="N2279" s="18" t="str">
        <f t="shared" si="178"/>
        <v>K1622:L5000</v>
      </c>
      <c r="O2279" t="str">
        <f t="shared" si="179"/>
        <v>A1622:A2279</v>
      </c>
    </row>
    <row r="2280" spans="1:15">
      <c r="A2280" s="18">
        <f>Charms!K2280</f>
        <v>0</v>
      </c>
      <c r="B2280">
        <f>Charms!B2280</f>
        <v>0</v>
      </c>
      <c r="C2280" t="b">
        <f ca="1">OR(Values!$S$98&gt;=Charms!M2280,IFERROR(Charms!J2280=OFFSET(Values!$A$24,MATCH("S",Values!$T$25:$T$50,0),0),FALSE))</f>
        <v>1</v>
      </c>
      <c r="D2280" t="e">
        <f>VLOOKUP(Charms!J2280,Values!$A$11:$S$59,19,0)&gt;=Charms!L2280</f>
        <v>#N/A</v>
      </c>
      <c r="E2280" t="e">
        <f>OR(ISBLANK(Charms!I2280),(VLOOKUP(Values!$S$6,Castes!$B$2:$F$25,4,0)=Charms!I2280))</f>
        <v>#N/A</v>
      </c>
      <c r="J2280" t="e">
        <f t="shared" ca="1" si="176"/>
        <v>#N/A</v>
      </c>
      <c r="K2280" s="18" t="e">
        <f t="shared" ca="1" si="175"/>
        <v>#N/A</v>
      </c>
      <c r="L2280" t="e">
        <f ca="1">IF(J2280,Charms!B2280,"")</f>
        <v>#N/A</v>
      </c>
      <c r="M2280" t="str">
        <f t="shared" ca="1" si="177"/>
        <v>-</v>
      </c>
      <c r="N2280" s="18" t="str">
        <f t="shared" si="178"/>
        <v>K1622:L5000</v>
      </c>
      <c r="O2280" t="str">
        <f t="shared" si="179"/>
        <v>A1622:A2280</v>
      </c>
    </row>
    <row r="2281" spans="1:15">
      <c r="A2281" s="18">
        <f>Charms!K2281</f>
        <v>0</v>
      </c>
      <c r="B2281">
        <f>Charms!B2281</f>
        <v>0</v>
      </c>
      <c r="C2281" t="b">
        <f ca="1">OR(Values!$S$98&gt;=Charms!M2281,IFERROR(Charms!J2281=OFFSET(Values!$A$24,MATCH("S",Values!$T$25:$T$50,0),0),FALSE))</f>
        <v>1</v>
      </c>
      <c r="D2281" t="e">
        <f>VLOOKUP(Charms!J2281,Values!$A$11:$S$59,19,0)&gt;=Charms!L2281</f>
        <v>#N/A</v>
      </c>
      <c r="E2281" t="e">
        <f>OR(ISBLANK(Charms!I2281),(VLOOKUP(Values!$S$6,Castes!$B$2:$F$25,4,0)=Charms!I2281))</f>
        <v>#N/A</v>
      </c>
      <c r="J2281" t="e">
        <f t="shared" ca="1" si="176"/>
        <v>#N/A</v>
      </c>
      <c r="K2281" s="18" t="e">
        <f t="shared" ca="1" si="175"/>
        <v>#N/A</v>
      </c>
      <c r="L2281" t="e">
        <f ca="1">IF(J2281,Charms!B2281,"")</f>
        <v>#N/A</v>
      </c>
      <c r="M2281" t="str">
        <f t="shared" ca="1" si="177"/>
        <v>-</v>
      </c>
      <c r="N2281" s="18" t="str">
        <f t="shared" si="178"/>
        <v>K1622:L5000</v>
      </c>
      <c r="O2281" t="str">
        <f t="shared" si="179"/>
        <v>A1622:A2281</v>
      </c>
    </row>
    <row r="2282" spans="1:15">
      <c r="A2282" s="18">
        <f>Charms!K2282</f>
        <v>0</v>
      </c>
      <c r="B2282">
        <f>Charms!B2282</f>
        <v>0</v>
      </c>
      <c r="C2282" t="b">
        <f ca="1">OR(Values!$S$98&gt;=Charms!M2282,IFERROR(Charms!J2282=OFFSET(Values!$A$24,MATCH("S",Values!$T$25:$T$50,0),0),FALSE))</f>
        <v>1</v>
      </c>
      <c r="D2282" t="e">
        <f>VLOOKUP(Charms!J2282,Values!$A$11:$S$59,19,0)&gt;=Charms!L2282</f>
        <v>#N/A</v>
      </c>
      <c r="E2282" t="e">
        <f>OR(ISBLANK(Charms!I2282),(VLOOKUP(Values!$S$6,Castes!$B$2:$F$25,4,0)=Charms!I2282))</f>
        <v>#N/A</v>
      </c>
      <c r="J2282" t="e">
        <f t="shared" ca="1" si="176"/>
        <v>#N/A</v>
      </c>
      <c r="K2282" s="18" t="e">
        <f t="shared" ca="1" si="175"/>
        <v>#N/A</v>
      </c>
      <c r="L2282" t="e">
        <f ca="1">IF(J2282,Charms!B2282,"")</f>
        <v>#N/A</v>
      </c>
      <c r="M2282" t="str">
        <f t="shared" ca="1" si="177"/>
        <v>-</v>
      </c>
      <c r="N2282" s="18" t="str">
        <f t="shared" si="178"/>
        <v>K1622:L5000</v>
      </c>
      <c r="O2282" t="str">
        <f t="shared" si="179"/>
        <v>A1622:A2282</v>
      </c>
    </row>
    <row r="2283" spans="1:15">
      <c r="A2283" s="18">
        <f>Charms!K2283</f>
        <v>0</v>
      </c>
      <c r="B2283">
        <f>Charms!B2283</f>
        <v>0</v>
      </c>
      <c r="C2283" t="b">
        <f ca="1">OR(Values!$S$98&gt;=Charms!M2283,IFERROR(Charms!J2283=OFFSET(Values!$A$24,MATCH("S",Values!$T$25:$T$50,0),0),FALSE))</f>
        <v>1</v>
      </c>
      <c r="D2283" t="e">
        <f>VLOOKUP(Charms!J2283,Values!$A$11:$S$59,19,0)&gt;=Charms!L2283</f>
        <v>#N/A</v>
      </c>
      <c r="E2283" t="e">
        <f>OR(ISBLANK(Charms!I2283),(VLOOKUP(Values!$S$6,Castes!$B$2:$F$25,4,0)=Charms!I2283))</f>
        <v>#N/A</v>
      </c>
      <c r="J2283" t="e">
        <f t="shared" ca="1" si="176"/>
        <v>#N/A</v>
      </c>
      <c r="K2283" s="18" t="e">
        <f t="shared" ca="1" si="175"/>
        <v>#N/A</v>
      </c>
      <c r="L2283" t="e">
        <f ca="1">IF(J2283,Charms!B2283,"")</f>
        <v>#N/A</v>
      </c>
      <c r="M2283" t="str">
        <f t="shared" ca="1" si="177"/>
        <v>-</v>
      </c>
      <c r="N2283" s="18" t="str">
        <f t="shared" si="178"/>
        <v>K1622:L5000</v>
      </c>
      <c r="O2283" t="str">
        <f t="shared" si="179"/>
        <v>A1622:A2283</v>
      </c>
    </row>
    <row r="2284" spans="1:15">
      <c r="A2284" s="18">
        <f>Charms!K2284</f>
        <v>0</v>
      </c>
      <c r="B2284">
        <f>Charms!B2284</f>
        <v>0</v>
      </c>
      <c r="C2284" t="b">
        <f ca="1">OR(Values!$S$98&gt;=Charms!M2284,IFERROR(Charms!J2284=OFFSET(Values!$A$24,MATCH("S",Values!$T$25:$T$50,0),0),FALSE))</f>
        <v>1</v>
      </c>
      <c r="D2284" t="e">
        <f>VLOOKUP(Charms!J2284,Values!$A$11:$S$59,19,0)&gt;=Charms!L2284</f>
        <v>#N/A</v>
      </c>
      <c r="E2284" t="e">
        <f>OR(ISBLANK(Charms!I2284),(VLOOKUP(Values!$S$6,Castes!$B$2:$F$25,4,0)=Charms!I2284))</f>
        <v>#N/A</v>
      </c>
      <c r="J2284" t="e">
        <f t="shared" ca="1" si="176"/>
        <v>#N/A</v>
      </c>
      <c r="K2284" s="18" t="e">
        <f t="shared" ca="1" si="175"/>
        <v>#N/A</v>
      </c>
      <c r="L2284" t="e">
        <f ca="1">IF(J2284,Charms!B2284,"")</f>
        <v>#N/A</v>
      </c>
      <c r="M2284" t="str">
        <f t="shared" ca="1" si="177"/>
        <v>-</v>
      </c>
      <c r="N2284" s="18" t="str">
        <f t="shared" si="178"/>
        <v>K1622:L5000</v>
      </c>
      <c r="O2284" t="str">
        <f t="shared" si="179"/>
        <v>A1622:A2284</v>
      </c>
    </row>
    <row r="2285" spans="1:15">
      <c r="A2285" s="18">
        <f>Charms!K2285</f>
        <v>0</v>
      </c>
      <c r="B2285">
        <f>Charms!B2285</f>
        <v>0</v>
      </c>
      <c r="C2285" t="b">
        <f ca="1">OR(Values!$S$98&gt;=Charms!M2285,IFERROR(Charms!J2285=OFFSET(Values!$A$24,MATCH("S",Values!$T$25:$T$50,0),0),FALSE))</f>
        <v>1</v>
      </c>
      <c r="D2285" t="e">
        <f>VLOOKUP(Charms!J2285,Values!$A$11:$S$59,19,0)&gt;=Charms!L2285</f>
        <v>#N/A</v>
      </c>
      <c r="E2285" t="e">
        <f>OR(ISBLANK(Charms!I2285),(VLOOKUP(Values!$S$6,Castes!$B$2:$F$25,4,0)=Charms!I2285))</f>
        <v>#N/A</v>
      </c>
      <c r="J2285" t="e">
        <f t="shared" ca="1" si="176"/>
        <v>#N/A</v>
      </c>
      <c r="K2285" s="18" t="e">
        <f t="shared" ca="1" si="175"/>
        <v>#N/A</v>
      </c>
      <c r="L2285" t="e">
        <f ca="1">IF(J2285,Charms!B2285,"")</f>
        <v>#N/A</v>
      </c>
      <c r="M2285" t="str">
        <f t="shared" ca="1" si="177"/>
        <v>-</v>
      </c>
      <c r="N2285" s="18" t="str">
        <f t="shared" si="178"/>
        <v>K1622:L5000</v>
      </c>
      <c r="O2285" t="str">
        <f t="shared" si="179"/>
        <v>A1622:A2285</v>
      </c>
    </row>
    <row r="2286" spans="1:15">
      <c r="A2286" s="18">
        <f>Charms!K2286</f>
        <v>0</v>
      </c>
      <c r="B2286">
        <f>Charms!B2286</f>
        <v>0</v>
      </c>
      <c r="C2286" t="b">
        <f ca="1">OR(Values!$S$98&gt;=Charms!M2286,IFERROR(Charms!J2286=OFFSET(Values!$A$24,MATCH("S",Values!$T$25:$T$50,0),0),FALSE))</f>
        <v>1</v>
      </c>
      <c r="D2286" t="e">
        <f>VLOOKUP(Charms!J2286,Values!$A$11:$S$59,19,0)&gt;=Charms!L2286</f>
        <v>#N/A</v>
      </c>
      <c r="E2286" t="e">
        <f>OR(ISBLANK(Charms!I2286),(VLOOKUP(Values!$S$6,Castes!$B$2:$F$25,4,0)=Charms!I2286))</f>
        <v>#N/A</v>
      </c>
      <c r="J2286" t="e">
        <f t="shared" ca="1" si="176"/>
        <v>#N/A</v>
      </c>
      <c r="K2286" s="18" t="e">
        <f t="shared" ca="1" si="175"/>
        <v>#N/A</v>
      </c>
      <c r="L2286" t="e">
        <f ca="1">IF(J2286,Charms!B2286,"")</f>
        <v>#N/A</v>
      </c>
      <c r="M2286" t="str">
        <f t="shared" ca="1" si="177"/>
        <v>-</v>
      </c>
      <c r="N2286" s="18" t="str">
        <f t="shared" si="178"/>
        <v>K1622:L5000</v>
      </c>
      <c r="O2286" t="str">
        <f t="shared" si="179"/>
        <v>A1622:A2286</v>
      </c>
    </row>
    <row r="2287" spans="1:15">
      <c r="A2287" s="18">
        <f>Charms!K2287</f>
        <v>0</v>
      </c>
      <c r="B2287">
        <f>Charms!B2287</f>
        <v>0</v>
      </c>
      <c r="C2287" t="b">
        <f ca="1">OR(Values!$S$98&gt;=Charms!M2287,IFERROR(Charms!J2287=OFFSET(Values!$A$24,MATCH("S",Values!$T$25:$T$50,0),0),FALSE))</f>
        <v>1</v>
      </c>
      <c r="D2287" t="e">
        <f>VLOOKUP(Charms!J2287,Values!$A$11:$S$59,19,0)&gt;=Charms!L2287</f>
        <v>#N/A</v>
      </c>
      <c r="E2287" t="e">
        <f>OR(ISBLANK(Charms!I2287),(VLOOKUP(Values!$S$6,Castes!$B$2:$F$25,4,0)=Charms!I2287))</f>
        <v>#N/A</v>
      </c>
      <c r="J2287" t="e">
        <f t="shared" ca="1" si="176"/>
        <v>#N/A</v>
      </c>
      <c r="K2287" s="18" t="e">
        <f t="shared" ca="1" si="175"/>
        <v>#N/A</v>
      </c>
      <c r="L2287" t="e">
        <f ca="1">IF(J2287,Charms!B2287,"")</f>
        <v>#N/A</v>
      </c>
      <c r="M2287" t="str">
        <f t="shared" ca="1" si="177"/>
        <v>-</v>
      </c>
      <c r="N2287" s="18" t="str">
        <f t="shared" si="178"/>
        <v>K1622:L5000</v>
      </c>
      <c r="O2287" t="str">
        <f t="shared" si="179"/>
        <v>A1622:A2287</v>
      </c>
    </row>
    <row r="2288" spans="1:15">
      <c r="A2288" s="18">
        <f>Charms!K2288</f>
        <v>0</v>
      </c>
      <c r="B2288">
        <f>Charms!B2288</f>
        <v>0</v>
      </c>
      <c r="C2288" t="b">
        <f ca="1">OR(Values!$S$98&gt;=Charms!M2288,IFERROR(Charms!J2288=OFFSET(Values!$A$24,MATCH("S",Values!$T$25:$T$50,0),0),FALSE))</f>
        <v>1</v>
      </c>
      <c r="D2288" t="e">
        <f>VLOOKUP(Charms!J2288,Values!$A$11:$S$59,19,0)&gt;=Charms!L2288</f>
        <v>#N/A</v>
      </c>
      <c r="E2288" t="e">
        <f>OR(ISBLANK(Charms!I2288),(VLOOKUP(Values!$S$6,Castes!$B$2:$F$25,4,0)=Charms!I2288))</f>
        <v>#N/A</v>
      </c>
      <c r="J2288" t="e">
        <f t="shared" ca="1" si="176"/>
        <v>#N/A</v>
      </c>
      <c r="K2288" s="18" t="e">
        <f t="shared" ca="1" si="175"/>
        <v>#N/A</v>
      </c>
      <c r="L2288" t="e">
        <f ca="1">IF(J2288,Charms!B2288,"")</f>
        <v>#N/A</v>
      </c>
      <c r="M2288" t="str">
        <f t="shared" ca="1" si="177"/>
        <v>-</v>
      </c>
      <c r="N2288" s="18" t="str">
        <f t="shared" si="178"/>
        <v>K1622:L5000</v>
      </c>
      <c r="O2288" t="str">
        <f t="shared" si="179"/>
        <v>A1622:A2288</v>
      </c>
    </row>
    <row r="2289" spans="1:15">
      <c r="A2289" s="18">
        <f>Charms!K2289</f>
        <v>0</v>
      </c>
      <c r="B2289">
        <f>Charms!B2289</f>
        <v>0</v>
      </c>
      <c r="C2289" t="b">
        <f ca="1">OR(Values!$S$98&gt;=Charms!M2289,IFERROR(Charms!J2289=OFFSET(Values!$A$24,MATCH("S",Values!$T$25:$T$50,0),0),FALSE))</f>
        <v>1</v>
      </c>
      <c r="D2289" t="e">
        <f>VLOOKUP(Charms!J2289,Values!$A$11:$S$59,19,0)&gt;=Charms!L2289</f>
        <v>#N/A</v>
      </c>
      <c r="E2289" t="e">
        <f>OR(ISBLANK(Charms!I2289),(VLOOKUP(Values!$S$6,Castes!$B$2:$F$25,4,0)=Charms!I2289))</f>
        <v>#N/A</v>
      </c>
      <c r="J2289" t="e">
        <f t="shared" ca="1" si="176"/>
        <v>#N/A</v>
      </c>
      <c r="K2289" s="18" t="e">
        <f t="shared" ca="1" si="175"/>
        <v>#N/A</v>
      </c>
      <c r="L2289" t="e">
        <f ca="1">IF(J2289,Charms!B2289,"")</f>
        <v>#N/A</v>
      </c>
      <c r="M2289" t="str">
        <f t="shared" ca="1" si="177"/>
        <v>-</v>
      </c>
      <c r="N2289" s="18" t="str">
        <f t="shared" si="178"/>
        <v>K1622:L5000</v>
      </c>
      <c r="O2289" t="str">
        <f t="shared" si="179"/>
        <v>A1622:A2289</v>
      </c>
    </row>
    <row r="2290" spans="1:15">
      <c r="A2290" s="18">
        <f>Charms!K2290</f>
        <v>0</v>
      </c>
      <c r="B2290">
        <f>Charms!B2290</f>
        <v>0</v>
      </c>
      <c r="C2290" t="b">
        <f ca="1">OR(Values!$S$98&gt;=Charms!M2290,IFERROR(Charms!J2290=OFFSET(Values!$A$24,MATCH("S",Values!$T$25:$T$50,0),0),FALSE))</f>
        <v>1</v>
      </c>
      <c r="D2290" t="e">
        <f>VLOOKUP(Charms!J2290,Values!$A$11:$S$59,19,0)&gt;=Charms!L2290</f>
        <v>#N/A</v>
      </c>
      <c r="E2290" t="e">
        <f>OR(ISBLANK(Charms!I2290),(VLOOKUP(Values!$S$6,Castes!$B$2:$F$25,4,0)=Charms!I2290))</f>
        <v>#N/A</v>
      </c>
      <c r="J2290" t="e">
        <f t="shared" ca="1" si="176"/>
        <v>#N/A</v>
      </c>
      <c r="K2290" s="18" t="e">
        <f t="shared" ca="1" si="175"/>
        <v>#N/A</v>
      </c>
      <c r="L2290" t="e">
        <f ca="1">IF(J2290,Charms!B2290,"")</f>
        <v>#N/A</v>
      </c>
      <c r="M2290" t="str">
        <f t="shared" ca="1" si="177"/>
        <v>-</v>
      </c>
      <c r="N2290" s="18" t="str">
        <f t="shared" si="178"/>
        <v>K1622:L5000</v>
      </c>
      <c r="O2290" t="str">
        <f t="shared" si="179"/>
        <v>A1622:A2290</v>
      </c>
    </row>
    <row r="2291" spans="1:15">
      <c r="A2291" s="18">
        <f>Charms!K2291</f>
        <v>0</v>
      </c>
      <c r="B2291">
        <f>Charms!B2291</f>
        <v>0</v>
      </c>
      <c r="C2291" t="b">
        <f ca="1">OR(Values!$S$98&gt;=Charms!M2291,IFERROR(Charms!J2291=OFFSET(Values!$A$24,MATCH("S",Values!$T$25:$T$50,0),0),FALSE))</f>
        <v>1</v>
      </c>
      <c r="D2291" t="e">
        <f>VLOOKUP(Charms!J2291,Values!$A$11:$S$59,19,0)&gt;=Charms!L2291</f>
        <v>#N/A</v>
      </c>
      <c r="E2291" t="e">
        <f>OR(ISBLANK(Charms!I2291),(VLOOKUP(Values!$S$6,Castes!$B$2:$F$25,4,0)=Charms!I2291))</f>
        <v>#N/A</v>
      </c>
      <c r="J2291" t="e">
        <f t="shared" ca="1" si="176"/>
        <v>#N/A</v>
      </c>
      <c r="K2291" s="18" t="e">
        <f t="shared" ca="1" si="175"/>
        <v>#N/A</v>
      </c>
      <c r="L2291" t="e">
        <f ca="1">IF(J2291,Charms!B2291,"")</f>
        <v>#N/A</v>
      </c>
      <c r="M2291" t="str">
        <f t="shared" ca="1" si="177"/>
        <v>-</v>
      </c>
      <c r="N2291" s="18" t="str">
        <f t="shared" si="178"/>
        <v>K1622:L5000</v>
      </c>
      <c r="O2291" t="str">
        <f t="shared" si="179"/>
        <v>A1622:A2291</v>
      </c>
    </row>
    <row r="2292" spans="1:15">
      <c r="A2292" s="18">
        <f>Charms!K2292</f>
        <v>0</v>
      </c>
      <c r="B2292">
        <f>Charms!B2292</f>
        <v>0</v>
      </c>
      <c r="C2292" t="b">
        <f ca="1">OR(Values!$S$98&gt;=Charms!M2292,IFERROR(Charms!J2292=OFFSET(Values!$A$24,MATCH("S",Values!$T$25:$T$50,0),0),FALSE))</f>
        <v>1</v>
      </c>
      <c r="D2292" t="e">
        <f>VLOOKUP(Charms!J2292,Values!$A$11:$S$59,19,0)&gt;=Charms!L2292</f>
        <v>#N/A</v>
      </c>
      <c r="E2292" t="e">
        <f>OR(ISBLANK(Charms!I2292),(VLOOKUP(Values!$S$6,Castes!$B$2:$F$25,4,0)=Charms!I2292))</f>
        <v>#N/A</v>
      </c>
      <c r="J2292" t="e">
        <f t="shared" ca="1" si="176"/>
        <v>#N/A</v>
      </c>
      <c r="K2292" s="18" t="e">
        <f t="shared" ca="1" si="175"/>
        <v>#N/A</v>
      </c>
      <c r="L2292" t="e">
        <f ca="1">IF(J2292,Charms!B2292,"")</f>
        <v>#N/A</v>
      </c>
      <c r="M2292" t="str">
        <f t="shared" ca="1" si="177"/>
        <v>-</v>
      </c>
      <c r="N2292" s="18" t="str">
        <f t="shared" si="178"/>
        <v>K1622:L5000</v>
      </c>
      <c r="O2292" t="str">
        <f t="shared" si="179"/>
        <v>A1622:A2292</v>
      </c>
    </row>
    <row r="2293" spans="1:15">
      <c r="A2293" s="18">
        <f>Charms!K2293</f>
        <v>0</v>
      </c>
      <c r="B2293">
        <f>Charms!B2293</f>
        <v>0</v>
      </c>
      <c r="C2293" t="b">
        <f ca="1">OR(Values!$S$98&gt;=Charms!M2293,IFERROR(Charms!J2293=OFFSET(Values!$A$24,MATCH("S",Values!$T$25:$T$50,0),0),FALSE))</f>
        <v>1</v>
      </c>
      <c r="D2293" t="e">
        <f>VLOOKUP(Charms!J2293,Values!$A$11:$S$59,19,0)&gt;=Charms!L2293</f>
        <v>#N/A</v>
      </c>
      <c r="E2293" t="e">
        <f>OR(ISBLANK(Charms!I2293),(VLOOKUP(Values!$S$6,Castes!$B$2:$F$25,4,0)=Charms!I2293))</f>
        <v>#N/A</v>
      </c>
      <c r="J2293" t="e">
        <f t="shared" ca="1" si="176"/>
        <v>#N/A</v>
      </c>
      <c r="K2293" s="18" t="e">
        <f t="shared" ca="1" si="175"/>
        <v>#N/A</v>
      </c>
      <c r="L2293" t="e">
        <f ca="1">IF(J2293,Charms!B2293,"")</f>
        <v>#N/A</v>
      </c>
      <c r="M2293" t="str">
        <f t="shared" ca="1" si="177"/>
        <v>-</v>
      </c>
      <c r="N2293" s="18" t="str">
        <f t="shared" si="178"/>
        <v>K1622:L5000</v>
      </c>
      <c r="O2293" t="str">
        <f t="shared" si="179"/>
        <v>A1622:A2293</v>
      </c>
    </row>
    <row r="2294" spans="1:15">
      <c r="A2294" s="18">
        <f>Charms!K2294</f>
        <v>0</v>
      </c>
      <c r="B2294">
        <f>Charms!B2294</f>
        <v>0</v>
      </c>
      <c r="C2294" t="b">
        <f ca="1">OR(Values!$S$98&gt;=Charms!M2294,IFERROR(Charms!J2294=OFFSET(Values!$A$24,MATCH("S",Values!$T$25:$T$50,0),0),FALSE))</f>
        <v>1</v>
      </c>
      <c r="D2294" t="e">
        <f>VLOOKUP(Charms!J2294,Values!$A$11:$S$59,19,0)&gt;=Charms!L2294</f>
        <v>#N/A</v>
      </c>
      <c r="E2294" t="e">
        <f>OR(ISBLANK(Charms!I2294),(VLOOKUP(Values!$S$6,Castes!$B$2:$F$25,4,0)=Charms!I2294))</f>
        <v>#N/A</v>
      </c>
      <c r="J2294" t="e">
        <f t="shared" ca="1" si="176"/>
        <v>#N/A</v>
      </c>
      <c r="K2294" s="18" t="e">
        <f t="shared" ca="1" si="175"/>
        <v>#N/A</v>
      </c>
      <c r="L2294" t="e">
        <f ca="1">IF(J2294,Charms!B2294,"")</f>
        <v>#N/A</v>
      </c>
      <c r="M2294" t="str">
        <f t="shared" ca="1" si="177"/>
        <v>-</v>
      </c>
      <c r="N2294" s="18" t="str">
        <f t="shared" si="178"/>
        <v>K1622:L5000</v>
      </c>
      <c r="O2294" t="str">
        <f t="shared" si="179"/>
        <v>A1622:A2294</v>
      </c>
    </row>
    <row r="2295" spans="1:15">
      <c r="A2295" s="18">
        <f>Charms!K2295</f>
        <v>0</v>
      </c>
      <c r="B2295">
        <f>Charms!B2295</f>
        <v>0</v>
      </c>
      <c r="C2295" t="b">
        <f ca="1">OR(Values!$S$98&gt;=Charms!M2295,IFERROR(Charms!J2295=OFFSET(Values!$A$24,MATCH("S",Values!$T$25:$T$50,0),0),FALSE))</f>
        <v>1</v>
      </c>
      <c r="D2295" t="e">
        <f>VLOOKUP(Charms!J2295,Values!$A$11:$S$59,19,0)&gt;=Charms!L2295</f>
        <v>#N/A</v>
      </c>
      <c r="E2295" t="e">
        <f>OR(ISBLANK(Charms!I2295),(VLOOKUP(Values!$S$6,Castes!$B$2:$F$25,4,0)=Charms!I2295))</f>
        <v>#N/A</v>
      </c>
      <c r="J2295" t="e">
        <f t="shared" ca="1" si="176"/>
        <v>#N/A</v>
      </c>
      <c r="K2295" s="18" t="e">
        <f t="shared" ca="1" si="175"/>
        <v>#N/A</v>
      </c>
      <c r="L2295" t="e">
        <f ca="1">IF(J2295,Charms!B2295,"")</f>
        <v>#N/A</v>
      </c>
      <c r="M2295" t="str">
        <f t="shared" ca="1" si="177"/>
        <v>-</v>
      </c>
      <c r="N2295" s="18" t="str">
        <f t="shared" si="178"/>
        <v>K1622:L5000</v>
      </c>
      <c r="O2295" t="str">
        <f t="shared" si="179"/>
        <v>A1622:A2295</v>
      </c>
    </row>
    <row r="2296" spans="1:15">
      <c r="A2296" s="18">
        <f>Charms!K2296</f>
        <v>0</v>
      </c>
      <c r="B2296">
        <f>Charms!B2296</f>
        <v>0</v>
      </c>
      <c r="C2296" t="b">
        <f ca="1">OR(Values!$S$98&gt;=Charms!M2296,IFERROR(Charms!J2296=OFFSET(Values!$A$24,MATCH("S",Values!$T$25:$T$50,0),0),FALSE))</f>
        <v>1</v>
      </c>
      <c r="D2296" t="e">
        <f>VLOOKUP(Charms!J2296,Values!$A$11:$S$59,19,0)&gt;=Charms!L2296</f>
        <v>#N/A</v>
      </c>
      <c r="E2296" t="e">
        <f>OR(ISBLANK(Charms!I2296),(VLOOKUP(Values!$S$6,Castes!$B$2:$F$25,4,0)=Charms!I2296))</f>
        <v>#N/A</v>
      </c>
      <c r="J2296" t="e">
        <f t="shared" ca="1" si="176"/>
        <v>#N/A</v>
      </c>
      <c r="K2296" s="18" t="e">
        <f t="shared" ca="1" si="175"/>
        <v>#N/A</v>
      </c>
      <c r="L2296" t="e">
        <f ca="1">IF(J2296,Charms!B2296,"")</f>
        <v>#N/A</v>
      </c>
      <c r="M2296" t="str">
        <f t="shared" ca="1" si="177"/>
        <v>-</v>
      </c>
      <c r="N2296" s="18" t="str">
        <f t="shared" si="178"/>
        <v>K1622:L5000</v>
      </c>
      <c r="O2296" t="str">
        <f t="shared" si="179"/>
        <v>A1622:A2296</v>
      </c>
    </row>
    <row r="2297" spans="1:15">
      <c r="A2297" s="18">
        <f>Charms!K2297</f>
        <v>0</v>
      </c>
      <c r="B2297">
        <f>Charms!B2297</f>
        <v>0</v>
      </c>
      <c r="C2297" t="b">
        <f ca="1">OR(Values!$S$98&gt;=Charms!M2297,IFERROR(Charms!J2297=OFFSET(Values!$A$24,MATCH("S",Values!$T$25:$T$50,0),0),FALSE))</f>
        <v>1</v>
      </c>
      <c r="D2297" t="e">
        <f>VLOOKUP(Charms!J2297,Values!$A$11:$S$59,19,0)&gt;=Charms!L2297</f>
        <v>#N/A</v>
      </c>
      <c r="E2297" t="e">
        <f>OR(ISBLANK(Charms!I2297),(VLOOKUP(Values!$S$6,Castes!$B$2:$F$25,4,0)=Charms!I2297))</f>
        <v>#N/A</v>
      </c>
      <c r="J2297" t="e">
        <f t="shared" ca="1" si="176"/>
        <v>#N/A</v>
      </c>
      <c r="K2297" s="18" t="e">
        <f t="shared" ca="1" si="175"/>
        <v>#N/A</v>
      </c>
      <c r="L2297" t="e">
        <f ca="1">IF(J2297,Charms!B2297,"")</f>
        <v>#N/A</v>
      </c>
      <c r="M2297" t="str">
        <f t="shared" ca="1" si="177"/>
        <v>-</v>
      </c>
      <c r="N2297" s="18" t="str">
        <f t="shared" si="178"/>
        <v>K1622:L5000</v>
      </c>
      <c r="O2297" t="str">
        <f t="shared" si="179"/>
        <v>A1622:A2297</v>
      </c>
    </row>
    <row r="2298" spans="1:15">
      <c r="A2298" s="18">
        <f>Charms!K2298</f>
        <v>0</v>
      </c>
      <c r="B2298">
        <f>Charms!B2298</f>
        <v>0</v>
      </c>
      <c r="C2298" t="b">
        <f ca="1">OR(Values!$S$98&gt;=Charms!M2298,IFERROR(Charms!J2298=OFFSET(Values!$A$24,MATCH("S",Values!$T$25:$T$50,0),0),FALSE))</f>
        <v>1</v>
      </c>
      <c r="D2298" t="e">
        <f>VLOOKUP(Charms!J2298,Values!$A$11:$S$59,19,0)&gt;=Charms!L2298</f>
        <v>#N/A</v>
      </c>
      <c r="E2298" t="e">
        <f>OR(ISBLANK(Charms!I2298),(VLOOKUP(Values!$S$6,Castes!$B$2:$F$25,4,0)=Charms!I2298))</f>
        <v>#N/A</v>
      </c>
      <c r="J2298" t="e">
        <f t="shared" ca="1" si="176"/>
        <v>#N/A</v>
      </c>
      <c r="K2298" s="18" t="e">
        <f t="shared" ca="1" si="175"/>
        <v>#N/A</v>
      </c>
      <c r="L2298" t="e">
        <f ca="1">IF(J2298,Charms!B2298,"")</f>
        <v>#N/A</v>
      </c>
      <c r="M2298" t="str">
        <f t="shared" ca="1" si="177"/>
        <v>-</v>
      </c>
      <c r="N2298" s="18" t="str">
        <f t="shared" si="178"/>
        <v>K1622:L5000</v>
      </c>
      <c r="O2298" t="str">
        <f t="shared" si="179"/>
        <v>A1622:A2298</v>
      </c>
    </row>
    <row r="2299" spans="1:15">
      <c r="A2299" s="18">
        <f>Charms!K2299</f>
        <v>0</v>
      </c>
      <c r="B2299">
        <f>Charms!B2299</f>
        <v>0</v>
      </c>
      <c r="C2299" t="b">
        <f ca="1">OR(Values!$S$98&gt;=Charms!M2299,IFERROR(Charms!J2299=OFFSET(Values!$A$24,MATCH("S",Values!$T$25:$T$50,0),0),FALSE))</f>
        <v>1</v>
      </c>
      <c r="D2299" t="e">
        <f>VLOOKUP(Charms!J2299,Values!$A$11:$S$59,19,0)&gt;=Charms!L2299</f>
        <v>#N/A</v>
      </c>
      <c r="E2299" t="e">
        <f>OR(ISBLANK(Charms!I2299),(VLOOKUP(Values!$S$6,Castes!$B$2:$F$25,4,0)=Charms!I2299))</f>
        <v>#N/A</v>
      </c>
      <c r="J2299" t="e">
        <f t="shared" ca="1" si="176"/>
        <v>#N/A</v>
      </c>
      <c r="K2299" s="18" t="e">
        <f t="shared" ca="1" si="175"/>
        <v>#N/A</v>
      </c>
      <c r="L2299" t="e">
        <f ca="1">IF(J2299,Charms!B2299,"")</f>
        <v>#N/A</v>
      </c>
      <c r="M2299" t="str">
        <f t="shared" ca="1" si="177"/>
        <v>-</v>
      </c>
      <c r="N2299" s="18" t="str">
        <f t="shared" si="178"/>
        <v>K1622:L5000</v>
      </c>
      <c r="O2299" t="str">
        <f t="shared" si="179"/>
        <v>A1622:A2299</v>
      </c>
    </row>
    <row r="2300" spans="1:15">
      <c r="A2300" s="18">
        <f>Charms!K2300</f>
        <v>0</v>
      </c>
      <c r="B2300">
        <f>Charms!B2300</f>
        <v>0</v>
      </c>
      <c r="C2300" t="b">
        <f ca="1">OR(Values!$S$98&gt;=Charms!M2300,IFERROR(Charms!J2300=OFFSET(Values!$A$24,MATCH("S",Values!$T$25:$T$50,0),0),FALSE))</f>
        <v>1</v>
      </c>
      <c r="D2300" t="e">
        <f>VLOOKUP(Charms!J2300,Values!$A$11:$S$59,19,0)&gt;=Charms!L2300</f>
        <v>#N/A</v>
      </c>
      <c r="E2300" t="e">
        <f>OR(ISBLANK(Charms!I2300),(VLOOKUP(Values!$S$6,Castes!$B$2:$F$25,4,0)=Charms!I2300))</f>
        <v>#N/A</v>
      </c>
      <c r="J2300" t="e">
        <f t="shared" ca="1" si="176"/>
        <v>#N/A</v>
      </c>
      <c r="K2300" s="18" t="e">
        <f t="shared" ca="1" si="175"/>
        <v>#N/A</v>
      </c>
      <c r="L2300" t="e">
        <f ca="1">IF(J2300,Charms!B2300,"")</f>
        <v>#N/A</v>
      </c>
      <c r="M2300" t="str">
        <f t="shared" ca="1" si="177"/>
        <v>-</v>
      </c>
      <c r="N2300" s="18" t="str">
        <f t="shared" si="178"/>
        <v>K1622:L5000</v>
      </c>
      <c r="O2300" t="str">
        <f t="shared" si="179"/>
        <v>A1622:A2300</v>
      </c>
    </row>
    <row r="2301" spans="1:15">
      <c r="A2301" s="18">
        <f>Charms!K2301</f>
        <v>0</v>
      </c>
      <c r="B2301">
        <f>Charms!B2301</f>
        <v>0</v>
      </c>
      <c r="C2301" t="b">
        <f ca="1">OR(Values!$S$98&gt;=Charms!M2301,IFERROR(Charms!J2301=OFFSET(Values!$A$24,MATCH("S",Values!$T$25:$T$50,0),0),FALSE))</f>
        <v>1</v>
      </c>
      <c r="D2301" t="e">
        <f>VLOOKUP(Charms!J2301,Values!$A$11:$S$59,19,0)&gt;=Charms!L2301</f>
        <v>#N/A</v>
      </c>
      <c r="E2301" t="e">
        <f>OR(ISBLANK(Charms!I2301),(VLOOKUP(Values!$S$6,Castes!$B$2:$F$25,4,0)=Charms!I2301))</f>
        <v>#N/A</v>
      </c>
      <c r="J2301" t="e">
        <f t="shared" ca="1" si="176"/>
        <v>#N/A</v>
      </c>
      <c r="K2301" s="18" t="e">
        <f t="shared" ca="1" si="175"/>
        <v>#N/A</v>
      </c>
      <c r="L2301" t="e">
        <f ca="1">IF(J2301,Charms!B2301,"")</f>
        <v>#N/A</v>
      </c>
      <c r="M2301" t="str">
        <f t="shared" ca="1" si="177"/>
        <v>-</v>
      </c>
      <c r="N2301" s="18" t="str">
        <f t="shared" si="178"/>
        <v>K1622:L5000</v>
      </c>
      <c r="O2301" t="str">
        <f t="shared" si="179"/>
        <v>A1622:A2301</v>
      </c>
    </row>
    <row r="2302" spans="1:15">
      <c r="A2302" s="18">
        <f>Charms!K2302</f>
        <v>0</v>
      </c>
      <c r="B2302">
        <f>Charms!B2302</f>
        <v>0</v>
      </c>
      <c r="C2302" t="b">
        <f ca="1">OR(Values!$S$98&gt;=Charms!M2302,IFERROR(Charms!J2302=OFFSET(Values!$A$24,MATCH("S",Values!$T$25:$T$50,0),0),FALSE))</f>
        <v>1</v>
      </c>
      <c r="D2302" t="e">
        <f>VLOOKUP(Charms!J2302,Values!$A$11:$S$59,19,0)&gt;=Charms!L2302</f>
        <v>#N/A</v>
      </c>
      <c r="E2302" t="e">
        <f>OR(ISBLANK(Charms!I2302),(VLOOKUP(Values!$S$6,Castes!$B$2:$F$25,4,0)=Charms!I2302))</f>
        <v>#N/A</v>
      </c>
      <c r="J2302" t="e">
        <f t="shared" ca="1" si="176"/>
        <v>#N/A</v>
      </c>
      <c r="K2302" s="18" t="e">
        <f t="shared" ca="1" si="175"/>
        <v>#N/A</v>
      </c>
      <c r="L2302" t="e">
        <f ca="1">IF(J2302,Charms!B2302,"")</f>
        <v>#N/A</v>
      </c>
      <c r="M2302" t="str">
        <f t="shared" ca="1" si="177"/>
        <v>-</v>
      </c>
      <c r="N2302" s="18" t="str">
        <f t="shared" si="178"/>
        <v>K1622:L5000</v>
      </c>
      <c r="O2302" t="str">
        <f t="shared" si="179"/>
        <v>A1622:A2302</v>
      </c>
    </row>
    <row r="2303" spans="1:15">
      <c r="A2303" s="18">
        <f>Charms!K2303</f>
        <v>0</v>
      </c>
      <c r="B2303">
        <f>Charms!B2303</f>
        <v>0</v>
      </c>
      <c r="C2303" t="b">
        <f ca="1">OR(Values!$S$98&gt;=Charms!M2303,IFERROR(Charms!J2303=OFFSET(Values!$A$24,MATCH("S",Values!$T$25:$T$50,0),0),FALSE))</f>
        <v>1</v>
      </c>
      <c r="D2303" t="e">
        <f>VLOOKUP(Charms!J2303,Values!$A$11:$S$59,19,0)&gt;=Charms!L2303</f>
        <v>#N/A</v>
      </c>
      <c r="E2303" t="e">
        <f>OR(ISBLANK(Charms!I2303),(VLOOKUP(Values!$S$6,Castes!$B$2:$F$25,4,0)=Charms!I2303))</f>
        <v>#N/A</v>
      </c>
      <c r="J2303" t="e">
        <f t="shared" ca="1" si="176"/>
        <v>#N/A</v>
      </c>
      <c r="K2303" s="18" t="e">
        <f t="shared" ca="1" si="175"/>
        <v>#N/A</v>
      </c>
      <c r="L2303" t="e">
        <f ca="1">IF(J2303,Charms!B2303,"")</f>
        <v>#N/A</v>
      </c>
      <c r="M2303" t="str">
        <f t="shared" ca="1" si="177"/>
        <v>-</v>
      </c>
      <c r="N2303" s="18" t="str">
        <f t="shared" si="178"/>
        <v>K1622:L5000</v>
      </c>
      <c r="O2303" t="str">
        <f t="shared" si="179"/>
        <v>A1622:A2303</v>
      </c>
    </row>
    <row r="2304" spans="1:15">
      <c r="A2304" s="18">
        <f>Charms!K2304</f>
        <v>0</v>
      </c>
      <c r="B2304">
        <f>Charms!B2304</f>
        <v>0</v>
      </c>
      <c r="C2304" t="b">
        <f ca="1">OR(Values!$S$98&gt;=Charms!M2304,IFERROR(Charms!J2304=OFFSET(Values!$A$24,MATCH("S",Values!$T$25:$T$50,0),0),FALSE))</f>
        <v>1</v>
      </c>
      <c r="D2304" t="e">
        <f>VLOOKUP(Charms!J2304,Values!$A$11:$S$59,19,0)&gt;=Charms!L2304</f>
        <v>#N/A</v>
      </c>
      <c r="E2304" t="e">
        <f>OR(ISBLANK(Charms!I2304),(VLOOKUP(Values!$S$6,Castes!$B$2:$F$25,4,0)=Charms!I2304))</f>
        <v>#N/A</v>
      </c>
      <c r="J2304" t="e">
        <f t="shared" ca="1" si="176"/>
        <v>#N/A</v>
      </c>
      <c r="K2304" s="18" t="e">
        <f t="shared" ca="1" si="175"/>
        <v>#N/A</v>
      </c>
      <c r="L2304" t="e">
        <f ca="1">IF(J2304,Charms!B2304,"")</f>
        <v>#N/A</v>
      </c>
      <c r="M2304" t="str">
        <f t="shared" ca="1" si="177"/>
        <v>-</v>
      </c>
      <c r="N2304" s="18" t="str">
        <f t="shared" si="178"/>
        <v>K1622:L5000</v>
      </c>
      <c r="O2304" t="str">
        <f t="shared" si="179"/>
        <v>A1622:A2304</v>
      </c>
    </row>
    <row r="2305" spans="1:15">
      <c r="A2305" s="18">
        <f>Charms!K2305</f>
        <v>0</v>
      </c>
      <c r="B2305">
        <f>Charms!B2305</f>
        <v>0</v>
      </c>
      <c r="C2305" t="b">
        <f ca="1">OR(Values!$S$98&gt;=Charms!M2305,IFERROR(Charms!J2305=OFFSET(Values!$A$24,MATCH("S",Values!$T$25:$T$50,0),0),FALSE))</f>
        <v>1</v>
      </c>
      <c r="D2305" t="e">
        <f>VLOOKUP(Charms!J2305,Values!$A$11:$S$59,19,0)&gt;=Charms!L2305</f>
        <v>#N/A</v>
      </c>
      <c r="E2305" t="e">
        <f>OR(ISBLANK(Charms!I2305),(VLOOKUP(Values!$S$6,Castes!$B$2:$F$25,4,0)=Charms!I2305))</f>
        <v>#N/A</v>
      </c>
      <c r="J2305" t="e">
        <f t="shared" ca="1" si="176"/>
        <v>#N/A</v>
      </c>
      <c r="K2305" s="18" t="e">
        <f t="shared" ca="1" si="175"/>
        <v>#N/A</v>
      </c>
      <c r="L2305" t="e">
        <f ca="1">IF(J2305,Charms!B2305,"")</f>
        <v>#N/A</v>
      </c>
      <c r="M2305" t="str">
        <f t="shared" ca="1" si="177"/>
        <v>-</v>
      </c>
      <c r="N2305" s="18" t="str">
        <f t="shared" si="178"/>
        <v>K1622:L5000</v>
      </c>
      <c r="O2305" t="str">
        <f t="shared" si="179"/>
        <v>A1622:A2305</v>
      </c>
    </row>
    <row r="2306" spans="1:15">
      <c r="A2306" s="18">
        <f>Charms!K2306</f>
        <v>0</v>
      </c>
      <c r="B2306">
        <f>Charms!B2306</f>
        <v>0</v>
      </c>
      <c r="C2306" t="b">
        <f ca="1">OR(Values!$S$98&gt;=Charms!M2306,IFERROR(Charms!J2306=OFFSET(Values!$A$24,MATCH("S",Values!$T$25:$T$50,0),0),FALSE))</f>
        <v>1</v>
      </c>
      <c r="D2306" t="e">
        <f>VLOOKUP(Charms!J2306,Values!$A$11:$S$59,19,0)&gt;=Charms!L2306</f>
        <v>#N/A</v>
      </c>
      <c r="E2306" t="e">
        <f>OR(ISBLANK(Charms!I2306),(VLOOKUP(Values!$S$6,Castes!$B$2:$F$25,4,0)=Charms!I2306))</f>
        <v>#N/A</v>
      </c>
      <c r="J2306" t="e">
        <f t="shared" ca="1" si="176"/>
        <v>#N/A</v>
      </c>
      <c r="K2306" s="18" t="e">
        <f t="shared" ref="K2306:K2369" ca="1" si="180">IF(L2306="","",COUNTIF(INDIRECT("J"&amp;MATCH(A2306,A:A,0)&amp;":J"&amp;ROW()),J2306))</f>
        <v>#N/A</v>
      </c>
      <c r="L2306" t="e">
        <f ca="1">IF(J2306,Charms!B2306,"")</f>
        <v>#N/A</v>
      </c>
      <c r="M2306" t="str">
        <f t="shared" ca="1" si="177"/>
        <v>-</v>
      </c>
      <c r="N2306" s="18" t="str">
        <f t="shared" si="178"/>
        <v>K1622:L5000</v>
      </c>
      <c r="O2306" t="str">
        <f t="shared" si="179"/>
        <v>A1622:A2306</v>
      </c>
    </row>
    <row r="2307" spans="1:15">
      <c r="A2307" s="18">
        <f>Charms!K2307</f>
        <v>0</v>
      </c>
      <c r="B2307">
        <f>Charms!B2307</f>
        <v>0</v>
      </c>
      <c r="C2307" t="b">
        <f ca="1">OR(Values!$S$98&gt;=Charms!M2307,IFERROR(Charms!J2307=OFFSET(Values!$A$24,MATCH("S",Values!$T$25:$T$50,0),0),FALSE))</f>
        <v>1</v>
      </c>
      <c r="D2307" t="e">
        <f>VLOOKUP(Charms!J2307,Values!$A$11:$S$59,19,0)&gt;=Charms!L2307</f>
        <v>#N/A</v>
      </c>
      <c r="E2307" t="e">
        <f>OR(ISBLANK(Charms!I2307),(VLOOKUP(Values!$S$6,Castes!$B$2:$F$25,4,0)=Charms!I2307))</f>
        <v>#N/A</v>
      </c>
      <c r="J2307" t="e">
        <f t="shared" ref="J2307:J2370" ca="1" si="181">(C2307+D2307+E2307+F2307+G2307+H2307+I2307)=3</f>
        <v>#N/A</v>
      </c>
      <c r="K2307" s="18" t="e">
        <f t="shared" ca="1" si="180"/>
        <v>#N/A</v>
      </c>
      <c r="L2307" t="e">
        <f ca="1">IF(J2307,Charms!B2307,"")</f>
        <v>#N/A</v>
      </c>
      <c r="M2307" t="str">
        <f t="shared" ref="M2307:M2370" ca="1" si="182">IFERROR(VLOOKUP(COUNTIF(INDIRECT(O2307),A2307),INDIRECT(N2307),2,0),"-")</f>
        <v>-</v>
      </c>
      <c r="N2307" s="18" t="str">
        <f t="shared" ref="N2307:N2370" si="183">"K"&amp;MATCH(A2307,A:A,0)&amp;":L"&amp;(MATCH(A2307,A:A,0)+COUNTIF(A:A,A2307)-1)</f>
        <v>K1622:L5000</v>
      </c>
      <c r="O2307" t="str">
        <f t="shared" ref="O2307:O2370" si="184">"A"&amp;MATCH(A2307,A:A,0)&amp;":A"&amp;ROW()</f>
        <v>A1622:A2307</v>
      </c>
    </row>
    <row r="2308" spans="1:15">
      <c r="A2308" s="18">
        <f>Charms!K2308</f>
        <v>0</v>
      </c>
      <c r="B2308">
        <f>Charms!B2308</f>
        <v>0</v>
      </c>
      <c r="C2308" t="b">
        <f ca="1">OR(Values!$S$98&gt;=Charms!M2308,IFERROR(Charms!J2308=OFFSET(Values!$A$24,MATCH("S",Values!$T$25:$T$50,0),0),FALSE))</f>
        <v>1</v>
      </c>
      <c r="D2308" t="e">
        <f>VLOOKUP(Charms!J2308,Values!$A$11:$S$59,19,0)&gt;=Charms!L2308</f>
        <v>#N/A</v>
      </c>
      <c r="E2308" t="e">
        <f>OR(ISBLANK(Charms!I2308),(VLOOKUP(Values!$S$6,Castes!$B$2:$F$25,4,0)=Charms!I2308))</f>
        <v>#N/A</v>
      </c>
      <c r="J2308" t="e">
        <f t="shared" ca="1" si="181"/>
        <v>#N/A</v>
      </c>
      <c r="K2308" s="18" t="e">
        <f t="shared" ca="1" si="180"/>
        <v>#N/A</v>
      </c>
      <c r="L2308" t="e">
        <f ca="1">IF(J2308,Charms!B2308,"")</f>
        <v>#N/A</v>
      </c>
      <c r="M2308" t="str">
        <f t="shared" ca="1" si="182"/>
        <v>-</v>
      </c>
      <c r="N2308" s="18" t="str">
        <f t="shared" si="183"/>
        <v>K1622:L5000</v>
      </c>
      <c r="O2308" t="str">
        <f t="shared" si="184"/>
        <v>A1622:A2308</v>
      </c>
    </row>
    <row r="2309" spans="1:15">
      <c r="A2309" s="18">
        <f>Charms!K2309</f>
        <v>0</v>
      </c>
      <c r="B2309">
        <f>Charms!B2309</f>
        <v>0</v>
      </c>
      <c r="C2309" t="b">
        <f ca="1">OR(Values!$S$98&gt;=Charms!M2309,IFERROR(Charms!J2309=OFFSET(Values!$A$24,MATCH("S",Values!$T$25:$T$50,0),0),FALSE))</f>
        <v>1</v>
      </c>
      <c r="D2309" t="e">
        <f>VLOOKUP(Charms!J2309,Values!$A$11:$S$59,19,0)&gt;=Charms!L2309</f>
        <v>#N/A</v>
      </c>
      <c r="E2309" t="e">
        <f>OR(ISBLANK(Charms!I2309),(VLOOKUP(Values!$S$6,Castes!$B$2:$F$25,4,0)=Charms!I2309))</f>
        <v>#N/A</v>
      </c>
      <c r="J2309" t="e">
        <f t="shared" ca="1" si="181"/>
        <v>#N/A</v>
      </c>
      <c r="K2309" s="18" t="e">
        <f t="shared" ca="1" si="180"/>
        <v>#N/A</v>
      </c>
      <c r="L2309" t="e">
        <f ca="1">IF(J2309,Charms!B2309,"")</f>
        <v>#N/A</v>
      </c>
      <c r="M2309" t="str">
        <f t="shared" ca="1" si="182"/>
        <v>-</v>
      </c>
      <c r="N2309" s="18" t="str">
        <f t="shared" si="183"/>
        <v>K1622:L5000</v>
      </c>
      <c r="O2309" t="str">
        <f t="shared" si="184"/>
        <v>A1622:A2309</v>
      </c>
    </row>
    <row r="2310" spans="1:15">
      <c r="A2310" s="18">
        <f>Charms!K2310</f>
        <v>0</v>
      </c>
      <c r="B2310">
        <f>Charms!B2310</f>
        <v>0</v>
      </c>
      <c r="C2310" t="b">
        <f ca="1">OR(Values!$S$98&gt;=Charms!M2310,IFERROR(Charms!J2310=OFFSET(Values!$A$24,MATCH("S",Values!$T$25:$T$50,0),0),FALSE))</f>
        <v>1</v>
      </c>
      <c r="D2310" t="e">
        <f>VLOOKUP(Charms!J2310,Values!$A$11:$S$59,19,0)&gt;=Charms!L2310</f>
        <v>#N/A</v>
      </c>
      <c r="E2310" t="e">
        <f>OR(ISBLANK(Charms!I2310),(VLOOKUP(Values!$S$6,Castes!$B$2:$F$25,4,0)=Charms!I2310))</f>
        <v>#N/A</v>
      </c>
      <c r="J2310" t="e">
        <f t="shared" ca="1" si="181"/>
        <v>#N/A</v>
      </c>
      <c r="K2310" s="18" t="e">
        <f t="shared" ca="1" si="180"/>
        <v>#N/A</v>
      </c>
      <c r="L2310" t="e">
        <f ca="1">IF(J2310,Charms!B2310,"")</f>
        <v>#N/A</v>
      </c>
      <c r="M2310" t="str">
        <f t="shared" ca="1" si="182"/>
        <v>-</v>
      </c>
      <c r="N2310" s="18" t="str">
        <f t="shared" si="183"/>
        <v>K1622:L5000</v>
      </c>
      <c r="O2310" t="str">
        <f t="shared" si="184"/>
        <v>A1622:A2310</v>
      </c>
    </row>
    <row r="2311" spans="1:15">
      <c r="A2311" s="18">
        <f>Charms!K2311</f>
        <v>0</v>
      </c>
      <c r="B2311">
        <f>Charms!B2311</f>
        <v>0</v>
      </c>
      <c r="C2311" t="b">
        <f ca="1">OR(Values!$S$98&gt;=Charms!M2311,IFERROR(Charms!J2311=OFFSET(Values!$A$24,MATCH("S",Values!$T$25:$T$50,0),0),FALSE))</f>
        <v>1</v>
      </c>
      <c r="D2311" t="e">
        <f>VLOOKUP(Charms!J2311,Values!$A$11:$S$59,19,0)&gt;=Charms!L2311</f>
        <v>#N/A</v>
      </c>
      <c r="E2311" t="e">
        <f>OR(ISBLANK(Charms!I2311),(VLOOKUP(Values!$S$6,Castes!$B$2:$F$25,4,0)=Charms!I2311))</f>
        <v>#N/A</v>
      </c>
      <c r="J2311" t="e">
        <f t="shared" ca="1" si="181"/>
        <v>#N/A</v>
      </c>
      <c r="K2311" s="18" t="e">
        <f t="shared" ca="1" si="180"/>
        <v>#N/A</v>
      </c>
      <c r="L2311" t="e">
        <f ca="1">IF(J2311,Charms!B2311,"")</f>
        <v>#N/A</v>
      </c>
      <c r="M2311" t="str">
        <f t="shared" ca="1" si="182"/>
        <v>-</v>
      </c>
      <c r="N2311" s="18" t="str">
        <f t="shared" si="183"/>
        <v>K1622:L5000</v>
      </c>
      <c r="O2311" t="str">
        <f t="shared" si="184"/>
        <v>A1622:A2311</v>
      </c>
    </row>
    <row r="2312" spans="1:15">
      <c r="A2312" s="18">
        <f>Charms!K2312</f>
        <v>0</v>
      </c>
      <c r="B2312">
        <f>Charms!B2312</f>
        <v>0</v>
      </c>
      <c r="C2312" t="b">
        <f ca="1">OR(Values!$S$98&gt;=Charms!M2312,IFERROR(Charms!J2312=OFFSET(Values!$A$24,MATCH("S",Values!$T$25:$T$50,0),0),FALSE))</f>
        <v>1</v>
      </c>
      <c r="D2312" t="e">
        <f>VLOOKUP(Charms!J2312,Values!$A$11:$S$59,19,0)&gt;=Charms!L2312</f>
        <v>#N/A</v>
      </c>
      <c r="E2312" t="e">
        <f>OR(ISBLANK(Charms!I2312),(VLOOKUP(Values!$S$6,Castes!$B$2:$F$25,4,0)=Charms!I2312))</f>
        <v>#N/A</v>
      </c>
      <c r="J2312" t="e">
        <f t="shared" ca="1" si="181"/>
        <v>#N/A</v>
      </c>
      <c r="K2312" s="18" t="e">
        <f t="shared" ca="1" si="180"/>
        <v>#N/A</v>
      </c>
      <c r="L2312" t="e">
        <f ca="1">IF(J2312,Charms!B2312,"")</f>
        <v>#N/A</v>
      </c>
      <c r="M2312" t="str">
        <f t="shared" ca="1" si="182"/>
        <v>-</v>
      </c>
      <c r="N2312" s="18" t="str">
        <f t="shared" si="183"/>
        <v>K1622:L5000</v>
      </c>
      <c r="O2312" t="str">
        <f t="shared" si="184"/>
        <v>A1622:A2312</v>
      </c>
    </row>
    <row r="2313" spans="1:15">
      <c r="A2313" s="18">
        <f>Charms!K2313</f>
        <v>0</v>
      </c>
      <c r="B2313">
        <f>Charms!B2313</f>
        <v>0</v>
      </c>
      <c r="C2313" t="b">
        <f ca="1">OR(Values!$S$98&gt;=Charms!M2313,IFERROR(Charms!J2313=OFFSET(Values!$A$24,MATCH("S",Values!$T$25:$T$50,0),0),FALSE))</f>
        <v>1</v>
      </c>
      <c r="D2313" t="e">
        <f>VLOOKUP(Charms!J2313,Values!$A$11:$S$59,19,0)&gt;=Charms!L2313</f>
        <v>#N/A</v>
      </c>
      <c r="E2313" t="e">
        <f>OR(ISBLANK(Charms!I2313),(VLOOKUP(Values!$S$6,Castes!$B$2:$F$25,4,0)=Charms!I2313))</f>
        <v>#N/A</v>
      </c>
      <c r="J2313" t="e">
        <f t="shared" ca="1" si="181"/>
        <v>#N/A</v>
      </c>
      <c r="K2313" s="18" t="e">
        <f t="shared" ca="1" si="180"/>
        <v>#N/A</v>
      </c>
      <c r="L2313" t="e">
        <f ca="1">IF(J2313,Charms!B2313,"")</f>
        <v>#N/A</v>
      </c>
      <c r="M2313" t="str">
        <f t="shared" ca="1" si="182"/>
        <v>-</v>
      </c>
      <c r="N2313" s="18" t="str">
        <f t="shared" si="183"/>
        <v>K1622:L5000</v>
      </c>
      <c r="O2313" t="str">
        <f t="shared" si="184"/>
        <v>A1622:A2313</v>
      </c>
    </row>
    <row r="2314" spans="1:15">
      <c r="A2314" s="18">
        <f>Charms!K2314</f>
        <v>0</v>
      </c>
      <c r="B2314">
        <f>Charms!B2314</f>
        <v>0</v>
      </c>
      <c r="C2314" t="b">
        <f ca="1">OR(Values!$S$98&gt;=Charms!M2314,IFERROR(Charms!J2314=OFFSET(Values!$A$24,MATCH("S",Values!$T$25:$T$50,0),0),FALSE))</f>
        <v>1</v>
      </c>
      <c r="D2314" t="e">
        <f>VLOOKUP(Charms!J2314,Values!$A$11:$S$59,19,0)&gt;=Charms!L2314</f>
        <v>#N/A</v>
      </c>
      <c r="E2314" t="e">
        <f>OR(ISBLANK(Charms!I2314),(VLOOKUP(Values!$S$6,Castes!$B$2:$F$25,4,0)=Charms!I2314))</f>
        <v>#N/A</v>
      </c>
      <c r="J2314" t="e">
        <f t="shared" ca="1" si="181"/>
        <v>#N/A</v>
      </c>
      <c r="K2314" s="18" t="e">
        <f t="shared" ca="1" si="180"/>
        <v>#N/A</v>
      </c>
      <c r="L2314" t="e">
        <f ca="1">IF(J2314,Charms!B2314,"")</f>
        <v>#N/A</v>
      </c>
      <c r="M2314" t="str">
        <f t="shared" ca="1" si="182"/>
        <v>-</v>
      </c>
      <c r="N2314" s="18" t="str">
        <f t="shared" si="183"/>
        <v>K1622:L5000</v>
      </c>
      <c r="O2314" t="str">
        <f t="shared" si="184"/>
        <v>A1622:A2314</v>
      </c>
    </row>
    <row r="2315" spans="1:15">
      <c r="A2315" s="18">
        <f>Charms!K2315</f>
        <v>0</v>
      </c>
      <c r="B2315">
        <f>Charms!B2315</f>
        <v>0</v>
      </c>
      <c r="C2315" t="b">
        <f ca="1">OR(Values!$S$98&gt;=Charms!M2315,IFERROR(Charms!J2315=OFFSET(Values!$A$24,MATCH("S",Values!$T$25:$T$50,0),0),FALSE))</f>
        <v>1</v>
      </c>
      <c r="D2315" t="e">
        <f>VLOOKUP(Charms!J2315,Values!$A$11:$S$59,19,0)&gt;=Charms!L2315</f>
        <v>#N/A</v>
      </c>
      <c r="E2315" t="e">
        <f>OR(ISBLANK(Charms!I2315),(VLOOKUP(Values!$S$6,Castes!$B$2:$F$25,4,0)=Charms!I2315))</f>
        <v>#N/A</v>
      </c>
      <c r="J2315" t="e">
        <f t="shared" ca="1" si="181"/>
        <v>#N/A</v>
      </c>
      <c r="K2315" s="18" t="e">
        <f t="shared" ca="1" si="180"/>
        <v>#N/A</v>
      </c>
      <c r="L2315" t="e">
        <f ca="1">IF(J2315,Charms!B2315,"")</f>
        <v>#N/A</v>
      </c>
      <c r="M2315" t="str">
        <f t="shared" ca="1" si="182"/>
        <v>-</v>
      </c>
      <c r="N2315" s="18" t="str">
        <f t="shared" si="183"/>
        <v>K1622:L5000</v>
      </c>
      <c r="O2315" t="str">
        <f t="shared" si="184"/>
        <v>A1622:A2315</v>
      </c>
    </row>
    <row r="2316" spans="1:15">
      <c r="A2316" s="18">
        <f>Charms!K2316</f>
        <v>0</v>
      </c>
      <c r="B2316">
        <f>Charms!B2316</f>
        <v>0</v>
      </c>
      <c r="C2316" t="b">
        <f ca="1">OR(Values!$S$98&gt;=Charms!M2316,IFERROR(Charms!J2316=OFFSET(Values!$A$24,MATCH("S",Values!$T$25:$T$50,0),0),FALSE))</f>
        <v>1</v>
      </c>
      <c r="D2316" t="e">
        <f>VLOOKUP(Charms!J2316,Values!$A$11:$S$59,19,0)&gt;=Charms!L2316</f>
        <v>#N/A</v>
      </c>
      <c r="E2316" t="e">
        <f>OR(ISBLANK(Charms!I2316),(VLOOKUP(Values!$S$6,Castes!$B$2:$F$25,4,0)=Charms!I2316))</f>
        <v>#N/A</v>
      </c>
      <c r="J2316" t="e">
        <f t="shared" ca="1" si="181"/>
        <v>#N/A</v>
      </c>
      <c r="K2316" s="18" t="e">
        <f t="shared" ca="1" si="180"/>
        <v>#N/A</v>
      </c>
      <c r="L2316" t="e">
        <f ca="1">IF(J2316,Charms!B2316,"")</f>
        <v>#N/A</v>
      </c>
      <c r="M2316" t="str">
        <f t="shared" ca="1" si="182"/>
        <v>-</v>
      </c>
      <c r="N2316" s="18" t="str">
        <f t="shared" si="183"/>
        <v>K1622:L5000</v>
      </c>
      <c r="O2316" t="str">
        <f t="shared" si="184"/>
        <v>A1622:A2316</v>
      </c>
    </row>
    <row r="2317" spans="1:15">
      <c r="A2317" s="18">
        <f>Charms!K2317</f>
        <v>0</v>
      </c>
      <c r="B2317">
        <f>Charms!B2317</f>
        <v>0</v>
      </c>
      <c r="C2317" t="b">
        <f ca="1">OR(Values!$S$98&gt;=Charms!M2317,IFERROR(Charms!J2317=OFFSET(Values!$A$24,MATCH("S",Values!$T$25:$T$50,0),0),FALSE))</f>
        <v>1</v>
      </c>
      <c r="D2317" t="e">
        <f>VLOOKUP(Charms!J2317,Values!$A$11:$S$59,19,0)&gt;=Charms!L2317</f>
        <v>#N/A</v>
      </c>
      <c r="E2317" t="e">
        <f>OR(ISBLANK(Charms!I2317),(VLOOKUP(Values!$S$6,Castes!$B$2:$F$25,4,0)=Charms!I2317))</f>
        <v>#N/A</v>
      </c>
      <c r="J2317" t="e">
        <f t="shared" ca="1" si="181"/>
        <v>#N/A</v>
      </c>
      <c r="K2317" s="18" t="e">
        <f t="shared" ca="1" si="180"/>
        <v>#N/A</v>
      </c>
      <c r="L2317" t="e">
        <f ca="1">IF(J2317,Charms!B2317,"")</f>
        <v>#N/A</v>
      </c>
      <c r="M2317" t="str">
        <f t="shared" ca="1" si="182"/>
        <v>-</v>
      </c>
      <c r="N2317" s="18" t="str">
        <f t="shared" si="183"/>
        <v>K1622:L5000</v>
      </c>
      <c r="O2317" t="str">
        <f t="shared" si="184"/>
        <v>A1622:A2317</v>
      </c>
    </row>
    <row r="2318" spans="1:15">
      <c r="A2318" s="18">
        <f>Charms!K2318</f>
        <v>0</v>
      </c>
      <c r="B2318">
        <f>Charms!B2318</f>
        <v>0</v>
      </c>
      <c r="C2318" t="b">
        <f ca="1">OR(Values!$S$98&gt;=Charms!M2318,IFERROR(Charms!J2318=OFFSET(Values!$A$24,MATCH("S",Values!$T$25:$T$50,0),0),FALSE))</f>
        <v>1</v>
      </c>
      <c r="D2318" t="e">
        <f>VLOOKUP(Charms!J2318,Values!$A$11:$S$59,19,0)&gt;=Charms!L2318</f>
        <v>#N/A</v>
      </c>
      <c r="E2318" t="e">
        <f>OR(ISBLANK(Charms!I2318),(VLOOKUP(Values!$S$6,Castes!$B$2:$F$25,4,0)=Charms!I2318))</f>
        <v>#N/A</v>
      </c>
      <c r="J2318" t="e">
        <f t="shared" ca="1" si="181"/>
        <v>#N/A</v>
      </c>
      <c r="K2318" s="18" t="e">
        <f t="shared" ca="1" si="180"/>
        <v>#N/A</v>
      </c>
      <c r="L2318" t="e">
        <f ca="1">IF(J2318,Charms!B2318,"")</f>
        <v>#N/A</v>
      </c>
      <c r="M2318" t="str">
        <f t="shared" ca="1" si="182"/>
        <v>-</v>
      </c>
      <c r="N2318" s="18" t="str">
        <f t="shared" si="183"/>
        <v>K1622:L5000</v>
      </c>
      <c r="O2318" t="str">
        <f t="shared" si="184"/>
        <v>A1622:A2318</v>
      </c>
    </row>
    <row r="2319" spans="1:15">
      <c r="A2319" s="18">
        <f>Charms!K2319</f>
        <v>0</v>
      </c>
      <c r="B2319">
        <f>Charms!B2319</f>
        <v>0</v>
      </c>
      <c r="C2319" t="b">
        <f ca="1">OR(Values!$S$98&gt;=Charms!M2319,IFERROR(Charms!J2319=OFFSET(Values!$A$24,MATCH("S",Values!$T$25:$T$50,0),0),FALSE))</f>
        <v>1</v>
      </c>
      <c r="D2319" t="e">
        <f>VLOOKUP(Charms!J2319,Values!$A$11:$S$59,19,0)&gt;=Charms!L2319</f>
        <v>#N/A</v>
      </c>
      <c r="E2319" t="e">
        <f>OR(ISBLANK(Charms!I2319),(VLOOKUP(Values!$S$6,Castes!$B$2:$F$25,4,0)=Charms!I2319))</f>
        <v>#N/A</v>
      </c>
      <c r="J2319" t="e">
        <f t="shared" ca="1" si="181"/>
        <v>#N/A</v>
      </c>
      <c r="K2319" s="18" t="e">
        <f t="shared" ca="1" si="180"/>
        <v>#N/A</v>
      </c>
      <c r="L2319" t="e">
        <f ca="1">IF(J2319,Charms!B2319,"")</f>
        <v>#N/A</v>
      </c>
      <c r="M2319" t="str">
        <f t="shared" ca="1" si="182"/>
        <v>-</v>
      </c>
      <c r="N2319" s="18" t="str">
        <f t="shared" si="183"/>
        <v>K1622:L5000</v>
      </c>
      <c r="O2319" t="str">
        <f t="shared" si="184"/>
        <v>A1622:A2319</v>
      </c>
    </row>
    <row r="2320" spans="1:15">
      <c r="A2320" s="18">
        <f>Charms!K2320</f>
        <v>0</v>
      </c>
      <c r="B2320">
        <f>Charms!B2320</f>
        <v>0</v>
      </c>
      <c r="C2320" t="b">
        <f ca="1">OR(Values!$S$98&gt;=Charms!M2320,IFERROR(Charms!J2320=OFFSET(Values!$A$24,MATCH("S",Values!$T$25:$T$50,0),0),FALSE))</f>
        <v>1</v>
      </c>
      <c r="D2320" t="e">
        <f>VLOOKUP(Charms!J2320,Values!$A$11:$S$59,19,0)&gt;=Charms!L2320</f>
        <v>#N/A</v>
      </c>
      <c r="E2320" t="e">
        <f>OR(ISBLANK(Charms!I2320),(VLOOKUP(Values!$S$6,Castes!$B$2:$F$25,4,0)=Charms!I2320))</f>
        <v>#N/A</v>
      </c>
      <c r="J2320" t="e">
        <f t="shared" ca="1" si="181"/>
        <v>#N/A</v>
      </c>
      <c r="K2320" s="18" t="e">
        <f t="shared" ca="1" si="180"/>
        <v>#N/A</v>
      </c>
      <c r="L2320" t="e">
        <f ca="1">IF(J2320,Charms!B2320,"")</f>
        <v>#N/A</v>
      </c>
      <c r="M2320" t="str">
        <f t="shared" ca="1" si="182"/>
        <v>-</v>
      </c>
      <c r="N2320" s="18" t="str">
        <f t="shared" si="183"/>
        <v>K1622:L5000</v>
      </c>
      <c r="O2320" t="str">
        <f t="shared" si="184"/>
        <v>A1622:A2320</v>
      </c>
    </row>
    <row r="2321" spans="1:15">
      <c r="A2321" s="18">
        <f>Charms!K2321</f>
        <v>0</v>
      </c>
      <c r="B2321">
        <f>Charms!B2321</f>
        <v>0</v>
      </c>
      <c r="C2321" t="b">
        <f ca="1">OR(Values!$S$98&gt;=Charms!M2321,IFERROR(Charms!J2321=OFFSET(Values!$A$24,MATCH("S",Values!$T$25:$T$50,0),0),FALSE))</f>
        <v>1</v>
      </c>
      <c r="D2321" t="e">
        <f>VLOOKUP(Charms!J2321,Values!$A$11:$S$59,19,0)&gt;=Charms!L2321</f>
        <v>#N/A</v>
      </c>
      <c r="E2321" t="e">
        <f>OR(ISBLANK(Charms!I2321),(VLOOKUP(Values!$S$6,Castes!$B$2:$F$25,4,0)=Charms!I2321))</f>
        <v>#N/A</v>
      </c>
      <c r="J2321" t="e">
        <f t="shared" ca="1" si="181"/>
        <v>#N/A</v>
      </c>
      <c r="K2321" s="18" t="e">
        <f t="shared" ca="1" si="180"/>
        <v>#N/A</v>
      </c>
      <c r="L2321" t="e">
        <f ca="1">IF(J2321,Charms!B2321,"")</f>
        <v>#N/A</v>
      </c>
      <c r="M2321" t="str">
        <f t="shared" ca="1" si="182"/>
        <v>-</v>
      </c>
      <c r="N2321" s="18" t="str">
        <f t="shared" si="183"/>
        <v>K1622:L5000</v>
      </c>
      <c r="O2321" t="str">
        <f t="shared" si="184"/>
        <v>A1622:A2321</v>
      </c>
    </row>
    <row r="2322" spans="1:15">
      <c r="A2322" s="18">
        <f>Charms!K2322</f>
        <v>0</v>
      </c>
      <c r="B2322">
        <f>Charms!B2322</f>
        <v>0</v>
      </c>
      <c r="C2322" t="b">
        <f ca="1">OR(Values!$S$98&gt;=Charms!M2322,IFERROR(Charms!J2322=OFFSET(Values!$A$24,MATCH("S",Values!$T$25:$T$50,0),0),FALSE))</f>
        <v>1</v>
      </c>
      <c r="D2322" t="e">
        <f>VLOOKUP(Charms!J2322,Values!$A$11:$S$59,19,0)&gt;=Charms!L2322</f>
        <v>#N/A</v>
      </c>
      <c r="E2322" t="e">
        <f>OR(ISBLANK(Charms!I2322),(VLOOKUP(Values!$S$6,Castes!$B$2:$F$25,4,0)=Charms!I2322))</f>
        <v>#N/A</v>
      </c>
      <c r="J2322" t="e">
        <f t="shared" ca="1" si="181"/>
        <v>#N/A</v>
      </c>
      <c r="K2322" s="18" t="e">
        <f t="shared" ca="1" si="180"/>
        <v>#N/A</v>
      </c>
      <c r="L2322" t="e">
        <f ca="1">IF(J2322,Charms!B2322,"")</f>
        <v>#N/A</v>
      </c>
      <c r="M2322" t="str">
        <f t="shared" ca="1" si="182"/>
        <v>-</v>
      </c>
      <c r="N2322" s="18" t="str">
        <f t="shared" si="183"/>
        <v>K1622:L5000</v>
      </c>
      <c r="O2322" t="str">
        <f t="shared" si="184"/>
        <v>A1622:A2322</v>
      </c>
    </row>
    <row r="2323" spans="1:15">
      <c r="A2323" s="18">
        <f>Charms!K2323</f>
        <v>0</v>
      </c>
      <c r="B2323">
        <f>Charms!B2323</f>
        <v>0</v>
      </c>
      <c r="C2323" t="b">
        <f ca="1">OR(Values!$S$98&gt;=Charms!M2323,IFERROR(Charms!J2323=OFFSET(Values!$A$24,MATCH("S",Values!$T$25:$T$50,0),0),FALSE))</f>
        <v>1</v>
      </c>
      <c r="D2323" t="e">
        <f>VLOOKUP(Charms!J2323,Values!$A$11:$S$59,19,0)&gt;=Charms!L2323</f>
        <v>#N/A</v>
      </c>
      <c r="E2323" t="e">
        <f>OR(ISBLANK(Charms!I2323),(VLOOKUP(Values!$S$6,Castes!$B$2:$F$25,4,0)=Charms!I2323))</f>
        <v>#N/A</v>
      </c>
      <c r="J2323" t="e">
        <f t="shared" ca="1" si="181"/>
        <v>#N/A</v>
      </c>
      <c r="K2323" s="18" t="e">
        <f t="shared" ca="1" si="180"/>
        <v>#N/A</v>
      </c>
      <c r="L2323" t="e">
        <f ca="1">IF(J2323,Charms!B2323,"")</f>
        <v>#N/A</v>
      </c>
      <c r="M2323" t="str">
        <f t="shared" ca="1" si="182"/>
        <v>-</v>
      </c>
      <c r="N2323" s="18" t="str">
        <f t="shared" si="183"/>
        <v>K1622:L5000</v>
      </c>
      <c r="O2323" t="str">
        <f t="shared" si="184"/>
        <v>A1622:A2323</v>
      </c>
    </row>
    <row r="2324" spans="1:15">
      <c r="A2324" s="18">
        <f>Charms!K2324</f>
        <v>0</v>
      </c>
      <c r="B2324">
        <f>Charms!B2324</f>
        <v>0</v>
      </c>
      <c r="C2324" t="b">
        <f ca="1">OR(Values!$S$98&gt;=Charms!M2324,IFERROR(Charms!J2324=OFFSET(Values!$A$24,MATCH("S",Values!$T$25:$T$50,0),0),FALSE))</f>
        <v>1</v>
      </c>
      <c r="D2324" t="e">
        <f>VLOOKUP(Charms!J2324,Values!$A$11:$S$59,19,0)&gt;=Charms!L2324</f>
        <v>#N/A</v>
      </c>
      <c r="E2324" t="e">
        <f>OR(ISBLANK(Charms!I2324),(VLOOKUP(Values!$S$6,Castes!$B$2:$F$25,4,0)=Charms!I2324))</f>
        <v>#N/A</v>
      </c>
      <c r="J2324" t="e">
        <f t="shared" ca="1" si="181"/>
        <v>#N/A</v>
      </c>
      <c r="K2324" s="18" t="e">
        <f t="shared" ca="1" si="180"/>
        <v>#N/A</v>
      </c>
      <c r="L2324" t="e">
        <f ca="1">IF(J2324,Charms!B2324,"")</f>
        <v>#N/A</v>
      </c>
      <c r="M2324" t="str">
        <f t="shared" ca="1" si="182"/>
        <v>-</v>
      </c>
      <c r="N2324" s="18" t="str">
        <f t="shared" si="183"/>
        <v>K1622:L5000</v>
      </c>
      <c r="O2324" t="str">
        <f t="shared" si="184"/>
        <v>A1622:A2324</v>
      </c>
    </row>
    <row r="2325" spans="1:15">
      <c r="A2325" s="18">
        <f>Charms!K2325</f>
        <v>0</v>
      </c>
      <c r="B2325">
        <f>Charms!B2325</f>
        <v>0</v>
      </c>
      <c r="C2325" t="b">
        <f ca="1">OR(Values!$S$98&gt;=Charms!M2325,IFERROR(Charms!J2325=OFFSET(Values!$A$24,MATCH("S",Values!$T$25:$T$50,0),0),FALSE))</f>
        <v>1</v>
      </c>
      <c r="D2325" t="e">
        <f>VLOOKUP(Charms!J2325,Values!$A$11:$S$59,19,0)&gt;=Charms!L2325</f>
        <v>#N/A</v>
      </c>
      <c r="E2325" t="e">
        <f>OR(ISBLANK(Charms!I2325),(VLOOKUP(Values!$S$6,Castes!$B$2:$F$25,4,0)=Charms!I2325))</f>
        <v>#N/A</v>
      </c>
      <c r="J2325" t="e">
        <f t="shared" ca="1" si="181"/>
        <v>#N/A</v>
      </c>
      <c r="K2325" s="18" t="e">
        <f t="shared" ca="1" si="180"/>
        <v>#N/A</v>
      </c>
      <c r="L2325" t="e">
        <f ca="1">IF(J2325,Charms!B2325,"")</f>
        <v>#N/A</v>
      </c>
      <c r="M2325" t="str">
        <f t="shared" ca="1" si="182"/>
        <v>-</v>
      </c>
      <c r="N2325" s="18" t="str">
        <f t="shared" si="183"/>
        <v>K1622:L5000</v>
      </c>
      <c r="O2325" t="str">
        <f t="shared" si="184"/>
        <v>A1622:A2325</v>
      </c>
    </row>
    <row r="2326" spans="1:15">
      <c r="A2326" s="18">
        <f>Charms!K2326</f>
        <v>0</v>
      </c>
      <c r="B2326">
        <f>Charms!B2326</f>
        <v>0</v>
      </c>
      <c r="C2326" t="b">
        <f ca="1">OR(Values!$S$98&gt;=Charms!M2326,IFERROR(Charms!J2326=OFFSET(Values!$A$24,MATCH("S",Values!$T$25:$T$50,0),0),FALSE))</f>
        <v>1</v>
      </c>
      <c r="D2326" t="e">
        <f>VLOOKUP(Charms!J2326,Values!$A$11:$S$59,19,0)&gt;=Charms!L2326</f>
        <v>#N/A</v>
      </c>
      <c r="E2326" t="e">
        <f>OR(ISBLANK(Charms!I2326),(VLOOKUP(Values!$S$6,Castes!$B$2:$F$25,4,0)=Charms!I2326))</f>
        <v>#N/A</v>
      </c>
      <c r="J2326" t="e">
        <f t="shared" ca="1" si="181"/>
        <v>#N/A</v>
      </c>
      <c r="K2326" s="18" t="e">
        <f t="shared" ca="1" si="180"/>
        <v>#N/A</v>
      </c>
      <c r="L2326" t="e">
        <f ca="1">IF(J2326,Charms!B2326,"")</f>
        <v>#N/A</v>
      </c>
      <c r="M2326" t="str">
        <f t="shared" ca="1" si="182"/>
        <v>-</v>
      </c>
      <c r="N2326" s="18" t="str">
        <f t="shared" si="183"/>
        <v>K1622:L5000</v>
      </c>
      <c r="O2326" t="str">
        <f t="shared" si="184"/>
        <v>A1622:A2326</v>
      </c>
    </row>
    <row r="2327" spans="1:15">
      <c r="A2327" s="18">
        <f>Charms!K2327</f>
        <v>0</v>
      </c>
      <c r="B2327">
        <f>Charms!B2327</f>
        <v>0</v>
      </c>
      <c r="C2327" t="b">
        <f ca="1">OR(Values!$S$98&gt;=Charms!M2327,IFERROR(Charms!J2327=OFFSET(Values!$A$24,MATCH("S",Values!$T$25:$T$50,0),0),FALSE))</f>
        <v>1</v>
      </c>
      <c r="D2327" t="e">
        <f>VLOOKUP(Charms!J2327,Values!$A$11:$S$59,19,0)&gt;=Charms!L2327</f>
        <v>#N/A</v>
      </c>
      <c r="E2327" t="e">
        <f>OR(ISBLANK(Charms!I2327),(VLOOKUP(Values!$S$6,Castes!$B$2:$F$25,4,0)=Charms!I2327))</f>
        <v>#N/A</v>
      </c>
      <c r="J2327" t="e">
        <f t="shared" ca="1" si="181"/>
        <v>#N/A</v>
      </c>
      <c r="K2327" s="18" t="e">
        <f t="shared" ca="1" si="180"/>
        <v>#N/A</v>
      </c>
      <c r="L2327" t="e">
        <f ca="1">IF(J2327,Charms!B2327,"")</f>
        <v>#N/A</v>
      </c>
      <c r="M2327" t="str">
        <f t="shared" ca="1" si="182"/>
        <v>-</v>
      </c>
      <c r="N2327" s="18" t="str">
        <f t="shared" si="183"/>
        <v>K1622:L5000</v>
      </c>
      <c r="O2327" t="str">
        <f t="shared" si="184"/>
        <v>A1622:A2327</v>
      </c>
    </row>
    <row r="2328" spans="1:15">
      <c r="A2328" s="18">
        <f>Charms!K2328</f>
        <v>0</v>
      </c>
      <c r="B2328">
        <f>Charms!B2328</f>
        <v>0</v>
      </c>
      <c r="C2328" t="b">
        <f ca="1">OR(Values!$S$98&gt;=Charms!M2328,IFERROR(Charms!J2328=OFFSET(Values!$A$24,MATCH("S",Values!$T$25:$T$50,0),0),FALSE))</f>
        <v>1</v>
      </c>
      <c r="D2328" t="e">
        <f>VLOOKUP(Charms!J2328,Values!$A$11:$S$59,19,0)&gt;=Charms!L2328</f>
        <v>#N/A</v>
      </c>
      <c r="E2328" t="e">
        <f>OR(ISBLANK(Charms!I2328),(VLOOKUP(Values!$S$6,Castes!$B$2:$F$25,4,0)=Charms!I2328))</f>
        <v>#N/A</v>
      </c>
      <c r="J2328" t="e">
        <f t="shared" ca="1" si="181"/>
        <v>#N/A</v>
      </c>
      <c r="K2328" s="18" t="e">
        <f t="shared" ca="1" si="180"/>
        <v>#N/A</v>
      </c>
      <c r="L2328" t="e">
        <f ca="1">IF(J2328,Charms!B2328,"")</f>
        <v>#N/A</v>
      </c>
      <c r="M2328" t="str">
        <f t="shared" ca="1" si="182"/>
        <v>-</v>
      </c>
      <c r="N2328" s="18" t="str">
        <f t="shared" si="183"/>
        <v>K1622:L5000</v>
      </c>
      <c r="O2328" t="str">
        <f t="shared" si="184"/>
        <v>A1622:A2328</v>
      </c>
    </row>
    <row r="2329" spans="1:15">
      <c r="A2329" s="18">
        <f>Charms!K2329</f>
        <v>0</v>
      </c>
      <c r="B2329">
        <f>Charms!B2329</f>
        <v>0</v>
      </c>
      <c r="C2329" t="b">
        <f ca="1">OR(Values!$S$98&gt;=Charms!M2329,IFERROR(Charms!J2329=OFFSET(Values!$A$24,MATCH("S",Values!$T$25:$T$50,0),0),FALSE))</f>
        <v>1</v>
      </c>
      <c r="D2329" t="e">
        <f>VLOOKUP(Charms!J2329,Values!$A$11:$S$59,19,0)&gt;=Charms!L2329</f>
        <v>#N/A</v>
      </c>
      <c r="E2329" t="e">
        <f>OR(ISBLANK(Charms!I2329),(VLOOKUP(Values!$S$6,Castes!$B$2:$F$25,4,0)=Charms!I2329))</f>
        <v>#N/A</v>
      </c>
      <c r="J2329" t="e">
        <f t="shared" ca="1" si="181"/>
        <v>#N/A</v>
      </c>
      <c r="K2329" s="18" t="e">
        <f t="shared" ca="1" si="180"/>
        <v>#N/A</v>
      </c>
      <c r="L2329" t="e">
        <f ca="1">IF(J2329,Charms!B2329,"")</f>
        <v>#N/A</v>
      </c>
      <c r="M2329" t="str">
        <f t="shared" ca="1" si="182"/>
        <v>-</v>
      </c>
      <c r="N2329" s="18" t="str">
        <f t="shared" si="183"/>
        <v>K1622:L5000</v>
      </c>
      <c r="O2329" t="str">
        <f t="shared" si="184"/>
        <v>A1622:A2329</v>
      </c>
    </row>
    <row r="2330" spans="1:15">
      <c r="A2330" s="18">
        <f>Charms!K2330</f>
        <v>0</v>
      </c>
      <c r="B2330">
        <f>Charms!B2330</f>
        <v>0</v>
      </c>
      <c r="C2330" t="b">
        <f ca="1">OR(Values!$S$98&gt;=Charms!M2330,IFERROR(Charms!J2330=OFFSET(Values!$A$24,MATCH("S",Values!$T$25:$T$50,0),0),FALSE))</f>
        <v>1</v>
      </c>
      <c r="D2330" t="e">
        <f>VLOOKUP(Charms!J2330,Values!$A$11:$S$59,19,0)&gt;=Charms!L2330</f>
        <v>#N/A</v>
      </c>
      <c r="E2330" t="e">
        <f>OR(ISBLANK(Charms!I2330),(VLOOKUP(Values!$S$6,Castes!$B$2:$F$25,4,0)=Charms!I2330))</f>
        <v>#N/A</v>
      </c>
      <c r="J2330" t="e">
        <f t="shared" ca="1" si="181"/>
        <v>#N/A</v>
      </c>
      <c r="K2330" s="18" t="e">
        <f t="shared" ca="1" si="180"/>
        <v>#N/A</v>
      </c>
      <c r="L2330" t="e">
        <f ca="1">IF(J2330,Charms!B2330,"")</f>
        <v>#N/A</v>
      </c>
      <c r="M2330" t="str">
        <f t="shared" ca="1" si="182"/>
        <v>-</v>
      </c>
      <c r="N2330" s="18" t="str">
        <f t="shared" si="183"/>
        <v>K1622:L5000</v>
      </c>
      <c r="O2330" t="str">
        <f t="shared" si="184"/>
        <v>A1622:A2330</v>
      </c>
    </row>
    <row r="2331" spans="1:15">
      <c r="A2331" s="18">
        <f>Charms!K2331</f>
        <v>0</v>
      </c>
      <c r="B2331">
        <f>Charms!B2331</f>
        <v>0</v>
      </c>
      <c r="C2331" t="b">
        <f ca="1">OR(Values!$S$98&gt;=Charms!M2331,IFERROR(Charms!J2331=OFFSET(Values!$A$24,MATCH("S",Values!$T$25:$T$50,0),0),FALSE))</f>
        <v>1</v>
      </c>
      <c r="D2331" t="e">
        <f>VLOOKUP(Charms!J2331,Values!$A$11:$S$59,19,0)&gt;=Charms!L2331</f>
        <v>#N/A</v>
      </c>
      <c r="E2331" t="e">
        <f>OR(ISBLANK(Charms!I2331),(VLOOKUP(Values!$S$6,Castes!$B$2:$F$25,4,0)=Charms!I2331))</f>
        <v>#N/A</v>
      </c>
      <c r="J2331" t="e">
        <f t="shared" ca="1" si="181"/>
        <v>#N/A</v>
      </c>
      <c r="K2331" s="18" t="e">
        <f t="shared" ca="1" si="180"/>
        <v>#N/A</v>
      </c>
      <c r="L2331" t="e">
        <f ca="1">IF(J2331,Charms!B2331,"")</f>
        <v>#N/A</v>
      </c>
      <c r="M2331" t="str">
        <f t="shared" ca="1" si="182"/>
        <v>-</v>
      </c>
      <c r="N2331" s="18" t="str">
        <f t="shared" si="183"/>
        <v>K1622:L5000</v>
      </c>
      <c r="O2331" t="str">
        <f t="shared" si="184"/>
        <v>A1622:A2331</v>
      </c>
    </row>
    <row r="2332" spans="1:15">
      <c r="A2332" s="18">
        <f>Charms!K2332</f>
        <v>0</v>
      </c>
      <c r="B2332">
        <f>Charms!B2332</f>
        <v>0</v>
      </c>
      <c r="C2332" t="b">
        <f ca="1">OR(Values!$S$98&gt;=Charms!M2332,IFERROR(Charms!J2332=OFFSET(Values!$A$24,MATCH("S",Values!$T$25:$T$50,0),0),FALSE))</f>
        <v>1</v>
      </c>
      <c r="D2332" t="e">
        <f>VLOOKUP(Charms!J2332,Values!$A$11:$S$59,19,0)&gt;=Charms!L2332</f>
        <v>#N/A</v>
      </c>
      <c r="E2332" t="e">
        <f>OR(ISBLANK(Charms!I2332),(VLOOKUP(Values!$S$6,Castes!$B$2:$F$25,4,0)=Charms!I2332))</f>
        <v>#N/A</v>
      </c>
      <c r="J2332" t="e">
        <f t="shared" ca="1" si="181"/>
        <v>#N/A</v>
      </c>
      <c r="K2332" s="18" t="e">
        <f t="shared" ca="1" si="180"/>
        <v>#N/A</v>
      </c>
      <c r="L2332" t="e">
        <f ca="1">IF(J2332,Charms!B2332,"")</f>
        <v>#N/A</v>
      </c>
      <c r="M2332" t="str">
        <f t="shared" ca="1" si="182"/>
        <v>-</v>
      </c>
      <c r="N2332" s="18" t="str">
        <f t="shared" si="183"/>
        <v>K1622:L5000</v>
      </c>
      <c r="O2332" t="str">
        <f t="shared" si="184"/>
        <v>A1622:A2332</v>
      </c>
    </row>
    <row r="2333" spans="1:15">
      <c r="A2333" s="18">
        <f>Charms!K2333</f>
        <v>0</v>
      </c>
      <c r="B2333">
        <f>Charms!B2333</f>
        <v>0</v>
      </c>
      <c r="C2333" t="b">
        <f ca="1">OR(Values!$S$98&gt;=Charms!M2333,IFERROR(Charms!J2333=OFFSET(Values!$A$24,MATCH("S",Values!$T$25:$T$50,0),0),FALSE))</f>
        <v>1</v>
      </c>
      <c r="D2333" t="e">
        <f>VLOOKUP(Charms!J2333,Values!$A$11:$S$59,19,0)&gt;=Charms!L2333</f>
        <v>#N/A</v>
      </c>
      <c r="E2333" t="e">
        <f>OR(ISBLANK(Charms!I2333),(VLOOKUP(Values!$S$6,Castes!$B$2:$F$25,4,0)=Charms!I2333))</f>
        <v>#N/A</v>
      </c>
      <c r="J2333" t="e">
        <f t="shared" ca="1" si="181"/>
        <v>#N/A</v>
      </c>
      <c r="K2333" s="18" t="e">
        <f t="shared" ca="1" si="180"/>
        <v>#N/A</v>
      </c>
      <c r="L2333" t="e">
        <f ca="1">IF(J2333,Charms!B2333,"")</f>
        <v>#N/A</v>
      </c>
      <c r="M2333" t="str">
        <f t="shared" ca="1" si="182"/>
        <v>-</v>
      </c>
      <c r="N2333" s="18" t="str">
        <f t="shared" si="183"/>
        <v>K1622:L5000</v>
      </c>
      <c r="O2333" t="str">
        <f t="shared" si="184"/>
        <v>A1622:A2333</v>
      </c>
    </row>
    <row r="2334" spans="1:15">
      <c r="A2334" s="18">
        <f>Charms!K2334</f>
        <v>0</v>
      </c>
      <c r="B2334">
        <f>Charms!B2334</f>
        <v>0</v>
      </c>
      <c r="C2334" t="b">
        <f ca="1">OR(Values!$S$98&gt;=Charms!M2334,IFERROR(Charms!J2334=OFFSET(Values!$A$24,MATCH("S",Values!$T$25:$T$50,0),0),FALSE))</f>
        <v>1</v>
      </c>
      <c r="D2334" t="e">
        <f>VLOOKUP(Charms!J2334,Values!$A$11:$S$59,19,0)&gt;=Charms!L2334</f>
        <v>#N/A</v>
      </c>
      <c r="E2334" t="e">
        <f>OR(ISBLANK(Charms!I2334),(VLOOKUP(Values!$S$6,Castes!$B$2:$F$25,4,0)=Charms!I2334))</f>
        <v>#N/A</v>
      </c>
      <c r="J2334" t="e">
        <f t="shared" ca="1" si="181"/>
        <v>#N/A</v>
      </c>
      <c r="K2334" s="18" t="e">
        <f t="shared" ca="1" si="180"/>
        <v>#N/A</v>
      </c>
      <c r="L2334" t="e">
        <f ca="1">IF(J2334,Charms!B2334,"")</f>
        <v>#N/A</v>
      </c>
      <c r="M2334" t="str">
        <f t="shared" ca="1" si="182"/>
        <v>-</v>
      </c>
      <c r="N2334" s="18" t="str">
        <f t="shared" si="183"/>
        <v>K1622:L5000</v>
      </c>
      <c r="O2334" t="str">
        <f t="shared" si="184"/>
        <v>A1622:A2334</v>
      </c>
    </row>
    <row r="2335" spans="1:15">
      <c r="A2335" s="18">
        <f>Charms!K2335</f>
        <v>0</v>
      </c>
      <c r="B2335">
        <f>Charms!B2335</f>
        <v>0</v>
      </c>
      <c r="C2335" t="b">
        <f ca="1">OR(Values!$S$98&gt;=Charms!M2335,IFERROR(Charms!J2335=OFFSET(Values!$A$24,MATCH("S",Values!$T$25:$T$50,0),0),FALSE))</f>
        <v>1</v>
      </c>
      <c r="D2335" t="e">
        <f>VLOOKUP(Charms!J2335,Values!$A$11:$S$59,19,0)&gt;=Charms!L2335</f>
        <v>#N/A</v>
      </c>
      <c r="E2335" t="e">
        <f>OR(ISBLANK(Charms!I2335),(VLOOKUP(Values!$S$6,Castes!$B$2:$F$25,4,0)=Charms!I2335))</f>
        <v>#N/A</v>
      </c>
      <c r="J2335" t="e">
        <f t="shared" ca="1" si="181"/>
        <v>#N/A</v>
      </c>
      <c r="K2335" s="18" t="e">
        <f t="shared" ca="1" si="180"/>
        <v>#N/A</v>
      </c>
      <c r="L2335" t="e">
        <f ca="1">IF(J2335,Charms!B2335,"")</f>
        <v>#N/A</v>
      </c>
      <c r="M2335" t="str">
        <f t="shared" ca="1" si="182"/>
        <v>-</v>
      </c>
      <c r="N2335" s="18" t="str">
        <f t="shared" si="183"/>
        <v>K1622:L5000</v>
      </c>
      <c r="O2335" t="str">
        <f t="shared" si="184"/>
        <v>A1622:A2335</v>
      </c>
    </row>
    <row r="2336" spans="1:15">
      <c r="A2336" s="18">
        <f>Charms!K2336</f>
        <v>0</v>
      </c>
      <c r="B2336">
        <f>Charms!B2336</f>
        <v>0</v>
      </c>
      <c r="C2336" t="b">
        <f ca="1">OR(Values!$S$98&gt;=Charms!M2336,IFERROR(Charms!J2336=OFFSET(Values!$A$24,MATCH("S",Values!$T$25:$T$50,0),0),FALSE))</f>
        <v>1</v>
      </c>
      <c r="D2336" t="e">
        <f>VLOOKUP(Charms!J2336,Values!$A$11:$S$59,19,0)&gt;=Charms!L2336</f>
        <v>#N/A</v>
      </c>
      <c r="E2336" t="e">
        <f>OR(ISBLANK(Charms!I2336),(VLOOKUP(Values!$S$6,Castes!$B$2:$F$25,4,0)=Charms!I2336))</f>
        <v>#N/A</v>
      </c>
      <c r="J2336" t="e">
        <f t="shared" ca="1" si="181"/>
        <v>#N/A</v>
      </c>
      <c r="K2336" s="18" t="e">
        <f t="shared" ca="1" si="180"/>
        <v>#N/A</v>
      </c>
      <c r="L2336" t="e">
        <f ca="1">IF(J2336,Charms!B2336,"")</f>
        <v>#N/A</v>
      </c>
      <c r="M2336" t="str">
        <f t="shared" ca="1" si="182"/>
        <v>-</v>
      </c>
      <c r="N2336" s="18" t="str">
        <f t="shared" si="183"/>
        <v>K1622:L5000</v>
      </c>
      <c r="O2336" t="str">
        <f t="shared" si="184"/>
        <v>A1622:A2336</v>
      </c>
    </row>
    <row r="2337" spans="1:15">
      <c r="A2337" s="18">
        <f>Charms!K2337</f>
        <v>0</v>
      </c>
      <c r="B2337">
        <f>Charms!B2337</f>
        <v>0</v>
      </c>
      <c r="C2337" t="b">
        <f ca="1">OR(Values!$S$98&gt;=Charms!M2337,IFERROR(Charms!J2337=OFFSET(Values!$A$24,MATCH("S",Values!$T$25:$T$50,0),0),FALSE))</f>
        <v>1</v>
      </c>
      <c r="D2337" t="e">
        <f>VLOOKUP(Charms!J2337,Values!$A$11:$S$59,19,0)&gt;=Charms!L2337</f>
        <v>#N/A</v>
      </c>
      <c r="E2337" t="e">
        <f>OR(ISBLANK(Charms!I2337),(VLOOKUP(Values!$S$6,Castes!$B$2:$F$25,4,0)=Charms!I2337))</f>
        <v>#N/A</v>
      </c>
      <c r="J2337" t="e">
        <f t="shared" ca="1" si="181"/>
        <v>#N/A</v>
      </c>
      <c r="K2337" s="18" t="e">
        <f t="shared" ca="1" si="180"/>
        <v>#N/A</v>
      </c>
      <c r="L2337" t="e">
        <f ca="1">IF(J2337,Charms!B2337,"")</f>
        <v>#N/A</v>
      </c>
      <c r="M2337" t="str">
        <f t="shared" ca="1" si="182"/>
        <v>-</v>
      </c>
      <c r="N2337" s="18" t="str">
        <f t="shared" si="183"/>
        <v>K1622:L5000</v>
      </c>
      <c r="O2337" t="str">
        <f t="shared" si="184"/>
        <v>A1622:A2337</v>
      </c>
    </row>
    <row r="2338" spans="1:15">
      <c r="A2338" s="18">
        <f>Charms!K2338</f>
        <v>0</v>
      </c>
      <c r="B2338">
        <f>Charms!B2338</f>
        <v>0</v>
      </c>
      <c r="C2338" t="b">
        <f ca="1">OR(Values!$S$98&gt;=Charms!M2338,IFERROR(Charms!J2338=OFFSET(Values!$A$24,MATCH("S",Values!$T$25:$T$50,0),0),FALSE))</f>
        <v>1</v>
      </c>
      <c r="D2338" t="e">
        <f>VLOOKUP(Charms!J2338,Values!$A$11:$S$59,19,0)&gt;=Charms!L2338</f>
        <v>#N/A</v>
      </c>
      <c r="E2338" t="e">
        <f>OR(ISBLANK(Charms!I2338),(VLOOKUP(Values!$S$6,Castes!$B$2:$F$25,4,0)=Charms!I2338))</f>
        <v>#N/A</v>
      </c>
      <c r="J2338" t="e">
        <f t="shared" ca="1" si="181"/>
        <v>#N/A</v>
      </c>
      <c r="K2338" s="18" t="e">
        <f t="shared" ca="1" si="180"/>
        <v>#N/A</v>
      </c>
      <c r="L2338" t="e">
        <f ca="1">IF(J2338,Charms!B2338,"")</f>
        <v>#N/A</v>
      </c>
      <c r="M2338" t="str">
        <f t="shared" ca="1" si="182"/>
        <v>-</v>
      </c>
      <c r="N2338" s="18" t="str">
        <f t="shared" si="183"/>
        <v>K1622:L5000</v>
      </c>
      <c r="O2338" t="str">
        <f t="shared" si="184"/>
        <v>A1622:A2338</v>
      </c>
    </row>
    <row r="2339" spans="1:15">
      <c r="A2339" s="18">
        <f>Charms!K2339</f>
        <v>0</v>
      </c>
      <c r="B2339">
        <f>Charms!B2339</f>
        <v>0</v>
      </c>
      <c r="C2339" t="b">
        <f ca="1">OR(Values!$S$98&gt;=Charms!M2339,IFERROR(Charms!J2339=OFFSET(Values!$A$24,MATCH("S",Values!$T$25:$T$50,0),0),FALSE))</f>
        <v>1</v>
      </c>
      <c r="D2339" t="e">
        <f>VLOOKUP(Charms!J2339,Values!$A$11:$S$59,19,0)&gt;=Charms!L2339</f>
        <v>#N/A</v>
      </c>
      <c r="E2339" t="e">
        <f>OR(ISBLANK(Charms!I2339),(VLOOKUP(Values!$S$6,Castes!$B$2:$F$25,4,0)=Charms!I2339))</f>
        <v>#N/A</v>
      </c>
      <c r="J2339" t="e">
        <f t="shared" ca="1" si="181"/>
        <v>#N/A</v>
      </c>
      <c r="K2339" s="18" t="e">
        <f t="shared" ca="1" si="180"/>
        <v>#N/A</v>
      </c>
      <c r="L2339" t="e">
        <f ca="1">IF(J2339,Charms!B2339,"")</f>
        <v>#N/A</v>
      </c>
      <c r="M2339" t="str">
        <f t="shared" ca="1" si="182"/>
        <v>-</v>
      </c>
      <c r="N2339" s="18" t="str">
        <f t="shared" si="183"/>
        <v>K1622:L5000</v>
      </c>
      <c r="O2339" t="str">
        <f t="shared" si="184"/>
        <v>A1622:A2339</v>
      </c>
    </row>
    <row r="2340" spans="1:15">
      <c r="A2340" s="18">
        <f>Charms!K2340</f>
        <v>0</v>
      </c>
      <c r="B2340">
        <f>Charms!B2340</f>
        <v>0</v>
      </c>
      <c r="C2340" t="b">
        <f ca="1">OR(Values!$S$98&gt;=Charms!M2340,IFERROR(Charms!J2340=OFFSET(Values!$A$24,MATCH("S",Values!$T$25:$T$50,0),0),FALSE))</f>
        <v>1</v>
      </c>
      <c r="D2340" t="e">
        <f>VLOOKUP(Charms!J2340,Values!$A$11:$S$59,19,0)&gt;=Charms!L2340</f>
        <v>#N/A</v>
      </c>
      <c r="E2340" t="e">
        <f>OR(ISBLANK(Charms!I2340),(VLOOKUP(Values!$S$6,Castes!$B$2:$F$25,4,0)=Charms!I2340))</f>
        <v>#N/A</v>
      </c>
      <c r="J2340" t="e">
        <f t="shared" ca="1" si="181"/>
        <v>#N/A</v>
      </c>
      <c r="K2340" s="18" t="e">
        <f t="shared" ca="1" si="180"/>
        <v>#N/A</v>
      </c>
      <c r="L2340" t="e">
        <f ca="1">IF(J2340,Charms!B2340,"")</f>
        <v>#N/A</v>
      </c>
      <c r="M2340" t="str">
        <f t="shared" ca="1" si="182"/>
        <v>-</v>
      </c>
      <c r="N2340" s="18" t="str">
        <f t="shared" si="183"/>
        <v>K1622:L5000</v>
      </c>
      <c r="O2340" t="str">
        <f t="shared" si="184"/>
        <v>A1622:A2340</v>
      </c>
    </row>
    <row r="2341" spans="1:15">
      <c r="A2341" s="18">
        <f>Charms!K2341</f>
        <v>0</v>
      </c>
      <c r="B2341">
        <f>Charms!B2341</f>
        <v>0</v>
      </c>
      <c r="C2341" t="b">
        <f ca="1">OR(Values!$S$98&gt;=Charms!M2341,IFERROR(Charms!J2341=OFFSET(Values!$A$24,MATCH("S",Values!$T$25:$T$50,0),0),FALSE))</f>
        <v>1</v>
      </c>
      <c r="D2341" t="e">
        <f>VLOOKUP(Charms!J2341,Values!$A$11:$S$59,19,0)&gt;=Charms!L2341</f>
        <v>#N/A</v>
      </c>
      <c r="E2341" t="e">
        <f>OR(ISBLANK(Charms!I2341),(VLOOKUP(Values!$S$6,Castes!$B$2:$F$25,4,0)=Charms!I2341))</f>
        <v>#N/A</v>
      </c>
      <c r="J2341" t="e">
        <f t="shared" ca="1" si="181"/>
        <v>#N/A</v>
      </c>
      <c r="K2341" s="18" t="e">
        <f t="shared" ca="1" si="180"/>
        <v>#N/A</v>
      </c>
      <c r="L2341" t="e">
        <f ca="1">IF(J2341,Charms!B2341,"")</f>
        <v>#N/A</v>
      </c>
      <c r="M2341" t="str">
        <f t="shared" ca="1" si="182"/>
        <v>-</v>
      </c>
      <c r="N2341" s="18" t="str">
        <f t="shared" si="183"/>
        <v>K1622:L5000</v>
      </c>
      <c r="O2341" t="str">
        <f t="shared" si="184"/>
        <v>A1622:A2341</v>
      </c>
    </row>
    <row r="2342" spans="1:15">
      <c r="A2342" s="18">
        <f>Charms!K2342</f>
        <v>0</v>
      </c>
      <c r="B2342">
        <f>Charms!B2342</f>
        <v>0</v>
      </c>
      <c r="C2342" t="b">
        <f ca="1">OR(Values!$S$98&gt;=Charms!M2342,IFERROR(Charms!J2342=OFFSET(Values!$A$24,MATCH("S",Values!$T$25:$T$50,0),0),FALSE))</f>
        <v>1</v>
      </c>
      <c r="D2342" t="e">
        <f>VLOOKUP(Charms!J2342,Values!$A$11:$S$59,19,0)&gt;=Charms!L2342</f>
        <v>#N/A</v>
      </c>
      <c r="E2342" t="e">
        <f>OR(ISBLANK(Charms!I2342),(VLOOKUP(Values!$S$6,Castes!$B$2:$F$25,4,0)=Charms!I2342))</f>
        <v>#N/A</v>
      </c>
      <c r="J2342" t="e">
        <f t="shared" ca="1" si="181"/>
        <v>#N/A</v>
      </c>
      <c r="K2342" s="18" t="e">
        <f t="shared" ca="1" si="180"/>
        <v>#N/A</v>
      </c>
      <c r="L2342" t="e">
        <f ca="1">IF(J2342,Charms!B2342,"")</f>
        <v>#N/A</v>
      </c>
      <c r="M2342" t="str">
        <f t="shared" ca="1" si="182"/>
        <v>-</v>
      </c>
      <c r="N2342" s="18" t="str">
        <f t="shared" si="183"/>
        <v>K1622:L5000</v>
      </c>
      <c r="O2342" t="str">
        <f t="shared" si="184"/>
        <v>A1622:A2342</v>
      </c>
    </row>
    <row r="2343" spans="1:15">
      <c r="A2343" s="18">
        <f>Charms!K2343</f>
        <v>0</v>
      </c>
      <c r="B2343">
        <f>Charms!B2343</f>
        <v>0</v>
      </c>
      <c r="C2343" t="b">
        <f ca="1">OR(Values!$S$98&gt;=Charms!M2343,IFERROR(Charms!J2343=OFFSET(Values!$A$24,MATCH("S",Values!$T$25:$T$50,0),0),FALSE))</f>
        <v>1</v>
      </c>
      <c r="D2343" t="e">
        <f>VLOOKUP(Charms!J2343,Values!$A$11:$S$59,19,0)&gt;=Charms!L2343</f>
        <v>#N/A</v>
      </c>
      <c r="E2343" t="e">
        <f>OR(ISBLANK(Charms!I2343),(VLOOKUP(Values!$S$6,Castes!$B$2:$F$25,4,0)=Charms!I2343))</f>
        <v>#N/A</v>
      </c>
      <c r="J2343" t="e">
        <f t="shared" ca="1" si="181"/>
        <v>#N/A</v>
      </c>
      <c r="K2343" s="18" t="e">
        <f t="shared" ca="1" si="180"/>
        <v>#N/A</v>
      </c>
      <c r="L2343" t="e">
        <f ca="1">IF(J2343,Charms!B2343,"")</f>
        <v>#N/A</v>
      </c>
      <c r="M2343" t="str">
        <f t="shared" ca="1" si="182"/>
        <v>-</v>
      </c>
      <c r="N2343" s="18" t="str">
        <f t="shared" si="183"/>
        <v>K1622:L5000</v>
      </c>
      <c r="O2343" t="str">
        <f t="shared" si="184"/>
        <v>A1622:A2343</v>
      </c>
    </row>
    <row r="2344" spans="1:15">
      <c r="A2344" s="18">
        <f>Charms!K2344</f>
        <v>0</v>
      </c>
      <c r="B2344">
        <f>Charms!B2344</f>
        <v>0</v>
      </c>
      <c r="C2344" t="b">
        <f ca="1">OR(Values!$S$98&gt;=Charms!M2344,IFERROR(Charms!J2344=OFFSET(Values!$A$24,MATCH("S",Values!$T$25:$T$50,0),0),FALSE))</f>
        <v>1</v>
      </c>
      <c r="D2344" t="e">
        <f>VLOOKUP(Charms!J2344,Values!$A$11:$S$59,19,0)&gt;=Charms!L2344</f>
        <v>#N/A</v>
      </c>
      <c r="E2344" t="e">
        <f>OR(ISBLANK(Charms!I2344),(VLOOKUP(Values!$S$6,Castes!$B$2:$F$25,4,0)=Charms!I2344))</f>
        <v>#N/A</v>
      </c>
      <c r="J2344" t="e">
        <f t="shared" ca="1" si="181"/>
        <v>#N/A</v>
      </c>
      <c r="K2344" s="18" t="e">
        <f t="shared" ca="1" si="180"/>
        <v>#N/A</v>
      </c>
      <c r="L2344" t="e">
        <f ca="1">IF(J2344,Charms!B2344,"")</f>
        <v>#N/A</v>
      </c>
      <c r="M2344" t="str">
        <f t="shared" ca="1" si="182"/>
        <v>-</v>
      </c>
      <c r="N2344" s="18" t="str">
        <f t="shared" si="183"/>
        <v>K1622:L5000</v>
      </c>
      <c r="O2344" t="str">
        <f t="shared" si="184"/>
        <v>A1622:A2344</v>
      </c>
    </row>
    <row r="2345" spans="1:15">
      <c r="A2345" s="18">
        <f>Charms!K2345</f>
        <v>0</v>
      </c>
      <c r="B2345">
        <f>Charms!B2345</f>
        <v>0</v>
      </c>
      <c r="C2345" t="b">
        <f ca="1">OR(Values!$S$98&gt;=Charms!M2345,IFERROR(Charms!J2345=OFFSET(Values!$A$24,MATCH("S",Values!$T$25:$T$50,0),0),FALSE))</f>
        <v>1</v>
      </c>
      <c r="D2345" t="e">
        <f>VLOOKUP(Charms!J2345,Values!$A$11:$S$59,19,0)&gt;=Charms!L2345</f>
        <v>#N/A</v>
      </c>
      <c r="E2345" t="e">
        <f>OR(ISBLANK(Charms!I2345),(VLOOKUP(Values!$S$6,Castes!$B$2:$F$25,4,0)=Charms!I2345))</f>
        <v>#N/A</v>
      </c>
      <c r="J2345" t="e">
        <f t="shared" ca="1" si="181"/>
        <v>#N/A</v>
      </c>
      <c r="K2345" s="18" t="e">
        <f t="shared" ca="1" si="180"/>
        <v>#N/A</v>
      </c>
      <c r="L2345" t="e">
        <f ca="1">IF(J2345,Charms!B2345,"")</f>
        <v>#N/A</v>
      </c>
      <c r="M2345" t="str">
        <f t="shared" ca="1" si="182"/>
        <v>-</v>
      </c>
      <c r="N2345" s="18" t="str">
        <f t="shared" si="183"/>
        <v>K1622:L5000</v>
      </c>
      <c r="O2345" t="str">
        <f t="shared" si="184"/>
        <v>A1622:A2345</v>
      </c>
    </row>
    <row r="2346" spans="1:15">
      <c r="A2346" s="18">
        <f>Charms!K2346</f>
        <v>0</v>
      </c>
      <c r="B2346">
        <f>Charms!B2346</f>
        <v>0</v>
      </c>
      <c r="C2346" t="b">
        <f ca="1">OR(Values!$S$98&gt;=Charms!M2346,IFERROR(Charms!J2346=OFFSET(Values!$A$24,MATCH("S",Values!$T$25:$T$50,0),0),FALSE))</f>
        <v>1</v>
      </c>
      <c r="D2346" t="e">
        <f>VLOOKUP(Charms!J2346,Values!$A$11:$S$59,19,0)&gt;=Charms!L2346</f>
        <v>#N/A</v>
      </c>
      <c r="E2346" t="e">
        <f>OR(ISBLANK(Charms!I2346),(VLOOKUP(Values!$S$6,Castes!$B$2:$F$25,4,0)=Charms!I2346))</f>
        <v>#N/A</v>
      </c>
      <c r="J2346" t="e">
        <f t="shared" ca="1" si="181"/>
        <v>#N/A</v>
      </c>
      <c r="K2346" s="18" t="e">
        <f t="shared" ca="1" si="180"/>
        <v>#N/A</v>
      </c>
      <c r="L2346" t="e">
        <f ca="1">IF(J2346,Charms!B2346,"")</f>
        <v>#N/A</v>
      </c>
      <c r="M2346" t="str">
        <f t="shared" ca="1" si="182"/>
        <v>-</v>
      </c>
      <c r="N2346" s="18" t="str">
        <f t="shared" si="183"/>
        <v>K1622:L5000</v>
      </c>
      <c r="O2346" t="str">
        <f t="shared" si="184"/>
        <v>A1622:A2346</v>
      </c>
    </row>
    <row r="2347" spans="1:15">
      <c r="A2347" s="18">
        <f>Charms!K2347</f>
        <v>0</v>
      </c>
      <c r="B2347">
        <f>Charms!B2347</f>
        <v>0</v>
      </c>
      <c r="C2347" t="b">
        <f ca="1">OR(Values!$S$98&gt;=Charms!M2347,IFERROR(Charms!J2347=OFFSET(Values!$A$24,MATCH("S",Values!$T$25:$T$50,0),0),FALSE))</f>
        <v>1</v>
      </c>
      <c r="D2347" t="e">
        <f>VLOOKUP(Charms!J2347,Values!$A$11:$S$59,19,0)&gt;=Charms!L2347</f>
        <v>#N/A</v>
      </c>
      <c r="E2347" t="e">
        <f>OR(ISBLANK(Charms!I2347),(VLOOKUP(Values!$S$6,Castes!$B$2:$F$25,4,0)=Charms!I2347))</f>
        <v>#N/A</v>
      </c>
      <c r="J2347" t="e">
        <f t="shared" ca="1" si="181"/>
        <v>#N/A</v>
      </c>
      <c r="K2347" s="18" t="e">
        <f t="shared" ca="1" si="180"/>
        <v>#N/A</v>
      </c>
      <c r="L2347" t="e">
        <f ca="1">IF(J2347,Charms!B2347,"")</f>
        <v>#N/A</v>
      </c>
      <c r="M2347" t="str">
        <f t="shared" ca="1" si="182"/>
        <v>-</v>
      </c>
      <c r="N2347" s="18" t="str">
        <f t="shared" si="183"/>
        <v>K1622:L5000</v>
      </c>
      <c r="O2347" t="str">
        <f t="shared" si="184"/>
        <v>A1622:A2347</v>
      </c>
    </row>
    <row r="2348" spans="1:15">
      <c r="A2348" s="18">
        <f>Charms!K2348</f>
        <v>0</v>
      </c>
      <c r="B2348">
        <f>Charms!B2348</f>
        <v>0</v>
      </c>
      <c r="C2348" t="b">
        <f ca="1">OR(Values!$S$98&gt;=Charms!M2348,IFERROR(Charms!J2348=OFFSET(Values!$A$24,MATCH("S",Values!$T$25:$T$50,0),0),FALSE))</f>
        <v>1</v>
      </c>
      <c r="D2348" t="e">
        <f>VLOOKUP(Charms!J2348,Values!$A$11:$S$59,19,0)&gt;=Charms!L2348</f>
        <v>#N/A</v>
      </c>
      <c r="E2348" t="e">
        <f>OR(ISBLANK(Charms!I2348),(VLOOKUP(Values!$S$6,Castes!$B$2:$F$25,4,0)=Charms!I2348))</f>
        <v>#N/A</v>
      </c>
      <c r="J2348" t="e">
        <f t="shared" ca="1" si="181"/>
        <v>#N/A</v>
      </c>
      <c r="K2348" s="18" t="e">
        <f t="shared" ca="1" si="180"/>
        <v>#N/A</v>
      </c>
      <c r="L2348" t="e">
        <f ca="1">IF(J2348,Charms!B2348,"")</f>
        <v>#N/A</v>
      </c>
      <c r="M2348" t="str">
        <f t="shared" ca="1" si="182"/>
        <v>-</v>
      </c>
      <c r="N2348" s="18" t="str">
        <f t="shared" si="183"/>
        <v>K1622:L5000</v>
      </c>
      <c r="O2348" t="str">
        <f t="shared" si="184"/>
        <v>A1622:A2348</v>
      </c>
    </row>
    <row r="2349" spans="1:15">
      <c r="A2349" s="18">
        <f>Charms!K2349</f>
        <v>0</v>
      </c>
      <c r="B2349">
        <f>Charms!B2349</f>
        <v>0</v>
      </c>
      <c r="C2349" t="b">
        <f ca="1">OR(Values!$S$98&gt;=Charms!M2349,IFERROR(Charms!J2349=OFFSET(Values!$A$24,MATCH("S",Values!$T$25:$T$50,0),0),FALSE))</f>
        <v>1</v>
      </c>
      <c r="D2349" t="e">
        <f>VLOOKUP(Charms!J2349,Values!$A$11:$S$59,19,0)&gt;=Charms!L2349</f>
        <v>#N/A</v>
      </c>
      <c r="E2349" t="e">
        <f>OR(ISBLANK(Charms!I2349),(VLOOKUP(Values!$S$6,Castes!$B$2:$F$25,4,0)=Charms!I2349))</f>
        <v>#N/A</v>
      </c>
      <c r="J2349" t="e">
        <f t="shared" ca="1" si="181"/>
        <v>#N/A</v>
      </c>
      <c r="K2349" s="18" t="e">
        <f t="shared" ca="1" si="180"/>
        <v>#N/A</v>
      </c>
      <c r="L2349" t="e">
        <f ca="1">IF(J2349,Charms!B2349,"")</f>
        <v>#N/A</v>
      </c>
      <c r="M2349" t="str">
        <f t="shared" ca="1" si="182"/>
        <v>-</v>
      </c>
      <c r="N2349" s="18" t="str">
        <f t="shared" si="183"/>
        <v>K1622:L5000</v>
      </c>
      <c r="O2349" t="str">
        <f t="shared" si="184"/>
        <v>A1622:A2349</v>
      </c>
    </row>
    <row r="2350" spans="1:15">
      <c r="A2350" s="18">
        <f>Charms!K2350</f>
        <v>0</v>
      </c>
      <c r="B2350">
        <f>Charms!B2350</f>
        <v>0</v>
      </c>
      <c r="C2350" t="b">
        <f ca="1">OR(Values!$S$98&gt;=Charms!M2350,IFERROR(Charms!J2350=OFFSET(Values!$A$24,MATCH("S",Values!$T$25:$T$50,0),0),FALSE))</f>
        <v>1</v>
      </c>
      <c r="D2350" t="e">
        <f>VLOOKUP(Charms!J2350,Values!$A$11:$S$59,19,0)&gt;=Charms!L2350</f>
        <v>#N/A</v>
      </c>
      <c r="E2350" t="e">
        <f>OR(ISBLANK(Charms!I2350),(VLOOKUP(Values!$S$6,Castes!$B$2:$F$25,4,0)=Charms!I2350))</f>
        <v>#N/A</v>
      </c>
      <c r="J2350" t="e">
        <f t="shared" ca="1" si="181"/>
        <v>#N/A</v>
      </c>
      <c r="K2350" s="18" t="e">
        <f t="shared" ca="1" si="180"/>
        <v>#N/A</v>
      </c>
      <c r="L2350" t="e">
        <f ca="1">IF(J2350,Charms!B2350,"")</f>
        <v>#N/A</v>
      </c>
      <c r="M2350" t="str">
        <f t="shared" ca="1" si="182"/>
        <v>-</v>
      </c>
      <c r="N2350" s="18" t="str">
        <f t="shared" si="183"/>
        <v>K1622:L5000</v>
      </c>
      <c r="O2350" t="str">
        <f t="shared" si="184"/>
        <v>A1622:A2350</v>
      </c>
    </row>
    <row r="2351" spans="1:15">
      <c r="A2351" s="18">
        <f>Charms!K2351</f>
        <v>0</v>
      </c>
      <c r="B2351">
        <f>Charms!B2351</f>
        <v>0</v>
      </c>
      <c r="C2351" t="b">
        <f ca="1">OR(Values!$S$98&gt;=Charms!M2351,IFERROR(Charms!J2351=OFFSET(Values!$A$24,MATCH("S",Values!$T$25:$T$50,0),0),FALSE))</f>
        <v>1</v>
      </c>
      <c r="D2351" t="e">
        <f>VLOOKUP(Charms!J2351,Values!$A$11:$S$59,19,0)&gt;=Charms!L2351</f>
        <v>#N/A</v>
      </c>
      <c r="E2351" t="e">
        <f>OR(ISBLANK(Charms!I2351),(VLOOKUP(Values!$S$6,Castes!$B$2:$F$25,4,0)=Charms!I2351))</f>
        <v>#N/A</v>
      </c>
      <c r="J2351" t="e">
        <f t="shared" ca="1" si="181"/>
        <v>#N/A</v>
      </c>
      <c r="K2351" s="18" t="e">
        <f t="shared" ca="1" si="180"/>
        <v>#N/A</v>
      </c>
      <c r="L2351" t="e">
        <f ca="1">IF(J2351,Charms!B2351,"")</f>
        <v>#N/A</v>
      </c>
      <c r="M2351" t="str">
        <f t="shared" ca="1" si="182"/>
        <v>-</v>
      </c>
      <c r="N2351" s="18" t="str">
        <f t="shared" si="183"/>
        <v>K1622:L5000</v>
      </c>
      <c r="O2351" t="str">
        <f t="shared" si="184"/>
        <v>A1622:A2351</v>
      </c>
    </row>
    <row r="2352" spans="1:15">
      <c r="A2352" s="18">
        <f>Charms!K2352</f>
        <v>0</v>
      </c>
      <c r="B2352">
        <f>Charms!B2352</f>
        <v>0</v>
      </c>
      <c r="C2352" t="b">
        <f ca="1">OR(Values!$S$98&gt;=Charms!M2352,IFERROR(Charms!J2352=OFFSET(Values!$A$24,MATCH("S",Values!$T$25:$T$50,0),0),FALSE))</f>
        <v>1</v>
      </c>
      <c r="D2352" t="e">
        <f>VLOOKUP(Charms!J2352,Values!$A$11:$S$59,19,0)&gt;=Charms!L2352</f>
        <v>#N/A</v>
      </c>
      <c r="E2352" t="e">
        <f>OR(ISBLANK(Charms!I2352),(VLOOKUP(Values!$S$6,Castes!$B$2:$F$25,4,0)=Charms!I2352))</f>
        <v>#N/A</v>
      </c>
      <c r="J2352" t="e">
        <f t="shared" ca="1" si="181"/>
        <v>#N/A</v>
      </c>
      <c r="K2352" s="18" t="e">
        <f t="shared" ca="1" si="180"/>
        <v>#N/A</v>
      </c>
      <c r="L2352" t="e">
        <f ca="1">IF(J2352,Charms!B2352,"")</f>
        <v>#N/A</v>
      </c>
      <c r="M2352" t="str">
        <f t="shared" ca="1" si="182"/>
        <v>-</v>
      </c>
      <c r="N2352" s="18" t="str">
        <f t="shared" si="183"/>
        <v>K1622:L5000</v>
      </c>
      <c r="O2352" t="str">
        <f t="shared" si="184"/>
        <v>A1622:A2352</v>
      </c>
    </row>
    <row r="2353" spans="1:15">
      <c r="A2353" s="18">
        <f>Charms!K2353</f>
        <v>0</v>
      </c>
      <c r="B2353">
        <f>Charms!B2353</f>
        <v>0</v>
      </c>
      <c r="C2353" t="b">
        <f ca="1">OR(Values!$S$98&gt;=Charms!M2353,IFERROR(Charms!J2353=OFFSET(Values!$A$24,MATCH("S",Values!$T$25:$T$50,0),0),FALSE))</f>
        <v>1</v>
      </c>
      <c r="D2353" t="e">
        <f>VLOOKUP(Charms!J2353,Values!$A$11:$S$59,19,0)&gt;=Charms!L2353</f>
        <v>#N/A</v>
      </c>
      <c r="E2353" t="e">
        <f>OR(ISBLANK(Charms!I2353),(VLOOKUP(Values!$S$6,Castes!$B$2:$F$25,4,0)=Charms!I2353))</f>
        <v>#N/A</v>
      </c>
      <c r="J2353" t="e">
        <f t="shared" ca="1" si="181"/>
        <v>#N/A</v>
      </c>
      <c r="K2353" s="18" t="e">
        <f t="shared" ca="1" si="180"/>
        <v>#N/A</v>
      </c>
      <c r="L2353" t="e">
        <f ca="1">IF(J2353,Charms!B2353,"")</f>
        <v>#N/A</v>
      </c>
      <c r="M2353" t="str">
        <f t="shared" ca="1" si="182"/>
        <v>-</v>
      </c>
      <c r="N2353" s="18" t="str">
        <f t="shared" si="183"/>
        <v>K1622:L5000</v>
      </c>
      <c r="O2353" t="str">
        <f t="shared" si="184"/>
        <v>A1622:A2353</v>
      </c>
    </row>
    <row r="2354" spans="1:15">
      <c r="A2354" s="18">
        <f>Charms!K2354</f>
        <v>0</v>
      </c>
      <c r="B2354">
        <f>Charms!B2354</f>
        <v>0</v>
      </c>
      <c r="C2354" t="b">
        <f ca="1">OR(Values!$S$98&gt;=Charms!M2354,IFERROR(Charms!J2354=OFFSET(Values!$A$24,MATCH("S",Values!$T$25:$T$50,0),0),FALSE))</f>
        <v>1</v>
      </c>
      <c r="D2354" t="e">
        <f>VLOOKUP(Charms!J2354,Values!$A$11:$S$59,19,0)&gt;=Charms!L2354</f>
        <v>#N/A</v>
      </c>
      <c r="E2354" t="e">
        <f>OR(ISBLANK(Charms!I2354),(VLOOKUP(Values!$S$6,Castes!$B$2:$F$25,4,0)=Charms!I2354))</f>
        <v>#N/A</v>
      </c>
      <c r="J2354" t="e">
        <f t="shared" ca="1" si="181"/>
        <v>#N/A</v>
      </c>
      <c r="K2354" s="18" t="e">
        <f t="shared" ca="1" si="180"/>
        <v>#N/A</v>
      </c>
      <c r="L2354" t="e">
        <f ca="1">IF(J2354,Charms!B2354,"")</f>
        <v>#N/A</v>
      </c>
      <c r="M2354" t="str">
        <f t="shared" ca="1" si="182"/>
        <v>-</v>
      </c>
      <c r="N2354" s="18" t="str">
        <f t="shared" si="183"/>
        <v>K1622:L5000</v>
      </c>
      <c r="O2354" t="str">
        <f t="shared" si="184"/>
        <v>A1622:A2354</v>
      </c>
    </row>
    <row r="2355" spans="1:15">
      <c r="A2355" s="18">
        <f>Charms!K2355</f>
        <v>0</v>
      </c>
      <c r="B2355">
        <f>Charms!B2355</f>
        <v>0</v>
      </c>
      <c r="C2355" t="b">
        <f ca="1">OR(Values!$S$98&gt;=Charms!M2355,IFERROR(Charms!J2355=OFFSET(Values!$A$24,MATCH("S",Values!$T$25:$T$50,0),0),FALSE))</f>
        <v>1</v>
      </c>
      <c r="D2355" t="e">
        <f>VLOOKUP(Charms!J2355,Values!$A$11:$S$59,19,0)&gt;=Charms!L2355</f>
        <v>#N/A</v>
      </c>
      <c r="E2355" t="e">
        <f>OR(ISBLANK(Charms!I2355),(VLOOKUP(Values!$S$6,Castes!$B$2:$F$25,4,0)=Charms!I2355))</f>
        <v>#N/A</v>
      </c>
      <c r="J2355" t="e">
        <f t="shared" ca="1" si="181"/>
        <v>#N/A</v>
      </c>
      <c r="K2355" s="18" t="e">
        <f t="shared" ca="1" si="180"/>
        <v>#N/A</v>
      </c>
      <c r="L2355" t="e">
        <f ca="1">IF(J2355,Charms!B2355,"")</f>
        <v>#N/A</v>
      </c>
      <c r="M2355" t="str">
        <f t="shared" ca="1" si="182"/>
        <v>-</v>
      </c>
      <c r="N2355" s="18" t="str">
        <f t="shared" si="183"/>
        <v>K1622:L5000</v>
      </c>
      <c r="O2355" t="str">
        <f t="shared" si="184"/>
        <v>A1622:A2355</v>
      </c>
    </row>
    <row r="2356" spans="1:15">
      <c r="A2356" s="18">
        <f>Charms!K2356</f>
        <v>0</v>
      </c>
      <c r="B2356">
        <f>Charms!B2356</f>
        <v>0</v>
      </c>
      <c r="C2356" t="b">
        <f ca="1">OR(Values!$S$98&gt;=Charms!M2356,IFERROR(Charms!J2356=OFFSET(Values!$A$24,MATCH("S",Values!$T$25:$T$50,0),0),FALSE))</f>
        <v>1</v>
      </c>
      <c r="D2356" t="e">
        <f>VLOOKUP(Charms!J2356,Values!$A$11:$S$59,19,0)&gt;=Charms!L2356</f>
        <v>#N/A</v>
      </c>
      <c r="E2356" t="e">
        <f>OR(ISBLANK(Charms!I2356),(VLOOKUP(Values!$S$6,Castes!$B$2:$F$25,4,0)=Charms!I2356))</f>
        <v>#N/A</v>
      </c>
      <c r="J2356" t="e">
        <f t="shared" ca="1" si="181"/>
        <v>#N/A</v>
      </c>
      <c r="K2356" s="18" t="e">
        <f t="shared" ca="1" si="180"/>
        <v>#N/A</v>
      </c>
      <c r="L2356" t="e">
        <f ca="1">IF(J2356,Charms!B2356,"")</f>
        <v>#N/A</v>
      </c>
      <c r="M2356" t="str">
        <f t="shared" ca="1" si="182"/>
        <v>-</v>
      </c>
      <c r="N2356" s="18" t="str">
        <f t="shared" si="183"/>
        <v>K1622:L5000</v>
      </c>
      <c r="O2356" t="str">
        <f t="shared" si="184"/>
        <v>A1622:A2356</v>
      </c>
    </row>
    <row r="2357" spans="1:15">
      <c r="A2357" s="18">
        <f>Charms!K2357</f>
        <v>0</v>
      </c>
      <c r="B2357">
        <f>Charms!B2357</f>
        <v>0</v>
      </c>
      <c r="C2357" t="b">
        <f ca="1">OR(Values!$S$98&gt;=Charms!M2357,IFERROR(Charms!J2357=OFFSET(Values!$A$24,MATCH("S",Values!$T$25:$T$50,0),0),FALSE))</f>
        <v>1</v>
      </c>
      <c r="D2357" t="e">
        <f>VLOOKUP(Charms!J2357,Values!$A$11:$S$59,19,0)&gt;=Charms!L2357</f>
        <v>#N/A</v>
      </c>
      <c r="E2357" t="e">
        <f>OR(ISBLANK(Charms!I2357),(VLOOKUP(Values!$S$6,Castes!$B$2:$F$25,4,0)=Charms!I2357))</f>
        <v>#N/A</v>
      </c>
      <c r="J2357" t="e">
        <f t="shared" ca="1" si="181"/>
        <v>#N/A</v>
      </c>
      <c r="K2357" s="18" t="e">
        <f t="shared" ca="1" si="180"/>
        <v>#N/A</v>
      </c>
      <c r="L2357" t="e">
        <f ca="1">IF(J2357,Charms!B2357,"")</f>
        <v>#N/A</v>
      </c>
      <c r="M2357" t="str">
        <f t="shared" ca="1" si="182"/>
        <v>-</v>
      </c>
      <c r="N2357" s="18" t="str">
        <f t="shared" si="183"/>
        <v>K1622:L5000</v>
      </c>
      <c r="O2357" t="str">
        <f t="shared" si="184"/>
        <v>A1622:A2357</v>
      </c>
    </row>
    <row r="2358" spans="1:15">
      <c r="A2358" s="18">
        <f>Charms!K2358</f>
        <v>0</v>
      </c>
      <c r="B2358">
        <f>Charms!B2358</f>
        <v>0</v>
      </c>
      <c r="C2358" t="b">
        <f ca="1">OR(Values!$S$98&gt;=Charms!M2358,IFERROR(Charms!J2358=OFFSET(Values!$A$24,MATCH("S",Values!$T$25:$T$50,0),0),FALSE))</f>
        <v>1</v>
      </c>
      <c r="D2358" t="e">
        <f>VLOOKUP(Charms!J2358,Values!$A$11:$S$59,19,0)&gt;=Charms!L2358</f>
        <v>#N/A</v>
      </c>
      <c r="E2358" t="e">
        <f>OR(ISBLANK(Charms!I2358),(VLOOKUP(Values!$S$6,Castes!$B$2:$F$25,4,0)=Charms!I2358))</f>
        <v>#N/A</v>
      </c>
      <c r="J2358" t="e">
        <f t="shared" ca="1" si="181"/>
        <v>#N/A</v>
      </c>
      <c r="K2358" s="18" t="e">
        <f t="shared" ca="1" si="180"/>
        <v>#N/A</v>
      </c>
      <c r="L2358" t="e">
        <f ca="1">IF(J2358,Charms!B2358,"")</f>
        <v>#N/A</v>
      </c>
      <c r="M2358" t="str">
        <f t="shared" ca="1" si="182"/>
        <v>-</v>
      </c>
      <c r="N2358" s="18" t="str">
        <f t="shared" si="183"/>
        <v>K1622:L5000</v>
      </c>
      <c r="O2358" t="str">
        <f t="shared" si="184"/>
        <v>A1622:A2358</v>
      </c>
    </row>
    <row r="2359" spans="1:15">
      <c r="A2359" s="18">
        <f>Charms!K2359</f>
        <v>0</v>
      </c>
      <c r="B2359">
        <f>Charms!B2359</f>
        <v>0</v>
      </c>
      <c r="C2359" t="b">
        <f ca="1">OR(Values!$S$98&gt;=Charms!M2359,IFERROR(Charms!J2359=OFFSET(Values!$A$24,MATCH("S",Values!$T$25:$T$50,0),0),FALSE))</f>
        <v>1</v>
      </c>
      <c r="D2359" t="e">
        <f>VLOOKUP(Charms!J2359,Values!$A$11:$S$59,19,0)&gt;=Charms!L2359</f>
        <v>#N/A</v>
      </c>
      <c r="E2359" t="e">
        <f>OR(ISBLANK(Charms!I2359),(VLOOKUP(Values!$S$6,Castes!$B$2:$F$25,4,0)=Charms!I2359))</f>
        <v>#N/A</v>
      </c>
      <c r="J2359" t="e">
        <f t="shared" ca="1" si="181"/>
        <v>#N/A</v>
      </c>
      <c r="K2359" s="18" t="e">
        <f t="shared" ca="1" si="180"/>
        <v>#N/A</v>
      </c>
      <c r="L2359" t="e">
        <f ca="1">IF(J2359,Charms!B2359,"")</f>
        <v>#N/A</v>
      </c>
      <c r="M2359" t="str">
        <f t="shared" ca="1" si="182"/>
        <v>-</v>
      </c>
      <c r="N2359" s="18" t="str">
        <f t="shared" si="183"/>
        <v>K1622:L5000</v>
      </c>
      <c r="O2359" t="str">
        <f t="shared" si="184"/>
        <v>A1622:A2359</v>
      </c>
    </row>
    <row r="2360" spans="1:15">
      <c r="A2360" s="18">
        <f>Charms!K2360</f>
        <v>0</v>
      </c>
      <c r="B2360">
        <f>Charms!B2360</f>
        <v>0</v>
      </c>
      <c r="C2360" t="b">
        <f ca="1">OR(Values!$S$98&gt;=Charms!M2360,IFERROR(Charms!J2360=OFFSET(Values!$A$24,MATCH("S",Values!$T$25:$T$50,0),0),FALSE))</f>
        <v>1</v>
      </c>
      <c r="D2360" t="e">
        <f>VLOOKUP(Charms!J2360,Values!$A$11:$S$59,19,0)&gt;=Charms!L2360</f>
        <v>#N/A</v>
      </c>
      <c r="E2360" t="e">
        <f>OR(ISBLANK(Charms!I2360),(VLOOKUP(Values!$S$6,Castes!$B$2:$F$25,4,0)=Charms!I2360))</f>
        <v>#N/A</v>
      </c>
      <c r="J2360" t="e">
        <f t="shared" ca="1" si="181"/>
        <v>#N/A</v>
      </c>
      <c r="K2360" s="18" t="e">
        <f t="shared" ca="1" si="180"/>
        <v>#N/A</v>
      </c>
      <c r="L2360" t="e">
        <f ca="1">IF(J2360,Charms!B2360,"")</f>
        <v>#N/A</v>
      </c>
      <c r="M2360" t="str">
        <f t="shared" ca="1" si="182"/>
        <v>-</v>
      </c>
      <c r="N2360" s="18" t="str">
        <f t="shared" si="183"/>
        <v>K1622:L5000</v>
      </c>
      <c r="O2360" t="str">
        <f t="shared" si="184"/>
        <v>A1622:A2360</v>
      </c>
    </row>
    <row r="2361" spans="1:15">
      <c r="A2361" s="18">
        <f>Charms!K2361</f>
        <v>0</v>
      </c>
      <c r="B2361">
        <f>Charms!B2361</f>
        <v>0</v>
      </c>
      <c r="C2361" t="b">
        <f ca="1">OR(Values!$S$98&gt;=Charms!M2361,IFERROR(Charms!J2361=OFFSET(Values!$A$24,MATCH("S",Values!$T$25:$T$50,0),0),FALSE))</f>
        <v>1</v>
      </c>
      <c r="D2361" t="e">
        <f>VLOOKUP(Charms!J2361,Values!$A$11:$S$59,19,0)&gt;=Charms!L2361</f>
        <v>#N/A</v>
      </c>
      <c r="E2361" t="e">
        <f>OR(ISBLANK(Charms!I2361),(VLOOKUP(Values!$S$6,Castes!$B$2:$F$25,4,0)=Charms!I2361))</f>
        <v>#N/A</v>
      </c>
      <c r="J2361" t="e">
        <f t="shared" ca="1" si="181"/>
        <v>#N/A</v>
      </c>
      <c r="K2361" s="18" t="e">
        <f t="shared" ca="1" si="180"/>
        <v>#N/A</v>
      </c>
      <c r="L2361" t="e">
        <f ca="1">IF(J2361,Charms!B2361,"")</f>
        <v>#N/A</v>
      </c>
      <c r="M2361" t="str">
        <f t="shared" ca="1" si="182"/>
        <v>-</v>
      </c>
      <c r="N2361" s="18" t="str">
        <f t="shared" si="183"/>
        <v>K1622:L5000</v>
      </c>
      <c r="O2361" t="str">
        <f t="shared" si="184"/>
        <v>A1622:A2361</v>
      </c>
    </row>
    <row r="2362" spans="1:15">
      <c r="A2362" s="18">
        <f>Charms!K2362</f>
        <v>0</v>
      </c>
      <c r="B2362">
        <f>Charms!B2362</f>
        <v>0</v>
      </c>
      <c r="C2362" t="b">
        <f ca="1">OR(Values!$S$98&gt;=Charms!M2362,IFERROR(Charms!J2362=OFFSET(Values!$A$24,MATCH("S",Values!$T$25:$T$50,0),0),FALSE))</f>
        <v>1</v>
      </c>
      <c r="D2362" t="e">
        <f>VLOOKUP(Charms!J2362,Values!$A$11:$S$59,19,0)&gt;=Charms!L2362</f>
        <v>#N/A</v>
      </c>
      <c r="E2362" t="e">
        <f>OR(ISBLANK(Charms!I2362),(VLOOKUP(Values!$S$6,Castes!$B$2:$F$25,4,0)=Charms!I2362))</f>
        <v>#N/A</v>
      </c>
      <c r="J2362" t="e">
        <f t="shared" ca="1" si="181"/>
        <v>#N/A</v>
      </c>
      <c r="K2362" s="18" t="e">
        <f t="shared" ca="1" si="180"/>
        <v>#N/A</v>
      </c>
      <c r="L2362" t="e">
        <f ca="1">IF(J2362,Charms!B2362,"")</f>
        <v>#N/A</v>
      </c>
      <c r="M2362" t="str">
        <f t="shared" ca="1" si="182"/>
        <v>-</v>
      </c>
      <c r="N2362" s="18" t="str">
        <f t="shared" si="183"/>
        <v>K1622:L5000</v>
      </c>
      <c r="O2362" t="str">
        <f t="shared" si="184"/>
        <v>A1622:A2362</v>
      </c>
    </row>
    <row r="2363" spans="1:15">
      <c r="A2363" s="18">
        <f>Charms!K2363</f>
        <v>0</v>
      </c>
      <c r="B2363">
        <f>Charms!B2363</f>
        <v>0</v>
      </c>
      <c r="C2363" t="b">
        <f ca="1">OR(Values!$S$98&gt;=Charms!M2363,IFERROR(Charms!J2363=OFFSET(Values!$A$24,MATCH("S",Values!$T$25:$T$50,0),0),FALSE))</f>
        <v>1</v>
      </c>
      <c r="D2363" t="e">
        <f>VLOOKUP(Charms!J2363,Values!$A$11:$S$59,19,0)&gt;=Charms!L2363</f>
        <v>#N/A</v>
      </c>
      <c r="E2363" t="e">
        <f>OR(ISBLANK(Charms!I2363),(VLOOKUP(Values!$S$6,Castes!$B$2:$F$25,4,0)=Charms!I2363))</f>
        <v>#N/A</v>
      </c>
      <c r="J2363" t="e">
        <f t="shared" ca="1" si="181"/>
        <v>#N/A</v>
      </c>
      <c r="K2363" s="18" t="e">
        <f t="shared" ca="1" si="180"/>
        <v>#N/A</v>
      </c>
      <c r="L2363" t="e">
        <f ca="1">IF(J2363,Charms!B2363,"")</f>
        <v>#N/A</v>
      </c>
      <c r="M2363" t="str">
        <f t="shared" ca="1" si="182"/>
        <v>-</v>
      </c>
      <c r="N2363" s="18" t="str">
        <f t="shared" si="183"/>
        <v>K1622:L5000</v>
      </c>
      <c r="O2363" t="str">
        <f t="shared" si="184"/>
        <v>A1622:A2363</v>
      </c>
    </row>
    <row r="2364" spans="1:15">
      <c r="A2364" s="18">
        <f>Charms!K2364</f>
        <v>0</v>
      </c>
      <c r="B2364">
        <f>Charms!B2364</f>
        <v>0</v>
      </c>
      <c r="C2364" t="b">
        <f ca="1">OR(Values!$S$98&gt;=Charms!M2364,IFERROR(Charms!J2364=OFFSET(Values!$A$24,MATCH("S",Values!$T$25:$T$50,0),0),FALSE))</f>
        <v>1</v>
      </c>
      <c r="D2364" t="e">
        <f>VLOOKUP(Charms!J2364,Values!$A$11:$S$59,19,0)&gt;=Charms!L2364</f>
        <v>#N/A</v>
      </c>
      <c r="E2364" t="e">
        <f>OR(ISBLANK(Charms!I2364),(VLOOKUP(Values!$S$6,Castes!$B$2:$F$25,4,0)=Charms!I2364))</f>
        <v>#N/A</v>
      </c>
      <c r="J2364" t="e">
        <f t="shared" ca="1" si="181"/>
        <v>#N/A</v>
      </c>
      <c r="K2364" s="18" t="e">
        <f t="shared" ca="1" si="180"/>
        <v>#N/A</v>
      </c>
      <c r="L2364" t="e">
        <f ca="1">IF(J2364,Charms!B2364,"")</f>
        <v>#N/A</v>
      </c>
      <c r="M2364" t="str">
        <f t="shared" ca="1" si="182"/>
        <v>-</v>
      </c>
      <c r="N2364" s="18" t="str">
        <f t="shared" si="183"/>
        <v>K1622:L5000</v>
      </c>
      <c r="O2364" t="str">
        <f t="shared" si="184"/>
        <v>A1622:A2364</v>
      </c>
    </row>
    <row r="2365" spans="1:15">
      <c r="A2365" s="18">
        <f>Charms!K2365</f>
        <v>0</v>
      </c>
      <c r="B2365">
        <f>Charms!B2365</f>
        <v>0</v>
      </c>
      <c r="C2365" t="b">
        <f ca="1">OR(Values!$S$98&gt;=Charms!M2365,IFERROR(Charms!J2365=OFFSET(Values!$A$24,MATCH("S",Values!$T$25:$T$50,0),0),FALSE))</f>
        <v>1</v>
      </c>
      <c r="D2365" t="e">
        <f>VLOOKUP(Charms!J2365,Values!$A$11:$S$59,19,0)&gt;=Charms!L2365</f>
        <v>#N/A</v>
      </c>
      <c r="E2365" t="e">
        <f>OR(ISBLANK(Charms!I2365),(VLOOKUP(Values!$S$6,Castes!$B$2:$F$25,4,0)=Charms!I2365))</f>
        <v>#N/A</v>
      </c>
      <c r="J2365" t="e">
        <f t="shared" ca="1" si="181"/>
        <v>#N/A</v>
      </c>
      <c r="K2365" s="18" t="e">
        <f t="shared" ca="1" si="180"/>
        <v>#N/A</v>
      </c>
      <c r="L2365" t="e">
        <f ca="1">IF(J2365,Charms!B2365,"")</f>
        <v>#N/A</v>
      </c>
      <c r="M2365" t="str">
        <f t="shared" ca="1" si="182"/>
        <v>-</v>
      </c>
      <c r="N2365" s="18" t="str">
        <f t="shared" si="183"/>
        <v>K1622:L5000</v>
      </c>
      <c r="O2365" t="str">
        <f t="shared" si="184"/>
        <v>A1622:A2365</v>
      </c>
    </row>
    <row r="2366" spans="1:15">
      <c r="A2366" s="18">
        <f>Charms!K2366</f>
        <v>0</v>
      </c>
      <c r="B2366">
        <f>Charms!B2366</f>
        <v>0</v>
      </c>
      <c r="C2366" t="b">
        <f ca="1">OR(Values!$S$98&gt;=Charms!M2366,IFERROR(Charms!J2366=OFFSET(Values!$A$24,MATCH("S",Values!$T$25:$T$50,0),0),FALSE))</f>
        <v>1</v>
      </c>
      <c r="D2366" t="e">
        <f>VLOOKUP(Charms!J2366,Values!$A$11:$S$59,19,0)&gt;=Charms!L2366</f>
        <v>#N/A</v>
      </c>
      <c r="E2366" t="e">
        <f>OR(ISBLANK(Charms!I2366),(VLOOKUP(Values!$S$6,Castes!$B$2:$F$25,4,0)=Charms!I2366))</f>
        <v>#N/A</v>
      </c>
      <c r="J2366" t="e">
        <f t="shared" ca="1" si="181"/>
        <v>#N/A</v>
      </c>
      <c r="K2366" s="18" t="e">
        <f t="shared" ca="1" si="180"/>
        <v>#N/A</v>
      </c>
      <c r="L2366" t="e">
        <f ca="1">IF(J2366,Charms!B2366,"")</f>
        <v>#N/A</v>
      </c>
      <c r="M2366" t="str">
        <f t="shared" ca="1" si="182"/>
        <v>-</v>
      </c>
      <c r="N2366" s="18" t="str">
        <f t="shared" si="183"/>
        <v>K1622:L5000</v>
      </c>
      <c r="O2366" t="str">
        <f t="shared" si="184"/>
        <v>A1622:A2366</v>
      </c>
    </row>
    <row r="2367" spans="1:15">
      <c r="A2367" s="18">
        <f>Charms!K2367</f>
        <v>0</v>
      </c>
      <c r="B2367">
        <f>Charms!B2367</f>
        <v>0</v>
      </c>
      <c r="C2367" t="b">
        <f ca="1">OR(Values!$S$98&gt;=Charms!M2367,IFERROR(Charms!J2367=OFFSET(Values!$A$24,MATCH("S",Values!$T$25:$T$50,0),0),FALSE))</f>
        <v>1</v>
      </c>
      <c r="D2367" t="e">
        <f>VLOOKUP(Charms!J2367,Values!$A$11:$S$59,19,0)&gt;=Charms!L2367</f>
        <v>#N/A</v>
      </c>
      <c r="E2367" t="e">
        <f>OR(ISBLANK(Charms!I2367),(VLOOKUP(Values!$S$6,Castes!$B$2:$F$25,4,0)=Charms!I2367))</f>
        <v>#N/A</v>
      </c>
      <c r="J2367" t="e">
        <f t="shared" ca="1" si="181"/>
        <v>#N/A</v>
      </c>
      <c r="K2367" s="18" t="e">
        <f t="shared" ca="1" si="180"/>
        <v>#N/A</v>
      </c>
      <c r="L2367" t="e">
        <f ca="1">IF(J2367,Charms!B2367,"")</f>
        <v>#N/A</v>
      </c>
      <c r="M2367" t="str">
        <f t="shared" ca="1" si="182"/>
        <v>-</v>
      </c>
      <c r="N2367" s="18" t="str">
        <f t="shared" si="183"/>
        <v>K1622:L5000</v>
      </c>
      <c r="O2367" t="str">
        <f t="shared" si="184"/>
        <v>A1622:A2367</v>
      </c>
    </row>
    <row r="2368" spans="1:15">
      <c r="A2368" s="18">
        <f>Charms!K2368</f>
        <v>0</v>
      </c>
      <c r="B2368">
        <f>Charms!B2368</f>
        <v>0</v>
      </c>
      <c r="C2368" t="b">
        <f ca="1">OR(Values!$S$98&gt;=Charms!M2368,IFERROR(Charms!J2368=OFFSET(Values!$A$24,MATCH("S",Values!$T$25:$T$50,0),0),FALSE))</f>
        <v>1</v>
      </c>
      <c r="D2368" t="e">
        <f>VLOOKUP(Charms!J2368,Values!$A$11:$S$59,19,0)&gt;=Charms!L2368</f>
        <v>#N/A</v>
      </c>
      <c r="E2368" t="e">
        <f>OR(ISBLANK(Charms!I2368),(VLOOKUP(Values!$S$6,Castes!$B$2:$F$25,4,0)=Charms!I2368))</f>
        <v>#N/A</v>
      </c>
      <c r="J2368" t="e">
        <f t="shared" ca="1" si="181"/>
        <v>#N/A</v>
      </c>
      <c r="K2368" s="18" t="e">
        <f t="shared" ca="1" si="180"/>
        <v>#N/A</v>
      </c>
      <c r="L2368" t="e">
        <f ca="1">IF(J2368,Charms!B2368,"")</f>
        <v>#N/A</v>
      </c>
      <c r="M2368" t="str">
        <f t="shared" ca="1" si="182"/>
        <v>-</v>
      </c>
      <c r="N2368" s="18" t="str">
        <f t="shared" si="183"/>
        <v>K1622:L5000</v>
      </c>
      <c r="O2368" t="str">
        <f t="shared" si="184"/>
        <v>A1622:A2368</v>
      </c>
    </row>
    <row r="2369" spans="1:15">
      <c r="A2369" s="18">
        <f>Charms!K2369</f>
        <v>0</v>
      </c>
      <c r="B2369">
        <f>Charms!B2369</f>
        <v>0</v>
      </c>
      <c r="C2369" t="b">
        <f ca="1">OR(Values!$S$98&gt;=Charms!M2369,IFERROR(Charms!J2369=OFFSET(Values!$A$24,MATCH("S",Values!$T$25:$T$50,0),0),FALSE))</f>
        <v>1</v>
      </c>
      <c r="D2369" t="e">
        <f>VLOOKUP(Charms!J2369,Values!$A$11:$S$59,19,0)&gt;=Charms!L2369</f>
        <v>#N/A</v>
      </c>
      <c r="E2369" t="e">
        <f>OR(ISBLANK(Charms!I2369),(VLOOKUP(Values!$S$6,Castes!$B$2:$F$25,4,0)=Charms!I2369))</f>
        <v>#N/A</v>
      </c>
      <c r="J2369" t="e">
        <f t="shared" ca="1" si="181"/>
        <v>#N/A</v>
      </c>
      <c r="K2369" s="18" t="e">
        <f t="shared" ca="1" si="180"/>
        <v>#N/A</v>
      </c>
      <c r="L2369" t="e">
        <f ca="1">IF(J2369,Charms!B2369,"")</f>
        <v>#N/A</v>
      </c>
      <c r="M2369" t="str">
        <f t="shared" ca="1" si="182"/>
        <v>-</v>
      </c>
      <c r="N2369" s="18" t="str">
        <f t="shared" si="183"/>
        <v>K1622:L5000</v>
      </c>
      <c r="O2369" t="str">
        <f t="shared" si="184"/>
        <v>A1622:A2369</v>
      </c>
    </row>
    <row r="2370" spans="1:15">
      <c r="A2370" s="18">
        <f>Charms!K2370</f>
        <v>0</v>
      </c>
      <c r="B2370">
        <f>Charms!B2370</f>
        <v>0</v>
      </c>
      <c r="C2370" t="b">
        <f ca="1">OR(Values!$S$98&gt;=Charms!M2370,IFERROR(Charms!J2370=OFFSET(Values!$A$24,MATCH("S",Values!$T$25:$T$50,0),0),FALSE))</f>
        <v>1</v>
      </c>
      <c r="D2370" t="e">
        <f>VLOOKUP(Charms!J2370,Values!$A$11:$S$59,19,0)&gt;=Charms!L2370</f>
        <v>#N/A</v>
      </c>
      <c r="E2370" t="e">
        <f>OR(ISBLANK(Charms!I2370),(VLOOKUP(Values!$S$6,Castes!$B$2:$F$25,4,0)=Charms!I2370))</f>
        <v>#N/A</v>
      </c>
      <c r="J2370" t="e">
        <f t="shared" ca="1" si="181"/>
        <v>#N/A</v>
      </c>
      <c r="K2370" s="18" t="e">
        <f t="shared" ref="K2370:K2433" ca="1" si="185">IF(L2370="","",COUNTIF(INDIRECT("J"&amp;MATCH(A2370,A:A,0)&amp;":J"&amp;ROW()),J2370))</f>
        <v>#N/A</v>
      </c>
      <c r="L2370" t="e">
        <f ca="1">IF(J2370,Charms!B2370,"")</f>
        <v>#N/A</v>
      </c>
      <c r="M2370" t="str">
        <f t="shared" ca="1" si="182"/>
        <v>-</v>
      </c>
      <c r="N2370" s="18" t="str">
        <f t="shared" si="183"/>
        <v>K1622:L5000</v>
      </c>
      <c r="O2370" t="str">
        <f t="shared" si="184"/>
        <v>A1622:A2370</v>
      </c>
    </row>
    <row r="2371" spans="1:15">
      <c r="A2371" s="18">
        <f>Charms!K2371</f>
        <v>0</v>
      </c>
      <c r="B2371">
        <f>Charms!B2371</f>
        <v>0</v>
      </c>
      <c r="C2371" t="b">
        <f ca="1">OR(Values!$S$98&gt;=Charms!M2371,IFERROR(Charms!J2371=OFFSET(Values!$A$24,MATCH("S",Values!$T$25:$T$50,0),0),FALSE))</f>
        <v>1</v>
      </c>
      <c r="D2371" t="e">
        <f>VLOOKUP(Charms!J2371,Values!$A$11:$S$59,19,0)&gt;=Charms!L2371</f>
        <v>#N/A</v>
      </c>
      <c r="E2371" t="e">
        <f>OR(ISBLANK(Charms!I2371),(VLOOKUP(Values!$S$6,Castes!$B$2:$F$25,4,0)=Charms!I2371))</f>
        <v>#N/A</v>
      </c>
      <c r="J2371" t="e">
        <f t="shared" ref="J2371:J2434" ca="1" si="186">(C2371+D2371+E2371+F2371+G2371+H2371+I2371)=3</f>
        <v>#N/A</v>
      </c>
      <c r="K2371" s="18" t="e">
        <f t="shared" ca="1" si="185"/>
        <v>#N/A</v>
      </c>
      <c r="L2371" t="e">
        <f ca="1">IF(J2371,Charms!B2371,"")</f>
        <v>#N/A</v>
      </c>
      <c r="M2371" t="str">
        <f t="shared" ref="M2371:M2434" ca="1" si="187">IFERROR(VLOOKUP(COUNTIF(INDIRECT(O2371),A2371),INDIRECT(N2371),2,0),"-")</f>
        <v>-</v>
      </c>
      <c r="N2371" s="18" t="str">
        <f t="shared" ref="N2371:N2434" si="188">"K"&amp;MATCH(A2371,A:A,0)&amp;":L"&amp;(MATCH(A2371,A:A,0)+COUNTIF(A:A,A2371)-1)</f>
        <v>K1622:L5000</v>
      </c>
      <c r="O2371" t="str">
        <f t="shared" ref="O2371:O2434" si="189">"A"&amp;MATCH(A2371,A:A,0)&amp;":A"&amp;ROW()</f>
        <v>A1622:A2371</v>
      </c>
    </row>
    <row r="2372" spans="1:15">
      <c r="A2372" s="18">
        <f>Charms!K2372</f>
        <v>0</v>
      </c>
      <c r="B2372">
        <f>Charms!B2372</f>
        <v>0</v>
      </c>
      <c r="C2372" t="b">
        <f ca="1">OR(Values!$S$98&gt;=Charms!M2372,IFERROR(Charms!J2372=OFFSET(Values!$A$24,MATCH("S",Values!$T$25:$T$50,0),0),FALSE))</f>
        <v>1</v>
      </c>
      <c r="D2372" t="e">
        <f>VLOOKUP(Charms!J2372,Values!$A$11:$S$59,19,0)&gt;=Charms!L2372</f>
        <v>#N/A</v>
      </c>
      <c r="E2372" t="e">
        <f>OR(ISBLANK(Charms!I2372),(VLOOKUP(Values!$S$6,Castes!$B$2:$F$25,4,0)=Charms!I2372))</f>
        <v>#N/A</v>
      </c>
      <c r="J2372" t="e">
        <f t="shared" ca="1" si="186"/>
        <v>#N/A</v>
      </c>
      <c r="K2372" s="18" t="e">
        <f t="shared" ca="1" si="185"/>
        <v>#N/A</v>
      </c>
      <c r="L2372" t="e">
        <f ca="1">IF(J2372,Charms!B2372,"")</f>
        <v>#N/A</v>
      </c>
      <c r="M2372" t="str">
        <f t="shared" ca="1" si="187"/>
        <v>-</v>
      </c>
      <c r="N2372" s="18" t="str">
        <f t="shared" si="188"/>
        <v>K1622:L5000</v>
      </c>
      <c r="O2372" t="str">
        <f t="shared" si="189"/>
        <v>A1622:A2372</v>
      </c>
    </row>
    <row r="2373" spans="1:15">
      <c r="A2373" s="18">
        <f>Charms!K2373</f>
        <v>0</v>
      </c>
      <c r="B2373">
        <f>Charms!B2373</f>
        <v>0</v>
      </c>
      <c r="C2373" t="b">
        <f ca="1">OR(Values!$S$98&gt;=Charms!M2373,IFERROR(Charms!J2373=OFFSET(Values!$A$24,MATCH("S",Values!$T$25:$T$50,0),0),FALSE))</f>
        <v>1</v>
      </c>
      <c r="D2373" t="e">
        <f>VLOOKUP(Charms!J2373,Values!$A$11:$S$59,19,0)&gt;=Charms!L2373</f>
        <v>#N/A</v>
      </c>
      <c r="E2373" t="e">
        <f>OR(ISBLANK(Charms!I2373),(VLOOKUP(Values!$S$6,Castes!$B$2:$F$25,4,0)=Charms!I2373))</f>
        <v>#N/A</v>
      </c>
      <c r="J2373" t="e">
        <f t="shared" ca="1" si="186"/>
        <v>#N/A</v>
      </c>
      <c r="K2373" s="18" t="e">
        <f t="shared" ca="1" si="185"/>
        <v>#N/A</v>
      </c>
      <c r="L2373" t="e">
        <f ca="1">IF(J2373,Charms!B2373,"")</f>
        <v>#N/A</v>
      </c>
      <c r="M2373" t="str">
        <f t="shared" ca="1" si="187"/>
        <v>-</v>
      </c>
      <c r="N2373" s="18" t="str">
        <f t="shared" si="188"/>
        <v>K1622:L5000</v>
      </c>
      <c r="O2373" t="str">
        <f t="shared" si="189"/>
        <v>A1622:A2373</v>
      </c>
    </row>
    <row r="2374" spans="1:15">
      <c r="A2374" s="18">
        <f>Charms!K2374</f>
        <v>0</v>
      </c>
      <c r="B2374">
        <f>Charms!B2374</f>
        <v>0</v>
      </c>
      <c r="C2374" t="b">
        <f ca="1">OR(Values!$S$98&gt;=Charms!M2374,IFERROR(Charms!J2374=OFFSET(Values!$A$24,MATCH("S",Values!$T$25:$T$50,0),0),FALSE))</f>
        <v>1</v>
      </c>
      <c r="D2374" t="e">
        <f>VLOOKUP(Charms!J2374,Values!$A$11:$S$59,19,0)&gt;=Charms!L2374</f>
        <v>#N/A</v>
      </c>
      <c r="E2374" t="e">
        <f>OR(ISBLANK(Charms!I2374),(VLOOKUP(Values!$S$6,Castes!$B$2:$F$25,4,0)=Charms!I2374))</f>
        <v>#N/A</v>
      </c>
      <c r="J2374" t="e">
        <f t="shared" ca="1" si="186"/>
        <v>#N/A</v>
      </c>
      <c r="K2374" s="18" t="e">
        <f t="shared" ca="1" si="185"/>
        <v>#N/A</v>
      </c>
      <c r="L2374" t="e">
        <f ca="1">IF(J2374,Charms!B2374,"")</f>
        <v>#N/A</v>
      </c>
      <c r="M2374" t="str">
        <f t="shared" ca="1" si="187"/>
        <v>-</v>
      </c>
      <c r="N2374" s="18" t="str">
        <f t="shared" si="188"/>
        <v>K1622:L5000</v>
      </c>
      <c r="O2374" t="str">
        <f t="shared" si="189"/>
        <v>A1622:A2374</v>
      </c>
    </row>
    <row r="2375" spans="1:15">
      <c r="A2375" s="18">
        <f>Charms!K2375</f>
        <v>0</v>
      </c>
      <c r="B2375">
        <f>Charms!B2375</f>
        <v>0</v>
      </c>
      <c r="C2375" t="b">
        <f ca="1">OR(Values!$S$98&gt;=Charms!M2375,IFERROR(Charms!J2375=OFFSET(Values!$A$24,MATCH("S",Values!$T$25:$T$50,0),0),FALSE))</f>
        <v>1</v>
      </c>
      <c r="D2375" t="e">
        <f>VLOOKUP(Charms!J2375,Values!$A$11:$S$59,19,0)&gt;=Charms!L2375</f>
        <v>#N/A</v>
      </c>
      <c r="E2375" t="e">
        <f>OR(ISBLANK(Charms!I2375),(VLOOKUP(Values!$S$6,Castes!$B$2:$F$25,4,0)=Charms!I2375))</f>
        <v>#N/A</v>
      </c>
      <c r="J2375" t="e">
        <f t="shared" ca="1" si="186"/>
        <v>#N/A</v>
      </c>
      <c r="K2375" s="18" t="e">
        <f t="shared" ca="1" si="185"/>
        <v>#N/A</v>
      </c>
      <c r="L2375" t="e">
        <f ca="1">IF(J2375,Charms!B2375,"")</f>
        <v>#N/A</v>
      </c>
      <c r="M2375" t="str">
        <f t="shared" ca="1" si="187"/>
        <v>-</v>
      </c>
      <c r="N2375" s="18" t="str">
        <f t="shared" si="188"/>
        <v>K1622:L5000</v>
      </c>
      <c r="O2375" t="str">
        <f t="shared" si="189"/>
        <v>A1622:A2375</v>
      </c>
    </row>
    <row r="2376" spans="1:15">
      <c r="A2376" s="18">
        <f>Charms!K2376</f>
        <v>0</v>
      </c>
      <c r="B2376">
        <f>Charms!B2376</f>
        <v>0</v>
      </c>
      <c r="C2376" t="b">
        <f ca="1">OR(Values!$S$98&gt;=Charms!M2376,IFERROR(Charms!J2376=OFFSET(Values!$A$24,MATCH("S",Values!$T$25:$T$50,0),0),FALSE))</f>
        <v>1</v>
      </c>
      <c r="D2376" t="e">
        <f>VLOOKUP(Charms!J2376,Values!$A$11:$S$59,19,0)&gt;=Charms!L2376</f>
        <v>#N/A</v>
      </c>
      <c r="E2376" t="e">
        <f>OR(ISBLANK(Charms!I2376),(VLOOKUP(Values!$S$6,Castes!$B$2:$F$25,4,0)=Charms!I2376))</f>
        <v>#N/A</v>
      </c>
      <c r="J2376" t="e">
        <f t="shared" ca="1" si="186"/>
        <v>#N/A</v>
      </c>
      <c r="K2376" s="18" t="e">
        <f t="shared" ca="1" si="185"/>
        <v>#N/A</v>
      </c>
      <c r="L2376" t="e">
        <f ca="1">IF(J2376,Charms!B2376,"")</f>
        <v>#N/A</v>
      </c>
      <c r="M2376" t="str">
        <f t="shared" ca="1" si="187"/>
        <v>-</v>
      </c>
      <c r="N2376" s="18" t="str">
        <f t="shared" si="188"/>
        <v>K1622:L5000</v>
      </c>
      <c r="O2376" t="str">
        <f t="shared" si="189"/>
        <v>A1622:A2376</v>
      </c>
    </row>
    <row r="2377" spans="1:15">
      <c r="A2377" s="18">
        <f>Charms!K2377</f>
        <v>0</v>
      </c>
      <c r="B2377">
        <f>Charms!B2377</f>
        <v>0</v>
      </c>
      <c r="C2377" t="b">
        <f ca="1">OR(Values!$S$98&gt;=Charms!M2377,IFERROR(Charms!J2377=OFFSET(Values!$A$24,MATCH("S",Values!$T$25:$T$50,0),0),FALSE))</f>
        <v>1</v>
      </c>
      <c r="D2377" t="e">
        <f>VLOOKUP(Charms!J2377,Values!$A$11:$S$59,19,0)&gt;=Charms!L2377</f>
        <v>#N/A</v>
      </c>
      <c r="E2377" t="e">
        <f>OR(ISBLANK(Charms!I2377),(VLOOKUP(Values!$S$6,Castes!$B$2:$F$25,4,0)=Charms!I2377))</f>
        <v>#N/A</v>
      </c>
      <c r="J2377" t="e">
        <f t="shared" ca="1" si="186"/>
        <v>#N/A</v>
      </c>
      <c r="K2377" s="18" t="e">
        <f t="shared" ca="1" si="185"/>
        <v>#N/A</v>
      </c>
      <c r="L2377" t="e">
        <f ca="1">IF(J2377,Charms!B2377,"")</f>
        <v>#N/A</v>
      </c>
      <c r="M2377" t="str">
        <f t="shared" ca="1" si="187"/>
        <v>-</v>
      </c>
      <c r="N2377" s="18" t="str">
        <f t="shared" si="188"/>
        <v>K1622:L5000</v>
      </c>
      <c r="O2377" t="str">
        <f t="shared" si="189"/>
        <v>A1622:A2377</v>
      </c>
    </row>
    <row r="2378" spans="1:15">
      <c r="A2378" s="18">
        <f>Charms!K2378</f>
        <v>0</v>
      </c>
      <c r="B2378">
        <f>Charms!B2378</f>
        <v>0</v>
      </c>
      <c r="C2378" t="b">
        <f ca="1">OR(Values!$S$98&gt;=Charms!M2378,IFERROR(Charms!J2378=OFFSET(Values!$A$24,MATCH("S",Values!$T$25:$T$50,0),0),FALSE))</f>
        <v>1</v>
      </c>
      <c r="D2378" t="e">
        <f>VLOOKUP(Charms!J2378,Values!$A$11:$S$59,19,0)&gt;=Charms!L2378</f>
        <v>#N/A</v>
      </c>
      <c r="E2378" t="e">
        <f>OR(ISBLANK(Charms!I2378),(VLOOKUP(Values!$S$6,Castes!$B$2:$F$25,4,0)=Charms!I2378))</f>
        <v>#N/A</v>
      </c>
      <c r="J2378" t="e">
        <f t="shared" ca="1" si="186"/>
        <v>#N/A</v>
      </c>
      <c r="K2378" s="18" t="e">
        <f t="shared" ca="1" si="185"/>
        <v>#N/A</v>
      </c>
      <c r="L2378" t="e">
        <f ca="1">IF(J2378,Charms!B2378,"")</f>
        <v>#N/A</v>
      </c>
      <c r="M2378" t="str">
        <f t="shared" ca="1" si="187"/>
        <v>-</v>
      </c>
      <c r="N2378" s="18" t="str">
        <f t="shared" si="188"/>
        <v>K1622:L5000</v>
      </c>
      <c r="O2378" t="str">
        <f t="shared" si="189"/>
        <v>A1622:A2378</v>
      </c>
    </row>
    <row r="2379" spans="1:15">
      <c r="A2379" s="18">
        <f>Charms!K2379</f>
        <v>0</v>
      </c>
      <c r="B2379">
        <f>Charms!B2379</f>
        <v>0</v>
      </c>
      <c r="C2379" t="b">
        <f ca="1">OR(Values!$S$98&gt;=Charms!M2379,IFERROR(Charms!J2379=OFFSET(Values!$A$24,MATCH("S",Values!$T$25:$T$50,0),0),FALSE))</f>
        <v>1</v>
      </c>
      <c r="D2379" t="e">
        <f>VLOOKUP(Charms!J2379,Values!$A$11:$S$59,19,0)&gt;=Charms!L2379</f>
        <v>#N/A</v>
      </c>
      <c r="E2379" t="e">
        <f>OR(ISBLANK(Charms!I2379),(VLOOKUP(Values!$S$6,Castes!$B$2:$F$25,4,0)=Charms!I2379))</f>
        <v>#N/A</v>
      </c>
      <c r="J2379" t="e">
        <f t="shared" ca="1" si="186"/>
        <v>#N/A</v>
      </c>
      <c r="K2379" s="18" t="e">
        <f t="shared" ca="1" si="185"/>
        <v>#N/A</v>
      </c>
      <c r="L2379" t="e">
        <f ca="1">IF(J2379,Charms!B2379,"")</f>
        <v>#N/A</v>
      </c>
      <c r="M2379" t="str">
        <f t="shared" ca="1" si="187"/>
        <v>-</v>
      </c>
      <c r="N2379" s="18" t="str">
        <f t="shared" si="188"/>
        <v>K1622:L5000</v>
      </c>
      <c r="O2379" t="str">
        <f t="shared" si="189"/>
        <v>A1622:A2379</v>
      </c>
    </row>
    <row r="2380" spans="1:15">
      <c r="A2380" s="18">
        <f>Charms!K2380</f>
        <v>0</v>
      </c>
      <c r="B2380">
        <f>Charms!B2380</f>
        <v>0</v>
      </c>
      <c r="C2380" t="b">
        <f ca="1">OR(Values!$S$98&gt;=Charms!M2380,IFERROR(Charms!J2380=OFFSET(Values!$A$24,MATCH("S",Values!$T$25:$T$50,0),0),FALSE))</f>
        <v>1</v>
      </c>
      <c r="D2380" t="e">
        <f>VLOOKUP(Charms!J2380,Values!$A$11:$S$59,19,0)&gt;=Charms!L2380</f>
        <v>#N/A</v>
      </c>
      <c r="E2380" t="e">
        <f>OR(ISBLANK(Charms!I2380),(VLOOKUP(Values!$S$6,Castes!$B$2:$F$25,4,0)=Charms!I2380))</f>
        <v>#N/A</v>
      </c>
      <c r="J2380" t="e">
        <f t="shared" ca="1" si="186"/>
        <v>#N/A</v>
      </c>
      <c r="K2380" s="18" t="e">
        <f t="shared" ca="1" si="185"/>
        <v>#N/A</v>
      </c>
      <c r="L2380" t="e">
        <f ca="1">IF(J2380,Charms!B2380,"")</f>
        <v>#N/A</v>
      </c>
      <c r="M2380" t="str">
        <f t="shared" ca="1" si="187"/>
        <v>-</v>
      </c>
      <c r="N2380" s="18" t="str">
        <f t="shared" si="188"/>
        <v>K1622:L5000</v>
      </c>
      <c r="O2380" t="str">
        <f t="shared" si="189"/>
        <v>A1622:A2380</v>
      </c>
    </row>
    <row r="2381" spans="1:15">
      <c r="A2381" s="18">
        <f>Charms!K2381</f>
        <v>0</v>
      </c>
      <c r="B2381">
        <f>Charms!B2381</f>
        <v>0</v>
      </c>
      <c r="C2381" t="b">
        <f ca="1">OR(Values!$S$98&gt;=Charms!M2381,IFERROR(Charms!J2381=OFFSET(Values!$A$24,MATCH("S",Values!$T$25:$T$50,0),0),FALSE))</f>
        <v>1</v>
      </c>
      <c r="D2381" t="e">
        <f>VLOOKUP(Charms!J2381,Values!$A$11:$S$59,19,0)&gt;=Charms!L2381</f>
        <v>#N/A</v>
      </c>
      <c r="E2381" t="e">
        <f>OR(ISBLANK(Charms!I2381),(VLOOKUP(Values!$S$6,Castes!$B$2:$F$25,4,0)=Charms!I2381))</f>
        <v>#N/A</v>
      </c>
      <c r="J2381" t="e">
        <f t="shared" ca="1" si="186"/>
        <v>#N/A</v>
      </c>
      <c r="K2381" s="18" t="e">
        <f t="shared" ca="1" si="185"/>
        <v>#N/A</v>
      </c>
      <c r="L2381" t="e">
        <f ca="1">IF(J2381,Charms!B2381,"")</f>
        <v>#N/A</v>
      </c>
      <c r="M2381" t="str">
        <f t="shared" ca="1" si="187"/>
        <v>-</v>
      </c>
      <c r="N2381" s="18" t="str">
        <f t="shared" si="188"/>
        <v>K1622:L5000</v>
      </c>
      <c r="O2381" t="str">
        <f t="shared" si="189"/>
        <v>A1622:A2381</v>
      </c>
    </row>
    <row r="2382" spans="1:15">
      <c r="A2382" s="18">
        <f>Charms!K2382</f>
        <v>0</v>
      </c>
      <c r="B2382">
        <f>Charms!B2382</f>
        <v>0</v>
      </c>
      <c r="C2382" t="b">
        <f ca="1">OR(Values!$S$98&gt;=Charms!M2382,IFERROR(Charms!J2382=OFFSET(Values!$A$24,MATCH("S",Values!$T$25:$T$50,0),0),FALSE))</f>
        <v>1</v>
      </c>
      <c r="D2382" t="e">
        <f>VLOOKUP(Charms!J2382,Values!$A$11:$S$59,19,0)&gt;=Charms!L2382</f>
        <v>#N/A</v>
      </c>
      <c r="E2382" t="e">
        <f>OR(ISBLANK(Charms!I2382),(VLOOKUP(Values!$S$6,Castes!$B$2:$F$25,4,0)=Charms!I2382))</f>
        <v>#N/A</v>
      </c>
      <c r="J2382" t="e">
        <f t="shared" ca="1" si="186"/>
        <v>#N/A</v>
      </c>
      <c r="K2382" s="18" t="e">
        <f t="shared" ca="1" si="185"/>
        <v>#N/A</v>
      </c>
      <c r="L2382" t="e">
        <f ca="1">IF(J2382,Charms!B2382,"")</f>
        <v>#N/A</v>
      </c>
      <c r="M2382" t="str">
        <f t="shared" ca="1" si="187"/>
        <v>-</v>
      </c>
      <c r="N2382" s="18" t="str">
        <f t="shared" si="188"/>
        <v>K1622:L5000</v>
      </c>
      <c r="O2382" t="str">
        <f t="shared" si="189"/>
        <v>A1622:A2382</v>
      </c>
    </row>
    <row r="2383" spans="1:15">
      <c r="A2383" s="18">
        <f>Charms!K2383</f>
        <v>0</v>
      </c>
      <c r="B2383">
        <f>Charms!B2383</f>
        <v>0</v>
      </c>
      <c r="C2383" t="b">
        <f ca="1">OR(Values!$S$98&gt;=Charms!M2383,IFERROR(Charms!J2383=OFFSET(Values!$A$24,MATCH("S",Values!$T$25:$T$50,0),0),FALSE))</f>
        <v>1</v>
      </c>
      <c r="D2383" t="e">
        <f>VLOOKUP(Charms!J2383,Values!$A$11:$S$59,19,0)&gt;=Charms!L2383</f>
        <v>#N/A</v>
      </c>
      <c r="E2383" t="e">
        <f>OR(ISBLANK(Charms!I2383),(VLOOKUP(Values!$S$6,Castes!$B$2:$F$25,4,0)=Charms!I2383))</f>
        <v>#N/A</v>
      </c>
      <c r="J2383" t="e">
        <f t="shared" ca="1" si="186"/>
        <v>#N/A</v>
      </c>
      <c r="K2383" s="18" t="e">
        <f t="shared" ca="1" si="185"/>
        <v>#N/A</v>
      </c>
      <c r="L2383" t="e">
        <f ca="1">IF(J2383,Charms!B2383,"")</f>
        <v>#N/A</v>
      </c>
      <c r="M2383" t="str">
        <f t="shared" ca="1" si="187"/>
        <v>-</v>
      </c>
      <c r="N2383" s="18" t="str">
        <f t="shared" si="188"/>
        <v>K1622:L5000</v>
      </c>
      <c r="O2383" t="str">
        <f t="shared" si="189"/>
        <v>A1622:A2383</v>
      </c>
    </row>
    <row r="2384" spans="1:15">
      <c r="A2384" s="18">
        <f>Charms!K2384</f>
        <v>0</v>
      </c>
      <c r="B2384">
        <f>Charms!B2384</f>
        <v>0</v>
      </c>
      <c r="C2384" t="b">
        <f ca="1">OR(Values!$S$98&gt;=Charms!M2384,IFERROR(Charms!J2384=OFFSET(Values!$A$24,MATCH("S",Values!$T$25:$T$50,0),0),FALSE))</f>
        <v>1</v>
      </c>
      <c r="D2384" t="e">
        <f>VLOOKUP(Charms!J2384,Values!$A$11:$S$59,19,0)&gt;=Charms!L2384</f>
        <v>#N/A</v>
      </c>
      <c r="E2384" t="e">
        <f>OR(ISBLANK(Charms!I2384),(VLOOKUP(Values!$S$6,Castes!$B$2:$F$25,4,0)=Charms!I2384))</f>
        <v>#N/A</v>
      </c>
      <c r="J2384" t="e">
        <f t="shared" ca="1" si="186"/>
        <v>#N/A</v>
      </c>
      <c r="K2384" s="18" t="e">
        <f t="shared" ca="1" si="185"/>
        <v>#N/A</v>
      </c>
      <c r="L2384" t="e">
        <f ca="1">IF(J2384,Charms!B2384,"")</f>
        <v>#N/A</v>
      </c>
      <c r="M2384" t="str">
        <f t="shared" ca="1" si="187"/>
        <v>-</v>
      </c>
      <c r="N2384" s="18" t="str">
        <f t="shared" si="188"/>
        <v>K1622:L5000</v>
      </c>
      <c r="O2384" t="str">
        <f t="shared" si="189"/>
        <v>A1622:A2384</v>
      </c>
    </row>
    <row r="2385" spans="1:15">
      <c r="A2385" s="18">
        <f>Charms!K2385</f>
        <v>0</v>
      </c>
      <c r="B2385">
        <f>Charms!B2385</f>
        <v>0</v>
      </c>
      <c r="C2385" t="b">
        <f ca="1">OR(Values!$S$98&gt;=Charms!M2385,IFERROR(Charms!J2385=OFFSET(Values!$A$24,MATCH("S",Values!$T$25:$T$50,0),0),FALSE))</f>
        <v>1</v>
      </c>
      <c r="D2385" t="e">
        <f>VLOOKUP(Charms!J2385,Values!$A$11:$S$59,19,0)&gt;=Charms!L2385</f>
        <v>#N/A</v>
      </c>
      <c r="E2385" t="e">
        <f>OR(ISBLANK(Charms!I2385),(VLOOKUP(Values!$S$6,Castes!$B$2:$F$25,4,0)=Charms!I2385))</f>
        <v>#N/A</v>
      </c>
      <c r="J2385" t="e">
        <f t="shared" ca="1" si="186"/>
        <v>#N/A</v>
      </c>
      <c r="K2385" s="18" t="e">
        <f t="shared" ca="1" si="185"/>
        <v>#N/A</v>
      </c>
      <c r="L2385" t="e">
        <f ca="1">IF(J2385,Charms!B2385,"")</f>
        <v>#N/A</v>
      </c>
      <c r="M2385" t="str">
        <f t="shared" ca="1" si="187"/>
        <v>-</v>
      </c>
      <c r="N2385" s="18" t="str">
        <f t="shared" si="188"/>
        <v>K1622:L5000</v>
      </c>
      <c r="O2385" t="str">
        <f t="shared" si="189"/>
        <v>A1622:A2385</v>
      </c>
    </row>
    <row r="2386" spans="1:15">
      <c r="A2386" s="18">
        <f>Charms!K2386</f>
        <v>0</v>
      </c>
      <c r="B2386">
        <f>Charms!B2386</f>
        <v>0</v>
      </c>
      <c r="C2386" t="b">
        <f ca="1">OR(Values!$S$98&gt;=Charms!M2386,IFERROR(Charms!J2386=OFFSET(Values!$A$24,MATCH("S",Values!$T$25:$T$50,0),0),FALSE))</f>
        <v>1</v>
      </c>
      <c r="D2386" t="e">
        <f>VLOOKUP(Charms!J2386,Values!$A$11:$S$59,19,0)&gt;=Charms!L2386</f>
        <v>#N/A</v>
      </c>
      <c r="E2386" t="e">
        <f>OR(ISBLANK(Charms!I2386),(VLOOKUP(Values!$S$6,Castes!$B$2:$F$25,4,0)=Charms!I2386))</f>
        <v>#N/A</v>
      </c>
      <c r="J2386" t="e">
        <f t="shared" ca="1" si="186"/>
        <v>#N/A</v>
      </c>
      <c r="K2386" s="18" t="e">
        <f t="shared" ca="1" si="185"/>
        <v>#N/A</v>
      </c>
      <c r="L2386" t="e">
        <f ca="1">IF(J2386,Charms!B2386,"")</f>
        <v>#N/A</v>
      </c>
      <c r="M2386" t="str">
        <f t="shared" ca="1" si="187"/>
        <v>-</v>
      </c>
      <c r="N2386" s="18" t="str">
        <f t="shared" si="188"/>
        <v>K1622:L5000</v>
      </c>
      <c r="O2386" t="str">
        <f t="shared" si="189"/>
        <v>A1622:A2386</v>
      </c>
    </row>
    <row r="2387" spans="1:15">
      <c r="A2387" s="18">
        <f>Charms!K2387</f>
        <v>0</v>
      </c>
      <c r="B2387">
        <f>Charms!B2387</f>
        <v>0</v>
      </c>
      <c r="C2387" t="b">
        <f ca="1">OR(Values!$S$98&gt;=Charms!M2387,IFERROR(Charms!J2387=OFFSET(Values!$A$24,MATCH("S",Values!$T$25:$T$50,0),0),FALSE))</f>
        <v>1</v>
      </c>
      <c r="D2387" t="e">
        <f>VLOOKUP(Charms!J2387,Values!$A$11:$S$59,19,0)&gt;=Charms!L2387</f>
        <v>#N/A</v>
      </c>
      <c r="E2387" t="e">
        <f>OR(ISBLANK(Charms!I2387),(VLOOKUP(Values!$S$6,Castes!$B$2:$F$25,4,0)=Charms!I2387))</f>
        <v>#N/A</v>
      </c>
      <c r="J2387" t="e">
        <f t="shared" ca="1" si="186"/>
        <v>#N/A</v>
      </c>
      <c r="K2387" s="18" t="e">
        <f t="shared" ca="1" si="185"/>
        <v>#N/A</v>
      </c>
      <c r="L2387" t="e">
        <f ca="1">IF(J2387,Charms!B2387,"")</f>
        <v>#N/A</v>
      </c>
      <c r="M2387" t="str">
        <f t="shared" ca="1" si="187"/>
        <v>-</v>
      </c>
      <c r="N2387" s="18" t="str">
        <f t="shared" si="188"/>
        <v>K1622:L5000</v>
      </c>
      <c r="O2387" t="str">
        <f t="shared" si="189"/>
        <v>A1622:A2387</v>
      </c>
    </row>
    <row r="2388" spans="1:15">
      <c r="A2388" s="18">
        <f>Charms!K2388</f>
        <v>0</v>
      </c>
      <c r="B2388">
        <f>Charms!B2388</f>
        <v>0</v>
      </c>
      <c r="C2388" t="b">
        <f ca="1">OR(Values!$S$98&gt;=Charms!M2388,IFERROR(Charms!J2388=OFFSET(Values!$A$24,MATCH("S",Values!$T$25:$T$50,0),0),FALSE))</f>
        <v>1</v>
      </c>
      <c r="D2388" t="e">
        <f>VLOOKUP(Charms!J2388,Values!$A$11:$S$59,19,0)&gt;=Charms!L2388</f>
        <v>#N/A</v>
      </c>
      <c r="E2388" t="e">
        <f>OR(ISBLANK(Charms!I2388),(VLOOKUP(Values!$S$6,Castes!$B$2:$F$25,4,0)=Charms!I2388))</f>
        <v>#N/A</v>
      </c>
      <c r="J2388" t="e">
        <f t="shared" ca="1" si="186"/>
        <v>#N/A</v>
      </c>
      <c r="K2388" s="18" t="e">
        <f t="shared" ca="1" si="185"/>
        <v>#N/A</v>
      </c>
      <c r="L2388" t="e">
        <f ca="1">IF(J2388,Charms!B2388,"")</f>
        <v>#N/A</v>
      </c>
      <c r="M2388" t="str">
        <f t="shared" ca="1" si="187"/>
        <v>-</v>
      </c>
      <c r="N2388" s="18" t="str">
        <f t="shared" si="188"/>
        <v>K1622:L5000</v>
      </c>
      <c r="O2388" t="str">
        <f t="shared" si="189"/>
        <v>A1622:A2388</v>
      </c>
    </row>
    <row r="2389" spans="1:15">
      <c r="A2389" s="18">
        <f>Charms!K2389</f>
        <v>0</v>
      </c>
      <c r="B2389">
        <f>Charms!B2389</f>
        <v>0</v>
      </c>
      <c r="C2389" t="b">
        <f ca="1">OR(Values!$S$98&gt;=Charms!M2389,IFERROR(Charms!J2389=OFFSET(Values!$A$24,MATCH("S",Values!$T$25:$T$50,0),0),FALSE))</f>
        <v>1</v>
      </c>
      <c r="D2389" t="e">
        <f>VLOOKUP(Charms!J2389,Values!$A$11:$S$59,19,0)&gt;=Charms!L2389</f>
        <v>#N/A</v>
      </c>
      <c r="E2389" t="e">
        <f>OR(ISBLANK(Charms!I2389),(VLOOKUP(Values!$S$6,Castes!$B$2:$F$25,4,0)=Charms!I2389))</f>
        <v>#N/A</v>
      </c>
      <c r="J2389" t="e">
        <f t="shared" ca="1" si="186"/>
        <v>#N/A</v>
      </c>
      <c r="K2389" s="18" t="e">
        <f t="shared" ca="1" si="185"/>
        <v>#N/A</v>
      </c>
      <c r="L2389" t="e">
        <f ca="1">IF(J2389,Charms!B2389,"")</f>
        <v>#N/A</v>
      </c>
      <c r="M2389" t="str">
        <f t="shared" ca="1" si="187"/>
        <v>-</v>
      </c>
      <c r="N2389" s="18" t="str">
        <f t="shared" si="188"/>
        <v>K1622:L5000</v>
      </c>
      <c r="O2389" t="str">
        <f t="shared" si="189"/>
        <v>A1622:A2389</v>
      </c>
    </row>
    <row r="2390" spans="1:15">
      <c r="A2390" s="18">
        <f>Charms!K2390</f>
        <v>0</v>
      </c>
      <c r="B2390">
        <f>Charms!B2390</f>
        <v>0</v>
      </c>
      <c r="C2390" t="b">
        <f ca="1">OR(Values!$S$98&gt;=Charms!M2390,IFERROR(Charms!J2390=OFFSET(Values!$A$24,MATCH("S",Values!$T$25:$T$50,0),0),FALSE))</f>
        <v>1</v>
      </c>
      <c r="D2390" t="e">
        <f>VLOOKUP(Charms!J2390,Values!$A$11:$S$59,19,0)&gt;=Charms!L2390</f>
        <v>#N/A</v>
      </c>
      <c r="E2390" t="e">
        <f>OR(ISBLANK(Charms!I2390),(VLOOKUP(Values!$S$6,Castes!$B$2:$F$25,4,0)=Charms!I2390))</f>
        <v>#N/A</v>
      </c>
      <c r="J2390" t="e">
        <f t="shared" ca="1" si="186"/>
        <v>#N/A</v>
      </c>
      <c r="K2390" s="18" t="e">
        <f t="shared" ca="1" si="185"/>
        <v>#N/A</v>
      </c>
      <c r="L2390" t="e">
        <f ca="1">IF(J2390,Charms!B2390,"")</f>
        <v>#N/A</v>
      </c>
      <c r="M2390" t="str">
        <f t="shared" ca="1" si="187"/>
        <v>-</v>
      </c>
      <c r="N2390" s="18" t="str">
        <f t="shared" si="188"/>
        <v>K1622:L5000</v>
      </c>
      <c r="O2390" t="str">
        <f t="shared" si="189"/>
        <v>A1622:A2390</v>
      </c>
    </row>
    <row r="2391" spans="1:15">
      <c r="A2391" s="18">
        <f>Charms!K2391</f>
        <v>0</v>
      </c>
      <c r="B2391">
        <f>Charms!B2391</f>
        <v>0</v>
      </c>
      <c r="C2391" t="b">
        <f ca="1">OR(Values!$S$98&gt;=Charms!M2391,IFERROR(Charms!J2391=OFFSET(Values!$A$24,MATCH("S",Values!$T$25:$T$50,0),0),FALSE))</f>
        <v>1</v>
      </c>
      <c r="D2391" t="e">
        <f>VLOOKUP(Charms!J2391,Values!$A$11:$S$59,19,0)&gt;=Charms!L2391</f>
        <v>#N/A</v>
      </c>
      <c r="E2391" t="e">
        <f>OR(ISBLANK(Charms!I2391),(VLOOKUP(Values!$S$6,Castes!$B$2:$F$25,4,0)=Charms!I2391))</f>
        <v>#N/A</v>
      </c>
      <c r="J2391" t="e">
        <f t="shared" ca="1" si="186"/>
        <v>#N/A</v>
      </c>
      <c r="K2391" s="18" t="e">
        <f t="shared" ca="1" si="185"/>
        <v>#N/A</v>
      </c>
      <c r="L2391" t="e">
        <f ca="1">IF(J2391,Charms!B2391,"")</f>
        <v>#N/A</v>
      </c>
      <c r="M2391" t="str">
        <f t="shared" ca="1" si="187"/>
        <v>-</v>
      </c>
      <c r="N2391" s="18" t="str">
        <f t="shared" si="188"/>
        <v>K1622:L5000</v>
      </c>
      <c r="O2391" t="str">
        <f t="shared" si="189"/>
        <v>A1622:A2391</v>
      </c>
    </row>
    <row r="2392" spans="1:15">
      <c r="A2392" s="18">
        <f>Charms!K2392</f>
        <v>0</v>
      </c>
      <c r="B2392">
        <f>Charms!B2392</f>
        <v>0</v>
      </c>
      <c r="C2392" t="b">
        <f ca="1">OR(Values!$S$98&gt;=Charms!M2392,IFERROR(Charms!J2392=OFFSET(Values!$A$24,MATCH("S",Values!$T$25:$T$50,0),0),FALSE))</f>
        <v>1</v>
      </c>
      <c r="D2392" t="e">
        <f>VLOOKUP(Charms!J2392,Values!$A$11:$S$59,19,0)&gt;=Charms!L2392</f>
        <v>#N/A</v>
      </c>
      <c r="E2392" t="e">
        <f>OR(ISBLANK(Charms!I2392),(VLOOKUP(Values!$S$6,Castes!$B$2:$F$25,4,0)=Charms!I2392))</f>
        <v>#N/A</v>
      </c>
      <c r="J2392" t="e">
        <f t="shared" ca="1" si="186"/>
        <v>#N/A</v>
      </c>
      <c r="K2392" s="18" t="e">
        <f t="shared" ca="1" si="185"/>
        <v>#N/A</v>
      </c>
      <c r="L2392" t="e">
        <f ca="1">IF(J2392,Charms!B2392,"")</f>
        <v>#N/A</v>
      </c>
      <c r="M2392" t="str">
        <f t="shared" ca="1" si="187"/>
        <v>-</v>
      </c>
      <c r="N2392" s="18" t="str">
        <f t="shared" si="188"/>
        <v>K1622:L5000</v>
      </c>
      <c r="O2392" t="str">
        <f t="shared" si="189"/>
        <v>A1622:A2392</v>
      </c>
    </row>
    <row r="2393" spans="1:15">
      <c r="A2393" s="18">
        <f>Charms!K2393</f>
        <v>0</v>
      </c>
      <c r="B2393">
        <f>Charms!B2393</f>
        <v>0</v>
      </c>
      <c r="C2393" t="b">
        <f ca="1">OR(Values!$S$98&gt;=Charms!M2393,IFERROR(Charms!J2393=OFFSET(Values!$A$24,MATCH("S",Values!$T$25:$T$50,0),0),FALSE))</f>
        <v>1</v>
      </c>
      <c r="D2393" t="e">
        <f>VLOOKUP(Charms!J2393,Values!$A$11:$S$59,19,0)&gt;=Charms!L2393</f>
        <v>#N/A</v>
      </c>
      <c r="E2393" t="e">
        <f>OR(ISBLANK(Charms!I2393),(VLOOKUP(Values!$S$6,Castes!$B$2:$F$25,4,0)=Charms!I2393))</f>
        <v>#N/A</v>
      </c>
      <c r="J2393" t="e">
        <f t="shared" ca="1" si="186"/>
        <v>#N/A</v>
      </c>
      <c r="K2393" s="18" t="e">
        <f t="shared" ca="1" si="185"/>
        <v>#N/A</v>
      </c>
      <c r="L2393" t="e">
        <f ca="1">IF(J2393,Charms!B2393,"")</f>
        <v>#N/A</v>
      </c>
      <c r="M2393" t="str">
        <f t="shared" ca="1" si="187"/>
        <v>-</v>
      </c>
      <c r="N2393" s="18" t="str">
        <f t="shared" si="188"/>
        <v>K1622:L5000</v>
      </c>
      <c r="O2393" t="str">
        <f t="shared" si="189"/>
        <v>A1622:A2393</v>
      </c>
    </row>
    <row r="2394" spans="1:15">
      <c r="A2394" s="18">
        <f>Charms!K2394</f>
        <v>0</v>
      </c>
      <c r="B2394">
        <f>Charms!B2394</f>
        <v>0</v>
      </c>
      <c r="C2394" t="b">
        <f ca="1">OR(Values!$S$98&gt;=Charms!M2394,IFERROR(Charms!J2394=OFFSET(Values!$A$24,MATCH("S",Values!$T$25:$T$50,0),0),FALSE))</f>
        <v>1</v>
      </c>
      <c r="D2394" t="e">
        <f>VLOOKUP(Charms!J2394,Values!$A$11:$S$59,19,0)&gt;=Charms!L2394</f>
        <v>#N/A</v>
      </c>
      <c r="E2394" t="e">
        <f>OR(ISBLANK(Charms!I2394),(VLOOKUP(Values!$S$6,Castes!$B$2:$F$25,4,0)=Charms!I2394))</f>
        <v>#N/A</v>
      </c>
      <c r="J2394" t="e">
        <f t="shared" ca="1" si="186"/>
        <v>#N/A</v>
      </c>
      <c r="K2394" s="18" t="e">
        <f t="shared" ca="1" si="185"/>
        <v>#N/A</v>
      </c>
      <c r="L2394" t="e">
        <f ca="1">IF(J2394,Charms!B2394,"")</f>
        <v>#N/A</v>
      </c>
      <c r="M2394" t="str">
        <f t="shared" ca="1" si="187"/>
        <v>-</v>
      </c>
      <c r="N2394" s="18" t="str">
        <f t="shared" si="188"/>
        <v>K1622:L5000</v>
      </c>
      <c r="O2394" t="str">
        <f t="shared" si="189"/>
        <v>A1622:A2394</v>
      </c>
    </row>
    <row r="2395" spans="1:15">
      <c r="A2395" s="18">
        <f>Charms!K2395</f>
        <v>0</v>
      </c>
      <c r="B2395">
        <f>Charms!B2395</f>
        <v>0</v>
      </c>
      <c r="C2395" t="b">
        <f ca="1">OR(Values!$S$98&gt;=Charms!M2395,IFERROR(Charms!J2395=OFFSET(Values!$A$24,MATCH("S",Values!$T$25:$T$50,0),0),FALSE))</f>
        <v>1</v>
      </c>
      <c r="D2395" t="e">
        <f>VLOOKUP(Charms!J2395,Values!$A$11:$S$59,19,0)&gt;=Charms!L2395</f>
        <v>#N/A</v>
      </c>
      <c r="E2395" t="e">
        <f>OR(ISBLANK(Charms!I2395),(VLOOKUP(Values!$S$6,Castes!$B$2:$F$25,4,0)=Charms!I2395))</f>
        <v>#N/A</v>
      </c>
      <c r="J2395" t="e">
        <f t="shared" ca="1" si="186"/>
        <v>#N/A</v>
      </c>
      <c r="K2395" s="18" t="e">
        <f t="shared" ca="1" si="185"/>
        <v>#N/A</v>
      </c>
      <c r="L2395" t="e">
        <f ca="1">IF(J2395,Charms!B2395,"")</f>
        <v>#N/A</v>
      </c>
      <c r="M2395" t="str">
        <f t="shared" ca="1" si="187"/>
        <v>-</v>
      </c>
      <c r="N2395" s="18" t="str">
        <f t="shared" si="188"/>
        <v>K1622:L5000</v>
      </c>
      <c r="O2395" t="str">
        <f t="shared" si="189"/>
        <v>A1622:A2395</v>
      </c>
    </row>
    <row r="2396" spans="1:15">
      <c r="A2396" s="18">
        <f>Charms!K2396</f>
        <v>0</v>
      </c>
      <c r="B2396">
        <f>Charms!B2396</f>
        <v>0</v>
      </c>
      <c r="C2396" t="b">
        <f ca="1">OR(Values!$S$98&gt;=Charms!M2396,IFERROR(Charms!J2396=OFFSET(Values!$A$24,MATCH("S",Values!$T$25:$T$50,0),0),FALSE))</f>
        <v>1</v>
      </c>
      <c r="D2396" t="e">
        <f>VLOOKUP(Charms!J2396,Values!$A$11:$S$59,19,0)&gt;=Charms!L2396</f>
        <v>#N/A</v>
      </c>
      <c r="E2396" t="e">
        <f>OR(ISBLANK(Charms!I2396),(VLOOKUP(Values!$S$6,Castes!$B$2:$F$25,4,0)=Charms!I2396))</f>
        <v>#N/A</v>
      </c>
      <c r="J2396" t="e">
        <f t="shared" ca="1" si="186"/>
        <v>#N/A</v>
      </c>
      <c r="K2396" s="18" t="e">
        <f t="shared" ca="1" si="185"/>
        <v>#N/A</v>
      </c>
      <c r="L2396" t="e">
        <f ca="1">IF(J2396,Charms!B2396,"")</f>
        <v>#N/A</v>
      </c>
      <c r="M2396" t="str">
        <f t="shared" ca="1" si="187"/>
        <v>-</v>
      </c>
      <c r="N2396" s="18" t="str">
        <f t="shared" si="188"/>
        <v>K1622:L5000</v>
      </c>
      <c r="O2396" t="str">
        <f t="shared" si="189"/>
        <v>A1622:A2396</v>
      </c>
    </row>
    <row r="2397" spans="1:15">
      <c r="A2397" s="18">
        <f>Charms!K2397</f>
        <v>0</v>
      </c>
      <c r="B2397">
        <f>Charms!B2397</f>
        <v>0</v>
      </c>
      <c r="C2397" t="b">
        <f ca="1">OR(Values!$S$98&gt;=Charms!M2397,IFERROR(Charms!J2397=OFFSET(Values!$A$24,MATCH("S",Values!$T$25:$T$50,0),0),FALSE))</f>
        <v>1</v>
      </c>
      <c r="D2397" t="e">
        <f>VLOOKUP(Charms!J2397,Values!$A$11:$S$59,19,0)&gt;=Charms!L2397</f>
        <v>#N/A</v>
      </c>
      <c r="E2397" t="e">
        <f>OR(ISBLANK(Charms!I2397),(VLOOKUP(Values!$S$6,Castes!$B$2:$F$25,4,0)=Charms!I2397))</f>
        <v>#N/A</v>
      </c>
      <c r="J2397" t="e">
        <f t="shared" ca="1" si="186"/>
        <v>#N/A</v>
      </c>
      <c r="K2397" s="18" t="e">
        <f t="shared" ca="1" si="185"/>
        <v>#N/A</v>
      </c>
      <c r="L2397" t="e">
        <f ca="1">IF(J2397,Charms!B2397,"")</f>
        <v>#N/A</v>
      </c>
      <c r="M2397" t="str">
        <f t="shared" ca="1" si="187"/>
        <v>-</v>
      </c>
      <c r="N2397" s="18" t="str">
        <f t="shared" si="188"/>
        <v>K1622:L5000</v>
      </c>
      <c r="O2397" t="str">
        <f t="shared" si="189"/>
        <v>A1622:A2397</v>
      </c>
    </row>
    <row r="2398" spans="1:15">
      <c r="A2398" s="18">
        <f>Charms!K2398</f>
        <v>0</v>
      </c>
      <c r="B2398">
        <f>Charms!B2398</f>
        <v>0</v>
      </c>
      <c r="C2398" t="b">
        <f ca="1">OR(Values!$S$98&gt;=Charms!M2398,IFERROR(Charms!J2398=OFFSET(Values!$A$24,MATCH("S",Values!$T$25:$T$50,0),0),FALSE))</f>
        <v>1</v>
      </c>
      <c r="D2398" t="e">
        <f>VLOOKUP(Charms!J2398,Values!$A$11:$S$59,19,0)&gt;=Charms!L2398</f>
        <v>#N/A</v>
      </c>
      <c r="E2398" t="e">
        <f>OR(ISBLANK(Charms!I2398),(VLOOKUP(Values!$S$6,Castes!$B$2:$F$25,4,0)=Charms!I2398))</f>
        <v>#N/A</v>
      </c>
      <c r="J2398" t="e">
        <f t="shared" ca="1" si="186"/>
        <v>#N/A</v>
      </c>
      <c r="K2398" s="18" t="e">
        <f t="shared" ca="1" si="185"/>
        <v>#N/A</v>
      </c>
      <c r="L2398" t="e">
        <f ca="1">IF(J2398,Charms!B2398,"")</f>
        <v>#N/A</v>
      </c>
      <c r="M2398" t="str">
        <f t="shared" ca="1" si="187"/>
        <v>-</v>
      </c>
      <c r="N2398" s="18" t="str">
        <f t="shared" si="188"/>
        <v>K1622:L5000</v>
      </c>
      <c r="O2398" t="str">
        <f t="shared" si="189"/>
        <v>A1622:A2398</v>
      </c>
    </row>
    <row r="2399" spans="1:15">
      <c r="A2399" s="18">
        <f>Charms!K2399</f>
        <v>0</v>
      </c>
      <c r="B2399">
        <f>Charms!B2399</f>
        <v>0</v>
      </c>
      <c r="C2399" t="b">
        <f ca="1">OR(Values!$S$98&gt;=Charms!M2399,IFERROR(Charms!J2399=OFFSET(Values!$A$24,MATCH("S",Values!$T$25:$T$50,0),0),FALSE))</f>
        <v>1</v>
      </c>
      <c r="D2399" t="e">
        <f>VLOOKUP(Charms!J2399,Values!$A$11:$S$59,19,0)&gt;=Charms!L2399</f>
        <v>#N/A</v>
      </c>
      <c r="E2399" t="e">
        <f>OR(ISBLANK(Charms!I2399),(VLOOKUP(Values!$S$6,Castes!$B$2:$F$25,4,0)=Charms!I2399))</f>
        <v>#N/A</v>
      </c>
      <c r="J2399" t="e">
        <f t="shared" ca="1" si="186"/>
        <v>#N/A</v>
      </c>
      <c r="K2399" s="18" t="e">
        <f t="shared" ca="1" si="185"/>
        <v>#N/A</v>
      </c>
      <c r="L2399" t="e">
        <f ca="1">IF(J2399,Charms!B2399,"")</f>
        <v>#N/A</v>
      </c>
      <c r="M2399" t="str">
        <f t="shared" ca="1" si="187"/>
        <v>-</v>
      </c>
      <c r="N2399" s="18" t="str">
        <f t="shared" si="188"/>
        <v>K1622:L5000</v>
      </c>
      <c r="O2399" t="str">
        <f t="shared" si="189"/>
        <v>A1622:A2399</v>
      </c>
    </row>
    <row r="2400" spans="1:15">
      <c r="A2400" s="18">
        <f>Charms!K2400</f>
        <v>0</v>
      </c>
      <c r="B2400">
        <f>Charms!B2400</f>
        <v>0</v>
      </c>
      <c r="C2400" t="b">
        <f ca="1">OR(Values!$S$98&gt;=Charms!M2400,IFERROR(Charms!J2400=OFFSET(Values!$A$24,MATCH("S",Values!$T$25:$T$50,0),0),FALSE))</f>
        <v>1</v>
      </c>
      <c r="D2400" t="e">
        <f>VLOOKUP(Charms!J2400,Values!$A$11:$S$59,19,0)&gt;=Charms!L2400</f>
        <v>#N/A</v>
      </c>
      <c r="E2400" t="e">
        <f>OR(ISBLANK(Charms!I2400),(VLOOKUP(Values!$S$6,Castes!$B$2:$F$25,4,0)=Charms!I2400))</f>
        <v>#N/A</v>
      </c>
      <c r="J2400" t="e">
        <f t="shared" ca="1" si="186"/>
        <v>#N/A</v>
      </c>
      <c r="K2400" s="18" t="e">
        <f t="shared" ca="1" si="185"/>
        <v>#N/A</v>
      </c>
      <c r="L2400" t="e">
        <f ca="1">IF(J2400,Charms!B2400,"")</f>
        <v>#N/A</v>
      </c>
      <c r="M2400" t="str">
        <f t="shared" ca="1" si="187"/>
        <v>-</v>
      </c>
      <c r="N2400" s="18" t="str">
        <f t="shared" si="188"/>
        <v>K1622:L5000</v>
      </c>
      <c r="O2400" t="str">
        <f t="shared" si="189"/>
        <v>A1622:A2400</v>
      </c>
    </row>
    <row r="2401" spans="1:15">
      <c r="A2401" s="18">
        <f>Charms!K2401</f>
        <v>0</v>
      </c>
      <c r="B2401">
        <f>Charms!B2401</f>
        <v>0</v>
      </c>
      <c r="C2401" t="b">
        <f ca="1">OR(Values!$S$98&gt;=Charms!M2401,IFERROR(Charms!J2401=OFFSET(Values!$A$24,MATCH("S",Values!$T$25:$T$50,0),0),FALSE))</f>
        <v>1</v>
      </c>
      <c r="D2401" t="e">
        <f>VLOOKUP(Charms!J2401,Values!$A$11:$S$59,19,0)&gt;=Charms!L2401</f>
        <v>#N/A</v>
      </c>
      <c r="E2401" t="e">
        <f>OR(ISBLANK(Charms!I2401),(VLOOKUP(Values!$S$6,Castes!$B$2:$F$25,4,0)=Charms!I2401))</f>
        <v>#N/A</v>
      </c>
      <c r="J2401" t="e">
        <f t="shared" ca="1" si="186"/>
        <v>#N/A</v>
      </c>
      <c r="K2401" s="18" t="e">
        <f t="shared" ca="1" si="185"/>
        <v>#N/A</v>
      </c>
      <c r="L2401" t="e">
        <f ca="1">IF(J2401,Charms!B2401,"")</f>
        <v>#N/A</v>
      </c>
      <c r="M2401" t="str">
        <f t="shared" ca="1" si="187"/>
        <v>-</v>
      </c>
      <c r="N2401" s="18" t="str">
        <f t="shared" si="188"/>
        <v>K1622:L5000</v>
      </c>
      <c r="O2401" t="str">
        <f t="shared" si="189"/>
        <v>A1622:A2401</v>
      </c>
    </row>
    <row r="2402" spans="1:15">
      <c r="A2402" s="18">
        <f>Charms!K2402</f>
        <v>0</v>
      </c>
      <c r="B2402">
        <f>Charms!B2402</f>
        <v>0</v>
      </c>
      <c r="C2402" t="b">
        <f ca="1">OR(Values!$S$98&gt;=Charms!M2402,IFERROR(Charms!J2402=OFFSET(Values!$A$24,MATCH("S",Values!$T$25:$T$50,0),0),FALSE))</f>
        <v>1</v>
      </c>
      <c r="D2402" t="e">
        <f>VLOOKUP(Charms!J2402,Values!$A$11:$S$59,19,0)&gt;=Charms!L2402</f>
        <v>#N/A</v>
      </c>
      <c r="E2402" t="e">
        <f>OR(ISBLANK(Charms!I2402),(VLOOKUP(Values!$S$6,Castes!$B$2:$F$25,4,0)=Charms!I2402))</f>
        <v>#N/A</v>
      </c>
      <c r="J2402" t="e">
        <f t="shared" ca="1" si="186"/>
        <v>#N/A</v>
      </c>
      <c r="K2402" s="18" t="e">
        <f t="shared" ca="1" si="185"/>
        <v>#N/A</v>
      </c>
      <c r="L2402" t="e">
        <f ca="1">IF(J2402,Charms!B2402,"")</f>
        <v>#N/A</v>
      </c>
      <c r="M2402" t="str">
        <f t="shared" ca="1" si="187"/>
        <v>-</v>
      </c>
      <c r="N2402" s="18" t="str">
        <f t="shared" si="188"/>
        <v>K1622:L5000</v>
      </c>
      <c r="O2402" t="str">
        <f t="shared" si="189"/>
        <v>A1622:A2402</v>
      </c>
    </row>
    <row r="2403" spans="1:15">
      <c r="A2403" s="18">
        <f>Charms!K2403</f>
        <v>0</v>
      </c>
      <c r="B2403">
        <f>Charms!B2403</f>
        <v>0</v>
      </c>
      <c r="C2403" t="b">
        <f ca="1">OR(Values!$S$98&gt;=Charms!M2403,IFERROR(Charms!J2403=OFFSET(Values!$A$24,MATCH("S",Values!$T$25:$T$50,0),0),FALSE))</f>
        <v>1</v>
      </c>
      <c r="D2403" t="e">
        <f>VLOOKUP(Charms!J2403,Values!$A$11:$S$59,19,0)&gt;=Charms!L2403</f>
        <v>#N/A</v>
      </c>
      <c r="E2403" t="e">
        <f>OR(ISBLANK(Charms!I2403),(VLOOKUP(Values!$S$6,Castes!$B$2:$F$25,4,0)=Charms!I2403))</f>
        <v>#N/A</v>
      </c>
      <c r="J2403" t="e">
        <f t="shared" ca="1" si="186"/>
        <v>#N/A</v>
      </c>
      <c r="K2403" s="18" t="e">
        <f t="shared" ca="1" si="185"/>
        <v>#N/A</v>
      </c>
      <c r="L2403" t="e">
        <f ca="1">IF(J2403,Charms!B2403,"")</f>
        <v>#N/A</v>
      </c>
      <c r="M2403" t="str">
        <f t="shared" ca="1" si="187"/>
        <v>-</v>
      </c>
      <c r="N2403" s="18" t="str">
        <f t="shared" si="188"/>
        <v>K1622:L5000</v>
      </c>
      <c r="O2403" t="str">
        <f t="shared" si="189"/>
        <v>A1622:A2403</v>
      </c>
    </row>
    <row r="2404" spans="1:15">
      <c r="A2404" s="18">
        <f>Charms!K2404</f>
        <v>0</v>
      </c>
      <c r="B2404">
        <f>Charms!B2404</f>
        <v>0</v>
      </c>
      <c r="C2404" t="b">
        <f ca="1">OR(Values!$S$98&gt;=Charms!M2404,IFERROR(Charms!J2404=OFFSET(Values!$A$24,MATCH("S",Values!$T$25:$T$50,0),0),FALSE))</f>
        <v>1</v>
      </c>
      <c r="D2404" t="e">
        <f>VLOOKUP(Charms!J2404,Values!$A$11:$S$59,19,0)&gt;=Charms!L2404</f>
        <v>#N/A</v>
      </c>
      <c r="E2404" t="e">
        <f>OR(ISBLANK(Charms!I2404),(VLOOKUP(Values!$S$6,Castes!$B$2:$F$25,4,0)=Charms!I2404))</f>
        <v>#N/A</v>
      </c>
      <c r="J2404" t="e">
        <f t="shared" ca="1" si="186"/>
        <v>#N/A</v>
      </c>
      <c r="K2404" s="18" t="e">
        <f t="shared" ca="1" si="185"/>
        <v>#N/A</v>
      </c>
      <c r="L2404" t="e">
        <f ca="1">IF(J2404,Charms!B2404,"")</f>
        <v>#N/A</v>
      </c>
      <c r="M2404" t="str">
        <f t="shared" ca="1" si="187"/>
        <v>-</v>
      </c>
      <c r="N2404" s="18" t="str">
        <f t="shared" si="188"/>
        <v>K1622:L5000</v>
      </c>
      <c r="O2404" t="str">
        <f t="shared" si="189"/>
        <v>A1622:A2404</v>
      </c>
    </row>
    <row r="2405" spans="1:15">
      <c r="A2405" s="18">
        <f>Charms!K2405</f>
        <v>0</v>
      </c>
      <c r="B2405">
        <f>Charms!B2405</f>
        <v>0</v>
      </c>
      <c r="C2405" t="b">
        <f ca="1">OR(Values!$S$98&gt;=Charms!M2405,IFERROR(Charms!J2405=OFFSET(Values!$A$24,MATCH("S",Values!$T$25:$T$50,0),0),FALSE))</f>
        <v>1</v>
      </c>
      <c r="D2405" t="e">
        <f>VLOOKUP(Charms!J2405,Values!$A$11:$S$59,19,0)&gt;=Charms!L2405</f>
        <v>#N/A</v>
      </c>
      <c r="E2405" t="e">
        <f>OR(ISBLANK(Charms!I2405),(VLOOKUP(Values!$S$6,Castes!$B$2:$F$25,4,0)=Charms!I2405))</f>
        <v>#N/A</v>
      </c>
      <c r="J2405" t="e">
        <f t="shared" ca="1" si="186"/>
        <v>#N/A</v>
      </c>
      <c r="K2405" s="18" t="e">
        <f t="shared" ca="1" si="185"/>
        <v>#N/A</v>
      </c>
      <c r="L2405" t="e">
        <f ca="1">IF(J2405,Charms!B2405,"")</f>
        <v>#N/A</v>
      </c>
      <c r="M2405" t="str">
        <f t="shared" ca="1" si="187"/>
        <v>-</v>
      </c>
      <c r="N2405" s="18" t="str">
        <f t="shared" si="188"/>
        <v>K1622:L5000</v>
      </c>
      <c r="O2405" t="str">
        <f t="shared" si="189"/>
        <v>A1622:A2405</v>
      </c>
    </row>
    <row r="2406" spans="1:15">
      <c r="A2406" s="18">
        <f>Charms!K2406</f>
        <v>0</v>
      </c>
      <c r="B2406">
        <f>Charms!B2406</f>
        <v>0</v>
      </c>
      <c r="C2406" t="b">
        <f ca="1">OR(Values!$S$98&gt;=Charms!M2406,IFERROR(Charms!J2406=OFFSET(Values!$A$24,MATCH("S",Values!$T$25:$T$50,0),0),FALSE))</f>
        <v>1</v>
      </c>
      <c r="D2406" t="e">
        <f>VLOOKUP(Charms!J2406,Values!$A$11:$S$59,19,0)&gt;=Charms!L2406</f>
        <v>#N/A</v>
      </c>
      <c r="E2406" t="e">
        <f>OR(ISBLANK(Charms!I2406),(VLOOKUP(Values!$S$6,Castes!$B$2:$F$25,4,0)=Charms!I2406))</f>
        <v>#N/A</v>
      </c>
      <c r="J2406" t="e">
        <f t="shared" ca="1" si="186"/>
        <v>#N/A</v>
      </c>
      <c r="K2406" s="18" t="e">
        <f t="shared" ca="1" si="185"/>
        <v>#N/A</v>
      </c>
      <c r="L2406" t="e">
        <f ca="1">IF(J2406,Charms!B2406,"")</f>
        <v>#N/A</v>
      </c>
      <c r="M2406" t="str">
        <f t="shared" ca="1" si="187"/>
        <v>-</v>
      </c>
      <c r="N2406" s="18" t="str">
        <f t="shared" si="188"/>
        <v>K1622:L5000</v>
      </c>
      <c r="O2406" t="str">
        <f t="shared" si="189"/>
        <v>A1622:A2406</v>
      </c>
    </row>
    <row r="2407" spans="1:15">
      <c r="A2407" s="18">
        <f>Charms!K2407</f>
        <v>0</v>
      </c>
      <c r="B2407">
        <f>Charms!B2407</f>
        <v>0</v>
      </c>
      <c r="C2407" t="b">
        <f ca="1">OR(Values!$S$98&gt;=Charms!M2407,IFERROR(Charms!J2407=OFFSET(Values!$A$24,MATCH("S",Values!$T$25:$T$50,0),0),FALSE))</f>
        <v>1</v>
      </c>
      <c r="D2407" t="e">
        <f>VLOOKUP(Charms!J2407,Values!$A$11:$S$59,19,0)&gt;=Charms!L2407</f>
        <v>#N/A</v>
      </c>
      <c r="E2407" t="e">
        <f>OR(ISBLANK(Charms!I2407),(VLOOKUP(Values!$S$6,Castes!$B$2:$F$25,4,0)=Charms!I2407))</f>
        <v>#N/A</v>
      </c>
      <c r="J2407" t="e">
        <f t="shared" ca="1" si="186"/>
        <v>#N/A</v>
      </c>
      <c r="K2407" s="18" t="e">
        <f t="shared" ca="1" si="185"/>
        <v>#N/A</v>
      </c>
      <c r="L2407" t="e">
        <f ca="1">IF(J2407,Charms!B2407,"")</f>
        <v>#N/A</v>
      </c>
      <c r="M2407" t="str">
        <f t="shared" ca="1" si="187"/>
        <v>-</v>
      </c>
      <c r="N2407" s="18" t="str">
        <f t="shared" si="188"/>
        <v>K1622:L5000</v>
      </c>
      <c r="O2407" t="str">
        <f t="shared" si="189"/>
        <v>A1622:A2407</v>
      </c>
    </row>
    <row r="2408" spans="1:15">
      <c r="A2408" s="18">
        <f>Charms!K2408</f>
        <v>0</v>
      </c>
      <c r="B2408">
        <f>Charms!B2408</f>
        <v>0</v>
      </c>
      <c r="C2408" t="b">
        <f ca="1">OR(Values!$S$98&gt;=Charms!M2408,IFERROR(Charms!J2408=OFFSET(Values!$A$24,MATCH("S",Values!$T$25:$T$50,0),0),FALSE))</f>
        <v>1</v>
      </c>
      <c r="D2408" t="e">
        <f>VLOOKUP(Charms!J2408,Values!$A$11:$S$59,19,0)&gt;=Charms!L2408</f>
        <v>#N/A</v>
      </c>
      <c r="E2408" t="e">
        <f>OR(ISBLANK(Charms!I2408),(VLOOKUP(Values!$S$6,Castes!$B$2:$F$25,4,0)=Charms!I2408))</f>
        <v>#N/A</v>
      </c>
      <c r="J2408" t="e">
        <f t="shared" ca="1" si="186"/>
        <v>#N/A</v>
      </c>
      <c r="K2408" s="18" t="e">
        <f t="shared" ca="1" si="185"/>
        <v>#N/A</v>
      </c>
      <c r="L2408" t="e">
        <f ca="1">IF(J2408,Charms!B2408,"")</f>
        <v>#N/A</v>
      </c>
      <c r="M2408" t="str">
        <f t="shared" ca="1" si="187"/>
        <v>-</v>
      </c>
      <c r="N2408" s="18" t="str">
        <f t="shared" si="188"/>
        <v>K1622:L5000</v>
      </c>
      <c r="O2408" t="str">
        <f t="shared" si="189"/>
        <v>A1622:A2408</v>
      </c>
    </row>
    <row r="2409" spans="1:15">
      <c r="A2409" s="18">
        <f>Charms!K2409</f>
        <v>0</v>
      </c>
      <c r="B2409">
        <f>Charms!B2409</f>
        <v>0</v>
      </c>
      <c r="C2409" t="b">
        <f ca="1">OR(Values!$S$98&gt;=Charms!M2409,IFERROR(Charms!J2409=OFFSET(Values!$A$24,MATCH("S",Values!$T$25:$T$50,0),0),FALSE))</f>
        <v>1</v>
      </c>
      <c r="D2409" t="e">
        <f>VLOOKUP(Charms!J2409,Values!$A$11:$S$59,19,0)&gt;=Charms!L2409</f>
        <v>#N/A</v>
      </c>
      <c r="E2409" t="e">
        <f>OR(ISBLANK(Charms!I2409),(VLOOKUP(Values!$S$6,Castes!$B$2:$F$25,4,0)=Charms!I2409))</f>
        <v>#N/A</v>
      </c>
      <c r="J2409" t="e">
        <f t="shared" ca="1" si="186"/>
        <v>#N/A</v>
      </c>
      <c r="K2409" s="18" t="e">
        <f t="shared" ca="1" si="185"/>
        <v>#N/A</v>
      </c>
      <c r="L2409" t="e">
        <f ca="1">IF(J2409,Charms!B2409,"")</f>
        <v>#N/A</v>
      </c>
      <c r="M2409" t="str">
        <f t="shared" ca="1" si="187"/>
        <v>-</v>
      </c>
      <c r="N2409" s="18" t="str">
        <f t="shared" si="188"/>
        <v>K1622:L5000</v>
      </c>
      <c r="O2409" t="str">
        <f t="shared" si="189"/>
        <v>A1622:A2409</v>
      </c>
    </row>
    <row r="2410" spans="1:15">
      <c r="A2410" s="18">
        <f>Charms!K2410</f>
        <v>0</v>
      </c>
      <c r="B2410">
        <f>Charms!B2410</f>
        <v>0</v>
      </c>
      <c r="C2410" t="b">
        <f ca="1">OR(Values!$S$98&gt;=Charms!M2410,IFERROR(Charms!J2410=OFFSET(Values!$A$24,MATCH("S",Values!$T$25:$T$50,0),0),FALSE))</f>
        <v>1</v>
      </c>
      <c r="D2410" t="e">
        <f>VLOOKUP(Charms!J2410,Values!$A$11:$S$59,19,0)&gt;=Charms!L2410</f>
        <v>#N/A</v>
      </c>
      <c r="E2410" t="e">
        <f>OR(ISBLANK(Charms!I2410),(VLOOKUP(Values!$S$6,Castes!$B$2:$F$25,4,0)=Charms!I2410))</f>
        <v>#N/A</v>
      </c>
      <c r="J2410" t="e">
        <f t="shared" ca="1" si="186"/>
        <v>#N/A</v>
      </c>
      <c r="K2410" s="18" t="e">
        <f t="shared" ca="1" si="185"/>
        <v>#N/A</v>
      </c>
      <c r="L2410" t="e">
        <f ca="1">IF(J2410,Charms!B2410,"")</f>
        <v>#N/A</v>
      </c>
      <c r="M2410" t="str">
        <f t="shared" ca="1" si="187"/>
        <v>-</v>
      </c>
      <c r="N2410" s="18" t="str">
        <f t="shared" si="188"/>
        <v>K1622:L5000</v>
      </c>
      <c r="O2410" t="str">
        <f t="shared" si="189"/>
        <v>A1622:A2410</v>
      </c>
    </row>
    <row r="2411" spans="1:15">
      <c r="A2411" s="18">
        <f>Charms!K2411</f>
        <v>0</v>
      </c>
      <c r="B2411">
        <f>Charms!B2411</f>
        <v>0</v>
      </c>
      <c r="C2411" t="b">
        <f ca="1">OR(Values!$S$98&gt;=Charms!M2411,IFERROR(Charms!J2411=OFFSET(Values!$A$24,MATCH("S",Values!$T$25:$T$50,0),0),FALSE))</f>
        <v>1</v>
      </c>
      <c r="D2411" t="e">
        <f>VLOOKUP(Charms!J2411,Values!$A$11:$S$59,19,0)&gt;=Charms!L2411</f>
        <v>#N/A</v>
      </c>
      <c r="E2411" t="e">
        <f>OR(ISBLANK(Charms!I2411),(VLOOKUP(Values!$S$6,Castes!$B$2:$F$25,4,0)=Charms!I2411))</f>
        <v>#N/A</v>
      </c>
      <c r="J2411" t="e">
        <f t="shared" ca="1" si="186"/>
        <v>#N/A</v>
      </c>
      <c r="K2411" s="18" t="e">
        <f t="shared" ca="1" si="185"/>
        <v>#N/A</v>
      </c>
      <c r="L2411" t="e">
        <f ca="1">IF(J2411,Charms!B2411,"")</f>
        <v>#N/A</v>
      </c>
      <c r="M2411" t="str">
        <f t="shared" ca="1" si="187"/>
        <v>-</v>
      </c>
      <c r="N2411" s="18" t="str">
        <f t="shared" si="188"/>
        <v>K1622:L5000</v>
      </c>
      <c r="O2411" t="str">
        <f t="shared" si="189"/>
        <v>A1622:A2411</v>
      </c>
    </row>
    <row r="2412" spans="1:15">
      <c r="A2412" s="18">
        <f>Charms!K2412</f>
        <v>0</v>
      </c>
      <c r="B2412">
        <f>Charms!B2412</f>
        <v>0</v>
      </c>
      <c r="C2412" t="b">
        <f ca="1">OR(Values!$S$98&gt;=Charms!M2412,IFERROR(Charms!J2412=OFFSET(Values!$A$24,MATCH("S",Values!$T$25:$T$50,0),0),FALSE))</f>
        <v>1</v>
      </c>
      <c r="D2412" t="e">
        <f>VLOOKUP(Charms!J2412,Values!$A$11:$S$59,19,0)&gt;=Charms!L2412</f>
        <v>#N/A</v>
      </c>
      <c r="E2412" t="e">
        <f>OR(ISBLANK(Charms!I2412),(VLOOKUP(Values!$S$6,Castes!$B$2:$F$25,4,0)=Charms!I2412))</f>
        <v>#N/A</v>
      </c>
      <c r="J2412" t="e">
        <f t="shared" ca="1" si="186"/>
        <v>#N/A</v>
      </c>
      <c r="K2412" s="18" t="e">
        <f t="shared" ca="1" si="185"/>
        <v>#N/A</v>
      </c>
      <c r="L2412" t="e">
        <f ca="1">IF(J2412,Charms!B2412,"")</f>
        <v>#N/A</v>
      </c>
      <c r="M2412" t="str">
        <f t="shared" ca="1" si="187"/>
        <v>-</v>
      </c>
      <c r="N2412" s="18" t="str">
        <f t="shared" si="188"/>
        <v>K1622:L5000</v>
      </c>
      <c r="O2412" t="str">
        <f t="shared" si="189"/>
        <v>A1622:A2412</v>
      </c>
    </row>
    <row r="2413" spans="1:15">
      <c r="A2413" s="18">
        <f>Charms!K2413</f>
        <v>0</v>
      </c>
      <c r="B2413">
        <f>Charms!B2413</f>
        <v>0</v>
      </c>
      <c r="C2413" t="b">
        <f ca="1">OR(Values!$S$98&gt;=Charms!M2413,IFERROR(Charms!J2413=OFFSET(Values!$A$24,MATCH("S",Values!$T$25:$T$50,0),0),FALSE))</f>
        <v>1</v>
      </c>
      <c r="D2413" t="e">
        <f>VLOOKUP(Charms!J2413,Values!$A$11:$S$59,19,0)&gt;=Charms!L2413</f>
        <v>#N/A</v>
      </c>
      <c r="E2413" t="e">
        <f>OR(ISBLANK(Charms!I2413),(VLOOKUP(Values!$S$6,Castes!$B$2:$F$25,4,0)=Charms!I2413))</f>
        <v>#N/A</v>
      </c>
      <c r="J2413" t="e">
        <f t="shared" ca="1" si="186"/>
        <v>#N/A</v>
      </c>
      <c r="K2413" s="18" t="e">
        <f t="shared" ca="1" si="185"/>
        <v>#N/A</v>
      </c>
      <c r="L2413" t="e">
        <f ca="1">IF(J2413,Charms!B2413,"")</f>
        <v>#N/A</v>
      </c>
      <c r="M2413" t="str">
        <f t="shared" ca="1" si="187"/>
        <v>-</v>
      </c>
      <c r="N2413" s="18" t="str">
        <f t="shared" si="188"/>
        <v>K1622:L5000</v>
      </c>
      <c r="O2413" t="str">
        <f t="shared" si="189"/>
        <v>A1622:A2413</v>
      </c>
    </row>
    <row r="2414" spans="1:15">
      <c r="A2414" s="18">
        <f>Charms!K2414</f>
        <v>0</v>
      </c>
      <c r="B2414">
        <f>Charms!B2414</f>
        <v>0</v>
      </c>
      <c r="C2414" t="b">
        <f ca="1">OR(Values!$S$98&gt;=Charms!M2414,IFERROR(Charms!J2414=OFFSET(Values!$A$24,MATCH("S",Values!$T$25:$T$50,0),0),FALSE))</f>
        <v>1</v>
      </c>
      <c r="D2414" t="e">
        <f>VLOOKUP(Charms!J2414,Values!$A$11:$S$59,19,0)&gt;=Charms!L2414</f>
        <v>#N/A</v>
      </c>
      <c r="E2414" t="e">
        <f>OR(ISBLANK(Charms!I2414),(VLOOKUP(Values!$S$6,Castes!$B$2:$F$25,4,0)=Charms!I2414))</f>
        <v>#N/A</v>
      </c>
      <c r="J2414" t="e">
        <f t="shared" ca="1" si="186"/>
        <v>#N/A</v>
      </c>
      <c r="K2414" s="18" t="e">
        <f t="shared" ca="1" si="185"/>
        <v>#N/A</v>
      </c>
      <c r="L2414" t="e">
        <f ca="1">IF(J2414,Charms!B2414,"")</f>
        <v>#N/A</v>
      </c>
      <c r="M2414" t="str">
        <f t="shared" ca="1" si="187"/>
        <v>-</v>
      </c>
      <c r="N2414" s="18" t="str">
        <f t="shared" si="188"/>
        <v>K1622:L5000</v>
      </c>
      <c r="O2414" t="str">
        <f t="shared" si="189"/>
        <v>A1622:A2414</v>
      </c>
    </row>
    <row r="2415" spans="1:15">
      <c r="A2415" s="18">
        <f>Charms!K2415</f>
        <v>0</v>
      </c>
      <c r="B2415">
        <f>Charms!B2415</f>
        <v>0</v>
      </c>
      <c r="C2415" t="b">
        <f ca="1">OR(Values!$S$98&gt;=Charms!M2415,IFERROR(Charms!J2415=OFFSET(Values!$A$24,MATCH("S",Values!$T$25:$T$50,0),0),FALSE))</f>
        <v>1</v>
      </c>
      <c r="D2415" t="e">
        <f>VLOOKUP(Charms!J2415,Values!$A$11:$S$59,19,0)&gt;=Charms!L2415</f>
        <v>#N/A</v>
      </c>
      <c r="E2415" t="e">
        <f>OR(ISBLANK(Charms!I2415),(VLOOKUP(Values!$S$6,Castes!$B$2:$F$25,4,0)=Charms!I2415))</f>
        <v>#N/A</v>
      </c>
      <c r="J2415" t="e">
        <f t="shared" ca="1" si="186"/>
        <v>#N/A</v>
      </c>
      <c r="K2415" s="18" t="e">
        <f t="shared" ca="1" si="185"/>
        <v>#N/A</v>
      </c>
      <c r="L2415" t="e">
        <f ca="1">IF(J2415,Charms!B2415,"")</f>
        <v>#N/A</v>
      </c>
      <c r="M2415" t="str">
        <f t="shared" ca="1" si="187"/>
        <v>-</v>
      </c>
      <c r="N2415" s="18" t="str">
        <f t="shared" si="188"/>
        <v>K1622:L5000</v>
      </c>
      <c r="O2415" t="str">
        <f t="shared" si="189"/>
        <v>A1622:A2415</v>
      </c>
    </row>
    <row r="2416" spans="1:15">
      <c r="A2416" s="18">
        <f>Charms!K2416</f>
        <v>0</v>
      </c>
      <c r="B2416">
        <f>Charms!B2416</f>
        <v>0</v>
      </c>
      <c r="C2416" t="b">
        <f ca="1">OR(Values!$S$98&gt;=Charms!M2416,IFERROR(Charms!J2416=OFFSET(Values!$A$24,MATCH("S",Values!$T$25:$T$50,0),0),FALSE))</f>
        <v>1</v>
      </c>
      <c r="D2416" t="e">
        <f>VLOOKUP(Charms!J2416,Values!$A$11:$S$59,19,0)&gt;=Charms!L2416</f>
        <v>#N/A</v>
      </c>
      <c r="E2416" t="e">
        <f>OR(ISBLANK(Charms!I2416),(VLOOKUP(Values!$S$6,Castes!$B$2:$F$25,4,0)=Charms!I2416))</f>
        <v>#N/A</v>
      </c>
      <c r="J2416" t="e">
        <f t="shared" ca="1" si="186"/>
        <v>#N/A</v>
      </c>
      <c r="K2416" s="18" t="e">
        <f t="shared" ca="1" si="185"/>
        <v>#N/A</v>
      </c>
      <c r="L2416" t="e">
        <f ca="1">IF(J2416,Charms!B2416,"")</f>
        <v>#N/A</v>
      </c>
      <c r="M2416" t="str">
        <f t="shared" ca="1" si="187"/>
        <v>-</v>
      </c>
      <c r="N2416" s="18" t="str">
        <f t="shared" si="188"/>
        <v>K1622:L5000</v>
      </c>
      <c r="O2416" t="str">
        <f t="shared" si="189"/>
        <v>A1622:A2416</v>
      </c>
    </row>
    <row r="2417" spans="1:15">
      <c r="A2417" s="18">
        <f>Charms!K2417</f>
        <v>0</v>
      </c>
      <c r="B2417">
        <f>Charms!B2417</f>
        <v>0</v>
      </c>
      <c r="C2417" t="b">
        <f ca="1">OR(Values!$S$98&gt;=Charms!M2417,IFERROR(Charms!J2417=OFFSET(Values!$A$24,MATCH("S",Values!$T$25:$T$50,0),0),FALSE))</f>
        <v>1</v>
      </c>
      <c r="D2417" t="e">
        <f>VLOOKUP(Charms!J2417,Values!$A$11:$S$59,19,0)&gt;=Charms!L2417</f>
        <v>#N/A</v>
      </c>
      <c r="E2417" t="e">
        <f>OR(ISBLANK(Charms!I2417),(VLOOKUP(Values!$S$6,Castes!$B$2:$F$25,4,0)=Charms!I2417))</f>
        <v>#N/A</v>
      </c>
      <c r="J2417" t="e">
        <f t="shared" ca="1" si="186"/>
        <v>#N/A</v>
      </c>
      <c r="K2417" s="18" t="e">
        <f t="shared" ca="1" si="185"/>
        <v>#N/A</v>
      </c>
      <c r="L2417" t="e">
        <f ca="1">IF(J2417,Charms!B2417,"")</f>
        <v>#N/A</v>
      </c>
      <c r="M2417" t="str">
        <f t="shared" ca="1" si="187"/>
        <v>-</v>
      </c>
      <c r="N2417" s="18" t="str">
        <f t="shared" si="188"/>
        <v>K1622:L5000</v>
      </c>
      <c r="O2417" t="str">
        <f t="shared" si="189"/>
        <v>A1622:A2417</v>
      </c>
    </row>
    <row r="2418" spans="1:15">
      <c r="A2418" s="18">
        <f>Charms!K2418</f>
        <v>0</v>
      </c>
      <c r="B2418">
        <f>Charms!B2418</f>
        <v>0</v>
      </c>
      <c r="C2418" t="b">
        <f ca="1">OR(Values!$S$98&gt;=Charms!M2418,IFERROR(Charms!J2418=OFFSET(Values!$A$24,MATCH("S",Values!$T$25:$T$50,0),0),FALSE))</f>
        <v>1</v>
      </c>
      <c r="D2418" t="e">
        <f>VLOOKUP(Charms!J2418,Values!$A$11:$S$59,19,0)&gt;=Charms!L2418</f>
        <v>#N/A</v>
      </c>
      <c r="E2418" t="e">
        <f>OR(ISBLANK(Charms!I2418),(VLOOKUP(Values!$S$6,Castes!$B$2:$F$25,4,0)=Charms!I2418))</f>
        <v>#N/A</v>
      </c>
      <c r="J2418" t="e">
        <f t="shared" ca="1" si="186"/>
        <v>#N/A</v>
      </c>
      <c r="K2418" s="18" t="e">
        <f t="shared" ca="1" si="185"/>
        <v>#N/A</v>
      </c>
      <c r="L2418" t="e">
        <f ca="1">IF(J2418,Charms!B2418,"")</f>
        <v>#N/A</v>
      </c>
      <c r="M2418" t="str">
        <f t="shared" ca="1" si="187"/>
        <v>-</v>
      </c>
      <c r="N2418" s="18" t="str">
        <f t="shared" si="188"/>
        <v>K1622:L5000</v>
      </c>
      <c r="O2418" t="str">
        <f t="shared" si="189"/>
        <v>A1622:A2418</v>
      </c>
    </row>
    <row r="2419" spans="1:15">
      <c r="A2419" s="18">
        <f>Charms!K2419</f>
        <v>0</v>
      </c>
      <c r="B2419">
        <f>Charms!B2419</f>
        <v>0</v>
      </c>
      <c r="C2419" t="b">
        <f ca="1">OR(Values!$S$98&gt;=Charms!M2419,IFERROR(Charms!J2419=OFFSET(Values!$A$24,MATCH("S",Values!$T$25:$T$50,0),0),FALSE))</f>
        <v>1</v>
      </c>
      <c r="D2419" t="e">
        <f>VLOOKUP(Charms!J2419,Values!$A$11:$S$59,19,0)&gt;=Charms!L2419</f>
        <v>#N/A</v>
      </c>
      <c r="E2419" t="e">
        <f>OR(ISBLANK(Charms!I2419),(VLOOKUP(Values!$S$6,Castes!$B$2:$F$25,4,0)=Charms!I2419))</f>
        <v>#N/A</v>
      </c>
      <c r="J2419" t="e">
        <f t="shared" ca="1" si="186"/>
        <v>#N/A</v>
      </c>
      <c r="K2419" s="18" t="e">
        <f t="shared" ca="1" si="185"/>
        <v>#N/A</v>
      </c>
      <c r="L2419" t="e">
        <f ca="1">IF(J2419,Charms!B2419,"")</f>
        <v>#N/A</v>
      </c>
      <c r="M2419" t="str">
        <f t="shared" ca="1" si="187"/>
        <v>-</v>
      </c>
      <c r="N2419" s="18" t="str">
        <f t="shared" si="188"/>
        <v>K1622:L5000</v>
      </c>
      <c r="O2419" t="str">
        <f t="shared" si="189"/>
        <v>A1622:A2419</v>
      </c>
    </row>
    <row r="2420" spans="1:15">
      <c r="A2420" s="18">
        <f>Charms!K2420</f>
        <v>0</v>
      </c>
      <c r="B2420">
        <f>Charms!B2420</f>
        <v>0</v>
      </c>
      <c r="C2420" t="b">
        <f ca="1">OR(Values!$S$98&gt;=Charms!M2420,IFERROR(Charms!J2420=OFFSET(Values!$A$24,MATCH("S",Values!$T$25:$T$50,0),0),FALSE))</f>
        <v>1</v>
      </c>
      <c r="D2420" t="e">
        <f>VLOOKUP(Charms!J2420,Values!$A$11:$S$59,19,0)&gt;=Charms!L2420</f>
        <v>#N/A</v>
      </c>
      <c r="E2420" t="e">
        <f>OR(ISBLANK(Charms!I2420),(VLOOKUP(Values!$S$6,Castes!$B$2:$F$25,4,0)=Charms!I2420))</f>
        <v>#N/A</v>
      </c>
      <c r="J2420" t="e">
        <f t="shared" ca="1" si="186"/>
        <v>#N/A</v>
      </c>
      <c r="K2420" s="18" t="e">
        <f t="shared" ca="1" si="185"/>
        <v>#N/A</v>
      </c>
      <c r="L2420" t="e">
        <f ca="1">IF(J2420,Charms!B2420,"")</f>
        <v>#N/A</v>
      </c>
      <c r="M2420" t="str">
        <f t="shared" ca="1" si="187"/>
        <v>-</v>
      </c>
      <c r="N2420" s="18" t="str">
        <f t="shared" si="188"/>
        <v>K1622:L5000</v>
      </c>
      <c r="O2420" t="str">
        <f t="shared" si="189"/>
        <v>A1622:A2420</v>
      </c>
    </row>
    <row r="2421" spans="1:15">
      <c r="A2421" s="18">
        <f>Charms!K2421</f>
        <v>0</v>
      </c>
      <c r="B2421">
        <f>Charms!B2421</f>
        <v>0</v>
      </c>
      <c r="C2421" t="b">
        <f ca="1">OR(Values!$S$98&gt;=Charms!M2421,IFERROR(Charms!J2421=OFFSET(Values!$A$24,MATCH("S",Values!$T$25:$T$50,0),0),FALSE))</f>
        <v>1</v>
      </c>
      <c r="D2421" t="e">
        <f>VLOOKUP(Charms!J2421,Values!$A$11:$S$59,19,0)&gt;=Charms!L2421</f>
        <v>#N/A</v>
      </c>
      <c r="E2421" t="e">
        <f>OR(ISBLANK(Charms!I2421),(VLOOKUP(Values!$S$6,Castes!$B$2:$F$25,4,0)=Charms!I2421))</f>
        <v>#N/A</v>
      </c>
      <c r="J2421" t="e">
        <f t="shared" ca="1" si="186"/>
        <v>#N/A</v>
      </c>
      <c r="K2421" s="18" t="e">
        <f t="shared" ca="1" si="185"/>
        <v>#N/A</v>
      </c>
      <c r="L2421" t="e">
        <f ca="1">IF(J2421,Charms!B2421,"")</f>
        <v>#N/A</v>
      </c>
      <c r="M2421" t="str">
        <f t="shared" ca="1" si="187"/>
        <v>-</v>
      </c>
      <c r="N2421" s="18" t="str">
        <f t="shared" si="188"/>
        <v>K1622:L5000</v>
      </c>
      <c r="O2421" t="str">
        <f t="shared" si="189"/>
        <v>A1622:A2421</v>
      </c>
    </row>
    <row r="2422" spans="1:15">
      <c r="A2422" s="18">
        <f>Charms!K2422</f>
        <v>0</v>
      </c>
      <c r="B2422">
        <f>Charms!B2422</f>
        <v>0</v>
      </c>
      <c r="C2422" t="b">
        <f ca="1">OR(Values!$S$98&gt;=Charms!M2422,IFERROR(Charms!J2422=OFFSET(Values!$A$24,MATCH("S",Values!$T$25:$T$50,0),0),FALSE))</f>
        <v>1</v>
      </c>
      <c r="D2422" t="e">
        <f>VLOOKUP(Charms!J2422,Values!$A$11:$S$59,19,0)&gt;=Charms!L2422</f>
        <v>#N/A</v>
      </c>
      <c r="E2422" t="e">
        <f>OR(ISBLANK(Charms!I2422),(VLOOKUP(Values!$S$6,Castes!$B$2:$F$25,4,0)=Charms!I2422))</f>
        <v>#N/A</v>
      </c>
      <c r="J2422" t="e">
        <f t="shared" ca="1" si="186"/>
        <v>#N/A</v>
      </c>
      <c r="K2422" s="18" t="e">
        <f t="shared" ca="1" si="185"/>
        <v>#N/A</v>
      </c>
      <c r="L2422" t="e">
        <f ca="1">IF(J2422,Charms!B2422,"")</f>
        <v>#N/A</v>
      </c>
      <c r="M2422" t="str">
        <f t="shared" ca="1" si="187"/>
        <v>-</v>
      </c>
      <c r="N2422" s="18" t="str">
        <f t="shared" si="188"/>
        <v>K1622:L5000</v>
      </c>
      <c r="O2422" t="str">
        <f t="shared" si="189"/>
        <v>A1622:A2422</v>
      </c>
    </row>
    <row r="2423" spans="1:15">
      <c r="A2423" s="18">
        <f>Charms!K2423</f>
        <v>0</v>
      </c>
      <c r="B2423">
        <f>Charms!B2423</f>
        <v>0</v>
      </c>
      <c r="C2423" t="b">
        <f ca="1">OR(Values!$S$98&gt;=Charms!M2423,IFERROR(Charms!J2423=OFFSET(Values!$A$24,MATCH("S",Values!$T$25:$T$50,0),0),FALSE))</f>
        <v>1</v>
      </c>
      <c r="D2423" t="e">
        <f>VLOOKUP(Charms!J2423,Values!$A$11:$S$59,19,0)&gt;=Charms!L2423</f>
        <v>#N/A</v>
      </c>
      <c r="E2423" t="e">
        <f>OR(ISBLANK(Charms!I2423),(VLOOKUP(Values!$S$6,Castes!$B$2:$F$25,4,0)=Charms!I2423))</f>
        <v>#N/A</v>
      </c>
      <c r="J2423" t="e">
        <f t="shared" ca="1" si="186"/>
        <v>#N/A</v>
      </c>
      <c r="K2423" s="18" t="e">
        <f t="shared" ca="1" si="185"/>
        <v>#N/A</v>
      </c>
      <c r="L2423" t="e">
        <f ca="1">IF(J2423,Charms!B2423,"")</f>
        <v>#N/A</v>
      </c>
      <c r="M2423" t="str">
        <f t="shared" ca="1" si="187"/>
        <v>-</v>
      </c>
      <c r="N2423" s="18" t="str">
        <f t="shared" si="188"/>
        <v>K1622:L5000</v>
      </c>
      <c r="O2423" t="str">
        <f t="shared" si="189"/>
        <v>A1622:A2423</v>
      </c>
    </row>
    <row r="2424" spans="1:15">
      <c r="A2424" s="18">
        <f>Charms!K2424</f>
        <v>0</v>
      </c>
      <c r="B2424">
        <f>Charms!B2424</f>
        <v>0</v>
      </c>
      <c r="C2424" t="b">
        <f ca="1">OR(Values!$S$98&gt;=Charms!M2424,IFERROR(Charms!J2424=OFFSET(Values!$A$24,MATCH("S",Values!$T$25:$T$50,0),0),FALSE))</f>
        <v>1</v>
      </c>
      <c r="D2424" t="e">
        <f>VLOOKUP(Charms!J2424,Values!$A$11:$S$59,19,0)&gt;=Charms!L2424</f>
        <v>#N/A</v>
      </c>
      <c r="E2424" t="e">
        <f>OR(ISBLANK(Charms!I2424),(VLOOKUP(Values!$S$6,Castes!$B$2:$F$25,4,0)=Charms!I2424))</f>
        <v>#N/A</v>
      </c>
      <c r="J2424" t="e">
        <f t="shared" ca="1" si="186"/>
        <v>#N/A</v>
      </c>
      <c r="K2424" s="18" t="e">
        <f t="shared" ca="1" si="185"/>
        <v>#N/A</v>
      </c>
      <c r="L2424" t="e">
        <f ca="1">IF(J2424,Charms!B2424,"")</f>
        <v>#N/A</v>
      </c>
      <c r="M2424" t="str">
        <f t="shared" ca="1" si="187"/>
        <v>-</v>
      </c>
      <c r="N2424" s="18" t="str">
        <f t="shared" si="188"/>
        <v>K1622:L5000</v>
      </c>
      <c r="O2424" t="str">
        <f t="shared" si="189"/>
        <v>A1622:A2424</v>
      </c>
    </row>
    <row r="2425" spans="1:15">
      <c r="A2425" s="18">
        <f>Charms!K2425</f>
        <v>0</v>
      </c>
      <c r="B2425">
        <f>Charms!B2425</f>
        <v>0</v>
      </c>
      <c r="C2425" t="b">
        <f ca="1">OR(Values!$S$98&gt;=Charms!M2425,IFERROR(Charms!J2425=OFFSET(Values!$A$24,MATCH("S",Values!$T$25:$T$50,0),0),FALSE))</f>
        <v>1</v>
      </c>
      <c r="D2425" t="e">
        <f>VLOOKUP(Charms!J2425,Values!$A$11:$S$59,19,0)&gt;=Charms!L2425</f>
        <v>#N/A</v>
      </c>
      <c r="E2425" t="e">
        <f>OR(ISBLANK(Charms!I2425),(VLOOKUP(Values!$S$6,Castes!$B$2:$F$25,4,0)=Charms!I2425))</f>
        <v>#N/A</v>
      </c>
      <c r="J2425" t="e">
        <f t="shared" ca="1" si="186"/>
        <v>#N/A</v>
      </c>
      <c r="K2425" s="18" t="e">
        <f t="shared" ca="1" si="185"/>
        <v>#N/A</v>
      </c>
      <c r="L2425" t="e">
        <f ca="1">IF(J2425,Charms!B2425,"")</f>
        <v>#N/A</v>
      </c>
      <c r="M2425" t="str">
        <f t="shared" ca="1" si="187"/>
        <v>-</v>
      </c>
      <c r="N2425" s="18" t="str">
        <f t="shared" si="188"/>
        <v>K1622:L5000</v>
      </c>
      <c r="O2425" t="str">
        <f t="shared" si="189"/>
        <v>A1622:A2425</v>
      </c>
    </row>
    <row r="2426" spans="1:15">
      <c r="A2426" s="18">
        <f>Charms!K2426</f>
        <v>0</v>
      </c>
      <c r="B2426">
        <f>Charms!B2426</f>
        <v>0</v>
      </c>
      <c r="C2426" t="b">
        <f ca="1">OR(Values!$S$98&gt;=Charms!M2426,IFERROR(Charms!J2426=OFFSET(Values!$A$24,MATCH("S",Values!$T$25:$T$50,0),0),FALSE))</f>
        <v>1</v>
      </c>
      <c r="D2426" t="e">
        <f>VLOOKUP(Charms!J2426,Values!$A$11:$S$59,19,0)&gt;=Charms!L2426</f>
        <v>#N/A</v>
      </c>
      <c r="E2426" t="e">
        <f>OR(ISBLANK(Charms!I2426),(VLOOKUP(Values!$S$6,Castes!$B$2:$F$25,4,0)=Charms!I2426))</f>
        <v>#N/A</v>
      </c>
      <c r="J2426" t="e">
        <f t="shared" ca="1" si="186"/>
        <v>#N/A</v>
      </c>
      <c r="K2426" s="18" t="e">
        <f t="shared" ca="1" si="185"/>
        <v>#N/A</v>
      </c>
      <c r="L2426" t="e">
        <f ca="1">IF(J2426,Charms!B2426,"")</f>
        <v>#N/A</v>
      </c>
      <c r="M2426" t="str">
        <f t="shared" ca="1" si="187"/>
        <v>-</v>
      </c>
      <c r="N2426" s="18" t="str">
        <f t="shared" si="188"/>
        <v>K1622:L5000</v>
      </c>
      <c r="O2426" t="str">
        <f t="shared" si="189"/>
        <v>A1622:A2426</v>
      </c>
    </row>
    <row r="2427" spans="1:15">
      <c r="A2427" s="18">
        <f>Charms!K2427</f>
        <v>0</v>
      </c>
      <c r="B2427">
        <f>Charms!B2427</f>
        <v>0</v>
      </c>
      <c r="C2427" t="b">
        <f ca="1">OR(Values!$S$98&gt;=Charms!M2427,IFERROR(Charms!J2427=OFFSET(Values!$A$24,MATCH("S",Values!$T$25:$T$50,0),0),FALSE))</f>
        <v>1</v>
      </c>
      <c r="D2427" t="e">
        <f>VLOOKUP(Charms!J2427,Values!$A$11:$S$59,19,0)&gt;=Charms!L2427</f>
        <v>#N/A</v>
      </c>
      <c r="E2427" t="e">
        <f>OR(ISBLANK(Charms!I2427),(VLOOKUP(Values!$S$6,Castes!$B$2:$F$25,4,0)=Charms!I2427))</f>
        <v>#N/A</v>
      </c>
      <c r="J2427" t="e">
        <f t="shared" ca="1" si="186"/>
        <v>#N/A</v>
      </c>
      <c r="K2427" s="18" t="e">
        <f t="shared" ca="1" si="185"/>
        <v>#N/A</v>
      </c>
      <c r="L2427" t="e">
        <f ca="1">IF(J2427,Charms!B2427,"")</f>
        <v>#N/A</v>
      </c>
      <c r="M2427" t="str">
        <f t="shared" ca="1" si="187"/>
        <v>-</v>
      </c>
      <c r="N2427" s="18" t="str">
        <f t="shared" si="188"/>
        <v>K1622:L5000</v>
      </c>
      <c r="O2427" t="str">
        <f t="shared" si="189"/>
        <v>A1622:A2427</v>
      </c>
    </row>
    <row r="2428" spans="1:15">
      <c r="A2428" s="18">
        <f>Charms!K2428</f>
        <v>0</v>
      </c>
      <c r="B2428">
        <f>Charms!B2428</f>
        <v>0</v>
      </c>
      <c r="C2428" t="b">
        <f ca="1">OR(Values!$S$98&gt;=Charms!M2428,IFERROR(Charms!J2428=OFFSET(Values!$A$24,MATCH("S",Values!$T$25:$T$50,0),0),FALSE))</f>
        <v>1</v>
      </c>
      <c r="D2428" t="e">
        <f>VLOOKUP(Charms!J2428,Values!$A$11:$S$59,19,0)&gt;=Charms!L2428</f>
        <v>#N/A</v>
      </c>
      <c r="E2428" t="e">
        <f>OR(ISBLANK(Charms!I2428),(VLOOKUP(Values!$S$6,Castes!$B$2:$F$25,4,0)=Charms!I2428))</f>
        <v>#N/A</v>
      </c>
      <c r="J2428" t="e">
        <f t="shared" ca="1" si="186"/>
        <v>#N/A</v>
      </c>
      <c r="K2428" s="18" t="e">
        <f t="shared" ca="1" si="185"/>
        <v>#N/A</v>
      </c>
      <c r="L2428" t="e">
        <f ca="1">IF(J2428,Charms!B2428,"")</f>
        <v>#N/A</v>
      </c>
      <c r="M2428" t="str">
        <f t="shared" ca="1" si="187"/>
        <v>-</v>
      </c>
      <c r="N2428" s="18" t="str">
        <f t="shared" si="188"/>
        <v>K1622:L5000</v>
      </c>
      <c r="O2428" t="str">
        <f t="shared" si="189"/>
        <v>A1622:A2428</v>
      </c>
    </row>
    <row r="2429" spans="1:15">
      <c r="A2429" s="18">
        <f>Charms!K2429</f>
        <v>0</v>
      </c>
      <c r="B2429">
        <f>Charms!B2429</f>
        <v>0</v>
      </c>
      <c r="C2429" t="b">
        <f ca="1">OR(Values!$S$98&gt;=Charms!M2429,IFERROR(Charms!J2429=OFFSET(Values!$A$24,MATCH("S",Values!$T$25:$T$50,0),0),FALSE))</f>
        <v>1</v>
      </c>
      <c r="D2429" t="e">
        <f>VLOOKUP(Charms!J2429,Values!$A$11:$S$59,19,0)&gt;=Charms!L2429</f>
        <v>#N/A</v>
      </c>
      <c r="E2429" t="e">
        <f>OR(ISBLANK(Charms!I2429),(VLOOKUP(Values!$S$6,Castes!$B$2:$F$25,4,0)=Charms!I2429))</f>
        <v>#N/A</v>
      </c>
      <c r="J2429" t="e">
        <f t="shared" ca="1" si="186"/>
        <v>#N/A</v>
      </c>
      <c r="K2429" s="18" t="e">
        <f t="shared" ca="1" si="185"/>
        <v>#N/A</v>
      </c>
      <c r="L2429" t="e">
        <f ca="1">IF(J2429,Charms!B2429,"")</f>
        <v>#N/A</v>
      </c>
      <c r="M2429" t="str">
        <f t="shared" ca="1" si="187"/>
        <v>-</v>
      </c>
      <c r="N2429" s="18" t="str">
        <f t="shared" si="188"/>
        <v>K1622:L5000</v>
      </c>
      <c r="O2429" t="str">
        <f t="shared" si="189"/>
        <v>A1622:A2429</v>
      </c>
    </row>
    <row r="2430" spans="1:15">
      <c r="A2430" s="18">
        <f>Charms!K2430</f>
        <v>0</v>
      </c>
      <c r="B2430">
        <f>Charms!B2430</f>
        <v>0</v>
      </c>
      <c r="C2430" t="b">
        <f ca="1">OR(Values!$S$98&gt;=Charms!M2430,IFERROR(Charms!J2430=OFFSET(Values!$A$24,MATCH("S",Values!$T$25:$T$50,0),0),FALSE))</f>
        <v>1</v>
      </c>
      <c r="D2430" t="e">
        <f>VLOOKUP(Charms!J2430,Values!$A$11:$S$59,19,0)&gt;=Charms!L2430</f>
        <v>#N/A</v>
      </c>
      <c r="E2430" t="e">
        <f>OR(ISBLANK(Charms!I2430),(VLOOKUP(Values!$S$6,Castes!$B$2:$F$25,4,0)=Charms!I2430))</f>
        <v>#N/A</v>
      </c>
      <c r="J2430" t="e">
        <f t="shared" ca="1" si="186"/>
        <v>#N/A</v>
      </c>
      <c r="K2430" s="18" t="e">
        <f t="shared" ca="1" si="185"/>
        <v>#N/A</v>
      </c>
      <c r="L2430" t="e">
        <f ca="1">IF(J2430,Charms!B2430,"")</f>
        <v>#N/A</v>
      </c>
      <c r="M2430" t="str">
        <f t="shared" ca="1" si="187"/>
        <v>-</v>
      </c>
      <c r="N2430" s="18" t="str">
        <f t="shared" si="188"/>
        <v>K1622:L5000</v>
      </c>
      <c r="O2430" t="str">
        <f t="shared" si="189"/>
        <v>A1622:A2430</v>
      </c>
    </row>
    <row r="2431" spans="1:15">
      <c r="A2431" s="18">
        <f>Charms!K2431</f>
        <v>0</v>
      </c>
      <c r="B2431">
        <f>Charms!B2431</f>
        <v>0</v>
      </c>
      <c r="C2431" t="b">
        <f ca="1">OR(Values!$S$98&gt;=Charms!M2431,IFERROR(Charms!J2431=OFFSET(Values!$A$24,MATCH("S",Values!$T$25:$T$50,0),0),FALSE))</f>
        <v>1</v>
      </c>
      <c r="D2431" t="e">
        <f>VLOOKUP(Charms!J2431,Values!$A$11:$S$59,19,0)&gt;=Charms!L2431</f>
        <v>#N/A</v>
      </c>
      <c r="E2431" t="e">
        <f>OR(ISBLANK(Charms!I2431),(VLOOKUP(Values!$S$6,Castes!$B$2:$F$25,4,0)=Charms!I2431))</f>
        <v>#N/A</v>
      </c>
      <c r="J2431" t="e">
        <f t="shared" ca="1" si="186"/>
        <v>#N/A</v>
      </c>
      <c r="K2431" s="18" t="e">
        <f t="shared" ca="1" si="185"/>
        <v>#N/A</v>
      </c>
      <c r="L2431" t="e">
        <f ca="1">IF(J2431,Charms!B2431,"")</f>
        <v>#N/A</v>
      </c>
      <c r="M2431" t="str">
        <f t="shared" ca="1" si="187"/>
        <v>-</v>
      </c>
      <c r="N2431" s="18" t="str">
        <f t="shared" si="188"/>
        <v>K1622:L5000</v>
      </c>
      <c r="O2431" t="str">
        <f t="shared" si="189"/>
        <v>A1622:A2431</v>
      </c>
    </row>
    <row r="2432" spans="1:15">
      <c r="A2432" s="18">
        <f>Charms!K2432</f>
        <v>0</v>
      </c>
      <c r="B2432">
        <f>Charms!B2432</f>
        <v>0</v>
      </c>
      <c r="C2432" t="b">
        <f ca="1">OR(Values!$S$98&gt;=Charms!M2432,IFERROR(Charms!J2432=OFFSET(Values!$A$24,MATCH("S",Values!$T$25:$T$50,0),0),FALSE))</f>
        <v>1</v>
      </c>
      <c r="D2432" t="e">
        <f>VLOOKUP(Charms!J2432,Values!$A$11:$S$59,19,0)&gt;=Charms!L2432</f>
        <v>#N/A</v>
      </c>
      <c r="E2432" t="e">
        <f>OR(ISBLANK(Charms!I2432),(VLOOKUP(Values!$S$6,Castes!$B$2:$F$25,4,0)=Charms!I2432))</f>
        <v>#N/A</v>
      </c>
      <c r="J2432" t="e">
        <f t="shared" ca="1" si="186"/>
        <v>#N/A</v>
      </c>
      <c r="K2432" s="18" t="e">
        <f t="shared" ca="1" si="185"/>
        <v>#N/A</v>
      </c>
      <c r="L2432" t="e">
        <f ca="1">IF(J2432,Charms!B2432,"")</f>
        <v>#N/A</v>
      </c>
      <c r="M2432" t="str">
        <f t="shared" ca="1" si="187"/>
        <v>-</v>
      </c>
      <c r="N2432" s="18" t="str">
        <f t="shared" si="188"/>
        <v>K1622:L5000</v>
      </c>
      <c r="O2432" t="str">
        <f t="shared" si="189"/>
        <v>A1622:A2432</v>
      </c>
    </row>
    <row r="2433" spans="1:15">
      <c r="A2433" s="18">
        <f>Charms!K2433</f>
        <v>0</v>
      </c>
      <c r="B2433">
        <f>Charms!B2433</f>
        <v>0</v>
      </c>
      <c r="C2433" t="b">
        <f ca="1">OR(Values!$S$98&gt;=Charms!M2433,IFERROR(Charms!J2433=OFFSET(Values!$A$24,MATCH("S",Values!$T$25:$T$50,0),0),FALSE))</f>
        <v>1</v>
      </c>
      <c r="D2433" t="e">
        <f>VLOOKUP(Charms!J2433,Values!$A$11:$S$59,19,0)&gt;=Charms!L2433</f>
        <v>#N/A</v>
      </c>
      <c r="E2433" t="e">
        <f>OR(ISBLANK(Charms!I2433),(VLOOKUP(Values!$S$6,Castes!$B$2:$F$25,4,0)=Charms!I2433))</f>
        <v>#N/A</v>
      </c>
      <c r="J2433" t="e">
        <f t="shared" ca="1" si="186"/>
        <v>#N/A</v>
      </c>
      <c r="K2433" s="18" t="e">
        <f t="shared" ca="1" si="185"/>
        <v>#N/A</v>
      </c>
      <c r="L2433" t="e">
        <f ca="1">IF(J2433,Charms!B2433,"")</f>
        <v>#N/A</v>
      </c>
      <c r="M2433" t="str">
        <f t="shared" ca="1" si="187"/>
        <v>-</v>
      </c>
      <c r="N2433" s="18" t="str">
        <f t="shared" si="188"/>
        <v>K1622:L5000</v>
      </c>
      <c r="O2433" t="str">
        <f t="shared" si="189"/>
        <v>A1622:A2433</v>
      </c>
    </row>
    <row r="2434" spans="1:15">
      <c r="A2434" s="18">
        <f>Charms!K2434</f>
        <v>0</v>
      </c>
      <c r="B2434">
        <f>Charms!B2434</f>
        <v>0</v>
      </c>
      <c r="C2434" t="b">
        <f ca="1">OR(Values!$S$98&gt;=Charms!M2434,IFERROR(Charms!J2434=OFFSET(Values!$A$24,MATCH("S",Values!$T$25:$T$50,0),0),FALSE))</f>
        <v>1</v>
      </c>
      <c r="D2434" t="e">
        <f>VLOOKUP(Charms!J2434,Values!$A$11:$S$59,19,0)&gt;=Charms!L2434</f>
        <v>#N/A</v>
      </c>
      <c r="E2434" t="e">
        <f>OR(ISBLANK(Charms!I2434),(VLOOKUP(Values!$S$6,Castes!$B$2:$F$25,4,0)=Charms!I2434))</f>
        <v>#N/A</v>
      </c>
      <c r="J2434" t="e">
        <f t="shared" ca="1" si="186"/>
        <v>#N/A</v>
      </c>
      <c r="K2434" s="18" t="e">
        <f t="shared" ref="K2434:K2497" ca="1" si="190">IF(L2434="","",COUNTIF(INDIRECT("J"&amp;MATCH(A2434,A:A,0)&amp;":J"&amp;ROW()),J2434))</f>
        <v>#N/A</v>
      </c>
      <c r="L2434" t="e">
        <f ca="1">IF(J2434,Charms!B2434,"")</f>
        <v>#N/A</v>
      </c>
      <c r="M2434" t="str">
        <f t="shared" ca="1" si="187"/>
        <v>-</v>
      </c>
      <c r="N2434" s="18" t="str">
        <f t="shared" si="188"/>
        <v>K1622:L5000</v>
      </c>
      <c r="O2434" t="str">
        <f t="shared" si="189"/>
        <v>A1622:A2434</v>
      </c>
    </row>
    <row r="2435" spans="1:15">
      <c r="A2435" s="18">
        <f>Charms!K2435</f>
        <v>0</v>
      </c>
      <c r="B2435">
        <f>Charms!B2435</f>
        <v>0</v>
      </c>
      <c r="C2435" t="b">
        <f ca="1">OR(Values!$S$98&gt;=Charms!M2435,IFERROR(Charms!J2435=OFFSET(Values!$A$24,MATCH("S",Values!$T$25:$T$50,0),0),FALSE))</f>
        <v>1</v>
      </c>
      <c r="D2435" t="e">
        <f>VLOOKUP(Charms!J2435,Values!$A$11:$S$59,19,0)&gt;=Charms!L2435</f>
        <v>#N/A</v>
      </c>
      <c r="E2435" t="e">
        <f>OR(ISBLANK(Charms!I2435),(VLOOKUP(Values!$S$6,Castes!$B$2:$F$25,4,0)=Charms!I2435))</f>
        <v>#N/A</v>
      </c>
      <c r="J2435" t="e">
        <f t="shared" ref="J2435:J2498" ca="1" si="191">(C2435+D2435+E2435+F2435+G2435+H2435+I2435)=3</f>
        <v>#N/A</v>
      </c>
      <c r="K2435" s="18" t="e">
        <f t="shared" ca="1" si="190"/>
        <v>#N/A</v>
      </c>
      <c r="L2435" t="e">
        <f ca="1">IF(J2435,Charms!B2435,"")</f>
        <v>#N/A</v>
      </c>
      <c r="M2435" t="str">
        <f t="shared" ref="M2435:M2498" ca="1" si="192">IFERROR(VLOOKUP(COUNTIF(INDIRECT(O2435),A2435),INDIRECT(N2435),2,0),"-")</f>
        <v>-</v>
      </c>
      <c r="N2435" s="18" t="str">
        <f t="shared" ref="N2435:N2498" si="193">"K"&amp;MATCH(A2435,A:A,0)&amp;":L"&amp;(MATCH(A2435,A:A,0)+COUNTIF(A:A,A2435)-1)</f>
        <v>K1622:L5000</v>
      </c>
      <c r="O2435" t="str">
        <f t="shared" ref="O2435:O2498" si="194">"A"&amp;MATCH(A2435,A:A,0)&amp;":A"&amp;ROW()</f>
        <v>A1622:A2435</v>
      </c>
    </row>
    <row r="2436" spans="1:15">
      <c r="A2436" s="18">
        <f>Charms!K2436</f>
        <v>0</v>
      </c>
      <c r="B2436">
        <f>Charms!B2436</f>
        <v>0</v>
      </c>
      <c r="C2436" t="b">
        <f ca="1">OR(Values!$S$98&gt;=Charms!M2436,IFERROR(Charms!J2436=OFFSET(Values!$A$24,MATCH("S",Values!$T$25:$T$50,0),0),FALSE))</f>
        <v>1</v>
      </c>
      <c r="D2436" t="e">
        <f>VLOOKUP(Charms!J2436,Values!$A$11:$S$59,19,0)&gt;=Charms!L2436</f>
        <v>#N/A</v>
      </c>
      <c r="E2436" t="e">
        <f>OR(ISBLANK(Charms!I2436),(VLOOKUP(Values!$S$6,Castes!$B$2:$F$25,4,0)=Charms!I2436))</f>
        <v>#N/A</v>
      </c>
      <c r="J2436" t="e">
        <f t="shared" ca="1" si="191"/>
        <v>#N/A</v>
      </c>
      <c r="K2436" s="18" t="e">
        <f t="shared" ca="1" si="190"/>
        <v>#N/A</v>
      </c>
      <c r="L2436" t="e">
        <f ca="1">IF(J2436,Charms!B2436,"")</f>
        <v>#N/A</v>
      </c>
      <c r="M2436" t="str">
        <f t="shared" ca="1" si="192"/>
        <v>-</v>
      </c>
      <c r="N2436" s="18" t="str">
        <f t="shared" si="193"/>
        <v>K1622:L5000</v>
      </c>
      <c r="O2436" t="str">
        <f t="shared" si="194"/>
        <v>A1622:A2436</v>
      </c>
    </row>
    <row r="2437" spans="1:15">
      <c r="A2437" s="18">
        <f>Charms!K2437</f>
        <v>0</v>
      </c>
      <c r="B2437">
        <f>Charms!B2437</f>
        <v>0</v>
      </c>
      <c r="C2437" t="b">
        <f ca="1">OR(Values!$S$98&gt;=Charms!M2437,IFERROR(Charms!J2437=OFFSET(Values!$A$24,MATCH("S",Values!$T$25:$T$50,0),0),FALSE))</f>
        <v>1</v>
      </c>
      <c r="D2437" t="e">
        <f>VLOOKUP(Charms!J2437,Values!$A$11:$S$59,19,0)&gt;=Charms!L2437</f>
        <v>#N/A</v>
      </c>
      <c r="E2437" t="e">
        <f>OR(ISBLANK(Charms!I2437),(VLOOKUP(Values!$S$6,Castes!$B$2:$F$25,4,0)=Charms!I2437))</f>
        <v>#N/A</v>
      </c>
      <c r="J2437" t="e">
        <f t="shared" ca="1" si="191"/>
        <v>#N/A</v>
      </c>
      <c r="K2437" s="18" t="e">
        <f t="shared" ca="1" si="190"/>
        <v>#N/A</v>
      </c>
      <c r="L2437" t="e">
        <f ca="1">IF(J2437,Charms!B2437,"")</f>
        <v>#N/A</v>
      </c>
      <c r="M2437" t="str">
        <f t="shared" ca="1" si="192"/>
        <v>-</v>
      </c>
      <c r="N2437" s="18" t="str">
        <f t="shared" si="193"/>
        <v>K1622:L5000</v>
      </c>
      <c r="O2437" t="str">
        <f t="shared" si="194"/>
        <v>A1622:A2437</v>
      </c>
    </row>
    <row r="2438" spans="1:15">
      <c r="A2438" s="18">
        <f>Charms!K2438</f>
        <v>0</v>
      </c>
      <c r="B2438">
        <f>Charms!B2438</f>
        <v>0</v>
      </c>
      <c r="C2438" t="b">
        <f ca="1">OR(Values!$S$98&gt;=Charms!M2438,IFERROR(Charms!J2438=OFFSET(Values!$A$24,MATCH("S",Values!$T$25:$T$50,0),0),FALSE))</f>
        <v>1</v>
      </c>
      <c r="D2438" t="e">
        <f>VLOOKUP(Charms!J2438,Values!$A$11:$S$59,19,0)&gt;=Charms!L2438</f>
        <v>#N/A</v>
      </c>
      <c r="E2438" t="e">
        <f>OR(ISBLANK(Charms!I2438),(VLOOKUP(Values!$S$6,Castes!$B$2:$F$25,4,0)=Charms!I2438))</f>
        <v>#N/A</v>
      </c>
      <c r="J2438" t="e">
        <f t="shared" ca="1" si="191"/>
        <v>#N/A</v>
      </c>
      <c r="K2438" s="18" t="e">
        <f t="shared" ca="1" si="190"/>
        <v>#N/A</v>
      </c>
      <c r="L2438" t="e">
        <f ca="1">IF(J2438,Charms!B2438,"")</f>
        <v>#N/A</v>
      </c>
      <c r="M2438" t="str">
        <f t="shared" ca="1" si="192"/>
        <v>-</v>
      </c>
      <c r="N2438" s="18" t="str">
        <f t="shared" si="193"/>
        <v>K1622:L5000</v>
      </c>
      <c r="O2438" t="str">
        <f t="shared" si="194"/>
        <v>A1622:A2438</v>
      </c>
    </row>
    <row r="2439" spans="1:15">
      <c r="A2439" s="18">
        <f>Charms!K2439</f>
        <v>0</v>
      </c>
      <c r="B2439">
        <f>Charms!B2439</f>
        <v>0</v>
      </c>
      <c r="C2439" t="b">
        <f ca="1">OR(Values!$S$98&gt;=Charms!M2439,IFERROR(Charms!J2439=OFFSET(Values!$A$24,MATCH("S",Values!$T$25:$T$50,0),0),FALSE))</f>
        <v>1</v>
      </c>
      <c r="D2439" t="e">
        <f>VLOOKUP(Charms!J2439,Values!$A$11:$S$59,19,0)&gt;=Charms!L2439</f>
        <v>#N/A</v>
      </c>
      <c r="E2439" t="e">
        <f>OR(ISBLANK(Charms!I2439),(VLOOKUP(Values!$S$6,Castes!$B$2:$F$25,4,0)=Charms!I2439))</f>
        <v>#N/A</v>
      </c>
      <c r="J2439" t="e">
        <f t="shared" ca="1" si="191"/>
        <v>#N/A</v>
      </c>
      <c r="K2439" s="18" t="e">
        <f t="shared" ca="1" si="190"/>
        <v>#N/A</v>
      </c>
      <c r="L2439" t="e">
        <f ca="1">IF(J2439,Charms!B2439,"")</f>
        <v>#N/A</v>
      </c>
      <c r="M2439" t="str">
        <f t="shared" ca="1" si="192"/>
        <v>-</v>
      </c>
      <c r="N2439" s="18" t="str">
        <f t="shared" si="193"/>
        <v>K1622:L5000</v>
      </c>
      <c r="O2439" t="str">
        <f t="shared" si="194"/>
        <v>A1622:A2439</v>
      </c>
    </row>
    <row r="2440" spans="1:15">
      <c r="A2440" s="18">
        <f>Charms!K2440</f>
        <v>0</v>
      </c>
      <c r="B2440">
        <f>Charms!B2440</f>
        <v>0</v>
      </c>
      <c r="C2440" t="b">
        <f ca="1">OR(Values!$S$98&gt;=Charms!M2440,IFERROR(Charms!J2440=OFFSET(Values!$A$24,MATCH("S",Values!$T$25:$T$50,0),0),FALSE))</f>
        <v>1</v>
      </c>
      <c r="D2440" t="e">
        <f>VLOOKUP(Charms!J2440,Values!$A$11:$S$59,19,0)&gt;=Charms!L2440</f>
        <v>#N/A</v>
      </c>
      <c r="E2440" t="e">
        <f>OR(ISBLANK(Charms!I2440),(VLOOKUP(Values!$S$6,Castes!$B$2:$F$25,4,0)=Charms!I2440))</f>
        <v>#N/A</v>
      </c>
      <c r="J2440" t="e">
        <f t="shared" ca="1" si="191"/>
        <v>#N/A</v>
      </c>
      <c r="K2440" s="18" t="e">
        <f t="shared" ca="1" si="190"/>
        <v>#N/A</v>
      </c>
      <c r="L2440" t="e">
        <f ca="1">IF(J2440,Charms!B2440,"")</f>
        <v>#N/A</v>
      </c>
      <c r="M2440" t="str">
        <f t="shared" ca="1" si="192"/>
        <v>-</v>
      </c>
      <c r="N2440" s="18" t="str">
        <f t="shared" si="193"/>
        <v>K1622:L5000</v>
      </c>
      <c r="O2440" t="str">
        <f t="shared" si="194"/>
        <v>A1622:A2440</v>
      </c>
    </row>
    <row r="2441" spans="1:15">
      <c r="A2441" s="18">
        <f>Charms!K2441</f>
        <v>0</v>
      </c>
      <c r="B2441">
        <f>Charms!B2441</f>
        <v>0</v>
      </c>
      <c r="C2441" t="b">
        <f ca="1">OR(Values!$S$98&gt;=Charms!M2441,IFERROR(Charms!J2441=OFFSET(Values!$A$24,MATCH("S",Values!$T$25:$T$50,0),0),FALSE))</f>
        <v>1</v>
      </c>
      <c r="D2441" t="e">
        <f>VLOOKUP(Charms!J2441,Values!$A$11:$S$59,19,0)&gt;=Charms!L2441</f>
        <v>#N/A</v>
      </c>
      <c r="E2441" t="e">
        <f>OR(ISBLANK(Charms!I2441),(VLOOKUP(Values!$S$6,Castes!$B$2:$F$25,4,0)=Charms!I2441))</f>
        <v>#N/A</v>
      </c>
      <c r="J2441" t="e">
        <f t="shared" ca="1" si="191"/>
        <v>#N/A</v>
      </c>
      <c r="K2441" s="18" t="e">
        <f t="shared" ca="1" si="190"/>
        <v>#N/A</v>
      </c>
      <c r="L2441" t="e">
        <f ca="1">IF(J2441,Charms!B2441,"")</f>
        <v>#N/A</v>
      </c>
      <c r="M2441" t="str">
        <f t="shared" ca="1" si="192"/>
        <v>-</v>
      </c>
      <c r="N2441" s="18" t="str">
        <f t="shared" si="193"/>
        <v>K1622:L5000</v>
      </c>
      <c r="O2441" t="str">
        <f t="shared" si="194"/>
        <v>A1622:A2441</v>
      </c>
    </row>
    <row r="2442" spans="1:15">
      <c r="A2442" s="18">
        <f>Charms!K2442</f>
        <v>0</v>
      </c>
      <c r="B2442">
        <f>Charms!B2442</f>
        <v>0</v>
      </c>
      <c r="C2442" t="b">
        <f ca="1">OR(Values!$S$98&gt;=Charms!M2442,IFERROR(Charms!J2442=OFFSET(Values!$A$24,MATCH("S",Values!$T$25:$T$50,0),0),FALSE))</f>
        <v>1</v>
      </c>
      <c r="D2442" t="e">
        <f>VLOOKUP(Charms!J2442,Values!$A$11:$S$59,19,0)&gt;=Charms!L2442</f>
        <v>#N/A</v>
      </c>
      <c r="E2442" t="e">
        <f>OR(ISBLANK(Charms!I2442),(VLOOKUP(Values!$S$6,Castes!$B$2:$F$25,4,0)=Charms!I2442))</f>
        <v>#N/A</v>
      </c>
      <c r="J2442" t="e">
        <f t="shared" ca="1" si="191"/>
        <v>#N/A</v>
      </c>
      <c r="K2442" s="18" t="e">
        <f t="shared" ca="1" si="190"/>
        <v>#N/A</v>
      </c>
      <c r="L2442" t="e">
        <f ca="1">IF(J2442,Charms!B2442,"")</f>
        <v>#N/A</v>
      </c>
      <c r="M2442" t="str">
        <f t="shared" ca="1" si="192"/>
        <v>-</v>
      </c>
      <c r="N2442" s="18" t="str">
        <f t="shared" si="193"/>
        <v>K1622:L5000</v>
      </c>
      <c r="O2442" t="str">
        <f t="shared" si="194"/>
        <v>A1622:A2442</v>
      </c>
    </row>
    <row r="2443" spans="1:15">
      <c r="A2443" s="18">
        <f>Charms!K2443</f>
        <v>0</v>
      </c>
      <c r="B2443">
        <f>Charms!B2443</f>
        <v>0</v>
      </c>
      <c r="C2443" t="b">
        <f ca="1">OR(Values!$S$98&gt;=Charms!M2443,IFERROR(Charms!J2443=OFFSET(Values!$A$24,MATCH("S",Values!$T$25:$T$50,0),0),FALSE))</f>
        <v>1</v>
      </c>
      <c r="D2443" t="e">
        <f>VLOOKUP(Charms!J2443,Values!$A$11:$S$59,19,0)&gt;=Charms!L2443</f>
        <v>#N/A</v>
      </c>
      <c r="E2443" t="e">
        <f>OR(ISBLANK(Charms!I2443),(VLOOKUP(Values!$S$6,Castes!$B$2:$F$25,4,0)=Charms!I2443))</f>
        <v>#N/A</v>
      </c>
      <c r="J2443" t="e">
        <f t="shared" ca="1" si="191"/>
        <v>#N/A</v>
      </c>
      <c r="K2443" s="18" t="e">
        <f t="shared" ca="1" si="190"/>
        <v>#N/A</v>
      </c>
      <c r="L2443" t="e">
        <f ca="1">IF(J2443,Charms!B2443,"")</f>
        <v>#N/A</v>
      </c>
      <c r="M2443" t="str">
        <f t="shared" ca="1" si="192"/>
        <v>-</v>
      </c>
      <c r="N2443" s="18" t="str">
        <f t="shared" si="193"/>
        <v>K1622:L5000</v>
      </c>
      <c r="O2443" t="str">
        <f t="shared" si="194"/>
        <v>A1622:A2443</v>
      </c>
    </row>
    <row r="2444" spans="1:15">
      <c r="A2444" s="18">
        <f>Charms!K2444</f>
        <v>0</v>
      </c>
      <c r="B2444">
        <f>Charms!B2444</f>
        <v>0</v>
      </c>
      <c r="C2444" t="b">
        <f ca="1">OR(Values!$S$98&gt;=Charms!M2444,IFERROR(Charms!J2444=OFFSET(Values!$A$24,MATCH("S",Values!$T$25:$T$50,0),0),FALSE))</f>
        <v>1</v>
      </c>
      <c r="D2444" t="e">
        <f>VLOOKUP(Charms!J2444,Values!$A$11:$S$59,19,0)&gt;=Charms!L2444</f>
        <v>#N/A</v>
      </c>
      <c r="E2444" t="e">
        <f>OR(ISBLANK(Charms!I2444),(VLOOKUP(Values!$S$6,Castes!$B$2:$F$25,4,0)=Charms!I2444))</f>
        <v>#N/A</v>
      </c>
      <c r="J2444" t="e">
        <f t="shared" ca="1" si="191"/>
        <v>#N/A</v>
      </c>
      <c r="K2444" s="18" t="e">
        <f t="shared" ca="1" si="190"/>
        <v>#N/A</v>
      </c>
      <c r="L2444" t="e">
        <f ca="1">IF(J2444,Charms!B2444,"")</f>
        <v>#N/A</v>
      </c>
      <c r="M2444" t="str">
        <f t="shared" ca="1" si="192"/>
        <v>-</v>
      </c>
      <c r="N2444" s="18" t="str">
        <f t="shared" si="193"/>
        <v>K1622:L5000</v>
      </c>
      <c r="O2444" t="str">
        <f t="shared" si="194"/>
        <v>A1622:A2444</v>
      </c>
    </row>
    <row r="2445" spans="1:15">
      <c r="A2445" s="18">
        <f>Charms!K2445</f>
        <v>0</v>
      </c>
      <c r="B2445">
        <f>Charms!B2445</f>
        <v>0</v>
      </c>
      <c r="C2445" t="b">
        <f ca="1">OR(Values!$S$98&gt;=Charms!M2445,IFERROR(Charms!J2445=OFFSET(Values!$A$24,MATCH("S",Values!$T$25:$T$50,0),0),FALSE))</f>
        <v>1</v>
      </c>
      <c r="D2445" t="e">
        <f>VLOOKUP(Charms!J2445,Values!$A$11:$S$59,19,0)&gt;=Charms!L2445</f>
        <v>#N/A</v>
      </c>
      <c r="E2445" t="e">
        <f>OR(ISBLANK(Charms!I2445),(VLOOKUP(Values!$S$6,Castes!$B$2:$F$25,4,0)=Charms!I2445))</f>
        <v>#N/A</v>
      </c>
      <c r="J2445" t="e">
        <f t="shared" ca="1" si="191"/>
        <v>#N/A</v>
      </c>
      <c r="K2445" s="18" t="e">
        <f t="shared" ca="1" si="190"/>
        <v>#N/A</v>
      </c>
      <c r="L2445" t="e">
        <f ca="1">IF(J2445,Charms!B2445,"")</f>
        <v>#N/A</v>
      </c>
      <c r="M2445" t="str">
        <f t="shared" ca="1" si="192"/>
        <v>-</v>
      </c>
      <c r="N2445" s="18" t="str">
        <f t="shared" si="193"/>
        <v>K1622:L5000</v>
      </c>
      <c r="O2445" t="str">
        <f t="shared" si="194"/>
        <v>A1622:A2445</v>
      </c>
    </row>
    <row r="2446" spans="1:15">
      <c r="A2446" s="18">
        <f>Charms!K2446</f>
        <v>0</v>
      </c>
      <c r="B2446">
        <f>Charms!B2446</f>
        <v>0</v>
      </c>
      <c r="C2446" t="b">
        <f ca="1">OR(Values!$S$98&gt;=Charms!M2446,IFERROR(Charms!J2446=OFFSET(Values!$A$24,MATCH("S",Values!$T$25:$T$50,0),0),FALSE))</f>
        <v>1</v>
      </c>
      <c r="D2446" t="e">
        <f>VLOOKUP(Charms!J2446,Values!$A$11:$S$59,19,0)&gt;=Charms!L2446</f>
        <v>#N/A</v>
      </c>
      <c r="E2446" t="e">
        <f>OR(ISBLANK(Charms!I2446),(VLOOKUP(Values!$S$6,Castes!$B$2:$F$25,4,0)=Charms!I2446))</f>
        <v>#N/A</v>
      </c>
      <c r="J2446" t="e">
        <f t="shared" ca="1" si="191"/>
        <v>#N/A</v>
      </c>
      <c r="K2446" s="18" t="e">
        <f t="shared" ca="1" si="190"/>
        <v>#N/A</v>
      </c>
      <c r="L2446" t="e">
        <f ca="1">IF(J2446,Charms!B2446,"")</f>
        <v>#N/A</v>
      </c>
      <c r="M2446" t="str">
        <f t="shared" ca="1" si="192"/>
        <v>-</v>
      </c>
      <c r="N2446" s="18" t="str">
        <f t="shared" si="193"/>
        <v>K1622:L5000</v>
      </c>
      <c r="O2446" t="str">
        <f t="shared" si="194"/>
        <v>A1622:A2446</v>
      </c>
    </row>
    <row r="2447" spans="1:15">
      <c r="A2447" s="18">
        <f>Charms!K2447</f>
        <v>0</v>
      </c>
      <c r="B2447">
        <f>Charms!B2447</f>
        <v>0</v>
      </c>
      <c r="C2447" t="b">
        <f ca="1">OR(Values!$S$98&gt;=Charms!M2447,IFERROR(Charms!J2447=OFFSET(Values!$A$24,MATCH("S",Values!$T$25:$T$50,0),0),FALSE))</f>
        <v>1</v>
      </c>
      <c r="D2447" t="e">
        <f>VLOOKUP(Charms!J2447,Values!$A$11:$S$59,19,0)&gt;=Charms!L2447</f>
        <v>#N/A</v>
      </c>
      <c r="E2447" t="e">
        <f>OR(ISBLANK(Charms!I2447),(VLOOKUP(Values!$S$6,Castes!$B$2:$F$25,4,0)=Charms!I2447))</f>
        <v>#N/A</v>
      </c>
      <c r="J2447" t="e">
        <f t="shared" ca="1" si="191"/>
        <v>#N/A</v>
      </c>
      <c r="K2447" s="18" t="e">
        <f t="shared" ca="1" si="190"/>
        <v>#N/A</v>
      </c>
      <c r="L2447" t="e">
        <f ca="1">IF(J2447,Charms!B2447,"")</f>
        <v>#N/A</v>
      </c>
      <c r="M2447" t="str">
        <f t="shared" ca="1" si="192"/>
        <v>-</v>
      </c>
      <c r="N2447" s="18" t="str">
        <f t="shared" si="193"/>
        <v>K1622:L5000</v>
      </c>
      <c r="O2447" t="str">
        <f t="shared" si="194"/>
        <v>A1622:A2447</v>
      </c>
    </row>
    <row r="2448" spans="1:15">
      <c r="A2448" s="18">
        <f>Charms!K2448</f>
        <v>0</v>
      </c>
      <c r="B2448">
        <f>Charms!B2448</f>
        <v>0</v>
      </c>
      <c r="C2448" t="b">
        <f ca="1">OR(Values!$S$98&gt;=Charms!M2448,IFERROR(Charms!J2448=OFFSET(Values!$A$24,MATCH("S",Values!$T$25:$T$50,0),0),FALSE))</f>
        <v>1</v>
      </c>
      <c r="D2448" t="e">
        <f>VLOOKUP(Charms!J2448,Values!$A$11:$S$59,19,0)&gt;=Charms!L2448</f>
        <v>#N/A</v>
      </c>
      <c r="E2448" t="e">
        <f>OR(ISBLANK(Charms!I2448),(VLOOKUP(Values!$S$6,Castes!$B$2:$F$25,4,0)=Charms!I2448))</f>
        <v>#N/A</v>
      </c>
      <c r="J2448" t="e">
        <f t="shared" ca="1" si="191"/>
        <v>#N/A</v>
      </c>
      <c r="K2448" s="18" t="e">
        <f t="shared" ca="1" si="190"/>
        <v>#N/A</v>
      </c>
      <c r="L2448" t="e">
        <f ca="1">IF(J2448,Charms!B2448,"")</f>
        <v>#N/A</v>
      </c>
      <c r="M2448" t="str">
        <f t="shared" ca="1" si="192"/>
        <v>-</v>
      </c>
      <c r="N2448" s="18" t="str">
        <f t="shared" si="193"/>
        <v>K1622:L5000</v>
      </c>
      <c r="O2448" t="str">
        <f t="shared" si="194"/>
        <v>A1622:A2448</v>
      </c>
    </row>
    <row r="2449" spans="1:15">
      <c r="A2449" s="18">
        <f>Charms!K2449</f>
        <v>0</v>
      </c>
      <c r="B2449">
        <f>Charms!B2449</f>
        <v>0</v>
      </c>
      <c r="C2449" t="b">
        <f ca="1">OR(Values!$S$98&gt;=Charms!M2449,IFERROR(Charms!J2449=OFFSET(Values!$A$24,MATCH("S",Values!$T$25:$T$50,0),0),FALSE))</f>
        <v>1</v>
      </c>
      <c r="D2449" t="e">
        <f>VLOOKUP(Charms!J2449,Values!$A$11:$S$59,19,0)&gt;=Charms!L2449</f>
        <v>#N/A</v>
      </c>
      <c r="E2449" t="e">
        <f>OR(ISBLANK(Charms!I2449),(VLOOKUP(Values!$S$6,Castes!$B$2:$F$25,4,0)=Charms!I2449))</f>
        <v>#N/A</v>
      </c>
      <c r="J2449" t="e">
        <f t="shared" ca="1" si="191"/>
        <v>#N/A</v>
      </c>
      <c r="K2449" s="18" t="e">
        <f t="shared" ca="1" si="190"/>
        <v>#N/A</v>
      </c>
      <c r="L2449" t="e">
        <f ca="1">IF(J2449,Charms!B2449,"")</f>
        <v>#N/A</v>
      </c>
      <c r="M2449" t="str">
        <f t="shared" ca="1" si="192"/>
        <v>-</v>
      </c>
      <c r="N2449" s="18" t="str">
        <f t="shared" si="193"/>
        <v>K1622:L5000</v>
      </c>
      <c r="O2449" t="str">
        <f t="shared" si="194"/>
        <v>A1622:A2449</v>
      </c>
    </row>
    <row r="2450" spans="1:15">
      <c r="A2450" s="18">
        <f>Charms!K2450</f>
        <v>0</v>
      </c>
      <c r="B2450">
        <f>Charms!B2450</f>
        <v>0</v>
      </c>
      <c r="C2450" t="b">
        <f ca="1">OR(Values!$S$98&gt;=Charms!M2450,IFERROR(Charms!J2450=OFFSET(Values!$A$24,MATCH("S",Values!$T$25:$T$50,0),0),FALSE))</f>
        <v>1</v>
      </c>
      <c r="D2450" t="e">
        <f>VLOOKUP(Charms!J2450,Values!$A$11:$S$59,19,0)&gt;=Charms!L2450</f>
        <v>#N/A</v>
      </c>
      <c r="E2450" t="e">
        <f>OR(ISBLANK(Charms!I2450),(VLOOKUP(Values!$S$6,Castes!$B$2:$F$25,4,0)=Charms!I2450))</f>
        <v>#N/A</v>
      </c>
      <c r="J2450" t="e">
        <f t="shared" ca="1" si="191"/>
        <v>#N/A</v>
      </c>
      <c r="K2450" s="18" t="e">
        <f t="shared" ca="1" si="190"/>
        <v>#N/A</v>
      </c>
      <c r="L2450" t="e">
        <f ca="1">IF(J2450,Charms!B2450,"")</f>
        <v>#N/A</v>
      </c>
      <c r="M2450" t="str">
        <f t="shared" ca="1" si="192"/>
        <v>-</v>
      </c>
      <c r="N2450" s="18" t="str">
        <f t="shared" si="193"/>
        <v>K1622:L5000</v>
      </c>
      <c r="O2450" t="str">
        <f t="shared" si="194"/>
        <v>A1622:A2450</v>
      </c>
    </row>
    <row r="2451" spans="1:15">
      <c r="A2451" s="18">
        <f>Charms!K2451</f>
        <v>0</v>
      </c>
      <c r="B2451">
        <f>Charms!B2451</f>
        <v>0</v>
      </c>
      <c r="C2451" t="b">
        <f ca="1">OR(Values!$S$98&gt;=Charms!M2451,IFERROR(Charms!J2451=OFFSET(Values!$A$24,MATCH("S",Values!$T$25:$T$50,0),0),FALSE))</f>
        <v>1</v>
      </c>
      <c r="D2451" t="e">
        <f>VLOOKUP(Charms!J2451,Values!$A$11:$S$59,19,0)&gt;=Charms!L2451</f>
        <v>#N/A</v>
      </c>
      <c r="E2451" t="e">
        <f>OR(ISBLANK(Charms!I2451),(VLOOKUP(Values!$S$6,Castes!$B$2:$F$25,4,0)=Charms!I2451))</f>
        <v>#N/A</v>
      </c>
      <c r="J2451" t="e">
        <f t="shared" ca="1" si="191"/>
        <v>#N/A</v>
      </c>
      <c r="K2451" s="18" t="e">
        <f t="shared" ca="1" si="190"/>
        <v>#N/A</v>
      </c>
      <c r="L2451" t="e">
        <f ca="1">IF(J2451,Charms!B2451,"")</f>
        <v>#N/A</v>
      </c>
      <c r="M2451" t="str">
        <f t="shared" ca="1" si="192"/>
        <v>-</v>
      </c>
      <c r="N2451" s="18" t="str">
        <f t="shared" si="193"/>
        <v>K1622:L5000</v>
      </c>
      <c r="O2451" t="str">
        <f t="shared" si="194"/>
        <v>A1622:A2451</v>
      </c>
    </row>
    <row r="2452" spans="1:15">
      <c r="A2452" s="18">
        <f>Charms!K2452</f>
        <v>0</v>
      </c>
      <c r="B2452">
        <f>Charms!B2452</f>
        <v>0</v>
      </c>
      <c r="C2452" t="b">
        <f ca="1">OR(Values!$S$98&gt;=Charms!M2452,IFERROR(Charms!J2452=OFFSET(Values!$A$24,MATCH("S",Values!$T$25:$T$50,0),0),FALSE))</f>
        <v>1</v>
      </c>
      <c r="D2452" t="e">
        <f>VLOOKUP(Charms!J2452,Values!$A$11:$S$59,19,0)&gt;=Charms!L2452</f>
        <v>#N/A</v>
      </c>
      <c r="E2452" t="e">
        <f>OR(ISBLANK(Charms!I2452),(VLOOKUP(Values!$S$6,Castes!$B$2:$F$25,4,0)=Charms!I2452))</f>
        <v>#N/A</v>
      </c>
      <c r="J2452" t="e">
        <f t="shared" ca="1" si="191"/>
        <v>#N/A</v>
      </c>
      <c r="K2452" s="18" t="e">
        <f t="shared" ca="1" si="190"/>
        <v>#N/A</v>
      </c>
      <c r="L2452" t="e">
        <f ca="1">IF(J2452,Charms!B2452,"")</f>
        <v>#N/A</v>
      </c>
      <c r="M2452" t="str">
        <f t="shared" ca="1" si="192"/>
        <v>-</v>
      </c>
      <c r="N2452" s="18" t="str">
        <f t="shared" si="193"/>
        <v>K1622:L5000</v>
      </c>
      <c r="O2452" t="str">
        <f t="shared" si="194"/>
        <v>A1622:A2452</v>
      </c>
    </row>
    <row r="2453" spans="1:15">
      <c r="A2453" s="18">
        <f>Charms!K2453</f>
        <v>0</v>
      </c>
      <c r="B2453">
        <f>Charms!B2453</f>
        <v>0</v>
      </c>
      <c r="C2453" t="b">
        <f ca="1">OR(Values!$S$98&gt;=Charms!M2453,IFERROR(Charms!J2453=OFFSET(Values!$A$24,MATCH("S",Values!$T$25:$T$50,0),0),FALSE))</f>
        <v>1</v>
      </c>
      <c r="D2453" t="e">
        <f>VLOOKUP(Charms!J2453,Values!$A$11:$S$59,19,0)&gt;=Charms!L2453</f>
        <v>#N/A</v>
      </c>
      <c r="E2453" t="e">
        <f>OR(ISBLANK(Charms!I2453),(VLOOKUP(Values!$S$6,Castes!$B$2:$F$25,4,0)=Charms!I2453))</f>
        <v>#N/A</v>
      </c>
      <c r="J2453" t="e">
        <f t="shared" ca="1" si="191"/>
        <v>#N/A</v>
      </c>
      <c r="K2453" s="18" t="e">
        <f t="shared" ca="1" si="190"/>
        <v>#N/A</v>
      </c>
      <c r="L2453" t="e">
        <f ca="1">IF(J2453,Charms!B2453,"")</f>
        <v>#N/A</v>
      </c>
      <c r="M2453" t="str">
        <f t="shared" ca="1" si="192"/>
        <v>-</v>
      </c>
      <c r="N2453" s="18" t="str">
        <f t="shared" si="193"/>
        <v>K1622:L5000</v>
      </c>
      <c r="O2453" t="str">
        <f t="shared" si="194"/>
        <v>A1622:A2453</v>
      </c>
    </row>
    <row r="2454" spans="1:15">
      <c r="A2454" s="18">
        <f>Charms!K2454</f>
        <v>0</v>
      </c>
      <c r="B2454">
        <f>Charms!B2454</f>
        <v>0</v>
      </c>
      <c r="C2454" t="b">
        <f ca="1">OR(Values!$S$98&gt;=Charms!M2454,IFERROR(Charms!J2454=OFFSET(Values!$A$24,MATCH("S",Values!$T$25:$T$50,0),0),FALSE))</f>
        <v>1</v>
      </c>
      <c r="D2454" t="e">
        <f>VLOOKUP(Charms!J2454,Values!$A$11:$S$59,19,0)&gt;=Charms!L2454</f>
        <v>#N/A</v>
      </c>
      <c r="E2454" t="e">
        <f>OR(ISBLANK(Charms!I2454),(VLOOKUP(Values!$S$6,Castes!$B$2:$F$25,4,0)=Charms!I2454))</f>
        <v>#N/A</v>
      </c>
      <c r="J2454" t="e">
        <f t="shared" ca="1" si="191"/>
        <v>#N/A</v>
      </c>
      <c r="K2454" s="18" t="e">
        <f t="shared" ca="1" si="190"/>
        <v>#N/A</v>
      </c>
      <c r="L2454" t="e">
        <f ca="1">IF(J2454,Charms!B2454,"")</f>
        <v>#N/A</v>
      </c>
      <c r="M2454" t="str">
        <f t="shared" ca="1" si="192"/>
        <v>-</v>
      </c>
      <c r="N2454" s="18" t="str">
        <f t="shared" si="193"/>
        <v>K1622:L5000</v>
      </c>
      <c r="O2454" t="str">
        <f t="shared" si="194"/>
        <v>A1622:A2454</v>
      </c>
    </row>
    <row r="2455" spans="1:15">
      <c r="A2455" s="18">
        <f>Charms!K2455</f>
        <v>0</v>
      </c>
      <c r="B2455">
        <f>Charms!B2455</f>
        <v>0</v>
      </c>
      <c r="C2455" t="b">
        <f ca="1">OR(Values!$S$98&gt;=Charms!M2455,IFERROR(Charms!J2455=OFFSET(Values!$A$24,MATCH("S",Values!$T$25:$T$50,0),0),FALSE))</f>
        <v>1</v>
      </c>
      <c r="D2455" t="e">
        <f>VLOOKUP(Charms!J2455,Values!$A$11:$S$59,19,0)&gt;=Charms!L2455</f>
        <v>#N/A</v>
      </c>
      <c r="E2455" t="e">
        <f>OR(ISBLANK(Charms!I2455),(VLOOKUP(Values!$S$6,Castes!$B$2:$F$25,4,0)=Charms!I2455))</f>
        <v>#N/A</v>
      </c>
      <c r="J2455" t="e">
        <f t="shared" ca="1" si="191"/>
        <v>#N/A</v>
      </c>
      <c r="K2455" s="18" t="e">
        <f t="shared" ca="1" si="190"/>
        <v>#N/A</v>
      </c>
      <c r="L2455" t="e">
        <f ca="1">IF(J2455,Charms!B2455,"")</f>
        <v>#N/A</v>
      </c>
      <c r="M2455" t="str">
        <f t="shared" ca="1" si="192"/>
        <v>-</v>
      </c>
      <c r="N2455" s="18" t="str">
        <f t="shared" si="193"/>
        <v>K1622:L5000</v>
      </c>
      <c r="O2455" t="str">
        <f t="shared" si="194"/>
        <v>A1622:A2455</v>
      </c>
    </row>
    <row r="2456" spans="1:15">
      <c r="A2456" s="18">
        <f>Charms!K2456</f>
        <v>0</v>
      </c>
      <c r="B2456">
        <f>Charms!B2456</f>
        <v>0</v>
      </c>
      <c r="C2456" t="b">
        <f ca="1">OR(Values!$S$98&gt;=Charms!M2456,IFERROR(Charms!J2456=OFFSET(Values!$A$24,MATCH("S",Values!$T$25:$T$50,0),0),FALSE))</f>
        <v>1</v>
      </c>
      <c r="D2456" t="e">
        <f>VLOOKUP(Charms!J2456,Values!$A$11:$S$59,19,0)&gt;=Charms!L2456</f>
        <v>#N/A</v>
      </c>
      <c r="E2456" t="e">
        <f>OR(ISBLANK(Charms!I2456),(VLOOKUP(Values!$S$6,Castes!$B$2:$F$25,4,0)=Charms!I2456))</f>
        <v>#N/A</v>
      </c>
      <c r="J2456" t="e">
        <f t="shared" ca="1" si="191"/>
        <v>#N/A</v>
      </c>
      <c r="K2456" s="18" t="e">
        <f t="shared" ca="1" si="190"/>
        <v>#N/A</v>
      </c>
      <c r="L2456" t="e">
        <f ca="1">IF(J2456,Charms!B2456,"")</f>
        <v>#N/A</v>
      </c>
      <c r="M2456" t="str">
        <f t="shared" ca="1" si="192"/>
        <v>-</v>
      </c>
      <c r="N2456" s="18" t="str">
        <f t="shared" si="193"/>
        <v>K1622:L5000</v>
      </c>
      <c r="O2456" t="str">
        <f t="shared" si="194"/>
        <v>A1622:A2456</v>
      </c>
    </row>
    <row r="2457" spans="1:15">
      <c r="A2457" s="18">
        <f>Charms!K2457</f>
        <v>0</v>
      </c>
      <c r="B2457">
        <f>Charms!B2457</f>
        <v>0</v>
      </c>
      <c r="C2457" t="b">
        <f ca="1">OR(Values!$S$98&gt;=Charms!M2457,IFERROR(Charms!J2457=OFFSET(Values!$A$24,MATCH("S",Values!$T$25:$T$50,0),0),FALSE))</f>
        <v>1</v>
      </c>
      <c r="D2457" t="e">
        <f>VLOOKUP(Charms!J2457,Values!$A$11:$S$59,19,0)&gt;=Charms!L2457</f>
        <v>#N/A</v>
      </c>
      <c r="E2457" t="e">
        <f>OR(ISBLANK(Charms!I2457),(VLOOKUP(Values!$S$6,Castes!$B$2:$F$25,4,0)=Charms!I2457))</f>
        <v>#N/A</v>
      </c>
      <c r="J2457" t="e">
        <f t="shared" ca="1" si="191"/>
        <v>#N/A</v>
      </c>
      <c r="K2457" s="18" t="e">
        <f t="shared" ca="1" si="190"/>
        <v>#N/A</v>
      </c>
      <c r="L2457" t="e">
        <f ca="1">IF(J2457,Charms!B2457,"")</f>
        <v>#N/A</v>
      </c>
      <c r="M2457" t="str">
        <f t="shared" ca="1" si="192"/>
        <v>-</v>
      </c>
      <c r="N2457" s="18" t="str">
        <f t="shared" si="193"/>
        <v>K1622:L5000</v>
      </c>
      <c r="O2457" t="str">
        <f t="shared" si="194"/>
        <v>A1622:A2457</v>
      </c>
    </row>
    <row r="2458" spans="1:15">
      <c r="A2458" s="18">
        <f>Charms!K2458</f>
        <v>0</v>
      </c>
      <c r="B2458">
        <f>Charms!B2458</f>
        <v>0</v>
      </c>
      <c r="C2458" t="b">
        <f ca="1">OR(Values!$S$98&gt;=Charms!M2458,IFERROR(Charms!J2458=OFFSET(Values!$A$24,MATCH("S",Values!$T$25:$T$50,0),0),FALSE))</f>
        <v>1</v>
      </c>
      <c r="D2458" t="e">
        <f>VLOOKUP(Charms!J2458,Values!$A$11:$S$59,19,0)&gt;=Charms!L2458</f>
        <v>#N/A</v>
      </c>
      <c r="E2458" t="e">
        <f>OR(ISBLANK(Charms!I2458),(VLOOKUP(Values!$S$6,Castes!$B$2:$F$25,4,0)=Charms!I2458))</f>
        <v>#N/A</v>
      </c>
      <c r="J2458" t="e">
        <f t="shared" ca="1" si="191"/>
        <v>#N/A</v>
      </c>
      <c r="K2458" s="18" t="e">
        <f t="shared" ca="1" si="190"/>
        <v>#N/A</v>
      </c>
      <c r="L2458" t="e">
        <f ca="1">IF(J2458,Charms!B2458,"")</f>
        <v>#N/A</v>
      </c>
      <c r="M2458" t="str">
        <f t="shared" ca="1" si="192"/>
        <v>-</v>
      </c>
      <c r="N2458" s="18" t="str">
        <f t="shared" si="193"/>
        <v>K1622:L5000</v>
      </c>
      <c r="O2458" t="str">
        <f t="shared" si="194"/>
        <v>A1622:A2458</v>
      </c>
    </row>
    <row r="2459" spans="1:15">
      <c r="A2459" s="18">
        <f>Charms!K2459</f>
        <v>0</v>
      </c>
      <c r="B2459">
        <f>Charms!B2459</f>
        <v>0</v>
      </c>
      <c r="C2459" t="b">
        <f ca="1">OR(Values!$S$98&gt;=Charms!M2459,IFERROR(Charms!J2459=OFFSET(Values!$A$24,MATCH("S",Values!$T$25:$T$50,0),0),FALSE))</f>
        <v>1</v>
      </c>
      <c r="D2459" t="e">
        <f>VLOOKUP(Charms!J2459,Values!$A$11:$S$59,19,0)&gt;=Charms!L2459</f>
        <v>#N/A</v>
      </c>
      <c r="E2459" t="e">
        <f>OR(ISBLANK(Charms!I2459),(VLOOKUP(Values!$S$6,Castes!$B$2:$F$25,4,0)=Charms!I2459))</f>
        <v>#N/A</v>
      </c>
      <c r="J2459" t="e">
        <f t="shared" ca="1" si="191"/>
        <v>#N/A</v>
      </c>
      <c r="K2459" s="18" t="e">
        <f t="shared" ca="1" si="190"/>
        <v>#N/A</v>
      </c>
      <c r="L2459" t="e">
        <f ca="1">IF(J2459,Charms!B2459,"")</f>
        <v>#N/A</v>
      </c>
      <c r="M2459" t="str">
        <f t="shared" ca="1" si="192"/>
        <v>-</v>
      </c>
      <c r="N2459" s="18" t="str">
        <f t="shared" si="193"/>
        <v>K1622:L5000</v>
      </c>
      <c r="O2459" t="str">
        <f t="shared" si="194"/>
        <v>A1622:A2459</v>
      </c>
    </row>
    <row r="2460" spans="1:15">
      <c r="A2460" s="18">
        <f>Charms!K2460</f>
        <v>0</v>
      </c>
      <c r="B2460">
        <f>Charms!B2460</f>
        <v>0</v>
      </c>
      <c r="C2460" t="b">
        <f ca="1">OR(Values!$S$98&gt;=Charms!M2460,IFERROR(Charms!J2460=OFFSET(Values!$A$24,MATCH("S",Values!$T$25:$T$50,0),0),FALSE))</f>
        <v>1</v>
      </c>
      <c r="D2460" t="e">
        <f>VLOOKUP(Charms!J2460,Values!$A$11:$S$59,19,0)&gt;=Charms!L2460</f>
        <v>#N/A</v>
      </c>
      <c r="E2460" t="e">
        <f>OR(ISBLANK(Charms!I2460),(VLOOKUP(Values!$S$6,Castes!$B$2:$F$25,4,0)=Charms!I2460))</f>
        <v>#N/A</v>
      </c>
      <c r="J2460" t="e">
        <f t="shared" ca="1" si="191"/>
        <v>#N/A</v>
      </c>
      <c r="K2460" s="18" t="e">
        <f t="shared" ca="1" si="190"/>
        <v>#N/A</v>
      </c>
      <c r="L2460" t="e">
        <f ca="1">IF(J2460,Charms!B2460,"")</f>
        <v>#N/A</v>
      </c>
      <c r="M2460" t="str">
        <f t="shared" ca="1" si="192"/>
        <v>-</v>
      </c>
      <c r="N2460" s="18" t="str">
        <f t="shared" si="193"/>
        <v>K1622:L5000</v>
      </c>
      <c r="O2460" t="str">
        <f t="shared" si="194"/>
        <v>A1622:A2460</v>
      </c>
    </row>
    <row r="2461" spans="1:15">
      <c r="A2461" s="18">
        <f>Charms!K2461</f>
        <v>0</v>
      </c>
      <c r="B2461">
        <f>Charms!B2461</f>
        <v>0</v>
      </c>
      <c r="C2461" t="b">
        <f ca="1">OR(Values!$S$98&gt;=Charms!M2461,IFERROR(Charms!J2461=OFFSET(Values!$A$24,MATCH("S",Values!$T$25:$T$50,0),0),FALSE))</f>
        <v>1</v>
      </c>
      <c r="D2461" t="e">
        <f>VLOOKUP(Charms!J2461,Values!$A$11:$S$59,19,0)&gt;=Charms!L2461</f>
        <v>#N/A</v>
      </c>
      <c r="E2461" t="e">
        <f>OR(ISBLANK(Charms!I2461),(VLOOKUP(Values!$S$6,Castes!$B$2:$F$25,4,0)=Charms!I2461))</f>
        <v>#N/A</v>
      </c>
      <c r="J2461" t="e">
        <f t="shared" ca="1" si="191"/>
        <v>#N/A</v>
      </c>
      <c r="K2461" s="18" t="e">
        <f t="shared" ca="1" si="190"/>
        <v>#N/A</v>
      </c>
      <c r="L2461" t="e">
        <f ca="1">IF(J2461,Charms!B2461,"")</f>
        <v>#N/A</v>
      </c>
      <c r="M2461" t="str">
        <f t="shared" ca="1" si="192"/>
        <v>-</v>
      </c>
      <c r="N2461" s="18" t="str">
        <f t="shared" si="193"/>
        <v>K1622:L5000</v>
      </c>
      <c r="O2461" t="str">
        <f t="shared" si="194"/>
        <v>A1622:A2461</v>
      </c>
    </row>
    <row r="2462" spans="1:15">
      <c r="A2462" s="18">
        <f>Charms!K2462</f>
        <v>0</v>
      </c>
      <c r="B2462">
        <f>Charms!B2462</f>
        <v>0</v>
      </c>
      <c r="C2462" t="b">
        <f ca="1">OR(Values!$S$98&gt;=Charms!M2462,IFERROR(Charms!J2462=OFFSET(Values!$A$24,MATCH("S",Values!$T$25:$T$50,0),0),FALSE))</f>
        <v>1</v>
      </c>
      <c r="D2462" t="e">
        <f>VLOOKUP(Charms!J2462,Values!$A$11:$S$59,19,0)&gt;=Charms!L2462</f>
        <v>#N/A</v>
      </c>
      <c r="E2462" t="e">
        <f>OR(ISBLANK(Charms!I2462),(VLOOKUP(Values!$S$6,Castes!$B$2:$F$25,4,0)=Charms!I2462))</f>
        <v>#N/A</v>
      </c>
      <c r="J2462" t="e">
        <f t="shared" ca="1" si="191"/>
        <v>#N/A</v>
      </c>
      <c r="K2462" s="18" t="e">
        <f t="shared" ca="1" si="190"/>
        <v>#N/A</v>
      </c>
      <c r="L2462" t="e">
        <f ca="1">IF(J2462,Charms!B2462,"")</f>
        <v>#N/A</v>
      </c>
      <c r="M2462" t="str">
        <f t="shared" ca="1" si="192"/>
        <v>-</v>
      </c>
      <c r="N2462" s="18" t="str">
        <f t="shared" si="193"/>
        <v>K1622:L5000</v>
      </c>
      <c r="O2462" t="str">
        <f t="shared" si="194"/>
        <v>A1622:A2462</v>
      </c>
    </row>
    <row r="2463" spans="1:15">
      <c r="A2463" s="18">
        <f>Charms!K2463</f>
        <v>0</v>
      </c>
      <c r="B2463">
        <f>Charms!B2463</f>
        <v>0</v>
      </c>
      <c r="C2463" t="b">
        <f ca="1">OR(Values!$S$98&gt;=Charms!M2463,IFERROR(Charms!J2463=OFFSET(Values!$A$24,MATCH("S",Values!$T$25:$T$50,0),0),FALSE))</f>
        <v>1</v>
      </c>
      <c r="D2463" t="e">
        <f>VLOOKUP(Charms!J2463,Values!$A$11:$S$59,19,0)&gt;=Charms!L2463</f>
        <v>#N/A</v>
      </c>
      <c r="E2463" t="e">
        <f>OR(ISBLANK(Charms!I2463),(VLOOKUP(Values!$S$6,Castes!$B$2:$F$25,4,0)=Charms!I2463))</f>
        <v>#N/A</v>
      </c>
      <c r="J2463" t="e">
        <f t="shared" ca="1" si="191"/>
        <v>#N/A</v>
      </c>
      <c r="K2463" s="18" t="e">
        <f t="shared" ca="1" si="190"/>
        <v>#N/A</v>
      </c>
      <c r="L2463" t="e">
        <f ca="1">IF(J2463,Charms!B2463,"")</f>
        <v>#N/A</v>
      </c>
      <c r="M2463" t="str">
        <f t="shared" ca="1" si="192"/>
        <v>-</v>
      </c>
      <c r="N2463" s="18" t="str">
        <f t="shared" si="193"/>
        <v>K1622:L5000</v>
      </c>
      <c r="O2463" t="str">
        <f t="shared" si="194"/>
        <v>A1622:A2463</v>
      </c>
    </row>
    <row r="2464" spans="1:15">
      <c r="A2464" s="18">
        <f>Charms!K2464</f>
        <v>0</v>
      </c>
      <c r="B2464">
        <f>Charms!B2464</f>
        <v>0</v>
      </c>
      <c r="C2464" t="b">
        <f ca="1">OR(Values!$S$98&gt;=Charms!M2464,IFERROR(Charms!J2464=OFFSET(Values!$A$24,MATCH("S",Values!$T$25:$T$50,0),0),FALSE))</f>
        <v>1</v>
      </c>
      <c r="D2464" t="e">
        <f>VLOOKUP(Charms!J2464,Values!$A$11:$S$59,19,0)&gt;=Charms!L2464</f>
        <v>#N/A</v>
      </c>
      <c r="E2464" t="e">
        <f>OR(ISBLANK(Charms!I2464),(VLOOKUP(Values!$S$6,Castes!$B$2:$F$25,4,0)=Charms!I2464))</f>
        <v>#N/A</v>
      </c>
      <c r="J2464" t="e">
        <f t="shared" ca="1" si="191"/>
        <v>#N/A</v>
      </c>
      <c r="K2464" s="18" t="e">
        <f t="shared" ca="1" si="190"/>
        <v>#N/A</v>
      </c>
      <c r="L2464" t="e">
        <f ca="1">IF(J2464,Charms!B2464,"")</f>
        <v>#N/A</v>
      </c>
      <c r="M2464" t="str">
        <f t="shared" ca="1" si="192"/>
        <v>-</v>
      </c>
      <c r="N2464" s="18" t="str">
        <f t="shared" si="193"/>
        <v>K1622:L5000</v>
      </c>
      <c r="O2464" t="str">
        <f t="shared" si="194"/>
        <v>A1622:A2464</v>
      </c>
    </row>
    <row r="2465" spans="1:15">
      <c r="A2465" s="18">
        <f>Charms!K2465</f>
        <v>0</v>
      </c>
      <c r="B2465">
        <f>Charms!B2465</f>
        <v>0</v>
      </c>
      <c r="C2465" t="b">
        <f ca="1">OR(Values!$S$98&gt;=Charms!M2465,IFERROR(Charms!J2465=OFFSET(Values!$A$24,MATCH("S",Values!$T$25:$T$50,0),0),FALSE))</f>
        <v>1</v>
      </c>
      <c r="D2465" t="e">
        <f>VLOOKUP(Charms!J2465,Values!$A$11:$S$59,19,0)&gt;=Charms!L2465</f>
        <v>#N/A</v>
      </c>
      <c r="E2465" t="e">
        <f>OR(ISBLANK(Charms!I2465),(VLOOKUP(Values!$S$6,Castes!$B$2:$F$25,4,0)=Charms!I2465))</f>
        <v>#N/A</v>
      </c>
      <c r="J2465" t="e">
        <f t="shared" ca="1" si="191"/>
        <v>#N/A</v>
      </c>
      <c r="K2465" s="18" t="e">
        <f t="shared" ca="1" si="190"/>
        <v>#N/A</v>
      </c>
      <c r="L2465" t="e">
        <f ca="1">IF(J2465,Charms!B2465,"")</f>
        <v>#N/A</v>
      </c>
      <c r="M2465" t="str">
        <f t="shared" ca="1" si="192"/>
        <v>-</v>
      </c>
      <c r="N2465" s="18" t="str">
        <f t="shared" si="193"/>
        <v>K1622:L5000</v>
      </c>
      <c r="O2465" t="str">
        <f t="shared" si="194"/>
        <v>A1622:A2465</v>
      </c>
    </row>
    <row r="2466" spans="1:15">
      <c r="A2466" s="18">
        <f>Charms!K2466</f>
        <v>0</v>
      </c>
      <c r="B2466">
        <f>Charms!B2466</f>
        <v>0</v>
      </c>
      <c r="C2466" t="b">
        <f ca="1">OR(Values!$S$98&gt;=Charms!M2466,IFERROR(Charms!J2466=OFFSET(Values!$A$24,MATCH("S",Values!$T$25:$T$50,0),0),FALSE))</f>
        <v>1</v>
      </c>
      <c r="D2466" t="e">
        <f>VLOOKUP(Charms!J2466,Values!$A$11:$S$59,19,0)&gt;=Charms!L2466</f>
        <v>#N/A</v>
      </c>
      <c r="E2466" t="e">
        <f>OR(ISBLANK(Charms!I2466),(VLOOKUP(Values!$S$6,Castes!$B$2:$F$25,4,0)=Charms!I2466))</f>
        <v>#N/A</v>
      </c>
      <c r="J2466" t="e">
        <f t="shared" ca="1" si="191"/>
        <v>#N/A</v>
      </c>
      <c r="K2466" s="18" t="e">
        <f t="shared" ca="1" si="190"/>
        <v>#N/A</v>
      </c>
      <c r="L2466" t="e">
        <f ca="1">IF(J2466,Charms!B2466,"")</f>
        <v>#N/A</v>
      </c>
      <c r="M2466" t="str">
        <f t="shared" ca="1" si="192"/>
        <v>-</v>
      </c>
      <c r="N2466" s="18" t="str">
        <f t="shared" si="193"/>
        <v>K1622:L5000</v>
      </c>
      <c r="O2466" t="str">
        <f t="shared" si="194"/>
        <v>A1622:A2466</v>
      </c>
    </row>
    <row r="2467" spans="1:15">
      <c r="A2467" s="18">
        <f>Charms!K2467</f>
        <v>0</v>
      </c>
      <c r="B2467">
        <f>Charms!B2467</f>
        <v>0</v>
      </c>
      <c r="C2467" t="b">
        <f ca="1">OR(Values!$S$98&gt;=Charms!M2467,IFERROR(Charms!J2467=OFFSET(Values!$A$24,MATCH("S",Values!$T$25:$T$50,0),0),FALSE))</f>
        <v>1</v>
      </c>
      <c r="D2467" t="e">
        <f>VLOOKUP(Charms!J2467,Values!$A$11:$S$59,19,0)&gt;=Charms!L2467</f>
        <v>#N/A</v>
      </c>
      <c r="E2467" t="e">
        <f>OR(ISBLANK(Charms!I2467),(VLOOKUP(Values!$S$6,Castes!$B$2:$F$25,4,0)=Charms!I2467))</f>
        <v>#N/A</v>
      </c>
      <c r="J2467" t="e">
        <f t="shared" ca="1" si="191"/>
        <v>#N/A</v>
      </c>
      <c r="K2467" s="18" t="e">
        <f t="shared" ca="1" si="190"/>
        <v>#N/A</v>
      </c>
      <c r="L2467" t="e">
        <f ca="1">IF(J2467,Charms!B2467,"")</f>
        <v>#N/A</v>
      </c>
      <c r="M2467" t="str">
        <f t="shared" ca="1" si="192"/>
        <v>-</v>
      </c>
      <c r="N2467" s="18" t="str">
        <f t="shared" si="193"/>
        <v>K1622:L5000</v>
      </c>
      <c r="O2467" t="str">
        <f t="shared" si="194"/>
        <v>A1622:A2467</v>
      </c>
    </row>
    <row r="2468" spans="1:15">
      <c r="A2468" s="18">
        <f>Charms!K2468</f>
        <v>0</v>
      </c>
      <c r="B2468">
        <f>Charms!B2468</f>
        <v>0</v>
      </c>
      <c r="C2468" t="b">
        <f ca="1">OR(Values!$S$98&gt;=Charms!M2468,IFERROR(Charms!J2468=OFFSET(Values!$A$24,MATCH("S",Values!$T$25:$T$50,0),0),FALSE))</f>
        <v>1</v>
      </c>
      <c r="D2468" t="e">
        <f>VLOOKUP(Charms!J2468,Values!$A$11:$S$59,19,0)&gt;=Charms!L2468</f>
        <v>#N/A</v>
      </c>
      <c r="E2468" t="e">
        <f>OR(ISBLANK(Charms!I2468),(VLOOKUP(Values!$S$6,Castes!$B$2:$F$25,4,0)=Charms!I2468))</f>
        <v>#N/A</v>
      </c>
      <c r="J2468" t="e">
        <f t="shared" ca="1" si="191"/>
        <v>#N/A</v>
      </c>
      <c r="K2468" s="18" t="e">
        <f t="shared" ca="1" si="190"/>
        <v>#N/A</v>
      </c>
      <c r="L2468" t="e">
        <f ca="1">IF(J2468,Charms!B2468,"")</f>
        <v>#N/A</v>
      </c>
      <c r="M2468" t="str">
        <f t="shared" ca="1" si="192"/>
        <v>-</v>
      </c>
      <c r="N2468" s="18" t="str">
        <f t="shared" si="193"/>
        <v>K1622:L5000</v>
      </c>
      <c r="O2468" t="str">
        <f t="shared" si="194"/>
        <v>A1622:A2468</v>
      </c>
    </row>
    <row r="2469" spans="1:15">
      <c r="A2469" s="18">
        <f>Charms!K2469</f>
        <v>0</v>
      </c>
      <c r="B2469">
        <f>Charms!B2469</f>
        <v>0</v>
      </c>
      <c r="C2469" t="b">
        <f ca="1">OR(Values!$S$98&gt;=Charms!M2469,IFERROR(Charms!J2469=OFFSET(Values!$A$24,MATCH("S",Values!$T$25:$T$50,0),0),FALSE))</f>
        <v>1</v>
      </c>
      <c r="D2469" t="e">
        <f>VLOOKUP(Charms!J2469,Values!$A$11:$S$59,19,0)&gt;=Charms!L2469</f>
        <v>#N/A</v>
      </c>
      <c r="E2469" t="e">
        <f>OR(ISBLANK(Charms!I2469),(VLOOKUP(Values!$S$6,Castes!$B$2:$F$25,4,0)=Charms!I2469))</f>
        <v>#N/A</v>
      </c>
      <c r="J2469" t="e">
        <f t="shared" ca="1" si="191"/>
        <v>#N/A</v>
      </c>
      <c r="K2469" s="18" t="e">
        <f t="shared" ca="1" si="190"/>
        <v>#N/A</v>
      </c>
      <c r="L2469" t="e">
        <f ca="1">IF(J2469,Charms!B2469,"")</f>
        <v>#N/A</v>
      </c>
      <c r="M2469" t="str">
        <f t="shared" ca="1" si="192"/>
        <v>-</v>
      </c>
      <c r="N2469" s="18" t="str">
        <f t="shared" si="193"/>
        <v>K1622:L5000</v>
      </c>
      <c r="O2469" t="str">
        <f t="shared" si="194"/>
        <v>A1622:A2469</v>
      </c>
    </row>
    <row r="2470" spans="1:15">
      <c r="A2470" s="18">
        <f>Charms!K2470</f>
        <v>0</v>
      </c>
      <c r="B2470">
        <f>Charms!B2470</f>
        <v>0</v>
      </c>
      <c r="C2470" t="b">
        <f ca="1">OR(Values!$S$98&gt;=Charms!M2470,IFERROR(Charms!J2470=OFFSET(Values!$A$24,MATCH("S",Values!$T$25:$T$50,0),0),FALSE))</f>
        <v>1</v>
      </c>
      <c r="D2470" t="e">
        <f>VLOOKUP(Charms!J2470,Values!$A$11:$S$59,19,0)&gt;=Charms!L2470</f>
        <v>#N/A</v>
      </c>
      <c r="E2470" t="e">
        <f>OR(ISBLANK(Charms!I2470),(VLOOKUP(Values!$S$6,Castes!$B$2:$F$25,4,0)=Charms!I2470))</f>
        <v>#N/A</v>
      </c>
      <c r="J2470" t="e">
        <f t="shared" ca="1" si="191"/>
        <v>#N/A</v>
      </c>
      <c r="K2470" s="18" t="e">
        <f t="shared" ca="1" si="190"/>
        <v>#N/A</v>
      </c>
      <c r="L2470" t="e">
        <f ca="1">IF(J2470,Charms!B2470,"")</f>
        <v>#N/A</v>
      </c>
      <c r="M2470" t="str">
        <f t="shared" ca="1" si="192"/>
        <v>-</v>
      </c>
      <c r="N2470" s="18" t="str">
        <f t="shared" si="193"/>
        <v>K1622:L5000</v>
      </c>
      <c r="O2470" t="str">
        <f t="shared" si="194"/>
        <v>A1622:A2470</v>
      </c>
    </row>
    <row r="2471" spans="1:15">
      <c r="A2471" s="18">
        <f>Charms!K2471</f>
        <v>0</v>
      </c>
      <c r="B2471">
        <f>Charms!B2471</f>
        <v>0</v>
      </c>
      <c r="C2471" t="b">
        <f ca="1">OR(Values!$S$98&gt;=Charms!M2471,IFERROR(Charms!J2471=OFFSET(Values!$A$24,MATCH("S",Values!$T$25:$T$50,0),0),FALSE))</f>
        <v>1</v>
      </c>
      <c r="D2471" t="e">
        <f>VLOOKUP(Charms!J2471,Values!$A$11:$S$59,19,0)&gt;=Charms!L2471</f>
        <v>#N/A</v>
      </c>
      <c r="E2471" t="e">
        <f>OR(ISBLANK(Charms!I2471),(VLOOKUP(Values!$S$6,Castes!$B$2:$F$25,4,0)=Charms!I2471))</f>
        <v>#N/A</v>
      </c>
      <c r="J2471" t="e">
        <f t="shared" ca="1" si="191"/>
        <v>#N/A</v>
      </c>
      <c r="K2471" s="18" t="e">
        <f t="shared" ca="1" si="190"/>
        <v>#N/A</v>
      </c>
      <c r="L2471" t="e">
        <f ca="1">IF(J2471,Charms!B2471,"")</f>
        <v>#N/A</v>
      </c>
      <c r="M2471" t="str">
        <f t="shared" ca="1" si="192"/>
        <v>-</v>
      </c>
      <c r="N2471" s="18" t="str">
        <f t="shared" si="193"/>
        <v>K1622:L5000</v>
      </c>
      <c r="O2471" t="str">
        <f t="shared" si="194"/>
        <v>A1622:A2471</v>
      </c>
    </row>
    <row r="2472" spans="1:15">
      <c r="A2472" s="18">
        <f>Charms!K2472</f>
        <v>0</v>
      </c>
      <c r="B2472">
        <f>Charms!B2472</f>
        <v>0</v>
      </c>
      <c r="C2472" t="b">
        <f ca="1">OR(Values!$S$98&gt;=Charms!M2472,IFERROR(Charms!J2472=OFFSET(Values!$A$24,MATCH("S",Values!$T$25:$T$50,0),0),FALSE))</f>
        <v>1</v>
      </c>
      <c r="D2472" t="e">
        <f>VLOOKUP(Charms!J2472,Values!$A$11:$S$59,19,0)&gt;=Charms!L2472</f>
        <v>#N/A</v>
      </c>
      <c r="E2472" t="e">
        <f>OR(ISBLANK(Charms!I2472),(VLOOKUP(Values!$S$6,Castes!$B$2:$F$25,4,0)=Charms!I2472))</f>
        <v>#N/A</v>
      </c>
      <c r="J2472" t="e">
        <f t="shared" ca="1" si="191"/>
        <v>#N/A</v>
      </c>
      <c r="K2472" s="18" t="e">
        <f t="shared" ca="1" si="190"/>
        <v>#N/A</v>
      </c>
      <c r="L2472" t="e">
        <f ca="1">IF(J2472,Charms!B2472,"")</f>
        <v>#N/A</v>
      </c>
      <c r="M2472" t="str">
        <f t="shared" ca="1" si="192"/>
        <v>-</v>
      </c>
      <c r="N2472" s="18" t="str">
        <f t="shared" si="193"/>
        <v>K1622:L5000</v>
      </c>
      <c r="O2472" t="str">
        <f t="shared" si="194"/>
        <v>A1622:A2472</v>
      </c>
    </row>
    <row r="2473" spans="1:15">
      <c r="A2473" s="18">
        <f>Charms!K2473</f>
        <v>0</v>
      </c>
      <c r="B2473">
        <f>Charms!B2473</f>
        <v>0</v>
      </c>
      <c r="C2473" t="b">
        <f ca="1">OR(Values!$S$98&gt;=Charms!M2473,IFERROR(Charms!J2473=OFFSET(Values!$A$24,MATCH("S",Values!$T$25:$T$50,0),0),FALSE))</f>
        <v>1</v>
      </c>
      <c r="D2473" t="e">
        <f>VLOOKUP(Charms!J2473,Values!$A$11:$S$59,19,0)&gt;=Charms!L2473</f>
        <v>#N/A</v>
      </c>
      <c r="E2473" t="e">
        <f>OR(ISBLANK(Charms!I2473),(VLOOKUP(Values!$S$6,Castes!$B$2:$F$25,4,0)=Charms!I2473))</f>
        <v>#N/A</v>
      </c>
      <c r="J2473" t="e">
        <f t="shared" ca="1" si="191"/>
        <v>#N/A</v>
      </c>
      <c r="K2473" s="18" t="e">
        <f t="shared" ca="1" si="190"/>
        <v>#N/A</v>
      </c>
      <c r="L2473" t="e">
        <f ca="1">IF(J2473,Charms!B2473,"")</f>
        <v>#N/A</v>
      </c>
      <c r="M2473" t="str">
        <f t="shared" ca="1" si="192"/>
        <v>-</v>
      </c>
      <c r="N2473" s="18" t="str">
        <f t="shared" si="193"/>
        <v>K1622:L5000</v>
      </c>
      <c r="O2473" t="str">
        <f t="shared" si="194"/>
        <v>A1622:A2473</v>
      </c>
    </row>
    <row r="2474" spans="1:15">
      <c r="A2474" s="18">
        <f>Charms!K2474</f>
        <v>0</v>
      </c>
      <c r="B2474">
        <f>Charms!B2474</f>
        <v>0</v>
      </c>
      <c r="C2474" t="b">
        <f ca="1">OR(Values!$S$98&gt;=Charms!M2474,IFERROR(Charms!J2474=OFFSET(Values!$A$24,MATCH("S",Values!$T$25:$T$50,0),0),FALSE))</f>
        <v>1</v>
      </c>
      <c r="D2474" t="e">
        <f>VLOOKUP(Charms!J2474,Values!$A$11:$S$59,19,0)&gt;=Charms!L2474</f>
        <v>#N/A</v>
      </c>
      <c r="E2474" t="e">
        <f>OR(ISBLANK(Charms!I2474),(VLOOKUP(Values!$S$6,Castes!$B$2:$F$25,4,0)=Charms!I2474))</f>
        <v>#N/A</v>
      </c>
      <c r="J2474" t="e">
        <f t="shared" ca="1" si="191"/>
        <v>#N/A</v>
      </c>
      <c r="K2474" s="18" t="e">
        <f t="shared" ca="1" si="190"/>
        <v>#N/A</v>
      </c>
      <c r="L2474" t="e">
        <f ca="1">IF(J2474,Charms!B2474,"")</f>
        <v>#N/A</v>
      </c>
      <c r="M2474" t="str">
        <f t="shared" ca="1" si="192"/>
        <v>-</v>
      </c>
      <c r="N2474" s="18" t="str">
        <f t="shared" si="193"/>
        <v>K1622:L5000</v>
      </c>
      <c r="O2474" t="str">
        <f t="shared" si="194"/>
        <v>A1622:A2474</v>
      </c>
    </row>
    <row r="2475" spans="1:15">
      <c r="A2475" s="18">
        <f>Charms!K2475</f>
        <v>0</v>
      </c>
      <c r="B2475">
        <f>Charms!B2475</f>
        <v>0</v>
      </c>
      <c r="C2475" t="b">
        <f ca="1">OR(Values!$S$98&gt;=Charms!M2475,IFERROR(Charms!J2475=OFFSET(Values!$A$24,MATCH("S",Values!$T$25:$T$50,0),0),FALSE))</f>
        <v>1</v>
      </c>
      <c r="D2475" t="e">
        <f>VLOOKUP(Charms!J2475,Values!$A$11:$S$59,19,0)&gt;=Charms!L2475</f>
        <v>#N/A</v>
      </c>
      <c r="E2475" t="e">
        <f>OR(ISBLANK(Charms!I2475),(VLOOKUP(Values!$S$6,Castes!$B$2:$F$25,4,0)=Charms!I2475))</f>
        <v>#N/A</v>
      </c>
      <c r="J2475" t="e">
        <f t="shared" ca="1" si="191"/>
        <v>#N/A</v>
      </c>
      <c r="K2475" s="18" t="e">
        <f t="shared" ca="1" si="190"/>
        <v>#N/A</v>
      </c>
      <c r="L2475" t="e">
        <f ca="1">IF(J2475,Charms!B2475,"")</f>
        <v>#N/A</v>
      </c>
      <c r="M2475" t="str">
        <f t="shared" ca="1" si="192"/>
        <v>-</v>
      </c>
      <c r="N2475" s="18" t="str">
        <f t="shared" si="193"/>
        <v>K1622:L5000</v>
      </c>
      <c r="O2475" t="str">
        <f t="shared" si="194"/>
        <v>A1622:A2475</v>
      </c>
    </row>
    <row r="2476" spans="1:15">
      <c r="A2476" s="18">
        <f>Charms!K2476</f>
        <v>0</v>
      </c>
      <c r="B2476">
        <f>Charms!B2476</f>
        <v>0</v>
      </c>
      <c r="C2476" t="b">
        <f ca="1">OR(Values!$S$98&gt;=Charms!M2476,IFERROR(Charms!J2476=OFFSET(Values!$A$24,MATCH("S",Values!$T$25:$T$50,0),0),FALSE))</f>
        <v>1</v>
      </c>
      <c r="D2476" t="e">
        <f>VLOOKUP(Charms!J2476,Values!$A$11:$S$59,19,0)&gt;=Charms!L2476</f>
        <v>#N/A</v>
      </c>
      <c r="E2476" t="e">
        <f>OR(ISBLANK(Charms!I2476),(VLOOKUP(Values!$S$6,Castes!$B$2:$F$25,4,0)=Charms!I2476))</f>
        <v>#N/A</v>
      </c>
      <c r="J2476" t="e">
        <f t="shared" ca="1" si="191"/>
        <v>#N/A</v>
      </c>
      <c r="K2476" s="18" t="e">
        <f t="shared" ca="1" si="190"/>
        <v>#N/A</v>
      </c>
      <c r="L2476" t="e">
        <f ca="1">IF(J2476,Charms!B2476,"")</f>
        <v>#N/A</v>
      </c>
      <c r="M2476" t="str">
        <f t="shared" ca="1" si="192"/>
        <v>-</v>
      </c>
      <c r="N2476" s="18" t="str">
        <f t="shared" si="193"/>
        <v>K1622:L5000</v>
      </c>
      <c r="O2476" t="str">
        <f t="shared" si="194"/>
        <v>A1622:A2476</v>
      </c>
    </row>
    <row r="2477" spans="1:15">
      <c r="A2477" s="18">
        <f>Charms!K2477</f>
        <v>0</v>
      </c>
      <c r="B2477">
        <f>Charms!B2477</f>
        <v>0</v>
      </c>
      <c r="C2477" t="b">
        <f ca="1">OR(Values!$S$98&gt;=Charms!M2477,IFERROR(Charms!J2477=OFFSET(Values!$A$24,MATCH("S",Values!$T$25:$T$50,0),0),FALSE))</f>
        <v>1</v>
      </c>
      <c r="D2477" t="e">
        <f>VLOOKUP(Charms!J2477,Values!$A$11:$S$59,19,0)&gt;=Charms!L2477</f>
        <v>#N/A</v>
      </c>
      <c r="E2477" t="e">
        <f>OR(ISBLANK(Charms!I2477),(VLOOKUP(Values!$S$6,Castes!$B$2:$F$25,4,0)=Charms!I2477))</f>
        <v>#N/A</v>
      </c>
      <c r="J2477" t="e">
        <f t="shared" ca="1" si="191"/>
        <v>#N/A</v>
      </c>
      <c r="K2477" s="18" t="e">
        <f t="shared" ca="1" si="190"/>
        <v>#N/A</v>
      </c>
      <c r="L2477" t="e">
        <f ca="1">IF(J2477,Charms!B2477,"")</f>
        <v>#N/A</v>
      </c>
      <c r="M2477" t="str">
        <f t="shared" ca="1" si="192"/>
        <v>-</v>
      </c>
      <c r="N2477" s="18" t="str">
        <f t="shared" si="193"/>
        <v>K1622:L5000</v>
      </c>
      <c r="O2477" t="str">
        <f t="shared" si="194"/>
        <v>A1622:A2477</v>
      </c>
    </row>
    <row r="2478" spans="1:15">
      <c r="A2478" s="18">
        <f>Charms!K2478</f>
        <v>0</v>
      </c>
      <c r="B2478">
        <f>Charms!B2478</f>
        <v>0</v>
      </c>
      <c r="C2478" t="b">
        <f ca="1">OR(Values!$S$98&gt;=Charms!M2478,IFERROR(Charms!J2478=OFFSET(Values!$A$24,MATCH("S",Values!$T$25:$T$50,0),0),FALSE))</f>
        <v>1</v>
      </c>
      <c r="D2478" t="e">
        <f>VLOOKUP(Charms!J2478,Values!$A$11:$S$59,19,0)&gt;=Charms!L2478</f>
        <v>#N/A</v>
      </c>
      <c r="E2478" t="e">
        <f>OR(ISBLANK(Charms!I2478),(VLOOKUP(Values!$S$6,Castes!$B$2:$F$25,4,0)=Charms!I2478))</f>
        <v>#N/A</v>
      </c>
      <c r="J2478" t="e">
        <f t="shared" ca="1" si="191"/>
        <v>#N/A</v>
      </c>
      <c r="K2478" s="18" t="e">
        <f t="shared" ca="1" si="190"/>
        <v>#N/A</v>
      </c>
      <c r="L2478" t="e">
        <f ca="1">IF(J2478,Charms!B2478,"")</f>
        <v>#N/A</v>
      </c>
      <c r="M2478" t="str">
        <f t="shared" ca="1" si="192"/>
        <v>-</v>
      </c>
      <c r="N2478" s="18" t="str">
        <f t="shared" si="193"/>
        <v>K1622:L5000</v>
      </c>
      <c r="O2478" t="str">
        <f t="shared" si="194"/>
        <v>A1622:A2478</v>
      </c>
    </row>
    <row r="2479" spans="1:15">
      <c r="A2479" s="18">
        <f>Charms!K2479</f>
        <v>0</v>
      </c>
      <c r="B2479">
        <f>Charms!B2479</f>
        <v>0</v>
      </c>
      <c r="C2479" t="b">
        <f ca="1">OR(Values!$S$98&gt;=Charms!M2479,IFERROR(Charms!J2479=OFFSET(Values!$A$24,MATCH("S",Values!$T$25:$T$50,0),0),FALSE))</f>
        <v>1</v>
      </c>
      <c r="D2479" t="e">
        <f>VLOOKUP(Charms!J2479,Values!$A$11:$S$59,19,0)&gt;=Charms!L2479</f>
        <v>#N/A</v>
      </c>
      <c r="E2479" t="e">
        <f>OR(ISBLANK(Charms!I2479),(VLOOKUP(Values!$S$6,Castes!$B$2:$F$25,4,0)=Charms!I2479))</f>
        <v>#N/A</v>
      </c>
      <c r="J2479" t="e">
        <f t="shared" ca="1" si="191"/>
        <v>#N/A</v>
      </c>
      <c r="K2479" s="18" t="e">
        <f t="shared" ca="1" si="190"/>
        <v>#N/A</v>
      </c>
      <c r="L2479" t="e">
        <f ca="1">IF(J2479,Charms!B2479,"")</f>
        <v>#N/A</v>
      </c>
      <c r="M2479" t="str">
        <f t="shared" ca="1" si="192"/>
        <v>-</v>
      </c>
      <c r="N2479" s="18" t="str">
        <f t="shared" si="193"/>
        <v>K1622:L5000</v>
      </c>
      <c r="O2479" t="str">
        <f t="shared" si="194"/>
        <v>A1622:A2479</v>
      </c>
    </row>
    <row r="2480" spans="1:15">
      <c r="A2480" s="18">
        <f>Charms!K2480</f>
        <v>0</v>
      </c>
      <c r="B2480">
        <f>Charms!B2480</f>
        <v>0</v>
      </c>
      <c r="C2480" t="b">
        <f ca="1">OR(Values!$S$98&gt;=Charms!M2480,IFERROR(Charms!J2480=OFFSET(Values!$A$24,MATCH("S",Values!$T$25:$T$50,0),0),FALSE))</f>
        <v>1</v>
      </c>
      <c r="D2480" t="e">
        <f>VLOOKUP(Charms!J2480,Values!$A$11:$S$59,19,0)&gt;=Charms!L2480</f>
        <v>#N/A</v>
      </c>
      <c r="E2480" t="e">
        <f>OR(ISBLANK(Charms!I2480),(VLOOKUP(Values!$S$6,Castes!$B$2:$F$25,4,0)=Charms!I2480))</f>
        <v>#N/A</v>
      </c>
      <c r="J2480" t="e">
        <f t="shared" ca="1" si="191"/>
        <v>#N/A</v>
      </c>
      <c r="K2480" s="18" t="e">
        <f t="shared" ca="1" si="190"/>
        <v>#N/A</v>
      </c>
      <c r="L2480" t="e">
        <f ca="1">IF(J2480,Charms!B2480,"")</f>
        <v>#N/A</v>
      </c>
      <c r="M2480" t="str">
        <f t="shared" ca="1" si="192"/>
        <v>-</v>
      </c>
      <c r="N2480" s="18" t="str">
        <f t="shared" si="193"/>
        <v>K1622:L5000</v>
      </c>
      <c r="O2480" t="str">
        <f t="shared" si="194"/>
        <v>A1622:A2480</v>
      </c>
    </row>
    <row r="2481" spans="1:15">
      <c r="A2481" s="18">
        <f>Charms!K2481</f>
        <v>0</v>
      </c>
      <c r="B2481">
        <f>Charms!B2481</f>
        <v>0</v>
      </c>
      <c r="C2481" t="b">
        <f ca="1">OR(Values!$S$98&gt;=Charms!M2481,IFERROR(Charms!J2481=OFFSET(Values!$A$24,MATCH("S",Values!$T$25:$T$50,0),0),FALSE))</f>
        <v>1</v>
      </c>
      <c r="D2481" t="e">
        <f>VLOOKUP(Charms!J2481,Values!$A$11:$S$59,19,0)&gt;=Charms!L2481</f>
        <v>#N/A</v>
      </c>
      <c r="E2481" t="e">
        <f>OR(ISBLANK(Charms!I2481),(VLOOKUP(Values!$S$6,Castes!$B$2:$F$25,4,0)=Charms!I2481))</f>
        <v>#N/A</v>
      </c>
      <c r="J2481" t="e">
        <f t="shared" ca="1" si="191"/>
        <v>#N/A</v>
      </c>
      <c r="K2481" s="18" t="e">
        <f t="shared" ca="1" si="190"/>
        <v>#N/A</v>
      </c>
      <c r="L2481" t="e">
        <f ca="1">IF(J2481,Charms!B2481,"")</f>
        <v>#N/A</v>
      </c>
      <c r="M2481" t="str">
        <f t="shared" ca="1" si="192"/>
        <v>-</v>
      </c>
      <c r="N2481" s="18" t="str">
        <f t="shared" si="193"/>
        <v>K1622:L5000</v>
      </c>
      <c r="O2481" t="str">
        <f t="shared" si="194"/>
        <v>A1622:A2481</v>
      </c>
    </row>
    <row r="2482" spans="1:15">
      <c r="A2482" s="18">
        <f>Charms!K2482</f>
        <v>0</v>
      </c>
      <c r="B2482">
        <f>Charms!B2482</f>
        <v>0</v>
      </c>
      <c r="C2482" t="b">
        <f ca="1">OR(Values!$S$98&gt;=Charms!M2482,IFERROR(Charms!J2482=OFFSET(Values!$A$24,MATCH("S",Values!$T$25:$T$50,0),0),FALSE))</f>
        <v>1</v>
      </c>
      <c r="D2482" t="e">
        <f>VLOOKUP(Charms!J2482,Values!$A$11:$S$59,19,0)&gt;=Charms!L2482</f>
        <v>#N/A</v>
      </c>
      <c r="E2482" t="e">
        <f>OR(ISBLANK(Charms!I2482),(VLOOKUP(Values!$S$6,Castes!$B$2:$F$25,4,0)=Charms!I2482))</f>
        <v>#N/A</v>
      </c>
      <c r="J2482" t="e">
        <f t="shared" ca="1" si="191"/>
        <v>#N/A</v>
      </c>
      <c r="K2482" s="18" t="e">
        <f t="shared" ca="1" si="190"/>
        <v>#N/A</v>
      </c>
      <c r="L2482" t="e">
        <f ca="1">IF(J2482,Charms!B2482,"")</f>
        <v>#N/A</v>
      </c>
      <c r="M2482" t="str">
        <f t="shared" ca="1" si="192"/>
        <v>-</v>
      </c>
      <c r="N2482" s="18" t="str">
        <f t="shared" si="193"/>
        <v>K1622:L5000</v>
      </c>
      <c r="O2482" t="str">
        <f t="shared" si="194"/>
        <v>A1622:A2482</v>
      </c>
    </row>
    <row r="2483" spans="1:15">
      <c r="A2483" s="18">
        <f>Charms!K2483</f>
        <v>0</v>
      </c>
      <c r="B2483">
        <f>Charms!B2483</f>
        <v>0</v>
      </c>
      <c r="C2483" t="b">
        <f ca="1">OR(Values!$S$98&gt;=Charms!M2483,IFERROR(Charms!J2483=OFFSET(Values!$A$24,MATCH("S",Values!$T$25:$T$50,0),0),FALSE))</f>
        <v>1</v>
      </c>
      <c r="D2483" t="e">
        <f>VLOOKUP(Charms!J2483,Values!$A$11:$S$59,19,0)&gt;=Charms!L2483</f>
        <v>#N/A</v>
      </c>
      <c r="E2483" t="e">
        <f>OR(ISBLANK(Charms!I2483),(VLOOKUP(Values!$S$6,Castes!$B$2:$F$25,4,0)=Charms!I2483))</f>
        <v>#N/A</v>
      </c>
      <c r="J2483" t="e">
        <f t="shared" ca="1" si="191"/>
        <v>#N/A</v>
      </c>
      <c r="K2483" s="18" t="e">
        <f t="shared" ca="1" si="190"/>
        <v>#N/A</v>
      </c>
      <c r="L2483" t="e">
        <f ca="1">IF(J2483,Charms!B2483,"")</f>
        <v>#N/A</v>
      </c>
      <c r="M2483" t="str">
        <f t="shared" ca="1" si="192"/>
        <v>-</v>
      </c>
      <c r="N2483" s="18" t="str">
        <f t="shared" si="193"/>
        <v>K1622:L5000</v>
      </c>
      <c r="O2483" t="str">
        <f t="shared" si="194"/>
        <v>A1622:A2483</v>
      </c>
    </row>
    <row r="2484" spans="1:15">
      <c r="A2484" s="18">
        <f>Charms!K2484</f>
        <v>0</v>
      </c>
      <c r="B2484">
        <f>Charms!B2484</f>
        <v>0</v>
      </c>
      <c r="C2484" t="b">
        <f ca="1">OR(Values!$S$98&gt;=Charms!M2484,IFERROR(Charms!J2484=OFFSET(Values!$A$24,MATCH("S",Values!$T$25:$T$50,0),0),FALSE))</f>
        <v>1</v>
      </c>
      <c r="D2484" t="e">
        <f>VLOOKUP(Charms!J2484,Values!$A$11:$S$59,19,0)&gt;=Charms!L2484</f>
        <v>#N/A</v>
      </c>
      <c r="E2484" t="e">
        <f>OR(ISBLANK(Charms!I2484),(VLOOKUP(Values!$S$6,Castes!$B$2:$F$25,4,0)=Charms!I2484))</f>
        <v>#N/A</v>
      </c>
      <c r="J2484" t="e">
        <f t="shared" ca="1" si="191"/>
        <v>#N/A</v>
      </c>
      <c r="K2484" s="18" t="e">
        <f t="shared" ca="1" si="190"/>
        <v>#N/A</v>
      </c>
      <c r="L2484" t="e">
        <f ca="1">IF(J2484,Charms!B2484,"")</f>
        <v>#N/A</v>
      </c>
      <c r="M2484" t="str">
        <f t="shared" ca="1" si="192"/>
        <v>-</v>
      </c>
      <c r="N2484" s="18" t="str">
        <f t="shared" si="193"/>
        <v>K1622:L5000</v>
      </c>
      <c r="O2484" t="str">
        <f t="shared" si="194"/>
        <v>A1622:A2484</v>
      </c>
    </row>
    <row r="2485" spans="1:15">
      <c r="A2485" s="18">
        <f>Charms!K2485</f>
        <v>0</v>
      </c>
      <c r="B2485">
        <f>Charms!B2485</f>
        <v>0</v>
      </c>
      <c r="C2485" t="b">
        <f ca="1">OR(Values!$S$98&gt;=Charms!M2485,IFERROR(Charms!J2485=OFFSET(Values!$A$24,MATCH("S",Values!$T$25:$T$50,0),0),FALSE))</f>
        <v>1</v>
      </c>
      <c r="D2485" t="e">
        <f>VLOOKUP(Charms!J2485,Values!$A$11:$S$59,19,0)&gt;=Charms!L2485</f>
        <v>#N/A</v>
      </c>
      <c r="E2485" t="e">
        <f>OR(ISBLANK(Charms!I2485),(VLOOKUP(Values!$S$6,Castes!$B$2:$F$25,4,0)=Charms!I2485))</f>
        <v>#N/A</v>
      </c>
      <c r="J2485" t="e">
        <f t="shared" ca="1" si="191"/>
        <v>#N/A</v>
      </c>
      <c r="K2485" s="18" t="e">
        <f t="shared" ca="1" si="190"/>
        <v>#N/A</v>
      </c>
      <c r="L2485" t="e">
        <f ca="1">IF(J2485,Charms!B2485,"")</f>
        <v>#N/A</v>
      </c>
      <c r="M2485" t="str">
        <f t="shared" ca="1" si="192"/>
        <v>-</v>
      </c>
      <c r="N2485" s="18" t="str">
        <f t="shared" si="193"/>
        <v>K1622:L5000</v>
      </c>
      <c r="O2485" t="str">
        <f t="shared" si="194"/>
        <v>A1622:A2485</v>
      </c>
    </row>
    <row r="2486" spans="1:15">
      <c r="A2486" s="18">
        <f>Charms!K2486</f>
        <v>0</v>
      </c>
      <c r="B2486">
        <f>Charms!B2486</f>
        <v>0</v>
      </c>
      <c r="C2486" t="b">
        <f ca="1">OR(Values!$S$98&gt;=Charms!M2486,IFERROR(Charms!J2486=OFFSET(Values!$A$24,MATCH("S",Values!$T$25:$T$50,0),0),FALSE))</f>
        <v>1</v>
      </c>
      <c r="D2486" t="e">
        <f>VLOOKUP(Charms!J2486,Values!$A$11:$S$59,19,0)&gt;=Charms!L2486</f>
        <v>#N/A</v>
      </c>
      <c r="E2486" t="e">
        <f>OR(ISBLANK(Charms!I2486),(VLOOKUP(Values!$S$6,Castes!$B$2:$F$25,4,0)=Charms!I2486))</f>
        <v>#N/A</v>
      </c>
      <c r="J2486" t="e">
        <f t="shared" ca="1" si="191"/>
        <v>#N/A</v>
      </c>
      <c r="K2486" s="18" t="e">
        <f t="shared" ca="1" si="190"/>
        <v>#N/A</v>
      </c>
      <c r="L2486" t="e">
        <f ca="1">IF(J2486,Charms!B2486,"")</f>
        <v>#N/A</v>
      </c>
      <c r="M2486" t="str">
        <f t="shared" ca="1" si="192"/>
        <v>-</v>
      </c>
      <c r="N2486" s="18" t="str">
        <f t="shared" si="193"/>
        <v>K1622:L5000</v>
      </c>
      <c r="O2486" t="str">
        <f t="shared" si="194"/>
        <v>A1622:A2486</v>
      </c>
    </row>
    <row r="2487" spans="1:15">
      <c r="A2487" s="18">
        <f>Charms!K2487</f>
        <v>0</v>
      </c>
      <c r="B2487">
        <f>Charms!B2487</f>
        <v>0</v>
      </c>
      <c r="C2487" t="b">
        <f ca="1">OR(Values!$S$98&gt;=Charms!M2487,IFERROR(Charms!J2487=OFFSET(Values!$A$24,MATCH("S",Values!$T$25:$T$50,0),0),FALSE))</f>
        <v>1</v>
      </c>
      <c r="D2487" t="e">
        <f>VLOOKUP(Charms!J2487,Values!$A$11:$S$59,19,0)&gt;=Charms!L2487</f>
        <v>#N/A</v>
      </c>
      <c r="E2487" t="e">
        <f>OR(ISBLANK(Charms!I2487),(VLOOKUP(Values!$S$6,Castes!$B$2:$F$25,4,0)=Charms!I2487))</f>
        <v>#N/A</v>
      </c>
      <c r="J2487" t="e">
        <f t="shared" ca="1" si="191"/>
        <v>#N/A</v>
      </c>
      <c r="K2487" s="18" t="e">
        <f t="shared" ca="1" si="190"/>
        <v>#N/A</v>
      </c>
      <c r="L2487" t="e">
        <f ca="1">IF(J2487,Charms!B2487,"")</f>
        <v>#N/A</v>
      </c>
      <c r="M2487" t="str">
        <f t="shared" ca="1" si="192"/>
        <v>-</v>
      </c>
      <c r="N2487" s="18" t="str">
        <f t="shared" si="193"/>
        <v>K1622:L5000</v>
      </c>
      <c r="O2487" t="str">
        <f t="shared" si="194"/>
        <v>A1622:A2487</v>
      </c>
    </row>
    <row r="2488" spans="1:15">
      <c r="A2488" s="18">
        <f>Charms!K2488</f>
        <v>0</v>
      </c>
      <c r="B2488">
        <f>Charms!B2488</f>
        <v>0</v>
      </c>
      <c r="C2488" t="b">
        <f ca="1">OR(Values!$S$98&gt;=Charms!M2488,IFERROR(Charms!J2488=OFFSET(Values!$A$24,MATCH("S",Values!$T$25:$T$50,0),0),FALSE))</f>
        <v>1</v>
      </c>
      <c r="D2488" t="e">
        <f>VLOOKUP(Charms!J2488,Values!$A$11:$S$59,19,0)&gt;=Charms!L2488</f>
        <v>#N/A</v>
      </c>
      <c r="E2488" t="e">
        <f>OR(ISBLANK(Charms!I2488),(VLOOKUP(Values!$S$6,Castes!$B$2:$F$25,4,0)=Charms!I2488))</f>
        <v>#N/A</v>
      </c>
      <c r="J2488" t="e">
        <f t="shared" ca="1" si="191"/>
        <v>#N/A</v>
      </c>
      <c r="K2488" s="18" t="e">
        <f t="shared" ca="1" si="190"/>
        <v>#N/A</v>
      </c>
      <c r="L2488" t="e">
        <f ca="1">IF(J2488,Charms!B2488,"")</f>
        <v>#N/A</v>
      </c>
      <c r="M2488" t="str">
        <f t="shared" ca="1" si="192"/>
        <v>-</v>
      </c>
      <c r="N2488" s="18" t="str">
        <f t="shared" si="193"/>
        <v>K1622:L5000</v>
      </c>
      <c r="O2488" t="str">
        <f t="shared" si="194"/>
        <v>A1622:A2488</v>
      </c>
    </row>
    <row r="2489" spans="1:15">
      <c r="A2489" s="18">
        <f>Charms!K2489</f>
        <v>0</v>
      </c>
      <c r="B2489">
        <f>Charms!B2489</f>
        <v>0</v>
      </c>
      <c r="C2489" t="b">
        <f ca="1">OR(Values!$S$98&gt;=Charms!M2489,IFERROR(Charms!J2489=OFFSET(Values!$A$24,MATCH("S",Values!$T$25:$T$50,0),0),FALSE))</f>
        <v>1</v>
      </c>
      <c r="D2489" t="e">
        <f>VLOOKUP(Charms!J2489,Values!$A$11:$S$59,19,0)&gt;=Charms!L2489</f>
        <v>#N/A</v>
      </c>
      <c r="E2489" t="e">
        <f>OR(ISBLANK(Charms!I2489),(VLOOKUP(Values!$S$6,Castes!$B$2:$F$25,4,0)=Charms!I2489))</f>
        <v>#N/A</v>
      </c>
      <c r="J2489" t="e">
        <f t="shared" ca="1" si="191"/>
        <v>#N/A</v>
      </c>
      <c r="K2489" s="18" t="e">
        <f t="shared" ca="1" si="190"/>
        <v>#N/A</v>
      </c>
      <c r="L2489" t="e">
        <f ca="1">IF(J2489,Charms!B2489,"")</f>
        <v>#N/A</v>
      </c>
      <c r="M2489" t="str">
        <f t="shared" ca="1" si="192"/>
        <v>-</v>
      </c>
      <c r="N2489" s="18" t="str">
        <f t="shared" si="193"/>
        <v>K1622:L5000</v>
      </c>
      <c r="O2489" t="str">
        <f t="shared" si="194"/>
        <v>A1622:A2489</v>
      </c>
    </row>
    <row r="2490" spans="1:15">
      <c r="A2490" s="18">
        <f>Charms!K2490</f>
        <v>0</v>
      </c>
      <c r="B2490">
        <f>Charms!B2490</f>
        <v>0</v>
      </c>
      <c r="C2490" t="b">
        <f ca="1">OR(Values!$S$98&gt;=Charms!M2490,IFERROR(Charms!J2490=OFFSET(Values!$A$24,MATCH("S",Values!$T$25:$T$50,0),0),FALSE))</f>
        <v>1</v>
      </c>
      <c r="D2490" t="e">
        <f>VLOOKUP(Charms!J2490,Values!$A$11:$S$59,19,0)&gt;=Charms!L2490</f>
        <v>#N/A</v>
      </c>
      <c r="E2490" t="e">
        <f>OR(ISBLANK(Charms!I2490),(VLOOKUP(Values!$S$6,Castes!$B$2:$F$25,4,0)=Charms!I2490))</f>
        <v>#N/A</v>
      </c>
      <c r="J2490" t="e">
        <f t="shared" ca="1" si="191"/>
        <v>#N/A</v>
      </c>
      <c r="K2490" s="18" t="e">
        <f t="shared" ca="1" si="190"/>
        <v>#N/A</v>
      </c>
      <c r="L2490" t="e">
        <f ca="1">IF(J2490,Charms!B2490,"")</f>
        <v>#N/A</v>
      </c>
      <c r="M2490" t="str">
        <f t="shared" ca="1" si="192"/>
        <v>-</v>
      </c>
      <c r="N2490" s="18" t="str">
        <f t="shared" si="193"/>
        <v>K1622:L5000</v>
      </c>
      <c r="O2490" t="str">
        <f t="shared" si="194"/>
        <v>A1622:A2490</v>
      </c>
    </row>
    <row r="2491" spans="1:15">
      <c r="A2491" s="18">
        <f>Charms!K2491</f>
        <v>0</v>
      </c>
      <c r="B2491">
        <f>Charms!B2491</f>
        <v>0</v>
      </c>
      <c r="C2491" t="b">
        <f ca="1">OR(Values!$S$98&gt;=Charms!M2491,IFERROR(Charms!J2491=OFFSET(Values!$A$24,MATCH("S",Values!$T$25:$T$50,0),0),FALSE))</f>
        <v>1</v>
      </c>
      <c r="D2491" t="e">
        <f>VLOOKUP(Charms!J2491,Values!$A$11:$S$59,19,0)&gt;=Charms!L2491</f>
        <v>#N/A</v>
      </c>
      <c r="E2491" t="e">
        <f>OR(ISBLANK(Charms!I2491),(VLOOKUP(Values!$S$6,Castes!$B$2:$F$25,4,0)=Charms!I2491))</f>
        <v>#N/A</v>
      </c>
      <c r="J2491" t="e">
        <f t="shared" ca="1" si="191"/>
        <v>#N/A</v>
      </c>
      <c r="K2491" s="18" t="e">
        <f t="shared" ca="1" si="190"/>
        <v>#N/A</v>
      </c>
      <c r="L2491" t="e">
        <f ca="1">IF(J2491,Charms!B2491,"")</f>
        <v>#N/A</v>
      </c>
      <c r="M2491" t="str">
        <f t="shared" ca="1" si="192"/>
        <v>-</v>
      </c>
      <c r="N2491" s="18" t="str">
        <f t="shared" si="193"/>
        <v>K1622:L5000</v>
      </c>
      <c r="O2491" t="str">
        <f t="shared" si="194"/>
        <v>A1622:A2491</v>
      </c>
    </row>
    <row r="2492" spans="1:15">
      <c r="A2492" s="18">
        <f>Charms!K2492</f>
        <v>0</v>
      </c>
      <c r="B2492">
        <f>Charms!B2492</f>
        <v>0</v>
      </c>
      <c r="C2492" t="b">
        <f ca="1">OR(Values!$S$98&gt;=Charms!M2492,IFERROR(Charms!J2492=OFFSET(Values!$A$24,MATCH("S",Values!$T$25:$T$50,0),0),FALSE))</f>
        <v>1</v>
      </c>
      <c r="D2492" t="e">
        <f>VLOOKUP(Charms!J2492,Values!$A$11:$S$59,19,0)&gt;=Charms!L2492</f>
        <v>#N/A</v>
      </c>
      <c r="E2492" t="e">
        <f>OR(ISBLANK(Charms!I2492),(VLOOKUP(Values!$S$6,Castes!$B$2:$F$25,4,0)=Charms!I2492))</f>
        <v>#N/A</v>
      </c>
      <c r="J2492" t="e">
        <f t="shared" ca="1" si="191"/>
        <v>#N/A</v>
      </c>
      <c r="K2492" s="18" t="e">
        <f t="shared" ca="1" si="190"/>
        <v>#N/A</v>
      </c>
      <c r="L2492" t="e">
        <f ca="1">IF(J2492,Charms!B2492,"")</f>
        <v>#N/A</v>
      </c>
      <c r="M2492" t="str">
        <f t="shared" ca="1" si="192"/>
        <v>-</v>
      </c>
      <c r="N2492" s="18" t="str">
        <f t="shared" si="193"/>
        <v>K1622:L5000</v>
      </c>
      <c r="O2492" t="str">
        <f t="shared" si="194"/>
        <v>A1622:A2492</v>
      </c>
    </row>
    <row r="2493" spans="1:15">
      <c r="A2493" s="18">
        <f>Charms!K2493</f>
        <v>0</v>
      </c>
      <c r="B2493">
        <f>Charms!B2493</f>
        <v>0</v>
      </c>
      <c r="C2493" t="b">
        <f ca="1">OR(Values!$S$98&gt;=Charms!M2493,IFERROR(Charms!J2493=OFFSET(Values!$A$24,MATCH("S",Values!$T$25:$T$50,0),0),FALSE))</f>
        <v>1</v>
      </c>
      <c r="D2493" t="e">
        <f>VLOOKUP(Charms!J2493,Values!$A$11:$S$59,19,0)&gt;=Charms!L2493</f>
        <v>#N/A</v>
      </c>
      <c r="E2493" t="e">
        <f>OR(ISBLANK(Charms!I2493),(VLOOKUP(Values!$S$6,Castes!$B$2:$F$25,4,0)=Charms!I2493))</f>
        <v>#N/A</v>
      </c>
      <c r="J2493" t="e">
        <f t="shared" ca="1" si="191"/>
        <v>#N/A</v>
      </c>
      <c r="K2493" s="18" t="e">
        <f t="shared" ca="1" si="190"/>
        <v>#N/A</v>
      </c>
      <c r="L2493" t="e">
        <f ca="1">IF(J2493,Charms!B2493,"")</f>
        <v>#N/A</v>
      </c>
      <c r="M2493" t="str">
        <f t="shared" ca="1" si="192"/>
        <v>-</v>
      </c>
      <c r="N2493" s="18" t="str">
        <f t="shared" si="193"/>
        <v>K1622:L5000</v>
      </c>
      <c r="O2493" t="str">
        <f t="shared" si="194"/>
        <v>A1622:A2493</v>
      </c>
    </row>
    <row r="2494" spans="1:15">
      <c r="A2494" s="18">
        <f>Charms!K2494</f>
        <v>0</v>
      </c>
      <c r="B2494">
        <f>Charms!B2494</f>
        <v>0</v>
      </c>
      <c r="C2494" t="b">
        <f ca="1">OR(Values!$S$98&gt;=Charms!M2494,IFERROR(Charms!J2494=OFFSET(Values!$A$24,MATCH("S",Values!$T$25:$T$50,0),0),FALSE))</f>
        <v>1</v>
      </c>
      <c r="D2494" t="e">
        <f>VLOOKUP(Charms!J2494,Values!$A$11:$S$59,19,0)&gt;=Charms!L2494</f>
        <v>#N/A</v>
      </c>
      <c r="E2494" t="e">
        <f>OR(ISBLANK(Charms!I2494),(VLOOKUP(Values!$S$6,Castes!$B$2:$F$25,4,0)=Charms!I2494))</f>
        <v>#N/A</v>
      </c>
      <c r="J2494" t="e">
        <f t="shared" ca="1" si="191"/>
        <v>#N/A</v>
      </c>
      <c r="K2494" s="18" t="e">
        <f t="shared" ca="1" si="190"/>
        <v>#N/A</v>
      </c>
      <c r="L2494" t="e">
        <f ca="1">IF(J2494,Charms!B2494,"")</f>
        <v>#N/A</v>
      </c>
      <c r="M2494" t="str">
        <f t="shared" ca="1" si="192"/>
        <v>-</v>
      </c>
      <c r="N2494" s="18" t="str">
        <f t="shared" si="193"/>
        <v>K1622:L5000</v>
      </c>
      <c r="O2494" t="str">
        <f t="shared" si="194"/>
        <v>A1622:A2494</v>
      </c>
    </row>
    <row r="2495" spans="1:15">
      <c r="A2495" s="18">
        <f>Charms!K2495</f>
        <v>0</v>
      </c>
      <c r="B2495">
        <f>Charms!B2495</f>
        <v>0</v>
      </c>
      <c r="C2495" t="b">
        <f ca="1">OR(Values!$S$98&gt;=Charms!M2495,IFERROR(Charms!J2495=OFFSET(Values!$A$24,MATCH("S",Values!$T$25:$T$50,0),0),FALSE))</f>
        <v>1</v>
      </c>
      <c r="D2495" t="e">
        <f>VLOOKUP(Charms!J2495,Values!$A$11:$S$59,19,0)&gt;=Charms!L2495</f>
        <v>#N/A</v>
      </c>
      <c r="E2495" t="e">
        <f>OR(ISBLANK(Charms!I2495),(VLOOKUP(Values!$S$6,Castes!$B$2:$F$25,4,0)=Charms!I2495))</f>
        <v>#N/A</v>
      </c>
      <c r="J2495" t="e">
        <f t="shared" ca="1" si="191"/>
        <v>#N/A</v>
      </c>
      <c r="K2495" s="18" t="e">
        <f t="shared" ca="1" si="190"/>
        <v>#N/A</v>
      </c>
      <c r="L2495" t="e">
        <f ca="1">IF(J2495,Charms!B2495,"")</f>
        <v>#N/A</v>
      </c>
      <c r="M2495" t="str">
        <f t="shared" ca="1" si="192"/>
        <v>-</v>
      </c>
      <c r="N2495" s="18" t="str">
        <f t="shared" si="193"/>
        <v>K1622:L5000</v>
      </c>
      <c r="O2495" t="str">
        <f t="shared" si="194"/>
        <v>A1622:A2495</v>
      </c>
    </row>
    <row r="2496" spans="1:15">
      <c r="A2496" s="18">
        <f>Charms!K2496</f>
        <v>0</v>
      </c>
      <c r="B2496">
        <f>Charms!B2496</f>
        <v>0</v>
      </c>
      <c r="C2496" t="b">
        <f ca="1">OR(Values!$S$98&gt;=Charms!M2496,IFERROR(Charms!J2496=OFFSET(Values!$A$24,MATCH("S",Values!$T$25:$T$50,0),0),FALSE))</f>
        <v>1</v>
      </c>
      <c r="D2496" t="e">
        <f>VLOOKUP(Charms!J2496,Values!$A$11:$S$59,19,0)&gt;=Charms!L2496</f>
        <v>#N/A</v>
      </c>
      <c r="E2496" t="e">
        <f>OR(ISBLANK(Charms!I2496),(VLOOKUP(Values!$S$6,Castes!$B$2:$F$25,4,0)=Charms!I2496))</f>
        <v>#N/A</v>
      </c>
      <c r="J2496" t="e">
        <f t="shared" ca="1" si="191"/>
        <v>#N/A</v>
      </c>
      <c r="K2496" s="18" t="e">
        <f t="shared" ca="1" si="190"/>
        <v>#N/A</v>
      </c>
      <c r="L2496" t="e">
        <f ca="1">IF(J2496,Charms!B2496,"")</f>
        <v>#N/A</v>
      </c>
      <c r="M2496" t="str">
        <f t="shared" ca="1" si="192"/>
        <v>-</v>
      </c>
      <c r="N2496" s="18" t="str">
        <f t="shared" si="193"/>
        <v>K1622:L5000</v>
      </c>
      <c r="O2496" t="str">
        <f t="shared" si="194"/>
        <v>A1622:A2496</v>
      </c>
    </row>
    <row r="2497" spans="1:15">
      <c r="A2497" s="18">
        <f>Charms!K2497</f>
        <v>0</v>
      </c>
      <c r="B2497">
        <f>Charms!B2497</f>
        <v>0</v>
      </c>
      <c r="C2497" t="b">
        <f ca="1">OR(Values!$S$98&gt;=Charms!M2497,IFERROR(Charms!J2497=OFFSET(Values!$A$24,MATCH("S",Values!$T$25:$T$50,0),0),FALSE))</f>
        <v>1</v>
      </c>
      <c r="D2497" t="e">
        <f>VLOOKUP(Charms!J2497,Values!$A$11:$S$59,19,0)&gt;=Charms!L2497</f>
        <v>#N/A</v>
      </c>
      <c r="E2497" t="e">
        <f>OR(ISBLANK(Charms!I2497),(VLOOKUP(Values!$S$6,Castes!$B$2:$F$25,4,0)=Charms!I2497))</f>
        <v>#N/A</v>
      </c>
      <c r="J2497" t="e">
        <f t="shared" ca="1" si="191"/>
        <v>#N/A</v>
      </c>
      <c r="K2497" s="18" t="e">
        <f t="shared" ca="1" si="190"/>
        <v>#N/A</v>
      </c>
      <c r="L2497" t="e">
        <f ca="1">IF(J2497,Charms!B2497,"")</f>
        <v>#N/A</v>
      </c>
      <c r="M2497" t="str">
        <f t="shared" ca="1" si="192"/>
        <v>-</v>
      </c>
      <c r="N2497" s="18" t="str">
        <f t="shared" si="193"/>
        <v>K1622:L5000</v>
      </c>
      <c r="O2497" t="str">
        <f t="shared" si="194"/>
        <v>A1622:A2497</v>
      </c>
    </row>
    <row r="2498" spans="1:15">
      <c r="A2498" s="18">
        <f>Charms!K2498</f>
        <v>0</v>
      </c>
      <c r="B2498">
        <f>Charms!B2498</f>
        <v>0</v>
      </c>
      <c r="C2498" t="b">
        <f ca="1">OR(Values!$S$98&gt;=Charms!M2498,IFERROR(Charms!J2498=OFFSET(Values!$A$24,MATCH("S",Values!$T$25:$T$50,0),0),FALSE))</f>
        <v>1</v>
      </c>
      <c r="D2498" t="e">
        <f>VLOOKUP(Charms!J2498,Values!$A$11:$S$59,19,0)&gt;=Charms!L2498</f>
        <v>#N/A</v>
      </c>
      <c r="E2498" t="e">
        <f>OR(ISBLANK(Charms!I2498),(VLOOKUP(Values!$S$6,Castes!$B$2:$F$25,4,0)=Charms!I2498))</f>
        <v>#N/A</v>
      </c>
      <c r="J2498" t="e">
        <f t="shared" ca="1" si="191"/>
        <v>#N/A</v>
      </c>
      <c r="K2498" s="18" t="e">
        <f t="shared" ref="K2498:K2561" ca="1" si="195">IF(L2498="","",COUNTIF(INDIRECT("J"&amp;MATCH(A2498,A:A,0)&amp;":J"&amp;ROW()),J2498))</f>
        <v>#N/A</v>
      </c>
      <c r="L2498" t="e">
        <f ca="1">IF(J2498,Charms!B2498,"")</f>
        <v>#N/A</v>
      </c>
      <c r="M2498" t="str">
        <f t="shared" ca="1" si="192"/>
        <v>-</v>
      </c>
      <c r="N2498" s="18" t="str">
        <f t="shared" si="193"/>
        <v>K1622:L5000</v>
      </c>
      <c r="O2498" t="str">
        <f t="shared" si="194"/>
        <v>A1622:A2498</v>
      </c>
    </row>
    <row r="2499" spans="1:15">
      <c r="A2499" s="18">
        <f>Charms!K2499</f>
        <v>0</v>
      </c>
      <c r="B2499">
        <f>Charms!B2499</f>
        <v>0</v>
      </c>
      <c r="C2499" t="b">
        <f ca="1">OR(Values!$S$98&gt;=Charms!M2499,IFERROR(Charms!J2499=OFFSET(Values!$A$24,MATCH("S",Values!$T$25:$T$50,0),0),FALSE))</f>
        <v>1</v>
      </c>
      <c r="D2499" t="e">
        <f>VLOOKUP(Charms!J2499,Values!$A$11:$S$59,19,0)&gt;=Charms!L2499</f>
        <v>#N/A</v>
      </c>
      <c r="E2499" t="e">
        <f>OR(ISBLANK(Charms!I2499),(VLOOKUP(Values!$S$6,Castes!$B$2:$F$25,4,0)=Charms!I2499))</f>
        <v>#N/A</v>
      </c>
      <c r="J2499" t="e">
        <f t="shared" ref="J2499:J2562" ca="1" si="196">(C2499+D2499+E2499+F2499+G2499+H2499+I2499)=3</f>
        <v>#N/A</v>
      </c>
      <c r="K2499" s="18" t="e">
        <f t="shared" ca="1" si="195"/>
        <v>#N/A</v>
      </c>
      <c r="L2499" t="e">
        <f ca="1">IF(J2499,Charms!B2499,"")</f>
        <v>#N/A</v>
      </c>
      <c r="M2499" t="str">
        <f t="shared" ref="M2499:M2562" ca="1" si="197">IFERROR(VLOOKUP(COUNTIF(INDIRECT(O2499),A2499),INDIRECT(N2499),2,0),"-")</f>
        <v>-</v>
      </c>
      <c r="N2499" s="18" t="str">
        <f t="shared" ref="N2499:N2562" si="198">"K"&amp;MATCH(A2499,A:A,0)&amp;":L"&amp;(MATCH(A2499,A:A,0)+COUNTIF(A:A,A2499)-1)</f>
        <v>K1622:L5000</v>
      </c>
      <c r="O2499" t="str">
        <f t="shared" ref="O2499:O2562" si="199">"A"&amp;MATCH(A2499,A:A,0)&amp;":A"&amp;ROW()</f>
        <v>A1622:A2499</v>
      </c>
    </row>
    <row r="2500" spans="1:15">
      <c r="A2500" s="18">
        <f>Charms!K2500</f>
        <v>0</v>
      </c>
      <c r="B2500">
        <f>Charms!B2500</f>
        <v>0</v>
      </c>
      <c r="C2500" t="b">
        <f ca="1">OR(Values!$S$98&gt;=Charms!M2500,IFERROR(Charms!J2500=OFFSET(Values!$A$24,MATCH("S",Values!$T$25:$T$50,0),0),FALSE))</f>
        <v>1</v>
      </c>
      <c r="D2500" t="e">
        <f>VLOOKUP(Charms!J2500,Values!$A$11:$S$59,19,0)&gt;=Charms!L2500</f>
        <v>#N/A</v>
      </c>
      <c r="E2500" t="e">
        <f>OR(ISBLANK(Charms!I2500),(VLOOKUP(Values!$S$6,Castes!$B$2:$F$25,4,0)=Charms!I2500))</f>
        <v>#N/A</v>
      </c>
      <c r="J2500" t="e">
        <f t="shared" ca="1" si="196"/>
        <v>#N/A</v>
      </c>
      <c r="K2500" s="18" t="e">
        <f t="shared" ca="1" si="195"/>
        <v>#N/A</v>
      </c>
      <c r="L2500" t="e">
        <f ca="1">IF(J2500,Charms!B2500,"")</f>
        <v>#N/A</v>
      </c>
      <c r="M2500" t="str">
        <f t="shared" ca="1" si="197"/>
        <v>-</v>
      </c>
      <c r="N2500" s="18" t="str">
        <f t="shared" si="198"/>
        <v>K1622:L5000</v>
      </c>
      <c r="O2500" t="str">
        <f t="shared" si="199"/>
        <v>A1622:A2500</v>
      </c>
    </row>
    <row r="2501" spans="1:15">
      <c r="A2501" s="18">
        <f>Charms!K2501</f>
        <v>0</v>
      </c>
      <c r="B2501">
        <f>Charms!B2501</f>
        <v>0</v>
      </c>
      <c r="C2501" t="b">
        <f ca="1">OR(Values!$S$98&gt;=Charms!M2501,IFERROR(Charms!J2501=OFFSET(Values!$A$24,MATCH("S",Values!$T$25:$T$50,0),0),FALSE))</f>
        <v>1</v>
      </c>
      <c r="D2501" t="e">
        <f>VLOOKUP(Charms!J2501,Values!$A$11:$S$59,19,0)&gt;=Charms!L2501</f>
        <v>#N/A</v>
      </c>
      <c r="E2501" t="e">
        <f>OR(ISBLANK(Charms!I2501),(VLOOKUP(Values!$S$6,Castes!$B$2:$F$25,4,0)=Charms!I2501))</f>
        <v>#N/A</v>
      </c>
      <c r="J2501" t="e">
        <f t="shared" ca="1" si="196"/>
        <v>#N/A</v>
      </c>
      <c r="K2501" s="18" t="e">
        <f t="shared" ca="1" si="195"/>
        <v>#N/A</v>
      </c>
      <c r="L2501" t="e">
        <f ca="1">IF(J2501,Charms!B2501,"")</f>
        <v>#N/A</v>
      </c>
      <c r="M2501" t="str">
        <f t="shared" ca="1" si="197"/>
        <v>-</v>
      </c>
      <c r="N2501" s="18" t="str">
        <f t="shared" si="198"/>
        <v>K1622:L5000</v>
      </c>
      <c r="O2501" t="str">
        <f t="shared" si="199"/>
        <v>A1622:A2501</v>
      </c>
    </row>
    <row r="2502" spans="1:15">
      <c r="A2502" s="18">
        <f>Charms!K2502</f>
        <v>0</v>
      </c>
      <c r="B2502">
        <f>Charms!B2502</f>
        <v>0</v>
      </c>
      <c r="C2502" t="b">
        <f ca="1">OR(Values!$S$98&gt;=Charms!M2502,IFERROR(Charms!J2502=OFFSET(Values!$A$24,MATCH("S",Values!$T$25:$T$50,0),0),FALSE))</f>
        <v>1</v>
      </c>
      <c r="D2502" t="e">
        <f>VLOOKUP(Charms!J2502,Values!$A$11:$S$59,19,0)&gt;=Charms!L2502</f>
        <v>#N/A</v>
      </c>
      <c r="E2502" t="e">
        <f>OR(ISBLANK(Charms!I2502),(VLOOKUP(Values!$S$6,Castes!$B$2:$F$25,4,0)=Charms!I2502))</f>
        <v>#N/A</v>
      </c>
      <c r="J2502" t="e">
        <f t="shared" ca="1" si="196"/>
        <v>#N/A</v>
      </c>
      <c r="K2502" s="18" t="e">
        <f t="shared" ca="1" si="195"/>
        <v>#N/A</v>
      </c>
      <c r="L2502" t="e">
        <f ca="1">IF(J2502,Charms!B2502,"")</f>
        <v>#N/A</v>
      </c>
      <c r="M2502" t="str">
        <f t="shared" ca="1" si="197"/>
        <v>-</v>
      </c>
      <c r="N2502" s="18" t="str">
        <f t="shared" si="198"/>
        <v>K1622:L5000</v>
      </c>
      <c r="O2502" t="str">
        <f t="shared" si="199"/>
        <v>A1622:A2502</v>
      </c>
    </row>
    <row r="2503" spans="1:15">
      <c r="A2503" s="18">
        <f>Charms!K2503</f>
        <v>0</v>
      </c>
      <c r="B2503">
        <f>Charms!B2503</f>
        <v>0</v>
      </c>
      <c r="C2503" t="b">
        <f ca="1">OR(Values!$S$98&gt;=Charms!M2503,IFERROR(Charms!J2503=OFFSET(Values!$A$24,MATCH("S",Values!$T$25:$T$50,0),0),FALSE))</f>
        <v>1</v>
      </c>
      <c r="D2503" t="e">
        <f>VLOOKUP(Charms!J2503,Values!$A$11:$S$59,19,0)&gt;=Charms!L2503</f>
        <v>#N/A</v>
      </c>
      <c r="E2503" t="e">
        <f>OR(ISBLANK(Charms!I2503),(VLOOKUP(Values!$S$6,Castes!$B$2:$F$25,4,0)=Charms!I2503))</f>
        <v>#N/A</v>
      </c>
      <c r="J2503" t="e">
        <f t="shared" ca="1" si="196"/>
        <v>#N/A</v>
      </c>
      <c r="K2503" s="18" t="e">
        <f t="shared" ca="1" si="195"/>
        <v>#N/A</v>
      </c>
      <c r="L2503" t="e">
        <f ca="1">IF(J2503,Charms!B2503,"")</f>
        <v>#N/A</v>
      </c>
      <c r="M2503" t="str">
        <f t="shared" ca="1" si="197"/>
        <v>-</v>
      </c>
      <c r="N2503" s="18" t="str">
        <f t="shared" si="198"/>
        <v>K1622:L5000</v>
      </c>
      <c r="O2503" t="str">
        <f t="shared" si="199"/>
        <v>A1622:A2503</v>
      </c>
    </row>
    <row r="2504" spans="1:15">
      <c r="A2504" s="18">
        <f>Charms!K2504</f>
        <v>0</v>
      </c>
      <c r="B2504">
        <f>Charms!B2504</f>
        <v>0</v>
      </c>
      <c r="C2504" t="b">
        <f ca="1">OR(Values!$S$98&gt;=Charms!M2504,IFERROR(Charms!J2504=OFFSET(Values!$A$24,MATCH("S",Values!$T$25:$T$50,0),0),FALSE))</f>
        <v>1</v>
      </c>
      <c r="D2504" t="e">
        <f>VLOOKUP(Charms!J2504,Values!$A$11:$S$59,19,0)&gt;=Charms!L2504</f>
        <v>#N/A</v>
      </c>
      <c r="E2504" t="e">
        <f>OR(ISBLANK(Charms!I2504),(VLOOKUP(Values!$S$6,Castes!$B$2:$F$25,4,0)=Charms!I2504))</f>
        <v>#N/A</v>
      </c>
      <c r="J2504" t="e">
        <f t="shared" ca="1" si="196"/>
        <v>#N/A</v>
      </c>
      <c r="K2504" s="18" t="e">
        <f t="shared" ca="1" si="195"/>
        <v>#N/A</v>
      </c>
      <c r="L2504" t="e">
        <f ca="1">IF(J2504,Charms!B2504,"")</f>
        <v>#N/A</v>
      </c>
      <c r="M2504" t="str">
        <f t="shared" ca="1" si="197"/>
        <v>-</v>
      </c>
      <c r="N2504" s="18" t="str">
        <f t="shared" si="198"/>
        <v>K1622:L5000</v>
      </c>
      <c r="O2504" t="str">
        <f t="shared" si="199"/>
        <v>A1622:A2504</v>
      </c>
    </row>
    <row r="2505" spans="1:15">
      <c r="A2505" s="18">
        <f>Charms!K2505</f>
        <v>0</v>
      </c>
      <c r="B2505">
        <f>Charms!B2505</f>
        <v>0</v>
      </c>
      <c r="C2505" t="b">
        <f ca="1">OR(Values!$S$98&gt;=Charms!M2505,IFERROR(Charms!J2505=OFFSET(Values!$A$24,MATCH("S",Values!$T$25:$T$50,0),0),FALSE))</f>
        <v>1</v>
      </c>
      <c r="D2505" t="e">
        <f>VLOOKUP(Charms!J2505,Values!$A$11:$S$59,19,0)&gt;=Charms!L2505</f>
        <v>#N/A</v>
      </c>
      <c r="E2505" t="e">
        <f>OR(ISBLANK(Charms!I2505),(VLOOKUP(Values!$S$6,Castes!$B$2:$F$25,4,0)=Charms!I2505))</f>
        <v>#N/A</v>
      </c>
      <c r="J2505" t="e">
        <f t="shared" ca="1" si="196"/>
        <v>#N/A</v>
      </c>
      <c r="K2505" s="18" t="e">
        <f t="shared" ca="1" si="195"/>
        <v>#N/A</v>
      </c>
      <c r="L2505" t="e">
        <f ca="1">IF(J2505,Charms!B2505,"")</f>
        <v>#N/A</v>
      </c>
      <c r="M2505" t="str">
        <f t="shared" ca="1" si="197"/>
        <v>-</v>
      </c>
      <c r="N2505" s="18" t="str">
        <f t="shared" si="198"/>
        <v>K1622:L5000</v>
      </c>
      <c r="O2505" t="str">
        <f t="shared" si="199"/>
        <v>A1622:A2505</v>
      </c>
    </row>
    <row r="2506" spans="1:15">
      <c r="A2506" s="18">
        <f>Charms!K2506</f>
        <v>0</v>
      </c>
      <c r="B2506">
        <f>Charms!B2506</f>
        <v>0</v>
      </c>
      <c r="C2506" t="b">
        <f ca="1">OR(Values!$S$98&gt;=Charms!M2506,IFERROR(Charms!J2506=OFFSET(Values!$A$24,MATCH("S",Values!$T$25:$T$50,0),0),FALSE))</f>
        <v>1</v>
      </c>
      <c r="D2506" t="e">
        <f>VLOOKUP(Charms!J2506,Values!$A$11:$S$59,19,0)&gt;=Charms!L2506</f>
        <v>#N/A</v>
      </c>
      <c r="E2506" t="e">
        <f>OR(ISBLANK(Charms!I2506),(VLOOKUP(Values!$S$6,Castes!$B$2:$F$25,4,0)=Charms!I2506))</f>
        <v>#N/A</v>
      </c>
      <c r="J2506" t="e">
        <f t="shared" ca="1" si="196"/>
        <v>#N/A</v>
      </c>
      <c r="K2506" s="18" t="e">
        <f t="shared" ca="1" si="195"/>
        <v>#N/A</v>
      </c>
      <c r="L2506" t="e">
        <f ca="1">IF(J2506,Charms!B2506,"")</f>
        <v>#N/A</v>
      </c>
      <c r="M2506" t="str">
        <f t="shared" ca="1" si="197"/>
        <v>-</v>
      </c>
      <c r="N2506" s="18" t="str">
        <f t="shared" si="198"/>
        <v>K1622:L5000</v>
      </c>
      <c r="O2506" t="str">
        <f t="shared" si="199"/>
        <v>A1622:A2506</v>
      </c>
    </row>
    <row r="2507" spans="1:15">
      <c r="A2507" s="18">
        <f>Charms!K2507</f>
        <v>0</v>
      </c>
      <c r="B2507">
        <f>Charms!B2507</f>
        <v>0</v>
      </c>
      <c r="C2507" t="b">
        <f ca="1">OR(Values!$S$98&gt;=Charms!M2507,IFERROR(Charms!J2507=OFFSET(Values!$A$24,MATCH("S",Values!$T$25:$T$50,0),0),FALSE))</f>
        <v>1</v>
      </c>
      <c r="D2507" t="e">
        <f>VLOOKUP(Charms!J2507,Values!$A$11:$S$59,19,0)&gt;=Charms!L2507</f>
        <v>#N/A</v>
      </c>
      <c r="E2507" t="e">
        <f>OR(ISBLANK(Charms!I2507),(VLOOKUP(Values!$S$6,Castes!$B$2:$F$25,4,0)=Charms!I2507))</f>
        <v>#N/A</v>
      </c>
      <c r="J2507" t="e">
        <f t="shared" ca="1" si="196"/>
        <v>#N/A</v>
      </c>
      <c r="K2507" s="18" t="e">
        <f t="shared" ca="1" si="195"/>
        <v>#N/A</v>
      </c>
      <c r="L2507" t="e">
        <f ca="1">IF(J2507,Charms!B2507,"")</f>
        <v>#N/A</v>
      </c>
      <c r="M2507" t="str">
        <f t="shared" ca="1" si="197"/>
        <v>-</v>
      </c>
      <c r="N2507" s="18" t="str">
        <f t="shared" si="198"/>
        <v>K1622:L5000</v>
      </c>
      <c r="O2507" t="str">
        <f t="shared" si="199"/>
        <v>A1622:A2507</v>
      </c>
    </row>
    <row r="2508" spans="1:15">
      <c r="A2508" s="18">
        <f>Charms!K2508</f>
        <v>0</v>
      </c>
      <c r="B2508">
        <f>Charms!B2508</f>
        <v>0</v>
      </c>
      <c r="C2508" t="b">
        <f ca="1">OR(Values!$S$98&gt;=Charms!M2508,IFERROR(Charms!J2508=OFFSET(Values!$A$24,MATCH("S",Values!$T$25:$T$50,0),0),FALSE))</f>
        <v>1</v>
      </c>
      <c r="D2508" t="e">
        <f>VLOOKUP(Charms!J2508,Values!$A$11:$S$59,19,0)&gt;=Charms!L2508</f>
        <v>#N/A</v>
      </c>
      <c r="E2508" t="e">
        <f>OR(ISBLANK(Charms!I2508),(VLOOKUP(Values!$S$6,Castes!$B$2:$F$25,4,0)=Charms!I2508))</f>
        <v>#N/A</v>
      </c>
      <c r="J2508" t="e">
        <f t="shared" ca="1" si="196"/>
        <v>#N/A</v>
      </c>
      <c r="K2508" s="18" t="e">
        <f t="shared" ca="1" si="195"/>
        <v>#N/A</v>
      </c>
      <c r="L2508" t="e">
        <f ca="1">IF(J2508,Charms!B2508,"")</f>
        <v>#N/A</v>
      </c>
      <c r="M2508" t="str">
        <f t="shared" ca="1" si="197"/>
        <v>-</v>
      </c>
      <c r="N2508" s="18" t="str">
        <f t="shared" si="198"/>
        <v>K1622:L5000</v>
      </c>
      <c r="O2508" t="str">
        <f t="shared" si="199"/>
        <v>A1622:A2508</v>
      </c>
    </row>
    <row r="2509" spans="1:15">
      <c r="A2509" s="18">
        <f>Charms!K2509</f>
        <v>0</v>
      </c>
      <c r="B2509">
        <f>Charms!B2509</f>
        <v>0</v>
      </c>
      <c r="C2509" t="b">
        <f ca="1">OR(Values!$S$98&gt;=Charms!M2509,IFERROR(Charms!J2509=OFFSET(Values!$A$24,MATCH("S",Values!$T$25:$T$50,0),0),FALSE))</f>
        <v>1</v>
      </c>
      <c r="D2509" t="e">
        <f>VLOOKUP(Charms!J2509,Values!$A$11:$S$59,19,0)&gt;=Charms!L2509</f>
        <v>#N/A</v>
      </c>
      <c r="E2509" t="e">
        <f>OR(ISBLANK(Charms!I2509),(VLOOKUP(Values!$S$6,Castes!$B$2:$F$25,4,0)=Charms!I2509))</f>
        <v>#N/A</v>
      </c>
      <c r="J2509" t="e">
        <f t="shared" ca="1" si="196"/>
        <v>#N/A</v>
      </c>
      <c r="K2509" s="18" t="e">
        <f t="shared" ca="1" si="195"/>
        <v>#N/A</v>
      </c>
      <c r="L2509" t="e">
        <f ca="1">IF(J2509,Charms!B2509,"")</f>
        <v>#N/A</v>
      </c>
      <c r="M2509" t="str">
        <f t="shared" ca="1" si="197"/>
        <v>-</v>
      </c>
      <c r="N2509" s="18" t="str">
        <f t="shared" si="198"/>
        <v>K1622:L5000</v>
      </c>
      <c r="O2509" t="str">
        <f t="shared" si="199"/>
        <v>A1622:A2509</v>
      </c>
    </row>
    <row r="2510" spans="1:15">
      <c r="A2510" s="18">
        <f>Charms!K2510</f>
        <v>0</v>
      </c>
      <c r="B2510">
        <f>Charms!B2510</f>
        <v>0</v>
      </c>
      <c r="C2510" t="b">
        <f ca="1">OR(Values!$S$98&gt;=Charms!M2510,IFERROR(Charms!J2510=OFFSET(Values!$A$24,MATCH("S",Values!$T$25:$T$50,0),0),FALSE))</f>
        <v>1</v>
      </c>
      <c r="D2510" t="e">
        <f>VLOOKUP(Charms!J2510,Values!$A$11:$S$59,19,0)&gt;=Charms!L2510</f>
        <v>#N/A</v>
      </c>
      <c r="E2510" t="e">
        <f>OR(ISBLANK(Charms!I2510),(VLOOKUP(Values!$S$6,Castes!$B$2:$F$25,4,0)=Charms!I2510))</f>
        <v>#N/A</v>
      </c>
      <c r="J2510" t="e">
        <f t="shared" ca="1" si="196"/>
        <v>#N/A</v>
      </c>
      <c r="K2510" s="18" t="e">
        <f t="shared" ca="1" si="195"/>
        <v>#N/A</v>
      </c>
      <c r="L2510" t="e">
        <f ca="1">IF(J2510,Charms!B2510,"")</f>
        <v>#N/A</v>
      </c>
      <c r="M2510" t="str">
        <f t="shared" ca="1" si="197"/>
        <v>-</v>
      </c>
      <c r="N2510" s="18" t="str">
        <f t="shared" si="198"/>
        <v>K1622:L5000</v>
      </c>
      <c r="O2510" t="str">
        <f t="shared" si="199"/>
        <v>A1622:A2510</v>
      </c>
    </row>
    <row r="2511" spans="1:15">
      <c r="A2511" s="18">
        <f>Charms!K2511</f>
        <v>0</v>
      </c>
      <c r="B2511">
        <f>Charms!B2511</f>
        <v>0</v>
      </c>
      <c r="C2511" t="b">
        <f ca="1">OR(Values!$S$98&gt;=Charms!M2511,IFERROR(Charms!J2511=OFFSET(Values!$A$24,MATCH("S",Values!$T$25:$T$50,0),0),FALSE))</f>
        <v>1</v>
      </c>
      <c r="D2511" t="e">
        <f>VLOOKUP(Charms!J2511,Values!$A$11:$S$59,19,0)&gt;=Charms!L2511</f>
        <v>#N/A</v>
      </c>
      <c r="E2511" t="e">
        <f>OR(ISBLANK(Charms!I2511),(VLOOKUP(Values!$S$6,Castes!$B$2:$F$25,4,0)=Charms!I2511))</f>
        <v>#N/A</v>
      </c>
      <c r="J2511" t="e">
        <f t="shared" ca="1" si="196"/>
        <v>#N/A</v>
      </c>
      <c r="K2511" s="18" t="e">
        <f t="shared" ca="1" si="195"/>
        <v>#N/A</v>
      </c>
      <c r="L2511" t="e">
        <f ca="1">IF(J2511,Charms!B2511,"")</f>
        <v>#N/A</v>
      </c>
      <c r="M2511" t="str">
        <f t="shared" ca="1" si="197"/>
        <v>-</v>
      </c>
      <c r="N2511" s="18" t="str">
        <f t="shared" si="198"/>
        <v>K1622:L5000</v>
      </c>
      <c r="O2511" t="str">
        <f t="shared" si="199"/>
        <v>A1622:A2511</v>
      </c>
    </row>
    <row r="2512" spans="1:15">
      <c r="A2512" s="18">
        <f>Charms!K2512</f>
        <v>0</v>
      </c>
      <c r="B2512">
        <f>Charms!B2512</f>
        <v>0</v>
      </c>
      <c r="C2512" t="b">
        <f ca="1">OR(Values!$S$98&gt;=Charms!M2512,IFERROR(Charms!J2512=OFFSET(Values!$A$24,MATCH("S",Values!$T$25:$T$50,0),0),FALSE))</f>
        <v>1</v>
      </c>
      <c r="D2512" t="e">
        <f>VLOOKUP(Charms!J2512,Values!$A$11:$S$59,19,0)&gt;=Charms!L2512</f>
        <v>#N/A</v>
      </c>
      <c r="E2512" t="e">
        <f>OR(ISBLANK(Charms!I2512),(VLOOKUP(Values!$S$6,Castes!$B$2:$F$25,4,0)=Charms!I2512))</f>
        <v>#N/A</v>
      </c>
      <c r="J2512" t="e">
        <f t="shared" ca="1" si="196"/>
        <v>#N/A</v>
      </c>
      <c r="K2512" s="18" t="e">
        <f t="shared" ca="1" si="195"/>
        <v>#N/A</v>
      </c>
      <c r="L2512" t="e">
        <f ca="1">IF(J2512,Charms!B2512,"")</f>
        <v>#N/A</v>
      </c>
      <c r="M2512" t="str">
        <f t="shared" ca="1" si="197"/>
        <v>-</v>
      </c>
      <c r="N2512" s="18" t="str">
        <f t="shared" si="198"/>
        <v>K1622:L5000</v>
      </c>
      <c r="O2512" t="str">
        <f t="shared" si="199"/>
        <v>A1622:A2512</v>
      </c>
    </row>
    <row r="2513" spans="1:15">
      <c r="A2513" s="18">
        <f>Charms!K2513</f>
        <v>0</v>
      </c>
      <c r="B2513">
        <f>Charms!B2513</f>
        <v>0</v>
      </c>
      <c r="C2513" t="b">
        <f ca="1">OR(Values!$S$98&gt;=Charms!M2513,IFERROR(Charms!J2513=OFFSET(Values!$A$24,MATCH("S",Values!$T$25:$T$50,0),0),FALSE))</f>
        <v>1</v>
      </c>
      <c r="D2513" t="e">
        <f>VLOOKUP(Charms!J2513,Values!$A$11:$S$59,19,0)&gt;=Charms!L2513</f>
        <v>#N/A</v>
      </c>
      <c r="E2513" t="e">
        <f>OR(ISBLANK(Charms!I2513),(VLOOKUP(Values!$S$6,Castes!$B$2:$F$25,4,0)=Charms!I2513))</f>
        <v>#N/A</v>
      </c>
      <c r="J2513" t="e">
        <f t="shared" ca="1" si="196"/>
        <v>#N/A</v>
      </c>
      <c r="K2513" s="18" t="e">
        <f t="shared" ca="1" si="195"/>
        <v>#N/A</v>
      </c>
      <c r="L2513" t="e">
        <f ca="1">IF(J2513,Charms!B2513,"")</f>
        <v>#N/A</v>
      </c>
      <c r="M2513" t="str">
        <f t="shared" ca="1" si="197"/>
        <v>-</v>
      </c>
      <c r="N2513" s="18" t="str">
        <f t="shared" si="198"/>
        <v>K1622:L5000</v>
      </c>
      <c r="O2513" t="str">
        <f t="shared" si="199"/>
        <v>A1622:A2513</v>
      </c>
    </row>
    <row r="2514" spans="1:15">
      <c r="A2514" s="18">
        <f>Charms!K2514</f>
        <v>0</v>
      </c>
      <c r="B2514">
        <f>Charms!B2514</f>
        <v>0</v>
      </c>
      <c r="C2514" t="b">
        <f ca="1">OR(Values!$S$98&gt;=Charms!M2514,IFERROR(Charms!J2514=OFFSET(Values!$A$24,MATCH("S",Values!$T$25:$T$50,0),0),FALSE))</f>
        <v>1</v>
      </c>
      <c r="D2514" t="e">
        <f>VLOOKUP(Charms!J2514,Values!$A$11:$S$59,19,0)&gt;=Charms!L2514</f>
        <v>#N/A</v>
      </c>
      <c r="E2514" t="e">
        <f>OR(ISBLANK(Charms!I2514),(VLOOKUP(Values!$S$6,Castes!$B$2:$F$25,4,0)=Charms!I2514))</f>
        <v>#N/A</v>
      </c>
      <c r="J2514" t="e">
        <f t="shared" ca="1" si="196"/>
        <v>#N/A</v>
      </c>
      <c r="K2514" s="18" t="e">
        <f t="shared" ca="1" si="195"/>
        <v>#N/A</v>
      </c>
      <c r="L2514" t="e">
        <f ca="1">IF(J2514,Charms!B2514,"")</f>
        <v>#N/A</v>
      </c>
      <c r="M2514" t="str">
        <f t="shared" ca="1" si="197"/>
        <v>-</v>
      </c>
      <c r="N2514" s="18" t="str">
        <f t="shared" si="198"/>
        <v>K1622:L5000</v>
      </c>
      <c r="O2514" t="str">
        <f t="shared" si="199"/>
        <v>A1622:A2514</v>
      </c>
    </row>
    <row r="2515" spans="1:15">
      <c r="A2515" s="18">
        <f>Charms!K2515</f>
        <v>0</v>
      </c>
      <c r="B2515">
        <f>Charms!B2515</f>
        <v>0</v>
      </c>
      <c r="C2515" t="b">
        <f ca="1">OR(Values!$S$98&gt;=Charms!M2515,IFERROR(Charms!J2515=OFFSET(Values!$A$24,MATCH("S",Values!$T$25:$T$50,0),0),FALSE))</f>
        <v>1</v>
      </c>
      <c r="D2515" t="e">
        <f>VLOOKUP(Charms!J2515,Values!$A$11:$S$59,19,0)&gt;=Charms!L2515</f>
        <v>#N/A</v>
      </c>
      <c r="E2515" t="e">
        <f>OR(ISBLANK(Charms!I2515),(VLOOKUP(Values!$S$6,Castes!$B$2:$F$25,4,0)=Charms!I2515))</f>
        <v>#N/A</v>
      </c>
      <c r="J2515" t="e">
        <f t="shared" ca="1" si="196"/>
        <v>#N/A</v>
      </c>
      <c r="K2515" s="18" t="e">
        <f t="shared" ca="1" si="195"/>
        <v>#N/A</v>
      </c>
      <c r="L2515" t="e">
        <f ca="1">IF(J2515,Charms!B2515,"")</f>
        <v>#N/A</v>
      </c>
      <c r="M2515" t="str">
        <f t="shared" ca="1" si="197"/>
        <v>-</v>
      </c>
      <c r="N2515" s="18" t="str">
        <f t="shared" si="198"/>
        <v>K1622:L5000</v>
      </c>
      <c r="O2515" t="str">
        <f t="shared" si="199"/>
        <v>A1622:A2515</v>
      </c>
    </row>
    <row r="2516" spans="1:15">
      <c r="A2516" s="18">
        <f>Charms!K2516</f>
        <v>0</v>
      </c>
      <c r="B2516">
        <f>Charms!B2516</f>
        <v>0</v>
      </c>
      <c r="C2516" t="b">
        <f ca="1">OR(Values!$S$98&gt;=Charms!M2516,IFERROR(Charms!J2516=OFFSET(Values!$A$24,MATCH("S",Values!$T$25:$T$50,0),0),FALSE))</f>
        <v>1</v>
      </c>
      <c r="D2516" t="e">
        <f>VLOOKUP(Charms!J2516,Values!$A$11:$S$59,19,0)&gt;=Charms!L2516</f>
        <v>#N/A</v>
      </c>
      <c r="E2516" t="e">
        <f>OR(ISBLANK(Charms!I2516),(VLOOKUP(Values!$S$6,Castes!$B$2:$F$25,4,0)=Charms!I2516))</f>
        <v>#N/A</v>
      </c>
      <c r="J2516" t="e">
        <f t="shared" ca="1" si="196"/>
        <v>#N/A</v>
      </c>
      <c r="K2516" s="18" t="e">
        <f t="shared" ca="1" si="195"/>
        <v>#N/A</v>
      </c>
      <c r="L2516" t="e">
        <f ca="1">IF(J2516,Charms!B2516,"")</f>
        <v>#N/A</v>
      </c>
      <c r="M2516" t="str">
        <f t="shared" ca="1" si="197"/>
        <v>-</v>
      </c>
      <c r="N2516" s="18" t="str">
        <f t="shared" si="198"/>
        <v>K1622:L5000</v>
      </c>
      <c r="O2516" t="str">
        <f t="shared" si="199"/>
        <v>A1622:A2516</v>
      </c>
    </row>
    <row r="2517" spans="1:15">
      <c r="A2517" s="18">
        <f>Charms!K2517</f>
        <v>0</v>
      </c>
      <c r="B2517">
        <f>Charms!B2517</f>
        <v>0</v>
      </c>
      <c r="C2517" t="b">
        <f ca="1">OR(Values!$S$98&gt;=Charms!M2517,IFERROR(Charms!J2517=OFFSET(Values!$A$24,MATCH("S",Values!$T$25:$T$50,0),0),FALSE))</f>
        <v>1</v>
      </c>
      <c r="D2517" t="e">
        <f>VLOOKUP(Charms!J2517,Values!$A$11:$S$59,19,0)&gt;=Charms!L2517</f>
        <v>#N/A</v>
      </c>
      <c r="E2517" t="e">
        <f>OR(ISBLANK(Charms!I2517),(VLOOKUP(Values!$S$6,Castes!$B$2:$F$25,4,0)=Charms!I2517))</f>
        <v>#N/A</v>
      </c>
      <c r="J2517" t="e">
        <f t="shared" ca="1" si="196"/>
        <v>#N/A</v>
      </c>
      <c r="K2517" s="18" t="e">
        <f t="shared" ca="1" si="195"/>
        <v>#N/A</v>
      </c>
      <c r="L2517" t="e">
        <f ca="1">IF(J2517,Charms!B2517,"")</f>
        <v>#N/A</v>
      </c>
      <c r="M2517" t="str">
        <f t="shared" ca="1" si="197"/>
        <v>-</v>
      </c>
      <c r="N2517" s="18" t="str">
        <f t="shared" si="198"/>
        <v>K1622:L5000</v>
      </c>
      <c r="O2517" t="str">
        <f t="shared" si="199"/>
        <v>A1622:A2517</v>
      </c>
    </row>
    <row r="2518" spans="1:15">
      <c r="A2518" s="18">
        <f>Charms!K2518</f>
        <v>0</v>
      </c>
      <c r="B2518">
        <f>Charms!B2518</f>
        <v>0</v>
      </c>
      <c r="C2518" t="b">
        <f ca="1">OR(Values!$S$98&gt;=Charms!M2518,IFERROR(Charms!J2518=OFFSET(Values!$A$24,MATCH("S",Values!$T$25:$T$50,0),0),FALSE))</f>
        <v>1</v>
      </c>
      <c r="D2518" t="e">
        <f>VLOOKUP(Charms!J2518,Values!$A$11:$S$59,19,0)&gt;=Charms!L2518</f>
        <v>#N/A</v>
      </c>
      <c r="E2518" t="e">
        <f>OR(ISBLANK(Charms!I2518),(VLOOKUP(Values!$S$6,Castes!$B$2:$F$25,4,0)=Charms!I2518))</f>
        <v>#N/A</v>
      </c>
      <c r="J2518" t="e">
        <f t="shared" ca="1" si="196"/>
        <v>#N/A</v>
      </c>
      <c r="K2518" s="18" t="e">
        <f t="shared" ca="1" si="195"/>
        <v>#N/A</v>
      </c>
      <c r="L2518" t="e">
        <f ca="1">IF(J2518,Charms!B2518,"")</f>
        <v>#N/A</v>
      </c>
      <c r="M2518" t="str">
        <f t="shared" ca="1" si="197"/>
        <v>-</v>
      </c>
      <c r="N2518" s="18" t="str">
        <f t="shared" si="198"/>
        <v>K1622:L5000</v>
      </c>
      <c r="O2518" t="str">
        <f t="shared" si="199"/>
        <v>A1622:A2518</v>
      </c>
    </row>
    <row r="2519" spans="1:15">
      <c r="A2519" s="18">
        <f>Charms!K2519</f>
        <v>0</v>
      </c>
      <c r="B2519">
        <f>Charms!B2519</f>
        <v>0</v>
      </c>
      <c r="C2519" t="b">
        <f ca="1">OR(Values!$S$98&gt;=Charms!M2519,IFERROR(Charms!J2519=OFFSET(Values!$A$24,MATCH("S",Values!$T$25:$T$50,0),0),FALSE))</f>
        <v>1</v>
      </c>
      <c r="D2519" t="e">
        <f>VLOOKUP(Charms!J2519,Values!$A$11:$S$59,19,0)&gt;=Charms!L2519</f>
        <v>#N/A</v>
      </c>
      <c r="E2519" t="e">
        <f>OR(ISBLANK(Charms!I2519),(VLOOKUP(Values!$S$6,Castes!$B$2:$F$25,4,0)=Charms!I2519))</f>
        <v>#N/A</v>
      </c>
      <c r="J2519" t="e">
        <f t="shared" ca="1" si="196"/>
        <v>#N/A</v>
      </c>
      <c r="K2519" s="18" t="e">
        <f t="shared" ca="1" si="195"/>
        <v>#N/A</v>
      </c>
      <c r="L2519" t="e">
        <f ca="1">IF(J2519,Charms!B2519,"")</f>
        <v>#N/A</v>
      </c>
      <c r="M2519" t="str">
        <f t="shared" ca="1" si="197"/>
        <v>-</v>
      </c>
      <c r="N2519" s="18" t="str">
        <f t="shared" si="198"/>
        <v>K1622:L5000</v>
      </c>
      <c r="O2519" t="str">
        <f t="shared" si="199"/>
        <v>A1622:A2519</v>
      </c>
    </row>
    <row r="2520" spans="1:15">
      <c r="A2520" s="18">
        <f>Charms!K2520</f>
        <v>0</v>
      </c>
      <c r="B2520">
        <f>Charms!B2520</f>
        <v>0</v>
      </c>
      <c r="C2520" t="b">
        <f ca="1">OR(Values!$S$98&gt;=Charms!M2520,IFERROR(Charms!J2520=OFFSET(Values!$A$24,MATCH("S",Values!$T$25:$T$50,0),0),FALSE))</f>
        <v>1</v>
      </c>
      <c r="D2520" t="e">
        <f>VLOOKUP(Charms!J2520,Values!$A$11:$S$59,19,0)&gt;=Charms!L2520</f>
        <v>#N/A</v>
      </c>
      <c r="E2520" t="e">
        <f>OR(ISBLANK(Charms!I2520),(VLOOKUP(Values!$S$6,Castes!$B$2:$F$25,4,0)=Charms!I2520))</f>
        <v>#N/A</v>
      </c>
      <c r="J2520" t="e">
        <f t="shared" ca="1" si="196"/>
        <v>#N/A</v>
      </c>
      <c r="K2520" s="18" t="e">
        <f t="shared" ca="1" si="195"/>
        <v>#N/A</v>
      </c>
      <c r="L2520" t="e">
        <f ca="1">IF(J2520,Charms!B2520,"")</f>
        <v>#N/A</v>
      </c>
      <c r="M2520" t="str">
        <f t="shared" ca="1" si="197"/>
        <v>-</v>
      </c>
      <c r="N2520" s="18" t="str">
        <f t="shared" si="198"/>
        <v>K1622:L5000</v>
      </c>
      <c r="O2520" t="str">
        <f t="shared" si="199"/>
        <v>A1622:A2520</v>
      </c>
    </row>
    <row r="2521" spans="1:15">
      <c r="A2521" s="18">
        <f>Charms!K2521</f>
        <v>0</v>
      </c>
      <c r="B2521">
        <f>Charms!B2521</f>
        <v>0</v>
      </c>
      <c r="C2521" t="b">
        <f ca="1">OR(Values!$S$98&gt;=Charms!M2521,IFERROR(Charms!J2521=OFFSET(Values!$A$24,MATCH("S",Values!$T$25:$T$50,0),0),FALSE))</f>
        <v>1</v>
      </c>
      <c r="D2521" t="e">
        <f>VLOOKUP(Charms!J2521,Values!$A$11:$S$59,19,0)&gt;=Charms!L2521</f>
        <v>#N/A</v>
      </c>
      <c r="E2521" t="e">
        <f>OR(ISBLANK(Charms!I2521),(VLOOKUP(Values!$S$6,Castes!$B$2:$F$25,4,0)=Charms!I2521))</f>
        <v>#N/A</v>
      </c>
      <c r="J2521" t="e">
        <f t="shared" ca="1" si="196"/>
        <v>#N/A</v>
      </c>
      <c r="K2521" s="18" t="e">
        <f t="shared" ca="1" si="195"/>
        <v>#N/A</v>
      </c>
      <c r="L2521" t="e">
        <f ca="1">IF(J2521,Charms!B2521,"")</f>
        <v>#N/A</v>
      </c>
      <c r="M2521" t="str">
        <f t="shared" ca="1" si="197"/>
        <v>-</v>
      </c>
      <c r="N2521" s="18" t="str">
        <f t="shared" si="198"/>
        <v>K1622:L5000</v>
      </c>
      <c r="O2521" t="str">
        <f t="shared" si="199"/>
        <v>A1622:A2521</v>
      </c>
    </row>
    <row r="2522" spans="1:15">
      <c r="A2522" s="18">
        <f>Charms!K2522</f>
        <v>0</v>
      </c>
      <c r="B2522">
        <f>Charms!B2522</f>
        <v>0</v>
      </c>
      <c r="C2522" t="b">
        <f ca="1">OR(Values!$S$98&gt;=Charms!M2522,IFERROR(Charms!J2522=OFFSET(Values!$A$24,MATCH("S",Values!$T$25:$T$50,0),0),FALSE))</f>
        <v>1</v>
      </c>
      <c r="D2522" t="e">
        <f>VLOOKUP(Charms!J2522,Values!$A$11:$S$59,19,0)&gt;=Charms!L2522</f>
        <v>#N/A</v>
      </c>
      <c r="E2522" t="e">
        <f>OR(ISBLANK(Charms!I2522),(VLOOKUP(Values!$S$6,Castes!$B$2:$F$25,4,0)=Charms!I2522))</f>
        <v>#N/A</v>
      </c>
      <c r="J2522" t="e">
        <f t="shared" ca="1" si="196"/>
        <v>#N/A</v>
      </c>
      <c r="K2522" s="18" t="e">
        <f t="shared" ca="1" si="195"/>
        <v>#N/A</v>
      </c>
      <c r="L2522" t="e">
        <f ca="1">IF(J2522,Charms!B2522,"")</f>
        <v>#N/A</v>
      </c>
      <c r="M2522" t="str">
        <f t="shared" ca="1" si="197"/>
        <v>-</v>
      </c>
      <c r="N2522" s="18" t="str">
        <f t="shared" si="198"/>
        <v>K1622:L5000</v>
      </c>
      <c r="O2522" t="str">
        <f t="shared" si="199"/>
        <v>A1622:A2522</v>
      </c>
    </row>
    <row r="2523" spans="1:15">
      <c r="A2523" s="18">
        <f>Charms!K2523</f>
        <v>0</v>
      </c>
      <c r="B2523">
        <f>Charms!B2523</f>
        <v>0</v>
      </c>
      <c r="C2523" t="b">
        <f ca="1">OR(Values!$S$98&gt;=Charms!M2523,IFERROR(Charms!J2523=OFFSET(Values!$A$24,MATCH("S",Values!$T$25:$T$50,0),0),FALSE))</f>
        <v>1</v>
      </c>
      <c r="D2523" t="e">
        <f>VLOOKUP(Charms!J2523,Values!$A$11:$S$59,19,0)&gt;=Charms!L2523</f>
        <v>#N/A</v>
      </c>
      <c r="E2523" t="e">
        <f>OR(ISBLANK(Charms!I2523),(VLOOKUP(Values!$S$6,Castes!$B$2:$F$25,4,0)=Charms!I2523))</f>
        <v>#N/A</v>
      </c>
      <c r="J2523" t="e">
        <f t="shared" ca="1" si="196"/>
        <v>#N/A</v>
      </c>
      <c r="K2523" s="18" t="e">
        <f t="shared" ca="1" si="195"/>
        <v>#N/A</v>
      </c>
      <c r="L2523" t="e">
        <f ca="1">IF(J2523,Charms!B2523,"")</f>
        <v>#N/A</v>
      </c>
      <c r="M2523" t="str">
        <f t="shared" ca="1" si="197"/>
        <v>-</v>
      </c>
      <c r="N2523" s="18" t="str">
        <f t="shared" si="198"/>
        <v>K1622:L5000</v>
      </c>
      <c r="O2523" t="str">
        <f t="shared" si="199"/>
        <v>A1622:A2523</v>
      </c>
    </row>
    <row r="2524" spans="1:15">
      <c r="A2524" s="18">
        <f>Charms!K2524</f>
        <v>0</v>
      </c>
      <c r="B2524">
        <f>Charms!B2524</f>
        <v>0</v>
      </c>
      <c r="C2524" t="b">
        <f ca="1">OR(Values!$S$98&gt;=Charms!M2524,IFERROR(Charms!J2524=OFFSET(Values!$A$24,MATCH("S",Values!$T$25:$T$50,0),0),FALSE))</f>
        <v>1</v>
      </c>
      <c r="D2524" t="e">
        <f>VLOOKUP(Charms!J2524,Values!$A$11:$S$59,19,0)&gt;=Charms!L2524</f>
        <v>#N/A</v>
      </c>
      <c r="E2524" t="e">
        <f>OR(ISBLANK(Charms!I2524),(VLOOKUP(Values!$S$6,Castes!$B$2:$F$25,4,0)=Charms!I2524))</f>
        <v>#N/A</v>
      </c>
      <c r="J2524" t="e">
        <f t="shared" ca="1" si="196"/>
        <v>#N/A</v>
      </c>
      <c r="K2524" s="18" t="e">
        <f t="shared" ca="1" si="195"/>
        <v>#N/A</v>
      </c>
      <c r="L2524" t="e">
        <f ca="1">IF(J2524,Charms!B2524,"")</f>
        <v>#N/A</v>
      </c>
      <c r="M2524" t="str">
        <f t="shared" ca="1" si="197"/>
        <v>-</v>
      </c>
      <c r="N2524" s="18" t="str">
        <f t="shared" si="198"/>
        <v>K1622:L5000</v>
      </c>
      <c r="O2524" t="str">
        <f t="shared" si="199"/>
        <v>A1622:A2524</v>
      </c>
    </row>
    <row r="2525" spans="1:15">
      <c r="A2525" s="18">
        <f>Charms!K2525</f>
        <v>0</v>
      </c>
      <c r="B2525">
        <f>Charms!B2525</f>
        <v>0</v>
      </c>
      <c r="C2525" t="b">
        <f ca="1">OR(Values!$S$98&gt;=Charms!M2525,IFERROR(Charms!J2525=OFFSET(Values!$A$24,MATCH("S",Values!$T$25:$T$50,0),0),FALSE))</f>
        <v>1</v>
      </c>
      <c r="D2525" t="e">
        <f>VLOOKUP(Charms!J2525,Values!$A$11:$S$59,19,0)&gt;=Charms!L2525</f>
        <v>#N/A</v>
      </c>
      <c r="E2525" t="e">
        <f>OR(ISBLANK(Charms!I2525),(VLOOKUP(Values!$S$6,Castes!$B$2:$F$25,4,0)=Charms!I2525))</f>
        <v>#N/A</v>
      </c>
      <c r="J2525" t="e">
        <f t="shared" ca="1" si="196"/>
        <v>#N/A</v>
      </c>
      <c r="K2525" s="18" t="e">
        <f t="shared" ca="1" si="195"/>
        <v>#N/A</v>
      </c>
      <c r="L2525" t="e">
        <f ca="1">IF(J2525,Charms!B2525,"")</f>
        <v>#N/A</v>
      </c>
      <c r="M2525" t="str">
        <f t="shared" ca="1" si="197"/>
        <v>-</v>
      </c>
      <c r="N2525" s="18" t="str">
        <f t="shared" si="198"/>
        <v>K1622:L5000</v>
      </c>
      <c r="O2525" t="str">
        <f t="shared" si="199"/>
        <v>A1622:A2525</v>
      </c>
    </row>
    <row r="2526" spans="1:15">
      <c r="A2526" s="18">
        <f>Charms!K2526</f>
        <v>0</v>
      </c>
      <c r="B2526">
        <f>Charms!B2526</f>
        <v>0</v>
      </c>
      <c r="C2526" t="b">
        <f ca="1">OR(Values!$S$98&gt;=Charms!M2526,IFERROR(Charms!J2526=OFFSET(Values!$A$24,MATCH("S",Values!$T$25:$T$50,0),0),FALSE))</f>
        <v>1</v>
      </c>
      <c r="D2526" t="e">
        <f>VLOOKUP(Charms!J2526,Values!$A$11:$S$59,19,0)&gt;=Charms!L2526</f>
        <v>#N/A</v>
      </c>
      <c r="E2526" t="e">
        <f>OR(ISBLANK(Charms!I2526),(VLOOKUP(Values!$S$6,Castes!$B$2:$F$25,4,0)=Charms!I2526))</f>
        <v>#N/A</v>
      </c>
      <c r="J2526" t="e">
        <f t="shared" ca="1" si="196"/>
        <v>#N/A</v>
      </c>
      <c r="K2526" s="18" t="e">
        <f t="shared" ca="1" si="195"/>
        <v>#N/A</v>
      </c>
      <c r="L2526" t="e">
        <f ca="1">IF(J2526,Charms!B2526,"")</f>
        <v>#N/A</v>
      </c>
      <c r="M2526" t="str">
        <f t="shared" ca="1" si="197"/>
        <v>-</v>
      </c>
      <c r="N2526" s="18" t="str">
        <f t="shared" si="198"/>
        <v>K1622:L5000</v>
      </c>
      <c r="O2526" t="str">
        <f t="shared" si="199"/>
        <v>A1622:A2526</v>
      </c>
    </row>
    <row r="2527" spans="1:15">
      <c r="A2527" s="18">
        <f>Charms!K2527</f>
        <v>0</v>
      </c>
      <c r="B2527">
        <f>Charms!B2527</f>
        <v>0</v>
      </c>
      <c r="C2527" t="b">
        <f ca="1">OR(Values!$S$98&gt;=Charms!M2527,IFERROR(Charms!J2527=OFFSET(Values!$A$24,MATCH("S",Values!$T$25:$T$50,0),0),FALSE))</f>
        <v>1</v>
      </c>
      <c r="D2527" t="e">
        <f>VLOOKUP(Charms!J2527,Values!$A$11:$S$59,19,0)&gt;=Charms!L2527</f>
        <v>#N/A</v>
      </c>
      <c r="E2527" t="e">
        <f>OR(ISBLANK(Charms!I2527),(VLOOKUP(Values!$S$6,Castes!$B$2:$F$25,4,0)=Charms!I2527))</f>
        <v>#N/A</v>
      </c>
      <c r="J2527" t="e">
        <f t="shared" ca="1" si="196"/>
        <v>#N/A</v>
      </c>
      <c r="K2527" s="18" t="e">
        <f t="shared" ca="1" si="195"/>
        <v>#N/A</v>
      </c>
      <c r="L2527" t="e">
        <f ca="1">IF(J2527,Charms!B2527,"")</f>
        <v>#N/A</v>
      </c>
      <c r="M2527" t="str">
        <f t="shared" ca="1" si="197"/>
        <v>-</v>
      </c>
      <c r="N2527" s="18" t="str">
        <f t="shared" si="198"/>
        <v>K1622:L5000</v>
      </c>
      <c r="O2527" t="str">
        <f t="shared" si="199"/>
        <v>A1622:A2527</v>
      </c>
    </row>
    <row r="2528" spans="1:15">
      <c r="A2528" s="18">
        <f>Charms!K2528</f>
        <v>0</v>
      </c>
      <c r="B2528">
        <f>Charms!B2528</f>
        <v>0</v>
      </c>
      <c r="C2528" t="b">
        <f ca="1">OR(Values!$S$98&gt;=Charms!M2528,IFERROR(Charms!J2528=OFFSET(Values!$A$24,MATCH("S",Values!$T$25:$T$50,0),0),FALSE))</f>
        <v>1</v>
      </c>
      <c r="D2528" t="e">
        <f>VLOOKUP(Charms!J2528,Values!$A$11:$S$59,19,0)&gt;=Charms!L2528</f>
        <v>#N/A</v>
      </c>
      <c r="E2528" t="e">
        <f>OR(ISBLANK(Charms!I2528),(VLOOKUP(Values!$S$6,Castes!$B$2:$F$25,4,0)=Charms!I2528))</f>
        <v>#N/A</v>
      </c>
      <c r="J2528" t="e">
        <f t="shared" ca="1" si="196"/>
        <v>#N/A</v>
      </c>
      <c r="K2528" s="18" t="e">
        <f t="shared" ca="1" si="195"/>
        <v>#N/A</v>
      </c>
      <c r="L2528" t="e">
        <f ca="1">IF(J2528,Charms!B2528,"")</f>
        <v>#N/A</v>
      </c>
      <c r="M2528" t="str">
        <f t="shared" ca="1" si="197"/>
        <v>-</v>
      </c>
      <c r="N2528" s="18" t="str">
        <f t="shared" si="198"/>
        <v>K1622:L5000</v>
      </c>
      <c r="O2528" t="str">
        <f t="shared" si="199"/>
        <v>A1622:A2528</v>
      </c>
    </row>
    <row r="2529" spans="1:15">
      <c r="A2529" s="18">
        <f>Charms!K2529</f>
        <v>0</v>
      </c>
      <c r="B2529">
        <f>Charms!B2529</f>
        <v>0</v>
      </c>
      <c r="C2529" t="b">
        <f ca="1">OR(Values!$S$98&gt;=Charms!M2529,IFERROR(Charms!J2529=OFFSET(Values!$A$24,MATCH("S",Values!$T$25:$T$50,0),0),FALSE))</f>
        <v>1</v>
      </c>
      <c r="D2529" t="e">
        <f>VLOOKUP(Charms!J2529,Values!$A$11:$S$59,19,0)&gt;=Charms!L2529</f>
        <v>#N/A</v>
      </c>
      <c r="E2529" t="e">
        <f>OR(ISBLANK(Charms!I2529),(VLOOKUP(Values!$S$6,Castes!$B$2:$F$25,4,0)=Charms!I2529))</f>
        <v>#N/A</v>
      </c>
      <c r="J2529" t="e">
        <f t="shared" ca="1" si="196"/>
        <v>#N/A</v>
      </c>
      <c r="K2529" s="18" t="e">
        <f t="shared" ca="1" si="195"/>
        <v>#N/A</v>
      </c>
      <c r="L2529" t="e">
        <f ca="1">IF(J2529,Charms!B2529,"")</f>
        <v>#N/A</v>
      </c>
      <c r="M2529" t="str">
        <f t="shared" ca="1" si="197"/>
        <v>-</v>
      </c>
      <c r="N2529" s="18" t="str">
        <f t="shared" si="198"/>
        <v>K1622:L5000</v>
      </c>
      <c r="O2529" t="str">
        <f t="shared" si="199"/>
        <v>A1622:A2529</v>
      </c>
    </row>
    <row r="2530" spans="1:15">
      <c r="A2530" s="18">
        <f>Charms!K2530</f>
        <v>0</v>
      </c>
      <c r="B2530">
        <f>Charms!B2530</f>
        <v>0</v>
      </c>
      <c r="C2530" t="b">
        <f ca="1">OR(Values!$S$98&gt;=Charms!M2530,IFERROR(Charms!J2530=OFFSET(Values!$A$24,MATCH("S",Values!$T$25:$T$50,0),0),FALSE))</f>
        <v>1</v>
      </c>
      <c r="D2530" t="e">
        <f>VLOOKUP(Charms!J2530,Values!$A$11:$S$59,19,0)&gt;=Charms!L2530</f>
        <v>#N/A</v>
      </c>
      <c r="E2530" t="e">
        <f>OR(ISBLANK(Charms!I2530),(VLOOKUP(Values!$S$6,Castes!$B$2:$F$25,4,0)=Charms!I2530))</f>
        <v>#N/A</v>
      </c>
      <c r="J2530" t="e">
        <f t="shared" ca="1" si="196"/>
        <v>#N/A</v>
      </c>
      <c r="K2530" s="18" t="e">
        <f t="shared" ca="1" si="195"/>
        <v>#N/A</v>
      </c>
      <c r="L2530" t="e">
        <f ca="1">IF(J2530,Charms!B2530,"")</f>
        <v>#N/A</v>
      </c>
      <c r="M2530" t="str">
        <f t="shared" ca="1" si="197"/>
        <v>-</v>
      </c>
      <c r="N2530" s="18" t="str">
        <f t="shared" si="198"/>
        <v>K1622:L5000</v>
      </c>
      <c r="O2530" t="str">
        <f t="shared" si="199"/>
        <v>A1622:A2530</v>
      </c>
    </row>
    <row r="2531" spans="1:15">
      <c r="A2531" s="18">
        <f>Charms!K2531</f>
        <v>0</v>
      </c>
      <c r="B2531">
        <f>Charms!B2531</f>
        <v>0</v>
      </c>
      <c r="C2531" t="b">
        <f ca="1">OR(Values!$S$98&gt;=Charms!M2531,IFERROR(Charms!J2531=OFFSET(Values!$A$24,MATCH("S",Values!$T$25:$T$50,0),0),FALSE))</f>
        <v>1</v>
      </c>
      <c r="D2531" t="e">
        <f>VLOOKUP(Charms!J2531,Values!$A$11:$S$59,19,0)&gt;=Charms!L2531</f>
        <v>#N/A</v>
      </c>
      <c r="E2531" t="e">
        <f>OR(ISBLANK(Charms!I2531),(VLOOKUP(Values!$S$6,Castes!$B$2:$F$25,4,0)=Charms!I2531))</f>
        <v>#N/A</v>
      </c>
      <c r="J2531" t="e">
        <f t="shared" ca="1" si="196"/>
        <v>#N/A</v>
      </c>
      <c r="K2531" s="18" t="e">
        <f t="shared" ca="1" si="195"/>
        <v>#N/A</v>
      </c>
      <c r="L2531" t="e">
        <f ca="1">IF(J2531,Charms!B2531,"")</f>
        <v>#N/A</v>
      </c>
      <c r="M2531" t="str">
        <f t="shared" ca="1" si="197"/>
        <v>-</v>
      </c>
      <c r="N2531" s="18" t="str">
        <f t="shared" si="198"/>
        <v>K1622:L5000</v>
      </c>
      <c r="O2531" t="str">
        <f t="shared" si="199"/>
        <v>A1622:A2531</v>
      </c>
    </row>
    <row r="2532" spans="1:15">
      <c r="A2532" s="18">
        <f>Charms!K2532</f>
        <v>0</v>
      </c>
      <c r="B2532">
        <f>Charms!B2532</f>
        <v>0</v>
      </c>
      <c r="C2532" t="b">
        <f ca="1">OR(Values!$S$98&gt;=Charms!M2532,IFERROR(Charms!J2532=OFFSET(Values!$A$24,MATCH("S",Values!$T$25:$T$50,0),0),FALSE))</f>
        <v>1</v>
      </c>
      <c r="D2532" t="e">
        <f>VLOOKUP(Charms!J2532,Values!$A$11:$S$59,19,0)&gt;=Charms!L2532</f>
        <v>#N/A</v>
      </c>
      <c r="E2532" t="e">
        <f>OR(ISBLANK(Charms!I2532),(VLOOKUP(Values!$S$6,Castes!$B$2:$F$25,4,0)=Charms!I2532))</f>
        <v>#N/A</v>
      </c>
      <c r="J2532" t="e">
        <f t="shared" ca="1" si="196"/>
        <v>#N/A</v>
      </c>
      <c r="K2532" s="18" t="e">
        <f t="shared" ca="1" si="195"/>
        <v>#N/A</v>
      </c>
      <c r="L2532" t="e">
        <f ca="1">IF(J2532,Charms!B2532,"")</f>
        <v>#N/A</v>
      </c>
      <c r="M2532" t="str">
        <f t="shared" ca="1" si="197"/>
        <v>-</v>
      </c>
      <c r="N2532" s="18" t="str">
        <f t="shared" si="198"/>
        <v>K1622:L5000</v>
      </c>
      <c r="O2532" t="str">
        <f t="shared" si="199"/>
        <v>A1622:A2532</v>
      </c>
    </row>
    <row r="2533" spans="1:15">
      <c r="A2533" s="18">
        <f>Charms!K2533</f>
        <v>0</v>
      </c>
      <c r="B2533">
        <f>Charms!B2533</f>
        <v>0</v>
      </c>
      <c r="C2533" t="b">
        <f ca="1">OR(Values!$S$98&gt;=Charms!M2533,IFERROR(Charms!J2533=OFFSET(Values!$A$24,MATCH("S",Values!$T$25:$T$50,0),0),FALSE))</f>
        <v>1</v>
      </c>
      <c r="D2533" t="e">
        <f>VLOOKUP(Charms!J2533,Values!$A$11:$S$59,19,0)&gt;=Charms!L2533</f>
        <v>#N/A</v>
      </c>
      <c r="E2533" t="e">
        <f>OR(ISBLANK(Charms!I2533),(VLOOKUP(Values!$S$6,Castes!$B$2:$F$25,4,0)=Charms!I2533))</f>
        <v>#N/A</v>
      </c>
      <c r="J2533" t="e">
        <f t="shared" ca="1" si="196"/>
        <v>#N/A</v>
      </c>
      <c r="K2533" s="18" t="e">
        <f t="shared" ca="1" si="195"/>
        <v>#N/A</v>
      </c>
      <c r="L2533" t="e">
        <f ca="1">IF(J2533,Charms!B2533,"")</f>
        <v>#N/A</v>
      </c>
      <c r="M2533" t="str">
        <f t="shared" ca="1" si="197"/>
        <v>-</v>
      </c>
      <c r="N2533" s="18" t="str">
        <f t="shared" si="198"/>
        <v>K1622:L5000</v>
      </c>
      <c r="O2533" t="str">
        <f t="shared" si="199"/>
        <v>A1622:A2533</v>
      </c>
    </row>
    <row r="2534" spans="1:15">
      <c r="A2534" s="18">
        <f>Charms!K2534</f>
        <v>0</v>
      </c>
      <c r="B2534">
        <f>Charms!B2534</f>
        <v>0</v>
      </c>
      <c r="C2534" t="b">
        <f ca="1">OR(Values!$S$98&gt;=Charms!M2534,IFERROR(Charms!J2534=OFFSET(Values!$A$24,MATCH("S",Values!$T$25:$T$50,0),0),FALSE))</f>
        <v>1</v>
      </c>
      <c r="D2534" t="e">
        <f>VLOOKUP(Charms!J2534,Values!$A$11:$S$59,19,0)&gt;=Charms!L2534</f>
        <v>#N/A</v>
      </c>
      <c r="E2534" t="e">
        <f>OR(ISBLANK(Charms!I2534),(VLOOKUP(Values!$S$6,Castes!$B$2:$F$25,4,0)=Charms!I2534))</f>
        <v>#N/A</v>
      </c>
      <c r="J2534" t="e">
        <f t="shared" ca="1" si="196"/>
        <v>#N/A</v>
      </c>
      <c r="K2534" s="18" t="e">
        <f t="shared" ca="1" si="195"/>
        <v>#N/A</v>
      </c>
      <c r="L2534" t="e">
        <f ca="1">IF(J2534,Charms!B2534,"")</f>
        <v>#N/A</v>
      </c>
      <c r="M2534" t="str">
        <f t="shared" ca="1" si="197"/>
        <v>-</v>
      </c>
      <c r="N2534" s="18" t="str">
        <f t="shared" si="198"/>
        <v>K1622:L5000</v>
      </c>
      <c r="O2534" t="str">
        <f t="shared" si="199"/>
        <v>A1622:A2534</v>
      </c>
    </row>
    <row r="2535" spans="1:15">
      <c r="A2535" s="18">
        <f>Charms!K2535</f>
        <v>0</v>
      </c>
      <c r="B2535">
        <f>Charms!B2535</f>
        <v>0</v>
      </c>
      <c r="C2535" t="b">
        <f ca="1">OR(Values!$S$98&gt;=Charms!M2535,IFERROR(Charms!J2535=OFFSET(Values!$A$24,MATCH("S",Values!$T$25:$T$50,0),0),FALSE))</f>
        <v>1</v>
      </c>
      <c r="D2535" t="e">
        <f>VLOOKUP(Charms!J2535,Values!$A$11:$S$59,19,0)&gt;=Charms!L2535</f>
        <v>#N/A</v>
      </c>
      <c r="E2535" t="e">
        <f>OR(ISBLANK(Charms!I2535),(VLOOKUP(Values!$S$6,Castes!$B$2:$F$25,4,0)=Charms!I2535))</f>
        <v>#N/A</v>
      </c>
      <c r="J2535" t="e">
        <f t="shared" ca="1" si="196"/>
        <v>#N/A</v>
      </c>
      <c r="K2535" s="18" t="e">
        <f t="shared" ca="1" si="195"/>
        <v>#N/A</v>
      </c>
      <c r="L2535" t="e">
        <f ca="1">IF(J2535,Charms!B2535,"")</f>
        <v>#N/A</v>
      </c>
      <c r="M2535" t="str">
        <f t="shared" ca="1" si="197"/>
        <v>-</v>
      </c>
      <c r="N2535" s="18" t="str">
        <f t="shared" si="198"/>
        <v>K1622:L5000</v>
      </c>
      <c r="O2535" t="str">
        <f t="shared" si="199"/>
        <v>A1622:A2535</v>
      </c>
    </row>
    <row r="2536" spans="1:15">
      <c r="A2536" s="18">
        <f>Charms!K2536</f>
        <v>0</v>
      </c>
      <c r="B2536">
        <f>Charms!B2536</f>
        <v>0</v>
      </c>
      <c r="C2536" t="b">
        <f ca="1">OR(Values!$S$98&gt;=Charms!M2536,IFERROR(Charms!J2536=OFFSET(Values!$A$24,MATCH("S",Values!$T$25:$T$50,0),0),FALSE))</f>
        <v>1</v>
      </c>
      <c r="D2536" t="e">
        <f>VLOOKUP(Charms!J2536,Values!$A$11:$S$59,19,0)&gt;=Charms!L2536</f>
        <v>#N/A</v>
      </c>
      <c r="E2536" t="e">
        <f>OR(ISBLANK(Charms!I2536),(VLOOKUP(Values!$S$6,Castes!$B$2:$F$25,4,0)=Charms!I2536))</f>
        <v>#N/A</v>
      </c>
      <c r="J2536" t="e">
        <f t="shared" ca="1" si="196"/>
        <v>#N/A</v>
      </c>
      <c r="K2536" s="18" t="e">
        <f t="shared" ca="1" si="195"/>
        <v>#N/A</v>
      </c>
      <c r="L2536" t="e">
        <f ca="1">IF(J2536,Charms!B2536,"")</f>
        <v>#N/A</v>
      </c>
      <c r="M2536" t="str">
        <f t="shared" ca="1" si="197"/>
        <v>-</v>
      </c>
      <c r="N2536" s="18" t="str">
        <f t="shared" si="198"/>
        <v>K1622:L5000</v>
      </c>
      <c r="O2536" t="str">
        <f t="shared" si="199"/>
        <v>A1622:A2536</v>
      </c>
    </row>
    <row r="2537" spans="1:15">
      <c r="A2537" s="18">
        <f>Charms!K2537</f>
        <v>0</v>
      </c>
      <c r="B2537">
        <f>Charms!B2537</f>
        <v>0</v>
      </c>
      <c r="C2537" t="b">
        <f ca="1">OR(Values!$S$98&gt;=Charms!M2537,IFERROR(Charms!J2537=OFFSET(Values!$A$24,MATCH("S",Values!$T$25:$T$50,0),0),FALSE))</f>
        <v>1</v>
      </c>
      <c r="D2537" t="e">
        <f>VLOOKUP(Charms!J2537,Values!$A$11:$S$59,19,0)&gt;=Charms!L2537</f>
        <v>#N/A</v>
      </c>
      <c r="E2537" t="e">
        <f>OR(ISBLANK(Charms!I2537),(VLOOKUP(Values!$S$6,Castes!$B$2:$F$25,4,0)=Charms!I2537))</f>
        <v>#N/A</v>
      </c>
      <c r="J2537" t="e">
        <f t="shared" ca="1" si="196"/>
        <v>#N/A</v>
      </c>
      <c r="K2537" s="18" t="e">
        <f t="shared" ca="1" si="195"/>
        <v>#N/A</v>
      </c>
      <c r="L2537" t="e">
        <f ca="1">IF(J2537,Charms!B2537,"")</f>
        <v>#N/A</v>
      </c>
      <c r="M2537" t="str">
        <f t="shared" ca="1" si="197"/>
        <v>-</v>
      </c>
      <c r="N2537" s="18" t="str">
        <f t="shared" si="198"/>
        <v>K1622:L5000</v>
      </c>
      <c r="O2537" t="str">
        <f t="shared" si="199"/>
        <v>A1622:A2537</v>
      </c>
    </row>
    <row r="2538" spans="1:15">
      <c r="A2538" s="18">
        <f>Charms!K2538</f>
        <v>0</v>
      </c>
      <c r="B2538">
        <f>Charms!B2538</f>
        <v>0</v>
      </c>
      <c r="C2538" t="b">
        <f ca="1">OR(Values!$S$98&gt;=Charms!M2538,IFERROR(Charms!J2538=OFFSET(Values!$A$24,MATCH("S",Values!$T$25:$T$50,0),0),FALSE))</f>
        <v>1</v>
      </c>
      <c r="D2538" t="e">
        <f>VLOOKUP(Charms!J2538,Values!$A$11:$S$59,19,0)&gt;=Charms!L2538</f>
        <v>#N/A</v>
      </c>
      <c r="E2538" t="e">
        <f>OR(ISBLANK(Charms!I2538),(VLOOKUP(Values!$S$6,Castes!$B$2:$F$25,4,0)=Charms!I2538))</f>
        <v>#N/A</v>
      </c>
      <c r="J2538" t="e">
        <f t="shared" ca="1" si="196"/>
        <v>#N/A</v>
      </c>
      <c r="K2538" s="18" t="e">
        <f t="shared" ca="1" si="195"/>
        <v>#N/A</v>
      </c>
      <c r="L2538" t="e">
        <f ca="1">IF(J2538,Charms!B2538,"")</f>
        <v>#N/A</v>
      </c>
      <c r="M2538" t="str">
        <f t="shared" ca="1" si="197"/>
        <v>-</v>
      </c>
      <c r="N2538" s="18" t="str">
        <f t="shared" si="198"/>
        <v>K1622:L5000</v>
      </c>
      <c r="O2538" t="str">
        <f t="shared" si="199"/>
        <v>A1622:A2538</v>
      </c>
    </row>
    <row r="2539" spans="1:15">
      <c r="A2539" s="18">
        <f>Charms!K2539</f>
        <v>0</v>
      </c>
      <c r="B2539">
        <f>Charms!B2539</f>
        <v>0</v>
      </c>
      <c r="C2539" t="b">
        <f ca="1">OR(Values!$S$98&gt;=Charms!M2539,IFERROR(Charms!J2539=OFFSET(Values!$A$24,MATCH("S",Values!$T$25:$T$50,0),0),FALSE))</f>
        <v>1</v>
      </c>
      <c r="D2539" t="e">
        <f>VLOOKUP(Charms!J2539,Values!$A$11:$S$59,19,0)&gt;=Charms!L2539</f>
        <v>#N/A</v>
      </c>
      <c r="E2539" t="e">
        <f>OR(ISBLANK(Charms!I2539),(VLOOKUP(Values!$S$6,Castes!$B$2:$F$25,4,0)=Charms!I2539))</f>
        <v>#N/A</v>
      </c>
      <c r="J2539" t="e">
        <f t="shared" ca="1" si="196"/>
        <v>#N/A</v>
      </c>
      <c r="K2539" s="18" t="e">
        <f t="shared" ca="1" si="195"/>
        <v>#N/A</v>
      </c>
      <c r="L2539" t="e">
        <f ca="1">IF(J2539,Charms!B2539,"")</f>
        <v>#N/A</v>
      </c>
      <c r="M2539" t="str">
        <f t="shared" ca="1" si="197"/>
        <v>-</v>
      </c>
      <c r="N2539" s="18" t="str">
        <f t="shared" si="198"/>
        <v>K1622:L5000</v>
      </c>
      <c r="O2539" t="str">
        <f t="shared" si="199"/>
        <v>A1622:A2539</v>
      </c>
    </row>
    <row r="2540" spans="1:15">
      <c r="A2540" s="18">
        <f>Charms!K2540</f>
        <v>0</v>
      </c>
      <c r="B2540">
        <f>Charms!B2540</f>
        <v>0</v>
      </c>
      <c r="C2540" t="b">
        <f ca="1">OR(Values!$S$98&gt;=Charms!M2540,IFERROR(Charms!J2540=OFFSET(Values!$A$24,MATCH("S",Values!$T$25:$T$50,0),0),FALSE))</f>
        <v>1</v>
      </c>
      <c r="D2540" t="e">
        <f>VLOOKUP(Charms!J2540,Values!$A$11:$S$59,19,0)&gt;=Charms!L2540</f>
        <v>#N/A</v>
      </c>
      <c r="E2540" t="e">
        <f>OR(ISBLANK(Charms!I2540),(VLOOKUP(Values!$S$6,Castes!$B$2:$F$25,4,0)=Charms!I2540))</f>
        <v>#N/A</v>
      </c>
      <c r="J2540" t="e">
        <f t="shared" ca="1" si="196"/>
        <v>#N/A</v>
      </c>
      <c r="K2540" s="18" t="e">
        <f t="shared" ca="1" si="195"/>
        <v>#N/A</v>
      </c>
      <c r="L2540" t="e">
        <f ca="1">IF(J2540,Charms!B2540,"")</f>
        <v>#N/A</v>
      </c>
      <c r="M2540" t="str">
        <f t="shared" ca="1" si="197"/>
        <v>-</v>
      </c>
      <c r="N2540" s="18" t="str">
        <f t="shared" si="198"/>
        <v>K1622:L5000</v>
      </c>
      <c r="O2540" t="str">
        <f t="shared" si="199"/>
        <v>A1622:A2540</v>
      </c>
    </row>
    <row r="2541" spans="1:15">
      <c r="A2541" s="18">
        <f>Charms!K2541</f>
        <v>0</v>
      </c>
      <c r="B2541">
        <f>Charms!B2541</f>
        <v>0</v>
      </c>
      <c r="C2541" t="b">
        <f ca="1">OR(Values!$S$98&gt;=Charms!M2541,IFERROR(Charms!J2541=OFFSET(Values!$A$24,MATCH("S",Values!$T$25:$T$50,0),0),FALSE))</f>
        <v>1</v>
      </c>
      <c r="D2541" t="e">
        <f>VLOOKUP(Charms!J2541,Values!$A$11:$S$59,19,0)&gt;=Charms!L2541</f>
        <v>#N/A</v>
      </c>
      <c r="E2541" t="e">
        <f>OR(ISBLANK(Charms!I2541),(VLOOKUP(Values!$S$6,Castes!$B$2:$F$25,4,0)=Charms!I2541))</f>
        <v>#N/A</v>
      </c>
      <c r="J2541" t="e">
        <f t="shared" ca="1" si="196"/>
        <v>#N/A</v>
      </c>
      <c r="K2541" s="18" t="e">
        <f t="shared" ca="1" si="195"/>
        <v>#N/A</v>
      </c>
      <c r="L2541" t="e">
        <f ca="1">IF(J2541,Charms!B2541,"")</f>
        <v>#N/A</v>
      </c>
      <c r="M2541" t="str">
        <f t="shared" ca="1" si="197"/>
        <v>-</v>
      </c>
      <c r="N2541" s="18" t="str">
        <f t="shared" si="198"/>
        <v>K1622:L5000</v>
      </c>
      <c r="O2541" t="str">
        <f t="shared" si="199"/>
        <v>A1622:A2541</v>
      </c>
    </row>
    <row r="2542" spans="1:15">
      <c r="A2542" s="18">
        <f>Charms!K2542</f>
        <v>0</v>
      </c>
      <c r="B2542">
        <f>Charms!B2542</f>
        <v>0</v>
      </c>
      <c r="C2542" t="b">
        <f ca="1">OR(Values!$S$98&gt;=Charms!M2542,IFERROR(Charms!J2542=OFFSET(Values!$A$24,MATCH("S",Values!$T$25:$T$50,0),0),FALSE))</f>
        <v>1</v>
      </c>
      <c r="D2542" t="e">
        <f>VLOOKUP(Charms!J2542,Values!$A$11:$S$59,19,0)&gt;=Charms!L2542</f>
        <v>#N/A</v>
      </c>
      <c r="E2542" t="e">
        <f>OR(ISBLANK(Charms!I2542),(VLOOKUP(Values!$S$6,Castes!$B$2:$F$25,4,0)=Charms!I2542))</f>
        <v>#N/A</v>
      </c>
      <c r="J2542" t="e">
        <f t="shared" ca="1" si="196"/>
        <v>#N/A</v>
      </c>
      <c r="K2542" s="18" t="e">
        <f t="shared" ca="1" si="195"/>
        <v>#N/A</v>
      </c>
      <c r="L2542" t="e">
        <f ca="1">IF(J2542,Charms!B2542,"")</f>
        <v>#N/A</v>
      </c>
      <c r="M2542" t="str">
        <f t="shared" ca="1" si="197"/>
        <v>-</v>
      </c>
      <c r="N2542" s="18" t="str">
        <f t="shared" si="198"/>
        <v>K1622:L5000</v>
      </c>
      <c r="O2542" t="str">
        <f t="shared" si="199"/>
        <v>A1622:A2542</v>
      </c>
    </row>
    <row r="2543" spans="1:15">
      <c r="A2543" s="18">
        <f>Charms!K2543</f>
        <v>0</v>
      </c>
      <c r="B2543">
        <f>Charms!B2543</f>
        <v>0</v>
      </c>
      <c r="C2543" t="b">
        <f ca="1">OR(Values!$S$98&gt;=Charms!M2543,IFERROR(Charms!J2543=OFFSET(Values!$A$24,MATCH("S",Values!$T$25:$T$50,0),0),FALSE))</f>
        <v>1</v>
      </c>
      <c r="D2543" t="e">
        <f>VLOOKUP(Charms!J2543,Values!$A$11:$S$59,19,0)&gt;=Charms!L2543</f>
        <v>#N/A</v>
      </c>
      <c r="E2543" t="e">
        <f>OR(ISBLANK(Charms!I2543),(VLOOKUP(Values!$S$6,Castes!$B$2:$F$25,4,0)=Charms!I2543))</f>
        <v>#N/A</v>
      </c>
      <c r="J2543" t="e">
        <f t="shared" ca="1" si="196"/>
        <v>#N/A</v>
      </c>
      <c r="K2543" s="18" t="e">
        <f t="shared" ca="1" si="195"/>
        <v>#N/A</v>
      </c>
      <c r="L2543" t="e">
        <f ca="1">IF(J2543,Charms!B2543,"")</f>
        <v>#N/A</v>
      </c>
      <c r="M2543" t="str">
        <f t="shared" ca="1" si="197"/>
        <v>-</v>
      </c>
      <c r="N2543" s="18" t="str">
        <f t="shared" si="198"/>
        <v>K1622:L5000</v>
      </c>
      <c r="O2543" t="str">
        <f t="shared" si="199"/>
        <v>A1622:A2543</v>
      </c>
    </row>
    <row r="2544" spans="1:15">
      <c r="A2544" s="18">
        <f>Charms!K2544</f>
        <v>0</v>
      </c>
      <c r="B2544">
        <f>Charms!B2544</f>
        <v>0</v>
      </c>
      <c r="C2544" t="b">
        <f ca="1">OR(Values!$S$98&gt;=Charms!M2544,IFERROR(Charms!J2544=OFFSET(Values!$A$24,MATCH("S",Values!$T$25:$T$50,0),0),FALSE))</f>
        <v>1</v>
      </c>
      <c r="D2544" t="e">
        <f>VLOOKUP(Charms!J2544,Values!$A$11:$S$59,19,0)&gt;=Charms!L2544</f>
        <v>#N/A</v>
      </c>
      <c r="E2544" t="e">
        <f>OR(ISBLANK(Charms!I2544),(VLOOKUP(Values!$S$6,Castes!$B$2:$F$25,4,0)=Charms!I2544))</f>
        <v>#N/A</v>
      </c>
      <c r="J2544" t="e">
        <f t="shared" ca="1" si="196"/>
        <v>#N/A</v>
      </c>
      <c r="K2544" s="18" t="e">
        <f t="shared" ca="1" si="195"/>
        <v>#N/A</v>
      </c>
      <c r="L2544" t="e">
        <f ca="1">IF(J2544,Charms!B2544,"")</f>
        <v>#N/A</v>
      </c>
      <c r="M2544" t="str">
        <f t="shared" ca="1" si="197"/>
        <v>-</v>
      </c>
      <c r="N2544" s="18" t="str">
        <f t="shared" si="198"/>
        <v>K1622:L5000</v>
      </c>
      <c r="O2544" t="str">
        <f t="shared" si="199"/>
        <v>A1622:A2544</v>
      </c>
    </row>
    <row r="2545" spans="1:15">
      <c r="A2545" s="18">
        <f>Charms!K2545</f>
        <v>0</v>
      </c>
      <c r="B2545">
        <f>Charms!B2545</f>
        <v>0</v>
      </c>
      <c r="C2545" t="b">
        <f ca="1">OR(Values!$S$98&gt;=Charms!M2545,IFERROR(Charms!J2545=OFFSET(Values!$A$24,MATCH("S",Values!$T$25:$T$50,0),0),FALSE))</f>
        <v>1</v>
      </c>
      <c r="D2545" t="e">
        <f>VLOOKUP(Charms!J2545,Values!$A$11:$S$59,19,0)&gt;=Charms!L2545</f>
        <v>#N/A</v>
      </c>
      <c r="E2545" t="e">
        <f>OR(ISBLANK(Charms!I2545),(VLOOKUP(Values!$S$6,Castes!$B$2:$F$25,4,0)=Charms!I2545))</f>
        <v>#N/A</v>
      </c>
      <c r="J2545" t="e">
        <f t="shared" ca="1" si="196"/>
        <v>#N/A</v>
      </c>
      <c r="K2545" s="18" t="e">
        <f t="shared" ca="1" si="195"/>
        <v>#N/A</v>
      </c>
      <c r="L2545" t="e">
        <f ca="1">IF(J2545,Charms!B2545,"")</f>
        <v>#N/A</v>
      </c>
      <c r="M2545" t="str">
        <f t="shared" ca="1" si="197"/>
        <v>-</v>
      </c>
      <c r="N2545" s="18" t="str">
        <f t="shared" si="198"/>
        <v>K1622:L5000</v>
      </c>
      <c r="O2545" t="str">
        <f t="shared" si="199"/>
        <v>A1622:A2545</v>
      </c>
    </row>
    <row r="2546" spans="1:15">
      <c r="A2546" s="18">
        <f>Charms!K2546</f>
        <v>0</v>
      </c>
      <c r="B2546">
        <f>Charms!B2546</f>
        <v>0</v>
      </c>
      <c r="C2546" t="b">
        <f ca="1">OR(Values!$S$98&gt;=Charms!M2546,IFERROR(Charms!J2546=OFFSET(Values!$A$24,MATCH("S",Values!$T$25:$T$50,0),0),FALSE))</f>
        <v>1</v>
      </c>
      <c r="D2546" t="e">
        <f>VLOOKUP(Charms!J2546,Values!$A$11:$S$59,19,0)&gt;=Charms!L2546</f>
        <v>#N/A</v>
      </c>
      <c r="E2546" t="e">
        <f>OR(ISBLANK(Charms!I2546),(VLOOKUP(Values!$S$6,Castes!$B$2:$F$25,4,0)=Charms!I2546))</f>
        <v>#N/A</v>
      </c>
      <c r="J2546" t="e">
        <f t="shared" ca="1" si="196"/>
        <v>#N/A</v>
      </c>
      <c r="K2546" s="18" t="e">
        <f t="shared" ca="1" si="195"/>
        <v>#N/A</v>
      </c>
      <c r="L2546" t="e">
        <f ca="1">IF(J2546,Charms!B2546,"")</f>
        <v>#N/A</v>
      </c>
      <c r="M2546" t="str">
        <f t="shared" ca="1" si="197"/>
        <v>-</v>
      </c>
      <c r="N2546" s="18" t="str">
        <f t="shared" si="198"/>
        <v>K1622:L5000</v>
      </c>
      <c r="O2546" t="str">
        <f t="shared" si="199"/>
        <v>A1622:A2546</v>
      </c>
    </row>
    <row r="2547" spans="1:15">
      <c r="A2547" s="18">
        <f>Charms!K2547</f>
        <v>0</v>
      </c>
      <c r="B2547">
        <f>Charms!B2547</f>
        <v>0</v>
      </c>
      <c r="C2547" t="b">
        <f ca="1">OR(Values!$S$98&gt;=Charms!M2547,IFERROR(Charms!J2547=OFFSET(Values!$A$24,MATCH("S",Values!$T$25:$T$50,0),0),FALSE))</f>
        <v>1</v>
      </c>
      <c r="D2547" t="e">
        <f>VLOOKUP(Charms!J2547,Values!$A$11:$S$59,19,0)&gt;=Charms!L2547</f>
        <v>#N/A</v>
      </c>
      <c r="E2547" t="e">
        <f>OR(ISBLANK(Charms!I2547),(VLOOKUP(Values!$S$6,Castes!$B$2:$F$25,4,0)=Charms!I2547))</f>
        <v>#N/A</v>
      </c>
      <c r="J2547" t="e">
        <f t="shared" ca="1" si="196"/>
        <v>#N/A</v>
      </c>
      <c r="K2547" s="18" t="e">
        <f t="shared" ca="1" si="195"/>
        <v>#N/A</v>
      </c>
      <c r="L2547" t="e">
        <f ca="1">IF(J2547,Charms!B2547,"")</f>
        <v>#N/A</v>
      </c>
      <c r="M2547" t="str">
        <f t="shared" ca="1" si="197"/>
        <v>-</v>
      </c>
      <c r="N2547" s="18" t="str">
        <f t="shared" si="198"/>
        <v>K1622:L5000</v>
      </c>
      <c r="O2547" t="str">
        <f t="shared" si="199"/>
        <v>A1622:A2547</v>
      </c>
    </row>
    <row r="2548" spans="1:15">
      <c r="A2548" s="18">
        <f>Charms!K2548</f>
        <v>0</v>
      </c>
      <c r="B2548">
        <f>Charms!B2548</f>
        <v>0</v>
      </c>
      <c r="C2548" t="b">
        <f ca="1">OR(Values!$S$98&gt;=Charms!M2548,IFERROR(Charms!J2548=OFFSET(Values!$A$24,MATCH("S",Values!$T$25:$T$50,0),0),FALSE))</f>
        <v>1</v>
      </c>
      <c r="D2548" t="e">
        <f>VLOOKUP(Charms!J2548,Values!$A$11:$S$59,19,0)&gt;=Charms!L2548</f>
        <v>#N/A</v>
      </c>
      <c r="E2548" t="e">
        <f>OR(ISBLANK(Charms!I2548),(VLOOKUP(Values!$S$6,Castes!$B$2:$F$25,4,0)=Charms!I2548))</f>
        <v>#N/A</v>
      </c>
      <c r="J2548" t="e">
        <f t="shared" ca="1" si="196"/>
        <v>#N/A</v>
      </c>
      <c r="K2548" s="18" t="e">
        <f t="shared" ca="1" si="195"/>
        <v>#N/A</v>
      </c>
      <c r="L2548" t="e">
        <f ca="1">IF(J2548,Charms!B2548,"")</f>
        <v>#N/A</v>
      </c>
      <c r="M2548" t="str">
        <f t="shared" ca="1" si="197"/>
        <v>-</v>
      </c>
      <c r="N2548" s="18" t="str">
        <f t="shared" si="198"/>
        <v>K1622:L5000</v>
      </c>
      <c r="O2548" t="str">
        <f t="shared" si="199"/>
        <v>A1622:A2548</v>
      </c>
    </row>
    <row r="2549" spans="1:15">
      <c r="A2549" s="18">
        <f>Charms!K2549</f>
        <v>0</v>
      </c>
      <c r="B2549">
        <f>Charms!B2549</f>
        <v>0</v>
      </c>
      <c r="C2549" t="b">
        <f ca="1">OR(Values!$S$98&gt;=Charms!M2549,IFERROR(Charms!J2549=OFFSET(Values!$A$24,MATCH("S",Values!$T$25:$T$50,0),0),FALSE))</f>
        <v>1</v>
      </c>
      <c r="D2549" t="e">
        <f>VLOOKUP(Charms!J2549,Values!$A$11:$S$59,19,0)&gt;=Charms!L2549</f>
        <v>#N/A</v>
      </c>
      <c r="E2549" t="e">
        <f>OR(ISBLANK(Charms!I2549),(VLOOKUP(Values!$S$6,Castes!$B$2:$F$25,4,0)=Charms!I2549))</f>
        <v>#N/A</v>
      </c>
      <c r="J2549" t="e">
        <f t="shared" ca="1" si="196"/>
        <v>#N/A</v>
      </c>
      <c r="K2549" s="18" t="e">
        <f t="shared" ca="1" si="195"/>
        <v>#N/A</v>
      </c>
      <c r="L2549" t="e">
        <f ca="1">IF(J2549,Charms!B2549,"")</f>
        <v>#N/A</v>
      </c>
      <c r="M2549" t="str">
        <f t="shared" ca="1" si="197"/>
        <v>-</v>
      </c>
      <c r="N2549" s="18" t="str">
        <f t="shared" si="198"/>
        <v>K1622:L5000</v>
      </c>
      <c r="O2549" t="str">
        <f t="shared" si="199"/>
        <v>A1622:A2549</v>
      </c>
    </row>
    <row r="2550" spans="1:15">
      <c r="A2550" s="18">
        <f>Charms!K2550</f>
        <v>0</v>
      </c>
      <c r="B2550">
        <f>Charms!B2550</f>
        <v>0</v>
      </c>
      <c r="C2550" t="b">
        <f ca="1">OR(Values!$S$98&gt;=Charms!M2550,IFERROR(Charms!J2550=OFFSET(Values!$A$24,MATCH("S",Values!$T$25:$T$50,0),0),FALSE))</f>
        <v>1</v>
      </c>
      <c r="D2550" t="e">
        <f>VLOOKUP(Charms!J2550,Values!$A$11:$S$59,19,0)&gt;=Charms!L2550</f>
        <v>#N/A</v>
      </c>
      <c r="E2550" t="e">
        <f>OR(ISBLANK(Charms!I2550),(VLOOKUP(Values!$S$6,Castes!$B$2:$F$25,4,0)=Charms!I2550))</f>
        <v>#N/A</v>
      </c>
      <c r="J2550" t="e">
        <f t="shared" ca="1" si="196"/>
        <v>#N/A</v>
      </c>
      <c r="K2550" s="18" t="e">
        <f t="shared" ca="1" si="195"/>
        <v>#N/A</v>
      </c>
      <c r="L2550" t="e">
        <f ca="1">IF(J2550,Charms!B2550,"")</f>
        <v>#N/A</v>
      </c>
      <c r="M2550" t="str">
        <f t="shared" ca="1" si="197"/>
        <v>-</v>
      </c>
      <c r="N2550" s="18" t="str">
        <f t="shared" si="198"/>
        <v>K1622:L5000</v>
      </c>
      <c r="O2550" t="str">
        <f t="shared" si="199"/>
        <v>A1622:A2550</v>
      </c>
    </row>
    <row r="2551" spans="1:15">
      <c r="A2551" s="18">
        <f>Charms!K2551</f>
        <v>0</v>
      </c>
      <c r="B2551">
        <f>Charms!B2551</f>
        <v>0</v>
      </c>
      <c r="C2551" t="b">
        <f ca="1">OR(Values!$S$98&gt;=Charms!M2551,IFERROR(Charms!J2551=OFFSET(Values!$A$24,MATCH("S",Values!$T$25:$T$50,0),0),FALSE))</f>
        <v>1</v>
      </c>
      <c r="D2551" t="e">
        <f>VLOOKUP(Charms!J2551,Values!$A$11:$S$59,19,0)&gt;=Charms!L2551</f>
        <v>#N/A</v>
      </c>
      <c r="E2551" t="e">
        <f>OR(ISBLANK(Charms!I2551),(VLOOKUP(Values!$S$6,Castes!$B$2:$F$25,4,0)=Charms!I2551))</f>
        <v>#N/A</v>
      </c>
      <c r="J2551" t="e">
        <f t="shared" ca="1" si="196"/>
        <v>#N/A</v>
      </c>
      <c r="K2551" s="18" t="e">
        <f t="shared" ca="1" si="195"/>
        <v>#N/A</v>
      </c>
      <c r="L2551" t="e">
        <f ca="1">IF(J2551,Charms!B2551,"")</f>
        <v>#N/A</v>
      </c>
      <c r="M2551" t="str">
        <f t="shared" ca="1" si="197"/>
        <v>-</v>
      </c>
      <c r="N2551" s="18" t="str">
        <f t="shared" si="198"/>
        <v>K1622:L5000</v>
      </c>
      <c r="O2551" t="str">
        <f t="shared" si="199"/>
        <v>A1622:A2551</v>
      </c>
    </row>
    <row r="2552" spans="1:15">
      <c r="A2552" s="18">
        <f>Charms!K2552</f>
        <v>0</v>
      </c>
      <c r="B2552">
        <f>Charms!B2552</f>
        <v>0</v>
      </c>
      <c r="C2552" t="b">
        <f ca="1">OR(Values!$S$98&gt;=Charms!M2552,IFERROR(Charms!J2552=OFFSET(Values!$A$24,MATCH("S",Values!$T$25:$T$50,0),0),FALSE))</f>
        <v>1</v>
      </c>
      <c r="D2552" t="e">
        <f>VLOOKUP(Charms!J2552,Values!$A$11:$S$59,19,0)&gt;=Charms!L2552</f>
        <v>#N/A</v>
      </c>
      <c r="E2552" t="e">
        <f>OR(ISBLANK(Charms!I2552),(VLOOKUP(Values!$S$6,Castes!$B$2:$F$25,4,0)=Charms!I2552))</f>
        <v>#N/A</v>
      </c>
      <c r="J2552" t="e">
        <f t="shared" ca="1" si="196"/>
        <v>#N/A</v>
      </c>
      <c r="K2552" s="18" t="e">
        <f t="shared" ca="1" si="195"/>
        <v>#N/A</v>
      </c>
      <c r="L2552" t="e">
        <f ca="1">IF(J2552,Charms!B2552,"")</f>
        <v>#N/A</v>
      </c>
      <c r="M2552" t="str">
        <f t="shared" ca="1" si="197"/>
        <v>-</v>
      </c>
      <c r="N2552" s="18" t="str">
        <f t="shared" si="198"/>
        <v>K1622:L5000</v>
      </c>
      <c r="O2552" t="str">
        <f t="shared" si="199"/>
        <v>A1622:A2552</v>
      </c>
    </row>
    <row r="2553" spans="1:15">
      <c r="A2553" s="18">
        <f>Charms!K2553</f>
        <v>0</v>
      </c>
      <c r="B2553">
        <f>Charms!B2553</f>
        <v>0</v>
      </c>
      <c r="C2553" t="b">
        <f ca="1">OR(Values!$S$98&gt;=Charms!M2553,IFERROR(Charms!J2553=OFFSET(Values!$A$24,MATCH("S",Values!$T$25:$T$50,0),0),FALSE))</f>
        <v>1</v>
      </c>
      <c r="D2553" t="e">
        <f>VLOOKUP(Charms!J2553,Values!$A$11:$S$59,19,0)&gt;=Charms!L2553</f>
        <v>#N/A</v>
      </c>
      <c r="E2553" t="e">
        <f>OR(ISBLANK(Charms!I2553),(VLOOKUP(Values!$S$6,Castes!$B$2:$F$25,4,0)=Charms!I2553))</f>
        <v>#N/A</v>
      </c>
      <c r="J2553" t="e">
        <f t="shared" ca="1" si="196"/>
        <v>#N/A</v>
      </c>
      <c r="K2553" s="18" t="e">
        <f t="shared" ca="1" si="195"/>
        <v>#N/A</v>
      </c>
      <c r="L2553" t="e">
        <f ca="1">IF(J2553,Charms!B2553,"")</f>
        <v>#N/A</v>
      </c>
      <c r="M2553" t="str">
        <f t="shared" ca="1" si="197"/>
        <v>-</v>
      </c>
      <c r="N2553" s="18" t="str">
        <f t="shared" si="198"/>
        <v>K1622:L5000</v>
      </c>
      <c r="O2553" t="str">
        <f t="shared" si="199"/>
        <v>A1622:A2553</v>
      </c>
    </row>
    <row r="2554" spans="1:15">
      <c r="A2554" s="18">
        <f>Charms!K2554</f>
        <v>0</v>
      </c>
      <c r="B2554">
        <f>Charms!B2554</f>
        <v>0</v>
      </c>
      <c r="C2554" t="b">
        <f ca="1">OR(Values!$S$98&gt;=Charms!M2554,IFERROR(Charms!J2554=OFFSET(Values!$A$24,MATCH("S",Values!$T$25:$T$50,0),0),FALSE))</f>
        <v>1</v>
      </c>
      <c r="D2554" t="e">
        <f>VLOOKUP(Charms!J2554,Values!$A$11:$S$59,19,0)&gt;=Charms!L2554</f>
        <v>#N/A</v>
      </c>
      <c r="E2554" t="e">
        <f>OR(ISBLANK(Charms!I2554),(VLOOKUP(Values!$S$6,Castes!$B$2:$F$25,4,0)=Charms!I2554))</f>
        <v>#N/A</v>
      </c>
      <c r="J2554" t="e">
        <f t="shared" ca="1" si="196"/>
        <v>#N/A</v>
      </c>
      <c r="K2554" s="18" t="e">
        <f t="shared" ca="1" si="195"/>
        <v>#N/A</v>
      </c>
      <c r="L2554" t="e">
        <f ca="1">IF(J2554,Charms!B2554,"")</f>
        <v>#N/A</v>
      </c>
      <c r="M2554" t="str">
        <f t="shared" ca="1" si="197"/>
        <v>-</v>
      </c>
      <c r="N2554" s="18" t="str">
        <f t="shared" si="198"/>
        <v>K1622:L5000</v>
      </c>
      <c r="O2554" t="str">
        <f t="shared" si="199"/>
        <v>A1622:A2554</v>
      </c>
    </row>
    <row r="2555" spans="1:15">
      <c r="A2555" s="18">
        <f>Charms!K2555</f>
        <v>0</v>
      </c>
      <c r="B2555">
        <f>Charms!B2555</f>
        <v>0</v>
      </c>
      <c r="C2555" t="b">
        <f ca="1">OR(Values!$S$98&gt;=Charms!M2555,IFERROR(Charms!J2555=OFFSET(Values!$A$24,MATCH("S",Values!$T$25:$T$50,0),0),FALSE))</f>
        <v>1</v>
      </c>
      <c r="D2555" t="e">
        <f>VLOOKUP(Charms!J2555,Values!$A$11:$S$59,19,0)&gt;=Charms!L2555</f>
        <v>#N/A</v>
      </c>
      <c r="E2555" t="e">
        <f>OR(ISBLANK(Charms!I2555),(VLOOKUP(Values!$S$6,Castes!$B$2:$F$25,4,0)=Charms!I2555))</f>
        <v>#N/A</v>
      </c>
      <c r="J2555" t="e">
        <f t="shared" ca="1" si="196"/>
        <v>#N/A</v>
      </c>
      <c r="K2555" s="18" t="e">
        <f t="shared" ca="1" si="195"/>
        <v>#N/A</v>
      </c>
      <c r="L2555" t="e">
        <f ca="1">IF(J2555,Charms!B2555,"")</f>
        <v>#N/A</v>
      </c>
      <c r="M2555" t="str">
        <f t="shared" ca="1" si="197"/>
        <v>-</v>
      </c>
      <c r="N2555" s="18" t="str">
        <f t="shared" si="198"/>
        <v>K1622:L5000</v>
      </c>
      <c r="O2555" t="str">
        <f t="shared" si="199"/>
        <v>A1622:A2555</v>
      </c>
    </row>
    <row r="2556" spans="1:15">
      <c r="A2556" s="18">
        <f>Charms!K2556</f>
        <v>0</v>
      </c>
      <c r="B2556">
        <f>Charms!B2556</f>
        <v>0</v>
      </c>
      <c r="C2556" t="b">
        <f ca="1">OR(Values!$S$98&gt;=Charms!M2556,IFERROR(Charms!J2556=OFFSET(Values!$A$24,MATCH("S",Values!$T$25:$T$50,0),0),FALSE))</f>
        <v>1</v>
      </c>
      <c r="D2556" t="e">
        <f>VLOOKUP(Charms!J2556,Values!$A$11:$S$59,19,0)&gt;=Charms!L2556</f>
        <v>#N/A</v>
      </c>
      <c r="E2556" t="e">
        <f>OR(ISBLANK(Charms!I2556),(VLOOKUP(Values!$S$6,Castes!$B$2:$F$25,4,0)=Charms!I2556))</f>
        <v>#N/A</v>
      </c>
      <c r="J2556" t="e">
        <f t="shared" ca="1" si="196"/>
        <v>#N/A</v>
      </c>
      <c r="K2556" s="18" t="e">
        <f t="shared" ca="1" si="195"/>
        <v>#N/A</v>
      </c>
      <c r="L2556" t="e">
        <f ca="1">IF(J2556,Charms!B2556,"")</f>
        <v>#N/A</v>
      </c>
      <c r="M2556" t="str">
        <f t="shared" ca="1" si="197"/>
        <v>-</v>
      </c>
      <c r="N2556" s="18" t="str">
        <f t="shared" si="198"/>
        <v>K1622:L5000</v>
      </c>
      <c r="O2556" t="str">
        <f t="shared" si="199"/>
        <v>A1622:A2556</v>
      </c>
    </row>
    <row r="2557" spans="1:15">
      <c r="A2557" s="18">
        <f>Charms!K2557</f>
        <v>0</v>
      </c>
      <c r="B2557">
        <f>Charms!B2557</f>
        <v>0</v>
      </c>
      <c r="C2557" t="b">
        <f ca="1">OR(Values!$S$98&gt;=Charms!M2557,IFERROR(Charms!J2557=OFFSET(Values!$A$24,MATCH("S",Values!$T$25:$T$50,0),0),FALSE))</f>
        <v>1</v>
      </c>
      <c r="D2557" t="e">
        <f>VLOOKUP(Charms!J2557,Values!$A$11:$S$59,19,0)&gt;=Charms!L2557</f>
        <v>#N/A</v>
      </c>
      <c r="E2557" t="e">
        <f>OR(ISBLANK(Charms!I2557),(VLOOKUP(Values!$S$6,Castes!$B$2:$F$25,4,0)=Charms!I2557))</f>
        <v>#N/A</v>
      </c>
      <c r="J2557" t="e">
        <f t="shared" ca="1" si="196"/>
        <v>#N/A</v>
      </c>
      <c r="K2557" s="18" t="e">
        <f t="shared" ca="1" si="195"/>
        <v>#N/A</v>
      </c>
      <c r="L2557" t="e">
        <f ca="1">IF(J2557,Charms!B2557,"")</f>
        <v>#N/A</v>
      </c>
      <c r="M2557" t="str">
        <f t="shared" ca="1" si="197"/>
        <v>-</v>
      </c>
      <c r="N2557" s="18" t="str">
        <f t="shared" si="198"/>
        <v>K1622:L5000</v>
      </c>
      <c r="O2557" t="str">
        <f t="shared" si="199"/>
        <v>A1622:A2557</v>
      </c>
    </row>
    <row r="2558" spans="1:15">
      <c r="A2558" s="18">
        <f>Charms!K2558</f>
        <v>0</v>
      </c>
      <c r="B2558">
        <f>Charms!B2558</f>
        <v>0</v>
      </c>
      <c r="C2558" t="b">
        <f ca="1">OR(Values!$S$98&gt;=Charms!M2558,IFERROR(Charms!J2558=OFFSET(Values!$A$24,MATCH("S",Values!$T$25:$T$50,0),0),FALSE))</f>
        <v>1</v>
      </c>
      <c r="D2558" t="e">
        <f>VLOOKUP(Charms!J2558,Values!$A$11:$S$59,19,0)&gt;=Charms!L2558</f>
        <v>#N/A</v>
      </c>
      <c r="E2558" t="e">
        <f>OR(ISBLANK(Charms!I2558),(VLOOKUP(Values!$S$6,Castes!$B$2:$F$25,4,0)=Charms!I2558))</f>
        <v>#N/A</v>
      </c>
      <c r="J2558" t="e">
        <f t="shared" ca="1" si="196"/>
        <v>#N/A</v>
      </c>
      <c r="K2558" s="18" t="e">
        <f t="shared" ca="1" si="195"/>
        <v>#N/A</v>
      </c>
      <c r="L2558" t="e">
        <f ca="1">IF(J2558,Charms!B2558,"")</f>
        <v>#N/A</v>
      </c>
      <c r="M2558" t="str">
        <f t="shared" ca="1" si="197"/>
        <v>-</v>
      </c>
      <c r="N2558" s="18" t="str">
        <f t="shared" si="198"/>
        <v>K1622:L5000</v>
      </c>
      <c r="O2558" t="str">
        <f t="shared" si="199"/>
        <v>A1622:A2558</v>
      </c>
    </row>
    <row r="2559" spans="1:15">
      <c r="A2559" s="18">
        <f>Charms!K2559</f>
        <v>0</v>
      </c>
      <c r="B2559">
        <f>Charms!B2559</f>
        <v>0</v>
      </c>
      <c r="C2559" t="b">
        <f ca="1">OR(Values!$S$98&gt;=Charms!M2559,IFERROR(Charms!J2559=OFFSET(Values!$A$24,MATCH("S",Values!$T$25:$T$50,0),0),FALSE))</f>
        <v>1</v>
      </c>
      <c r="D2559" t="e">
        <f>VLOOKUP(Charms!J2559,Values!$A$11:$S$59,19,0)&gt;=Charms!L2559</f>
        <v>#N/A</v>
      </c>
      <c r="E2559" t="e">
        <f>OR(ISBLANK(Charms!I2559),(VLOOKUP(Values!$S$6,Castes!$B$2:$F$25,4,0)=Charms!I2559))</f>
        <v>#N/A</v>
      </c>
      <c r="J2559" t="e">
        <f t="shared" ca="1" si="196"/>
        <v>#N/A</v>
      </c>
      <c r="K2559" s="18" t="e">
        <f t="shared" ca="1" si="195"/>
        <v>#N/A</v>
      </c>
      <c r="L2559" t="e">
        <f ca="1">IF(J2559,Charms!B2559,"")</f>
        <v>#N/A</v>
      </c>
      <c r="M2559" t="str">
        <f t="shared" ca="1" si="197"/>
        <v>-</v>
      </c>
      <c r="N2559" s="18" t="str">
        <f t="shared" si="198"/>
        <v>K1622:L5000</v>
      </c>
      <c r="O2559" t="str">
        <f t="shared" si="199"/>
        <v>A1622:A2559</v>
      </c>
    </row>
    <row r="2560" spans="1:15">
      <c r="A2560" s="18">
        <f>Charms!K2560</f>
        <v>0</v>
      </c>
      <c r="B2560">
        <f>Charms!B2560</f>
        <v>0</v>
      </c>
      <c r="C2560" t="b">
        <f ca="1">OR(Values!$S$98&gt;=Charms!M2560,IFERROR(Charms!J2560=OFFSET(Values!$A$24,MATCH("S",Values!$T$25:$T$50,0),0),FALSE))</f>
        <v>1</v>
      </c>
      <c r="D2560" t="e">
        <f>VLOOKUP(Charms!J2560,Values!$A$11:$S$59,19,0)&gt;=Charms!L2560</f>
        <v>#N/A</v>
      </c>
      <c r="E2560" t="e">
        <f>OR(ISBLANK(Charms!I2560),(VLOOKUP(Values!$S$6,Castes!$B$2:$F$25,4,0)=Charms!I2560))</f>
        <v>#N/A</v>
      </c>
      <c r="J2560" t="e">
        <f t="shared" ca="1" si="196"/>
        <v>#N/A</v>
      </c>
      <c r="K2560" s="18" t="e">
        <f t="shared" ca="1" si="195"/>
        <v>#N/A</v>
      </c>
      <c r="L2560" t="e">
        <f ca="1">IF(J2560,Charms!B2560,"")</f>
        <v>#N/A</v>
      </c>
      <c r="M2560" t="str">
        <f t="shared" ca="1" si="197"/>
        <v>-</v>
      </c>
      <c r="N2560" s="18" t="str">
        <f t="shared" si="198"/>
        <v>K1622:L5000</v>
      </c>
      <c r="O2560" t="str">
        <f t="shared" si="199"/>
        <v>A1622:A2560</v>
      </c>
    </row>
    <row r="2561" spans="1:15">
      <c r="A2561" s="18">
        <f>Charms!K2561</f>
        <v>0</v>
      </c>
      <c r="B2561">
        <f>Charms!B2561</f>
        <v>0</v>
      </c>
      <c r="C2561" t="b">
        <f ca="1">OR(Values!$S$98&gt;=Charms!M2561,IFERROR(Charms!J2561=OFFSET(Values!$A$24,MATCH("S",Values!$T$25:$T$50,0),0),FALSE))</f>
        <v>1</v>
      </c>
      <c r="D2561" t="e">
        <f>VLOOKUP(Charms!J2561,Values!$A$11:$S$59,19,0)&gt;=Charms!L2561</f>
        <v>#N/A</v>
      </c>
      <c r="E2561" t="e">
        <f>OR(ISBLANK(Charms!I2561),(VLOOKUP(Values!$S$6,Castes!$B$2:$F$25,4,0)=Charms!I2561))</f>
        <v>#N/A</v>
      </c>
      <c r="J2561" t="e">
        <f t="shared" ca="1" si="196"/>
        <v>#N/A</v>
      </c>
      <c r="K2561" s="18" t="e">
        <f t="shared" ca="1" si="195"/>
        <v>#N/A</v>
      </c>
      <c r="L2561" t="e">
        <f ca="1">IF(J2561,Charms!B2561,"")</f>
        <v>#N/A</v>
      </c>
      <c r="M2561" t="str">
        <f t="shared" ca="1" si="197"/>
        <v>-</v>
      </c>
      <c r="N2561" s="18" t="str">
        <f t="shared" si="198"/>
        <v>K1622:L5000</v>
      </c>
      <c r="O2561" t="str">
        <f t="shared" si="199"/>
        <v>A1622:A2561</v>
      </c>
    </row>
    <row r="2562" spans="1:15">
      <c r="A2562" s="18">
        <f>Charms!K2562</f>
        <v>0</v>
      </c>
      <c r="B2562">
        <f>Charms!B2562</f>
        <v>0</v>
      </c>
      <c r="C2562" t="b">
        <f ca="1">OR(Values!$S$98&gt;=Charms!M2562,IFERROR(Charms!J2562=OFFSET(Values!$A$24,MATCH("S",Values!$T$25:$T$50,0),0),FALSE))</f>
        <v>1</v>
      </c>
      <c r="D2562" t="e">
        <f>VLOOKUP(Charms!J2562,Values!$A$11:$S$59,19,0)&gt;=Charms!L2562</f>
        <v>#N/A</v>
      </c>
      <c r="E2562" t="e">
        <f>OR(ISBLANK(Charms!I2562),(VLOOKUP(Values!$S$6,Castes!$B$2:$F$25,4,0)=Charms!I2562))</f>
        <v>#N/A</v>
      </c>
      <c r="J2562" t="e">
        <f t="shared" ca="1" si="196"/>
        <v>#N/A</v>
      </c>
      <c r="K2562" s="18" t="e">
        <f t="shared" ref="K2562:K2625" ca="1" si="200">IF(L2562="","",COUNTIF(INDIRECT("J"&amp;MATCH(A2562,A:A,0)&amp;":J"&amp;ROW()),J2562))</f>
        <v>#N/A</v>
      </c>
      <c r="L2562" t="e">
        <f ca="1">IF(J2562,Charms!B2562,"")</f>
        <v>#N/A</v>
      </c>
      <c r="M2562" t="str">
        <f t="shared" ca="1" si="197"/>
        <v>-</v>
      </c>
      <c r="N2562" s="18" t="str">
        <f t="shared" si="198"/>
        <v>K1622:L5000</v>
      </c>
      <c r="O2562" t="str">
        <f t="shared" si="199"/>
        <v>A1622:A2562</v>
      </c>
    </row>
    <row r="2563" spans="1:15">
      <c r="A2563" s="18">
        <f>Charms!K2563</f>
        <v>0</v>
      </c>
      <c r="B2563">
        <f>Charms!B2563</f>
        <v>0</v>
      </c>
      <c r="C2563" t="b">
        <f ca="1">OR(Values!$S$98&gt;=Charms!M2563,IFERROR(Charms!J2563=OFFSET(Values!$A$24,MATCH("S",Values!$T$25:$T$50,0),0),FALSE))</f>
        <v>1</v>
      </c>
      <c r="D2563" t="e">
        <f>VLOOKUP(Charms!J2563,Values!$A$11:$S$59,19,0)&gt;=Charms!L2563</f>
        <v>#N/A</v>
      </c>
      <c r="E2563" t="e">
        <f>OR(ISBLANK(Charms!I2563),(VLOOKUP(Values!$S$6,Castes!$B$2:$F$25,4,0)=Charms!I2563))</f>
        <v>#N/A</v>
      </c>
      <c r="J2563" t="e">
        <f t="shared" ref="J2563:J2626" ca="1" si="201">(C2563+D2563+E2563+F2563+G2563+H2563+I2563)=3</f>
        <v>#N/A</v>
      </c>
      <c r="K2563" s="18" t="e">
        <f t="shared" ca="1" si="200"/>
        <v>#N/A</v>
      </c>
      <c r="L2563" t="e">
        <f ca="1">IF(J2563,Charms!B2563,"")</f>
        <v>#N/A</v>
      </c>
      <c r="M2563" t="str">
        <f t="shared" ref="M2563:M2626" ca="1" si="202">IFERROR(VLOOKUP(COUNTIF(INDIRECT(O2563),A2563),INDIRECT(N2563),2,0),"-")</f>
        <v>-</v>
      </c>
      <c r="N2563" s="18" t="str">
        <f t="shared" ref="N2563:N2626" si="203">"K"&amp;MATCH(A2563,A:A,0)&amp;":L"&amp;(MATCH(A2563,A:A,0)+COUNTIF(A:A,A2563)-1)</f>
        <v>K1622:L5000</v>
      </c>
      <c r="O2563" t="str">
        <f t="shared" ref="O2563:O2626" si="204">"A"&amp;MATCH(A2563,A:A,0)&amp;":A"&amp;ROW()</f>
        <v>A1622:A2563</v>
      </c>
    </row>
    <row r="2564" spans="1:15">
      <c r="A2564" s="18">
        <f>Charms!K2564</f>
        <v>0</v>
      </c>
      <c r="B2564">
        <f>Charms!B2564</f>
        <v>0</v>
      </c>
      <c r="C2564" t="b">
        <f ca="1">OR(Values!$S$98&gt;=Charms!M2564,IFERROR(Charms!J2564=OFFSET(Values!$A$24,MATCH("S",Values!$T$25:$T$50,0),0),FALSE))</f>
        <v>1</v>
      </c>
      <c r="D2564" t="e">
        <f>VLOOKUP(Charms!J2564,Values!$A$11:$S$59,19,0)&gt;=Charms!L2564</f>
        <v>#N/A</v>
      </c>
      <c r="E2564" t="e">
        <f>OR(ISBLANK(Charms!I2564),(VLOOKUP(Values!$S$6,Castes!$B$2:$F$25,4,0)=Charms!I2564))</f>
        <v>#N/A</v>
      </c>
      <c r="J2564" t="e">
        <f t="shared" ca="1" si="201"/>
        <v>#N/A</v>
      </c>
      <c r="K2564" s="18" t="e">
        <f t="shared" ca="1" si="200"/>
        <v>#N/A</v>
      </c>
      <c r="L2564" t="e">
        <f ca="1">IF(J2564,Charms!B2564,"")</f>
        <v>#N/A</v>
      </c>
      <c r="M2564" t="str">
        <f t="shared" ca="1" si="202"/>
        <v>-</v>
      </c>
      <c r="N2564" s="18" t="str">
        <f t="shared" si="203"/>
        <v>K1622:L5000</v>
      </c>
      <c r="O2564" t="str">
        <f t="shared" si="204"/>
        <v>A1622:A2564</v>
      </c>
    </row>
    <row r="2565" spans="1:15">
      <c r="A2565" s="18">
        <f>Charms!K2565</f>
        <v>0</v>
      </c>
      <c r="B2565">
        <f>Charms!B2565</f>
        <v>0</v>
      </c>
      <c r="C2565" t="b">
        <f ca="1">OR(Values!$S$98&gt;=Charms!M2565,IFERROR(Charms!J2565=OFFSET(Values!$A$24,MATCH("S",Values!$T$25:$T$50,0),0),FALSE))</f>
        <v>1</v>
      </c>
      <c r="D2565" t="e">
        <f>VLOOKUP(Charms!J2565,Values!$A$11:$S$59,19,0)&gt;=Charms!L2565</f>
        <v>#N/A</v>
      </c>
      <c r="E2565" t="e">
        <f>OR(ISBLANK(Charms!I2565),(VLOOKUP(Values!$S$6,Castes!$B$2:$F$25,4,0)=Charms!I2565))</f>
        <v>#N/A</v>
      </c>
      <c r="J2565" t="e">
        <f t="shared" ca="1" si="201"/>
        <v>#N/A</v>
      </c>
      <c r="K2565" s="18" t="e">
        <f t="shared" ca="1" si="200"/>
        <v>#N/A</v>
      </c>
      <c r="L2565" t="e">
        <f ca="1">IF(J2565,Charms!B2565,"")</f>
        <v>#N/A</v>
      </c>
      <c r="M2565" t="str">
        <f t="shared" ca="1" si="202"/>
        <v>-</v>
      </c>
      <c r="N2565" s="18" t="str">
        <f t="shared" si="203"/>
        <v>K1622:L5000</v>
      </c>
      <c r="O2565" t="str">
        <f t="shared" si="204"/>
        <v>A1622:A2565</v>
      </c>
    </row>
    <row r="2566" spans="1:15">
      <c r="A2566" s="18">
        <f>Charms!K2566</f>
        <v>0</v>
      </c>
      <c r="B2566">
        <f>Charms!B2566</f>
        <v>0</v>
      </c>
      <c r="C2566" t="b">
        <f ca="1">OR(Values!$S$98&gt;=Charms!M2566,IFERROR(Charms!J2566=OFFSET(Values!$A$24,MATCH("S",Values!$T$25:$T$50,0),0),FALSE))</f>
        <v>1</v>
      </c>
      <c r="D2566" t="e">
        <f>VLOOKUP(Charms!J2566,Values!$A$11:$S$59,19,0)&gt;=Charms!L2566</f>
        <v>#N/A</v>
      </c>
      <c r="E2566" t="e">
        <f>OR(ISBLANK(Charms!I2566),(VLOOKUP(Values!$S$6,Castes!$B$2:$F$25,4,0)=Charms!I2566))</f>
        <v>#N/A</v>
      </c>
      <c r="J2566" t="e">
        <f t="shared" ca="1" si="201"/>
        <v>#N/A</v>
      </c>
      <c r="K2566" s="18" t="e">
        <f t="shared" ca="1" si="200"/>
        <v>#N/A</v>
      </c>
      <c r="L2566" t="e">
        <f ca="1">IF(J2566,Charms!B2566,"")</f>
        <v>#N/A</v>
      </c>
      <c r="M2566" t="str">
        <f t="shared" ca="1" si="202"/>
        <v>-</v>
      </c>
      <c r="N2566" s="18" t="str">
        <f t="shared" si="203"/>
        <v>K1622:L5000</v>
      </c>
      <c r="O2566" t="str">
        <f t="shared" si="204"/>
        <v>A1622:A2566</v>
      </c>
    </row>
    <row r="2567" spans="1:15">
      <c r="A2567" s="18">
        <f>Charms!K2567</f>
        <v>0</v>
      </c>
      <c r="B2567">
        <f>Charms!B2567</f>
        <v>0</v>
      </c>
      <c r="C2567" t="b">
        <f ca="1">OR(Values!$S$98&gt;=Charms!M2567,IFERROR(Charms!J2567=OFFSET(Values!$A$24,MATCH("S",Values!$T$25:$T$50,0),0),FALSE))</f>
        <v>1</v>
      </c>
      <c r="D2567" t="e">
        <f>VLOOKUP(Charms!J2567,Values!$A$11:$S$59,19,0)&gt;=Charms!L2567</f>
        <v>#N/A</v>
      </c>
      <c r="E2567" t="e">
        <f>OR(ISBLANK(Charms!I2567),(VLOOKUP(Values!$S$6,Castes!$B$2:$F$25,4,0)=Charms!I2567))</f>
        <v>#N/A</v>
      </c>
      <c r="J2567" t="e">
        <f t="shared" ca="1" si="201"/>
        <v>#N/A</v>
      </c>
      <c r="K2567" s="18" t="e">
        <f t="shared" ca="1" si="200"/>
        <v>#N/A</v>
      </c>
      <c r="L2567" t="e">
        <f ca="1">IF(J2567,Charms!B2567,"")</f>
        <v>#N/A</v>
      </c>
      <c r="M2567" t="str">
        <f t="shared" ca="1" si="202"/>
        <v>-</v>
      </c>
      <c r="N2567" s="18" t="str">
        <f t="shared" si="203"/>
        <v>K1622:L5000</v>
      </c>
      <c r="O2567" t="str">
        <f t="shared" si="204"/>
        <v>A1622:A2567</v>
      </c>
    </row>
    <row r="2568" spans="1:15">
      <c r="A2568" s="18">
        <f>Charms!K2568</f>
        <v>0</v>
      </c>
      <c r="B2568">
        <f>Charms!B2568</f>
        <v>0</v>
      </c>
      <c r="C2568" t="b">
        <f ca="1">OR(Values!$S$98&gt;=Charms!M2568,IFERROR(Charms!J2568=OFFSET(Values!$A$24,MATCH("S",Values!$T$25:$T$50,0),0),FALSE))</f>
        <v>1</v>
      </c>
      <c r="D2568" t="e">
        <f>VLOOKUP(Charms!J2568,Values!$A$11:$S$59,19,0)&gt;=Charms!L2568</f>
        <v>#N/A</v>
      </c>
      <c r="E2568" t="e">
        <f>OR(ISBLANK(Charms!I2568),(VLOOKUP(Values!$S$6,Castes!$B$2:$F$25,4,0)=Charms!I2568))</f>
        <v>#N/A</v>
      </c>
      <c r="J2568" t="e">
        <f t="shared" ca="1" si="201"/>
        <v>#N/A</v>
      </c>
      <c r="K2568" s="18" t="e">
        <f t="shared" ca="1" si="200"/>
        <v>#N/A</v>
      </c>
      <c r="L2568" t="e">
        <f ca="1">IF(J2568,Charms!B2568,"")</f>
        <v>#N/A</v>
      </c>
      <c r="M2568" t="str">
        <f t="shared" ca="1" si="202"/>
        <v>-</v>
      </c>
      <c r="N2568" s="18" t="str">
        <f t="shared" si="203"/>
        <v>K1622:L5000</v>
      </c>
      <c r="O2568" t="str">
        <f t="shared" si="204"/>
        <v>A1622:A2568</v>
      </c>
    </row>
    <row r="2569" spans="1:15">
      <c r="A2569" s="18">
        <f>Charms!K2569</f>
        <v>0</v>
      </c>
      <c r="B2569">
        <f>Charms!B2569</f>
        <v>0</v>
      </c>
      <c r="C2569" t="b">
        <f ca="1">OR(Values!$S$98&gt;=Charms!M2569,IFERROR(Charms!J2569=OFFSET(Values!$A$24,MATCH("S",Values!$T$25:$T$50,0),0),FALSE))</f>
        <v>1</v>
      </c>
      <c r="D2569" t="e">
        <f>VLOOKUP(Charms!J2569,Values!$A$11:$S$59,19,0)&gt;=Charms!L2569</f>
        <v>#N/A</v>
      </c>
      <c r="E2569" t="e">
        <f>OR(ISBLANK(Charms!I2569),(VLOOKUP(Values!$S$6,Castes!$B$2:$F$25,4,0)=Charms!I2569))</f>
        <v>#N/A</v>
      </c>
      <c r="J2569" t="e">
        <f t="shared" ca="1" si="201"/>
        <v>#N/A</v>
      </c>
      <c r="K2569" s="18" t="e">
        <f t="shared" ca="1" si="200"/>
        <v>#N/A</v>
      </c>
      <c r="L2569" t="e">
        <f ca="1">IF(J2569,Charms!B2569,"")</f>
        <v>#N/A</v>
      </c>
      <c r="M2569" t="str">
        <f t="shared" ca="1" si="202"/>
        <v>-</v>
      </c>
      <c r="N2569" s="18" t="str">
        <f t="shared" si="203"/>
        <v>K1622:L5000</v>
      </c>
      <c r="O2569" t="str">
        <f t="shared" si="204"/>
        <v>A1622:A2569</v>
      </c>
    </row>
    <row r="2570" spans="1:15">
      <c r="A2570" s="18">
        <f>Charms!K2570</f>
        <v>0</v>
      </c>
      <c r="B2570">
        <f>Charms!B2570</f>
        <v>0</v>
      </c>
      <c r="C2570" t="b">
        <f ca="1">OR(Values!$S$98&gt;=Charms!M2570,IFERROR(Charms!J2570=OFFSET(Values!$A$24,MATCH("S",Values!$T$25:$T$50,0),0),FALSE))</f>
        <v>1</v>
      </c>
      <c r="D2570" t="e">
        <f>VLOOKUP(Charms!J2570,Values!$A$11:$S$59,19,0)&gt;=Charms!L2570</f>
        <v>#N/A</v>
      </c>
      <c r="E2570" t="e">
        <f>OR(ISBLANK(Charms!I2570),(VLOOKUP(Values!$S$6,Castes!$B$2:$F$25,4,0)=Charms!I2570))</f>
        <v>#N/A</v>
      </c>
      <c r="J2570" t="e">
        <f t="shared" ca="1" si="201"/>
        <v>#N/A</v>
      </c>
      <c r="K2570" s="18" t="e">
        <f t="shared" ca="1" si="200"/>
        <v>#N/A</v>
      </c>
      <c r="L2570" t="e">
        <f ca="1">IF(J2570,Charms!B2570,"")</f>
        <v>#N/A</v>
      </c>
      <c r="M2570" t="str">
        <f t="shared" ca="1" si="202"/>
        <v>-</v>
      </c>
      <c r="N2570" s="18" t="str">
        <f t="shared" si="203"/>
        <v>K1622:L5000</v>
      </c>
      <c r="O2570" t="str">
        <f t="shared" si="204"/>
        <v>A1622:A2570</v>
      </c>
    </row>
    <row r="2571" spans="1:15">
      <c r="A2571" s="18">
        <f>Charms!K2571</f>
        <v>0</v>
      </c>
      <c r="B2571">
        <f>Charms!B2571</f>
        <v>0</v>
      </c>
      <c r="C2571" t="b">
        <f ca="1">OR(Values!$S$98&gt;=Charms!M2571,IFERROR(Charms!J2571=OFFSET(Values!$A$24,MATCH("S",Values!$T$25:$T$50,0),0),FALSE))</f>
        <v>1</v>
      </c>
      <c r="D2571" t="e">
        <f>VLOOKUP(Charms!J2571,Values!$A$11:$S$59,19,0)&gt;=Charms!L2571</f>
        <v>#N/A</v>
      </c>
      <c r="E2571" t="e">
        <f>OR(ISBLANK(Charms!I2571),(VLOOKUP(Values!$S$6,Castes!$B$2:$F$25,4,0)=Charms!I2571))</f>
        <v>#N/A</v>
      </c>
      <c r="J2571" t="e">
        <f t="shared" ca="1" si="201"/>
        <v>#N/A</v>
      </c>
      <c r="K2571" s="18" t="e">
        <f t="shared" ca="1" si="200"/>
        <v>#N/A</v>
      </c>
      <c r="L2571" t="e">
        <f ca="1">IF(J2571,Charms!B2571,"")</f>
        <v>#N/A</v>
      </c>
      <c r="M2571" t="str">
        <f t="shared" ca="1" si="202"/>
        <v>-</v>
      </c>
      <c r="N2571" s="18" t="str">
        <f t="shared" si="203"/>
        <v>K1622:L5000</v>
      </c>
      <c r="O2571" t="str">
        <f t="shared" si="204"/>
        <v>A1622:A2571</v>
      </c>
    </row>
    <row r="2572" spans="1:15">
      <c r="A2572" s="18">
        <f>Charms!K2572</f>
        <v>0</v>
      </c>
      <c r="B2572">
        <f>Charms!B2572</f>
        <v>0</v>
      </c>
      <c r="C2572" t="b">
        <f ca="1">OR(Values!$S$98&gt;=Charms!M2572,IFERROR(Charms!J2572=OFFSET(Values!$A$24,MATCH("S",Values!$T$25:$T$50,0),0),FALSE))</f>
        <v>1</v>
      </c>
      <c r="D2572" t="e">
        <f>VLOOKUP(Charms!J2572,Values!$A$11:$S$59,19,0)&gt;=Charms!L2572</f>
        <v>#N/A</v>
      </c>
      <c r="E2572" t="e">
        <f>OR(ISBLANK(Charms!I2572),(VLOOKUP(Values!$S$6,Castes!$B$2:$F$25,4,0)=Charms!I2572))</f>
        <v>#N/A</v>
      </c>
      <c r="J2572" t="e">
        <f t="shared" ca="1" si="201"/>
        <v>#N/A</v>
      </c>
      <c r="K2572" s="18" t="e">
        <f t="shared" ca="1" si="200"/>
        <v>#N/A</v>
      </c>
      <c r="L2572" t="e">
        <f ca="1">IF(J2572,Charms!B2572,"")</f>
        <v>#N/A</v>
      </c>
      <c r="M2572" t="str">
        <f t="shared" ca="1" si="202"/>
        <v>-</v>
      </c>
      <c r="N2572" s="18" t="str">
        <f t="shared" si="203"/>
        <v>K1622:L5000</v>
      </c>
      <c r="O2572" t="str">
        <f t="shared" si="204"/>
        <v>A1622:A2572</v>
      </c>
    </row>
    <row r="2573" spans="1:15">
      <c r="A2573" s="18">
        <f>Charms!K2573</f>
        <v>0</v>
      </c>
      <c r="B2573">
        <f>Charms!B2573</f>
        <v>0</v>
      </c>
      <c r="C2573" t="b">
        <f ca="1">OR(Values!$S$98&gt;=Charms!M2573,IFERROR(Charms!J2573=OFFSET(Values!$A$24,MATCH("S",Values!$T$25:$T$50,0),0),FALSE))</f>
        <v>1</v>
      </c>
      <c r="D2573" t="e">
        <f>VLOOKUP(Charms!J2573,Values!$A$11:$S$59,19,0)&gt;=Charms!L2573</f>
        <v>#N/A</v>
      </c>
      <c r="E2573" t="e">
        <f>OR(ISBLANK(Charms!I2573),(VLOOKUP(Values!$S$6,Castes!$B$2:$F$25,4,0)=Charms!I2573))</f>
        <v>#N/A</v>
      </c>
      <c r="J2573" t="e">
        <f t="shared" ca="1" si="201"/>
        <v>#N/A</v>
      </c>
      <c r="K2573" s="18" t="e">
        <f t="shared" ca="1" si="200"/>
        <v>#N/A</v>
      </c>
      <c r="L2573" t="e">
        <f ca="1">IF(J2573,Charms!B2573,"")</f>
        <v>#N/A</v>
      </c>
      <c r="M2573" t="str">
        <f t="shared" ca="1" si="202"/>
        <v>-</v>
      </c>
      <c r="N2573" s="18" t="str">
        <f t="shared" si="203"/>
        <v>K1622:L5000</v>
      </c>
      <c r="O2573" t="str">
        <f t="shared" si="204"/>
        <v>A1622:A2573</v>
      </c>
    </row>
    <row r="2574" spans="1:15">
      <c r="A2574" s="18">
        <f>Charms!K2574</f>
        <v>0</v>
      </c>
      <c r="B2574">
        <f>Charms!B2574</f>
        <v>0</v>
      </c>
      <c r="C2574" t="b">
        <f ca="1">OR(Values!$S$98&gt;=Charms!M2574,IFERROR(Charms!J2574=OFFSET(Values!$A$24,MATCH("S",Values!$T$25:$T$50,0),0),FALSE))</f>
        <v>1</v>
      </c>
      <c r="D2574" t="e">
        <f>VLOOKUP(Charms!J2574,Values!$A$11:$S$59,19,0)&gt;=Charms!L2574</f>
        <v>#N/A</v>
      </c>
      <c r="E2574" t="e">
        <f>OR(ISBLANK(Charms!I2574),(VLOOKUP(Values!$S$6,Castes!$B$2:$F$25,4,0)=Charms!I2574))</f>
        <v>#N/A</v>
      </c>
      <c r="J2574" t="e">
        <f t="shared" ca="1" si="201"/>
        <v>#N/A</v>
      </c>
      <c r="K2574" s="18" t="e">
        <f t="shared" ca="1" si="200"/>
        <v>#N/A</v>
      </c>
      <c r="L2574" t="e">
        <f ca="1">IF(J2574,Charms!B2574,"")</f>
        <v>#N/A</v>
      </c>
      <c r="M2574" t="str">
        <f t="shared" ca="1" si="202"/>
        <v>-</v>
      </c>
      <c r="N2574" s="18" t="str">
        <f t="shared" si="203"/>
        <v>K1622:L5000</v>
      </c>
      <c r="O2574" t="str">
        <f t="shared" si="204"/>
        <v>A1622:A2574</v>
      </c>
    </row>
    <row r="2575" spans="1:15">
      <c r="A2575" s="18">
        <f>Charms!K2575</f>
        <v>0</v>
      </c>
      <c r="B2575">
        <f>Charms!B2575</f>
        <v>0</v>
      </c>
      <c r="C2575" t="b">
        <f ca="1">OR(Values!$S$98&gt;=Charms!M2575,IFERROR(Charms!J2575=OFFSET(Values!$A$24,MATCH("S",Values!$T$25:$T$50,0),0),FALSE))</f>
        <v>1</v>
      </c>
      <c r="D2575" t="e">
        <f>VLOOKUP(Charms!J2575,Values!$A$11:$S$59,19,0)&gt;=Charms!L2575</f>
        <v>#N/A</v>
      </c>
      <c r="E2575" t="e">
        <f>OR(ISBLANK(Charms!I2575),(VLOOKUP(Values!$S$6,Castes!$B$2:$F$25,4,0)=Charms!I2575))</f>
        <v>#N/A</v>
      </c>
      <c r="J2575" t="e">
        <f t="shared" ca="1" si="201"/>
        <v>#N/A</v>
      </c>
      <c r="K2575" s="18" t="e">
        <f t="shared" ca="1" si="200"/>
        <v>#N/A</v>
      </c>
      <c r="L2575" t="e">
        <f ca="1">IF(J2575,Charms!B2575,"")</f>
        <v>#N/A</v>
      </c>
      <c r="M2575" t="str">
        <f t="shared" ca="1" si="202"/>
        <v>-</v>
      </c>
      <c r="N2575" s="18" t="str">
        <f t="shared" si="203"/>
        <v>K1622:L5000</v>
      </c>
      <c r="O2575" t="str">
        <f t="shared" si="204"/>
        <v>A1622:A2575</v>
      </c>
    </row>
    <row r="2576" spans="1:15">
      <c r="A2576" s="18">
        <f>Charms!K2576</f>
        <v>0</v>
      </c>
      <c r="B2576">
        <f>Charms!B2576</f>
        <v>0</v>
      </c>
      <c r="C2576" t="b">
        <f ca="1">OR(Values!$S$98&gt;=Charms!M2576,IFERROR(Charms!J2576=OFFSET(Values!$A$24,MATCH("S",Values!$T$25:$T$50,0),0),FALSE))</f>
        <v>1</v>
      </c>
      <c r="D2576" t="e">
        <f>VLOOKUP(Charms!J2576,Values!$A$11:$S$59,19,0)&gt;=Charms!L2576</f>
        <v>#N/A</v>
      </c>
      <c r="E2576" t="e">
        <f>OR(ISBLANK(Charms!I2576),(VLOOKUP(Values!$S$6,Castes!$B$2:$F$25,4,0)=Charms!I2576))</f>
        <v>#N/A</v>
      </c>
      <c r="J2576" t="e">
        <f t="shared" ca="1" si="201"/>
        <v>#N/A</v>
      </c>
      <c r="K2576" s="18" t="e">
        <f t="shared" ca="1" si="200"/>
        <v>#N/A</v>
      </c>
      <c r="L2576" t="e">
        <f ca="1">IF(J2576,Charms!B2576,"")</f>
        <v>#N/A</v>
      </c>
      <c r="M2576" t="str">
        <f t="shared" ca="1" si="202"/>
        <v>-</v>
      </c>
      <c r="N2576" s="18" t="str">
        <f t="shared" si="203"/>
        <v>K1622:L5000</v>
      </c>
      <c r="O2576" t="str">
        <f t="shared" si="204"/>
        <v>A1622:A2576</v>
      </c>
    </row>
    <row r="2577" spans="1:15">
      <c r="A2577" s="18">
        <f>Charms!K2577</f>
        <v>0</v>
      </c>
      <c r="B2577">
        <f>Charms!B2577</f>
        <v>0</v>
      </c>
      <c r="C2577" t="b">
        <f ca="1">OR(Values!$S$98&gt;=Charms!M2577,IFERROR(Charms!J2577=OFFSET(Values!$A$24,MATCH("S",Values!$T$25:$T$50,0),0),FALSE))</f>
        <v>1</v>
      </c>
      <c r="D2577" t="e">
        <f>VLOOKUP(Charms!J2577,Values!$A$11:$S$59,19,0)&gt;=Charms!L2577</f>
        <v>#N/A</v>
      </c>
      <c r="E2577" t="e">
        <f>OR(ISBLANK(Charms!I2577),(VLOOKUP(Values!$S$6,Castes!$B$2:$F$25,4,0)=Charms!I2577))</f>
        <v>#N/A</v>
      </c>
      <c r="J2577" t="e">
        <f t="shared" ca="1" si="201"/>
        <v>#N/A</v>
      </c>
      <c r="K2577" s="18" t="e">
        <f t="shared" ca="1" si="200"/>
        <v>#N/A</v>
      </c>
      <c r="L2577" t="e">
        <f ca="1">IF(J2577,Charms!B2577,"")</f>
        <v>#N/A</v>
      </c>
      <c r="M2577" t="str">
        <f t="shared" ca="1" si="202"/>
        <v>-</v>
      </c>
      <c r="N2577" s="18" t="str">
        <f t="shared" si="203"/>
        <v>K1622:L5000</v>
      </c>
      <c r="O2577" t="str">
        <f t="shared" si="204"/>
        <v>A1622:A2577</v>
      </c>
    </row>
    <row r="2578" spans="1:15">
      <c r="A2578" s="18">
        <f>Charms!K2578</f>
        <v>0</v>
      </c>
      <c r="B2578">
        <f>Charms!B2578</f>
        <v>0</v>
      </c>
      <c r="C2578" t="b">
        <f ca="1">OR(Values!$S$98&gt;=Charms!M2578,IFERROR(Charms!J2578=OFFSET(Values!$A$24,MATCH("S",Values!$T$25:$T$50,0),0),FALSE))</f>
        <v>1</v>
      </c>
      <c r="D2578" t="e">
        <f>VLOOKUP(Charms!J2578,Values!$A$11:$S$59,19,0)&gt;=Charms!L2578</f>
        <v>#N/A</v>
      </c>
      <c r="E2578" t="e">
        <f>OR(ISBLANK(Charms!I2578),(VLOOKUP(Values!$S$6,Castes!$B$2:$F$25,4,0)=Charms!I2578))</f>
        <v>#N/A</v>
      </c>
      <c r="J2578" t="e">
        <f t="shared" ca="1" si="201"/>
        <v>#N/A</v>
      </c>
      <c r="K2578" s="18" t="e">
        <f t="shared" ca="1" si="200"/>
        <v>#N/A</v>
      </c>
      <c r="L2578" t="e">
        <f ca="1">IF(J2578,Charms!B2578,"")</f>
        <v>#N/A</v>
      </c>
      <c r="M2578" t="str">
        <f t="shared" ca="1" si="202"/>
        <v>-</v>
      </c>
      <c r="N2578" s="18" t="str">
        <f t="shared" si="203"/>
        <v>K1622:L5000</v>
      </c>
      <c r="O2578" t="str">
        <f t="shared" si="204"/>
        <v>A1622:A2578</v>
      </c>
    </row>
    <row r="2579" spans="1:15">
      <c r="A2579" s="18">
        <f>Charms!K2579</f>
        <v>0</v>
      </c>
      <c r="B2579">
        <f>Charms!B2579</f>
        <v>0</v>
      </c>
      <c r="C2579" t="b">
        <f ca="1">OR(Values!$S$98&gt;=Charms!M2579,IFERROR(Charms!J2579=OFFSET(Values!$A$24,MATCH("S",Values!$T$25:$T$50,0),0),FALSE))</f>
        <v>1</v>
      </c>
      <c r="D2579" t="e">
        <f>VLOOKUP(Charms!J2579,Values!$A$11:$S$59,19,0)&gt;=Charms!L2579</f>
        <v>#N/A</v>
      </c>
      <c r="E2579" t="e">
        <f>OR(ISBLANK(Charms!I2579),(VLOOKUP(Values!$S$6,Castes!$B$2:$F$25,4,0)=Charms!I2579))</f>
        <v>#N/A</v>
      </c>
      <c r="J2579" t="e">
        <f t="shared" ca="1" si="201"/>
        <v>#N/A</v>
      </c>
      <c r="K2579" s="18" t="e">
        <f t="shared" ca="1" si="200"/>
        <v>#N/A</v>
      </c>
      <c r="L2579" t="e">
        <f ca="1">IF(J2579,Charms!B2579,"")</f>
        <v>#N/A</v>
      </c>
      <c r="M2579" t="str">
        <f t="shared" ca="1" si="202"/>
        <v>-</v>
      </c>
      <c r="N2579" s="18" t="str">
        <f t="shared" si="203"/>
        <v>K1622:L5000</v>
      </c>
      <c r="O2579" t="str">
        <f t="shared" si="204"/>
        <v>A1622:A2579</v>
      </c>
    </row>
    <row r="2580" spans="1:15">
      <c r="A2580" s="18">
        <f>Charms!K2580</f>
        <v>0</v>
      </c>
      <c r="B2580">
        <f>Charms!B2580</f>
        <v>0</v>
      </c>
      <c r="C2580" t="b">
        <f ca="1">OR(Values!$S$98&gt;=Charms!M2580,IFERROR(Charms!J2580=OFFSET(Values!$A$24,MATCH("S",Values!$T$25:$T$50,0),0),FALSE))</f>
        <v>1</v>
      </c>
      <c r="D2580" t="e">
        <f>VLOOKUP(Charms!J2580,Values!$A$11:$S$59,19,0)&gt;=Charms!L2580</f>
        <v>#N/A</v>
      </c>
      <c r="E2580" t="e">
        <f>OR(ISBLANK(Charms!I2580),(VLOOKUP(Values!$S$6,Castes!$B$2:$F$25,4,0)=Charms!I2580))</f>
        <v>#N/A</v>
      </c>
      <c r="J2580" t="e">
        <f t="shared" ca="1" si="201"/>
        <v>#N/A</v>
      </c>
      <c r="K2580" s="18" t="e">
        <f t="shared" ca="1" si="200"/>
        <v>#N/A</v>
      </c>
      <c r="L2580" t="e">
        <f ca="1">IF(J2580,Charms!B2580,"")</f>
        <v>#N/A</v>
      </c>
      <c r="M2580" t="str">
        <f t="shared" ca="1" si="202"/>
        <v>-</v>
      </c>
      <c r="N2580" s="18" t="str">
        <f t="shared" si="203"/>
        <v>K1622:L5000</v>
      </c>
      <c r="O2580" t="str">
        <f t="shared" si="204"/>
        <v>A1622:A2580</v>
      </c>
    </row>
    <row r="2581" spans="1:15">
      <c r="A2581" s="18">
        <f>Charms!K2581</f>
        <v>0</v>
      </c>
      <c r="B2581">
        <f>Charms!B2581</f>
        <v>0</v>
      </c>
      <c r="C2581" t="b">
        <f ca="1">OR(Values!$S$98&gt;=Charms!M2581,IFERROR(Charms!J2581=OFFSET(Values!$A$24,MATCH("S",Values!$T$25:$T$50,0),0),FALSE))</f>
        <v>1</v>
      </c>
      <c r="D2581" t="e">
        <f>VLOOKUP(Charms!J2581,Values!$A$11:$S$59,19,0)&gt;=Charms!L2581</f>
        <v>#N/A</v>
      </c>
      <c r="E2581" t="e">
        <f>OR(ISBLANK(Charms!I2581),(VLOOKUP(Values!$S$6,Castes!$B$2:$F$25,4,0)=Charms!I2581))</f>
        <v>#N/A</v>
      </c>
      <c r="J2581" t="e">
        <f t="shared" ca="1" si="201"/>
        <v>#N/A</v>
      </c>
      <c r="K2581" s="18" t="e">
        <f t="shared" ca="1" si="200"/>
        <v>#N/A</v>
      </c>
      <c r="L2581" t="e">
        <f ca="1">IF(J2581,Charms!B2581,"")</f>
        <v>#N/A</v>
      </c>
      <c r="M2581" t="str">
        <f t="shared" ca="1" si="202"/>
        <v>-</v>
      </c>
      <c r="N2581" s="18" t="str">
        <f t="shared" si="203"/>
        <v>K1622:L5000</v>
      </c>
      <c r="O2581" t="str">
        <f t="shared" si="204"/>
        <v>A1622:A2581</v>
      </c>
    </row>
    <row r="2582" spans="1:15">
      <c r="A2582" s="18">
        <f>Charms!K2582</f>
        <v>0</v>
      </c>
      <c r="B2582">
        <f>Charms!B2582</f>
        <v>0</v>
      </c>
      <c r="C2582" t="b">
        <f ca="1">OR(Values!$S$98&gt;=Charms!M2582,IFERROR(Charms!J2582=OFFSET(Values!$A$24,MATCH("S",Values!$T$25:$T$50,0),0),FALSE))</f>
        <v>1</v>
      </c>
      <c r="D2582" t="e">
        <f>VLOOKUP(Charms!J2582,Values!$A$11:$S$59,19,0)&gt;=Charms!L2582</f>
        <v>#N/A</v>
      </c>
      <c r="E2582" t="e">
        <f>OR(ISBLANK(Charms!I2582),(VLOOKUP(Values!$S$6,Castes!$B$2:$F$25,4,0)=Charms!I2582))</f>
        <v>#N/A</v>
      </c>
      <c r="J2582" t="e">
        <f t="shared" ca="1" si="201"/>
        <v>#N/A</v>
      </c>
      <c r="K2582" s="18" t="e">
        <f t="shared" ca="1" si="200"/>
        <v>#N/A</v>
      </c>
      <c r="L2582" t="e">
        <f ca="1">IF(J2582,Charms!B2582,"")</f>
        <v>#N/A</v>
      </c>
      <c r="M2582" t="str">
        <f t="shared" ca="1" si="202"/>
        <v>-</v>
      </c>
      <c r="N2582" s="18" t="str">
        <f t="shared" si="203"/>
        <v>K1622:L5000</v>
      </c>
      <c r="O2582" t="str">
        <f t="shared" si="204"/>
        <v>A1622:A2582</v>
      </c>
    </row>
    <row r="2583" spans="1:15">
      <c r="A2583" s="18">
        <f>Charms!K2583</f>
        <v>0</v>
      </c>
      <c r="B2583">
        <f>Charms!B2583</f>
        <v>0</v>
      </c>
      <c r="C2583" t="b">
        <f ca="1">OR(Values!$S$98&gt;=Charms!M2583,IFERROR(Charms!J2583=OFFSET(Values!$A$24,MATCH("S",Values!$T$25:$T$50,0),0),FALSE))</f>
        <v>1</v>
      </c>
      <c r="D2583" t="e">
        <f>VLOOKUP(Charms!J2583,Values!$A$11:$S$59,19,0)&gt;=Charms!L2583</f>
        <v>#N/A</v>
      </c>
      <c r="E2583" t="e">
        <f>OR(ISBLANK(Charms!I2583),(VLOOKUP(Values!$S$6,Castes!$B$2:$F$25,4,0)=Charms!I2583))</f>
        <v>#N/A</v>
      </c>
      <c r="J2583" t="e">
        <f t="shared" ca="1" si="201"/>
        <v>#N/A</v>
      </c>
      <c r="K2583" s="18" t="e">
        <f t="shared" ca="1" si="200"/>
        <v>#N/A</v>
      </c>
      <c r="L2583" t="e">
        <f ca="1">IF(J2583,Charms!B2583,"")</f>
        <v>#N/A</v>
      </c>
      <c r="M2583" t="str">
        <f t="shared" ca="1" si="202"/>
        <v>-</v>
      </c>
      <c r="N2583" s="18" t="str">
        <f t="shared" si="203"/>
        <v>K1622:L5000</v>
      </c>
      <c r="O2583" t="str">
        <f t="shared" si="204"/>
        <v>A1622:A2583</v>
      </c>
    </row>
    <row r="2584" spans="1:15">
      <c r="A2584" s="18">
        <f>Charms!K2584</f>
        <v>0</v>
      </c>
      <c r="B2584">
        <f>Charms!B2584</f>
        <v>0</v>
      </c>
      <c r="C2584" t="b">
        <f ca="1">OR(Values!$S$98&gt;=Charms!M2584,IFERROR(Charms!J2584=OFFSET(Values!$A$24,MATCH("S",Values!$T$25:$T$50,0),0),FALSE))</f>
        <v>1</v>
      </c>
      <c r="D2584" t="e">
        <f>VLOOKUP(Charms!J2584,Values!$A$11:$S$59,19,0)&gt;=Charms!L2584</f>
        <v>#N/A</v>
      </c>
      <c r="E2584" t="e">
        <f>OR(ISBLANK(Charms!I2584),(VLOOKUP(Values!$S$6,Castes!$B$2:$F$25,4,0)=Charms!I2584))</f>
        <v>#N/A</v>
      </c>
      <c r="J2584" t="e">
        <f t="shared" ca="1" si="201"/>
        <v>#N/A</v>
      </c>
      <c r="K2584" s="18" t="e">
        <f t="shared" ca="1" si="200"/>
        <v>#N/A</v>
      </c>
      <c r="L2584" t="e">
        <f ca="1">IF(J2584,Charms!B2584,"")</f>
        <v>#N/A</v>
      </c>
      <c r="M2584" t="str">
        <f t="shared" ca="1" si="202"/>
        <v>-</v>
      </c>
      <c r="N2584" s="18" t="str">
        <f t="shared" si="203"/>
        <v>K1622:L5000</v>
      </c>
      <c r="O2584" t="str">
        <f t="shared" si="204"/>
        <v>A1622:A2584</v>
      </c>
    </row>
    <row r="2585" spans="1:15">
      <c r="A2585" s="18">
        <f>Charms!K2585</f>
        <v>0</v>
      </c>
      <c r="B2585">
        <f>Charms!B2585</f>
        <v>0</v>
      </c>
      <c r="C2585" t="b">
        <f ca="1">OR(Values!$S$98&gt;=Charms!M2585,IFERROR(Charms!J2585=OFFSET(Values!$A$24,MATCH("S",Values!$T$25:$T$50,0),0),FALSE))</f>
        <v>1</v>
      </c>
      <c r="D2585" t="e">
        <f>VLOOKUP(Charms!J2585,Values!$A$11:$S$59,19,0)&gt;=Charms!L2585</f>
        <v>#N/A</v>
      </c>
      <c r="E2585" t="e">
        <f>OR(ISBLANK(Charms!I2585),(VLOOKUP(Values!$S$6,Castes!$B$2:$F$25,4,0)=Charms!I2585))</f>
        <v>#N/A</v>
      </c>
      <c r="J2585" t="e">
        <f t="shared" ca="1" si="201"/>
        <v>#N/A</v>
      </c>
      <c r="K2585" s="18" t="e">
        <f t="shared" ca="1" si="200"/>
        <v>#N/A</v>
      </c>
      <c r="L2585" t="e">
        <f ca="1">IF(J2585,Charms!B2585,"")</f>
        <v>#N/A</v>
      </c>
      <c r="M2585" t="str">
        <f t="shared" ca="1" si="202"/>
        <v>-</v>
      </c>
      <c r="N2585" s="18" t="str">
        <f t="shared" si="203"/>
        <v>K1622:L5000</v>
      </c>
      <c r="O2585" t="str">
        <f t="shared" si="204"/>
        <v>A1622:A2585</v>
      </c>
    </row>
    <row r="2586" spans="1:15">
      <c r="A2586" s="18">
        <f>Charms!K2586</f>
        <v>0</v>
      </c>
      <c r="B2586">
        <f>Charms!B2586</f>
        <v>0</v>
      </c>
      <c r="C2586" t="b">
        <f ca="1">OR(Values!$S$98&gt;=Charms!M2586,IFERROR(Charms!J2586=OFFSET(Values!$A$24,MATCH("S",Values!$T$25:$T$50,0),0),FALSE))</f>
        <v>1</v>
      </c>
      <c r="D2586" t="e">
        <f>VLOOKUP(Charms!J2586,Values!$A$11:$S$59,19,0)&gt;=Charms!L2586</f>
        <v>#N/A</v>
      </c>
      <c r="E2586" t="e">
        <f>OR(ISBLANK(Charms!I2586),(VLOOKUP(Values!$S$6,Castes!$B$2:$F$25,4,0)=Charms!I2586))</f>
        <v>#N/A</v>
      </c>
      <c r="J2586" t="e">
        <f t="shared" ca="1" si="201"/>
        <v>#N/A</v>
      </c>
      <c r="K2586" s="18" t="e">
        <f t="shared" ca="1" si="200"/>
        <v>#N/A</v>
      </c>
      <c r="L2586" t="e">
        <f ca="1">IF(J2586,Charms!B2586,"")</f>
        <v>#N/A</v>
      </c>
      <c r="M2586" t="str">
        <f t="shared" ca="1" si="202"/>
        <v>-</v>
      </c>
      <c r="N2586" s="18" t="str">
        <f t="shared" si="203"/>
        <v>K1622:L5000</v>
      </c>
      <c r="O2586" t="str">
        <f t="shared" si="204"/>
        <v>A1622:A2586</v>
      </c>
    </row>
    <row r="2587" spans="1:15">
      <c r="A2587" s="18">
        <f>Charms!K2587</f>
        <v>0</v>
      </c>
      <c r="B2587">
        <f>Charms!B2587</f>
        <v>0</v>
      </c>
      <c r="C2587" t="b">
        <f ca="1">OR(Values!$S$98&gt;=Charms!M2587,IFERROR(Charms!J2587=OFFSET(Values!$A$24,MATCH("S",Values!$T$25:$T$50,0),0),FALSE))</f>
        <v>1</v>
      </c>
      <c r="D2587" t="e">
        <f>VLOOKUP(Charms!J2587,Values!$A$11:$S$59,19,0)&gt;=Charms!L2587</f>
        <v>#N/A</v>
      </c>
      <c r="E2587" t="e">
        <f>OR(ISBLANK(Charms!I2587),(VLOOKUP(Values!$S$6,Castes!$B$2:$F$25,4,0)=Charms!I2587))</f>
        <v>#N/A</v>
      </c>
      <c r="J2587" t="e">
        <f t="shared" ca="1" si="201"/>
        <v>#N/A</v>
      </c>
      <c r="K2587" s="18" t="e">
        <f t="shared" ca="1" si="200"/>
        <v>#N/A</v>
      </c>
      <c r="L2587" t="e">
        <f ca="1">IF(J2587,Charms!B2587,"")</f>
        <v>#N/A</v>
      </c>
      <c r="M2587" t="str">
        <f t="shared" ca="1" si="202"/>
        <v>-</v>
      </c>
      <c r="N2587" s="18" t="str">
        <f t="shared" si="203"/>
        <v>K1622:L5000</v>
      </c>
      <c r="O2587" t="str">
        <f t="shared" si="204"/>
        <v>A1622:A2587</v>
      </c>
    </row>
    <row r="2588" spans="1:15">
      <c r="A2588" s="18">
        <f>Charms!K2588</f>
        <v>0</v>
      </c>
      <c r="B2588">
        <f>Charms!B2588</f>
        <v>0</v>
      </c>
      <c r="C2588" t="b">
        <f ca="1">OR(Values!$S$98&gt;=Charms!M2588,IFERROR(Charms!J2588=OFFSET(Values!$A$24,MATCH("S",Values!$T$25:$T$50,0),0),FALSE))</f>
        <v>1</v>
      </c>
      <c r="D2588" t="e">
        <f>VLOOKUP(Charms!J2588,Values!$A$11:$S$59,19,0)&gt;=Charms!L2588</f>
        <v>#N/A</v>
      </c>
      <c r="E2588" t="e">
        <f>OR(ISBLANK(Charms!I2588),(VLOOKUP(Values!$S$6,Castes!$B$2:$F$25,4,0)=Charms!I2588))</f>
        <v>#N/A</v>
      </c>
      <c r="J2588" t="e">
        <f t="shared" ca="1" si="201"/>
        <v>#N/A</v>
      </c>
      <c r="K2588" s="18" t="e">
        <f t="shared" ca="1" si="200"/>
        <v>#N/A</v>
      </c>
      <c r="L2588" t="e">
        <f ca="1">IF(J2588,Charms!B2588,"")</f>
        <v>#N/A</v>
      </c>
      <c r="M2588" t="str">
        <f t="shared" ca="1" si="202"/>
        <v>-</v>
      </c>
      <c r="N2588" s="18" t="str">
        <f t="shared" si="203"/>
        <v>K1622:L5000</v>
      </c>
      <c r="O2588" t="str">
        <f t="shared" si="204"/>
        <v>A1622:A2588</v>
      </c>
    </row>
    <row r="2589" spans="1:15">
      <c r="A2589" s="18">
        <f>Charms!K2589</f>
        <v>0</v>
      </c>
      <c r="B2589">
        <f>Charms!B2589</f>
        <v>0</v>
      </c>
      <c r="C2589" t="b">
        <f ca="1">OR(Values!$S$98&gt;=Charms!M2589,IFERROR(Charms!J2589=OFFSET(Values!$A$24,MATCH("S",Values!$T$25:$T$50,0),0),FALSE))</f>
        <v>1</v>
      </c>
      <c r="D2589" t="e">
        <f>VLOOKUP(Charms!J2589,Values!$A$11:$S$59,19,0)&gt;=Charms!L2589</f>
        <v>#N/A</v>
      </c>
      <c r="E2589" t="e">
        <f>OR(ISBLANK(Charms!I2589),(VLOOKUP(Values!$S$6,Castes!$B$2:$F$25,4,0)=Charms!I2589))</f>
        <v>#N/A</v>
      </c>
      <c r="J2589" t="e">
        <f t="shared" ca="1" si="201"/>
        <v>#N/A</v>
      </c>
      <c r="K2589" s="18" t="e">
        <f t="shared" ca="1" si="200"/>
        <v>#N/A</v>
      </c>
      <c r="L2589" t="e">
        <f ca="1">IF(J2589,Charms!B2589,"")</f>
        <v>#N/A</v>
      </c>
      <c r="M2589" t="str">
        <f t="shared" ca="1" si="202"/>
        <v>-</v>
      </c>
      <c r="N2589" s="18" t="str">
        <f t="shared" si="203"/>
        <v>K1622:L5000</v>
      </c>
      <c r="O2589" t="str">
        <f t="shared" si="204"/>
        <v>A1622:A2589</v>
      </c>
    </row>
    <row r="2590" spans="1:15">
      <c r="A2590" s="18">
        <f>Charms!K2590</f>
        <v>0</v>
      </c>
      <c r="B2590">
        <f>Charms!B2590</f>
        <v>0</v>
      </c>
      <c r="C2590" t="b">
        <f ca="1">OR(Values!$S$98&gt;=Charms!M2590,IFERROR(Charms!J2590=OFFSET(Values!$A$24,MATCH("S",Values!$T$25:$T$50,0),0),FALSE))</f>
        <v>1</v>
      </c>
      <c r="D2590" t="e">
        <f>VLOOKUP(Charms!J2590,Values!$A$11:$S$59,19,0)&gt;=Charms!L2590</f>
        <v>#N/A</v>
      </c>
      <c r="E2590" t="e">
        <f>OR(ISBLANK(Charms!I2590),(VLOOKUP(Values!$S$6,Castes!$B$2:$F$25,4,0)=Charms!I2590))</f>
        <v>#N/A</v>
      </c>
      <c r="J2590" t="e">
        <f t="shared" ca="1" si="201"/>
        <v>#N/A</v>
      </c>
      <c r="K2590" s="18" t="e">
        <f t="shared" ca="1" si="200"/>
        <v>#N/A</v>
      </c>
      <c r="L2590" t="e">
        <f ca="1">IF(J2590,Charms!B2590,"")</f>
        <v>#N/A</v>
      </c>
      <c r="M2590" t="str">
        <f t="shared" ca="1" si="202"/>
        <v>-</v>
      </c>
      <c r="N2590" s="18" t="str">
        <f t="shared" si="203"/>
        <v>K1622:L5000</v>
      </c>
      <c r="O2590" t="str">
        <f t="shared" si="204"/>
        <v>A1622:A2590</v>
      </c>
    </row>
    <row r="2591" spans="1:15">
      <c r="A2591" s="18">
        <f>Charms!K2591</f>
        <v>0</v>
      </c>
      <c r="B2591">
        <f>Charms!B2591</f>
        <v>0</v>
      </c>
      <c r="C2591" t="b">
        <f ca="1">OR(Values!$S$98&gt;=Charms!M2591,IFERROR(Charms!J2591=OFFSET(Values!$A$24,MATCH("S",Values!$T$25:$T$50,0),0),FALSE))</f>
        <v>1</v>
      </c>
      <c r="D2591" t="e">
        <f>VLOOKUP(Charms!J2591,Values!$A$11:$S$59,19,0)&gt;=Charms!L2591</f>
        <v>#N/A</v>
      </c>
      <c r="E2591" t="e">
        <f>OR(ISBLANK(Charms!I2591),(VLOOKUP(Values!$S$6,Castes!$B$2:$F$25,4,0)=Charms!I2591))</f>
        <v>#N/A</v>
      </c>
      <c r="J2591" t="e">
        <f t="shared" ca="1" si="201"/>
        <v>#N/A</v>
      </c>
      <c r="K2591" s="18" t="e">
        <f t="shared" ca="1" si="200"/>
        <v>#N/A</v>
      </c>
      <c r="L2591" t="e">
        <f ca="1">IF(J2591,Charms!B2591,"")</f>
        <v>#N/A</v>
      </c>
      <c r="M2591" t="str">
        <f t="shared" ca="1" si="202"/>
        <v>-</v>
      </c>
      <c r="N2591" s="18" t="str">
        <f t="shared" si="203"/>
        <v>K1622:L5000</v>
      </c>
      <c r="O2591" t="str">
        <f t="shared" si="204"/>
        <v>A1622:A2591</v>
      </c>
    </row>
    <row r="2592" spans="1:15">
      <c r="A2592" s="18">
        <f>Charms!K2592</f>
        <v>0</v>
      </c>
      <c r="B2592">
        <f>Charms!B2592</f>
        <v>0</v>
      </c>
      <c r="C2592" t="b">
        <f ca="1">OR(Values!$S$98&gt;=Charms!M2592,IFERROR(Charms!J2592=OFFSET(Values!$A$24,MATCH("S",Values!$T$25:$T$50,0),0),FALSE))</f>
        <v>1</v>
      </c>
      <c r="D2592" t="e">
        <f>VLOOKUP(Charms!J2592,Values!$A$11:$S$59,19,0)&gt;=Charms!L2592</f>
        <v>#N/A</v>
      </c>
      <c r="E2592" t="e">
        <f>OR(ISBLANK(Charms!I2592),(VLOOKUP(Values!$S$6,Castes!$B$2:$F$25,4,0)=Charms!I2592))</f>
        <v>#N/A</v>
      </c>
      <c r="J2592" t="e">
        <f t="shared" ca="1" si="201"/>
        <v>#N/A</v>
      </c>
      <c r="K2592" s="18" t="e">
        <f t="shared" ca="1" si="200"/>
        <v>#N/A</v>
      </c>
      <c r="L2592" t="e">
        <f ca="1">IF(J2592,Charms!B2592,"")</f>
        <v>#N/A</v>
      </c>
      <c r="M2592" t="str">
        <f t="shared" ca="1" si="202"/>
        <v>-</v>
      </c>
      <c r="N2592" s="18" t="str">
        <f t="shared" si="203"/>
        <v>K1622:L5000</v>
      </c>
      <c r="O2592" t="str">
        <f t="shared" si="204"/>
        <v>A1622:A2592</v>
      </c>
    </row>
    <row r="2593" spans="1:15">
      <c r="A2593" s="18">
        <f>Charms!K2593</f>
        <v>0</v>
      </c>
      <c r="B2593">
        <f>Charms!B2593</f>
        <v>0</v>
      </c>
      <c r="C2593" t="b">
        <f ca="1">OR(Values!$S$98&gt;=Charms!M2593,IFERROR(Charms!J2593=OFFSET(Values!$A$24,MATCH("S",Values!$T$25:$T$50,0),0),FALSE))</f>
        <v>1</v>
      </c>
      <c r="D2593" t="e">
        <f>VLOOKUP(Charms!J2593,Values!$A$11:$S$59,19,0)&gt;=Charms!L2593</f>
        <v>#N/A</v>
      </c>
      <c r="E2593" t="e">
        <f>OR(ISBLANK(Charms!I2593),(VLOOKUP(Values!$S$6,Castes!$B$2:$F$25,4,0)=Charms!I2593))</f>
        <v>#N/A</v>
      </c>
      <c r="J2593" t="e">
        <f t="shared" ca="1" si="201"/>
        <v>#N/A</v>
      </c>
      <c r="K2593" s="18" t="e">
        <f t="shared" ca="1" si="200"/>
        <v>#N/A</v>
      </c>
      <c r="L2593" t="e">
        <f ca="1">IF(J2593,Charms!B2593,"")</f>
        <v>#N/A</v>
      </c>
      <c r="M2593" t="str">
        <f t="shared" ca="1" si="202"/>
        <v>-</v>
      </c>
      <c r="N2593" s="18" t="str">
        <f t="shared" si="203"/>
        <v>K1622:L5000</v>
      </c>
      <c r="O2593" t="str">
        <f t="shared" si="204"/>
        <v>A1622:A2593</v>
      </c>
    </row>
    <row r="2594" spans="1:15">
      <c r="A2594" s="18">
        <f>Charms!K2594</f>
        <v>0</v>
      </c>
      <c r="B2594">
        <f>Charms!B2594</f>
        <v>0</v>
      </c>
      <c r="C2594" t="b">
        <f ca="1">OR(Values!$S$98&gt;=Charms!M2594,IFERROR(Charms!J2594=OFFSET(Values!$A$24,MATCH("S",Values!$T$25:$T$50,0),0),FALSE))</f>
        <v>1</v>
      </c>
      <c r="D2594" t="e">
        <f>VLOOKUP(Charms!J2594,Values!$A$11:$S$59,19,0)&gt;=Charms!L2594</f>
        <v>#N/A</v>
      </c>
      <c r="E2594" t="e">
        <f>OR(ISBLANK(Charms!I2594),(VLOOKUP(Values!$S$6,Castes!$B$2:$F$25,4,0)=Charms!I2594))</f>
        <v>#N/A</v>
      </c>
      <c r="J2594" t="e">
        <f t="shared" ca="1" si="201"/>
        <v>#N/A</v>
      </c>
      <c r="K2594" s="18" t="e">
        <f t="shared" ca="1" si="200"/>
        <v>#N/A</v>
      </c>
      <c r="L2594" t="e">
        <f ca="1">IF(J2594,Charms!B2594,"")</f>
        <v>#N/A</v>
      </c>
      <c r="M2594" t="str">
        <f t="shared" ca="1" si="202"/>
        <v>-</v>
      </c>
      <c r="N2594" s="18" t="str">
        <f t="shared" si="203"/>
        <v>K1622:L5000</v>
      </c>
      <c r="O2594" t="str">
        <f t="shared" si="204"/>
        <v>A1622:A2594</v>
      </c>
    </row>
    <row r="2595" spans="1:15">
      <c r="A2595" s="18">
        <f>Charms!K2595</f>
        <v>0</v>
      </c>
      <c r="B2595">
        <f>Charms!B2595</f>
        <v>0</v>
      </c>
      <c r="C2595" t="b">
        <f ca="1">OR(Values!$S$98&gt;=Charms!M2595,IFERROR(Charms!J2595=OFFSET(Values!$A$24,MATCH("S",Values!$T$25:$T$50,0),0),FALSE))</f>
        <v>1</v>
      </c>
      <c r="D2595" t="e">
        <f>VLOOKUP(Charms!J2595,Values!$A$11:$S$59,19,0)&gt;=Charms!L2595</f>
        <v>#N/A</v>
      </c>
      <c r="E2595" t="e">
        <f>OR(ISBLANK(Charms!I2595),(VLOOKUP(Values!$S$6,Castes!$B$2:$F$25,4,0)=Charms!I2595))</f>
        <v>#N/A</v>
      </c>
      <c r="J2595" t="e">
        <f t="shared" ca="1" si="201"/>
        <v>#N/A</v>
      </c>
      <c r="K2595" s="18" t="e">
        <f t="shared" ca="1" si="200"/>
        <v>#N/A</v>
      </c>
      <c r="L2595" t="e">
        <f ca="1">IF(J2595,Charms!B2595,"")</f>
        <v>#N/A</v>
      </c>
      <c r="M2595" t="str">
        <f t="shared" ca="1" si="202"/>
        <v>-</v>
      </c>
      <c r="N2595" s="18" t="str">
        <f t="shared" si="203"/>
        <v>K1622:L5000</v>
      </c>
      <c r="O2595" t="str">
        <f t="shared" si="204"/>
        <v>A1622:A2595</v>
      </c>
    </row>
    <row r="2596" spans="1:15">
      <c r="A2596" s="18">
        <f>Charms!K2596</f>
        <v>0</v>
      </c>
      <c r="B2596">
        <f>Charms!B2596</f>
        <v>0</v>
      </c>
      <c r="C2596" t="b">
        <f ca="1">OR(Values!$S$98&gt;=Charms!M2596,IFERROR(Charms!J2596=OFFSET(Values!$A$24,MATCH("S",Values!$T$25:$T$50,0),0),FALSE))</f>
        <v>1</v>
      </c>
      <c r="D2596" t="e">
        <f>VLOOKUP(Charms!J2596,Values!$A$11:$S$59,19,0)&gt;=Charms!L2596</f>
        <v>#N/A</v>
      </c>
      <c r="E2596" t="e">
        <f>OR(ISBLANK(Charms!I2596),(VLOOKUP(Values!$S$6,Castes!$B$2:$F$25,4,0)=Charms!I2596))</f>
        <v>#N/A</v>
      </c>
      <c r="J2596" t="e">
        <f t="shared" ca="1" si="201"/>
        <v>#N/A</v>
      </c>
      <c r="K2596" s="18" t="e">
        <f t="shared" ca="1" si="200"/>
        <v>#N/A</v>
      </c>
      <c r="L2596" t="e">
        <f ca="1">IF(J2596,Charms!B2596,"")</f>
        <v>#N/A</v>
      </c>
      <c r="M2596" t="str">
        <f t="shared" ca="1" si="202"/>
        <v>-</v>
      </c>
      <c r="N2596" s="18" t="str">
        <f t="shared" si="203"/>
        <v>K1622:L5000</v>
      </c>
      <c r="O2596" t="str">
        <f t="shared" si="204"/>
        <v>A1622:A2596</v>
      </c>
    </row>
    <row r="2597" spans="1:15">
      <c r="A2597" s="18">
        <f>Charms!K2597</f>
        <v>0</v>
      </c>
      <c r="B2597">
        <f>Charms!B2597</f>
        <v>0</v>
      </c>
      <c r="C2597" t="b">
        <f ca="1">OR(Values!$S$98&gt;=Charms!M2597,IFERROR(Charms!J2597=OFFSET(Values!$A$24,MATCH("S",Values!$T$25:$T$50,0),0),FALSE))</f>
        <v>1</v>
      </c>
      <c r="D2597" t="e">
        <f>VLOOKUP(Charms!J2597,Values!$A$11:$S$59,19,0)&gt;=Charms!L2597</f>
        <v>#N/A</v>
      </c>
      <c r="E2597" t="e">
        <f>OR(ISBLANK(Charms!I2597),(VLOOKUP(Values!$S$6,Castes!$B$2:$F$25,4,0)=Charms!I2597))</f>
        <v>#N/A</v>
      </c>
      <c r="J2597" t="e">
        <f t="shared" ca="1" si="201"/>
        <v>#N/A</v>
      </c>
      <c r="K2597" s="18" t="e">
        <f t="shared" ca="1" si="200"/>
        <v>#N/A</v>
      </c>
      <c r="L2597" t="e">
        <f ca="1">IF(J2597,Charms!B2597,"")</f>
        <v>#N/A</v>
      </c>
      <c r="M2597" t="str">
        <f t="shared" ca="1" si="202"/>
        <v>-</v>
      </c>
      <c r="N2597" s="18" t="str">
        <f t="shared" si="203"/>
        <v>K1622:L5000</v>
      </c>
      <c r="O2597" t="str">
        <f t="shared" si="204"/>
        <v>A1622:A2597</v>
      </c>
    </row>
    <row r="2598" spans="1:15">
      <c r="A2598" s="18">
        <f>Charms!K2598</f>
        <v>0</v>
      </c>
      <c r="B2598">
        <f>Charms!B2598</f>
        <v>0</v>
      </c>
      <c r="C2598" t="b">
        <f ca="1">OR(Values!$S$98&gt;=Charms!M2598,IFERROR(Charms!J2598=OFFSET(Values!$A$24,MATCH("S",Values!$T$25:$T$50,0),0),FALSE))</f>
        <v>1</v>
      </c>
      <c r="D2598" t="e">
        <f>VLOOKUP(Charms!J2598,Values!$A$11:$S$59,19,0)&gt;=Charms!L2598</f>
        <v>#N/A</v>
      </c>
      <c r="E2598" t="e">
        <f>OR(ISBLANK(Charms!I2598),(VLOOKUP(Values!$S$6,Castes!$B$2:$F$25,4,0)=Charms!I2598))</f>
        <v>#N/A</v>
      </c>
      <c r="J2598" t="e">
        <f t="shared" ca="1" si="201"/>
        <v>#N/A</v>
      </c>
      <c r="K2598" s="18" t="e">
        <f t="shared" ca="1" si="200"/>
        <v>#N/A</v>
      </c>
      <c r="L2598" t="e">
        <f ca="1">IF(J2598,Charms!B2598,"")</f>
        <v>#N/A</v>
      </c>
      <c r="M2598" t="str">
        <f t="shared" ca="1" si="202"/>
        <v>-</v>
      </c>
      <c r="N2598" s="18" t="str">
        <f t="shared" si="203"/>
        <v>K1622:L5000</v>
      </c>
      <c r="O2598" t="str">
        <f t="shared" si="204"/>
        <v>A1622:A2598</v>
      </c>
    </row>
    <row r="2599" spans="1:15">
      <c r="A2599" s="18">
        <f>Charms!K2599</f>
        <v>0</v>
      </c>
      <c r="B2599">
        <f>Charms!B2599</f>
        <v>0</v>
      </c>
      <c r="C2599" t="b">
        <f ca="1">OR(Values!$S$98&gt;=Charms!M2599,IFERROR(Charms!J2599=OFFSET(Values!$A$24,MATCH("S",Values!$T$25:$T$50,0),0),FALSE))</f>
        <v>1</v>
      </c>
      <c r="D2599" t="e">
        <f>VLOOKUP(Charms!J2599,Values!$A$11:$S$59,19,0)&gt;=Charms!L2599</f>
        <v>#N/A</v>
      </c>
      <c r="E2599" t="e">
        <f>OR(ISBLANK(Charms!I2599),(VLOOKUP(Values!$S$6,Castes!$B$2:$F$25,4,0)=Charms!I2599))</f>
        <v>#N/A</v>
      </c>
      <c r="J2599" t="e">
        <f t="shared" ca="1" si="201"/>
        <v>#N/A</v>
      </c>
      <c r="K2599" s="18" t="e">
        <f t="shared" ca="1" si="200"/>
        <v>#N/A</v>
      </c>
      <c r="L2599" t="e">
        <f ca="1">IF(J2599,Charms!B2599,"")</f>
        <v>#N/A</v>
      </c>
      <c r="M2599" t="str">
        <f t="shared" ca="1" si="202"/>
        <v>-</v>
      </c>
      <c r="N2599" s="18" t="str">
        <f t="shared" si="203"/>
        <v>K1622:L5000</v>
      </c>
      <c r="O2599" t="str">
        <f t="shared" si="204"/>
        <v>A1622:A2599</v>
      </c>
    </row>
    <row r="2600" spans="1:15">
      <c r="A2600" s="18">
        <f>Charms!K2600</f>
        <v>0</v>
      </c>
      <c r="B2600">
        <f>Charms!B2600</f>
        <v>0</v>
      </c>
      <c r="C2600" t="b">
        <f ca="1">OR(Values!$S$98&gt;=Charms!M2600,IFERROR(Charms!J2600=OFFSET(Values!$A$24,MATCH("S",Values!$T$25:$T$50,0),0),FALSE))</f>
        <v>1</v>
      </c>
      <c r="D2600" t="e">
        <f>VLOOKUP(Charms!J2600,Values!$A$11:$S$59,19,0)&gt;=Charms!L2600</f>
        <v>#N/A</v>
      </c>
      <c r="E2600" t="e">
        <f>OR(ISBLANK(Charms!I2600),(VLOOKUP(Values!$S$6,Castes!$B$2:$F$25,4,0)=Charms!I2600))</f>
        <v>#N/A</v>
      </c>
      <c r="J2600" t="e">
        <f t="shared" ca="1" si="201"/>
        <v>#N/A</v>
      </c>
      <c r="K2600" s="18" t="e">
        <f t="shared" ca="1" si="200"/>
        <v>#N/A</v>
      </c>
      <c r="L2600" t="e">
        <f ca="1">IF(J2600,Charms!B2600,"")</f>
        <v>#N/A</v>
      </c>
      <c r="M2600" t="str">
        <f t="shared" ca="1" si="202"/>
        <v>-</v>
      </c>
      <c r="N2600" s="18" t="str">
        <f t="shared" si="203"/>
        <v>K1622:L5000</v>
      </c>
      <c r="O2600" t="str">
        <f t="shared" si="204"/>
        <v>A1622:A2600</v>
      </c>
    </row>
    <row r="2601" spans="1:15">
      <c r="A2601" s="18">
        <f>Charms!K2601</f>
        <v>0</v>
      </c>
      <c r="B2601">
        <f>Charms!B2601</f>
        <v>0</v>
      </c>
      <c r="C2601" t="b">
        <f ca="1">OR(Values!$S$98&gt;=Charms!M2601,IFERROR(Charms!J2601=OFFSET(Values!$A$24,MATCH("S",Values!$T$25:$T$50,0),0),FALSE))</f>
        <v>1</v>
      </c>
      <c r="D2601" t="e">
        <f>VLOOKUP(Charms!J2601,Values!$A$11:$S$59,19,0)&gt;=Charms!L2601</f>
        <v>#N/A</v>
      </c>
      <c r="E2601" t="e">
        <f>OR(ISBLANK(Charms!I2601),(VLOOKUP(Values!$S$6,Castes!$B$2:$F$25,4,0)=Charms!I2601))</f>
        <v>#N/A</v>
      </c>
      <c r="J2601" t="e">
        <f t="shared" ca="1" si="201"/>
        <v>#N/A</v>
      </c>
      <c r="K2601" s="18" t="e">
        <f t="shared" ca="1" si="200"/>
        <v>#N/A</v>
      </c>
      <c r="L2601" t="e">
        <f ca="1">IF(J2601,Charms!B2601,"")</f>
        <v>#N/A</v>
      </c>
      <c r="M2601" t="str">
        <f t="shared" ca="1" si="202"/>
        <v>-</v>
      </c>
      <c r="N2601" s="18" t="str">
        <f t="shared" si="203"/>
        <v>K1622:L5000</v>
      </c>
      <c r="O2601" t="str">
        <f t="shared" si="204"/>
        <v>A1622:A2601</v>
      </c>
    </row>
    <row r="2602" spans="1:15">
      <c r="A2602" s="18">
        <f>Charms!K2602</f>
        <v>0</v>
      </c>
      <c r="B2602">
        <f>Charms!B2602</f>
        <v>0</v>
      </c>
      <c r="C2602" t="b">
        <f ca="1">OR(Values!$S$98&gt;=Charms!M2602,IFERROR(Charms!J2602=OFFSET(Values!$A$24,MATCH("S",Values!$T$25:$T$50,0),0),FALSE))</f>
        <v>1</v>
      </c>
      <c r="D2602" t="e">
        <f>VLOOKUP(Charms!J2602,Values!$A$11:$S$59,19,0)&gt;=Charms!L2602</f>
        <v>#N/A</v>
      </c>
      <c r="E2602" t="e">
        <f>OR(ISBLANK(Charms!I2602),(VLOOKUP(Values!$S$6,Castes!$B$2:$F$25,4,0)=Charms!I2602))</f>
        <v>#N/A</v>
      </c>
      <c r="J2602" t="e">
        <f t="shared" ca="1" si="201"/>
        <v>#N/A</v>
      </c>
      <c r="K2602" s="18" t="e">
        <f t="shared" ca="1" si="200"/>
        <v>#N/A</v>
      </c>
      <c r="L2602" t="e">
        <f ca="1">IF(J2602,Charms!B2602,"")</f>
        <v>#N/A</v>
      </c>
      <c r="M2602" t="str">
        <f t="shared" ca="1" si="202"/>
        <v>-</v>
      </c>
      <c r="N2602" s="18" t="str">
        <f t="shared" si="203"/>
        <v>K1622:L5000</v>
      </c>
      <c r="O2602" t="str">
        <f t="shared" si="204"/>
        <v>A1622:A2602</v>
      </c>
    </row>
    <row r="2603" spans="1:15">
      <c r="A2603" s="18">
        <f>Charms!K2603</f>
        <v>0</v>
      </c>
      <c r="B2603">
        <f>Charms!B2603</f>
        <v>0</v>
      </c>
      <c r="C2603" t="b">
        <f ca="1">OR(Values!$S$98&gt;=Charms!M2603,IFERROR(Charms!J2603=OFFSET(Values!$A$24,MATCH("S",Values!$T$25:$T$50,0),0),FALSE))</f>
        <v>1</v>
      </c>
      <c r="D2603" t="e">
        <f>VLOOKUP(Charms!J2603,Values!$A$11:$S$59,19,0)&gt;=Charms!L2603</f>
        <v>#N/A</v>
      </c>
      <c r="E2603" t="e">
        <f>OR(ISBLANK(Charms!I2603),(VLOOKUP(Values!$S$6,Castes!$B$2:$F$25,4,0)=Charms!I2603))</f>
        <v>#N/A</v>
      </c>
      <c r="J2603" t="e">
        <f t="shared" ca="1" si="201"/>
        <v>#N/A</v>
      </c>
      <c r="K2603" s="18" t="e">
        <f t="shared" ca="1" si="200"/>
        <v>#N/A</v>
      </c>
      <c r="L2603" t="e">
        <f ca="1">IF(J2603,Charms!B2603,"")</f>
        <v>#N/A</v>
      </c>
      <c r="M2603" t="str">
        <f t="shared" ca="1" si="202"/>
        <v>-</v>
      </c>
      <c r="N2603" s="18" t="str">
        <f t="shared" si="203"/>
        <v>K1622:L5000</v>
      </c>
      <c r="O2603" t="str">
        <f t="shared" si="204"/>
        <v>A1622:A2603</v>
      </c>
    </row>
    <row r="2604" spans="1:15">
      <c r="A2604" s="18">
        <f>Charms!K2604</f>
        <v>0</v>
      </c>
      <c r="B2604">
        <f>Charms!B2604</f>
        <v>0</v>
      </c>
      <c r="C2604" t="b">
        <f ca="1">OR(Values!$S$98&gt;=Charms!M2604,IFERROR(Charms!J2604=OFFSET(Values!$A$24,MATCH("S",Values!$T$25:$T$50,0),0),FALSE))</f>
        <v>1</v>
      </c>
      <c r="D2604" t="e">
        <f>VLOOKUP(Charms!J2604,Values!$A$11:$S$59,19,0)&gt;=Charms!L2604</f>
        <v>#N/A</v>
      </c>
      <c r="E2604" t="e">
        <f>OR(ISBLANK(Charms!I2604),(VLOOKUP(Values!$S$6,Castes!$B$2:$F$25,4,0)=Charms!I2604))</f>
        <v>#N/A</v>
      </c>
      <c r="J2604" t="e">
        <f t="shared" ca="1" si="201"/>
        <v>#N/A</v>
      </c>
      <c r="K2604" s="18" t="e">
        <f t="shared" ca="1" si="200"/>
        <v>#N/A</v>
      </c>
      <c r="L2604" t="e">
        <f ca="1">IF(J2604,Charms!B2604,"")</f>
        <v>#N/A</v>
      </c>
      <c r="M2604" t="str">
        <f t="shared" ca="1" si="202"/>
        <v>-</v>
      </c>
      <c r="N2604" s="18" t="str">
        <f t="shared" si="203"/>
        <v>K1622:L5000</v>
      </c>
      <c r="O2604" t="str">
        <f t="shared" si="204"/>
        <v>A1622:A2604</v>
      </c>
    </row>
    <row r="2605" spans="1:15">
      <c r="A2605" s="18">
        <f>Charms!K2605</f>
        <v>0</v>
      </c>
      <c r="B2605">
        <f>Charms!B2605</f>
        <v>0</v>
      </c>
      <c r="C2605" t="b">
        <f ca="1">OR(Values!$S$98&gt;=Charms!M2605,IFERROR(Charms!J2605=OFFSET(Values!$A$24,MATCH("S",Values!$T$25:$T$50,0),0),FALSE))</f>
        <v>1</v>
      </c>
      <c r="D2605" t="e">
        <f>VLOOKUP(Charms!J2605,Values!$A$11:$S$59,19,0)&gt;=Charms!L2605</f>
        <v>#N/A</v>
      </c>
      <c r="E2605" t="e">
        <f>OR(ISBLANK(Charms!I2605),(VLOOKUP(Values!$S$6,Castes!$B$2:$F$25,4,0)=Charms!I2605))</f>
        <v>#N/A</v>
      </c>
      <c r="J2605" t="e">
        <f t="shared" ca="1" si="201"/>
        <v>#N/A</v>
      </c>
      <c r="K2605" s="18" t="e">
        <f t="shared" ca="1" si="200"/>
        <v>#N/A</v>
      </c>
      <c r="L2605" t="e">
        <f ca="1">IF(J2605,Charms!B2605,"")</f>
        <v>#N/A</v>
      </c>
      <c r="M2605" t="str">
        <f t="shared" ca="1" si="202"/>
        <v>-</v>
      </c>
      <c r="N2605" s="18" t="str">
        <f t="shared" si="203"/>
        <v>K1622:L5000</v>
      </c>
      <c r="O2605" t="str">
        <f t="shared" si="204"/>
        <v>A1622:A2605</v>
      </c>
    </row>
    <row r="2606" spans="1:15">
      <c r="A2606" s="18">
        <f>Charms!K2606</f>
        <v>0</v>
      </c>
      <c r="B2606">
        <f>Charms!B2606</f>
        <v>0</v>
      </c>
      <c r="C2606" t="b">
        <f ca="1">OR(Values!$S$98&gt;=Charms!M2606,IFERROR(Charms!J2606=OFFSET(Values!$A$24,MATCH("S",Values!$T$25:$T$50,0),0),FALSE))</f>
        <v>1</v>
      </c>
      <c r="D2606" t="e">
        <f>VLOOKUP(Charms!J2606,Values!$A$11:$S$59,19,0)&gt;=Charms!L2606</f>
        <v>#N/A</v>
      </c>
      <c r="E2606" t="e">
        <f>OR(ISBLANK(Charms!I2606),(VLOOKUP(Values!$S$6,Castes!$B$2:$F$25,4,0)=Charms!I2606))</f>
        <v>#N/A</v>
      </c>
      <c r="J2606" t="e">
        <f t="shared" ca="1" si="201"/>
        <v>#N/A</v>
      </c>
      <c r="K2606" s="18" t="e">
        <f t="shared" ca="1" si="200"/>
        <v>#N/A</v>
      </c>
      <c r="L2606" t="e">
        <f ca="1">IF(J2606,Charms!B2606,"")</f>
        <v>#N/A</v>
      </c>
      <c r="M2606" t="str">
        <f t="shared" ca="1" si="202"/>
        <v>-</v>
      </c>
      <c r="N2606" s="18" t="str">
        <f t="shared" si="203"/>
        <v>K1622:L5000</v>
      </c>
      <c r="O2606" t="str">
        <f t="shared" si="204"/>
        <v>A1622:A2606</v>
      </c>
    </row>
    <row r="2607" spans="1:15">
      <c r="A2607" s="18">
        <f>Charms!K2607</f>
        <v>0</v>
      </c>
      <c r="B2607">
        <f>Charms!B2607</f>
        <v>0</v>
      </c>
      <c r="C2607" t="b">
        <f ca="1">OR(Values!$S$98&gt;=Charms!M2607,IFERROR(Charms!J2607=OFFSET(Values!$A$24,MATCH("S",Values!$T$25:$T$50,0),0),FALSE))</f>
        <v>1</v>
      </c>
      <c r="D2607" t="e">
        <f>VLOOKUP(Charms!J2607,Values!$A$11:$S$59,19,0)&gt;=Charms!L2607</f>
        <v>#N/A</v>
      </c>
      <c r="E2607" t="e">
        <f>OR(ISBLANK(Charms!I2607),(VLOOKUP(Values!$S$6,Castes!$B$2:$F$25,4,0)=Charms!I2607))</f>
        <v>#N/A</v>
      </c>
      <c r="J2607" t="e">
        <f t="shared" ca="1" si="201"/>
        <v>#N/A</v>
      </c>
      <c r="K2607" s="18" t="e">
        <f t="shared" ca="1" si="200"/>
        <v>#N/A</v>
      </c>
      <c r="L2607" t="e">
        <f ca="1">IF(J2607,Charms!B2607,"")</f>
        <v>#N/A</v>
      </c>
      <c r="M2607" t="str">
        <f t="shared" ca="1" si="202"/>
        <v>-</v>
      </c>
      <c r="N2607" s="18" t="str">
        <f t="shared" si="203"/>
        <v>K1622:L5000</v>
      </c>
      <c r="O2607" t="str">
        <f t="shared" si="204"/>
        <v>A1622:A2607</v>
      </c>
    </row>
    <row r="2608" spans="1:15">
      <c r="A2608" s="18">
        <f>Charms!K2608</f>
        <v>0</v>
      </c>
      <c r="B2608">
        <f>Charms!B2608</f>
        <v>0</v>
      </c>
      <c r="C2608" t="b">
        <f ca="1">OR(Values!$S$98&gt;=Charms!M2608,IFERROR(Charms!J2608=OFFSET(Values!$A$24,MATCH("S",Values!$T$25:$T$50,0),0),FALSE))</f>
        <v>1</v>
      </c>
      <c r="D2608" t="e">
        <f>VLOOKUP(Charms!J2608,Values!$A$11:$S$59,19,0)&gt;=Charms!L2608</f>
        <v>#N/A</v>
      </c>
      <c r="E2608" t="e">
        <f>OR(ISBLANK(Charms!I2608),(VLOOKUP(Values!$S$6,Castes!$B$2:$F$25,4,0)=Charms!I2608))</f>
        <v>#N/A</v>
      </c>
      <c r="J2608" t="e">
        <f t="shared" ca="1" si="201"/>
        <v>#N/A</v>
      </c>
      <c r="K2608" s="18" t="e">
        <f t="shared" ca="1" si="200"/>
        <v>#N/A</v>
      </c>
      <c r="L2608" t="e">
        <f ca="1">IF(J2608,Charms!B2608,"")</f>
        <v>#N/A</v>
      </c>
      <c r="M2608" t="str">
        <f t="shared" ca="1" si="202"/>
        <v>-</v>
      </c>
      <c r="N2608" s="18" t="str">
        <f t="shared" si="203"/>
        <v>K1622:L5000</v>
      </c>
      <c r="O2608" t="str">
        <f t="shared" si="204"/>
        <v>A1622:A2608</v>
      </c>
    </row>
    <row r="2609" spans="1:15">
      <c r="A2609" s="18">
        <f>Charms!K2609</f>
        <v>0</v>
      </c>
      <c r="B2609">
        <f>Charms!B2609</f>
        <v>0</v>
      </c>
      <c r="C2609" t="b">
        <f ca="1">OR(Values!$S$98&gt;=Charms!M2609,IFERROR(Charms!J2609=OFFSET(Values!$A$24,MATCH("S",Values!$T$25:$T$50,0),0),FALSE))</f>
        <v>1</v>
      </c>
      <c r="D2609" t="e">
        <f>VLOOKUP(Charms!J2609,Values!$A$11:$S$59,19,0)&gt;=Charms!L2609</f>
        <v>#N/A</v>
      </c>
      <c r="E2609" t="e">
        <f>OR(ISBLANK(Charms!I2609),(VLOOKUP(Values!$S$6,Castes!$B$2:$F$25,4,0)=Charms!I2609))</f>
        <v>#N/A</v>
      </c>
      <c r="J2609" t="e">
        <f t="shared" ca="1" si="201"/>
        <v>#N/A</v>
      </c>
      <c r="K2609" s="18" t="e">
        <f t="shared" ca="1" si="200"/>
        <v>#N/A</v>
      </c>
      <c r="L2609" t="e">
        <f ca="1">IF(J2609,Charms!B2609,"")</f>
        <v>#N/A</v>
      </c>
      <c r="M2609" t="str">
        <f t="shared" ca="1" si="202"/>
        <v>-</v>
      </c>
      <c r="N2609" s="18" t="str">
        <f t="shared" si="203"/>
        <v>K1622:L5000</v>
      </c>
      <c r="O2609" t="str">
        <f t="shared" si="204"/>
        <v>A1622:A2609</v>
      </c>
    </row>
    <row r="2610" spans="1:15">
      <c r="A2610" s="18">
        <f>Charms!K2610</f>
        <v>0</v>
      </c>
      <c r="B2610">
        <f>Charms!B2610</f>
        <v>0</v>
      </c>
      <c r="C2610" t="b">
        <f ca="1">OR(Values!$S$98&gt;=Charms!M2610,IFERROR(Charms!J2610=OFFSET(Values!$A$24,MATCH("S",Values!$T$25:$T$50,0),0),FALSE))</f>
        <v>1</v>
      </c>
      <c r="D2610" t="e">
        <f>VLOOKUP(Charms!J2610,Values!$A$11:$S$59,19,0)&gt;=Charms!L2610</f>
        <v>#N/A</v>
      </c>
      <c r="E2610" t="e">
        <f>OR(ISBLANK(Charms!I2610),(VLOOKUP(Values!$S$6,Castes!$B$2:$F$25,4,0)=Charms!I2610))</f>
        <v>#N/A</v>
      </c>
      <c r="J2610" t="e">
        <f t="shared" ca="1" si="201"/>
        <v>#N/A</v>
      </c>
      <c r="K2610" s="18" t="e">
        <f t="shared" ca="1" si="200"/>
        <v>#N/A</v>
      </c>
      <c r="L2610" t="e">
        <f ca="1">IF(J2610,Charms!B2610,"")</f>
        <v>#N/A</v>
      </c>
      <c r="M2610" t="str">
        <f t="shared" ca="1" si="202"/>
        <v>-</v>
      </c>
      <c r="N2610" s="18" t="str">
        <f t="shared" si="203"/>
        <v>K1622:L5000</v>
      </c>
      <c r="O2610" t="str">
        <f t="shared" si="204"/>
        <v>A1622:A2610</v>
      </c>
    </row>
    <row r="2611" spans="1:15">
      <c r="A2611" s="18">
        <f>Charms!K2611</f>
        <v>0</v>
      </c>
      <c r="B2611">
        <f>Charms!B2611</f>
        <v>0</v>
      </c>
      <c r="C2611" t="b">
        <f ca="1">OR(Values!$S$98&gt;=Charms!M2611,IFERROR(Charms!J2611=OFFSET(Values!$A$24,MATCH("S",Values!$T$25:$T$50,0),0),FALSE))</f>
        <v>1</v>
      </c>
      <c r="D2611" t="e">
        <f>VLOOKUP(Charms!J2611,Values!$A$11:$S$59,19,0)&gt;=Charms!L2611</f>
        <v>#N/A</v>
      </c>
      <c r="E2611" t="e">
        <f>OR(ISBLANK(Charms!I2611),(VLOOKUP(Values!$S$6,Castes!$B$2:$F$25,4,0)=Charms!I2611))</f>
        <v>#N/A</v>
      </c>
      <c r="J2611" t="e">
        <f t="shared" ca="1" si="201"/>
        <v>#N/A</v>
      </c>
      <c r="K2611" s="18" t="e">
        <f t="shared" ca="1" si="200"/>
        <v>#N/A</v>
      </c>
      <c r="L2611" t="e">
        <f ca="1">IF(J2611,Charms!B2611,"")</f>
        <v>#N/A</v>
      </c>
      <c r="M2611" t="str">
        <f t="shared" ca="1" si="202"/>
        <v>-</v>
      </c>
      <c r="N2611" s="18" t="str">
        <f t="shared" si="203"/>
        <v>K1622:L5000</v>
      </c>
      <c r="O2611" t="str">
        <f t="shared" si="204"/>
        <v>A1622:A2611</v>
      </c>
    </row>
    <row r="2612" spans="1:15">
      <c r="A2612" s="18">
        <f>Charms!K2612</f>
        <v>0</v>
      </c>
      <c r="B2612">
        <f>Charms!B2612</f>
        <v>0</v>
      </c>
      <c r="C2612" t="b">
        <f ca="1">OR(Values!$S$98&gt;=Charms!M2612,IFERROR(Charms!J2612=OFFSET(Values!$A$24,MATCH("S",Values!$T$25:$T$50,0),0),FALSE))</f>
        <v>1</v>
      </c>
      <c r="D2612" t="e">
        <f>VLOOKUP(Charms!J2612,Values!$A$11:$S$59,19,0)&gt;=Charms!L2612</f>
        <v>#N/A</v>
      </c>
      <c r="E2612" t="e">
        <f>OR(ISBLANK(Charms!I2612),(VLOOKUP(Values!$S$6,Castes!$B$2:$F$25,4,0)=Charms!I2612))</f>
        <v>#N/A</v>
      </c>
      <c r="J2612" t="e">
        <f t="shared" ca="1" si="201"/>
        <v>#N/A</v>
      </c>
      <c r="K2612" s="18" t="e">
        <f t="shared" ca="1" si="200"/>
        <v>#N/A</v>
      </c>
      <c r="L2612" t="e">
        <f ca="1">IF(J2612,Charms!B2612,"")</f>
        <v>#N/A</v>
      </c>
      <c r="M2612" t="str">
        <f t="shared" ca="1" si="202"/>
        <v>-</v>
      </c>
      <c r="N2612" s="18" t="str">
        <f t="shared" si="203"/>
        <v>K1622:L5000</v>
      </c>
      <c r="O2612" t="str">
        <f t="shared" si="204"/>
        <v>A1622:A2612</v>
      </c>
    </row>
    <row r="2613" spans="1:15">
      <c r="A2613" s="18">
        <f>Charms!K2613</f>
        <v>0</v>
      </c>
      <c r="B2613">
        <f>Charms!B2613</f>
        <v>0</v>
      </c>
      <c r="C2613" t="b">
        <f ca="1">OR(Values!$S$98&gt;=Charms!M2613,IFERROR(Charms!J2613=OFFSET(Values!$A$24,MATCH("S",Values!$T$25:$T$50,0),0),FALSE))</f>
        <v>1</v>
      </c>
      <c r="D2613" t="e">
        <f>VLOOKUP(Charms!J2613,Values!$A$11:$S$59,19,0)&gt;=Charms!L2613</f>
        <v>#N/A</v>
      </c>
      <c r="E2613" t="e">
        <f>OR(ISBLANK(Charms!I2613),(VLOOKUP(Values!$S$6,Castes!$B$2:$F$25,4,0)=Charms!I2613))</f>
        <v>#N/A</v>
      </c>
      <c r="J2613" t="e">
        <f t="shared" ca="1" si="201"/>
        <v>#N/A</v>
      </c>
      <c r="K2613" s="18" t="e">
        <f t="shared" ca="1" si="200"/>
        <v>#N/A</v>
      </c>
      <c r="L2613" t="e">
        <f ca="1">IF(J2613,Charms!B2613,"")</f>
        <v>#N/A</v>
      </c>
      <c r="M2613" t="str">
        <f t="shared" ca="1" si="202"/>
        <v>-</v>
      </c>
      <c r="N2613" s="18" t="str">
        <f t="shared" si="203"/>
        <v>K1622:L5000</v>
      </c>
      <c r="O2613" t="str">
        <f t="shared" si="204"/>
        <v>A1622:A2613</v>
      </c>
    </row>
    <row r="2614" spans="1:15">
      <c r="A2614" s="18">
        <f>Charms!K2614</f>
        <v>0</v>
      </c>
      <c r="B2614">
        <f>Charms!B2614</f>
        <v>0</v>
      </c>
      <c r="C2614" t="b">
        <f ca="1">OR(Values!$S$98&gt;=Charms!M2614,IFERROR(Charms!J2614=OFFSET(Values!$A$24,MATCH("S",Values!$T$25:$T$50,0),0),FALSE))</f>
        <v>1</v>
      </c>
      <c r="D2614" t="e">
        <f>VLOOKUP(Charms!J2614,Values!$A$11:$S$59,19,0)&gt;=Charms!L2614</f>
        <v>#N/A</v>
      </c>
      <c r="E2614" t="e">
        <f>OR(ISBLANK(Charms!I2614),(VLOOKUP(Values!$S$6,Castes!$B$2:$F$25,4,0)=Charms!I2614))</f>
        <v>#N/A</v>
      </c>
      <c r="J2614" t="e">
        <f t="shared" ca="1" si="201"/>
        <v>#N/A</v>
      </c>
      <c r="K2614" s="18" t="e">
        <f t="shared" ca="1" si="200"/>
        <v>#N/A</v>
      </c>
      <c r="L2614" t="e">
        <f ca="1">IF(J2614,Charms!B2614,"")</f>
        <v>#N/A</v>
      </c>
      <c r="M2614" t="str">
        <f t="shared" ca="1" si="202"/>
        <v>-</v>
      </c>
      <c r="N2614" s="18" t="str">
        <f t="shared" si="203"/>
        <v>K1622:L5000</v>
      </c>
      <c r="O2614" t="str">
        <f t="shared" si="204"/>
        <v>A1622:A2614</v>
      </c>
    </row>
    <row r="2615" spans="1:15">
      <c r="A2615" s="18">
        <f>Charms!K2615</f>
        <v>0</v>
      </c>
      <c r="B2615">
        <f>Charms!B2615</f>
        <v>0</v>
      </c>
      <c r="C2615" t="b">
        <f ca="1">OR(Values!$S$98&gt;=Charms!M2615,IFERROR(Charms!J2615=OFFSET(Values!$A$24,MATCH("S",Values!$T$25:$T$50,0),0),FALSE))</f>
        <v>1</v>
      </c>
      <c r="D2615" t="e">
        <f>VLOOKUP(Charms!J2615,Values!$A$11:$S$59,19,0)&gt;=Charms!L2615</f>
        <v>#N/A</v>
      </c>
      <c r="E2615" t="e">
        <f>OR(ISBLANK(Charms!I2615),(VLOOKUP(Values!$S$6,Castes!$B$2:$F$25,4,0)=Charms!I2615))</f>
        <v>#N/A</v>
      </c>
      <c r="J2615" t="e">
        <f t="shared" ca="1" si="201"/>
        <v>#N/A</v>
      </c>
      <c r="K2615" s="18" t="e">
        <f t="shared" ca="1" si="200"/>
        <v>#N/A</v>
      </c>
      <c r="L2615" t="e">
        <f ca="1">IF(J2615,Charms!B2615,"")</f>
        <v>#N/A</v>
      </c>
      <c r="M2615" t="str">
        <f t="shared" ca="1" si="202"/>
        <v>-</v>
      </c>
      <c r="N2615" s="18" t="str">
        <f t="shared" si="203"/>
        <v>K1622:L5000</v>
      </c>
      <c r="O2615" t="str">
        <f t="shared" si="204"/>
        <v>A1622:A2615</v>
      </c>
    </row>
    <row r="2616" spans="1:15">
      <c r="A2616" s="18">
        <f>Charms!K2616</f>
        <v>0</v>
      </c>
      <c r="B2616">
        <f>Charms!B2616</f>
        <v>0</v>
      </c>
      <c r="C2616" t="b">
        <f ca="1">OR(Values!$S$98&gt;=Charms!M2616,IFERROR(Charms!J2616=OFFSET(Values!$A$24,MATCH("S",Values!$T$25:$T$50,0),0),FALSE))</f>
        <v>1</v>
      </c>
      <c r="D2616" t="e">
        <f>VLOOKUP(Charms!J2616,Values!$A$11:$S$59,19,0)&gt;=Charms!L2616</f>
        <v>#N/A</v>
      </c>
      <c r="E2616" t="e">
        <f>OR(ISBLANK(Charms!I2616),(VLOOKUP(Values!$S$6,Castes!$B$2:$F$25,4,0)=Charms!I2616))</f>
        <v>#N/A</v>
      </c>
      <c r="J2616" t="e">
        <f t="shared" ca="1" si="201"/>
        <v>#N/A</v>
      </c>
      <c r="K2616" s="18" t="e">
        <f t="shared" ca="1" si="200"/>
        <v>#N/A</v>
      </c>
      <c r="L2616" t="e">
        <f ca="1">IF(J2616,Charms!B2616,"")</f>
        <v>#N/A</v>
      </c>
      <c r="M2616" t="str">
        <f t="shared" ca="1" si="202"/>
        <v>-</v>
      </c>
      <c r="N2616" s="18" t="str">
        <f t="shared" si="203"/>
        <v>K1622:L5000</v>
      </c>
      <c r="O2616" t="str">
        <f t="shared" si="204"/>
        <v>A1622:A2616</v>
      </c>
    </row>
    <row r="2617" spans="1:15">
      <c r="A2617" s="18">
        <f>Charms!K2617</f>
        <v>0</v>
      </c>
      <c r="B2617">
        <f>Charms!B2617</f>
        <v>0</v>
      </c>
      <c r="C2617" t="b">
        <f ca="1">OR(Values!$S$98&gt;=Charms!M2617,IFERROR(Charms!J2617=OFFSET(Values!$A$24,MATCH("S",Values!$T$25:$T$50,0),0),FALSE))</f>
        <v>1</v>
      </c>
      <c r="D2617" t="e">
        <f>VLOOKUP(Charms!J2617,Values!$A$11:$S$59,19,0)&gt;=Charms!L2617</f>
        <v>#N/A</v>
      </c>
      <c r="E2617" t="e">
        <f>OR(ISBLANK(Charms!I2617),(VLOOKUP(Values!$S$6,Castes!$B$2:$F$25,4,0)=Charms!I2617))</f>
        <v>#N/A</v>
      </c>
      <c r="J2617" t="e">
        <f t="shared" ca="1" si="201"/>
        <v>#N/A</v>
      </c>
      <c r="K2617" s="18" t="e">
        <f t="shared" ca="1" si="200"/>
        <v>#N/A</v>
      </c>
      <c r="L2617" t="e">
        <f ca="1">IF(J2617,Charms!B2617,"")</f>
        <v>#N/A</v>
      </c>
      <c r="M2617" t="str">
        <f t="shared" ca="1" si="202"/>
        <v>-</v>
      </c>
      <c r="N2617" s="18" t="str">
        <f t="shared" si="203"/>
        <v>K1622:L5000</v>
      </c>
      <c r="O2617" t="str">
        <f t="shared" si="204"/>
        <v>A1622:A2617</v>
      </c>
    </row>
    <row r="2618" spans="1:15">
      <c r="A2618" s="18">
        <f>Charms!K2618</f>
        <v>0</v>
      </c>
      <c r="B2618">
        <f>Charms!B2618</f>
        <v>0</v>
      </c>
      <c r="C2618" t="b">
        <f ca="1">OR(Values!$S$98&gt;=Charms!M2618,IFERROR(Charms!J2618=OFFSET(Values!$A$24,MATCH("S",Values!$T$25:$T$50,0),0),FALSE))</f>
        <v>1</v>
      </c>
      <c r="D2618" t="e">
        <f>VLOOKUP(Charms!J2618,Values!$A$11:$S$59,19,0)&gt;=Charms!L2618</f>
        <v>#N/A</v>
      </c>
      <c r="E2618" t="e">
        <f>OR(ISBLANK(Charms!I2618),(VLOOKUP(Values!$S$6,Castes!$B$2:$F$25,4,0)=Charms!I2618))</f>
        <v>#N/A</v>
      </c>
      <c r="J2618" t="e">
        <f t="shared" ca="1" si="201"/>
        <v>#N/A</v>
      </c>
      <c r="K2618" s="18" t="e">
        <f t="shared" ca="1" si="200"/>
        <v>#N/A</v>
      </c>
      <c r="L2618" t="e">
        <f ca="1">IF(J2618,Charms!B2618,"")</f>
        <v>#N/A</v>
      </c>
      <c r="M2618" t="str">
        <f t="shared" ca="1" si="202"/>
        <v>-</v>
      </c>
      <c r="N2618" s="18" t="str">
        <f t="shared" si="203"/>
        <v>K1622:L5000</v>
      </c>
      <c r="O2618" t="str">
        <f t="shared" si="204"/>
        <v>A1622:A2618</v>
      </c>
    </row>
    <row r="2619" spans="1:15">
      <c r="A2619" s="18">
        <f>Charms!K2619</f>
        <v>0</v>
      </c>
      <c r="B2619">
        <f>Charms!B2619</f>
        <v>0</v>
      </c>
      <c r="C2619" t="b">
        <f ca="1">OR(Values!$S$98&gt;=Charms!M2619,IFERROR(Charms!J2619=OFFSET(Values!$A$24,MATCH("S",Values!$T$25:$T$50,0),0),FALSE))</f>
        <v>1</v>
      </c>
      <c r="D2619" t="e">
        <f>VLOOKUP(Charms!J2619,Values!$A$11:$S$59,19,0)&gt;=Charms!L2619</f>
        <v>#N/A</v>
      </c>
      <c r="E2619" t="e">
        <f>OR(ISBLANK(Charms!I2619),(VLOOKUP(Values!$S$6,Castes!$B$2:$F$25,4,0)=Charms!I2619))</f>
        <v>#N/A</v>
      </c>
      <c r="J2619" t="e">
        <f t="shared" ca="1" si="201"/>
        <v>#N/A</v>
      </c>
      <c r="K2619" s="18" t="e">
        <f t="shared" ca="1" si="200"/>
        <v>#N/A</v>
      </c>
      <c r="L2619" t="e">
        <f ca="1">IF(J2619,Charms!B2619,"")</f>
        <v>#N/A</v>
      </c>
      <c r="M2619" t="str">
        <f t="shared" ca="1" si="202"/>
        <v>-</v>
      </c>
      <c r="N2619" s="18" t="str">
        <f t="shared" si="203"/>
        <v>K1622:L5000</v>
      </c>
      <c r="O2619" t="str">
        <f t="shared" si="204"/>
        <v>A1622:A2619</v>
      </c>
    </row>
    <row r="2620" spans="1:15">
      <c r="A2620" s="18">
        <f>Charms!K2620</f>
        <v>0</v>
      </c>
      <c r="B2620">
        <f>Charms!B2620</f>
        <v>0</v>
      </c>
      <c r="C2620" t="b">
        <f ca="1">OR(Values!$S$98&gt;=Charms!M2620,IFERROR(Charms!J2620=OFFSET(Values!$A$24,MATCH("S",Values!$T$25:$T$50,0),0),FALSE))</f>
        <v>1</v>
      </c>
      <c r="D2620" t="e">
        <f>VLOOKUP(Charms!J2620,Values!$A$11:$S$59,19,0)&gt;=Charms!L2620</f>
        <v>#N/A</v>
      </c>
      <c r="E2620" t="e">
        <f>OR(ISBLANK(Charms!I2620),(VLOOKUP(Values!$S$6,Castes!$B$2:$F$25,4,0)=Charms!I2620))</f>
        <v>#N/A</v>
      </c>
      <c r="J2620" t="e">
        <f t="shared" ca="1" si="201"/>
        <v>#N/A</v>
      </c>
      <c r="K2620" s="18" t="e">
        <f t="shared" ca="1" si="200"/>
        <v>#N/A</v>
      </c>
      <c r="L2620" t="e">
        <f ca="1">IF(J2620,Charms!B2620,"")</f>
        <v>#N/A</v>
      </c>
      <c r="M2620" t="str">
        <f t="shared" ca="1" si="202"/>
        <v>-</v>
      </c>
      <c r="N2620" s="18" t="str">
        <f t="shared" si="203"/>
        <v>K1622:L5000</v>
      </c>
      <c r="O2620" t="str">
        <f t="shared" si="204"/>
        <v>A1622:A2620</v>
      </c>
    </row>
    <row r="2621" spans="1:15">
      <c r="A2621" s="18">
        <f>Charms!K2621</f>
        <v>0</v>
      </c>
      <c r="B2621">
        <f>Charms!B2621</f>
        <v>0</v>
      </c>
      <c r="C2621" t="b">
        <f ca="1">OR(Values!$S$98&gt;=Charms!M2621,IFERROR(Charms!J2621=OFFSET(Values!$A$24,MATCH("S",Values!$T$25:$T$50,0),0),FALSE))</f>
        <v>1</v>
      </c>
      <c r="D2621" t="e">
        <f>VLOOKUP(Charms!J2621,Values!$A$11:$S$59,19,0)&gt;=Charms!L2621</f>
        <v>#N/A</v>
      </c>
      <c r="E2621" t="e">
        <f>OR(ISBLANK(Charms!I2621),(VLOOKUP(Values!$S$6,Castes!$B$2:$F$25,4,0)=Charms!I2621))</f>
        <v>#N/A</v>
      </c>
      <c r="J2621" t="e">
        <f t="shared" ca="1" si="201"/>
        <v>#N/A</v>
      </c>
      <c r="K2621" s="18" t="e">
        <f t="shared" ca="1" si="200"/>
        <v>#N/A</v>
      </c>
      <c r="L2621" t="e">
        <f ca="1">IF(J2621,Charms!B2621,"")</f>
        <v>#N/A</v>
      </c>
      <c r="M2621" t="str">
        <f t="shared" ca="1" si="202"/>
        <v>-</v>
      </c>
      <c r="N2621" s="18" t="str">
        <f t="shared" si="203"/>
        <v>K1622:L5000</v>
      </c>
      <c r="O2621" t="str">
        <f t="shared" si="204"/>
        <v>A1622:A2621</v>
      </c>
    </row>
    <row r="2622" spans="1:15">
      <c r="A2622" s="18">
        <f>Charms!K2622</f>
        <v>0</v>
      </c>
      <c r="B2622">
        <f>Charms!B2622</f>
        <v>0</v>
      </c>
      <c r="C2622" t="b">
        <f ca="1">OR(Values!$S$98&gt;=Charms!M2622,IFERROR(Charms!J2622=OFFSET(Values!$A$24,MATCH("S",Values!$T$25:$T$50,0),0),FALSE))</f>
        <v>1</v>
      </c>
      <c r="D2622" t="e">
        <f>VLOOKUP(Charms!J2622,Values!$A$11:$S$59,19,0)&gt;=Charms!L2622</f>
        <v>#N/A</v>
      </c>
      <c r="E2622" t="e">
        <f>OR(ISBLANK(Charms!I2622),(VLOOKUP(Values!$S$6,Castes!$B$2:$F$25,4,0)=Charms!I2622))</f>
        <v>#N/A</v>
      </c>
      <c r="J2622" t="e">
        <f t="shared" ca="1" si="201"/>
        <v>#N/A</v>
      </c>
      <c r="K2622" s="18" t="e">
        <f t="shared" ca="1" si="200"/>
        <v>#N/A</v>
      </c>
      <c r="L2622" t="e">
        <f ca="1">IF(J2622,Charms!B2622,"")</f>
        <v>#N/A</v>
      </c>
      <c r="M2622" t="str">
        <f t="shared" ca="1" si="202"/>
        <v>-</v>
      </c>
      <c r="N2622" s="18" t="str">
        <f t="shared" si="203"/>
        <v>K1622:L5000</v>
      </c>
      <c r="O2622" t="str">
        <f t="shared" si="204"/>
        <v>A1622:A2622</v>
      </c>
    </row>
    <row r="2623" spans="1:15">
      <c r="A2623" s="18">
        <f>Charms!K2623</f>
        <v>0</v>
      </c>
      <c r="B2623">
        <f>Charms!B2623</f>
        <v>0</v>
      </c>
      <c r="C2623" t="b">
        <f ca="1">OR(Values!$S$98&gt;=Charms!M2623,IFERROR(Charms!J2623=OFFSET(Values!$A$24,MATCH("S",Values!$T$25:$T$50,0),0),FALSE))</f>
        <v>1</v>
      </c>
      <c r="D2623" t="e">
        <f>VLOOKUP(Charms!J2623,Values!$A$11:$S$59,19,0)&gt;=Charms!L2623</f>
        <v>#N/A</v>
      </c>
      <c r="E2623" t="e">
        <f>OR(ISBLANK(Charms!I2623),(VLOOKUP(Values!$S$6,Castes!$B$2:$F$25,4,0)=Charms!I2623))</f>
        <v>#N/A</v>
      </c>
      <c r="J2623" t="e">
        <f t="shared" ca="1" si="201"/>
        <v>#N/A</v>
      </c>
      <c r="K2623" s="18" t="e">
        <f t="shared" ca="1" si="200"/>
        <v>#N/A</v>
      </c>
      <c r="L2623" t="e">
        <f ca="1">IF(J2623,Charms!B2623,"")</f>
        <v>#N/A</v>
      </c>
      <c r="M2623" t="str">
        <f t="shared" ca="1" si="202"/>
        <v>-</v>
      </c>
      <c r="N2623" s="18" t="str">
        <f t="shared" si="203"/>
        <v>K1622:L5000</v>
      </c>
      <c r="O2623" t="str">
        <f t="shared" si="204"/>
        <v>A1622:A2623</v>
      </c>
    </row>
    <row r="2624" spans="1:15">
      <c r="A2624" s="18">
        <f>Charms!K2624</f>
        <v>0</v>
      </c>
      <c r="B2624">
        <f>Charms!B2624</f>
        <v>0</v>
      </c>
      <c r="C2624" t="b">
        <f ca="1">OR(Values!$S$98&gt;=Charms!M2624,IFERROR(Charms!J2624=OFFSET(Values!$A$24,MATCH("S",Values!$T$25:$T$50,0),0),FALSE))</f>
        <v>1</v>
      </c>
      <c r="D2624" t="e">
        <f>VLOOKUP(Charms!J2624,Values!$A$11:$S$59,19,0)&gt;=Charms!L2624</f>
        <v>#N/A</v>
      </c>
      <c r="E2624" t="e">
        <f>OR(ISBLANK(Charms!I2624),(VLOOKUP(Values!$S$6,Castes!$B$2:$F$25,4,0)=Charms!I2624))</f>
        <v>#N/A</v>
      </c>
      <c r="J2624" t="e">
        <f t="shared" ca="1" si="201"/>
        <v>#N/A</v>
      </c>
      <c r="K2624" s="18" t="e">
        <f t="shared" ca="1" si="200"/>
        <v>#N/A</v>
      </c>
      <c r="L2624" t="e">
        <f ca="1">IF(J2624,Charms!B2624,"")</f>
        <v>#N/A</v>
      </c>
      <c r="M2624" t="str">
        <f t="shared" ca="1" si="202"/>
        <v>-</v>
      </c>
      <c r="N2624" s="18" t="str">
        <f t="shared" si="203"/>
        <v>K1622:L5000</v>
      </c>
      <c r="O2624" t="str">
        <f t="shared" si="204"/>
        <v>A1622:A2624</v>
      </c>
    </row>
    <row r="2625" spans="1:15">
      <c r="A2625" s="18">
        <f>Charms!K2625</f>
        <v>0</v>
      </c>
      <c r="B2625">
        <f>Charms!B2625</f>
        <v>0</v>
      </c>
      <c r="C2625" t="b">
        <f ca="1">OR(Values!$S$98&gt;=Charms!M2625,IFERROR(Charms!J2625=OFFSET(Values!$A$24,MATCH("S",Values!$T$25:$T$50,0),0),FALSE))</f>
        <v>1</v>
      </c>
      <c r="D2625" t="e">
        <f>VLOOKUP(Charms!J2625,Values!$A$11:$S$59,19,0)&gt;=Charms!L2625</f>
        <v>#N/A</v>
      </c>
      <c r="E2625" t="e">
        <f>OR(ISBLANK(Charms!I2625),(VLOOKUP(Values!$S$6,Castes!$B$2:$F$25,4,0)=Charms!I2625))</f>
        <v>#N/A</v>
      </c>
      <c r="J2625" t="e">
        <f t="shared" ca="1" si="201"/>
        <v>#N/A</v>
      </c>
      <c r="K2625" s="18" t="e">
        <f t="shared" ca="1" si="200"/>
        <v>#N/A</v>
      </c>
      <c r="L2625" t="e">
        <f ca="1">IF(J2625,Charms!B2625,"")</f>
        <v>#N/A</v>
      </c>
      <c r="M2625" t="str">
        <f t="shared" ca="1" si="202"/>
        <v>-</v>
      </c>
      <c r="N2625" s="18" t="str">
        <f t="shared" si="203"/>
        <v>K1622:L5000</v>
      </c>
      <c r="O2625" t="str">
        <f t="shared" si="204"/>
        <v>A1622:A2625</v>
      </c>
    </row>
    <row r="2626" spans="1:15">
      <c r="A2626" s="18">
        <f>Charms!K2626</f>
        <v>0</v>
      </c>
      <c r="B2626">
        <f>Charms!B2626</f>
        <v>0</v>
      </c>
      <c r="C2626" t="b">
        <f ca="1">OR(Values!$S$98&gt;=Charms!M2626,IFERROR(Charms!J2626=OFFSET(Values!$A$24,MATCH("S",Values!$T$25:$T$50,0),0),FALSE))</f>
        <v>1</v>
      </c>
      <c r="D2626" t="e">
        <f>VLOOKUP(Charms!J2626,Values!$A$11:$S$59,19,0)&gt;=Charms!L2626</f>
        <v>#N/A</v>
      </c>
      <c r="E2626" t="e">
        <f>OR(ISBLANK(Charms!I2626),(VLOOKUP(Values!$S$6,Castes!$B$2:$F$25,4,0)=Charms!I2626))</f>
        <v>#N/A</v>
      </c>
      <c r="J2626" t="e">
        <f t="shared" ca="1" si="201"/>
        <v>#N/A</v>
      </c>
      <c r="K2626" s="18" t="e">
        <f t="shared" ref="K2626:K2689" ca="1" si="205">IF(L2626="","",COUNTIF(INDIRECT("J"&amp;MATCH(A2626,A:A,0)&amp;":J"&amp;ROW()),J2626))</f>
        <v>#N/A</v>
      </c>
      <c r="L2626" t="e">
        <f ca="1">IF(J2626,Charms!B2626,"")</f>
        <v>#N/A</v>
      </c>
      <c r="M2626" t="str">
        <f t="shared" ca="1" si="202"/>
        <v>-</v>
      </c>
      <c r="N2626" s="18" t="str">
        <f t="shared" si="203"/>
        <v>K1622:L5000</v>
      </c>
      <c r="O2626" t="str">
        <f t="shared" si="204"/>
        <v>A1622:A2626</v>
      </c>
    </row>
    <row r="2627" spans="1:15">
      <c r="A2627" s="18">
        <f>Charms!K2627</f>
        <v>0</v>
      </c>
      <c r="B2627">
        <f>Charms!B2627</f>
        <v>0</v>
      </c>
      <c r="C2627" t="b">
        <f ca="1">OR(Values!$S$98&gt;=Charms!M2627,IFERROR(Charms!J2627=OFFSET(Values!$A$24,MATCH("S",Values!$T$25:$T$50,0),0),FALSE))</f>
        <v>1</v>
      </c>
      <c r="D2627" t="e">
        <f>VLOOKUP(Charms!J2627,Values!$A$11:$S$59,19,0)&gt;=Charms!L2627</f>
        <v>#N/A</v>
      </c>
      <c r="E2627" t="e">
        <f>OR(ISBLANK(Charms!I2627),(VLOOKUP(Values!$S$6,Castes!$B$2:$F$25,4,0)=Charms!I2627))</f>
        <v>#N/A</v>
      </c>
      <c r="J2627" t="e">
        <f t="shared" ref="J2627:J2690" ca="1" si="206">(C2627+D2627+E2627+F2627+G2627+H2627+I2627)=3</f>
        <v>#N/A</v>
      </c>
      <c r="K2627" s="18" t="e">
        <f t="shared" ca="1" si="205"/>
        <v>#N/A</v>
      </c>
      <c r="L2627" t="e">
        <f ca="1">IF(J2627,Charms!B2627,"")</f>
        <v>#N/A</v>
      </c>
      <c r="M2627" t="str">
        <f t="shared" ref="M2627:M2690" ca="1" si="207">IFERROR(VLOOKUP(COUNTIF(INDIRECT(O2627),A2627),INDIRECT(N2627),2,0),"-")</f>
        <v>-</v>
      </c>
      <c r="N2627" s="18" t="str">
        <f t="shared" ref="N2627:N2690" si="208">"K"&amp;MATCH(A2627,A:A,0)&amp;":L"&amp;(MATCH(A2627,A:A,0)+COUNTIF(A:A,A2627)-1)</f>
        <v>K1622:L5000</v>
      </c>
      <c r="O2627" t="str">
        <f t="shared" ref="O2627:O2690" si="209">"A"&amp;MATCH(A2627,A:A,0)&amp;":A"&amp;ROW()</f>
        <v>A1622:A2627</v>
      </c>
    </row>
    <row r="2628" spans="1:15">
      <c r="A2628" s="18">
        <f>Charms!K2628</f>
        <v>0</v>
      </c>
      <c r="B2628">
        <f>Charms!B2628</f>
        <v>0</v>
      </c>
      <c r="C2628" t="b">
        <f ca="1">OR(Values!$S$98&gt;=Charms!M2628,IFERROR(Charms!J2628=OFFSET(Values!$A$24,MATCH("S",Values!$T$25:$T$50,0),0),FALSE))</f>
        <v>1</v>
      </c>
      <c r="D2628" t="e">
        <f>VLOOKUP(Charms!J2628,Values!$A$11:$S$59,19,0)&gt;=Charms!L2628</f>
        <v>#N/A</v>
      </c>
      <c r="E2628" t="e">
        <f>OR(ISBLANK(Charms!I2628),(VLOOKUP(Values!$S$6,Castes!$B$2:$F$25,4,0)=Charms!I2628))</f>
        <v>#N/A</v>
      </c>
      <c r="J2628" t="e">
        <f t="shared" ca="1" si="206"/>
        <v>#N/A</v>
      </c>
      <c r="K2628" s="18" t="e">
        <f t="shared" ca="1" si="205"/>
        <v>#N/A</v>
      </c>
      <c r="L2628" t="e">
        <f ca="1">IF(J2628,Charms!B2628,"")</f>
        <v>#N/A</v>
      </c>
      <c r="M2628" t="str">
        <f t="shared" ca="1" si="207"/>
        <v>-</v>
      </c>
      <c r="N2628" s="18" t="str">
        <f t="shared" si="208"/>
        <v>K1622:L5000</v>
      </c>
      <c r="O2628" t="str">
        <f t="shared" si="209"/>
        <v>A1622:A2628</v>
      </c>
    </row>
    <row r="2629" spans="1:15">
      <c r="A2629" s="18">
        <f>Charms!K2629</f>
        <v>0</v>
      </c>
      <c r="B2629">
        <f>Charms!B2629</f>
        <v>0</v>
      </c>
      <c r="C2629" t="b">
        <f ca="1">OR(Values!$S$98&gt;=Charms!M2629,IFERROR(Charms!J2629=OFFSET(Values!$A$24,MATCH("S",Values!$T$25:$T$50,0),0),FALSE))</f>
        <v>1</v>
      </c>
      <c r="D2629" t="e">
        <f>VLOOKUP(Charms!J2629,Values!$A$11:$S$59,19,0)&gt;=Charms!L2629</f>
        <v>#N/A</v>
      </c>
      <c r="E2629" t="e">
        <f>OR(ISBLANK(Charms!I2629),(VLOOKUP(Values!$S$6,Castes!$B$2:$F$25,4,0)=Charms!I2629))</f>
        <v>#N/A</v>
      </c>
      <c r="J2629" t="e">
        <f t="shared" ca="1" si="206"/>
        <v>#N/A</v>
      </c>
      <c r="K2629" s="18" t="e">
        <f t="shared" ca="1" si="205"/>
        <v>#N/A</v>
      </c>
      <c r="L2629" t="e">
        <f ca="1">IF(J2629,Charms!B2629,"")</f>
        <v>#N/A</v>
      </c>
      <c r="M2629" t="str">
        <f t="shared" ca="1" si="207"/>
        <v>-</v>
      </c>
      <c r="N2629" s="18" t="str">
        <f t="shared" si="208"/>
        <v>K1622:L5000</v>
      </c>
      <c r="O2629" t="str">
        <f t="shared" si="209"/>
        <v>A1622:A2629</v>
      </c>
    </row>
    <row r="2630" spans="1:15">
      <c r="A2630" s="18">
        <f>Charms!K2630</f>
        <v>0</v>
      </c>
      <c r="B2630">
        <f>Charms!B2630</f>
        <v>0</v>
      </c>
      <c r="C2630" t="b">
        <f ca="1">OR(Values!$S$98&gt;=Charms!M2630,IFERROR(Charms!J2630=OFFSET(Values!$A$24,MATCH("S",Values!$T$25:$T$50,0),0),FALSE))</f>
        <v>1</v>
      </c>
      <c r="D2630" t="e">
        <f>VLOOKUP(Charms!J2630,Values!$A$11:$S$59,19,0)&gt;=Charms!L2630</f>
        <v>#N/A</v>
      </c>
      <c r="E2630" t="e">
        <f>OR(ISBLANK(Charms!I2630),(VLOOKUP(Values!$S$6,Castes!$B$2:$F$25,4,0)=Charms!I2630))</f>
        <v>#N/A</v>
      </c>
      <c r="J2630" t="e">
        <f t="shared" ca="1" si="206"/>
        <v>#N/A</v>
      </c>
      <c r="K2630" s="18" t="e">
        <f t="shared" ca="1" si="205"/>
        <v>#N/A</v>
      </c>
      <c r="L2630" t="e">
        <f ca="1">IF(J2630,Charms!B2630,"")</f>
        <v>#N/A</v>
      </c>
      <c r="M2630" t="str">
        <f t="shared" ca="1" si="207"/>
        <v>-</v>
      </c>
      <c r="N2630" s="18" t="str">
        <f t="shared" si="208"/>
        <v>K1622:L5000</v>
      </c>
      <c r="O2630" t="str">
        <f t="shared" si="209"/>
        <v>A1622:A2630</v>
      </c>
    </row>
    <row r="2631" spans="1:15">
      <c r="A2631" s="18">
        <f>Charms!K2631</f>
        <v>0</v>
      </c>
      <c r="B2631">
        <f>Charms!B2631</f>
        <v>0</v>
      </c>
      <c r="C2631" t="b">
        <f ca="1">OR(Values!$S$98&gt;=Charms!M2631,IFERROR(Charms!J2631=OFFSET(Values!$A$24,MATCH("S",Values!$T$25:$T$50,0),0),FALSE))</f>
        <v>1</v>
      </c>
      <c r="D2631" t="e">
        <f>VLOOKUP(Charms!J2631,Values!$A$11:$S$59,19,0)&gt;=Charms!L2631</f>
        <v>#N/A</v>
      </c>
      <c r="E2631" t="e">
        <f>OR(ISBLANK(Charms!I2631),(VLOOKUP(Values!$S$6,Castes!$B$2:$F$25,4,0)=Charms!I2631))</f>
        <v>#N/A</v>
      </c>
      <c r="J2631" t="e">
        <f t="shared" ca="1" si="206"/>
        <v>#N/A</v>
      </c>
      <c r="K2631" s="18" t="e">
        <f t="shared" ca="1" si="205"/>
        <v>#N/A</v>
      </c>
      <c r="L2631" t="e">
        <f ca="1">IF(J2631,Charms!B2631,"")</f>
        <v>#N/A</v>
      </c>
      <c r="M2631" t="str">
        <f t="shared" ca="1" si="207"/>
        <v>-</v>
      </c>
      <c r="N2631" s="18" t="str">
        <f t="shared" si="208"/>
        <v>K1622:L5000</v>
      </c>
      <c r="O2631" t="str">
        <f t="shared" si="209"/>
        <v>A1622:A2631</v>
      </c>
    </row>
    <row r="2632" spans="1:15">
      <c r="A2632" s="18">
        <f>Charms!K2632</f>
        <v>0</v>
      </c>
      <c r="B2632">
        <f>Charms!B2632</f>
        <v>0</v>
      </c>
      <c r="C2632" t="b">
        <f ca="1">OR(Values!$S$98&gt;=Charms!M2632,IFERROR(Charms!J2632=OFFSET(Values!$A$24,MATCH("S",Values!$T$25:$T$50,0),0),FALSE))</f>
        <v>1</v>
      </c>
      <c r="D2632" t="e">
        <f>VLOOKUP(Charms!J2632,Values!$A$11:$S$59,19,0)&gt;=Charms!L2632</f>
        <v>#N/A</v>
      </c>
      <c r="E2632" t="e">
        <f>OR(ISBLANK(Charms!I2632),(VLOOKUP(Values!$S$6,Castes!$B$2:$F$25,4,0)=Charms!I2632))</f>
        <v>#N/A</v>
      </c>
      <c r="J2632" t="e">
        <f t="shared" ca="1" si="206"/>
        <v>#N/A</v>
      </c>
      <c r="K2632" s="18" t="e">
        <f t="shared" ca="1" si="205"/>
        <v>#N/A</v>
      </c>
      <c r="L2632" t="e">
        <f ca="1">IF(J2632,Charms!B2632,"")</f>
        <v>#N/A</v>
      </c>
      <c r="M2632" t="str">
        <f t="shared" ca="1" si="207"/>
        <v>-</v>
      </c>
      <c r="N2632" s="18" t="str">
        <f t="shared" si="208"/>
        <v>K1622:L5000</v>
      </c>
      <c r="O2632" t="str">
        <f t="shared" si="209"/>
        <v>A1622:A2632</v>
      </c>
    </row>
    <row r="2633" spans="1:15">
      <c r="A2633" s="18">
        <f>Charms!K2633</f>
        <v>0</v>
      </c>
      <c r="B2633">
        <f>Charms!B2633</f>
        <v>0</v>
      </c>
      <c r="C2633" t="b">
        <f ca="1">OR(Values!$S$98&gt;=Charms!M2633,IFERROR(Charms!J2633=OFFSET(Values!$A$24,MATCH("S",Values!$T$25:$T$50,0),0),FALSE))</f>
        <v>1</v>
      </c>
      <c r="D2633" t="e">
        <f>VLOOKUP(Charms!J2633,Values!$A$11:$S$59,19,0)&gt;=Charms!L2633</f>
        <v>#N/A</v>
      </c>
      <c r="E2633" t="e">
        <f>OR(ISBLANK(Charms!I2633),(VLOOKUP(Values!$S$6,Castes!$B$2:$F$25,4,0)=Charms!I2633))</f>
        <v>#N/A</v>
      </c>
      <c r="J2633" t="e">
        <f t="shared" ca="1" si="206"/>
        <v>#N/A</v>
      </c>
      <c r="K2633" s="18" t="e">
        <f t="shared" ca="1" si="205"/>
        <v>#N/A</v>
      </c>
      <c r="L2633" t="e">
        <f ca="1">IF(J2633,Charms!B2633,"")</f>
        <v>#N/A</v>
      </c>
      <c r="M2633" t="str">
        <f t="shared" ca="1" si="207"/>
        <v>-</v>
      </c>
      <c r="N2633" s="18" t="str">
        <f t="shared" si="208"/>
        <v>K1622:L5000</v>
      </c>
      <c r="O2633" t="str">
        <f t="shared" si="209"/>
        <v>A1622:A2633</v>
      </c>
    </row>
    <row r="2634" spans="1:15">
      <c r="A2634" s="18">
        <f>Charms!K2634</f>
        <v>0</v>
      </c>
      <c r="B2634">
        <f>Charms!B2634</f>
        <v>0</v>
      </c>
      <c r="C2634" t="b">
        <f ca="1">OR(Values!$S$98&gt;=Charms!M2634,IFERROR(Charms!J2634=OFFSET(Values!$A$24,MATCH("S",Values!$T$25:$T$50,0),0),FALSE))</f>
        <v>1</v>
      </c>
      <c r="D2634" t="e">
        <f>VLOOKUP(Charms!J2634,Values!$A$11:$S$59,19,0)&gt;=Charms!L2634</f>
        <v>#N/A</v>
      </c>
      <c r="E2634" t="e">
        <f>OR(ISBLANK(Charms!I2634),(VLOOKUP(Values!$S$6,Castes!$B$2:$F$25,4,0)=Charms!I2634))</f>
        <v>#N/A</v>
      </c>
      <c r="J2634" t="e">
        <f t="shared" ca="1" si="206"/>
        <v>#N/A</v>
      </c>
      <c r="K2634" s="18" t="e">
        <f t="shared" ca="1" si="205"/>
        <v>#N/A</v>
      </c>
      <c r="L2634" t="e">
        <f ca="1">IF(J2634,Charms!B2634,"")</f>
        <v>#N/A</v>
      </c>
      <c r="M2634" t="str">
        <f t="shared" ca="1" si="207"/>
        <v>-</v>
      </c>
      <c r="N2634" s="18" t="str">
        <f t="shared" si="208"/>
        <v>K1622:L5000</v>
      </c>
      <c r="O2634" t="str">
        <f t="shared" si="209"/>
        <v>A1622:A2634</v>
      </c>
    </row>
    <row r="2635" spans="1:15">
      <c r="A2635" s="18">
        <f>Charms!K2635</f>
        <v>0</v>
      </c>
      <c r="B2635">
        <f>Charms!B2635</f>
        <v>0</v>
      </c>
      <c r="C2635" t="b">
        <f ca="1">OR(Values!$S$98&gt;=Charms!M2635,IFERROR(Charms!J2635=OFFSET(Values!$A$24,MATCH("S",Values!$T$25:$T$50,0),0),FALSE))</f>
        <v>1</v>
      </c>
      <c r="D2635" t="e">
        <f>VLOOKUP(Charms!J2635,Values!$A$11:$S$59,19,0)&gt;=Charms!L2635</f>
        <v>#N/A</v>
      </c>
      <c r="E2635" t="e">
        <f>OR(ISBLANK(Charms!I2635),(VLOOKUP(Values!$S$6,Castes!$B$2:$F$25,4,0)=Charms!I2635))</f>
        <v>#N/A</v>
      </c>
      <c r="J2635" t="e">
        <f t="shared" ca="1" si="206"/>
        <v>#N/A</v>
      </c>
      <c r="K2635" s="18" t="e">
        <f t="shared" ca="1" si="205"/>
        <v>#N/A</v>
      </c>
      <c r="L2635" t="e">
        <f ca="1">IF(J2635,Charms!B2635,"")</f>
        <v>#N/A</v>
      </c>
      <c r="M2635" t="str">
        <f t="shared" ca="1" si="207"/>
        <v>-</v>
      </c>
      <c r="N2635" s="18" t="str">
        <f t="shared" si="208"/>
        <v>K1622:L5000</v>
      </c>
      <c r="O2635" t="str">
        <f t="shared" si="209"/>
        <v>A1622:A2635</v>
      </c>
    </row>
    <row r="2636" spans="1:15">
      <c r="A2636" s="18">
        <f>Charms!K2636</f>
        <v>0</v>
      </c>
      <c r="B2636">
        <f>Charms!B2636</f>
        <v>0</v>
      </c>
      <c r="C2636" t="b">
        <f ca="1">OR(Values!$S$98&gt;=Charms!M2636,IFERROR(Charms!J2636=OFFSET(Values!$A$24,MATCH("S",Values!$T$25:$T$50,0),0),FALSE))</f>
        <v>1</v>
      </c>
      <c r="D2636" t="e">
        <f>VLOOKUP(Charms!J2636,Values!$A$11:$S$59,19,0)&gt;=Charms!L2636</f>
        <v>#N/A</v>
      </c>
      <c r="E2636" t="e">
        <f>OR(ISBLANK(Charms!I2636),(VLOOKUP(Values!$S$6,Castes!$B$2:$F$25,4,0)=Charms!I2636))</f>
        <v>#N/A</v>
      </c>
      <c r="J2636" t="e">
        <f t="shared" ca="1" si="206"/>
        <v>#N/A</v>
      </c>
      <c r="K2636" s="18" t="e">
        <f t="shared" ca="1" si="205"/>
        <v>#N/A</v>
      </c>
      <c r="L2636" t="e">
        <f ca="1">IF(J2636,Charms!B2636,"")</f>
        <v>#N/A</v>
      </c>
      <c r="M2636" t="str">
        <f t="shared" ca="1" si="207"/>
        <v>-</v>
      </c>
      <c r="N2636" s="18" t="str">
        <f t="shared" si="208"/>
        <v>K1622:L5000</v>
      </c>
      <c r="O2636" t="str">
        <f t="shared" si="209"/>
        <v>A1622:A2636</v>
      </c>
    </row>
    <row r="2637" spans="1:15">
      <c r="A2637" s="18">
        <f>Charms!K2637</f>
        <v>0</v>
      </c>
      <c r="B2637">
        <f>Charms!B2637</f>
        <v>0</v>
      </c>
      <c r="C2637" t="b">
        <f ca="1">OR(Values!$S$98&gt;=Charms!M2637,IFERROR(Charms!J2637=OFFSET(Values!$A$24,MATCH("S",Values!$T$25:$T$50,0),0),FALSE))</f>
        <v>1</v>
      </c>
      <c r="D2637" t="e">
        <f>VLOOKUP(Charms!J2637,Values!$A$11:$S$59,19,0)&gt;=Charms!L2637</f>
        <v>#N/A</v>
      </c>
      <c r="E2637" t="e">
        <f>OR(ISBLANK(Charms!I2637),(VLOOKUP(Values!$S$6,Castes!$B$2:$F$25,4,0)=Charms!I2637))</f>
        <v>#N/A</v>
      </c>
      <c r="J2637" t="e">
        <f t="shared" ca="1" si="206"/>
        <v>#N/A</v>
      </c>
      <c r="K2637" s="18" t="e">
        <f t="shared" ca="1" si="205"/>
        <v>#N/A</v>
      </c>
      <c r="L2637" t="e">
        <f ca="1">IF(J2637,Charms!B2637,"")</f>
        <v>#N/A</v>
      </c>
      <c r="M2637" t="str">
        <f t="shared" ca="1" si="207"/>
        <v>-</v>
      </c>
      <c r="N2637" s="18" t="str">
        <f t="shared" si="208"/>
        <v>K1622:L5000</v>
      </c>
      <c r="O2637" t="str">
        <f t="shared" si="209"/>
        <v>A1622:A2637</v>
      </c>
    </row>
    <row r="2638" spans="1:15">
      <c r="A2638" s="18">
        <f>Charms!K2638</f>
        <v>0</v>
      </c>
      <c r="B2638">
        <f>Charms!B2638</f>
        <v>0</v>
      </c>
      <c r="C2638" t="b">
        <f ca="1">OR(Values!$S$98&gt;=Charms!M2638,IFERROR(Charms!J2638=OFFSET(Values!$A$24,MATCH("S",Values!$T$25:$T$50,0),0),FALSE))</f>
        <v>1</v>
      </c>
      <c r="D2638" t="e">
        <f>VLOOKUP(Charms!J2638,Values!$A$11:$S$59,19,0)&gt;=Charms!L2638</f>
        <v>#N/A</v>
      </c>
      <c r="E2638" t="e">
        <f>OR(ISBLANK(Charms!I2638),(VLOOKUP(Values!$S$6,Castes!$B$2:$F$25,4,0)=Charms!I2638))</f>
        <v>#N/A</v>
      </c>
      <c r="J2638" t="e">
        <f t="shared" ca="1" si="206"/>
        <v>#N/A</v>
      </c>
      <c r="K2638" s="18" t="e">
        <f t="shared" ca="1" si="205"/>
        <v>#N/A</v>
      </c>
      <c r="L2638" t="e">
        <f ca="1">IF(J2638,Charms!B2638,"")</f>
        <v>#N/A</v>
      </c>
      <c r="M2638" t="str">
        <f t="shared" ca="1" si="207"/>
        <v>-</v>
      </c>
      <c r="N2638" s="18" t="str">
        <f t="shared" si="208"/>
        <v>K1622:L5000</v>
      </c>
      <c r="O2638" t="str">
        <f t="shared" si="209"/>
        <v>A1622:A2638</v>
      </c>
    </row>
    <row r="2639" spans="1:15">
      <c r="A2639" s="18">
        <f>Charms!K2639</f>
        <v>0</v>
      </c>
      <c r="B2639">
        <f>Charms!B2639</f>
        <v>0</v>
      </c>
      <c r="C2639" t="b">
        <f ca="1">OR(Values!$S$98&gt;=Charms!M2639,IFERROR(Charms!J2639=OFFSET(Values!$A$24,MATCH("S",Values!$T$25:$T$50,0),0),FALSE))</f>
        <v>1</v>
      </c>
      <c r="D2639" t="e">
        <f>VLOOKUP(Charms!J2639,Values!$A$11:$S$59,19,0)&gt;=Charms!L2639</f>
        <v>#N/A</v>
      </c>
      <c r="E2639" t="e">
        <f>OR(ISBLANK(Charms!I2639),(VLOOKUP(Values!$S$6,Castes!$B$2:$F$25,4,0)=Charms!I2639))</f>
        <v>#N/A</v>
      </c>
      <c r="J2639" t="e">
        <f t="shared" ca="1" si="206"/>
        <v>#N/A</v>
      </c>
      <c r="K2639" s="18" t="e">
        <f t="shared" ca="1" si="205"/>
        <v>#N/A</v>
      </c>
      <c r="L2639" t="e">
        <f ca="1">IF(J2639,Charms!B2639,"")</f>
        <v>#N/A</v>
      </c>
      <c r="M2639" t="str">
        <f t="shared" ca="1" si="207"/>
        <v>-</v>
      </c>
      <c r="N2639" s="18" t="str">
        <f t="shared" si="208"/>
        <v>K1622:L5000</v>
      </c>
      <c r="O2639" t="str">
        <f t="shared" si="209"/>
        <v>A1622:A2639</v>
      </c>
    </row>
    <row r="2640" spans="1:15">
      <c r="A2640" s="18">
        <f>Charms!K2640</f>
        <v>0</v>
      </c>
      <c r="B2640">
        <f>Charms!B2640</f>
        <v>0</v>
      </c>
      <c r="C2640" t="b">
        <f ca="1">OR(Values!$S$98&gt;=Charms!M2640,IFERROR(Charms!J2640=OFFSET(Values!$A$24,MATCH("S",Values!$T$25:$T$50,0),0),FALSE))</f>
        <v>1</v>
      </c>
      <c r="D2640" t="e">
        <f>VLOOKUP(Charms!J2640,Values!$A$11:$S$59,19,0)&gt;=Charms!L2640</f>
        <v>#N/A</v>
      </c>
      <c r="E2640" t="e">
        <f>OR(ISBLANK(Charms!I2640),(VLOOKUP(Values!$S$6,Castes!$B$2:$F$25,4,0)=Charms!I2640))</f>
        <v>#N/A</v>
      </c>
      <c r="J2640" t="e">
        <f t="shared" ca="1" si="206"/>
        <v>#N/A</v>
      </c>
      <c r="K2640" s="18" t="e">
        <f t="shared" ca="1" si="205"/>
        <v>#N/A</v>
      </c>
      <c r="L2640" t="e">
        <f ca="1">IF(J2640,Charms!B2640,"")</f>
        <v>#N/A</v>
      </c>
      <c r="M2640" t="str">
        <f t="shared" ca="1" si="207"/>
        <v>-</v>
      </c>
      <c r="N2640" s="18" t="str">
        <f t="shared" si="208"/>
        <v>K1622:L5000</v>
      </c>
      <c r="O2640" t="str">
        <f t="shared" si="209"/>
        <v>A1622:A2640</v>
      </c>
    </row>
    <row r="2641" spans="1:15">
      <c r="A2641" s="18">
        <f>Charms!K2641</f>
        <v>0</v>
      </c>
      <c r="B2641">
        <f>Charms!B2641</f>
        <v>0</v>
      </c>
      <c r="C2641" t="b">
        <f ca="1">OR(Values!$S$98&gt;=Charms!M2641,IFERROR(Charms!J2641=OFFSET(Values!$A$24,MATCH("S",Values!$T$25:$T$50,0),0),FALSE))</f>
        <v>1</v>
      </c>
      <c r="D2641" t="e">
        <f>VLOOKUP(Charms!J2641,Values!$A$11:$S$59,19,0)&gt;=Charms!L2641</f>
        <v>#N/A</v>
      </c>
      <c r="E2641" t="e">
        <f>OR(ISBLANK(Charms!I2641),(VLOOKUP(Values!$S$6,Castes!$B$2:$F$25,4,0)=Charms!I2641))</f>
        <v>#N/A</v>
      </c>
      <c r="J2641" t="e">
        <f t="shared" ca="1" si="206"/>
        <v>#N/A</v>
      </c>
      <c r="K2641" s="18" t="e">
        <f t="shared" ca="1" si="205"/>
        <v>#N/A</v>
      </c>
      <c r="L2641" t="e">
        <f ca="1">IF(J2641,Charms!B2641,"")</f>
        <v>#N/A</v>
      </c>
      <c r="M2641" t="str">
        <f t="shared" ca="1" si="207"/>
        <v>-</v>
      </c>
      <c r="N2641" s="18" t="str">
        <f t="shared" si="208"/>
        <v>K1622:L5000</v>
      </c>
      <c r="O2641" t="str">
        <f t="shared" si="209"/>
        <v>A1622:A2641</v>
      </c>
    </row>
    <row r="2642" spans="1:15">
      <c r="A2642" s="18">
        <f>Charms!K2642</f>
        <v>0</v>
      </c>
      <c r="B2642">
        <f>Charms!B2642</f>
        <v>0</v>
      </c>
      <c r="C2642" t="b">
        <f ca="1">OR(Values!$S$98&gt;=Charms!M2642,IFERROR(Charms!J2642=OFFSET(Values!$A$24,MATCH("S",Values!$T$25:$T$50,0),0),FALSE))</f>
        <v>1</v>
      </c>
      <c r="D2642" t="e">
        <f>VLOOKUP(Charms!J2642,Values!$A$11:$S$59,19,0)&gt;=Charms!L2642</f>
        <v>#N/A</v>
      </c>
      <c r="E2642" t="e">
        <f>OR(ISBLANK(Charms!I2642),(VLOOKUP(Values!$S$6,Castes!$B$2:$F$25,4,0)=Charms!I2642))</f>
        <v>#N/A</v>
      </c>
      <c r="J2642" t="e">
        <f t="shared" ca="1" si="206"/>
        <v>#N/A</v>
      </c>
      <c r="K2642" s="18" t="e">
        <f t="shared" ca="1" si="205"/>
        <v>#N/A</v>
      </c>
      <c r="L2642" t="e">
        <f ca="1">IF(J2642,Charms!B2642,"")</f>
        <v>#N/A</v>
      </c>
      <c r="M2642" t="str">
        <f t="shared" ca="1" si="207"/>
        <v>-</v>
      </c>
      <c r="N2642" s="18" t="str">
        <f t="shared" si="208"/>
        <v>K1622:L5000</v>
      </c>
      <c r="O2642" t="str">
        <f t="shared" si="209"/>
        <v>A1622:A2642</v>
      </c>
    </row>
    <row r="2643" spans="1:15">
      <c r="A2643" s="18">
        <f>Charms!K2643</f>
        <v>0</v>
      </c>
      <c r="B2643">
        <f>Charms!B2643</f>
        <v>0</v>
      </c>
      <c r="C2643" t="b">
        <f ca="1">OR(Values!$S$98&gt;=Charms!M2643,IFERROR(Charms!J2643=OFFSET(Values!$A$24,MATCH("S",Values!$T$25:$T$50,0),0),FALSE))</f>
        <v>1</v>
      </c>
      <c r="D2643" t="e">
        <f>VLOOKUP(Charms!J2643,Values!$A$11:$S$59,19,0)&gt;=Charms!L2643</f>
        <v>#N/A</v>
      </c>
      <c r="E2643" t="e">
        <f>OR(ISBLANK(Charms!I2643),(VLOOKUP(Values!$S$6,Castes!$B$2:$F$25,4,0)=Charms!I2643))</f>
        <v>#N/A</v>
      </c>
      <c r="J2643" t="e">
        <f t="shared" ca="1" si="206"/>
        <v>#N/A</v>
      </c>
      <c r="K2643" s="18" t="e">
        <f t="shared" ca="1" si="205"/>
        <v>#N/A</v>
      </c>
      <c r="L2643" t="e">
        <f ca="1">IF(J2643,Charms!B2643,"")</f>
        <v>#N/A</v>
      </c>
      <c r="M2643" t="str">
        <f t="shared" ca="1" si="207"/>
        <v>-</v>
      </c>
      <c r="N2643" s="18" t="str">
        <f t="shared" si="208"/>
        <v>K1622:L5000</v>
      </c>
      <c r="O2643" t="str">
        <f t="shared" si="209"/>
        <v>A1622:A2643</v>
      </c>
    </row>
    <row r="2644" spans="1:15">
      <c r="A2644" s="18">
        <f>Charms!K2644</f>
        <v>0</v>
      </c>
      <c r="B2644">
        <f>Charms!B2644</f>
        <v>0</v>
      </c>
      <c r="C2644" t="b">
        <f ca="1">OR(Values!$S$98&gt;=Charms!M2644,IFERROR(Charms!J2644=OFFSET(Values!$A$24,MATCH("S",Values!$T$25:$T$50,0),0),FALSE))</f>
        <v>1</v>
      </c>
      <c r="D2644" t="e">
        <f>VLOOKUP(Charms!J2644,Values!$A$11:$S$59,19,0)&gt;=Charms!L2644</f>
        <v>#N/A</v>
      </c>
      <c r="E2644" t="e">
        <f>OR(ISBLANK(Charms!I2644),(VLOOKUP(Values!$S$6,Castes!$B$2:$F$25,4,0)=Charms!I2644))</f>
        <v>#N/A</v>
      </c>
      <c r="J2644" t="e">
        <f t="shared" ca="1" si="206"/>
        <v>#N/A</v>
      </c>
      <c r="K2644" s="18" t="e">
        <f t="shared" ca="1" si="205"/>
        <v>#N/A</v>
      </c>
      <c r="L2644" t="e">
        <f ca="1">IF(J2644,Charms!B2644,"")</f>
        <v>#N/A</v>
      </c>
      <c r="M2644" t="str">
        <f t="shared" ca="1" si="207"/>
        <v>-</v>
      </c>
      <c r="N2644" s="18" t="str">
        <f t="shared" si="208"/>
        <v>K1622:L5000</v>
      </c>
      <c r="O2644" t="str">
        <f t="shared" si="209"/>
        <v>A1622:A2644</v>
      </c>
    </row>
    <row r="2645" spans="1:15">
      <c r="A2645" s="18">
        <f>Charms!K2645</f>
        <v>0</v>
      </c>
      <c r="B2645">
        <f>Charms!B2645</f>
        <v>0</v>
      </c>
      <c r="C2645" t="b">
        <f ca="1">OR(Values!$S$98&gt;=Charms!M2645,IFERROR(Charms!J2645=OFFSET(Values!$A$24,MATCH("S",Values!$T$25:$T$50,0),0),FALSE))</f>
        <v>1</v>
      </c>
      <c r="D2645" t="e">
        <f>VLOOKUP(Charms!J2645,Values!$A$11:$S$59,19,0)&gt;=Charms!L2645</f>
        <v>#N/A</v>
      </c>
      <c r="E2645" t="e">
        <f>OR(ISBLANK(Charms!I2645),(VLOOKUP(Values!$S$6,Castes!$B$2:$F$25,4,0)=Charms!I2645))</f>
        <v>#N/A</v>
      </c>
      <c r="J2645" t="e">
        <f t="shared" ca="1" si="206"/>
        <v>#N/A</v>
      </c>
      <c r="K2645" s="18" t="e">
        <f t="shared" ca="1" si="205"/>
        <v>#N/A</v>
      </c>
      <c r="L2645" t="e">
        <f ca="1">IF(J2645,Charms!B2645,"")</f>
        <v>#N/A</v>
      </c>
      <c r="M2645" t="str">
        <f t="shared" ca="1" si="207"/>
        <v>-</v>
      </c>
      <c r="N2645" s="18" t="str">
        <f t="shared" si="208"/>
        <v>K1622:L5000</v>
      </c>
      <c r="O2645" t="str">
        <f t="shared" si="209"/>
        <v>A1622:A2645</v>
      </c>
    </row>
    <row r="2646" spans="1:15">
      <c r="A2646" s="18">
        <f>Charms!K2646</f>
        <v>0</v>
      </c>
      <c r="B2646">
        <f>Charms!B2646</f>
        <v>0</v>
      </c>
      <c r="C2646" t="b">
        <f ca="1">OR(Values!$S$98&gt;=Charms!M2646,IFERROR(Charms!J2646=OFFSET(Values!$A$24,MATCH("S",Values!$T$25:$T$50,0),0),FALSE))</f>
        <v>1</v>
      </c>
      <c r="D2646" t="e">
        <f>VLOOKUP(Charms!J2646,Values!$A$11:$S$59,19,0)&gt;=Charms!L2646</f>
        <v>#N/A</v>
      </c>
      <c r="E2646" t="e">
        <f>OR(ISBLANK(Charms!I2646),(VLOOKUP(Values!$S$6,Castes!$B$2:$F$25,4,0)=Charms!I2646))</f>
        <v>#N/A</v>
      </c>
      <c r="J2646" t="e">
        <f t="shared" ca="1" si="206"/>
        <v>#N/A</v>
      </c>
      <c r="K2646" s="18" t="e">
        <f t="shared" ca="1" si="205"/>
        <v>#N/A</v>
      </c>
      <c r="L2646" t="e">
        <f ca="1">IF(J2646,Charms!B2646,"")</f>
        <v>#N/A</v>
      </c>
      <c r="M2646" t="str">
        <f t="shared" ca="1" si="207"/>
        <v>-</v>
      </c>
      <c r="N2646" s="18" t="str">
        <f t="shared" si="208"/>
        <v>K1622:L5000</v>
      </c>
      <c r="O2646" t="str">
        <f t="shared" si="209"/>
        <v>A1622:A2646</v>
      </c>
    </row>
    <row r="2647" spans="1:15">
      <c r="A2647" s="18">
        <f>Charms!K2647</f>
        <v>0</v>
      </c>
      <c r="B2647">
        <f>Charms!B2647</f>
        <v>0</v>
      </c>
      <c r="C2647" t="b">
        <f ca="1">OR(Values!$S$98&gt;=Charms!M2647,IFERROR(Charms!J2647=OFFSET(Values!$A$24,MATCH("S",Values!$T$25:$T$50,0),0),FALSE))</f>
        <v>1</v>
      </c>
      <c r="D2647" t="e">
        <f>VLOOKUP(Charms!J2647,Values!$A$11:$S$59,19,0)&gt;=Charms!L2647</f>
        <v>#N/A</v>
      </c>
      <c r="E2647" t="e">
        <f>OR(ISBLANK(Charms!I2647),(VLOOKUP(Values!$S$6,Castes!$B$2:$F$25,4,0)=Charms!I2647))</f>
        <v>#N/A</v>
      </c>
      <c r="J2647" t="e">
        <f t="shared" ca="1" si="206"/>
        <v>#N/A</v>
      </c>
      <c r="K2647" s="18" t="e">
        <f t="shared" ca="1" si="205"/>
        <v>#N/A</v>
      </c>
      <c r="L2647" t="e">
        <f ca="1">IF(J2647,Charms!B2647,"")</f>
        <v>#N/A</v>
      </c>
      <c r="M2647" t="str">
        <f t="shared" ca="1" si="207"/>
        <v>-</v>
      </c>
      <c r="N2647" s="18" t="str">
        <f t="shared" si="208"/>
        <v>K1622:L5000</v>
      </c>
      <c r="O2647" t="str">
        <f t="shared" si="209"/>
        <v>A1622:A2647</v>
      </c>
    </row>
    <row r="2648" spans="1:15">
      <c r="A2648" s="18">
        <f>Charms!K2648</f>
        <v>0</v>
      </c>
      <c r="B2648">
        <f>Charms!B2648</f>
        <v>0</v>
      </c>
      <c r="C2648" t="b">
        <f ca="1">OR(Values!$S$98&gt;=Charms!M2648,IFERROR(Charms!J2648=OFFSET(Values!$A$24,MATCH("S",Values!$T$25:$T$50,0),0),FALSE))</f>
        <v>1</v>
      </c>
      <c r="D2648" t="e">
        <f>VLOOKUP(Charms!J2648,Values!$A$11:$S$59,19,0)&gt;=Charms!L2648</f>
        <v>#N/A</v>
      </c>
      <c r="E2648" t="e">
        <f>OR(ISBLANK(Charms!I2648),(VLOOKUP(Values!$S$6,Castes!$B$2:$F$25,4,0)=Charms!I2648))</f>
        <v>#N/A</v>
      </c>
      <c r="J2648" t="e">
        <f t="shared" ca="1" si="206"/>
        <v>#N/A</v>
      </c>
      <c r="K2648" s="18" t="e">
        <f t="shared" ca="1" si="205"/>
        <v>#N/A</v>
      </c>
      <c r="L2648" t="e">
        <f ca="1">IF(J2648,Charms!B2648,"")</f>
        <v>#N/A</v>
      </c>
      <c r="M2648" t="str">
        <f t="shared" ca="1" si="207"/>
        <v>-</v>
      </c>
      <c r="N2648" s="18" t="str">
        <f t="shared" si="208"/>
        <v>K1622:L5000</v>
      </c>
      <c r="O2648" t="str">
        <f t="shared" si="209"/>
        <v>A1622:A2648</v>
      </c>
    </row>
    <row r="2649" spans="1:15">
      <c r="A2649" s="18">
        <f>Charms!K2649</f>
        <v>0</v>
      </c>
      <c r="B2649">
        <f>Charms!B2649</f>
        <v>0</v>
      </c>
      <c r="C2649" t="b">
        <f ca="1">OR(Values!$S$98&gt;=Charms!M2649,IFERROR(Charms!J2649=OFFSET(Values!$A$24,MATCH("S",Values!$T$25:$T$50,0),0),FALSE))</f>
        <v>1</v>
      </c>
      <c r="D2649" t="e">
        <f>VLOOKUP(Charms!J2649,Values!$A$11:$S$59,19,0)&gt;=Charms!L2649</f>
        <v>#N/A</v>
      </c>
      <c r="E2649" t="e">
        <f>OR(ISBLANK(Charms!I2649),(VLOOKUP(Values!$S$6,Castes!$B$2:$F$25,4,0)=Charms!I2649))</f>
        <v>#N/A</v>
      </c>
      <c r="J2649" t="e">
        <f t="shared" ca="1" si="206"/>
        <v>#N/A</v>
      </c>
      <c r="K2649" s="18" t="e">
        <f t="shared" ca="1" si="205"/>
        <v>#N/A</v>
      </c>
      <c r="L2649" t="e">
        <f ca="1">IF(J2649,Charms!B2649,"")</f>
        <v>#N/A</v>
      </c>
      <c r="M2649" t="str">
        <f t="shared" ca="1" si="207"/>
        <v>-</v>
      </c>
      <c r="N2649" s="18" t="str">
        <f t="shared" si="208"/>
        <v>K1622:L5000</v>
      </c>
      <c r="O2649" t="str">
        <f t="shared" si="209"/>
        <v>A1622:A2649</v>
      </c>
    </row>
    <row r="2650" spans="1:15">
      <c r="A2650" s="18">
        <f>Charms!K2650</f>
        <v>0</v>
      </c>
      <c r="B2650">
        <f>Charms!B2650</f>
        <v>0</v>
      </c>
      <c r="C2650" t="b">
        <f ca="1">OR(Values!$S$98&gt;=Charms!M2650,IFERROR(Charms!J2650=OFFSET(Values!$A$24,MATCH("S",Values!$T$25:$T$50,0),0),FALSE))</f>
        <v>1</v>
      </c>
      <c r="D2650" t="e">
        <f>VLOOKUP(Charms!J2650,Values!$A$11:$S$59,19,0)&gt;=Charms!L2650</f>
        <v>#N/A</v>
      </c>
      <c r="E2650" t="e">
        <f>OR(ISBLANK(Charms!I2650),(VLOOKUP(Values!$S$6,Castes!$B$2:$F$25,4,0)=Charms!I2650))</f>
        <v>#N/A</v>
      </c>
      <c r="J2650" t="e">
        <f t="shared" ca="1" si="206"/>
        <v>#N/A</v>
      </c>
      <c r="K2650" s="18" t="e">
        <f t="shared" ca="1" si="205"/>
        <v>#N/A</v>
      </c>
      <c r="L2650" t="e">
        <f ca="1">IF(J2650,Charms!B2650,"")</f>
        <v>#N/A</v>
      </c>
      <c r="M2650" t="str">
        <f t="shared" ca="1" si="207"/>
        <v>-</v>
      </c>
      <c r="N2650" s="18" t="str">
        <f t="shared" si="208"/>
        <v>K1622:L5000</v>
      </c>
      <c r="O2650" t="str">
        <f t="shared" si="209"/>
        <v>A1622:A2650</v>
      </c>
    </row>
    <row r="2651" spans="1:15">
      <c r="A2651" s="18">
        <f>Charms!K2651</f>
        <v>0</v>
      </c>
      <c r="B2651">
        <f>Charms!B2651</f>
        <v>0</v>
      </c>
      <c r="C2651" t="b">
        <f ca="1">OR(Values!$S$98&gt;=Charms!M2651,IFERROR(Charms!J2651=OFFSET(Values!$A$24,MATCH("S",Values!$T$25:$T$50,0),0),FALSE))</f>
        <v>1</v>
      </c>
      <c r="D2651" t="e">
        <f>VLOOKUP(Charms!J2651,Values!$A$11:$S$59,19,0)&gt;=Charms!L2651</f>
        <v>#N/A</v>
      </c>
      <c r="E2651" t="e">
        <f>OR(ISBLANK(Charms!I2651),(VLOOKUP(Values!$S$6,Castes!$B$2:$F$25,4,0)=Charms!I2651))</f>
        <v>#N/A</v>
      </c>
      <c r="J2651" t="e">
        <f t="shared" ca="1" si="206"/>
        <v>#N/A</v>
      </c>
      <c r="K2651" s="18" t="e">
        <f t="shared" ca="1" si="205"/>
        <v>#N/A</v>
      </c>
      <c r="L2651" t="e">
        <f ca="1">IF(J2651,Charms!B2651,"")</f>
        <v>#N/A</v>
      </c>
      <c r="M2651" t="str">
        <f t="shared" ca="1" si="207"/>
        <v>-</v>
      </c>
      <c r="N2651" s="18" t="str">
        <f t="shared" si="208"/>
        <v>K1622:L5000</v>
      </c>
      <c r="O2651" t="str">
        <f t="shared" si="209"/>
        <v>A1622:A2651</v>
      </c>
    </row>
    <row r="2652" spans="1:15">
      <c r="A2652" s="18">
        <f>Charms!K2652</f>
        <v>0</v>
      </c>
      <c r="B2652">
        <f>Charms!B2652</f>
        <v>0</v>
      </c>
      <c r="C2652" t="b">
        <f ca="1">OR(Values!$S$98&gt;=Charms!M2652,IFERROR(Charms!J2652=OFFSET(Values!$A$24,MATCH("S",Values!$T$25:$T$50,0),0),FALSE))</f>
        <v>1</v>
      </c>
      <c r="D2652" t="e">
        <f>VLOOKUP(Charms!J2652,Values!$A$11:$S$59,19,0)&gt;=Charms!L2652</f>
        <v>#N/A</v>
      </c>
      <c r="E2652" t="e">
        <f>OR(ISBLANK(Charms!I2652),(VLOOKUP(Values!$S$6,Castes!$B$2:$F$25,4,0)=Charms!I2652))</f>
        <v>#N/A</v>
      </c>
      <c r="J2652" t="e">
        <f t="shared" ca="1" si="206"/>
        <v>#N/A</v>
      </c>
      <c r="K2652" s="18" t="e">
        <f t="shared" ca="1" si="205"/>
        <v>#N/A</v>
      </c>
      <c r="L2652" t="e">
        <f ca="1">IF(J2652,Charms!B2652,"")</f>
        <v>#N/A</v>
      </c>
      <c r="M2652" t="str">
        <f t="shared" ca="1" si="207"/>
        <v>-</v>
      </c>
      <c r="N2652" s="18" t="str">
        <f t="shared" si="208"/>
        <v>K1622:L5000</v>
      </c>
      <c r="O2652" t="str">
        <f t="shared" si="209"/>
        <v>A1622:A2652</v>
      </c>
    </row>
    <row r="2653" spans="1:15">
      <c r="A2653" s="18">
        <f>Charms!K2653</f>
        <v>0</v>
      </c>
      <c r="B2653">
        <f>Charms!B2653</f>
        <v>0</v>
      </c>
      <c r="C2653" t="b">
        <f ca="1">OR(Values!$S$98&gt;=Charms!M2653,IFERROR(Charms!J2653=OFFSET(Values!$A$24,MATCH("S",Values!$T$25:$T$50,0),0),FALSE))</f>
        <v>1</v>
      </c>
      <c r="D2653" t="e">
        <f>VLOOKUP(Charms!J2653,Values!$A$11:$S$59,19,0)&gt;=Charms!L2653</f>
        <v>#N/A</v>
      </c>
      <c r="E2653" t="e">
        <f>OR(ISBLANK(Charms!I2653),(VLOOKUP(Values!$S$6,Castes!$B$2:$F$25,4,0)=Charms!I2653))</f>
        <v>#N/A</v>
      </c>
      <c r="J2653" t="e">
        <f t="shared" ca="1" si="206"/>
        <v>#N/A</v>
      </c>
      <c r="K2653" s="18" t="e">
        <f t="shared" ca="1" si="205"/>
        <v>#N/A</v>
      </c>
      <c r="L2653" t="e">
        <f ca="1">IF(J2653,Charms!B2653,"")</f>
        <v>#N/A</v>
      </c>
      <c r="M2653" t="str">
        <f t="shared" ca="1" si="207"/>
        <v>-</v>
      </c>
      <c r="N2653" s="18" t="str">
        <f t="shared" si="208"/>
        <v>K1622:L5000</v>
      </c>
      <c r="O2653" t="str">
        <f t="shared" si="209"/>
        <v>A1622:A2653</v>
      </c>
    </row>
    <row r="2654" spans="1:15">
      <c r="A2654" s="18">
        <f>Charms!K2654</f>
        <v>0</v>
      </c>
      <c r="B2654">
        <f>Charms!B2654</f>
        <v>0</v>
      </c>
      <c r="C2654" t="b">
        <f ca="1">OR(Values!$S$98&gt;=Charms!M2654,IFERROR(Charms!J2654=OFFSET(Values!$A$24,MATCH("S",Values!$T$25:$T$50,0),0),FALSE))</f>
        <v>1</v>
      </c>
      <c r="D2654" t="e">
        <f>VLOOKUP(Charms!J2654,Values!$A$11:$S$59,19,0)&gt;=Charms!L2654</f>
        <v>#N/A</v>
      </c>
      <c r="E2654" t="e">
        <f>OR(ISBLANK(Charms!I2654),(VLOOKUP(Values!$S$6,Castes!$B$2:$F$25,4,0)=Charms!I2654))</f>
        <v>#N/A</v>
      </c>
      <c r="J2654" t="e">
        <f t="shared" ca="1" si="206"/>
        <v>#N/A</v>
      </c>
      <c r="K2654" s="18" t="e">
        <f t="shared" ca="1" si="205"/>
        <v>#N/A</v>
      </c>
      <c r="L2654" t="e">
        <f ca="1">IF(J2654,Charms!B2654,"")</f>
        <v>#N/A</v>
      </c>
      <c r="M2654" t="str">
        <f t="shared" ca="1" si="207"/>
        <v>-</v>
      </c>
      <c r="N2654" s="18" t="str">
        <f t="shared" si="208"/>
        <v>K1622:L5000</v>
      </c>
      <c r="O2654" t="str">
        <f t="shared" si="209"/>
        <v>A1622:A2654</v>
      </c>
    </row>
    <row r="2655" spans="1:15">
      <c r="A2655" s="18">
        <f>Charms!K2655</f>
        <v>0</v>
      </c>
      <c r="B2655">
        <f>Charms!B2655</f>
        <v>0</v>
      </c>
      <c r="C2655" t="b">
        <f ca="1">OR(Values!$S$98&gt;=Charms!M2655,IFERROR(Charms!J2655=OFFSET(Values!$A$24,MATCH("S",Values!$T$25:$T$50,0),0),FALSE))</f>
        <v>1</v>
      </c>
      <c r="D2655" t="e">
        <f>VLOOKUP(Charms!J2655,Values!$A$11:$S$59,19,0)&gt;=Charms!L2655</f>
        <v>#N/A</v>
      </c>
      <c r="E2655" t="e">
        <f>OR(ISBLANK(Charms!I2655),(VLOOKUP(Values!$S$6,Castes!$B$2:$F$25,4,0)=Charms!I2655))</f>
        <v>#N/A</v>
      </c>
      <c r="J2655" t="e">
        <f t="shared" ca="1" si="206"/>
        <v>#N/A</v>
      </c>
      <c r="K2655" s="18" t="e">
        <f t="shared" ca="1" si="205"/>
        <v>#N/A</v>
      </c>
      <c r="L2655" t="e">
        <f ca="1">IF(J2655,Charms!B2655,"")</f>
        <v>#N/A</v>
      </c>
      <c r="M2655" t="str">
        <f t="shared" ca="1" si="207"/>
        <v>-</v>
      </c>
      <c r="N2655" s="18" t="str">
        <f t="shared" si="208"/>
        <v>K1622:L5000</v>
      </c>
      <c r="O2655" t="str">
        <f t="shared" si="209"/>
        <v>A1622:A2655</v>
      </c>
    </row>
    <row r="2656" spans="1:15">
      <c r="A2656" s="18">
        <f>Charms!K2656</f>
        <v>0</v>
      </c>
      <c r="B2656">
        <f>Charms!B2656</f>
        <v>0</v>
      </c>
      <c r="C2656" t="b">
        <f ca="1">OR(Values!$S$98&gt;=Charms!M2656,IFERROR(Charms!J2656=OFFSET(Values!$A$24,MATCH("S",Values!$T$25:$T$50,0),0),FALSE))</f>
        <v>1</v>
      </c>
      <c r="D2656" t="e">
        <f>VLOOKUP(Charms!J2656,Values!$A$11:$S$59,19,0)&gt;=Charms!L2656</f>
        <v>#N/A</v>
      </c>
      <c r="E2656" t="e">
        <f>OR(ISBLANK(Charms!I2656),(VLOOKUP(Values!$S$6,Castes!$B$2:$F$25,4,0)=Charms!I2656))</f>
        <v>#N/A</v>
      </c>
      <c r="J2656" t="e">
        <f t="shared" ca="1" si="206"/>
        <v>#N/A</v>
      </c>
      <c r="K2656" s="18" t="e">
        <f t="shared" ca="1" si="205"/>
        <v>#N/A</v>
      </c>
      <c r="L2656" t="e">
        <f ca="1">IF(J2656,Charms!B2656,"")</f>
        <v>#N/A</v>
      </c>
      <c r="M2656" t="str">
        <f t="shared" ca="1" si="207"/>
        <v>-</v>
      </c>
      <c r="N2656" s="18" t="str">
        <f t="shared" si="208"/>
        <v>K1622:L5000</v>
      </c>
      <c r="O2656" t="str">
        <f t="shared" si="209"/>
        <v>A1622:A2656</v>
      </c>
    </row>
    <row r="2657" spans="1:15">
      <c r="A2657" s="18">
        <f>Charms!K2657</f>
        <v>0</v>
      </c>
      <c r="B2657">
        <f>Charms!B2657</f>
        <v>0</v>
      </c>
      <c r="C2657" t="b">
        <f ca="1">OR(Values!$S$98&gt;=Charms!M2657,IFERROR(Charms!J2657=OFFSET(Values!$A$24,MATCH("S",Values!$T$25:$T$50,0),0),FALSE))</f>
        <v>1</v>
      </c>
      <c r="D2657" t="e">
        <f>VLOOKUP(Charms!J2657,Values!$A$11:$S$59,19,0)&gt;=Charms!L2657</f>
        <v>#N/A</v>
      </c>
      <c r="E2657" t="e">
        <f>OR(ISBLANK(Charms!I2657),(VLOOKUP(Values!$S$6,Castes!$B$2:$F$25,4,0)=Charms!I2657))</f>
        <v>#N/A</v>
      </c>
      <c r="J2657" t="e">
        <f t="shared" ca="1" si="206"/>
        <v>#N/A</v>
      </c>
      <c r="K2657" s="18" t="e">
        <f t="shared" ca="1" si="205"/>
        <v>#N/A</v>
      </c>
      <c r="L2657" t="e">
        <f ca="1">IF(J2657,Charms!B2657,"")</f>
        <v>#N/A</v>
      </c>
      <c r="M2657" t="str">
        <f t="shared" ca="1" si="207"/>
        <v>-</v>
      </c>
      <c r="N2657" s="18" t="str">
        <f t="shared" si="208"/>
        <v>K1622:L5000</v>
      </c>
      <c r="O2657" t="str">
        <f t="shared" si="209"/>
        <v>A1622:A2657</v>
      </c>
    </row>
    <row r="2658" spans="1:15">
      <c r="A2658" s="18">
        <f>Charms!K2658</f>
        <v>0</v>
      </c>
      <c r="B2658">
        <f>Charms!B2658</f>
        <v>0</v>
      </c>
      <c r="C2658" t="b">
        <f ca="1">OR(Values!$S$98&gt;=Charms!M2658,IFERROR(Charms!J2658=OFFSET(Values!$A$24,MATCH("S",Values!$T$25:$T$50,0),0),FALSE))</f>
        <v>1</v>
      </c>
      <c r="D2658" t="e">
        <f>VLOOKUP(Charms!J2658,Values!$A$11:$S$59,19,0)&gt;=Charms!L2658</f>
        <v>#N/A</v>
      </c>
      <c r="E2658" t="e">
        <f>OR(ISBLANK(Charms!I2658),(VLOOKUP(Values!$S$6,Castes!$B$2:$F$25,4,0)=Charms!I2658))</f>
        <v>#N/A</v>
      </c>
      <c r="J2658" t="e">
        <f t="shared" ca="1" si="206"/>
        <v>#N/A</v>
      </c>
      <c r="K2658" s="18" t="e">
        <f t="shared" ca="1" si="205"/>
        <v>#N/A</v>
      </c>
      <c r="L2658" t="e">
        <f ca="1">IF(J2658,Charms!B2658,"")</f>
        <v>#N/A</v>
      </c>
      <c r="M2658" t="str">
        <f t="shared" ca="1" si="207"/>
        <v>-</v>
      </c>
      <c r="N2658" s="18" t="str">
        <f t="shared" si="208"/>
        <v>K1622:L5000</v>
      </c>
      <c r="O2658" t="str">
        <f t="shared" si="209"/>
        <v>A1622:A2658</v>
      </c>
    </row>
    <row r="2659" spans="1:15">
      <c r="A2659" s="18">
        <f>Charms!K2659</f>
        <v>0</v>
      </c>
      <c r="B2659">
        <f>Charms!B2659</f>
        <v>0</v>
      </c>
      <c r="C2659" t="b">
        <f ca="1">OR(Values!$S$98&gt;=Charms!M2659,IFERROR(Charms!J2659=OFFSET(Values!$A$24,MATCH("S",Values!$T$25:$T$50,0),0),FALSE))</f>
        <v>1</v>
      </c>
      <c r="D2659" t="e">
        <f>VLOOKUP(Charms!J2659,Values!$A$11:$S$59,19,0)&gt;=Charms!L2659</f>
        <v>#N/A</v>
      </c>
      <c r="E2659" t="e">
        <f>OR(ISBLANK(Charms!I2659),(VLOOKUP(Values!$S$6,Castes!$B$2:$F$25,4,0)=Charms!I2659))</f>
        <v>#N/A</v>
      </c>
      <c r="J2659" t="e">
        <f t="shared" ca="1" si="206"/>
        <v>#N/A</v>
      </c>
      <c r="K2659" s="18" t="e">
        <f t="shared" ca="1" si="205"/>
        <v>#N/A</v>
      </c>
      <c r="L2659" t="e">
        <f ca="1">IF(J2659,Charms!B2659,"")</f>
        <v>#N/A</v>
      </c>
      <c r="M2659" t="str">
        <f t="shared" ca="1" si="207"/>
        <v>-</v>
      </c>
      <c r="N2659" s="18" t="str">
        <f t="shared" si="208"/>
        <v>K1622:L5000</v>
      </c>
      <c r="O2659" t="str">
        <f t="shared" si="209"/>
        <v>A1622:A2659</v>
      </c>
    </row>
    <row r="2660" spans="1:15">
      <c r="A2660" s="18">
        <f>Charms!K2660</f>
        <v>0</v>
      </c>
      <c r="B2660">
        <f>Charms!B2660</f>
        <v>0</v>
      </c>
      <c r="C2660" t="b">
        <f ca="1">OR(Values!$S$98&gt;=Charms!M2660,IFERROR(Charms!J2660=OFFSET(Values!$A$24,MATCH("S",Values!$T$25:$T$50,0),0),FALSE))</f>
        <v>1</v>
      </c>
      <c r="D2660" t="e">
        <f>VLOOKUP(Charms!J2660,Values!$A$11:$S$59,19,0)&gt;=Charms!L2660</f>
        <v>#N/A</v>
      </c>
      <c r="E2660" t="e">
        <f>OR(ISBLANK(Charms!I2660),(VLOOKUP(Values!$S$6,Castes!$B$2:$F$25,4,0)=Charms!I2660))</f>
        <v>#N/A</v>
      </c>
      <c r="J2660" t="e">
        <f t="shared" ca="1" si="206"/>
        <v>#N/A</v>
      </c>
      <c r="K2660" s="18" t="e">
        <f t="shared" ca="1" si="205"/>
        <v>#N/A</v>
      </c>
      <c r="L2660" t="e">
        <f ca="1">IF(J2660,Charms!B2660,"")</f>
        <v>#N/A</v>
      </c>
      <c r="M2660" t="str">
        <f t="shared" ca="1" si="207"/>
        <v>-</v>
      </c>
      <c r="N2660" s="18" t="str">
        <f t="shared" si="208"/>
        <v>K1622:L5000</v>
      </c>
      <c r="O2660" t="str">
        <f t="shared" si="209"/>
        <v>A1622:A2660</v>
      </c>
    </row>
    <row r="2661" spans="1:15">
      <c r="A2661" s="18">
        <f>Charms!K2661</f>
        <v>0</v>
      </c>
      <c r="B2661">
        <f>Charms!B2661</f>
        <v>0</v>
      </c>
      <c r="C2661" t="b">
        <f ca="1">OR(Values!$S$98&gt;=Charms!M2661,IFERROR(Charms!J2661=OFFSET(Values!$A$24,MATCH("S",Values!$T$25:$T$50,0),0),FALSE))</f>
        <v>1</v>
      </c>
      <c r="D2661" t="e">
        <f>VLOOKUP(Charms!J2661,Values!$A$11:$S$59,19,0)&gt;=Charms!L2661</f>
        <v>#N/A</v>
      </c>
      <c r="E2661" t="e">
        <f>OR(ISBLANK(Charms!I2661),(VLOOKUP(Values!$S$6,Castes!$B$2:$F$25,4,0)=Charms!I2661))</f>
        <v>#N/A</v>
      </c>
      <c r="J2661" t="e">
        <f t="shared" ca="1" si="206"/>
        <v>#N/A</v>
      </c>
      <c r="K2661" s="18" t="e">
        <f t="shared" ca="1" si="205"/>
        <v>#N/A</v>
      </c>
      <c r="L2661" t="e">
        <f ca="1">IF(J2661,Charms!B2661,"")</f>
        <v>#N/A</v>
      </c>
      <c r="M2661" t="str">
        <f t="shared" ca="1" si="207"/>
        <v>-</v>
      </c>
      <c r="N2661" s="18" t="str">
        <f t="shared" si="208"/>
        <v>K1622:L5000</v>
      </c>
      <c r="O2661" t="str">
        <f t="shared" si="209"/>
        <v>A1622:A2661</v>
      </c>
    </row>
    <row r="2662" spans="1:15">
      <c r="A2662" s="18">
        <f>Charms!K2662</f>
        <v>0</v>
      </c>
      <c r="B2662">
        <f>Charms!B2662</f>
        <v>0</v>
      </c>
      <c r="C2662" t="b">
        <f ca="1">OR(Values!$S$98&gt;=Charms!M2662,IFERROR(Charms!J2662=OFFSET(Values!$A$24,MATCH("S",Values!$T$25:$T$50,0),0),FALSE))</f>
        <v>1</v>
      </c>
      <c r="D2662" t="e">
        <f>VLOOKUP(Charms!J2662,Values!$A$11:$S$59,19,0)&gt;=Charms!L2662</f>
        <v>#N/A</v>
      </c>
      <c r="E2662" t="e">
        <f>OR(ISBLANK(Charms!I2662),(VLOOKUP(Values!$S$6,Castes!$B$2:$F$25,4,0)=Charms!I2662))</f>
        <v>#N/A</v>
      </c>
      <c r="J2662" t="e">
        <f t="shared" ca="1" si="206"/>
        <v>#N/A</v>
      </c>
      <c r="K2662" s="18" t="e">
        <f t="shared" ca="1" si="205"/>
        <v>#N/A</v>
      </c>
      <c r="L2662" t="e">
        <f ca="1">IF(J2662,Charms!B2662,"")</f>
        <v>#N/A</v>
      </c>
      <c r="M2662" t="str">
        <f t="shared" ca="1" si="207"/>
        <v>-</v>
      </c>
      <c r="N2662" s="18" t="str">
        <f t="shared" si="208"/>
        <v>K1622:L5000</v>
      </c>
      <c r="O2662" t="str">
        <f t="shared" si="209"/>
        <v>A1622:A2662</v>
      </c>
    </row>
    <row r="2663" spans="1:15">
      <c r="A2663" s="18">
        <f>Charms!K2663</f>
        <v>0</v>
      </c>
      <c r="B2663">
        <f>Charms!B2663</f>
        <v>0</v>
      </c>
      <c r="C2663" t="b">
        <f ca="1">OR(Values!$S$98&gt;=Charms!M2663,IFERROR(Charms!J2663=OFFSET(Values!$A$24,MATCH("S",Values!$T$25:$T$50,0),0),FALSE))</f>
        <v>1</v>
      </c>
      <c r="D2663" t="e">
        <f>VLOOKUP(Charms!J2663,Values!$A$11:$S$59,19,0)&gt;=Charms!L2663</f>
        <v>#N/A</v>
      </c>
      <c r="E2663" t="e">
        <f>OR(ISBLANK(Charms!I2663),(VLOOKUP(Values!$S$6,Castes!$B$2:$F$25,4,0)=Charms!I2663))</f>
        <v>#N/A</v>
      </c>
      <c r="J2663" t="e">
        <f t="shared" ca="1" si="206"/>
        <v>#N/A</v>
      </c>
      <c r="K2663" s="18" t="e">
        <f t="shared" ca="1" si="205"/>
        <v>#N/A</v>
      </c>
      <c r="L2663" t="e">
        <f ca="1">IF(J2663,Charms!B2663,"")</f>
        <v>#N/A</v>
      </c>
      <c r="M2663" t="str">
        <f t="shared" ca="1" si="207"/>
        <v>-</v>
      </c>
      <c r="N2663" s="18" t="str">
        <f t="shared" si="208"/>
        <v>K1622:L5000</v>
      </c>
      <c r="O2663" t="str">
        <f t="shared" si="209"/>
        <v>A1622:A2663</v>
      </c>
    </row>
    <row r="2664" spans="1:15">
      <c r="A2664" s="18">
        <f>Charms!K2664</f>
        <v>0</v>
      </c>
      <c r="B2664">
        <f>Charms!B2664</f>
        <v>0</v>
      </c>
      <c r="C2664" t="b">
        <f ca="1">OR(Values!$S$98&gt;=Charms!M2664,IFERROR(Charms!J2664=OFFSET(Values!$A$24,MATCH("S",Values!$T$25:$T$50,0),0),FALSE))</f>
        <v>1</v>
      </c>
      <c r="D2664" t="e">
        <f>VLOOKUP(Charms!J2664,Values!$A$11:$S$59,19,0)&gt;=Charms!L2664</f>
        <v>#N/A</v>
      </c>
      <c r="E2664" t="e">
        <f>OR(ISBLANK(Charms!I2664),(VLOOKUP(Values!$S$6,Castes!$B$2:$F$25,4,0)=Charms!I2664))</f>
        <v>#N/A</v>
      </c>
      <c r="J2664" t="e">
        <f t="shared" ca="1" si="206"/>
        <v>#N/A</v>
      </c>
      <c r="K2664" s="18" t="e">
        <f t="shared" ca="1" si="205"/>
        <v>#N/A</v>
      </c>
      <c r="L2664" t="e">
        <f ca="1">IF(J2664,Charms!B2664,"")</f>
        <v>#N/A</v>
      </c>
      <c r="M2664" t="str">
        <f t="shared" ca="1" si="207"/>
        <v>-</v>
      </c>
      <c r="N2664" s="18" t="str">
        <f t="shared" si="208"/>
        <v>K1622:L5000</v>
      </c>
      <c r="O2664" t="str">
        <f t="shared" si="209"/>
        <v>A1622:A2664</v>
      </c>
    </row>
    <row r="2665" spans="1:15">
      <c r="A2665" s="18">
        <f>Charms!K2665</f>
        <v>0</v>
      </c>
      <c r="B2665">
        <f>Charms!B2665</f>
        <v>0</v>
      </c>
      <c r="C2665" t="b">
        <f ca="1">OR(Values!$S$98&gt;=Charms!M2665,IFERROR(Charms!J2665=OFFSET(Values!$A$24,MATCH("S",Values!$T$25:$T$50,0),0),FALSE))</f>
        <v>1</v>
      </c>
      <c r="D2665" t="e">
        <f>VLOOKUP(Charms!J2665,Values!$A$11:$S$59,19,0)&gt;=Charms!L2665</f>
        <v>#N/A</v>
      </c>
      <c r="E2665" t="e">
        <f>OR(ISBLANK(Charms!I2665),(VLOOKUP(Values!$S$6,Castes!$B$2:$F$25,4,0)=Charms!I2665))</f>
        <v>#N/A</v>
      </c>
      <c r="J2665" t="e">
        <f t="shared" ca="1" si="206"/>
        <v>#N/A</v>
      </c>
      <c r="K2665" s="18" t="e">
        <f t="shared" ca="1" si="205"/>
        <v>#N/A</v>
      </c>
      <c r="L2665" t="e">
        <f ca="1">IF(J2665,Charms!B2665,"")</f>
        <v>#N/A</v>
      </c>
      <c r="M2665" t="str">
        <f t="shared" ca="1" si="207"/>
        <v>-</v>
      </c>
      <c r="N2665" s="18" t="str">
        <f t="shared" si="208"/>
        <v>K1622:L5000</v>
      </c>
      <c r="O2665" t="str">
        <f t="shared" si="209"/>
        <v>A1622:A2665</v>
      </c>
    </row>
    <row r="2666" spans="1:15">
      <c r="A2666" s="18">
        <f>Charms!K2666</f>
        <v>0</v>
      </c>
      <c r="B2666">
        <f>Charms!B2666</f>
        <v>0</v>
      </c>
      <c r="C2666" t="b">
        <f ca="1">OR(Values!$S$98&gt;=Charms!M2666,IFERROR(Charms!J2666=OFFSET(Values!$A$24,MATCH("S",Values!$T$25:$T$50,0),0),FALSE))</f>
        <v>1</v>
      </c>
      <c r="D2666" t="e">
        <f>VLOOKUP(Charms!J2666,Values!$A$11:$S$59,19,0)&gt;=Charms!L2666</f>
        <v>#N/A</v>
      </c>
      <c r="E2666" t="e">
        <f>OR(ISBLANK(Charms!I2666),(VLOOKUP(Values!$S$6,Castes!$B$2:$F$25,4,0)=Charms!I2666))</f>
        <v>#N/A</v>
      </c>
      <c r="J2666" t="e">
        <f t="shared" ca="1" si="206"/>
        <v>#N/A</v>
      </c>
      <c r="K2666" s="18" t="e">
        <f t="shared" ca="1" si="205"/>
        <v>#N/A</v>
      </c>
      <c r="L2666" t="e">
        <f ca="1">IF(J2666,Charms!B2666,"")</f>
        <v>#N/A</v>
      </c>
      <c r="M2666" t="str">
        <f t="shared" ca="1" si="207"/>
        <v>-</v>
      </c>
      <c r="N2666" s="18" t="str">
        <f t="shared" si="208"/>
        <v>K1622:L5000</v>
      </c>
      <c r="O2666" t="str">
        <f t="shared" si="209"/>
        <v>A1622:A2666</v>
      </c>
    </row>
    <row r="2667" spans="1:15">
      <c r="A2667" s="18">
        <f>Charms!K2667</f>
        <v>0</v>
      </c>
      <c r="B2667">
        <f>Charms!B2667</f>
        <v>0</v>
      </c>
      <c r="C2667" t="b">
        <f ca="1">OR(Values!$S$98&gt;=Charms!M2667,IFERROR(Charms!J2667=OFFSET(Values!$A$24,MATCH("S",Values!$T$25:$T$50,0),0),FALSE))</f>
        <v>1</v>
      </c>
      <c r="D2667" t="e">
        <f>VLOOKUP(Charms!J2667,Values!$A$11:$S$59,19,0)&gt;=Charms!L2667</f>
        <v>#N/A</v>
      </c>
      <c r="E2667" t="e">
        <f>OR(ISBLANK(Charms!I2667),(VLOOKUP(Values!$S$6,Castes!$B$2:$F$25,4,0)=Charms!I2667))</f>
        <v>#N/A</v>
      </c>
      <c r="J2667" t="e">
        <f t="shared" ca="1" si="206"/>
        <v>#N/A</v>
      </c>
      <c r="K2667" s="18" t="e">
        <f t="shared" ca="1" si="205"/>
        <v>#N/A</v>
      </c>
      <c r="L2667" t="e">
        <f ca="1">IF(J2667,Charms!B2667,"")</f>
        <v>#N/A</v>
      </c>
      <c r="M2667" t="str">
        <f t="shared" ca="1" si="207"/>
        <v>-</v>
      </c>
      <c r="N2667" s="18" t="str">
        <f t="shared" si="208"/>
        <v>K1622:L5000</v>
      </c>
      <c r="O2667" t="str">
        <f t="shared" si="209"/>
        <v>A1622:A2667</v>
      </c>
    </row>
    <row r="2668" spans="1:15">
      <c r="A2668" s="18">
        <f>Charms!K2668</f>
        <v>0</v>
      </c>
      <c r="B2668">
        <f>Charms!B2668</f>
        <v>0</v>
      </c>
      <c r="C2668" t="b">
        <f ca="1">OR(Values!$S$98&gt;=Charms!M2668,IFERROR(Charms!J2668=OFFSET(Values!$A$24,MATCH("S",Values!$T$25:$T$50,0),0),FALSE))</f>
        <v>1</v>
      </c>
      <c r="D2668" t="e">
        <f>VLOOKUP(Charms!J2668,Values!$A$11:$S$59,19,0)&gt;=Charms!L2668</f>
        <v>#N/A</v>
      </c>
      <c r="E2668" t="e">
        <f>OR(ISBLANK(Charms!I2668),(VLOOKUP(Values!$S$6,Castes!$B$2:$F$25,4,0)=Charms!I2668))</f>
        <v>#N/A</v>
      </c>
      <c r="J2668" t="e">
        <f t="shared" ca="1" si="206"/>
        <v>#N/A</v>
      </c>
      <c r="K2668" s="18" t="e">
        <f t="shared" ca="1" si="205"/>
        <v>#N/A</v>
      </c>
      <c r="L2668" t="e">
        <f ca="1">IF(J2668,Charms!B2668,"")</f>
        <v>#N/A</v>
      </c>
      <c r="M2668" t="str">
        <f t="shared" ca="1" si="207"/>
        <v>-</v>
      </c>
      <c r="N2668" s="18" t="str">
        <f t="shared" si="208"/>
        <v>K1622:L5000</v>
      </c>
      <c r="O2668" t="str">
        <f t="shared" si="209"/>
        <v>A1622:A2668</v>
      </c>
    </row>
    <row r="2669" spans="1:15">
      <c r="A2669" s="18">
        <f>Charms!K2669</f>
        <v>0</v>
      </c>
      <c r="B2669">
        <f>Charms!B2669</f>
        <v>0</v>
      </c>
      <c r="C2669" t="b">
        <f ca="1">OR(Values!$S$98&gt;=Charms!M2669,IFERROR(Charms!J2669=OFFSET(Values!$A$24,MATCH("S",Values!$T$25:$T$50,0),0),FALSE))</f>
        <v>1</v>
      </c>
      <c r="D2669" t="e">
        <f>VLOOKUP(Charms!J2669,Values!$A$11:$S$59,19,0)&gt;=Charms!L2669</f>
        <v>#N/A</v>
      </c>
      <c r="E2669" t="e">
        <f>OR(ISBLANK(Charms!I2669),(VLOOKUP(Values!$S$6,Castes!$B$2:$F$25,4,0)=Charms!I2669))</f>
        <v>#N/A</v>
      </c>
      <c r="J2669" t="e">
        <f t="shared" ca="1" si="206"/>
        <v>#N/A</v>
      </c>
      <c r="K2669" s="18" t="e">
        <f t="shared" ca="1" si="205"/>
        <v>#N/A</v>
      </c>
      <c r="L2669" t="e">
        <f ca="1">IF(J2669,Charms!B2669,"")</f>
        <v>#N/A</v>
      </c>
      <c r="M2669" t="str">
        <f t="shared" ca="1" si="207"/>
        <v>-</v>
      </c>
      <c r="N2669" s="18" t="str">
        <f t="shared" si="208"/>
        <v>K1622:L5000</v>
      </c>
      <c r="O2669" t="str">
        <f t="shared" si="209"/>
        <v>A1622:A2669</v>
      </c>
    </row>
    <row r="2670" spans="1:15">
      <c r="A2670" s="18">
        <f>Charms!K2670</f>
        <v>0</v>
      </c>
      <c r="B2670">
        <f>Charms!B2670</f>
        <v>0</v>
      </c>
      <c r="C2670" t="b">
        <f ca="1">OR(Values!$S$98&gt;=Charms!M2670,IFERROR(Charms!J2670=OFFSET(Values!$A$24,MATCH("S",Values!$T$25:$T$50,0),0),FALSE))</f>
        <v>1</v>
      </c>
      <c r="D2670" t="e">
        <f>VLOOKUP(Charms!J2670,Values!$A$11:$S$59,19,0)&gt;=Charms!L2670</f>
        <v>#N/A</v>
      </c>
      <c r="E2670" t="e">
        <f>OR(ISBLANK(Charms!I2670),(VLOOKUP(Values!$S$6,Castes!$B$2:$F$25,4,0)=Charms!I2670))</f>
        <v>#N/A</v>
      </c>
      <c r="J2670" t="e">
        <f t="shared" ca="1" si="206"/>
        <v>#N/A</v>
      </c>
      <c r="K2670" s="18" t="e">
        <f t="shared" ca="1" si="205"/>
        <v>#N/A</v>
      </c>
      <c r="L2670" t="e">
        <f ca="1">IF(J2670,Charms!B2670,"")</f>
        <v>#N/A</v>
      </c>
      <c r="M2670" t="str">
        <f t="shared" ca="1" si="207"/>
        <v>-</v>
      </c>
      <c r="N2670" s="18" t="str">
        <f t="shared" si="208"/>
        <v>K1622:L5000</v>
      </c>
      <c r="O2670" t="str">
        <f t="shared" si="209"/>
        <v>A1622:A2670</v>
      </c>
    </row>
    <row r="2671" spans="1:15">
      <c r="A2671" s="18">
        <f>Charms!K2671</f>
        <v>0</v>
      </c>
      <c r="B2671">
        <f>Charms!B2671</f>
        <v>0</v>
      </c>
      <c r="C2671" t="b">
        <f ca="1">OR(Values!$S$98&gt;=Charms!M2671,IFERROR(Charms!J2671=OFFSET(Values!$A$24,MATCH("S",Values!$T$25:$T$50,0),0),FALSE))</f>
        <v>1</v>
      </c>
      <c r="D2671" t="e">
        <f>VLOOKUP(Charms!J2671,Values!$A$11:$S$59,19,0)&gt;=Charms!L2671</f>
        <v>#N/A</v>
      </c>
      <c r="E2671" t="e">
        <f>OR(ISBLANK(Charms!I2671),(VLOOKUP(Values!$S$6,Castes!$B$2:$F$25,4,0)=Charms!I2671))</f>
        <v>#N/A</v>
      </c>
      <c r="J2671" t="e">
        <f t="shared" ca="1" si="206"/>
        <v>#N/A</v>
      </c>
      <c r="K2671" s="18" t="e">
        <f t="shared" ca="1" si="205"/>
        <v>#N/A</v>
      </c>
      <c r="L2671" t="e">
        <f ca="1">IF(J2671,Charms!B2671,"")</f>
        <v>#N/A</v>
      </c>
      <c r="M2671" t="str">
        <f t="shared" ca="1" si="207"/>
        <v>-</v>
      </c>
      <c r="N2671" s="18" t="str">
        <f t="shared" si="208"/>
        <v>K1622:L5000</v>
      </c>
      <c r="O2671" t="str">
        <f t="shared" si="209"/>
        <v>A1622:A2671</v>
      </c>
    </row>
    <row r="2672" spans="1:15">
      <c r="A2672" s="18">
        <f>Charms!K2672</f>
        <v>0</v>
      </c>
      <c r="B2672">
        <f>Charms!B2672</f>
        <v>0</v>
      </c>
      <c r="C2672" t="b">
        <f ca="1">OR(Values!$S$98&gt;=Charms!M2672,IFERROR(Charms!J2672=OFFSET(Values!$A$24,MATCH("S",Values!$T$25:$T$50,0),0),FALSE))</f>
        <v>1</v>
      </c>
      <c r="D2672" t="e">
        <f>VLOOKUP(Charms!J2672,Values!$A$11:$S$59,19,0)&gt;=Charms!L2672</f>
        <v>#N/A</v>
      </c>
      <c r="E2672" t="e">
        <f>OR(ISBLANK(Charms!I2672),(VLOOKUP(Values!$S$6,Castes!$B$2:$F$25,4,0)=Charms!I2672))</f>
        <v>#N/A</v>
      </c>
      <c r="J2672" t="e">
        <f t="shared" ca="1" si="206"/>
        <v>#N/A</v>
      </c>
      <c r="K2672" s="18" t="e">
        <f t="shared" ca="1" si="205"/>
        <v>#N/A</v>
      </c>
      <c r="L2672" t="e">
        <f ca="1">IF(J2672,Charms!B2672,"")</f>
        <v>#N/A</v>
      </c>
      <c r="M2672" t="str">
        <f t="shared" ca="1" si="207"/>
        <v>-</v>
      </c>
      <c r="N2672" s="18" t="str">
        <f t="shared" si="208"/>
        <v>K1622:L5000</v>
      </c>
      <c r="O2672" t="str">
        <f t="shared" si="209"/>
        <v>A1622:A2672</v>
      </c>
    </row>
    <row r="2673" spans="1:15">
      <c r="A2673" s="18">
        <f>Charms!K2673</f>
        <v>0</v>
      </c>
      <c r="B2673">
        <f>Charms!B2673</f>
        <v>0</v>
      </c>
      <c r="C2673" t="b">
        <f ca="1">OR(Values!$S$98&gt;=Charms!M2673,IFERROR(Charms!J2673=OFFSET(Values!$A$24,MATCH("S",Values!$T$25:$T$50,0),0),FALSE))</f>
        <v>1</v>
      </c>
      <c r="D2673" t="e">
        <f>VLOOKUP(Charms!J2673,Values!$A$11:$S$59,19,0)&gt;=Charms!L2673</f>
        <v>#N/A</v>
      </c>
      <c r="E2673" t="e">
        <f>OR(ISBLANK(Charms!I2673),(VLOOKUP(Values!$S$6,Castes!$B$2:$F$25,4,0)=Charms!I2673))</f>
        <v>#N/A</v>
      </c>
      <c r="J2673" t="e">
        <f t="shared" ca="1" si="206"/>
        <v>#N/A</v>
      </c>
      <c r="K2673" s="18" t="e">
        <f t="shared" ca="1" si="205"/>
        <v>#N/A</v>
      </c>
      <c r="L2673" t="e">
        <f ca="1">IF(J2673,Charms!B2673,"")</f>
        <v>#N/A</v>
      </c>
      <c r="M2673" t="str">
        <f t="shared" ca="1" si="207"/>
        <v>-</v>
      </c>
      <c r="N2673" s="18" t="str">
        <f t="shared" si="208"/>
        <v>K1622:L5000</v>
      </c>
      <c r="O2673" t="str">
        <f t="shared" si="209"/>
        <v>A1622:A2673</v>
      </c>
    </row>
    <row r="2674" spans="1:15">
      <c r="A2674" s="18">
        <f>Charms!K2674</f>
        <v>0</v>
      </c>
      <c r="B2674">
        <f>Charms!B2674</f>
        <v>0</v>
      </c>
      <c r="C2674" t="b">
        <f ca="1">OR(Values!$S$98&gt;=Charms!M2674,IFERROR(Charms!J2674=OFFSET(Values!$A$24,MATCH("S",Values!$T$25:$T$50,0),0),FALSE))</f>
        <v>1</v>
      </c>
      <c r="D2674" t="e">
        <f>VLOOKUP(Charms!J2674,Values!$A$11:$S$59,19,0)&gt;=Charms!L2674</f>
        <v>#N/A</v>
      </c>
      <c r="E2674" t="e">
        <f>OR(ISBLANK(Charms!I2674),(VLOOKUP(Values!$S$6,Castes!$B$2:$F$25,4,0)=Charms!I2674))</f>
        <v>#N/A</v>
      </c>
      <c r="J2674" t="e">
        <f t="shared" ca="1" si="206"/>
        <v>#N/A</v>
      </c>
      <c r="K2674" s="18" t="e">
        <f t="shared" ca="1" si="205"/>
        <v>#N/A</v>
      </c>
      <c r="L2674" t="e">
        <f ca="1">IF(J2674,Charms!B2674,"")</f>
        <v>#N/A</v>
      </c>
      <c r="M2674" t="str">
        <f t="shared" ca="1" si="207"/>
        <v>-</v>
      </c>
      <c r="N2674" s="18" t="str">
        <f t="shared" si="208"/>
        <v>K1622:L5000</v>
      </c>
      <c r="O2674" t="str">
        <f t="shared" si="209"/>
        <v>A1622:A2674</v>
      </c>
    </row>
    <row r="2675" spans="1:15">
      <c r="A2675" s="18">
        <f>Charms!K2675</f>
        <v>0</v>
      </c>
      <c r="B2675">
        <f>Charms!B2675</f>
        <v>0</v>
      </c>
      <c r="C2675" t="b">
        <f ca="1">OR(Values!$S$98&gt;=Charms!M2675,IFERROR(Charms!J2675=OFFSET(Values!$A$24,MATCH("S",Values!$T$25:$T$50,0),0),FALSE))</f>
        <v>1</v>
      </c>
      <c r="D2675" t="e">
        <f>VLOOKUP(Charms!J2675,Values!$A$11:$S$59,19,0)&gt;=Charms!L2675</f>
        <v>#N/A</v>
      </c>
      <c r="E2675" t="e">
        <f>OR(ISBLANK(Charms!I2675),(VLOOKUP(Values!$S$6,Castes!$B$2:$F$25,4,0)=Charms!I2675))</f>
        <v>#N/A</v>
      </c>
      <c r="J2675" t="e">
        <f t="shared" ca="1" si="206"/>
        <v>#N/A</v>
      </c>
      <c r="K2675" s="18" t="e">
        <f t="shared" ca="1" si="205"/>
        <v>#N/A</v>
      </c>
      <c r="L2675" t="e">
        <f ca="1">IF(J2675,Charms!B2675,"")</f>
        <v>#N/A</v>
      </c>
      <c r="M2675" t="str">
        <f t="shared" ca="1" si="207"/>
        <v>-</v>
      </c>
      <c r="N2675" s="18" t="str">
        <f t="shared" si="208"/>
        <v>K1622:L5000</v>
      </c>
      <c r="O2675" t="str">
        <f t="shared" si="209"/>
        <v>A1622:A2675</v>
      </c>
    </row>
    <row r="2676" spans="1:15">
      <c r="A2676" s="18">
        <f>Charms!K2676</f>
        <v>0</v>
      </c>
      <c r="B2676">
        <f>Charms!B2676</f>
        <v>0</v>
      </c>
      <c r="C2676" t="b">
        <f ca="1">OR(Values!$S$98&gt;=Charms!M2676,IFERROR(Charms!J2676=OFFSET(Values!$A$24,MATCH("S",Values!$T$25:$T$50,0),0),FALSE))</f>
        <v>1</v>
      </c>
      <c r="D2676" t="e">
        <f>VLOOKUP(Charms!J2676,Values!$A$11:$S$59,19,0)&gt;=Charms!L2676</f>
        <v>#N/A</v>
      </c>
      <c r="E2676" t="e">
        <f>OR(ISBLANK(Charms!I2676),(VLOOKUP(Values!$S$6,Castes!$B$2:$F$25,4,0)=Charms!I2676))</f>
        <v>#N/A</v>
      </c>
      <c r="J2676" t="e">
        <f t="shared" ca="1" si="206"/>
        <v>#N/A</v>
      </c>
      <c r="K2676" s="18" t="e">
        <f t="shared" ca="1" si="205"/>
        <v>#N/A</v>
      </c>
      <c r="L2676" t="e">
        <f ca="1">IF(J2676,Charms!B2676,"")</f>
        <v>#N/A</v>
      </c>
      <c r="M2676" t="str">
        <f t="shared" ca="1" si="207"/>
        <v>-</v>
      </c>
      <c r="N2676" s="18" t="str">
        <f t="shared" si="208"/>
        <v>K1622:L5000</v>
      </c>
      <c r="O2676" t="str">
        <f t="shared" si="209"/>
        <v>A1622:A2676</v>
      </c>
    </row>
    <row r="2677" spans="1:15">
      <c r="A2677" s="18">
        <f>Charms!K2677</f>
        <v>0</v>
      </c>
      <c r="B2677">
        <f>Charms!B2677</f>
        <v>0</v>
      </c>
      <c r="C2677" t="b">
        <f ca="1">OR(Values!$S$98&gt;=Charms!M2677,IFERROR(Charms!J2677=OFFSET(Values!$A$24,MATCH("S",Values!$T$25:$T$50,0),0),FALSE))</f>
        <v>1</v>
      </c>
      <c r="D2677" t="e">
        <f>VLOOKUP(Charms!J2677,Values!$A$11:$S$59,19,0)&gt;=Charms!L2677</f>
        <v>#N/A</v>
      </c>
      <c r="E2677" t="e">
        <f>OR(ISBLANK(Charms!I2677),(VLOOKUP(Values!$S$6,Castes!$B$2:$F$25,4,0)=Charms!I2677))</f>
        <v>#N/A</v>
      </c>
      <c r="J2677" t="e">
        <f t="shared" ca="1" si="206"/>
        <v>#N/A</v>
      </c>
      <c r="K2677" s="18" t="e">
        <f t="shared" ca="1" si="205"/>
        <v>#N/A</v>
      </c>
      <c r="L2677" t="e">
        <f ca="1">IF(J2677,Charms!B2677,"")</f>
        <v>#N/A</v>
      </c>
      <c r="M2677" t="str">
        <f t="shared" ca="1" si="207"/>
        <v>-</v>
      </c>
      <c r="N2677" s="18" t="str">
        <f t="shared" si="208"/>
        <v>K1622:L5000</v>
      </c>
      <c r="O2677" t="str">
        <f t="shared" si="209"/>
        <v>A1622:A2677</v>
      </c>
    </row>
    <row r="2678" spans="1:15">
      <c r="A2678" s="18">
        <f>Charms!K2678</f>
        <v>0</v>
      </c>
      <c r="B2678">
        <f>Charms!B2678</f>
        <v>0</v>
      </c>
      <c r="C2678" t="b">
        <f ca="1">OR(Values!$S$98&gt;=Charms!M2678,IFERROR(Charms!J2678=OFFSET(Values!$A$24,MATCH("S",Values!$T$25:$T$50,0),0),FALSE))</f>
        <v>1</v>
      </c>
      <c r="D2678" t="e">
        <f>VLOOKUP(Charms!J2678,Values!$A$11:$S$59,19,0)&gt;=Charms!L2678</f>
        <v>#N/A</v>
      </c>
      <c r="E2678" t="e">
        <f>OR(ISBLANK(Charms!I2678),(VLOOKUP(Values!$S$6,Castes!$B$2:$F$25,4,0)=Charms!I2678))</f>
        <v>#N/A</v>
      </c>
      <c r="J2678" t="e">
        <f t="shared" ca="1" si="206"/>
        <v>#N/A</v>
      </c>
      <c r="K2678" s="18" t="e">
        <f t="shared" ca="1" si="205"/>
        <v>#N/A</v>
      </c>
      <c r="L2678" t="e">
        <f ca="1">IF(J2678,Charms!B2678,"")</f>
        <v>#N/A</v>
      </c>
      <c r="M2678" t="str">
        <f t="shared" ca="1" si="207"/>
        <v>-</v>
      </c>
      <c r="N2678" s="18" t="str">
        <f t="shared" si="208"/>
        <v>K1622:L5000</v>
      </c>
      <c r="O2678" t="str">
        <f t="shared" si="209"/>
        <v>A1622:A2678</v>
      </c>
    </row>
    <row r="2679" spans="1:15">
      <c r="A2679" s="18">
        <f>Charms!K2679</f>
        <v>0</v>
      </c>
      <c r="B2679">
        <f>Charms!B2679</f>
        <v>0</v>
      </c>
      <c r="C2679" t="b">
        <f ca="1">OR(Values!$S$98&gt;=Charms!M2679,IFERROR(Charms!J2679=OFFSET(Values!$A$24,MATCH("S",Values!$T$25:$T$50,0),0),FALSE))</f>
        <v>1</v>
      </c>
      <c r="D2679" t="e">
        <f>VLOOKUP(Charms!J2679,Values!$A$11:$S$59,19,0)&gt;=Charms!L2679</f>
        <v>#N/A</v>
      </c>
      <c r="E2679" t="e">
        <f>OR(ISBLANK(Charms!I2679),(VLOOKUP(Values!$S$6,Castes!$B$2:$F$25,4,0)=Charms!I2679))</f>
        <v>#N/A</v>
      </c>
      <c r="J2679" t="e">
        <f t="shared" ca="1" si="206"/>
        <v>#N/A</v>
      </c>
      <c r="K2679" s="18" t="e">
        <f t="shared" ca="1" si="205"/>
        <v>#N/A</v>
      </c>
      <c r="L2679" t="e">
        <f ca="1">IF(J2679,Charms!B2679,"")</f>
        <v>#N/A</v>
      </c>
      <c r="M2679" t="str">
        <f t="shared" ca="1" si="207"/>
        <v>-</v>
      </c>
      <c r="N2679" s="18" t="str">
        <f t="shared" si="208"/>
        <v>K1622:L5000</v>
      </c>
      <c r="O2679" t="str">
        <f t="shared" si="209"/>
        <v>A1622:A2679</v>
      </c>
    </row>
    <row r="2680" spans="1:15">
      <c r="A2680" s="18">
        <f>Charms!K2680</f>
        <v>0</v>
      </c>
      <c r="B2680">
        <f>Charms!B2680</f>
        <v>0</v>
      </c>
      <c r="C2680" t="b">
        <f ca="1">OR(Values!$S$98&gt;=Charms!M2680,IFERROR(Charms!J2680=OFFSET(Values!$A$24,MATCH("S",Values!$T$25:$T$50,0),0),FALSE))</f>
        <v>1</v>
      </c>
      <c r="D2680" t="e">
        <f>VLOOKUP(Charms!J2680,Values!$A$11:$S$59,19,0)&gt;=Charms!L2680</f>
        <v>#N/A</v>
      </c>
      <c r="E2680" t="e">
        <f>OR(ISBLANK(Charms!I2680),(VLOOKUP(Values!$S$6,Castes!$B$2:$F$25,4,0)=Charms!I2680))</f>
        <v>#N/A</v>
      </c>
      <c r="J2680" t="e">
        <f t="shared" ca="1" si="206"/>
        <v>#N/A</v>
      </c>
      <c r="K2680" s="18" t="e">
        <f t="shared" ca="1" si="205"/>
        <v>#N/A</v>
      </c>
      <c r="L2680" t="e">
        <f ca="1">IF(J2680,Charms!B2680,"")</f>
        <v>#N/A</v>
      </c>
      <c r="M2680" t="str">
        <f t="shared" ca="1" si="207"/>
        <v>-</v>
      </c>
      <c r="N2680" s="18" t="str">
        <f t="shared" si="208"/>
        <v>K1622:L5000</v>
      </c>
      <c r="O2680" t="str">
        <f t="shared" si="209"/>
        <v>A1622:A2680</v>
      </c>
    </row>
    <row r="2681" spans="1:15">
      <c r="A2681" s="18">
        <f>Charms!K2681</f>
        <v>0</v>
      </c>
      <c r="B2681">
        <f>Charms!B2681</f>
        <v>0</v>
      </c>
      <c r="C2681" t="b">
        <f ca="1">OR(Values!$S$98&gt;=Charms!M2681,IFERROR(Charms!J2681=OFFSET(Values!$A$24,MATCH("S",Values!$T$25:$T$50,0),0),FALSE))</f>
        <v>1</v>
      </c>
      <c r="D2681" t="e">
        <f>VLOOKUP(Charms!J2681,Values!$A$11:$S$59,19,0)&gt;=Charms!L2681</f>
        <v>#N/A</v>
      </c>
      <c r="E2681" t="e">
        <f>OR(ISBLANK(Charms!I2681),(VLOOKUP(Values!$S$6,Castes!$B$2:$F$25,4,0)=Charms!I2681))</f>
        <v>#N/A</v>
      </c>
      <c r="J2681" t="e">
        <f t="shared" ca="1" si="206"/>
        <v>#N/A</v>
      </c>
      <c r="K2681" s="18" t="e">
        <f t="shared" ca="1" si="205"/>
        <v>#N/A</v>
      </c>
      <c r="L2681" t="e">
        <f ca="1">IF(J2681,Charms!B2681,"")</f>
        <v>#N/A</v>
      </c>
      <c r="M2681" t="str">
        <f t="shared" ca="1" si="207"/>
        <v>-</v>
      </c>
      <c r="N2681" s="18" t="str">
        <f t="shared" si="208"/>
        <v>K1622:L5000</v>
      </c>
      <c r="O2681" t="str">
        <f t="shared" si="209"/>
        <v>A1622:A2681</v>
      </c>
    </row>
    <row r="2682" spans="1:15">
      <c r="A2682" s="18">
        <f>Charms!K2682</f>
        <v>0</v>
      </c>
      <c r="B2682">
        <f>Charms!B2682</f>
        <v>0</v>
      </c>
      <c r="C2682" t="b">
        <f ca="1">OR(Values!$S$98&gt;=Charms!M2682,IFERROR(Charms!J2682=OFFSET(Values!$A$24,MATCH("S",Values!$T$25:$T$50,0),0),FALSE))</f>
        <v>1</v>
      </c>
      <c r="D2682" t="e">
        <f>VLOOKUP(Charms!J2682,Values!$A$11:$S$59,19,0)&gt;=Charms!L2682</f>
        <v>#N/A</v>
      </c>
      <c r="E2682" t="e">
        <f>OR(ISBLANK(Charms!I2682),(VLOOKUP(Values!$S$6,Castes!$B$2:$F$25,4,0)=Charms!I2682))</f>
        <v>#N/A</v>
      </c>
      <c r="J2682" t="e">
        <f t="shared" ca="1" si="206"/>
        <v>#N/A</v>
      </c>
      <c r="K2682" s="18" t="e">
        <f t="shared" ca="1" si="205"/>
        <v>#N/A</v>
      </c>
      <c r="L2682" t="e">
        <f ca="1">IF(J2682,Charms!B2682,"")</f>
        <v>#N/A</v>
      </c>
      <c r="M2682" t="str">
        <f t="shared" ca="1" si="207"/>
        <v>-</v>
      </c>
      <c r="N2682" s="18" t="str">
        <f t="shared" si="208"/>
        <v>K1622:L5000</v>
      </c>
      <c r="O2682" t="str">
        <f t="shared" si="209"/>
        <v>A1622:A2682</v>
      </c>
    </row>
    <row r="2683" spans="1:15">
      <c r="A2683" s="18">
        <f>Charms!K2683</f>
        <v>0</v>
      </c>
      <c r="B2683">
        <f>Charms!B2683</f>
        <v>0</v>
      </c>
      <c r="C2683" t="b">
        <f ca="1">OR(Values!$S$98&gt;=Charms!M2683,IFERROR(Charms!J2683=OFFSET(Values!$A$24,MATCH("S",Values!$T$25:$T$50,0),0),FALSE))</f>
        <v>1</v>
      </c>
      <c r="D2683" t="e">
        <f>VLOOKUP(Charms!J2683,Values!$A$11:$S$59,19,0)&gt;=Charms!L2683</f>
        <v>#N/A</v>
      </c>
      <c r="E2683" t="e">
        <f>OR(ISBLANK(Charms!I2683),(VLOOKUP(Values!$S$6,Castes!$B$2:$F$25,4,0)=Charms!I2683))</f>
        <v>#N/A</v>
      </c>
      <c r="J2683" t="e">
        <f t="shared" ca="1" si="206"/>
        <v>#N/A</v>
      </c>
      <c r="K2683" s="18" t="e">
        <f t="shared" ca="1" si="205"/>
        <v>#N/A</v>
      </c>
      <c r="L2683" t="e">
        <f ca="1">IF(J2683,Charms!B2683,"")</f>
        <v>#N/A</v>
      </c>
      <c r="M2683" t="str">
        <f t="shared" ca="1" si="207"/>
        <v>-</v>
      </c>
      <c r="N2683" s="18" t="str">
        <f t="shared" si="208"/>
        <v>K1622:L5000</v>
      </c>
      <c r="O2683" t="str">
        <f t="shared" si="209"/>
        <v>A1622:A2683</v>
      </c>
    </row>
    <row r="2684" spans="1:15">
      <c r="A2684" s="18">
        <f>Charms!K2684</f>
        <v>0</v>
      </c>
      <c r="B2684">
        <f>Charms!B2684</f>
        <v>0</v>
      </c>
      <c r="C2684" t="b">
        <f ca="1">OR(Values!$S$98&gt;=Charms!M2684,IFERROR(Charms!J2684=OFFSET(Values!$A$24,MATCH("S",Values!$T$25:$T$50,0),0),FALSE))</f>
        <v>1</v>
      </c>
      <c r="D2684" t="e">
        <f>VLOOKUP(Charms!J2684,Values!$A$11:$S$59,19,0)&gt;=Charms!L2684</f>
        <v>#N/A</v>
      </c>
      <c r="E2684" t="e">
        <f>OR(ISBLANK(Charms!I2684),(VLOOKUP(Values!$S$6,Castes!$B$2:$F$25,4,0)=Charms!I2684))</f>
        <v>#N/A</v>
      </c>
      <c r="J2684" t="e">
        <f t="shared" ca="1" si="206"/>
        <v>#N/A</v>
      </c>
      <c r="K2684" s="18" t="e">
        <f t="shared" ca="1" si="205"/>
        <v>#N/A</v>
      </c>
      <c r="L2684" t="e">
        <f ca="1">IF(J2684,Charms!B2684,"")</f>
        <v>#N/A</v>
      </c>
      <c r="M2684" t="str">
        <f t="shared" ca="1" si="207"/>
        <v>-</v>
      </c>
      <c r="N2684" s="18" t="str">
        <f t="shared" si="208"/>
        <v>K1622:L5000</v>
      </c>
      <c r="O2684" t="str">
        <f t="shared" si="209"/>
        <v>A1622:A2684</v>
      </c>
    </row>
    <row r="2685" spans="1:15">
      <c r="A2685" s="18">
        <f>Charms!K2685</f>
        <v>0</v>
      </c>
      <c r="B2685">
        <f>Charms!B2685</f>
        <v>0</v>
      </c>
      <c r="C2685" t="b">
        <f ca="1">OR(Values!$S$98&gt;=Charms!M2685,IFERROR(Charms!J2685=OFFSET(Values!$A$24,MATCH("S",Values!$T$25:$T$50,0),0),FALSE))</f>
        <v>1</v>
      </c>
      <c r="D2685" t="e">
        <f>VLOOKUP(Charms!J2685,Values!$A$11:$S$59,19,0)&gt;=Charms!L2685</f>
        <v>#N/A</v>
      </c>
      <c r="E2685" t="e">
        <f>OR(ISBLANK(Charms!I2685),(VLOOKUP(Values!$S$6,Castes!$B$2:$F$25,4,0)=Charms!I2685))</f>
        <v>#N/A</v>
      </c>
      <c r="J2685" t="e">
        <f t="shared" ca="1" si="206"/>
        <v>#N/A</v>
      </c>
      <c r="K2685" s="18" t="e">
        <f t="shared" ca="1" si="205"/>
        <v>#N/A</v>
      </c>
      <c r="L2685" t="e">
        <f ca="1">IF(J2685,Charms!B2685,"")</f>
        <v>#N/A</v>
      </c>
      <c r="M2685" t="str">
        <f t="shared" ca="1" si="207"/>
        <v>-</v>
      </c>
      <c r="N2685" s="18" t="str">
        <f t="shared" si="208"/>
        <v>K1622:L5000</v>
      </c>
      <c r="O2685" t="str">
        <f t="shared" si="209"/>
        <v>A1622:A2685</v>
      </c>
    </row>
    <row r="2686" spans="1:15">
      <c r="A2686" s="18">
        <f>Charms!K2686</f>
        <v>0</v>
      </c>
      <c r="B2686">
        <f>Charms!B2686</f>
        <v>0</v>
      </c>
      <c r="C2686" t="b">
        <f ca="1">OR(Values!$S$98&gt;=Charms!M2686,IFERROR(Charms!J2686=OFFSET(Values!$A$24,MATCH("S",Values!$T$25:$T$50,0),0),FALSE))</f>
        <v>1</v>
      </c>
      <c r="D2686" t="e">
        <f>VLOOKUP(Charms!J2686,Values!$A$11:$S$59,19,0)&gt;=Charms!L2686</f>
        <v>#N/A</v>
      </c>
      <c r="E2686" t="e">
        <f>OR(ISBLANK(Charms!I2686),(VLOOKUP(Values!$S$6,Castes!$B$2:$F$25,4,0)=Charms!I2686))</f>
        <v>#N/A</v>
      </c>
      <c r="J2686" t="e">
        <f t="shared" ca="1" si="206"/>
        <v>#N/A</v>
      </c>
      <c r="K2686" s="18" t="e">
        <f t="shared" ca="1" si="205"/>
        <v>#N/A</v>
      </c>
      <c r="L2686" t="e">
        <f ca="1">IF(J2686,Charms!B2686,"")</f>
        <v>#N/A</v>
      </c>
      <c r="M2686" t="str">
        <f t="shared" ca="1" si="207"/>
        <v>-</v>
      </c>
      <c r="N2686" s="18" t="str">
        <f t="shared" si="208"/>
        <v>K1622:L5000</v>
      </c>
      <c r="O2686" t="str">
        <f t="shared" si="209"/>
        <v>A1622:A2686</v>
      </c>
    </row>
    <row r="2687" spans="1:15">
      <c r="A2687" s="18">
        <f>Charms!K2687</f>
        <v>0</v>
      </c>
      <c r="B2687">
        <f>Charms!B2687</f>
        <v>0</v>
      </c>
      <c r="C2687" t="b">
        <f ca="1">OR(Values!$S$98&gt;=Charms!M2687,IFERROR(Charms!J2687=OFFSET(Values!$A$24,MATCH("S",Values!$T$25:$T$50,0),0),FALSE))</f>
        <v>1</v>
      </c>
      <c r="D2687" t="e">
        <f>VLOOKUP(Charms!J2687,Values!$A$11:$S$59,19,0)&gt;=Charms!L2687</f>
        <v>#N/A</v>
      </c>
      <c r="E2687" t="e">
        <f>OR(ISBLANK(Charms!I2687),(VLOOKUP(Values!$S$6,Castes!$B$2:$F$25,4,0)=Charms!I2687))</f>
        <v>#N/A</v>
      </c>
      <c r="J2687" t="e">
        <f t="shared" ca="1" si="206"/>
        <v>#N/A</v>
      </c>
      <c r="K2687" s="18" t="e">
        <f t="shared" ca="1" si="205"/>
        <v>#N/A</v>
      </c>
      <c r="L2687" t="e">
        <f ca="1">IF(J2687,Charms!B2687,"")</f>
        <v>#N/A</v>
      </c>
      <c r="M2687" t="str">
        <f t="shared" ca="1" si="207"/>
        <v>-</v>
      </c>
      <c r="N2687" s="18" t="str">
        <f t="shared" si="208"/>
        <v>K1622:L5000</v>
      </c>
      <c r="O2687" t="str">
        <f t="shared" si="209"/>
        <v>A1622:A2687</v>
      </c>
    </row>
    <row r="2688" spans="1:15">
      <c r="A2688" s="18">
        <f>Charms!K2688</f>
        <v>0</v>
      </c>
      <c r="B2688">
        <f>Charms!B2688</f>
        <v>0</v>
      </c>
      <c r="C2688" t="b">
        <f ca="1">OR(Values!$S$98&gt;=Charms!M2688,IFERROR(Charms!J2688=OFFSET(Values!$A$24,MATCH("S",Values!$T$25:$T$50,0),0),FALSE))</f>
        <v>1</v>
      </c>
      <c r="D2688" t="e">
        <f>VLOOKUP(Charms!J2688,Values!$A$11:$S$59,19,0)&gt;=Charms!L2688</f>
        <v>#N/A</v>
      </c>
      <c r="E2688" t="e">
        <f>OR(ISBLANK(Charms!I2688),(VLOOKUP(Values!$S$6,Castes!$B$2:$F$25,4,0)=Charms!I2688))</f>
        <v>#N/A</v>
      </c>
      <c r="J2688" t="e">
        <f t="shared" ca="1" si="206"/>
        <v>#N/A</v>
      </c>
      <c r="K2688" s="18" t="e">
        <f t="shared" ca="1" si="205"/>
        <v>#N/A</v>
      </c>
      <c r="L2688" t="e">
        <f ca="1">IF(J2688,Charms!B2688,"")</f>
        <v>#N/A</v>
      </c>
      <c r="M2688" t="str">
        <f t="shared" ca="1" si="207"/>
        <v>-</v>
      </c>
      <c r="N2688" s="18" t="str">
        <f t="shared" si="208"/>
        <v>K1622:L5000</v>
      </c>
      <c r="O2688" t="str">
        <f t="shared" si="209"/>
        <v>A1622:A2688</v>
      </c>
    </row>
    <row r="2689" spans="1:15">
      <c r="A2689" s="18">
        <f>Charms!K2689</f>
        <v>0</v>
      </c>
      <c r="B2689">
        <f>Charms!B2689</f>
        <v>0</v>
      </c>
      <c r="C2689" t="b">
        <f ca="1">OR(Values!$S$98&gt;=Charms!M2689,IFERROR(Charms!J2689=OFFSET(Values!$A$24,MATCH("S",Values!$T$25:$T$50,0),0),FALSE))</f>
        <v>1</v>
      </c>
      <c r="D2689" t="e">
        <f>VLOOKUP(Charms!J2689,Values!$A$11:$S$59,19,0)&gt;=Charms!L2689</f>
        <v>#N/A</v>
      </c>
      <c r="E2689" t="e">
        <f>OR(ISBLANK(Charms!I2689),(VLOOKUP(Values!$S$6,Castes!$B$2:$F$25,4,0)=Charms!I2689))</f>
        <v>#N/A</v>
      </c>
      <c r="J2689" t="e">
        <f t="shared" ca="1" si="206"/>
        <v>#N/A</v>
      </c>
      <c r="K2689" s="18" t="e">
        <f t="shared" ca="1" si="205"/>
        <v>#N/A</v>
      </c>
      <c r="L2689" t="e">
        <f ca="1">IF(J2689,Charms!B2689,"")</f>
        <v>#N/A</v>
      </c>
      <c r="M2689" t="str">
        <f t="shared" ca="1" si="207"/>
        <v>-</v>
      </c>
      <c r="N2689" s="18" t="str">
        <f t="shared" si="208"/>
        <v>K1622:L5000</v>
      </c>
      <c r="O2689" t="str">
        <f t="shared" si="209"/>
        <v>A1622:A2689</v>
      </c>
    </row>
    <row r="2690" spans="1:15">
      <c r="A2690" s="18">
        <f>Charms!K2690</f>
        <v>0</v>
      </c>
      <c r="B2690">
        <f>Charms!B2690</f>
        <v>0</v>
      </c>
      <c r="C2690" t="b">
        <f ca="1">OR(Values!$S$98&gt;=Charms!M2690,IFERROR(Charms!J2690=OFFSET(Values!$A$24,MATCH("S",Values!$T$25:$T$50,0),0),FALSE))</f>
        <v>1</v>
      </c>
      <c r="D2690" t="e">
        <f>VLOOKUP(Charms!J2690,Values!$A$11:$S$59,19,0)&gt;=Charms!L2690</f>
        <v>#N/A</v>
      </c>
      <c r="E2690" t="e">
        <f>OR(ISBLANK(Charms!I2690),(VLOOKUP(Values!$S$6,Castes!$B$2:$F$25,4,0)=Charms!I2690))</f>
        <v>#N/A</v>
      </c>
      <c r="J2690" t="e">
        <f t="shared" ca="1" si="206"/>
        <v>#N/A</v>
      </c>
      <c r="K2690" s="18" t="e">
        <f t="shared" ref="K2690:K2753" ca="1" si="210">IF(L2690="","",COUNTIF(INDIRECT("J"&amp;MATCH(A2690,A:A,0)&amp;":J"&amp;ROW()),J2690))</f>
        <v>#N/A</v>
      </c>
      <c r="L2690" t="e">
        <f ca="1">IF(J2690,Charms!B2690,"")</f>
        <v>#N/A</v>
      </c>
      <c r="M2690" t="str">
        <f t="shared" ca="1" si="207"/>
        <v>-</v>
      </c>
      <c r="N2690" s="18" t="str">
        <f t="shared" si="208"/>
        <v>K1622:L5000</v>
      </c>
      <c r="O2690" t="str">
        <f t="shared" si="209"/>
        <v>A1622:A2690</v>
      </c>
    </row>
    <row r="2691" spans="1:15">
      <c r="A2691" s="18">
        <f>Charms!K2691</f>
        <v>0</v>
      </c>
      <c r="B2691">
        <f>Charms!B2691</f>
        <v>0</v>
      </c>
      <c r="C2691" t="b">
        <f ca="1">OR(Values!$S$98&gt;=Charms!M2691,IFERROR(Charms!J2691=OFFSET(Values!$A$24,MATCH("S",Values!$T$25:$T$50,0),0),FALSE))</f>
        <v>1</v>
      </c>
      <c r="D2691" t="e">
        <f>VLOOKUP(Charms!J2691,Values!$A$11:$S$59,19,0)&gt;=Charms!L2691</f>
        <v>#N/A</v>
      </c>
      <c r="E2691" t="e">
        <f>OR(ISBLANK(Charms!I2691),(VLOOKUP(Values!$S$6,Castes!$B$2:$F$25,4,0)=Charms!I2691))</f>
        <v>#N/A</v>
      </c>
      <c r="J2691" t="e">
        <f t="shared" ref="J2691:J2754" ca="1" si="211">(C2691+D2691+E2691+F2691+G2691+H2691+I2691)=3</f>
        <v>#N/A</v>
      </c>
      <c r="K2691" s="18" t="e">
        <f t="shared" ca="1" si="210"/>
        <v>#N/A</v>
      </c>
      <c r="L2691" t="e">
        <f ca="1">IF(J2691,Charms!B2691,"")</f>
        <v>#N/A</v>
      </c>
      <c r="M2691" t="str">
        <f t="shared" ref="M2691:M2754" ca="1" si="212">IFERROR(VLOOKUP(COUNTIF(INDIRECT(O2691),A2691),INDIRECT(N2691),2,0),"-")</f>
        <v>-</v>
      </c>
      <c r="N2691" s="18" t="str">
        <f t="shared" ref="N2691:N2754" si="213">"K"&amp;MATCH(A2691,A:A,0)&amp;":L"&amp;(MATCH(A2691,A:A,0)+COUNTIF(A:A,A2691)-1)</f>
        <v>K1622:L5000</v>
      </c>
      <c r="O2691" t="str">
        <f t="shared" ref="O2691:O2754" si="214">"A"&amp;MATCH(A2691,A:A,0)&amp;":A"&amp;ROW()</f>
        <v>A1622:A2691</v>
      </c>
    </row>
    <row r="2692" spans="1:15">
      <c r="A2692" s="18">
        <f>Charms!K2692</f>
        <v>0</v>
      </c>
      <c r="B2692">
        <f>Charms!B2692</f>
        <v>0</v>
      </c>
      <c r="C2692" t="b">
        <f ca="1">OR(Values!$S$98&gt;=Charms!M2692,IFERROR(Charms!J2692=OFFSET(Values!$A$24,MATCH("S",Values!$T$25:$T$50,0),0),FALSE))</f>
        <v>1</v>
      </c>
      <c r="D2692" t="e">
        <f>VLOOKUP(Charms!J2692,Values!$A$11:$S$59,19,0)&gt;=Charms!L2692</f>
        <v>#N/A</v>
      </c>
      <c r="E2692" t="e">
        <f>OR(ISBLANK(Charms!I2692),(VLOOKUP(Values!$S$6,Castes!$B$2:$F$25,4,0)=Charms!I2692))</f>
        <v>#N/A</v>
      </c>
      <c r="J2692" t="e">
        <f t="shared" ca="1" si="211"/>
        <v>#N/A</v>
      </c>
      <c r="K2692" s="18" t="e">
        <f t="shared" ca="1" si="210"/>
        <v>#N/A</v>
      </c>
      <c r="L2692" t="e">
        <f ca="1">IF(J2692,Charms!B2692,"")</f>
        <v>#N/A</v>
      </c>
      <c r="M2692" t="str">
        <f t="shared" ca="1" si="212"/>
        <v>-</v>
      </c>
      <c r="N2692" s="18" t="str">
        <f t="shared" si="213"/>
        <v>K1622:L5000</v>
      </c>
      <c r="O2692" t="str">
        <f t="shared" si="214"/>
        <v>A1622:A2692</v>
      </c>
    </row>
    <row r="2693" spans="1:15">
      <c r="A2693" s="18">
        <f>Charms!K2693</f>
        <v>0</v>
      </c>
      <c r="B2693">
        <f>Charms!B2693</f>
        <v>0</v>
      </c>
      <c r="C2693" t="b">
        <f ca="1">OR(Values!$S$98&gt;=Charms!M2693,IFERROR(Charms!J2693=OFFSET(Values!$A$24,MATCH("S",Values!$T$25:$T$50,0),0),FALSE))</f>
        <v>1</v>
      </c>
      <c r="D2693" t="e">
        <f>VLOOKUP(Charms!J2693,Values!$A$11:$S$59,19,0)&gt;=Charms!L2693</f>
        <v>#N/A</v>
      </c>
      <c r="E2693" t="e">
        <f>OR(ISBLANK(Charms!I2693),(VLOOKUP(Values!$S$6,Castes!$B$2:$F$25,4,0)=Charms!I2693))</f>
        <v>#N/A</v>
      </c>
      <c r="J2693" t="e">
        <f t="shared" ca="1" si="211"/>
        <v>#N/A</v>
      </c>
      <c r="K2693" s="18" t="e">
        <f t="shared" ca="1" si="210"/>
        <v>#N/A</v>
      </c>
      <c r="L2693" t="e">
        <f ca="1">IF(J2693,Charms!B2693,"")</f>
        <v>#N/A</v>
      </c>
      <c r="M2693" t="str">
        <f t="shared" ca="1" si="212"/>
        <v>-</v>
      </c>
      <c r="N2693" s="18" t="str">
        <f t="shared" si="213"/>
        <v>K1622:L5000</v>
      </c>
      <c r="O2693" t="str">
        <f t="shared" si="214"/>
        <v>A1622:A2693</v>
      </c>
    </row>
    <row r="2694" spans="1:15">
      <c r="A2694" s="18">
        <f>Charms!K2694</f>
        <v>0</v>
      </c>
      <c r="B2694">
        <f>Charms!B2694</f>
        <v>0</v>
      </c>
      <c r="C2694" t="b">
        <f ca="1">OR(Values!$S$98&gt;=Charms!M2694,IFERROR(Charms!J2694=OFFSET(Values!$A$24,MATCH("S",Values!$T$25:$T$50,0),0),FALSE))</f>
        <v>1</v>
      </c>
      <c r="D2694" t="e">
        <f>VLOOKUP(Charms!J2694,Values!$A$11:$S$59,19,0)&gt;=Charms!L2694</f>
        <v>#N/A</v>
      </c>
      <c r="E2694" t="e">
        <f>OR(ISBLANK(Charms!I2694),(VLOOKUP(Values!$S$6,Castes!$B$2:$F$25,4,0)=Charms!I2694))</f>
        <v>#N/A</v>
      </c>
      <c r="J2694" t="e">
        <f t="shared" ca="1" si="211"/>
        <v>#N/A</v>
      </c>
      <c r="K2694" s="18" t="e">
        <f t="shared" ca="1" si="210"/>
        <v>#N/A</v>
      </c>
      <c r="L2694" t="e">
        <f ca="1">IF(J2694,Charms!B2694,"")</f>
        <v>#N/A</v>
      </c>
      <c r="M2694" t="str">
        <f t="shared" ca="1" si="212"/>
        <v>-</v>
      </c>
      <c r="N2694" s="18" t="str">
        <f t="shared" si="213"/>
        <v>K1622:L5000</v>
      </c>
      <c r="O2694" t="str">
        <f t="shared" si="214"/>
        <v>A1622:A2694</v>
      </c>
    </row>
    <row r="2695" spans="1:15">
      <c r="A2695" s="18">
        <f>Charms!K2695</f>
        <v>0</v>
      </c>
      <c r="B2695">
        <f>Charms!B2695</f>
        <v>0</v>
      </c>
      <c r="C2695" t="b">
        <f ca="1">OR(Values!$S$98&gt;=Charms!M2695,IFERROR(Charms!J2695=OFFSET(Values!$A$24,MATCH("S",Values!$T$25:$T$50,0),0),FALSE))</f>
        <v>1</v>
      </c>
      <c r="D2695" t="e">
        <f>VLOOKUP(Charms!J2695,Values!$A$11:$S$59,19,0)&gt;=Charms!L2695</f>
        <v>#N/A</v>
      </c>
      <c r="E2695" t="e">
        <f>OR(ISBLANK(Charms!I2695),(VLOOKUP(Values!$S$6,Castes!$B$2:$F$25,4,0)=Charms!I2695))</f>
        <v>#N/A</v>
      </c>
      <c r="J2695" t="e">
        <f t="shared" ca="1" si="211"/>
        <v>#N/A</v>
      </c>
      <c r="K2695" s="18" t="e">
        <f t="shared" ca="1" si="210"/>
        <v>#N/A</v>
      </c>
      <c r="L2695" t="e">
        <f ca="1">IF(J2695,Charms!B2695,"")</f>
        <v>#N/A</v>
      </c>
      <c r="M2695" t="str">
        <f t="shared" ca="1" si="212"/>
        <v>-</v>
      </c>
      <c r="N2695" s="18" t="str">
        <f t="shared" si="213"/>
        <v>K1622:L5000</v>
      </c>
      <c r="O2695" t="str">
        <f t="shared" si="214"/>
        <v>A1622:A2695</v>
      </c>
    </row>
    <row r="2696" spans="1:15">
      <c r="A2696" s="18">
        <f>Charms!K2696</f>
        <v>0</v>
      </c>
      <c r="B2696">
        <f>Charms!B2696</f>
        <v>0</v>
      </c>
      <c r="C2696" t="b">
        <f ca="1">OR(Values!$S$98&gt;=Charms!M2696,IFERROR(Charms!J2696=OFFSET(Values!$A$24,MATCH("S",Values!$T$25:$T$50,0),0),FALSE))</f>
        <v>1</v>
      </c>
      <c r="D2696" t="e">
        <f>VLOOKUP(Charms!J2696,Values!$A$11:$S$59,19,0)&gt;=Charms!L2696</f>
        <v>#N/A</v>
      </c>
      <c r="E2696" t="e">
        <f>OR(ISBLANK(Charms!I2696),(VLOOKUP(Values!$S$6,Castes!$B$2:$F$25,4,0)=Charms!I2696))</f>
        <v>#N/A</v>
      </c>
      <c r="J2696" t="e">
        <f t="shared" ca="1" si="211"/>
        <v>#N/A</v>
      </c>
      <c r="K2696" s="18" t="e">
        <f t="shared" ca="1" si="210"/>
        <v>#N/A</v>
      </c>
      <c r="L2696" t="e">
        <f ca="1">IF(J2696,Charms!B2696,"")</f>
        <v>#N/A</v>
      </c>
      <c r="M2696" t="str">
        <f t="shared" ca="1" si="212"/>
        <v>-</v>
      </c>
      <c r="N2696" s="18" t="str">
        <f t="shared" si="213"/>
        <v>K1622:L5000</v>
      </c>
      <c r="O2696" t="str">
        <f t="shared" si="214"/>
        <v>A1622:A2696</v>
      </c>
    </row>
    <row r="2697" spans="1:15">
      <c r="A2697" s="18">
        <f>Charms!K2697</f>
        <v>0</v>
      </c>
      <c r="B2697">
        <f>Charms!B2697</f>
        <v>0</v>
      </c>
      <c r="C2697" t="b">
        <f ca="1">OR(Values!$S$98&gt;=Charms!M2697,IFERROR(Charms!J2697=OFFSET(Values!$A$24,MATCH("S",Values!$T$25:$T$50,0),0),FALSE))</f>
        <v>1</v>
      </c>
      <c r="D2697" t="e">
        <f>VLOOKUP(Charms!J2697,Values!$A$11:$S$59,19,0)&gt;=Charms!L2697</f>
        <v>#N/A</v>
      </c>
      <c r="E2697" t="e">
        <f>OR(ISBLANK(Charms!I2697),(VLOOKUP(Values!$S$6,Castes!$B$2:$F$25,4,0)=Charms!I2697))</f>
        <v>#N/A</v>
      </c>
      <c r="J2697" t="e">
        <f t="shared" ca="1" si="211"/>
        <v>#N/A</v>
      </c>
      <c r="K2697" s="18" t="e">
        <f t="shared" ca="1" si="210"/>
        <v>#N/A</v>
      </c>
      <c r="L2697" t="e">
        <f ca="1">IF(J2697,Charms!B2697,"")</f>
        <v>#N/A</v>
      </c>
      <c r="M2697" t="str">
        <f t="shared" ca="1" si="212"/>
        <v>-</v>
      </c>
      <c r="N2697" s="18" t="str">
        <f t="shared" si="213"/>
        <v>K1622:L5000</v>
      </c>
      <c r="O2697" t="str">
        <f t="shared" si="214"/>
        <v>A1622:A2697</v>
      </c>
    </row>
    <row r="2698" spans="1:15">
      <c r="A2698" s="18">
        <f>Charms!K2698</f>
        <v>0</v>
      </c>
      <c r="B2698">
        <f>Charms!B2698</f>
        <v>0</v>
      </c>
      <c r="C2698" t="b">
        <f ca="1">OR(Values!$S$98&gt;=Charms!M2698,IFERROR(Charms!J2698=OFFSET(Values!$A$24,MATCH("S",Values!$T$25:$T$50,0),0),FALSE))</f>
        <v>1</v>
      </c>
      <c r="D2698" t="e">
        <f>VLOOKUP(Charms!J2698,Values!$A$11:$S$59,19,0)&gt;=Charms!L2698</f>
        <v>#N/A</v>
      </c>
      <c r="E2698" t="e">
        <f>OR(ISBLANK(Charms!I2698),(VLOOKUP(Values!$S$6,Castes!$B$2:$F$25,4,0)=Charms!I2698))</f>
        <v>#N/A</v>
      </c>
      <c r="J2698" t="e">
        <f t="shared" ca="1" si="211"/>
        <v>#N/A</v>
      </c>
      <c r="K2698" s="18" t="e">
        <f t="shared" ca="1" si="210"/>
        <v>#N/A</v>
      </c>
      <c r="L2698" t="e">
        <f ca="1">IF(J2698,Charms!B2698,"")</f>
        <v>#N/A</v>
      </c>
      <c r="M2698" t="str">
        <f t="shared" ca="1" si="212"/>
        <v>-</v>
      </c>
      <c r="N2698" s="18" t="str">
        <f t="shared" si="213"/>
        <v>K1622:L5000</v>
      </c>
      <c r="O2698" t="str">
        <f t="shared" si="214"/>
        <v>A1622:A2698</v>
      </c>
    </row>
    <row r="2699" spans="1:15">
      <c r="A2699" s="18">
        <f>Charms!K2699</f>
        <v>0</v>
      </c>
      <c r="B2699">
        <f>Charms!B2699</f>
        <v>0</v>
      </c>
      <c r="C2699" t="b">
        <f ca="1">OR(Values!$S$98&gt;=Charms!M2699,IFERROR(Charms!J2699=OFFSET(Values!$A$24,MATCH("S",Values!$T$25:$T$50,0),0),FALSE))</f>
        <v>1</v>
      </c>
      <c r="D2699" t="e">
        <f>VLOOKUP(Charms!J2699,Values!$A$11:$S$59,19,0)&gt;=Charms!L2699</f>
        <v>#N/A</v>
      </c>
      <c r="E2699" t="e">
        <f>OR(ISBLANK(Charms!I2699),(VLOOKUP(Values!$S$6,Castes!$B$2:$F$25,4,0)=Charms!I2699))</f>
        <v>#N/A</v>
      </c>
      <c r="J2699" t="e">
        <f t="shared" ca="1" si="211"/>
        <v>#N/A</v>
      </c>
      <c r="K2699" s="18" t="e">
        <f t="shared" ca="1" si="210"/>
        <v>#N/A</v>
      </c>
      <c r="L2699" t="e">
        <f ca="1">IF(J2699,Charms!B2699,"")</f>
        <v>#N/A</v>
      </c>
      <c r="M2699" t="str">
        <f t="shared" ca="1" si="212"/>
        <v>-</v>
      </c>
      <c r="N2699" s="18" t="str">
        <f t="shared" si="213"/>
        <v>K1622:L5000</v>
      </c>
      <c r="O2699" t="str">
        <f t="shared" si="214"/>
        <v>A1622:A2699</v>
      </c>
    </row>
    <row r="2700" spans="1:15">
      <c r="A2700" s="18">
        <f>Charms!K2700</f>
        <v>0</v>
      </c>
      <c r="B2700">
        <f>Charms!B2700</f>
        <v>0</v>
      </c>
      <c r="C2700" t="b">
        <f ca="1">OR(Values!$S$98&gt;=Charms!M2700,IFERROR(Charms!J2700=OFFSET(Values!$A$24,MATCH("S",Values!$T$25:$T$50,0),0),FALSE))</f>
        <v>1</v>
      </c>
      <c r="D2700" t="e">
        <f>VLOOKUP(Charms!J2700,Values!$A$11:$S$59,19,0)&gt;=Charms!L2700</f>
        <v>#N/A</v>
      </c>
      <c r="E2700" t="e">
        <f>OR(ISBLANK(Charms!I2700),(VLOOKUP(Values!$S$6,Castes!$B$2:$F$25,4,0)=Charms!I2700))</f>
        <v>#N/A</v>
      </c>
      <c r="J2700" t="e">
        <f t="shared" ca="1" si="211"/>
        <v>#N/A</v>
      </c>
      <c r="K2700" s="18" t="e">
        <f t="shared" ca="1" si="210"/>
        <v>#N/A</v>
      </c>
      <c r="L2700" t="e">
        <f ca="1">IF(J2700,Charms!B2700,"")</f>
        <v>#N/A</v>
      </c>
      <c r="M2700" t="str">
        <f t="shared" ca="1" si="212"/>
        <v>-</v>
      </c>
      <c r="N2700" s="18" t="str">
        <f t="shared" si="213"/>
        <v>K1622:L5000</v>
      </c>
      <c r="O2700" t="str">
        <f t="shared" si="214"/>
        <v>A1622:A2700</v>
      </c>
    </row>
    <row r="2701" spans="1:15">
      <c r="A2701" s="18">
        <f>Charms!K2701</f>
        <v>0</v>
      </c>
      <c r="B2701">
        <f>Charms!B2701</f>
        <v>0</v>
      </c>
      <c r="C2701" t="b">
        <f ca="1">OR(Values!$S$98&gt;=Charms!M2701,IFERROR(Charms!J2701=OFFSET(Values!$A$24,MATCH("S",Values!$T$25:$T$50,0),0),FALSE))</f>
        <v>1</v>
      </c>
      <c r="D2701" t="e">
        <f>VLOOKUP(Charms!J2701,Values!$A$11:$S$59,19,0)&gt;=Charms!L2701</f>
        <v>#N/A</v>
      </c>
      <c r="E2701" t="e">
        <f>OR(ISBLANK(Charms!I2701),(VLOOKUP(Values!$S$6,Castes!$B$2:$F$25,4,0)=Charms!I2701))</f>
        <v>#N/A</v>
      </c>
      <c r="J2701" t="e">
        <f t="shared" ca="1" si="211"/>
        <v>#N/A</v>
      </c>
      <c r="K2701" s="18" t="e">
        <f t="shared" ca="1" si="210"/>
        <v>#N/A</v>
      </c>
      <c r="L2701" t="e">
        <f ca="1">IF(J2701,Charms!B2701,"")</f>
        <v>#N/A</v>
      </c>
      <c r="M2701" t="str">
        <f t="shared" ca="1" si="212"/>
        <v>-</v>
      </c>
      <c r="N2701" s="18" t="str">
        <f t="shared" si="213"/>
        <v>K1622:L5000</v>
      </c>
      <c r="O2701" t="str">
        <f t="shared" si="214"/>
        <v>A1622:A2701</v>
      </c>
    </row>
    <row r="2702" spans="1:15">
      <c r="A2702" s="18">
        <f>Charms!K2702</f>
        <v>0</v>
      </c>
      <c r="B2702">
        <f>Charms!B2702</f>
        <v>0</v>
      </c>
      <c r="C2702" t="b">
        <f ca="1">OR(Values!$S$98&gt;=Charms!M2702,IFERROR(Charms!J2702=OFFSET(Values!$A$24,MATCH("S",Values!$T$25:$T$50,0),0),FALSE))</f>
        <v>1</v>
      </c>
      <c r="D2702" t="e">
        <f>VLOOKUP(Charms!J2702,Values!$A$11:$S$59,19,0)&gt;=Charms!L2702</f>
        <v>#N/A</v>
      </c>
      <c r="E2702" t="e">
        <f>OR(ISBLANK(Charms!I2702),(VLOOKUP(Values!$S$6,Castes!$B$2:$F$25,4,0)=Charms!I2702))</f>
        <v>#N/A</v>
      </c>
      <c r="J2702" t="e">
        <f t="shared" ca="1" si="211"/>
        <v>#N/A</v>
      </c>
      <c r="K2702" s="18" t="e">
        <f t="shared" ca="1" si="210"/>
        <v>#N/A</v>
      </c>
      <c r="L2702" t="e">
        <f ca="1">IF(J2702,Charms!B2702,"")</f>
        <v>#N/A</v>
      </c>
      <c r="M2702" t="str">
        <f t="shared" ca="1" si="212"/>
        <v>-</v>
      </c>
      <c r="N2702" s="18" t="str">
        <f t="shared" si="213"/>
        <v>K1622:L5000</v>
      </c>
      <c r="O2702" t="str">
        <f t="shared" si="214"/>
        <v>A1622:A2702</v>
      </c>
    </row>
    <row r="2703" spans="1:15">
      <c r="A2703" s="18">
        <f>Charms!K2703</f>
        <v>0</v>
      </c>
      <c r="B2703">
        <f>Charms!B2703</f>
        <v>0</v>
      </c>
      <c r="C2703" t="b">
        <f ca="1">OR(Values!$S$98&gt;=Charms!M2703,IFERROR(Charms!J2703=OFFSET(Values!$A$24,MATCH("S",Values!$T$25:$T$50,0),0),FALSE))</f>
        <v>1</v>
      </c>
      <c r="D2703" t="e">
        <f>VLOOKUP(Charms!J2703,Values!$A$11:$S$59,19,0)&gt;=Charms!L2703</f>
        <v>#N/A</v>
      </c>
      <c r="E2703" t="e">
        <f>OR(ISBLANK(Charms!I2703),(VLOOKUP(Values!$S$6,Castes!$B$2:$F$25,4,0)=Charms!I2703))</f>
        <v>#N/A</v>
      </c>
      <c r="J2703" t="e">
        <f t="shared" ca="1" si="211"/>
        <v>#N/A</v>
      </c>
      <c r="K2703" s="18" t="e">
        <f t="shared" ca="1" si="210"/>
        <v>#N/A</v>
      </c>
      <c r="L2703" t="e">
        <f ca="1">IF(J2703,Charms!B2703,"")</f>
        <v>#N/A</v>
      </c>
      <c r="M2703" t="str">
        <f t="shared" ca="1" si="212"/>
        <v>-</v>
      </c>
      <c r="N2703" s="18" t="str">
        <f t="shared" si="213"/>
        <v>K1622:L5000</v>
      </c>
      <c r="O2703" t="str">
        <f t="shared" si="214"/>
        <v>A1622:A2703</v>
      </c>
    </row>
    <row r="2704" spans="1:15">
      <c r="A2704" s="18">
        <f>Charms!K2704</f>
        <v>0</v>
      </c>
      <c r="B2704">
        <f>Charms!B2704</f>
        <v>0</v>
      </c>
      <c r="C2704" t="b">
        <f ca="1">OR(Values!$S$98&gt;=Charms!M2704,IFERROR(Charms!J2704=OFFSET(Values!$A$24,MATCH("S",Values!$T$25:$T$50,0),0),FALSE))</f>
        <v>1</v>
      </c>
      <c r="D2704" t="e">
        <f>VLOOKUP(Charms!J2704,Values!$A$11:$S$59,19,0)&gt;=Charms!L2704</f>
        <v>#N/A</v>
      </c>
      <c r="E2704" t="e">
        <f>OR(ISBLANK(Charms!I2704),(VLOOKUP(Values!$S$6,Castes!$B$2:$F$25,4,0)=Charms!I2704))</f>
        <v>#N/A</v>
      </c>
      <c r="J2704" t="e">
        <f t="shared" ca="1" si="211"/>
        <v>#N/A</v>
      </c>
      <c r="K2704" s="18" t="e">
        <f t="shared" ca="1" si="210"/>
        <v>#N/A</v>
      </c>
      <c r="L2704" t="e">
        <f ca="1">IF(J2704,Charms!B2704,"")</f>
        <v>#N/A</v>
      </c>
      <c r="M2704" t="str">
        <f t="shared" ca="1" si="212"/>
        <v>-</v>
      </c>
      <c r="N2704" s="18" t="str">
        <f t="shared" si="213"/>
        <v>K1622:L5000</v>
      </c>
      <c r="O2704" t="str">
        <f t="shared" si="214"/>
        <v>A1622:A2704</v>
      </c>
    </row>
    <row r="2705" spans="1:15">
      <c r="A2705" s="18">
        <f>Charms!K2705</f>
        <v>0</v>
      </c>
      <c r="B2705">
        <f>Charms!B2705</f>
        <v>0</v>
      </c>
      <c r="C2705" t="b">
        <f ca="1">OR(Values!$S$98&gt;=Charms!M2705,IFERROR(Charms!J2705=OFFSET(Values!$A$24,MATCH("S",Values!$T$25:$T$50,0),0),FALSE))</f>
        <v>1</v>
      </c>
      <c r="D2705" t="e">
        <f>VLOOKUP(Charms!J2705,Values!$A$11:$S$59,19,0)&gt;=Charms!L2705</f>
        <v>#N/A</v>
      </c>
      <c r="E2705" t="e">
        <f>OR(ISBLANK(Charms!I2705),(VLOOKUP(Values!$S$6,Castes!$B$2:$F$25,4,0)=Charms!I2705))</f>
        <v>#N/A</v>
      </c>
      <c r="J2705" t="e">
        <f t="shared" ca="1" si="211"/>
        <v>#N/A</v>
      </c>
      <c r="K2705" s="18" t="e">
        <f t="shared" ca="1" si="210"/>
        <v>#N/A</v>
      </c>
      <c r="L2705" t="e">
        <f ca="1">IF(J2705,Charms!B2705,"")</f>
        <v>#N/A</v>
      </c>
      <c r="M2705" t="str">
        <f t="shared" ca="1" si="212"/>
        <v>-</v>
      </c>
      <c r="N2705" s="18" t="str">
        <f t="shared" si="213"/>
        <v>K1622:L5000</v>
      </c>
      <c r="O2705" t="str">
        <f t="shared" si="214"/>
        <v>A1622:A2705</v>
      </c>
    </row>
    <row r="2706" spans="1:15">
      <c r="A2706" s="18">
        <f>Charms!K2706</f>
        <v>0</v>
      </c>
      <c r="B2706">
        <f>Charms!B2706</f>
        <v>0</v>
      </c>
      <c r="C2706" t="b">
        <f ca="1">OR(Values!$S$98&gt;=Charms!M2706,IFERROR(Charms!J2706=OFFSET(Values!$A$24,MATCH("S",Values!$T$25:$T$50,0),0),FALSE))</f>
        <v>1</v>
      </c>
      <c r="D2706" t="e">
        <f>VLOOKUP(Charms!J2706,Values!$A$11:$S$59,19,0)&gt;=Charms!L2706</f>
        <v>#N/A</v>
      </c>
      <c r="E2706" t="e">
        <f>OR(ISBLANK(Charms!I2706),(VLOOKUP(Values!$S$6,Castes!$B$2:$F$25,4,0)=Charms!I2706))</f>
        <v>#N/A</v>
      </c>
      <c r="J2706" t="e">
        <f t="shared" ca="1" si="211"/>
        <v>#N/A</v>
      </c>
      <c r="K2706" s="18" t="e">
        <f t="shared" ca="1" si="210"/>
        <v>#N/A</v>
      </c>
      <c r="L2706" t="e">
        <f ca="1">IF(J2706,Charms!B2706,"")</f>
        <v>#N/A</v>
      </c>
      <c r="M2706" t="str">
        <f t="shared" ca="1" si="212"/>
        <v>-</v>
      </c>
      <c r="N2706" s="18" t="str">
        <f t="shared" si="213"/>
        <v>K1622:L5000</v>
      </c>
      <c r="O2706" t="str">
        <f t="shared" si="214"/>
        <v>A1622:A2706</v>
      </c>
    </row>
    <row r="2707" spans="1:15">
      <c r="A2707" s="18">
        <f>Charms!K2707</f>
        <v>0</v>
      </c>
      <c r="B2707">
        <f>Charms!B2707</f>
        <v>0</v>
      </c>
      <c r="C2707" t="b">
        <f ca="1">OR(Values!$S$98&gt;=Charms!M2707,IFERROR(Charms!J2707=OFFSET(Values!$A$24,MATCH("S",Values!$T$25:$T$50,0),0),FALSE))</f>
        <v>1</v>
      </c>
      <c r="D2707" t="e">
        <f>VLOOKUP(Charms!J2707,Values!$A$11:$S$59,19,0)&gt;=Charms!L2707</f>
        <v>#N/A</v>
      </c>
      <c r="E2707" t="e">
        <f>OR(ISBLANK(Charms!I2707),(VLOOKUP(Values!$S$6,Castes!$B$2:$F$25,4,0)=Charms!I2707))</f>
        <v>#N/A</v>
      </c>
      <c r="J2707" t="e">
        <f t="shared" ca="1" si="211"/>
        <v>#N/A</v>
      </c>
      <c r="K2707" s="18" t="e">
        <f t="shared" ca="1" si="210"/>
        <v>#N/A</v>
      </c>
      <c r="L2707" t="e">
        <f ca="1">IF(J2707,Charms!B2707,"")</f>
        <v>#N/A</v>
      </c>
      <c r="M2707" t="str">
        <f t="shared" ca="1" si="212"/>
        <v>-</v>
      </c>
      <c r="N2707" s="18" t="str">
        <f t="shared" si="213"/>
        <v>K1622:L5000</v>
      </c>
      <c r="O2707" t="str">
        <f t="shared" si="214"/>
        <v>A1622:A2707</v>
      </c>
    </row>
    <row r="2708" spans="1:15">
      <c r="A2708" s="18">
        <f>Charms!K2708</f>
        <v>0</v>
      </c>
      <c r="B2708">
        <f>Charms!B2708</f>
        <v>0</v>
      </c>
      <c r="C2708" t="b">
        <f ca="1">OR(Values!$S$98&gt;=Charms!M2708,IFERROR(Charms!J2708=OFFSET(Values!$A$24,MATCH("S",Values!$T$25:$T$50,0),0),FALSE))</f>
        <v>1</v>
      </c>
      <c r="D2708" t="e">
        <f>VLOOKUP(Charms!J2708,Values!$A$11:$S$59,19,0)&gt;=Charms!L2708</f>
        <v>#N/A</v>
      </c>
      <c r="E2708" t="e">
        <f>OR(ISBLANK(Charms!I2708),(VLOOKUP(Values!$S$6,Castes!$B$2:$F$25,4,0)=Charms!I2708))</f>
        <v>#N/A</v>
      </c>
      <c r="J2708" t="e">
        <f t="shared" ca="1" si="211"/>
        <v>#N/A</v>
      </c>
      <c r="K2708" s="18" t="e">
        <f t="shared" ca="1" si="210"/>
        <v>#N/A</v>
      </c>
      <c r="L2708" t="e">
        <f ca="1">IF(J2708,Charms!B2708,"")</f>
        <v>#N/A</v>
      </c>
      <c r="M2708" t="str">
        <f t="shared" ca="1" si="212"/>
        <v>-</v>
      </c>
      <c r="N2708" s="18" t="str">
        <f t="shared" si="213"/>
        <v>K1622:L5000</v>
      </c>
      <c r="O2708" t="str">
        <f t="shared" si="214"/>
        <v>A1622:A2708</v>
      </c>
    </row>
    <row r="2709" spans="1:15">
      <c r="A2709" s="18">
        <f>Charms!K2709</f>
        <v>0</v>
      </c>
      <c r="B2709">
        <f>Charms!B2709</f>
        <v>0</v>
      </c>
      <c r="C2709" t="b">
        <f ca="1">OR(Values!$S$98&gt;=Charms!M2709,IFERROR(Charms!J2709=OFFSET(Values!$A$24,MATCH("S",Values!$T$25:$T$50,0),0),FALSE))</f>
        <v>1</v>
      </c>
      <c r="D2709" t="e">
        <f>VLOOKUP(Charms!J2709,Values!$A$11:$S$59,19,0)&gt;=Charms!L2709</f>
        <v>#N/A</v>
      </c>
      <c r="E2709" t="e">
        <f>OR(ISBLANK(Charms!I2709),(VLOOKUP(Values!$S$6,Castes!$B$2:$F$25,4,0)=Charms!I2709))</f>
        <v>#N/A</v>
      </c>
      <c r="J2709" t="e">
        <f t="shared" ca="1" si="211"/>
        <v>#N/A</v>
      </c>
      <c r="K2709" s="18" t="e">
        <f t="shared" ca="1" si="210"/>
        <v>#N/A</v>
      </c>
      <c r="L2709" t="e">
        <f ca="1">IF(J2709,Charms!B2709,"")</f>
        <v>#N/A</v>
      </c>
      <c r="M2709" t="str">
        <f t="shared" ca="1" si="212"/>
        <v>-</v>
      </c>
      <c r="N2709" s="18" t="str">
        <f t="shared" si="213"/>
        <v>K1622:L5000</v>
      </c>
      <c r="O2709" t="str">
        <f t="shared" si="214"/>
        <v>A1622:A2709</v>
      </c>
    </row>
    <row r="2710" spans="1:15">
      <c r="A2710" s="18">
        <f>Charms!K2710</f>
        <v>0</v>
      </c>
      <c r="B2710">
        <f>Charms!B2710</f>
        <v>0</v>
      </c>
      <c r="C2710" t="b">
        <f ca="1">OR(Values!$S$98&gt;=Charms!M2710,IFERROR(Charms!J2710=OFFSET(Values!$A$24,MATCH("S",Values!$T$25:$T$50,0),0),FALSE))</f>
        <v>1</v>
      </c>
      <c r="D2710" t="e">
        <f>VLOOKUP(Charms!J2710,Values!$A$11:$S$59,19,0)&gt;=Charms!L2710</f>
        <v>#N/A</v>
      </c>
      <c r="E2710" t="e">
        <f>OR(ISBLANK(Charms!I2710),(VLOOKUP(Values!$S$6,Castes!$B$2:$F$25,4,0)=Charms!I2710))</f>
        <v>#N/A</v>
      </c>
      <c r="J2710" t="e">
        <f t="shared" ca="1" si="211"/>
        <v>#N/A</v>
      </c>
      <c r="K2710" s="18" t="e">
        <f t="shared" ca="1" si="210"/>
        <v>#N/A</v>
      </c>
      <c r="L2710" t="e">
        <f ca="1">IF(J2710,Charms!B2710,"")</f>
        <v>#N/A</v>
      </c>
      <c r="M2710" t="str">
        <f t="shared" ca="1" si="212"/>
        <v>-</v>
      </c>
      <c r="N2710" s="18" t="str">
        <f t="shared" si="213"/>
        <v>K1622:L5000</v>
      </c>
      <c r="O2710" t="str">
        <f t="shared" si="214"/>
        <v>A1622:A2710</v>
      </c>
    </row>
    <row r="2711" spans="1:15">
      <c r="A2711" s="18">
        <f>Charms!K2711</f>
        <v>0</v>
      </c>
      <c r="B2711">
        <f>Charms!B2711</f>
        <v>0</v>
      </c>
      <c r="C2711" t="b">
        <f ca="1">OR(Values!$S$98&gt;=Charms!M2711,IFERROR(Charms!J2711=OFFSET(Values!$A$24,MATCH("S",Values!$T$25:$T$50,0),0),FALSE))</f>
        <v>1</v>
      </c>
      <c r="D2711" t="e">
        <f>VLOOKUP(Charms!J2711,Values!$A$11:$S$59,19,0)&gt;=Charms!L2711</f>
        <v>#N/A</v>
      </c>
      <c r="E2711" t="e">
        <f>OR(ISBLANK(Charms!I2711),(VLOOKUP(Values!$S$6,Castes!$B$2:$F$25,4,0)=Charms!I2711))</f>
        <v>#N/A</v>
      </c>
      <c r="J2711" t="e">
        <f t="shared" ca="1" si="211"/>
        <v>#N/A</v>
      </c>
      <c r="K2711" s="18" t="e">
        <f t="shared" ca="1" si="210"/>
        <v>#N/A</v>
      </c>
      <c r="L2711" t="e">
        <f ca="1">IF(J2711,Charms!B2711,"")</f>
        <v>#N/A</v>
      </c>
      <c r="M2711" t="str">
        <f t="shared" ca="1" si="212"/>
        <v>-</v>
      </c>
      <c r="N2711" s="18" t="str">
        <f t="shared" si="213"/>
        <v>K1622:L5000</v>
      </c>
      <c r="O2711" t="str">
        <f t="shared" si="214"/>
        <v>A1622:A2711</v>
      </c>
    </row>
    <row r="2712" spans="1:15">
      <c r="A2712" s="18">
        <f>Charms!K2712</f>
        <v>0</v>
      </c>
      <c r="B2712">
        <f>Charms!B2712</f>
        <v>0</v>
      </c>
      <c r="C2712" t="b">
        <f ca="1">OR(Values!$S$98&gt;=Charms!M2712,IFERROR(Charms!J2712=OFFSET(Values!$A$24,MATCH("S",Values!$T$25:$T$50,0),0),FALSE))</f>
        <v>1</v>
      </c>
      <c r="D2712" t="e">
        <f>VLOOKUP(Charms!J2712,Values!$A$11:$S$59,19,0)&gt;=Charms!L2712</f>
        <v>#N/A</v>
      </c>
      <c r="E2712" t="e">
        <f>OR(ISBLANK(Charms!I2712),(VLOOKUP(Values!$S$6,Castes!$B$2:$F$25,4,0)=Charms!I2712))</f>
        <v>#N/A</v>
      </c>
      <c r="J2712" t="e">
        <f t="shared" ca="1" si="211"/>
        <v>#N/A</v>
      </c>
      <c r="K2712" s="18" t="e">
        <f t="shared" ca="1" si="210"/>
        <v>#N/A</v>
      </c>
      <c r="L2712" t="e">
        <f ca="1">IF(J2712,Charms!B2712,"")</f>
        <v>#N/A</v>
      </c>
      <c r="M2712" t="str">
        <f t="shared" ca="1" si="212"/>
        <v>-</v>
      </c>
      <c r="N2712" s="18" t="str">
        <f t="shared" si="213"/>
        <v>K1622:L5000</v>
      </c>
      <c r="O2712" t="str">
        <f t="shared" si="214"/>
        <v>A1622:A2712</v>
      </c>
    </row>
    <row r="2713" spans="1:15">
      <c r="A2713" s="18">
        <f>Charms!K2713</f>
        <v>0</v>
      </c>
      <c r="B2713">
        <f>Charms!B2713</f>
        <v>0</v>
      </c>
      <c r="C2713" t="b">
        <f ca="1">OR(Values!$S$98&gt;=Charms!M2713,IFERROR(Charms!J2713=OFFSET(Values!$A$24,MATCH("S",Values!$T$25:$T$50,0),0),FALSE))</f>
        <v>1</v>
      </c>
      <c r="D2713" t="e">
        <f>VLOOKUP(Charms!J2713,Values!$A$11:$S$59,19,0)&gt;=Charms!L2713</f>
        <v>#N/A</v>
      </c>
      <c r="E2713" t="e">
        <f>OR(ISBLANK(Charms!I2713),(VLOOKUP(Values!$S$6,Castes!$B$2:$F$25,4,0)=Charms!I2713))</f>
        <v>#N/A</v>
      </c>
      <c r="J2713" t="e">
        <f t="shared" ca="1" si="211"/>
        <v>#N/A</v>
      </c>
      <c r="K2713" s="18" t="e">
        <f t="shared" ca="1" si="210"/>
        <v>#N/A</v>
      </c>
      <c r="L2713" t="e">
        <f ca="1">IF(J2713,Charms!B2713,"")</f>
        <v>#N/A</v>
      </c>
      <c r="M2713" t="str">
        <f t="shared" ca="1" si="212"/>
        <v>-</v>
      </c>
      <c r="N2713" s="18" t="str">
        <f t="shared" si="213"/>
        <v>K1622:L5000</v>
      </c>
      <c r="O2713" t="str">
        <f t="shared" si="214"/>
        <v>A1622:A2713</v>
      </c>
    </row>
    <row r="2714" spans="1:15">
      <c r="A2714" s="18">
        <f>Charms!K2714</f>
        <v>0</v>
      </c>
      <c r="B2714">
        <f>Charms!B2714</f>
        <v>0</v>
      </c>
      <c r="C2714" t="b">
        <f ca="1">OR(Values!$S$98&gt;=Charms!M2714,IFERROR(Charms!J2714=OFFSET(Values!$A$24,MATCH("S",Values!$T$25:$T$50,0),0),FALSE))</f>
        <v>1</v>
      </c>
      <c r="D2714" t="e">
        <f>VLOOKUP(Charms!J2714,Values!$A$11:$S$59,19,0)&gt;=Charms!L2714</f>
        <v>#N/A</v>
      </c>
      <c r="E2714" t="e">
        <f>OR(ISBLANK(Charms!I2714),(VLOOKUP(Values!$S$6,Castes!$B$2:$F$25,4,0)=Charms!I2714))</f>
        <v>#N/A</v>
      </c>
      <c r="J2714" t="e">
        <f t="shared" ca="1" si="211"/>
        <v>#N/A</v>
      </c>
      <c r="K2714" s="18" t="e">
        <f t="shared" ca="1" si="210"/>
        <v>#N/A</v>
      </c>
      <c r="L2714" t="e">
        <f ca="1">IF(J2714,Charms!B2714,"")</f>
        <v>#N/A</v>
      </c>
      <c r="M2714" t="str">
        <f t="shared" ca="1" si="212"/>
        <v>-</v>
      </c>
      <c r="N2714" s="18" t="str">
        <f t="shared" si="213"/>
        <v>K1622:L5000</v>
      </c>
      <c r="O2714" t="str">
        <f t="shared" si="214"/>
        <v>A1622:A2714</v>
      </c>
    </row>
    <row r="2715" spans="1:15">
      <c r="A2715" s="18">
        <f>Charms!K2715</f>
        <v>0</v>
      </c>
      <c r="B2715">
        <f>Charms!B2715</f>
        <v>0</v>
      </c>
      <c r="C2715" t="b">
        <f ca="1">OR(Values!$S$98&gt;=Charms!M2715,IFERROR(Charms!J2715=OFFSET(Values!$A$24,MATCH("S",Values!$T$25:$T$50,0),0),FALSE))</f>
        <v>1</v>
      </c>
      <c r="D2715" t="e">
        <f>VLOOKUP(Charms!J2715,Values!$A$11:$S$59,19,0)&gt;=Charms!L2715</f>
        <v>#N/A</v>
      </c>
      <c r="E2715" t="e">
        <f>OR(ISBLANK(Charms!I2715),(VLOOKUP(Values!$S$6,Castes!$B$2:$F$25,4,0)=Charms!I2715))</f>
        <v>#N/A</v>
      </c>
      <c r="J2715" t="e">
        <f t="shared" ca="1" si="211"/>
        <v>#N/A</v>
      </c>
      <c r="K2715" s="18" t="e">
        <f t="shared" ca="1" si="210"/>
        <v>#N/A</v>
      </c>
      <c r="L2715" t="e">
        <f ca="1">IF(J2715,Charms!B2715,"")</f>
        <v>#N/A</v>
      </c>
      <c r="M2715" t="str">
        <f t="shared" ca="1" si="212"/>
        <v>-</v>
      </c>
      <c r="N2715" s="18" t="str">
        <f t="shared" si="213"/>
        <v>K1622:L5000</v>
      </c>
      <c r="O2715" t="str">
        <f t="shared" si="214"/>
        <v>A1622:A2715</v>
      </c>
    </row>
    <row r="2716" spans="1:15">
      <c r="A2716" s="18">
        <f>Charms!K2716</f>
        <v>0</v>
      </c>
      <c r="B2716">
        <f>Charms!B2716</f>
        <v>0</v>
      </c>
      <c r="C2716" t="b">
        <f ca="1">OR(Values!$S$98&gt;=Charms!M2716,IFERROR(Charms!J2716=OFFSET(Values!$A$24,MATCH("S",Values!$T$25:$T$50,0),0),FALSE))</f>
        <v>1</v>
      </c>
      <c r="D2716" t="e">
        <f>VLOOKUP(Charms!J2716,Values!$A$11:$S$59,19,0)&gt;=Charms!L2716</f>
        <v>#N/A</v>
      </c>
      <c r="E2716" t="e">
        <f>OR(ISBLANK(Charms!I2716),(VLOOKUP(Values!$S$6,Castes!$B$2:$F$25,4,0)=Charms!I2716))</f>
        <v>#N/A</v>
      </c>
      <c r="J2716" t="e">
        <f t="shared" ca="1" si="211"/>
        <v>#N/A</v>
      </c>
      <c r="K2716" s="18" t="e">
        <f t="shared" ca="1" si="210"/>
        <v>#N/A</v>
      </c>
      <c r="L2716" t="e">
        <f ca="1">IF(J2716,Charms!B2716,"")</f>
        <v>#N/A</v>
      </c>
      <c r="M2716" t="str">
        <f t="shared" ca="1" si="212"/>
        <v>-</v>
      </c>
      <c r="N2716" s="18" t="str">
        <f t="shared" si="213"/>
        <v>K1622:L5000</v>
      </c>
      <c r="O2716" t="str">
        <f t="shared" si="214"/>
        <v>A1622:A2716</v>
      </c>
    </row>
    <row r="2717" spans="1:15">
      <c r="A2717" s="18">
        <f>Charms!K2717</f>
        <v>0</v>
      </c>
      <c r="B2717">
        <f>Charms!B2717</f>
        <v>0</v>
      </c>
      <c r="C2717" t="b">
        <f ca="1">OR(Values!$S$98&gt;=Charms!M2717,IFERROR(Charms!J2717=OFFSET(Values!$A$24,MATCH("S",Values!$T$25:$T$50,0),0),FALSE))</f>
        <v>1</v>
      </c>
      <c r="D2717" t="e">
        <f>VLOOKUP(Charms!J2717,Values!$A$11:$S$59,19,0)&gt;=Charms!L2717</f>
        <v>#N/A</v>
      </c>
      <c r="E2717" t="e">
        <f>OR(ISBLANK(Charms!I2717),(VLOOKUP(Values!$S$6,Castes!$B$2:$F$25,4,0)=Charms!I2717))</f>
        <v>#N/A</v>
      </c>
      <c r="J2717" t="e">
        <f t="shared" ca="1" si="211"/>
        <v>#N/A</v>
      </c>
      <c r="K2717" s="18" t="e">
        <f t="shared" ca="1" si="210"/>
        <v>#N/A</v>
      </c>
      <c r="L2717" t="e">
        <f ca="1">IF(J2717,Charms!B2717,"")</f>
        <v>#N/A</v>
      </c>
      <c r="M2717" t="str">
        <f t="shared" ca="1" si="212"/>
        <v>-</v>
      </c>
      <c r="N2717" s="18" t="str">
        <f t="shared" si="213"/>
        <v>K1622:L5000</v>
      </c>
      <c r="O2717" t="str">
        <f t="shared" si="214"/>
        <v>A1622:A2717</v>
      </c>
    </row>
    <row r="2718" spans="1:15">
      <c r="A2718" s="18">
        <f>Charms!K2718</f>
        <v>0</v>
      </c>
      <c r="B2718">
        <f>Charms!B2718</f>
        <v>0</v>
      </c>
      <c r="C2718" t="b">
        <f ca="1">OR(Values!$S$98&gt;=Charms!M2718,IFERROR(Charms!J2718=OFFSET(Values!$A$24,MATCH("S",Values!$T$25:$T$50,0),0),FALSE))</f>
        <v>1</v>
      </c>
      <c r="D2718" t="e">
        <f>VLOOKUP(Charms!J2718,Values!$A$11:$S$59,19,0)&gt;=Charms!L2718</f>
        <v>#N/A</v>
      </c>
      <c r="E2718" t="e">
        <f>OR(ISBLANK(Charms!I2718),(VLOOKUP(Values!$S$6,Castes!$B$2:$F$25,4,0)=Charms!I2718))</f>
        <v>#N/A</v>
      </c>
      <c r="J2718" t="e">
        <f t="shared" ca="1" si="211"/>
        <v>#N/A</v>
      </c>
      <c r="K2718" s="18" t="e">
        <f t="shared" ca="1" si="210"/>
        <v>#N/A</v>
      </c>
      <c r="L2718" t="e">
        <f ca="1">IF(J2718,Charms!B2718,"")</f>
        <v>#N/A</v>
      </c>
      <c r="M2718" t="str">
        <f t="shared" ca="1" si="212"/>
        <v>-</v>
      </c>
      <c r="N2718" s="18" t="str">
        <f t="shared" si="213"/>
        <v>K1622:L5000</v>
      </c>
      <c r="O2718" t="str">
        <f t="shared" si="214"/>
        <v>A1622:A2718</v>
      </c>
    </row>
    <row r="2719" spans="1:15">
      <c r="A2719" s="18">
        <f>Charms!K2719</f>
        <v>0</v>
      </c>
      <c r="B2719">
        <f>Charms!B2719</f>
        <v>0</v>
      </c>
      <c r="C2719" t="b">
        <f ca="1">OR(Values!$S$98&gt;=Charms!M2719,IFERROR(Charms!J2719=OFFSET(Values!$A$24,MATCH("S",Values!$T$25:$T$50,0),0),FALSE))</f>
        <v>1</v>
      </c>
      <c r="D2719" t="e">
        <f>VLOOKUP(Charms!J2719,Values!$A$11:$S$59,19,0)&gt;=Charms!L2719</f>
        <v>#N/A</v>
      </c>
      <c r="E2719" t="e">
        <f>OR(ISBLANK(Charms!I2719),(VLOOKUP(Values!$S$6,Castes!$B$2:$F$25,4,0)=Charms!I2719))</f>
        <v>#N/A</v>
      </c>
      <c r="J2719" t="e">
        <f t="shared" ca="1" si="211"/>
        <v>#N/A</v>
      </c>
      <c r="K2719" s="18" t="e">
        <f t="shared" ca="1" si="210"/>
        <v>#N/A</v>
      </c>
      <c r="L2719" t="e">
        <f ca="1">IF(J2719,Charms!B2719,"")</f>
        <v>#N/A</v>
      </c>
      <c r="M2719" t="str">
        <f t="shared" ca="1" si="212"/>
        <v>-</v>
      </c>
      <c r="N2719" s="18" t="str">
        <f t="shared" si="213"/>
        <v>K1622:L5000</v>
      </c>
      <c r="O2719" t="str">
        <f t="shared" si="214"/>
        <v>A1622:A2719</v>
      </c>
    </row>
    <row r="2720" spans="1:15">
      <c r="A2720" s="18">
        <f>Charms!K2720</f>
        <v>0</v>
      </c>
      <c r="B2720">
        <f>Charms!B2720</f>
        <v>0</v>
      </c>
      <c r="C2720" t="b">
        <f ca="1">OR(Values!$S$98&gt;=Charms!M2720,IFERROR(Charms!J2720=OFFSET(Values!$A$24,MATCH("S",Values!$T$25:$T$50,0),0),FALSE))</f>
        <v>1</v>
      </c>
      <c r="D2720" t="e">
        <f>VLOOKUP(Charms!J2720,Values!$A$11:$S$59,19,0)&gt;=Charms!L2720</f>
        <v>#N/A</v>
      </c>
      <c r="E2720" t="e">
        <f>OR(ISBLANK(Charms!I2720),(VLOOKUP(Values!$S$6,Castes!$B$2:$F$25,4,0)=Charms!I2720))</f>
        <v>#N/A</v>
      </c>
      <c r="J2720" t="e">
        <f t="shared" ca="1" si="211"/>
        <v>#N/A</v>
      </c>
      <c r="K2720" s="18" t="e">
        <f t="shared" ca="1" si="210"/>
        <v>#N/A</v>
      </c>
      <c r="L2720" t="e">
        <f ca="1">IF(J2720,Charms!B2720,"")</f>
        <v>#N/A</v>
      </c>
      <c r="M2720" t="str">
        <f t="shared" ca="1" si="212"/>
        <v>-</v>
      </c>
      <c r="N2720" s="18" t="str">
        <f t="shared" si="213"/>
        <v>K1622:L5000</v>
      </c>
      <c r="O2720" t="str">
        <f t="shared" si="214"/>
        <v>A1622:A2720</v>
      </c>
    </row>
    <row r="2721" spans="1:15">
      <c r="A2721" s="18">
        <f>Charms!K2721</f>
        <v>0</v>
      </c>
      <c r="B2721">
        <f>Charms!B2721</f>
        <v>0</v>
      </c>
      <c r="C2721" t="b">
        <f ca="1">OR(Values!$S$98&gt;=Charms!M2721,IFERROR(Charms!J2721=OFFSET(Values!$A$24,MATCH("S",Values!$T$25:$T$50,0),0),FALSE))</f>
        <v>1</v>
      </c>
      <c r="D2721" t="e">
        <f>VLOOKUP(Charms!J2721,Values!$A$11:$S$59,19,0)&gt;=Charms!L2721</f>
        <v>#N/A</v>
      </c>
      <c r="E2721" t="e">
        <f>OR(ISBLANK(Charms!I2721),(VLOOKUP(Values!$S$6,Castes!$B$2:$F$25,4,0)=Charms!I2721))</f>
        <v>#N/A</v>
      </c>
      <c r="J2721" t="e">
        <f t="shared" ca="1" si="211"/>
        <v>#N/A</v>
      </c>
      <c r="K2721" s="18" t="e">
        <f t="shared" ca="1" si="210"/>
        <v>#N/A</v>
      </c>
      <c r="L2721" t="e">
        <f ca="1">IF(J2721,Charms!B2721,"")</f>
        <v>#N/A</v>
      </c>
      <c r="M2721" t="str">
        <f t="shared" ca="1" si="212"/>
        <v>-</v>
      </c>
      <c r="N2721" s="18" t="str">
        <f t="shared" si="213"/>
        <v>K1622:L5000</v>
      </c>
      <c r="O2721" t="str">
        <f t="shared" si="214"/>
        <v>A1622:A2721</v>
      </c>
    </row>
    <row r="2722" spans="1:15">
      <c r="A2722" s="18">
        <f>Charms!K2722</f>
        <v>0</v>
      </c>
      <c r="B2722">
        <f>Charms!B2722</f>
        <v>0</v>
      </c>
      <c r="C2722" t="b">
        <f ca="1">OR(Values!$S$98&gt;=Charms!M2722,IFERROR(Charms!J2722=OFFSET(Values!$A$24,MATCH("S",Values!$T$25:$T$50,0),0),FALSE))</f>
        <v>1</v>
      </c>
      <c r="D2722" t="e">
        <f>VLOOKUP(Charms!J2722,Values!$A$11:$S$59,19,0)&gt;=Charms!L2722</f>
        <v>#N/A</v>
      </c>
      <c r="E2722" t="e">
        <f>OR(ISBLANK(Charms!I2722),(VLOOKUP(Values!$S$6,Castes!$B$2:$F$25,4,0)=Charms!I2722))</f>
        <v>#N/A</v>
      </c>
      <c r="J2722" t="e">
        <f t="shared" ca="1" si="211"/>
        <v>#N/A</v>
      </c>
      <c r="K2722" s="18" t="e">
        <f t="shared" ca="1" si="210"/>
        <v>#N/A</v>
      </c>
      <c r="L2722" t="e">
        <f ca="1">IF(J2722,Charms!B2722,"")</f>
        <v>#N/A</v>
      </c>
      <c r="M2722" t="str">
        <f t="shared" ca="1" si="212"/>
        <v>-</v>
      </c>
      <c r="N2722" s="18" t="str">
        <f t="shared" si="213"/>
        <v>K1622:L5000</v>
      </c>
      <c r="O2722" t="str">
        <f t="shared" si="214"/>
        <v>A1622:A2722</v>
      </c>
    </row>
    <row r="2723" spans="1:15">
      <c r="A2723" s="18">
        <f>Charms!K2723</f>
        <v>0</v>
      </c>
      <c r="B2723">
        <f>Charms!B2723</f>
        <v>0</v>
      </c>
      <c r="C2723" t="b">
        <f ca="1">OR(Values!$S$98&gt;=Charms!M2723,IFERROR(Charms!J2723=OFFSET(Values!$A$24,MATCH("S",Values!$T$25:$T$50,0),0),FALSE))</f>
        <v>1</v>
      </c>
      <c r="D2723" t="e">
        <f>VLOOKUP(Charms!J2723,Values!$A$11:$S$59,19,0)&gt;=Charms!L2723</f>
        <v>#N/A</v>
      </c>
      <c r="E2723" t="e">
        <f>OR(ISBLANK(Charms!I2723),(VLOOKUP(Values!$S$6,Castes!$B$2:$F$25,4,0)=Charms!I2723))</f>
        <v>#N/A</v>
      </c>
      <c r="J2723" t="e">
        <f t="shared" ca="1" si="211"/>
        <v>#N/A</v>
      </c>
      <c r="K2723" s="18" t="e">
        <f t="shared" ca="1" si="210"/>
        <v>#N/A</v>
      </c>
      <c r="L2723" t="e">
        <f ca="1">IF(J2723,Charms!B2723,"")</f>
        <v>#N/A</v>
      </c>
      <c r="M2723" t="str">
        <f t="shared" ca="1" si="212"/>
        <v>-</v>
      </c>
      <c r="N2723" s="18" t="str">
        <f t="shared" si="213"/>
        <v>K1622:L5000</v>
      </c>
      <c r="O2723" t="str">
        <f t="shared" si="214"/>
        <v>A1622:A2723</v>
      </c>
    </row>
    <row r="2724" spans="1:15">
      <c r="A2724" s="18">
        <f>Charms!K2724</f>
        <v>0</v>
      </c>
      <c r="B2724">
        <f>Charms!B2724</f>
        <v>0</v>
      </c>
      <c r="C2724" t="b">
        <f ca="1">OR(Values!$S$98&gt;=Charms!M2724,IFERROR(Charms!J2724=OFFSET(Values!$A$24,MATCH("S",Values!$T$25:$T$50,0),0),FALSE))</f>
        <v>1</v>
      </c>
      <c r="D2724" t="e">
        <f>VLOOKUP(Charms!J2724,Values!$A$11:$S$59,19,0)&gt;=Charms!L2724</f>
        <v>#N/A</v>
      </c>
      <c r="E2724" t="e">
        <f>OR(ISBLANK(Charms!I2724),(VLOOKUP(Values!$S$6,Castes!$B$2:$F$25,4,0)=Charms!I2724))</f>
        <v>#N/A</v>
      </c>
      <c r="J2724" t="e">
        <f t="shared" ca="1" si="211"/>
        <v>#N/A</v>
      </c>
      <c r="K2724" s="18" t="e">
        <f t="shared" ca="1" si="210"/>
        <v>#N/A</v>
      </c>
      <c r="L2724" t="e">
        <f ca="1">IF(J2724,Charms!B2724,"")</f>
        <v>#N/A</v>
      </c>
      <c r="M2724" t="str">
        <f t="shared" ca="1" si="212"/>
        <v>-</v>
      </c>
      <c r="N2724" s="18" t="str">
        <f t="shared" si="213"/>
        <v>K1622:L5000</v>
      </c>
      <c r="O2724" t="str">
        <f t="shared" si="214"/>
        <v>A1622:A2724</v>
      </c>
    </row>
    <row r="2725" spans="1:15">
      <c r="A2725" s="18">
        <f>Charms!K2725</f>
        <v>0</v>
      </c>
      <c r="B2725">
        <f>Charms!B2725</f>
        <v>0</v>
      </c>
      <c r="C2725" t="b">
        <f ca="1">OR(Values!$S$98&gt;=Charms!M2725,IFERROR(Charms!J2725=OFFSET(Values!$A$24,MATCH("S",Values!$T$25:$T$50,0),0),FALSE))</f>
        <v>1</v>
      </c>
      <c r="D2725" t="e">
        <f>VLOOKUP(Charms!J2725,Values!$A$11:$S$59,19,0)&gt;=Charms!L2725</f>
        <v>#N/A</v>
      </c>
      <c r="E2725" t="e">
        <f>OR(ISBLANK(Charms!I2725),(VLOOKUP(Values!$S$6,Castes!$B$2:$F$25,4,0)=Charms!I2725))</f>
        <v>#N/A</v>
      </c>
      <c r="J2725" t="e">
        <f t="shared" ca="1" si="211"/>
        <v>#N/A</v>
      </c>
      <c r="K2725" s="18" t="e">
        <f t="shared" ca="1" si="210"/>
        <v>#N/A</v>
      </c>
      <c r="L2725" t="e">
        <f ca="1">IF(J2725,Charms!B2725,"")</f>
        <v>#N/A</v>
      </c>
      <c r="M2725" t="str">
        <f t="shared" ca="1" si="212"/>
        <v>-</v>
      </c>
      <c r="N2725" s="18" t="str">
        <f t="shared" si="213"/>
        <v>K1622:L5000</v>
      </c>
      <c r="O2725" t="str">
        <f t="shared" si="214"/>
        <v>A1622:A2725</v>
      </c>
    </row>
    <row r="2726" spans="1:15">
      <c r="A2726" s="18">
        <f>Charms!K2726</f>
        <v>0</v>
      </c>
      <c r="B2726">
        <f>Charms!B2726</f>
        <v>0</v>
      </c>
      <c r="C2726" t="b">
        <f ca="1">OR(Values!$S$98&gt;=Charms!M2726,IFERROR(Charms!J2726=OFFSET(Values!$A$24,MATCH("S",Values!$T$25:$T$50,0),0),FALSE))</f>
        <v>1</v>
      </c>
      <c r="D2726" t="e">
        <f>VLOOKUP(Charms!J2726,Values!$A$11:$S$59,19,0)&gt;=Charms!L2726</f>
        <v>#N/A</v>
      </c>
      <c r="E2726" t="e">
        <f>OR(ISBLANK(Charms!I2726),(VLOOKUP(Values!$S$6,Castes!$B$2:$F$25,4,0)=Charms!I2726))</f>
        <v>#N/A</v>
      </c>
      <c r="J2726" t="e">
        <f t="shared" ca="1" si="211"/>
        <v>#N/A</v>
      </c>
      <c r="K2726" s="18" t="e">
        <f t="shared" ca="1" si="210"/>
        <v>#N/A</v>
      </c>
      <c r="L2726" t="e">
        <f ca="1">IF(J2726,Charms!B2726,"")</f>
        <v>#N/A</v>
      </c>
      <c r="M2726" t="str">
        <f t="shared" ca="1" si="212"/>
        <v>-</v>
      </c>
      <c r="N2726" s="18" t="str">
        <f t="shared" si="213"/>
        <v>K1622:L5000</v>
      </c>
      <c r="O2726" t="str">
        <f t="shared" si="214"/>
        <v>A1622:A2726</v>
      </c>
    </row>
    <row r="2727" spans="1:15">
      <c r="A2727" s="18">
        <f>Charms!K2727</f>
        <v>0</v>
      </c>
      <c r="B2727">
        <f>Charms!B2727</f>
        <v>0</v>
      </c>
      <c r="C2727" t="b">
        <f ca="1">OR(Values!$S$98&gt;=Charms!M2727,IFERROR(Charms!J2727=OFFSET(Values!$A$24,MATCH("S",Values!$T$25:$T$50,0),0),FALSE))</f>
        <v>1</v>
      </c>
      <c r="D2727" t="e">
        <f>VLOOKUP(Charms!J2727,Values!$A$11:$S$59,19,0)&gt;=Charms!L2727</f>
        <v>#N/A</v>
      </c>
      <c r="E2727" t="e">
        <f>OR(ISBLANK(Charms!I2727),(VLOOKUP(Values!$S$6,Castes!$B$2:$F$25,4,0)=Charms!I2727))</f>
        <v>#N/A</v>
      </c>
      <c r="J2727" t="e">
        <f t="shared" ca="1" si="211"/>
        <v>#N/A</v>
      </c>
      <c r="K2727" s="18" t="e">
        <f t="shared" ca="1" si="210"/>
        <v>#N/A</v>
      </c>
      <c r="L2727" t="e">
        <f ca="1">IF(J2727,Charms!B2727,"")</f>
        <v>#N/A</v>
      </c>
      <c r="M2727" t="str">
        <f t="shared" ca="1" si="212"/>
        <v>-</v>
      </c>
      <c r="N2727" s="18" t="str">
        <f t="shared" si="213"/>
        <v>K1622:L5000</v>
      </c>
      <c r="O2727" t="str">
        <f t="shared" si="214"/>
        <v>A1622:A2727</v>
      </c>
    </row>
    <row r="2728" spans="1:15">
      <c r="A2728" s="18">
        <f>Charms!K2728</f>
        <v>0</v>
      </c>
      <c r="B2728">
        <f>Charms!B2728</f>
        <v>0</v>
      </c>
      <c r="C2728" t="b">
        <f ca="1">OR(Values!$S$98&gt;=Charms!M2728,IFERROR(Charms!J2728=OFFSET(Values!$A$24,MATCH("S",Values!$T$25:$T$50,0),0),FALSE))</f>
        <v>1</v>
      </c>
      <c r="D2728" t="e">
        <f>VLOOKUP(Charms!J2728,Values!$A$11:$S$59,19,0)&gt;=Charms!L2728</f>
        <v>#N/A</v>
      </c>
      <c r="E2728" t="e">
        <f>OR(ISBLANK(Charms!I2728),(VLOOKUP(Values!$S$6,Castes!$B$2:$F$25,4,0)=Charms!I2728))</f>
        <v>#N/A</v>
      </c>
      <c r="J2728" t="e">
        <f t="shared" ca="1" si="211"/>
        <v>#N/A</v>
      </c>
      <c r="K2728" s="18" t="e">
        <f t="shared" ca="1" si="210"/>
        <v>#N/A</v>
      </c>
      <c r="L2728" t="e">
        <f ca="1">IF(J2728,Charms!B2728,"")</f>
        <v>#N/A</v>
      </c>
      <c r="M2728" t="str">
        <f t="shared" ca="1" si="212"/>
        <v>-</v>
      </c>
      <c r="N2728" s="18" t="str">
        <f t="shared" si="213"/>
        <v>K1622:L5000</v>
      </c>
      <c r="O2728" t="str">
        <f t="shared" si="214"/>
        <v>A1622:A2728</v>
      </c>
    </row>
    <row r="2729" spans="1:15">
      <c r="A2729" s="18">
        <f>Charms!K2729</f>
        <v>0</v>
      </c>
      <c r="B2729">
        <f>Charms!B2729</f>
        <v>0</v>
      </c>
      <c r="C2729" t="b">
        <f ca="1">OR(Values!$S$98&gt;=Charms!M2729,IFERROR(Charms!J2729=OFFSET(Values!$A$24,MATCH("S",Values!$T$25:$T$50,0),0),FALSE))</f>
        <v>1</v>
      </c>
      <c r="D2729" t="e">
        <f>VLOOKUP(Charms!J2729,Values!$A$11:$S$59,19,0)&gt;=Charms!L2729</f>
        <v>#N/A</v>
      </c>
      <c r="E2729" t="e">
        <f>OR(ISBLANK(Charms!I2729),(VLOOKUP(Values!$S$6,Castes!$B$2:$F$25,4,0)=Charms!I2729))</f>
        <v>#N/A</v>
      </c>
      <c r="J2729" t="e">
        <f t="shared" ca="1" si="211"/>
        <v>#N/A</v>
      </c>
      <c r="K2729" s="18" t="e">
        <f t="shared" ca="1" si="210"/>
        <v>#N/A</v>
      </c>
      <c r="L2729" t="e">
        <f ca="1">IF(J2729,Charms!B2729,"")</f>
        <v>#N/A</v>
      </c>
      <c r="M2729" t="str">
        <f t="shared" ca="1" si="212"/>
        <v>-</v>
      </c>
      <c r="N2729" s="18" t="str">
        <f t="shared" si="213"/>
        <v>K1622:L5000</v>
      </c>
      <c r="O2729" t="str">
        <f t="shared" si="214"/>
        <v>A1622:A2729</v>
      </c>
    </row>
    <row r="2730" spans="1:15">
      <c r="A2730" s="18">
        <f>Charms!K2730</f>
        <v>0</v>
      </c>
      <c r="B2730">
        <f>Charms!B2730</f>
        <v>0</v>
      </c>
      <c r="C2730" t="b">
        <f ca="1">OR(Values!$S$98&gt;=Charms!M2730,IFERROR(Charms!J2730=OFFSET(Values!$A$24,MATCH("S",Values!$T$25:$T$50,0),0),FALSE))</f>
        <v>1</v>
      </c>
      <c r="D2730" t="e">
        <f>VLOOKUP(Charms!J2730,Values!$A$11:$S$59,19,0)&gt;=Charms!L2730</f>
        <v>#N/A</v>
      </c>
      <c r="E2730" t="e">
        <f>OR(ISBLANK(Charms!I2730),(VLOOKUP(Values!$S$6,Castes!$B$2:$F$25,4,0)=Charms!I2730))</f>
        <v>#N/A</v>
      </c>
      <c r="J2730" t="e">
        <f t="shared" ca="1" si="211"/>
        <v>#N/A</v>
      </c>
      <c r="K2730" s="18" t="e">
        <f t="shared" ca="1" si="210"/>
        <v>#N/A</v>
      </c>
      <c r="L2730" t="e">
        <f ca="1">IF(J2730,Charms!B2730,"")</f>
        <v>#N/A</v>
      </c>
      <c r="M2730" t="str">
        <f t="shared" ca="1" si="212"/>
        <v>-</v>
      </c>
      <c r="N2730" s="18" t="str">
        <f t="shared" si="213"/>
        <v>K1622:L5000</v>
      </c>
      <c r="O2730" t="str">
        <f t="shared" si="214"/>
        <v>A1622:A2730</v>
      </c>
    </row>
    <row r="2731" spans="1:15">
      <c r="A2731" s="18">
        <f>Charms!K2731</f>
        <v>0</v>
      </c>
      <c r="B2731">
        <f>Charms!B2731</f>
        <v>0</v>
      </c>
      <c r="C2731" t="b">
        <f ca="1">OR(Values!$S$98&gt;=Charms!M2731,IFERROR(Charms!J2731=OFFSET(Values!$A$24,MATCH("S",Values!$T$25:$T$50,0),0),FALSE))</f>
        <v>1</v>
      </c>
      <c r="D2731" t="e">
        <f>VLOOKUP(Charms!J2731,Values!$A$11:$S$59,19,0)&gt;=Charms!L2731</f>
        <v>#N/A</v>
      </c>
      <c r="E2731" t="e">
        <f>OR(ISBLANK(Charms!I2731),(VLOOKUP(Values!$S$6,Castes!$B$2:$F$25,4,0)=Charms!I2731))</f>
        <v>#N/A</v>
      </c>
      <c r="J2731" t="e">
        <f t="shared" ca="1" si="211"/>
        <v>#N/A</v>
      </c>
      <c r="K2731" s="18" t="e">
        <f t="shared" ca="1" si="210"/>
        <v>#N/A</v>
      </c>
      <c r="L2731" t="e">
        <f ca="1">IF(J2731,Charms!B2731,"")</f>
        <v>#N/A</v>
      </c>
      <c r="M2731" t="str">
        <f t="shared" ca="1" si="212"/>
        <v>-</v>
      </c>
      <c r="N2731" s="18" t="str">
        <f t="shared" si="213"/>
        <v>K1622:L5000</v>
      </c>
      <c r="O2731" t="str">
        <f t="shared" si="214"/>
        <v>A1622:A2731</v>
      </c>
    </row>
    <row r="2732" spans="1:15">
      <c r="A2732" s="18">
        <f>Charms!K2732</f>
        <v>0</v>
      </c>
      <c r="B2732">
        <f>Charms!B2732</f>
        <v>0</v>
      </c>
      <c r="C2732" t="b">
        <f ca="1">OR(Values!$S$98&gt;=Charms!M2732,IFERROR(Charms!J2732=OFFSET(Values!$A$24,MATCH("S",Values!$T$25:$T$50,0),0),FALSE))</f>
        <v>1</v>
      </c>
      <c r="D2732" t="e">
        <f>VLOOKUP(Charms!J2732,Values!$A$11:$S$59,19,0)&gt;=Charms!L2732</f>
        <v>#N/A</v>
      </c>
      <c r="E2732" t="e">
        <f>OR(ISBLANK(Charms!I2732),(VLOOKUP(Values!$S$6,Castes!$B$2:$F$25,4,0)=Charms!I2732))</f>
        <v>#N/A</v>
      </c>
      <c r="J2732" t="e">
        <f t="shared" ca="1" si="211"/>
        <v>#N/A</v>
      </c>
      <c r="K2732" s="18" t="e">
        <f t="shared" ca="1" si="210"/>
        <v>#N/A</v>
      </c>
      <c r="L2732" t="e">
        <f ca="1">IF(J2732,Charms!B2732,"")</f>
        <v>#N/A</v>
      </c>
      <c r="M2732" t="str">
        <f t="shared" ca="1" si="212"/>
        <v>-</v>
      </c>
      <c r="N2732" s="18" t="str">
        <f t="shared" si="213"/>
        <v>K1622:L5000</v>
      </c>
      <c r="O2732" t="str">
        <f t="shared" si="214"/>
        <v>A1622:A2732</v>
      </c>
    </row>
    <row r="2733" spans="1:15">
      <c r="A2733" s="18">
        <f>Charms!K2733</f>
        <v>0</v>
      </c>
      <c r="B2733">
        <f>Charms!B2733</f>
        <v>0</v>
      </c>
      <c r="C2733" t="b">
        <f ca="1">OR(Values!$S$98&gt;=Charms!M2733,IFERROR(Charms!J2733=OFFSET(Values!$A$24,MATCH("S",Values!$T$25:$T$50,0),0),FALSE))</f>
        <v>1</v>
      </c>
      <c r="D2733" t="e">
        <f>VLOOKUP(Charms!J2733,Values!$A$11:$S$59,19,0)&gt;=Charms!L2733</f>
        <v>#N/A</v>
      </c>
      <c r="E2733" t="e">
        <f>OR(ISBLANK(Charms!I2733),(VLOOKUP(Values!$S$6,Castes!$B$2:$F$25,4,0)=Charms!I2733))</f>
        <v>#N/A</v>
      </c>
      <c r="J2733" t="e">
        <f t="shared" ca="1" si="211"/>
        <v>#N/A</v>
      </c>
      <c r="K2733" s="18" t="e">
        <f t="shared" ca="1" si="210"/>
        <v>#N/A</v>
      </c>
      <c r="L2733" t="e">
        <f ca="1">IF(J2733,Charms!B2733,"")</f>
        <v>#N/A</v>
      </c>
      <c r="M2733" t="str">
        <f t="shared" ca="1" si="212"/>
        <v>-</v>
      </c>
      <c r="N2733" s="18" t="str">
        <f t="shared" si="213"/>
        <v>K1622:L5000</v>
      </c>
      <c r="O2733" t="str">
        <f t="shared" si="214"/>
        <v>A1622:A2733</v>
      </c>
    </row>
    <row r="2734" spans="1:15">
      <c r="A2734" s="18">
        <f>Charms!K2734</f>
        <v>0</v>
      </c>
      <c r="B2734">
        <f>Charms!B2734</f>
        <v>0</v>
      </c>
      <c r="C2734" t="b">
        <f ca="1">OR(Values!$S$98&gt;=Charms!M2734,IFERROR(Charms!J2734=OFFSET(Values!$A$24,MATCH("S",Values!$T$25:$T$50,0),0),FALSE))</f>
        <v>1</v>
      </c>
      <c r="D2734" t="e">
        <f>VLOOKUP(Charms!J2734,Values!$A$11:$S$59,19,0)&gt;=Charms!L2734</f>
        <v>#N/A</v>
      </c>
      <c r="E2734" t="e">
        <f>OR(ISBLANK(Charms!I2734),(VLOOKUP(Values!$S$6,Castes!$B$2:$F$25,4,0)=Charms!I2734))</f>
        <v>#N/A</v>
      </c>
      <c r="J2734" t="e">
        <f t="shared" ca="1" si="211"/>
        <v>#N/A</v>
      </c>
      <c r="K2734" s="18" t="e">
        <f t="shared" ca="1" si="210"/>
        <v>#N/A</v>
      </c>
      <c r="L2734" t="e">
        <f ca="1">IF(J2734,Charms!B2734,"")</f>
        <v>#N/A</v>
      </c>
      <c r="M2734" t="str">
        <f t="shared" ca="1" si="212"/>
        <v>-</v>
      </c>
      <c r="N2734" s="18" t="str">
        <f t="shared" si="213"/>
        <v>K1622:L5000</v>
      </c>
      <c r="O2734" t="str">
        <f t="shared" si="214"/>
        <v>A1622:A2734</v>
      </c>
    </row>
    <row r="2735" spans="1:15">
      <c r="A2735" s="18">
        <f>Charms!K2735</f>
        <v>0</v>
      </c>
      <c r="B2735">
        <f>Charms!B2735</f>
        <v>0</v>
      </c>
      <c r="C2735" t="b">
        <f ca="1">OR(Values!$S$98&gt;=Charms!M2735,IFERROR(Charms!J2735=OFFSET(Values!$A$24,MATCH("S",Values!$T$25:$T$50,0),0),FALSE))</f>
        <v>1</v>
      </c>
      <c r="D2735" t="e">
        <f>VLOOKUP(Charms!J2735,Values!$A$11:$S$59,19,0)&gt;=Charms!L2735</f>
        <v>#N/A</v>
      </c>
      <c r="E2735" t="e">
        <f>OR(ISBLANK(Charms!I2735),(VLOOKUP(Values!$S$6,Castes!$B$2:$F$25,4,0)=Charms!I2735))</f>
        <v>#N/A</v>
      </c>
      <c r="J2735" t="e">
        <f t="shared" ca="1" si="211"/>
        <v>#N/A</v>
      </c>
      <c r="K2735" s="18" t="e">
        <f t="shared" ca="1" si="210"/>
        <v>#N/A</v>
      </c>
      <c r="L2735" t="e">
        <f ca="1">IF(J2735,Charms!B2735,"")</f>
        <v>#N/A</v>
      </c>
      <c r="M2735" t="str">
        <f t="shared" ca="1" si="212"/>
        <v>-</v>
      </c>
      <c r="N2735" s="18" t="str">
        <f t="shared" si="213"/>
        <v>K1622:L5000</v>
      </c>
      <c r="O2735" t="str">
        <f t="shared" si="214"/>
        <v>A1622:A2735</v>
      </c>
    </row>
    <row r="2736" spans="1:15">
      <c r="A2736" s="18">
        <f>Charms!K2736</f>
        <v>0</v>
      </c>
      <c r="B2736">
        <f>Charms!B2736</f>
        <v>0</v>
      </c>
      <c r="C2736" t="b">
        <f ca="1">OR(Values!$S$98&gt;=Charms!M2736,IFERROR(Charms!J2736=OFFSET(Values!$A$24,MATCH("S",Values!$T$25:$T$50,0),0),FALSE))</f>
        <v>1</v>
      </c>
      <c r="D2736" t="e">
        <f>VLOOKUP(Charms!J2736,Values!$A$11:$S$59,19,0)&gt;=Charms!L2736</f>
        <v>#N/A</v>
      </c>
      <c r="E2736" t="e">
        <f>OR(ISBLANK(Charms!I2736),(VLOOKUP(Values!$S$6,Castes!$B$2:$F$25,4,0)=Charms!I2736))</f>
        <v>#N/A</v>
      </c>
      <c r="J2736" t="e">
        <f t="shared" ca="1" si="211"/>
        <v>#N/A</v>
      </c>
      <c r="K2736" s="18" t="e">
        <f t="shared" ca="1" si="210"/>
        <v>#N/A</v>
      </c>
      <c r="L2736" t="e">
        <f ca="1">IF(J2736,Charms!B2736,"")</f>
        <v>#N/A</v>
      </c>
      <c r="M2736" t="str">
        <f t="shared" ca="1" si="212"/>
        <v>-</v>
      </c>
      <c r="N2736" s="18" t="str">
        <f t="shared" si="213"/>
        <v>K1622:L5000</v>
      </c>
      <c r="O2736" t="str">
        <f t="shared" si="214"/>
        <v>A1622:A2736</v>
      </c>
    </row>
    <row r="2737" spans="1:15">
      <c r="A2737" s="18">
        <f>Charms!K2737</f>
        <v>0</v>
      </c>
      <c r="B2737">
        <f>Charms!B2737</f>
        <v>0</v>
      </c>
      <c r="C2737" t="b">
        <f ca="1">OR(Values!$S$98&gt;=Charms!M2737,IFERROR(Charms!J2737=OFFSET(Values!$A$24,MATCH("S",Values!$T$25:$T$50,0),0),FALSE))</f>
        <v>1</v>
      </c>
      <c r="D2737" t="e">
        <f>VLOOKUP(Charms!J2737,Values!$A$11:$S$59,19,0)&gt;=Charms!L2737</f>
        <v>#N/A</v>
      </c>
      <c r="E2737" t="e">
        <f>OR(ISBLANK(Charms!I2737),(VLOOKUP(Values!$S$6,Castes!$B$2:$F$25,4,0)=Charms!I2737))</f>
        <v>#N/A</v>
      </c>
      <c r="J2737" t="e">
        <f t="shared" ca="1" si="211"/>
        <v>#N/A</v>
      </c>
      <c r="K2737" s="18" t="e">
        <f t="shared" ca="1" si="210"/>
        <v>#N/A</v>
      </c>
      <c r="L2737" t="e">
        <f ca="1">IF(J2737,Charms!B2737,"")</f>
        <v>#N/A</v>
      </c>
      <c r="M2737" t="str">
        <f t="shared" ca="1" si="212"/>
        <v>-</v>
      </c>
      <c r="N2737" s="18" t="str">
        <f t="shared" si="213"/>
        <v>K1622:L5000</v>
      </c>
      <c r="O2737" t="str">
        <f t="shared" si="214"/>
        <v>A1622:A2737</v>
      </c>
    </row>
    <row r="2738" spans="1:15">
      <c r="A2738" s="18">
        <f>Charms!K2738</f>
        <v>0</v>
      </c>
      <c r="B2738">
        <f>Charms!B2738</f>
        <v>0</v>
      </c>
      <c r="C2738" t="b">
        <f ca="1">OR(Values!$S$98&gt;=Charms!M2738,IFERROR(Charms!J2738=OFFSET(Values!$A$24,MATCH("S",Values!$T$25:$T$50,0),0),FALSE))</f>
        <v>1</v>
      </c>
      <c r="D2738" t="e">
        <f>VLOOKUP(Charms!J2738,Values!$A$11:$S$59,19,0)&gt;=Charms!L2738</f>
        <v>#N/A</v>
      </c>
      <c r="E2738" t="e">
        <f>OR(ISBLANK(Charms!I2738),(VLOOKUP(Values!$S$6,Castes!$B$2:$F$25,4,0)=Charms!I2738))</f>
        <v>#N/A</v>
      </c>
      <c r="J2738" t="e">
        <f t="shared" ca="1" si="211"/>
        <v>#N/A</v>
      </c>
      <c r="K2738" s="18" t="e">
        <f t="shared" ca="1" si="210"/>
        <v>#N/A</v>
      </c>
      <c r="L2738" t="e">
        <f ca="1">IF(J2738,Charms!B2738,"")</f>
        <v>#N/A</v>
      </c>
      <c r="M2738" t="str">
        <f t="shared" ca="1" si="212"/>
        <v>-</v>
      </c>
      <c r="N2738" s="18" t="str">
        <f t="shared" si="213"/>
        <v>K1622:L5000</v>
      </c>
      <c r="O2738" t="str">
        <f t="shared" si="214"/>
        <v>A1622:A2738</v>
      </c>
    </row>
    <row r="2739" spans="1:15">
      <c r="A2739" s="18">
        <f>Charms!K2739</f>
        <v>0</v>
      </c>
      <c r="B2739">
        <f>Charms!B2739</f>
        <v>0</v>
      </c>
      <c r="C2739" t="b">
        <f ca="1">OR(Values!$S$98&gt;=Charms!M2739,IFERROR(Charms!J2739=OFFSET(Values!$A$24,MATCH("S",Values!$T$25:$T$50,0),0),FALSE))</f>
        <v>1</v>
      </c>
      <c r="D2739" t="e">
        <f>VLOOKUP(Charms!J2739,Values!$A$11:$S$59,19,0)&gt;=Charms!L2739</f>
        <v>#N/A</v>
      </c>
      <c r="E2739" t="e">
        <f>OR(ISBLANK(Charms!I2739),(VLOOKUP(Values!$S$6,Castes!$B$2:$F$25,4,0)=Charms!I2739))</f>
        <v>#N/A</v>
      </c>
      <c r="J2739" t="e">
        <f t="shared" ca="1" si="211"/>
        <v>#N/A</v>
      </c>
      <c r="K2739" s="18" t="e">
        <f t="shared" ca="1" si="210"/>
        <v>#N/A</v>
      </c>
      <c r="L2739" t="e">
        <f ca="1">IF(J2739,Charms!B2739,"")</f>
        <v>#N/A</v>
      </c>
      <c r="M2739" t="str">
        <f t="shared" ca="1" si="212"/>
        <v>-</v>
      </c>
      <c r="N2739" s="18" t="str">
        <f t="shared" si="213"/>
        <v>K1622:L5000</v>
      </c>
      <c r="O2739" t="str">
        <f t="shared" si="214"/>
        <v>A1622:A2739</v>
      </c>
    </row>
    <row r="2740" spans="1:15">
      <c r="A2740" s="18">
        <f>Charms!K2740</f>
        <v>0</v>
      </c>
      <c r="B2740">
        <f>Charms!B2740</f>
        <v>0</v>
      </c>
      <c r="C2740" t="b">
        <f ca="1">OR(Values!$S$98&gt;=Charms!M2740,IFERROR(Charms!J2740=OFFSET(Values!$A$24,MATCH("S",Values!$T$25:$T$50,0),0),FALSE))</f>
        <v>1</v>
      </c>
      <c r="D2740" t="e">
        <f>VLOOKUP(Charms!J2740,Values!$A$11:$S$59,19,0)&gt;=Charms!L2740</f>
        <v>#N/A</v>
      </c>
      <c r="E2740" t="e">
        <f>OR(ISBLANK(Charms!I2740),(VLOOKUP(Values!$S$6,Castes!$B$2:$F$25,4,0)=Charms!I2740))</f>
        <v>#N/A</v>
      </c>
      <c r="J2740" t="e">
        <f t="shared" ca="1" si="211"/>
        <v>#N/A</v>
      </c>
      <c r="K2740" s="18" t="e">
        <f t="shared" ca="1" si="210"/>
        <v>#N/A</v>
      </c>
      <c r="L2740" t="e">
        <f ca="1">IF(J2740,Charms!B2740,"")</f>
        <v>#N/A</v>
      </c>
      <c r="M2740" t="str">
        <f t="shared" ca="1" si="212"/>
        <v>-</v>
      </c>
      <c r="N2740" s="18" t="str">
        <f t="shared" si="213"/>
        <v>K1622:L5000</v>
      </c>
      <c r="O2740" t="str">
        <f t="shared" si="214"/>
        <v>A1622:A2740</v>
      </c>
    </row>
    <row r="2741" spans="1:15">
      <c r="A2741" s="18">
        <f>Charms!K2741</f>
        <v>0</v>
      </c>
      <c r="B2741">
        <f>Charms!B2741</f>
        <v>0</v>
      </c>
      <c r="C2741" t="b">
        <f ca="1">OR(Values!$S$98&gt;=Charms!M2741,IFERROR(Charms!J2741=OFFSET(Values!$A$24,MATCH("S",Values!$T$25:$T$50,0),0),FALSE))</f>
        <v>1</v>
      </c>
      <c r="D2741" t="e">
        <f>VLOOKUP(Charms!J2741,Values!$A$11:$S$59,19,0)&gt;=Charms!L2741</f>
        <v>#N/A</v>
      </c>
      <c r="E2741" t="e">
        <f>OR(ISBLANK(Charms!I2741),(VLOOKUP(Values!$S$6,Castes!$B$2:$F$25,4,0)=Charms!I2741))</f>
        <v>#N/A</v>
      </c>
      <c r="J2741" t="e">
        <f t="shared" ca="1" si="211"/>
        <v>#N/A</v>
      </c>
      <c r="K2741" s="18" t="e">
        <f t="shared" ca="1" si="210"/>
        <v>#N/A</v>
      </c>
      <c r="L2741" t="e">
        <f ca="1">IF(J2741,Charms!B2741,"")</f>
        <v>#N/A</v>
      </c>
      <c r="M2741" t="str">
        <f t="shared" ca="1" si="212"/>
        <v>-</v>
      </c>
      <c r="N2741" s="18" t="str">
        <f t="shared" si="213"/>
        <v>K1622:L5000</v>
      </c>
      <c r="O2741" t="str">
        <f t="shared" si="214"/>
        <v>A1622:A2741</v>
      </c>
    </row>
    <row r="2742" spans="1:15">
      <c r="A2742" s="18">
        <f>Charms!K2742</f>
        <v>0</v>
      </c>
      <c r="B2742">
        <f>Charms!B2742</f>
        <v>0</v>
      </c>
      <c r="C2742" t="b">
        <f ca="1">OR(Values!$S$98&gt;=Charms!M2742,IFERROR(Charms!J2742=OFFSET(Values!$A$24,MATCH("S",Values!$T$25:$T$50,0),0),FALSE))</f>
        <v>1</v>
      </c>
      <c r="D2742" t="e">
        <f>VLOOKUP(Charms!J2742,Values!$A$11:$S$59,19,0)&gt;=Charms!L2742</f>
        <v>#N/A</v>
      </c>
      <c r="E2742" t="e">
        <f>OR(ISBLANK(Charms!I2742),(VLOOKUP(Values!$S$6,Castes!$B$2:$F$25,4,0)=Charms!I2742))</f>
        <v>#N/A</v>
      </c>
      <c r="J2742" t="e">
        <f t="shared" ca="1" si="211"/>
        <v>#N/A</v>
      </c>
      <c r="K2742" s="18" t="e">
        <f t="shared" ca="1" si="210"/>
        <v>#N/A</v>
      </c>
      <c r="L2742" t="e">
        <f ca="1">IF(J2742,Charms!B2742,"")</f>
        <v>#N/A</v>
      </c>
      <c r="M2742" t="str">
        <f t="shared" ca="1" si="212"/>
        <v>-</v>
      </c>
      <c r="N2742" s="18" t="str">
        <f t="shared" si="213"/>
        <v>K1622:L5000</v>
      </c>
      <c r="O2742" t="str">
        <f t="shared" si="214"/>
        <v>A1622:A2742</v>
      </c>
    </row>
    <row r="2743" spans="1:15">
      <c r="A2743" s="18">
        <f>Charms!K2743</f>
        <v>0</v>
      </c>
      <c r="B2743">
        <f>Charms!B2743</f>
        <v>0</v>
      </c>
      <c r="C2743" t="b">
        <f ca="1">OR(Values!$S$98&gt;=Charms!M2743,IFERROR(Charms!J2743=OFFSET(Values!$A$24,MATCH("S",Values!$T$25:$T$50,0),0),FALSE))</f>
        <v>1</v>
      </c>
      <c r="D2743" t="e">
        <f>VLOOKUP(Charms!J2743,Values!$A$11:$S$59,19,0)&gt;=Charms!L2743</f>
        <v>#N/A</v>
      </c>
      <c r="E2743" t="e">
        <f>OR(ISBLANK(Charms!I2743),(VLOOKUP(Values!$S$6,Castes!$B$2:$F$25,4,0)=Charms!I2743))</f>
        <v>#N/A</v>
      </c>
      <c r="J2743" t="e">
        <f t="shared" ca="1" si="211"/>
        <v>#N/A</v>
      </c>
      <c r="K2743" s="18" t="e">
        <f t="shared" ca="1" si="210"/>
        <v>#N/A</v>
      </c>
      <c r="L2743" t="e">
        <f ca="1">IF(J2743,Charms!B2743,"")</f>
        <v>#N/A</v>
      </c>
      <c r="M2743" t="str">
        <f t="shared" ca="1" si="212"/>
        <v>-</v>
      </c>
      <c r="N2743" s="18" t="str">
        <f t="shared" si="213"/>
        <v>K1622:L5000</v>
      </c>
      <c r="O2743" t="str">
        <f t="shared" si="214"/>
        <v>A1622:A2743</v>
      </c>
    </row>
    <row r="2744" spans="1:15">
      <c r="A2744" s="18">
        <f>Charms!K2744</f>
        <v>0</v>
      </c>
      <c r="B2744">
        <f>Charms!B2744</f>
        <v>0</v>
      </c>
      <c r="C2744" t="b">
        <f ca="1">OR(Values!$S$98&gt;=Charms!M2744,IFERROR(Charms!J2744=OFFSET(Values!$A$24,MATCH("S",Values!$T$25:$T$50,0),0),FALSE))</f>
        <v>1</v>
      </c>
      <c r="D2744" t="e">
        <f>VLOOKUP(Charms!J2744,Values!$A$11:$S$59,19,0)&gt;=Charms!L2744</f>
        <v>#N/A</v>
      </c>
      <c r="E2744" t="e">
        <f>OR(ISBLANK(Charms!I2744),(VLOOKUP(Values!$S$6,Castes!$B$2:$F$25,4,0)=Charms!I2744))</f>
        <v>#N/A</v>
      </c>
      <c r="J2744" t="e">
        <f t="shared" ca="1" si="211"/>
        <v>#N/A</v>
      </c>
      <c r="K2744" s="18" t="e">
        <f t="shared" ca="1" si="210"/>
        <v>#N/A</v>
      </c>
      <c r="L2744" t="e">
        <f ca="1">IF(J2744,Charms!B2744,"")</f>
        <v>#N/A</v>
      </c>
      <c r="M2744" t="str">
        <f t="shared" ca="1" si="212"/>
        <v>-</v>
      </c>
      <c r="N2744" s="18" t="str">
        <f t="shared" si="213"/>
        <v>K1622:L5000</v>
      </c>
      <c r="O2744" t="str">
        <f t="shared" si="214"/>
        <v>A1622:A2744</v>
      </c>
    </row>
    <row r="2745" spans="1:15">
      <c r="A2745" s="18">
        <f>Charms!K2745</f>
        <v>0</v>
      </c>
      <c r="B2745">
        <f>Charms!B2745</f>
        <v>0</v>
      </c>
      <c r="C2745" t="b">
        <f ca="1">OR(Values!$S$98&gt;=Charms!M2745,IFERROR(Charms!J2745=OFFSET(Values!$A$24,MATCH("S",Values!$T$25:$T$50,0),0),FALSE))</f>
        <v>1</v>
      </c>
      <c r="D2745" t="e">
        <f>VLOOKUP(Charms!J2745,Values!$A$11:$S$59,19,0)&gt;=Charms!L2745</f>
        <v>#N/A</v>
      </c>
      <c r="E2745" t="e">
        <f>OR(ISBLANK(Charms!I2745),(VLOOKUP(Values!$S$6,Castes!$B$2:$F$25,4,0)=Charms!I2745))</f>
        <v>#N/A</v>
      </c>
      <c r="J2745" t="e">
        <f t="shared" ca="1" si="211"/>
        <v>#N/A</v>
      </c>
      <c r="K2745" s="18" t="e">
        <f t="shared" ca="1" si="210"/>
        <v>#N/A</v>
      </c>
      <c r="L2745" t="e">
        <f ca="1">IF(J2745,Charms!B2745,"")</f>
        <v>#N/A</v>
      </c>
      <c r="M2745" t="str">
        <f t="shared" ca="1" si="212"/>
        <v>-</v>
      </c>
      <c r="N2745" s="18" t="str">
        <f t="shared" si="213"/>
        <v>K1622:L5000</v>
      </c>
      <c r="O2745" t="str">
        <f t="shared" si="214"/>
        <v>A1622:A2745</v>
      </c>
    </row>
    <row r="2746" spans="1:15">
      <c r="A2746" s="18">
        <f>Charms!K2746</f>
        <v>0</v>
      </c>
      <c r="B2746">
        <f>Charms!B2746</f>
        <v>0</v>
      </c>
      <c r="C2746" t="b">
        <f ca="1">OR(Values!$S$98&gt;=Charms!M2746,IFERROR(Charms!J2746=OFFSET(Values!$A$24,MATCH("S",Values!$T$25:$T$50,0),0),FALSE))</f>
        <v>1</v>
      </c>
      <c r="D2746" t="e">
        <f>VLOOKUP(Charms!J2746,Values!$A$11:$S$59,19,0)&gt;=Charms!L2746</f>
        <v>#N/A</v>
      </c>
      <c r="E2746" t="e">
        <f>OR(ISBLANK(Charms!I2746),(VLOOKUP(Values!$S$6,Castes!$B$2:$F$25,4,0)=Charms!I2746))</f>
        <v>#N/A</v>
      </c>
      <c r="J2746" t="e">
        <f t="shared" ca="1" si="211"/>
        <v>#N/A</v>
      </c>
      <c r="K2746" s="18" t="e">
        <f t="shared" ca="1" si="210"/>
        <v>#N/A</v>
      </c>
      <c r="L2746" t="e">
        <f ca="1">IF(J2746,Charms!B2746,"")</f>
        <v>#N/A</v>
      </c>
      <c r="M2746" t="str">
        <f t="shared" ca="1" si="212"/>
        <v>-</v>
      </c>
      <c r="N2746" s="18" t="str">
        <f t="shared" si="213"/>
        <v>K1622:L5000</v>
      </c>
      <c r="O2746" t="str">
        <f t="shared" si="214"/>
        <v>A1622:A2746</v>
      </c>
    </row>
    <row r="2747" spans="1:15">
      <c r="A2747" s="18">
        <f>Charms!K2747</f>
        <v>0</v>
      </c>
      <c r="B2747">
        <f>Charms!B2747</f>
        <v>0</v>
      </c>
      <c r="C2747" t="b">
        <f ca="1">OR(Values!$S$98&gt;=Charms!M2747,IFERROR(Charms!J2747=OFFSET(Values!$A$24,MATCH("S",Values!$T$25:$T$50,0),0),FALSE))</f>
        <v>1</v>
      </c>
      <c r="D2747" t="e">
        <f>VLOOKUP(Charms!J2747,Values!$A$11:$S$59,19,0)&gt;=Charms!L2747</f>
        <v>#N/A</v>
      </c>
      <c r="E2747" t="e">
        <f>OR(ISBLANK(Charms!I2747),(VLOOKUP(Values!$S$6,Castes!$B$2:$F$25,4,0)=Charms!I2747))</f>
        <v>#N/A</v>
      </c>
      <c r="J2747" t="e">
        <f t="shared" ca="1" si="211"/>
        <v>#N/A</v>
      </c>
      <c r="K2747" s="18" t="e">
        <f t="shared" ca="1" si="210"/>
        <v>#N/A</v>
      </c>
      <c r="L2747" t="e">
        <f ca="1">IF(J2747,Charms!B2747,"")</f>
        <v>#N/A</v>
      </c>
      <c r="M2747" t="str">
        <f t="shared" ca="1" si="212"/>
        <v>-</v>
      </c>
      <c r="N2747" s="18" t="str">
        <f t="shared" si="213"/>
        <v>K1622:L5000</v>
      </c>
      <c r="O2747" t="str">
        <f t="shared" si="214"/>
        <v>A1622:A2747</v>
      </c>
    </row>
    <row r="2748" spans="1:15">
      <c r="A2748" s="18">
        <f>Charms!K2748</f>
        <v>0</v>
      </c>
      <c r="B2748">
        <f>Charms!B2748</f>
        <v>0</v>
      </c>
      <c r="C2748" t="b">
        <f ca="1">OR(Values!$S$98&gt;=Charms!M2748,IFERROR(Charms!J2748=OFFSET(Values!$A$24,MATCH("S",Values!$T$25:$T$50,0),0),FALSE))</f>
        <v>1</v>
      </c>
      <c r="D2748" t="e">
        <f>VLOOKUP(Charms!J2748,Values!$A$11:$S$59,19,0)&gt;=Charms!L2748</f>
        <v>#N/A</v>
      </c>
      <c r="E2748" t="e">
        <f>OR(ISBLANK(Charms!I2748),(VLOOKUP(Values!$S$6,Castes!$B$2:$F$25,4,0)=Charms!I2748))</f>
        <v>#N/A</v>
      </c>
      <c r="J2748" t="e">
        <f t="shared" ca="1" si="211"/>
        <v>#N/A</v>
      </c>
      <c r="K2748" s="18" t="e">
        <f t="shared" ca="1" si="210"/>
        <v>#N/A</v>
      </c>
      <c r="L2748" t="e">
        <f ca="1">IF(J2748,Charms!B2748,"")</f>
        <v>#N/A</v>
      </c>
      <c r="M2748" t="str">
        <f t="shared" ca="1" si="212"/>
        <v>-</v>
      </c>
      <c r="N2748" s="18" t="str">
        <f t="shared" si="213"/>
        <v>K1622:L5000</v>
      </c>
      <c r="O2748" t="str">
        <f t="shared" si="214"/>
        <v>A1622:A2748</v>
      </c>
    </row>
    <row r="2749" spans="1:15">
      <c r="A2749" s="18">
        <f>Charms!K2749</f>
        <v>0</v>
      </c>
      <c r="B2749">
        <f>Charms!B2749</f>
        <v>0</v>
      </c>
      <c r="C2749" t="b">
        <f ca="1">OR(Values!$S$98&gt;=Charms!M2749,IFERROR(Charms!J2749=OFFSET(Values!$A$24,MATCH("S",Values!$T$25:$T$50,0),0),FALSE))</f>
        <v>1</v>
      </c>
      <c r="D2749" t="e">
        <f>VLOOKUP(Charms!J2749,Values!$A$11:$S$59,19,0)&gt;=Charms!L2749</f>
        <v>#N/A</v>
      </c>
      <c r="E2749" t="e">
        <f>OR(ISBLANK(Charms!I2749),(VLOOKUP(Values!$S$6,Castes!$B$2:$F$25,4,0)=Charms!I2749))</f>
        <v>#N/A</v>
      </c>
      <c r="J2749" t="e">
        <f t="shared" ca="1" si="211"/>
        <v>#N/A</v>
      </c>
      <c r="K2749" s="18" t="e">
        <f t="shared" ca="1" si="210"/>
        <v>#N/A</v>
      </c>
      <c r="L2749" t="e">
        <f ca="1">IF(J2749,Charms!B2749,"")</f>
        <v>#N/A</v>
      </c>
      <c r="M2749" t="str">
        <f t="shared" ca="1" si="212"/>
        <v>-</v>
      </c>
      <c r="N2749" s="18" t="str">
        <f t="shared" si="213"/>
        <v>K1622:L5000</v>
      </c>
      <c r="O2749" t="str">
        <f t="shared" si="214"/>
        <v>A1622:A2749</v>
      </c>
    </row>
    <row r="2750" spans="1:15">
      <c r="A2750" s="18">
        <f>Charms!K2750</f>
        <v>0</v>
      </c>
      <c r="B2750">
        <f>Charms!B2750</f>
        <v>0</v>
      </c>
      <c r="C2750" t="b">
        <f ca="1">OR(Values!$S$98&gt;=Charms!M2750,IFERROR(Charms!J2750=OFFSET(Values!$A$24,MATCH("S",Values!$T$25:$T$50,0),0),FALSE))</f>
        <v>1</v>
      </c>
      <c r="D2750" t="e">
        <f>VLOOKUP(Charms!J2750,Values!$A$11:$S$59,19,0)&gt;=Charms!L2750</f>
        <v>#N/A</v>
      </c>
      <c r="E2750" t="e">
        <f>OR(ISBLANK(Charms!I2750),(VLOOKUP(Values!$S$6,Castes!$B$2:$F$25,4,0)=Charms!I2750))</f>
        <v>#N/A</v>
      </c>
      <c r="J2750" t="e">
        <f t="shared" ca="1" si="211"/>
        <v>#N/A</v>
      </c>
      <c r="K2750" s="18" t="e">
        <f t="shared" ca="1" si="210"/>
        <v>#N/A</v>
      </c>
      <c r="L2750" t="e">
        <f ca="1">IF(J2750,Charms!B2750,"")</f>
        <v>#N/A</v>
      </c>
      <c r="M2750" t="str">
        <f t="shared" ca="1" si="212"/>
        <v>-</v>
      </c>
      <c r="N2750" s="18" t="str">
        <f t="shared" si="213"/>
        <v>K1622:L5000</v>
      </c>
      <c r="O2750" t="str">
        <f t="shared" si="214"/>
        <v>A1622:A2750</v>
      </c>
    </row>
    <row r="2751" spans="1:15">
      <c r="A2751" s="18">
        <f>Charms!K2751</f>
        <v>0</v>
      </c>
      <c r="B2751">
        <f>Charms!B2751</f>
        <v>0</v>
      </c>
      <c r="C2751" t="b">
        <f ca="1">OR(Values!$S$98&gt;=Charms!M2751,IFERROR(Charms!J2751=OFFSET(Values!$A$24,MATCH("S",Values!$T$25:$T$50,0),0),FALSE))</f>
        <v>1</v>
      </c>
      <c r="D2751" t="e">
        <f>VLOOKUP(Charms!J2751,Values!$A$11:$S$59,19,0)&gt;=Charms!L2751</f>
        <v>#N/A</v>
      </c>
      <c r="E2751" t="e">
        <f>OR(ISBLANK(Charms!I2751),(VLOOKUP(Values!$S$6,Castes!$B$2:$F$25,4,0)=Charms!I2751))</f>
        <v>#N/A</v>
      </c>
      <c r="J2751" t="e">
        <f t="shared" ca="1" si="211"/>
        <v>#N/A</v>
      </c>
      <c r="K2751" s="18" t="e">
        <f t="shared" ca="1" si="210"/>
        <v>#N/A</v>
      </c>
      <c r="L2751" t="e">
        <f ca="1">IF(J2751,Charms!B2751,"")</f>
        <v>#N/A</v>
      </c>
      <c r="M2751" t="str">
        <f t="shared" ca="1" si="212"/>
        <v>-</v>
      </c>
      <c r="N2751" s="18" t="str">
        <f t="shared" si="213"/>
        <v>K1622:L5000</v>
      </c>
      <c r="O2751" t="str">
        <f t="shared" si="214"/>
        <v>A1622:A2751</v>
      </c>
    </row>
    <row r="2752" spans="1:15">
      <c r="A2752" s="18">
        <f>Charms!K2752</f>
        <v>0</v>
      </c>
      <c r="B2752">
        <f>Charms!B2752</f>
        <v>0</v>
      </c>
      <c r="C2752" t="b">
        <f ca="1">OR(Values!$S$98&gt;=Charms!M2752,IFERROR(Charms!J2752=OFFSET(Values!$A$24,MATCH("S",Values!$T$25:$T$50,0),0),FALSE))</f>
        <v>1</v>
      </c>
      <c r="D2752" t="e">
        <f>VLOOKUP(Charms!J2752,Values!$A$11:$S$59,19,0)&gt;=Charms!L2752</f>
        <v>#N/A</v>
      </c>
      <c r="E2752" t="e">
        <f>OR(ISBLANK(Charms!I2752),(VLOOKUP(Values!$S$6,Castes!$B$2:$F$25,4,0)=Charms!I2752))</f>
        <v>#N/A</v>
      </c>
      <c r="J2752" t="e">
        <f t="shared" ca="1" si="211"/>
        <v>#N/A</v>
      </c>
      <c r="K2752" s="18" t="e">
        <f t="shared" ca="1" si="210"/>
        <v>#N/A</v>
      </c>
      <c r="L2752" t="e">
        <f ca="1">IF(J2752,Charms!B2752,"")</f>
        <v>#N/A</v>
      </c>
      <c r="M2752" t="str">
        <f t="shared" ca="1" si="212"/>
        <v>-</v>
      </c>
      <c r="N2752" s="18" t="str">
        <f t="shared" si="213"/>
        <v>K1622:L5000</v>
      </c>
      <c r="O2752" t="str">
        <f t="shared" si="214"/>
        <v>A1622:A2752</v>
      </c>
    </row>
    <row r="2753" spans="1:15">
      <c r="A2753" s="18">
        <f>Charms!K2753</f>
        <v>0</v>
      </c>
      <c r="B2753">
        <f>Charms!B2753</f>
        <v>0</v>
      </c>
      <c r="C2753" t="b">
        <f ca="1">OR(Values!$S$98&gt;=Charms!M2753,IFERROR(Charms!J2753=OFFSET(Values!$A$24,MATCH("S",Values!$T$25:$T$50,0),0),FALSE))</f>
        <v>1</v>
      </c>
      <c r="D2753" t="e">
        <f>VLOOKUP(Charms!J2753,Values!$A$11:$S$59,19,0)&gt;=Charms!L2753</f>
        <v>#N/A</v>
      </c>
      <c r="E2753" t="e">
        <f>OR(ISBLANK(Charms!I2753),(VLOOKUP(Values!$S$6,Castes!$B$2:$F$25,4,0)=Charms!I2753))</f>
        <v>#N/A</v>
      </c>
      <c r="J2753" t="e">
        <f t="shared" ca="1" si="211"/>
        <v>#N/A</v>
      </c>
      <c r="K2753" s="18" t="e">
        <f t="shared" ca="1" si="210"/>
        <v>#N/A</v>
      </c>
      <c r="L2753" t="e">
        <f ca="1">IF(J2753,Charms!B2753,"")</f>
        <v>#N/A</v>
      </c>
      <c r="M2753" t="str">
        <f t="shared" ca="1" si="212"/>
        <v>-</v>
      </c>
      <c r="N2753" s="18" t="str">
        <f t="shared" si="213"/>
        <v>K1622:L5000</v>
      </c>
      <c r="O2753" t="str">
        <f t="shared" si="214"/>
        <v>A1622:A2753</v>
      </c>
    </row>
    <row r="2754" spans="1:15">
      <c r="A2754" s="18">
        <f>Charms!K2754</f>
        <v>0</v>
      </c>
      <c r="B2754">
        <f>Charms!B2754</f>
        <v>0</v>
      </c>
      <c r="C2754" t="b">
        <f ca="1">OR(Values!$S$98&gt;=Charms!M2754,IFERROR(Charms!J2754=OFFSET(Values!$A$24,MATCH("S",Values!$T$25:$T$50,0),0),FALSE))</f>
        <v>1</v>
      </c>
      <c r="D2754" t="e">
        <f>VLOOKUP(Charms!J2754,Values!$A$11:$S$59,19,0)&gt;=Charms!L2754</f>
        <v>#N/A</v>
      </c>
      <c r="E2754" t="e">
        <f>OR(ISBLANK(Charms!I2754),(VLOOKUP(Values!$S$6,Castes!$B$2:$F$25,4,0)=Charms!I2754))</f>
        <v>#N/A</v>
      </c>
      <c r="J2754" t="e">
        <f t="shared" ca="1" si="211"/>
        <v>#N/A</v>
      </c>
      <c r="K2754" s="18" t="e">
        <f t="shared" ref="K2754:K2817" ca="1" si="215">IF(L2754="","",COUNTIF(INDIRECT("J"&amp;MATCH(A2754,A:A,0)&amp;":J"&amp;ROW()),J2754))</f>
        <v>#N/A</v>
      </c>
      <c r="L2754" t="e">
        <f ca="1">IF(J2754,Charms!B2754,"")</f>
        <v>#N/A</v>
      </c>
      <c r="M2754" t="str">
        <f t="shared" ca="1" si="212"/>
        <v>-</v>
      </c>
      <c r="N2754" s="18" t="str">
        <f t="shared" si="213"/>
        <v>K1622:L5000</v>
      </c>
      <c r="O2754" t="str">
        <f t="shared" si="214"/>
        <v>A1622:A2754</v>
      </c>
    </row>
    <row r="2755" spans="1:15">
      <c r="A2755" s="18">
        <f>Charms!K2755</f>
        <v>0</v>
      </c>
      <c r="B2755">
        <f>Charms!B2755</f>
        <v>0</v>
      </c>
      <c r="C2755" t="b">
        <f ca="1">OR(Values!$S$98&gt;=Charms!M2755,IFERROR(Charms!J2755=OFFSET(Values!$A$24,MATCH("S",Values!$T$25:$T$50,0),0),FALSE))</f>
        <v>1</v>
      </c>
      <c r="D2755" t="e">
        <f>VLOOKUP(Charms!J2755,Values!$A$11:$S$59,19,0)&gt;=Charms!L2755</f>
        <v>#N/A</v>
      </c>
      <c r="E2755" t="e">
        <f>OR(ISBLANK(Charms!I2755),(VLOOKUP(Values!$S$6,Castes!$B$2:$F$25,4,0)=Charms!I2755))</f>
        <v>#N/A</v>
      </c>
      <c r="J2755" t="e">
        <f t="shared" ref="J2755:J2818" ca="1" si="216">(C2755+D2755+E2755+F2755+G2755+H2755+I2755)=3</f>
        <v>#N/A</v>
      </c>
      <c r="K2755" s="18" t="e">
        <f t="shared" ca="1" si="215"/>
        <v>#N/A</v>
      </c>
      <c r="L2755" t="e">
        <f ca="1">IF(J2755,Charms!B2755,"")</f>
        <v>#N/A</v>
      </c>
      <c r="M2755" t="str">
        <f t="shared" ref="M2755:M2818" ca="1" si="217">IFERROR(VLOOKUP(COUNTIF(INDIRECT(O2755),A2755),INDIRECT(N2755),2,0),"-")</f>
        <v>-</v>
      </c>
      <c r="N2755" s="18" t="str">
        <f t="shared" ref="N2755:N2818" si="218">"K"&amp;MATCH(A2755,A:A,0)&amp;":L"&amp;(MATCH(A2755,A:A,0)+COUNTIF(A:A,A2755)-1)</f>
        <v>K1622:L5000</v>
      </c>
      <c r="O2755" t="str">
        <f t="shared" ref="O2755:O2818" si="219">"A"&amp;MATCH(A2755,A:A,0)&amp;":A"&amp;ROW()</f>
        <v>A1622:A2755</v>
      </c>
    </row>
    <row r="2756" spans="1:15">
      <c r="A2756" s="18">
        <f>Charms!K2756</f>
        <v>0</v>
      </c>
      <c r="B2756">
        <f>Charms!B2756</f>
        <v>0</v>
      </c>
      <c r="C2756" t="b">
        <f ca="1">OR(Values!$S$98&gt;=Charms!M2756,IFERROR(Charms!J2756=OFFSET(Values!$A$24,MATCH("S",Values!$T$25:$T$50,0),0),FALSE))</f>
        <v>1</v>
      </c>
      <c r="D2756" t="e">
        <f>VLOOKUP(Charms!J2756,Values!$A$11:$S$59,19,0)&gt;=Charms!L2756</f>
        <v>#N/A</v>
      </c>
      <c r="E2756" t="e">
        <f>OR(ISBLANK(Charms!I2756),(VLOOKUP(Values!$S$6,Castes!$B$2:$F$25,4,0)=Charms!I2756))</f>
        <v>#N/A</v>
      </c>
      <c r="J2756" t="e">
        <f t="shared" ca="1" si="216"/>
        <v>#N/A</v>
      </c>
      <c r="K2756" s="18" t="e">
        <f t="shared" ca="1" si="215"/>
        <v>#N/A</v>
      </c>
      <c r="L2756" t="e">
        <f ca="1">IF(J2756,Charms!B2756,"")</f>
        <v>#N/A</v>
      </c>
      <c r="M2756" t="str">
        <f t="shared" ca="1" si="217"/>
        <v>-</v>
      </c>
      <c r="N2756" s="18" t="str">
        <f t="shared" si="218"/>
        <v>K1622:L5000</v>
      </c>
      <c r="O2756" t="str">
        <f t="shared" si="219"/>
        <v>A1622:A2756</v>
      </c>
    </row>
    <row r="2757" spans="1:15">
      <c r="A2757" s="18">
        <f>Charms!K2757</f>
        <v>0</v>
      </c>
      <c r="B2757">
        <f>Charms!B2757</f>
        <v>0</v>
      </c>
      <c r="C2757" t="b">
        <f ca="1">OR(Values!$S$98&gt;=Charms!M2757,IFERROR(Charms!J2757=OFFSET(Values!$A$24,MATCH("S",Values!$T$25:$T$50,0),0),FALSE))</f>
        <v>1</v>
      </c>
      <c r="D2757" t="e">
        <f>VLOOKUP(Charms!J2757,Values!$A$11:$S$59,19,0)&gt;=Charms!L2757</f>
        <v>#N/A</v>
      </c>
      <c r="E2757" t="e">
        <f>OR(ISBLANK(Charms!I2757),(VLOOKUP(Values!$S$6,Castes!$B$2:$F$25,4,0)=Charms!I2757))</f>
        <v>#N/A</v>
      </c>
      <c r="J2757" t="e">
        <f t="shared" ca="1" si="216"/>
        <v>#N/A</v>
      </c>
      <c r="K2757" s="18" t="e">
        <f t="shared" ca="1" si="215"/>
        <v>#N/A</v>
      </c>
      <c r="L2757" t="e">
        <f ca="1">IF(J2757,Charms!B2757,"")</f>
        <v>#N/A</v>
      </c>
      <c r="M2757" t="str">
        <f t="shared" ca="1" si="217"/>
        <v>-</v>
      </c>
      <c r="N2757" s="18" t="str">
        <f t="shared" si="218"/>
        <v>K1622:L5000</v>
      </c>
      <c r="O2757" t="str">
        <f t="shared" si="219"/>
        <v>A1622:A2757</v>
      </c>
    </row>
    <row r="2758" spans="1:15">
      <c r="A2758" s="18">
        <f>Charms!K2758</f>
        <v>0</v>
      </c>
      <c r="B2758">
        <f>Charms!B2758</f>
        <v>0</v>
      </c>
      <c r="C2758" t="b">
        <f ca="1">OR(Values!$S$98&gt;=Charms!M2758,IFERROR(Charms!J2758=OFFSET(Values!$A$24,MATCH("S",Values!$T$25:$T$50,0),0),FALSE))</f>
        <v>1</v>
      </c>
      <c r="D2758" t="e">
        <f>VLOOKUP(Charms!J2758,Values!$A$11:$S$59,19,0)&gt;=Charms!L2758</f>
        <v>#N/A</v>
      </c>
      <c r="E2758" t="e">
        <f>OR(ISBLANK(Charms!I2758),(VLOOKUP(Values!$S$6,Castes!$B$2:$F$25,4,0)=Charms!I2758))</f>
        <v>#N/A</v>
      </c>
      <c r="J2758" t="e">
        <f t="shared" ca="1" si="216"/>
        <v>#N/A</v>
      </c>
      <c r="K2758" s="18" t="e">
        <f t="shared" ca="1" si="215"/>
        <v>#N/A</v>
      </c>
      <c r="L2758" t="e">
        <f ca="1">IF(J2758,Charms!B2758,"")</f>
        <v>#N/A</v>
      </c>
      <c r="M2758" t="str">
        <f t="shared" ca="1" si="217"/>
        <v>-</v>
      </c>
      <c r="N2758" s="18" t="str">
        <f t="shared" si="218"/>
        <v>K1622:L5000</v>
      </c>
      <c r="O2758" t="str">
        <f t="shared" si="219"/>
        <v>A1622:A2758</v>
      </c>
    </row>
    <row r="2759" spans="1:15">
      <c r="A2759" s="18">
        <f>Charms!K2759</f>
        <v>0</v>
      </c>
      <c r="B2759">
        <f>Charms!B2759</f>
        <v>0</v>
      </c>
      <c r="C2759" t="b">
        <f ca="1">OR(Values!$S$98&gt;=Charms!M2759,IFERROR(Charms!J2759=OFFSET(Values!$A$24,MATCH("S",Values!$T$25:$T$50,0),0),FALSE))</f>
        <v>1</v>
      </c>
      <c r="D2759" t="e">
        <f>VLOOKUP(Charms!J2759,Values!$A$11:$S$59,19,0)&gt;=Charms!L2759</f>
        <v>#N/A</v>
      </c>
      <c r="E2759" t="e">
        <f>OR(ISBLANK(Charms!I2759),(VLOOKUP(Values!$S$6,Castes!$B$2:$F$25,4,0)=Charms!I2759))</f>
        <v>#N/A</v>
      </c>
      <c r="J2759" t="e">
        <f t="shared" ca="1" si="216"/>
        <v>#N/A</v>
      </c>
      <c r="K2759" s="18" t="e">
        <f t="shared" ca="1" si="215"/>
        <v>#N/A</v>
      </c>
      <c r="L2759" t="e">
        <f ca="1">IF(J2759,Charms!B2759,"")</f>
        <v>#N/A</v>
      </c>
      <c r="M2759" t="str">
        <f t="shared" ca="1" si="217"/>
        <v>-</v>
      </c>
      <c r="N2759" s="18" t="str">
        <f t="shared" si="218"/>
        <v>K1622:L5000</v>
      </c>
      <c r="O2759" t="str">
        <f t="shared" si="219"/>
        <v>A1622:A2759</v>
      </c>
    </row>
    <row r="2760" spans="1:15">
      <c r="A2760" s="18">
        <f>Charms!K2760</f>
        <v>0</v>
      </c>
      <c r="B2760">
        <f>Charms!B2760</f>
        <v>0</v>
      </c>
      <c r="C2760" t="b">
        <f ca="1">OR(Values!$S$98&gt;=Charms!M2760,IFERROR(Charms!J2760=OFFSET(Values!$A$24,MATCH("S",Values!$T$25:$T$50,0),0),FALSE))</f>
        <v>1</v>
      </c>
      <c r="D2760" t="e">
        <f>VLOOKUP(Charms!J2760,Values!$A$11:$S$59,19,0)&gt;=Charms!L2760</f>
        <v>#N/A</v>
      </c>
      <c r="E2760" t="e">
        <f>OR(ISBLANK(Charms!I2760),(VLOOKUP(Values!$S$6,Castes!$B$2:$F$25,4,0)=Charms!I2760))</f>
        <v>#N/A</v>
      </c>
      <c r="J2760" t="e">
        <f t="shared" ca="1" si="216"/>
        <v>#N/A</v>
      </c>
      <c r="K2760" s="18" t="e">
        <f t="shared" ca="1" si="215"/>
        <v>#N/A</v>
      </c>
      <c r="L2760" t="e">
        <f ca="1">IF(J2760,Charms!B2760,"")</f>
        <v>#N/A</v>
      </c>
      <c r="M2760" t="str">
        <f t="shared" ca="1" si="217"/>
        <v>-</v>
      </c>
      <c r="N2760" s="18" t="str">
        <f t="shared" si="218"/>
        <v>K1622:L5000</v>
      </c>
      <c r="O2760" t="str">
        <f t="shared" si="219"/>
        <v>A1622:A2760</v>
      </c>
    </row>
    <row r="2761" spans="1:15">
      <c r="A2761" s="18">
        <f>Charms!K2761</f>
        <v>0</v>
      </c>
      <c r="B2761">
        <f>Charms!B2761</f>
        <v>0</v>
      </c>
      <c r="C2761" t="b">
        <f ca="1">OR(Values!$S$98&gt;=Charms!M2761,IFERROR(Charms!J2761=OFFSET(Values!$A$24,MATCH("S",Values!$T$25:$T$50,0),0),FALSE))</f>
        <v>1</v>
      </c>
      <c r="D2761" t="e">
        <f>VLOOKUP(Charms!J2761,Values!$A$11:$S$59,19,0)&gt;=Charms!L2761</f>
        <v>#N/A</v>
      </c>
      <c r="E2761" t="e">
        <f>OR(ISBLANK(Charms!I2761),(VLOOKUP(Values!$S$6,Castes!$B$2:$F$25,4,0)=Charms!I2761))</f>
        <v>#N/A</v>
      </c>
      <c r="J2761" t="e">
        <f t="shared" ca="1" si="216"/>
        <v>#N/A</v>
      </c>
      <c r="K2761" s="18" t="e">
        <f t="shared" ca="1" si="215"/>
        <v>#N/A</v>
      </c>
      <c r="L2761" t="e">
        <f ca="1">IF(J2761,Charms!B2761,"")</f>
        <v>#N/A</v>
      </c>
      <c r="M2761" t="str">
        <f t="shared" ca="1" si="217"/>
        <v>-</v>
      </c>
      <c r="N2761" s="18" t="str">
        <f t="shared" si="218"/>
        <v>K1622:L5000</v>
      </c>
      <c r="O2761" t="str">
        <f t="shared" si="219"/>
        <v>A1622:A2761</v>
      </c>
    </row>
    <row r="2762" spans="1:15">
      <c r="A2762" s="18">
        <f>Charms!K2762</f>
        <v>0</v>
      </c>
      <c r="B2762">
        <f>Charms!B2762</f>
        <v>0</v>
      </c>
      <c r="C2762" t="b">
        <f ca="1">OR(Values!$S$98&gt;=Charms!M2762,IFERROR(Charms!J2762=OFFSET(Values!$A$24,MATCH("S",Values!$T$25:$T$50,0),0),FALSE))</f>
        <v>1</v>
      </c>
      <c r="D2762" t="e">
        <f>VLOOKUP(Charms!J2762,Values!$A$11:$S$59,19,0)&gt;=Charms!L2762</f>
        <v>#N/A</v>
      </c>
      <c r="E2762" t="e">
        <f>OR(ISBLANK(Charms!I2762),(VLOOKUP(Values!$S$6,Castes!$B$2:$F$25,4,0)=Charms!I2762))</f>
        <v>#N/A</v>
      </c>
      <c r="J2762" t="e">
        <f t="shared" ca="1" si="216"/>
        <v>#N/A</v>
      </c>
      <c r="K2762" s="18" t="e">
        <f t="shared" ca="1" si="215"/>
        <v>#N/A</v>
      </c>
      <c r="L2762" t="e">
        <f ca="1">IF(J2762,Charms!B2762,"")</f>
        <v>#N/A</v>
      </c>
      <c r="M2762" t="str">
        <f t="shared" ca="1" si="217"/>
        <v>-</v>
      </c>
      <c r="N2762" s="18" t="str">
        <f t="shared" si="218"/>
        <v>K1622:L5000</v>
      </c>
      <c r="O2762" t="str">
        <f t="shared" si="219"/>
        <v>A1622:A2762</v>
      </c>
    </row>
    <row r="2763" spans="1:15">
      <c r="A2763" s="18">
        <f>Charms!K2763</f>
        <v>0</v>
      </c>
      <c r="B2763">
        <f>Charms!B2763</f>
        <v>0</v>
      </c>
      <c r="C2763" t="b">
        <f ca="1">OR(Values!$S$98&gt;=Charms!M2763,IFERROR(Charms!J2763=OFFSET(Values!$A$24,MATCH("S",Values!$T$25:$T$50,0),0),FALSE))</f>
        <v>1</v>
      </c>
      <c r="D2763" t="e">
        <f>VLOOKUP(Charms!J2763,Values!$A$11:$S$59,19,0)&gt;=Charms!L2763</f>
        <v>#N/A</v>
      </c>
      <c r="E2763" t="e">
        <f>OR(ISBLANK(Charms!I2763),(VLOOKUP(Values!$S$6,Castes!$B$2:$F$25,4,0)=Charms!I2763))</f>
        <v>#N/A</v>
      </c>
      <c r="J2763" t="e">
        <f t="shared" ca="1" si="216"/>
        <v>#N/A</v>
      </c>
      <c r="K2763" s="18" t="e">
        <f t="shared" ca="1" si="215"/>
        <v>#N/A</v>
      </c>
      <c r="L2763" t="e">
        <f ca="1">IF(J2763,Charms!B2763,"")</f>
        <v>#N/A</v>
      </c>
      <c r="M2763" t="str">
        <f t="shared" ca="1" si="217"/>
        <v>-</v>
      </c>
      <c r="N2763" s="18" t="str">
        <f t="shared" si="218"/>
        <v>K1622:L5000</v>
      </c>
      <c r="O2763" t="str">
        <f t="shared" si="219"/>
        <v>A1622:A2763</v>
      </c>
    </row>
    <row r="2764" spans="1:15">
      <c r="A2764" s="18">
        <f>Charms!K2764</f>
        <v>0</v>
      </c>
      <c r="B2764">
        <f>Charms!B2764</f>
        <v>0</v>
      </c>
      <c r="C2764" t="b">
        <f ca="1">OR(Values!$S$98&gt;=Charms!M2764,IFERROR(Charms!J2764=OFFSET(Values!$A$24,MATCH("S",Values!$T$25:$T$50,0),0),FALSE))</f>
        <v>1</v>
      </c>
      <c r="D2764" t="e">
        <f>VLOOKUP(Charms!J2764,Values!$A$11:$S$59,19,0)&gt;=Charms!L2764</f>
        <v>#N/A</v>
      </c>
      <c r="E2764" t="e">
        <f>OR(ISBLANK(Charms!I2764),(VLOOKUP(Values!$S$6,Castes!$B$2:$F$25,4,0)=Charms!I2764))</f>
        <v>#N/A</v>
      </c>
      <c r="J2764" t="e">
        <f t="shared" ca="1" si="216"/>
        <v>#N/A</v>
      </c>
      <c r="K2764" s="18" t="e">
        <f t="shared" ca="1" si="215"/>
        <v>#N/A</v>
      </c>
      <c r="L2764" t="e">
        <f ca="1">IF(J2764,Charms!B2764,"")</f>
        <v>#N/A</v>
      </c>
      <c r="M2764" t="str">
        <f t="shared" ca="1" si="217"/>
        <v>-</v>
      </c>
      <c r="N2764" s="18" t="str">
        <f t="shared" si="218"/>
        <v>K1622:L5000</v>
      </c>
      <c r="O2764" t="str">
        <f t="shared" si="219"/>
        <v>A1622:A2764</v>
      </c>
    </row>
    <row r="2765" spans="1:15">
      <c r="A2765" s="18">
        <f>Charms!K2765</f>
        <v>0</v>
      </c>
      <c r="B2765">
        <f>Charms!B2765</f>
        <v>0</v>
      </c>
      <c r="C2765" t="b">
        <f ca="1">OR(Values!$S$98&gt;=Charms!M2765,IFERROR(Charms!J2765=OFFSET(Values!$A$24,MATCH("S",Values!$T$25:$T$50,0),0),FALSE))</f>
        <v>1</v>
      </c>
      <c r="D2765" t="e">
        <f>VLOOKUP(Charms!J2765,Values!$A$11:$S$59,19,0)&gt;=Charms!L2765</f>
        <v>#N/A</v>
      </c>
      <c r="E2765" t="e">
        <f>OR(ISBLANK(Charms!I2765),(VLOOKUP(Values!$S$6,Castes!$B$2:$F$25,4,0)=Charms!I2765))</f>
        <v>#N/A</v>
      </c>
      <c r="J2765" t="e">
        <f t="shared" ca="1" si="216"/>
        <v>#N/A</v>
      </c>
      <c r="K2765" s="18" t="e">
        <f t="shared" ca="1" si="215"/>
        <v>#N/A</v>
      </c>
      <c r="L2765" t="e">
        <f ca="1">IF(J2765,Charms!B2765,"")</f>
        <v>#N/A</v>
      </c>
      <c r="M2765" t="str">
        <f t="shared" ca="1" si="217"/>
        <v>-</v>
      </c>
      <c r="N2765" s="18" t="str">
        <f t="shared" si="218"/>
        <v>K1622:L5000</v>
      </c>
      <c r="O2765" t="str">
        <f t="shared" si="219"/>
        <v>A1622:A2765</v>
      </c>
    </row>
    <row r="2766" spans="1:15">
      <c r="A2766" s="18">
        <f>Charms!K2766</f>
        <v>0</v>
      </c>
      <c r="B2766">
        <f>Charms!B2766</f>
        <v>0</v>
      </c>
      <c r="C2766" t="b">
        <f ca="1">OR(Values!$S$98&gt;=Charms!M2766,IFERROR(Charms!J2766=OFFSET(Values!$A$24,MATCH("S",Values!$T$25:$T$50,0),0),FALSE))</f>
        <v>1</v>
      </c>
      <c r="D2766" t="e">
        <f>VLOOKUP(Charms!J2766,Values!$A$11:$S$59,19,0)&gt;=Charms!L2766</f>
        <v>#N/A</v>
      </c>
      <c r="E2766" t="e">
        <f>OR(ISBLANK(Charms!I2766),(VLOOKUP(Values!$S$6,Castes!$B$2:$F$25,4,0)=Charms!I2766))</f>
        <v>#N/A</v>
      </c>
      <c r="J2766" t="e">
        <f t="shared" ca="1" si="216"/>
        <v>#N/A</v>
      </c>
      <c r="K2766" s="18" t="e">
        <f t="shared" ca="1" si="215"/>
        <v>#N/A</v>
      </c>
      <c r="L2766" t="e">
        <f ca="1">IF(J2766,Charms!B2766,"")</f>
        <v>#N/A</v>
      </c>
      <c r="M2766" t="str">
        <f t="shared" ca="1" si="217"/>
        <v>-</v>
      </c>
      <c r="N2766" s="18" t="str">
        <f t="shared" si="218"/>
        <v>K1622:L5000</v>
      </c>
      <c r="O2766" t="str">
        <f t="shared" si="219"/>
        <v>A1622:A2766</v>
      </c>
    </row>
    <row r="2767" spans="1:15">
      <c r="A2767" s="18">
        <f>Charms!K2767</f>
        <v>0</v>
      </c>
      <c r="B2767">
        <f>Charms!B2767</f>
        <v>0</v>
      </c>
      <c r="C2767" t="b">
        <f ca="1">OR(Values!$S$98&gt;=Charms!M2767,IFERROR(Charms!J2767=OFFSET(Values!$A$24,MATCH("S",Values!$T$25:$T$50,0),0),FALSE))</f>
        <v>1</v>
      </c>
      <c r="D2767" t="e">
        <f>VLOOKUP(Charms!J2767,Values!$A$11:$S$59,19,0)&gt;=Charms!L2767</f>
        <v>#N/A</v>
      </c>
      <c r="E2767" t="e">
        <f>OR(ISBLANK(Charms!I2767),(VLOOKUP(Values!$S$6,Castes!$B$2:$F$25,4,0)=Charms!I2767))</f>
        <v>#N/A</v>
      </c>
      <c r="J2767" t="e">
        <f t="shared" ca="1" si="216"/>
        <v>#N/A</v>
      </c>
      <c r="K2767" s="18" t="e">
        <f t="shared" ca="1" si="215"/>
        <v>#N/A</v>
      </c>
      <c r="L2767" t="e">
        <f ca="1">IF(J2767,Charms!B2767,"")</f>
        <v>#N/A</v>
      </c>
      <c r="M2767" t="str">
        <f t="shared" ca="1" si="217"/>
        <v>-</v>
      </c>
      <c r="N2767" s="18" t="str">
        <f t="shared" si="218"/>
        <v>K1622:L5000</v>
      </c>
      <c r="O2767" t="str">
        <f t="shared" si="219"/>
        <v>A1622:A2767</v>
      </c>
    </row>
    <row r="2768" spans="1:15">
      <c r="A2768" s="18">
        <f>Charms!K2768</f>
        <v>0</v>
      </c>
      <c r="B2768">
        <f>Charms!B2768</f>
        <v>0</v>
      </c>
      <c r="C2768" t="b">
        <f ca="1">OR(Values!$S$98&gt;=Charms!M2768,IFERROR(Charms!J2768=OFFSET(Values!$A$24,MATCH("S",Values!$T$25:$T$50,0),0),FALSE))</f>
        <v>1</v>
      </c>
      <c r="D2768" t="e">
        <f>VLOOKUP(Charms!J2768,Values!$A$11:$S$59,19,0)&gt;=Charms!L2768</f>
        <v>#N/A</v>
      </c>
      <c r="E2768" t="e">
        <f>OR(ISBLANK(Charms!I2768),(VLOOKUP(Values!$S$6,Castes!$B$2:$F$25,4,0)=Charms!I2768))</f>
        <v>#N/A</v>
      </c>
      <c r="J2768" t="e">
        <f t="shared" ca="1" si="216"/>
        <v>#N/A</v>
      </c>
      <c r="K2768" s="18" t="e">
        <f t="shared" ca="1" si="215"/>
        <v>#N/A</v>
      </c>
      <c r="L2768" t="e">
        <f ca="1">IF(J2768,Charms!B2768,"")</f>
        <v>#N/A</v>
      </c>
      <c r="M2768" t="str">
        <f t="shared" ca="1" si="217"/>
        <v>-</v>
      </c>
      <c r="N2768" s="18" t="str">
        <f t="shared" si="218"/>
        <v>K1622:L5000</v>
      </c>
      <c r="O2768" t="str">
        <f t="shared" si="219"/>
        <v>A1622:A2768</v>
      </c>
    </row>
    <row r="2769" spans="1:15">
      <c r="A2769" s="18">
        <f>Charms!K2769</f>
        <v>0</v>
      </c>
      <c r="B2769">
        <f>Charms!B2769</f>
        <v>0</v>
      </c>
      <c r="C2769" t="b">
        <f ca="1">OR(Values!$S$98&gt;=Charms!M2769,IFERROR(Charms!J2769=OFFSET(Values!$A$24,MATCH("S",Values!$T$25:$T$50,0),0),FALSE))</f>
        <v>1</v>
      </c>
      <c r="D2769" t="e">
        <f>VLOOKUP(Charms!J2769,Values!$A$11:$S$59,19,0)&gt;=Charms!L2769</f>
        <v>#N/A</v>
      </c>
      <c r="E2769" t="e">
        <f>OR(ISBLANK(Charms!I2769),(VLOOKUP(Values!$S$6,Castes!$B$2:$F$25,4,0)=Charms!I2769))</f>
        <v>#N/A</v>
      </c>
      <c r="J2769" t="e">
        <f t="shared" ca="1" si="216"/>
        <v>#N/A</v>
      </c>
      <c r="K2769" s="18" t="e">
        <f t="shared" ca="1" si="215"/>
        <v>#N/A</v>
      </c>
      <c r="L2769" t="e">
        <f ca="1">IF(J2769,Charms!B2769,"")</f>
        <v>#N/A</v>
      </c>
      <c r="M2769" t="str">
        <f t="shared" ca="1" si="217"/>
        <v>-</v>
      </c>
      <c r="N2769" s="18" t="str">
        <f t="shared" si="218"/>
        <v>K1622:L5000</v>
      </c>
      <c r="O2769" t="str">
        <f t="shared" si="219"/>
        <v>A1622:A2769</v>
      </c>
    </row>
    <row r="2770" spans="1:15">
      <c r="A2770" s="18">
        <f>Charms!K2770</f>
        <v>0</v>
      </c>
      <c r="B2770">
        <f>Charms!B2770</f>
        <v>0</v>
      </c>
      <c r="C2770" t="b">
        <f ca="1">OR(Values!$S$98&gt;=Charms!M2770,IFERROR(Charms!J2770=OFFSET(Values!$A$24,MATCH("S",Values!$T$25:$T$50,0),0),FALSE))</f>
        <v>1</v>
      </c>
      <c r="D2770" t="e">
        <f>VLOOKUP(Charms!J2770,Values!$A$11:$S$59,19,0)&gt;=Charms!L2770</f>
        <v>#N/A</v>
      </c>
      <c r="E2770" t="e">
        <f>OR(ISBLANK(Charms!I2770),(VLOOKUP(Values!$S$6,Castes!$B$2:$F$25,4,0)=Charms!I2770))</f>
        <v>#N/A</v>
      </c>
      <c r="J2770" t="e">
        <f t="shared" ca="1" si="216"/>
        <v>#N/A</v>
      </c>
      <c r="K2770" s="18" t="e">
        <f t="shared" ca="1" si="215"/>
        <v>#N/A</v>
      </c>
      <c r="L2770" t="e">
        <f ca="1">IF(J2770,Charms!B2770,"")</f>
        <v>#N/A</v>
      </c>
      <c r="M2770" t="str">
        <f t="shared" ca="1" si="217"/>
        <v>-</v>
      </c>
      <c r="N2770" s="18" t="str">
        <f t="shared" si="218"/>
        <v>K1622:L5000</v>
      </c>
      <c r="O2770" t="str">
        <f t="shared" si="219"/>
        <v>A1622:A2770</v>
      </c>
    </row>
    <row r="2771" spans="1:15">
      <c r="A2771" s="18">
        <f>Charms!K2771</f>
        <v>0</v>
      </c>
      <c r="B2771">
        <f>Charms!B2771</f>
        <v>0</v>
      </c>
      <c r="C2771" t="b">
        <f ca="1">OR(Values!$S$98&gt;=Charms!M2771,IFERROR(Charms!J2771=OFFSET(Values!$A$24,MATCH("S",Values!$T$25:$T$50,0),0),FALSE))</f>
        <v>1</v>
      </c>
      <c r="D2771" t="e">
        <f>VLOOKUP(Charms!J2771,Values!$A$11:$S$59,19,0)&gt;=Charms!L2771</f>
        <v>#N/A</v>
      </c>
      <c r="E2771" t="e">
        <f>OR(ISBLANK(Charms!I2771),(VLOOKUP(Values!$S$6,Castes!$B$2:$F$25,4,0)=Charms!I2771))</f>
        <v>#N/A</v>
      </c>
      <c r="J2771" t="e">
        <f t="shared" ca="1" si="216"/>
        <v>#N/A</v>
      </c>
      <c r="K2771" s="18" t="e">
        <f t="shared" ca="1" si="215"/>
        <v>#N/A</v>
      </c>
      <c r="L2771" t="e">
        <f ca="1">IF(J2771,Charms!B2771,"")</f>
        <v>#N/A</v>
      </c>
      <c r="M2771" t="str">
        <f t="shared" ca="1" si="217"/>
        <v>-</v>
      </c>
      <c r="N2771" s="18" t="str">
        <f t="shared" si="218"/>
        <v>K1622:L5000</v>
      </c>
      <c r="O2771" t="str">
        <f t="shared" si="219"/>
        <v>A1622:A2771</v>
      </c>
    </row>
    <row r="2772" spans="1:15">
      <c r="A2772" s="18">
        <f>Charms!K2772</f>
        <v>0</v>
      </c>
      <c r="B2772">
        <f>Charms!B2772</f>
        <v>0</v>
      </c>
      <c r="C2772" t="b">
        <f ca="1">OR(Values!$S$98&gt;=Charms!M2772,IFERROR(Charms!J2772=OFFSET(Values!$A$24,MATCH("S",Values!$T$25:$T$50,0),0),FALSE))</f>
        <v>1</v>
      </c>
      <c r="D2772" t="e">
        <f>VLOOKUP(Charms!J2772,Values!$A$11:$S$59,19,0)&gt;=Charms!L2772</f>
        <v>#N/A</v>
      </c>
      <c r="E2772" t="e">
        <f>OR(ISBLANK(Charms!I2772),(VLOOKUP(Values!$S$6,Castes!$B$2:$F$25,4,0)=Charms!I2772))</f>
        <v>#N/A</v>
      </c>
      <c r="J2772" t="e">
        <f t="shared" ca="1" si="216"/>
        <v>#N/A</v>
      </c>
      <c r="K2772" s="18" t="e">
        <f t="shared" ca="1" si="215"/>
        <v>#N/A</v>
      </c>
      <c r="L2772" t="e">
        <f ca="1">IF(J2772,Charms!B2772,"")</f>
        <v>#N/A</v>
      </c>
      <c r="M2772" t="str">
        <f t="shared" ca="1" si="217"/>
        <v>-</v>
      </c>
      <c r="N2772" s="18" t="str">
        <f t="shared" si="218"/>
        <v>K1622:L5000</v>
      </c>
      <c r="O2772" t="str">
        <f t="shared" si="219"/>
        <v>A1622:A2772</v>
      </c>
    </row>
    <row r="2773" spans="1:15">
      <c r="A2773" s="18">
        <f>Charms!K2773</f>
        <v>0</v>
      </c>
      <c r="B2773">
        <f>Charms!B2773</f>
        <v>0</v>
      </c>
      <c r="C2773" t="b">
        <f ca="1">OR(Values!$S$98&gt;=Charms!M2773,IFERROR(Charms!J2773=OFFSET(Values!$A$24,MATCH("S",Values!$T$25:$T$50,0),0),FALSE))</f>
        <v>1</v>
      </c>
      <c r="D2773" t="e">
        <f>VLOOKUP(Charms!J2773,Values!$A$11:$S$59,19,0)&gt;=Charms!L2773</f>
        <v>#N/A</v>
      </c>
      <c r="E2773" t="e">
        <f>OR(ISBLANK(Charms!I2773),(VLOOKUP(Values!$S$6,Castes!$B$2:$F$25,4,0)=Charms!I2773))</f>
        <v>#N/A</v>
      </c>
      <c r="J2773" t="e">
        <f t="shared" ca="1" si="216"/>
        <v>#N/A</v>
      </c>
      <c r="K2773" s="18" t="e">
        <f t="shared" ca="1" si="215"/>
        <v>#N/A</v>
      </c>
      <c r="L2773" t="e">
        <f ca="1">IF(J2773,Charms!B2773,"")</f>
        <v>#N/A</v>
      </c>
      <c r="M2773" t="str">
        <f t="shared" ca="1" si="217"/>
        <v>-</v>
      </c>
      <c r="N2773" s="18" t="str">
        <f t="shared" si="218"/>
        <v>K1622:L5000</v>
      </c>
      <c r="O2773" t="str">
        <f t="shared" si="219"/>
        <v>A1622:A2773</v>
      </c>
    </row>
    <row r="2774" spans="1:15">
      <c r="A2774" s="18">
        <f>Charms!K2774</f>
        <v>0</v>
      </c>
      <c r="B2774">
        <f>Charms!B2774</f>
        <v>0</v>
      </c>
      <c r="C2774" t="b">
        <f ca="1">OR(Values!$S$98&gt;=Charms!M2774,IFERROR(Charms!J2774=OFFSET(Values!$A$24,MATCH("S",Values!$T$25:$T$50,0),0),FALSE))</f>
        <v>1</v>
      </c>
      <c r="D2774" t="e">
        <f>VLOOKUP(Charms!J2774,Values!$A$11:$S$59,19,0)&gt;=Charms!L2774</f>
        <v>#N/A</v>
      </c>
      <c r="E2774" t="e">
        <f>OR(ISBLANK(Charms!I2774),(VLOOKUP(Values!$S$6,Castes!$B$2:$F$25,4,0)=Charms!I2774))</f>
        <v>#N/A</v>
      </c>
      <c r="J2774" t="e">
        <f t="shared" ca="1" si="216"/>
        <v>#N/A</v>
      </c>
      <c r="K2774" s="18" t="e">
        <f t="shared" ca="1" si="215"/>
        <v>#N/A</v>
      </c>
      <c r="L2774" t="e">
        <f ca="1">IF(J2774,Charms!B2774,"")</f>
        <v>#N/A</v>
      </c>
      <c r="M2774" t="str">
        <f t="shared" ca="1" si="217"/>
        <v>-</v>
      </c>
      <c r="N2774" s="18" t="str">
        <f t="shared" si="218"/>
        <v>K1622:L5000</v>
      </c>
      <c r="O2774" t="str">
        <f t="shared" si="219"/>
        <v>A1622:A2774</v>
      </c>
    </row>
    <row r="2775" spans="1:15">
      <c r="A2775" s="18">
        <f>Charms!K2775</f>
        <v>0</v>
      </c>
      <c r="B2775">
        <f>Charms!B2775</f>
        <v>0</v>
      </c>
      <c r="C2775" t="b">
        <f ca="1">OR(Values!$S$98&gt;=Charms!M2775,IFERROR(Charms!J2775=OFFSET(Values!$A$24,MATCH("S",Values!$T$25:$T$50,0),0),FALSE))</f>
        <v>1</v>
      </c>
      <c r="D2775" t="e">
        <f>VLOOKUP(Charms!J2775,Values!$A$11:$S$59,19,0)&gt;=Charms!L2775</f>
        <v>#N/A</v>
      </c>
      <c r="E2775" t="e">
        <f>OR(ISBLANK(Charms!I2775),(VLOOKUP(Values!$S$6,Castes!$B$2:$F$25,4,0)=Charms!I2775))</f>
        <v>#N/A</v>
      </c>
      <c r="J2775" t="e">
        <f t="shared" ca="1" si="216"/>
        <v>#N/A</v>
      </c>
      <c r="K2775" s="18" t="e">
        <f t="shared" ca="1" si="215"/>
        <v>#N/A</v>
      </c>
      <c r="L2775" t="e">
        <f ca="1">IF(J2775,Charms!B2775,"")</f>
        <v>#N/A</v>
      </c>
      <c r="M2775" t="str">
        <f t="shared" ca="1" si="217"/>
        <v>-</v>
      </c>
      <c r="N2775" s="18" t="str">
        <f t="shared" si="218"/>
        <v>K1622:L5000</v>
      </c>
      <c r="O2775" t="str">
        <f t="shared" si="219"/>
        <v>A1622:A2775</v>
      </c>
    </row>
    <row r="2776" spans="1:15">
      <c r="A2776" s="18">
        <f>Charms!K2776</f>
        <v>0</v>
      </c>
      <c r="B2776">
        <f>Charms!B2776</f>
        <v>0</v>
      </c>
      <c r="C2776" t="b">
        <f ca="1">OR(Values!$S$98&gt;=Charms!M2776,IFERROR(Charms!J2776=OFFSET(Values!$A$24,MATCH("S",Values!$T$25:$T$50,0),0),FALSE))</f>
        <v>1</v>
      </c>
      <c r="D2776" t="e">
        <f>VLOOKUP(Charms!J2776,Values!$A$11:$S$59,19,0)&gt;=Charms!L2776</f>
        <v>#N/A</v>
      </c>
      <c r="E2776" t="e">
        <f>OR(ISBLANK(Charms!I2776),(VLOOKUP(Values!$S$6,Castes!$B$2:$F$25,4,0)=Charms!I2776))</f>
        <v>#N/A</v>
      </c>
      <c r="J2776" t="e">
        <f t="shared" ca="1" si="216"/>
        <v>#N/A</v>
      </c>
      <c r="K2776" s="18" t="e">
        <f t="shared" ca="1" si="215"/>
        <v>#N/A</v>
      </c>
      <c r="L2776" t="e">
        <f ca="1">IF(J2776,Charms!B2776,"")</f>
        <v>#N/A</v>
      </c>
      <c r="M2776" t="str">
        <f t="shared" ca="1" si="217"/>
        <v>-</v>
      </c>
      <c r="N2776" s="18" t="str">
        <f t="shared" si="218"/>
        <v>K1622:L5000</v>
      </c>
      <c r="O2776" t="str">
        <f t="shared" si="219"/>
        <v>A1622:A2776</v>
      </c>
    </row>
    <row r="2777" spans="1:15">
      <c r="A2777" s="18">
        <f>Charms!K2777</f>
        <v>0</v>
      </c>
      <c r="B2777">
        <f>Charms!B2777</f>
        <v>0</v>
      </c>
      <c r="C2777" t="b">
        <f ca="1">OR(Values!$S$98&gt;=Charms!M2777,IFERROR(Charms!J2777=OFFSET(Values!$A$24,MATCH("S",Values!$T$25:$T$50,0),0),FALSE))</f>
        <v>1</v>
      </c>
      <c r="D2777" t="e">
        <f>VLOOKUP(Charms!J2777,Values!$A$11:$S$59,19,0)&gt;=Charms!L2777</f>
        <v>#N/A</v>
      </c>
      <c r="E2777" t="e">
        <f>OR(ISBLANK(Charms!I2777),(VLOOKUP(Values!$S$6,Castes!$B$2:$F$25,4,0)=Charms!I2777))</f>
        <v>#N/A</v>
      </c>
      <c r="J2777" t="e">
        <f t="shared" ca="1" si="216"/>
        <v>#N/A</v>
      </c>
      <c r="K2777" s="18" t="e">
        <f t="shared" ca="1" si="215"/>
        <v>#N/A</v>
      </c>
      <c r="L2777" t="e">
        <f ca="1">IF(J2777,Charms!B2777,"")</f>
        <v>#N/A</v>
      </c>
      <c r="M2777" t="str">
        <f t="shared" ca="1" si="217"/>
        <v>-</v>
      </c>
      <c r="N2777" s="18" t="str">
        <f t="shared" si="218"/>
        <v>K1622:L5000</v>
      </c>
      <c r="O2777" t="str">
        <f t="shared" si="219"/>
        <v>A1622:A2777</v>
      </c>
    </row>
    <row r="2778" spans="1:15">
      <c r="A2778" s="18">
        <f>Charms!K2778</f>
        <v>0</v>
      </c>
      <c r="B2778">
        <f>Charms!B2778</f>
        <v>0</v>
      </c>
      <c r="C2778" t="b">
        <f ca="1">OR(Values!$S$98&gt;=Charms!M2778,IFERROR(Charms!J2778=OFFSET(Values!$A$24,MATCH("S",Values!$T$25:$T$50,0),0),FALSE))</f>
        <v>1</v>
      </c>
      <c r="D2778" t="e">
        <f>VLOOKUP(Charms!J2778,Values!$A$11:$S$59,19,0)&gt;=Charms!L2778</f>
        <v>#N/A</v>
      </c>
      <c r="E2778" t="e">
        <f>OR(ISBLANK(Charms!I2778),(VLOOKUP(Values!$S$6,Castes!$B$2:$F$25,4,0)=Charms!I2778))</f>
        <v>#N/A</v>
      </c>
      <c r="J2778" t="e">
        <f t="shared" ca="1" si="216"/>
        <v>#N/A</v>
      </c>
      <c r="K2778" s="18" t="e">
        <f t="shared" ca="1" si="215"/>
        <v>#N/A</v>
      </c>
      <c r="L2778" t="e">
        <f ca="1">IF(J2778,Charms!B2778,"")</f>
        <v>#N/A</v>
      </c>
      <c r="M2778" t="str">
        <f t="shared" ca="1" si="217"/>
        <v>-</v>
      </c>
      <c r="N2778" s="18" t="str">
        <f t="shared" si="218"/>
        <v>K1622:L5000</v>
      </c>
      <c r="O2778" t="str">
        <f t="shared" si="219"/>
        <v>A1622:A2778</v>
      </c>
    </row>
    <row r="2779" spans="1:15">
      <c r="A2779" s="18">
        <f>Charms!K2779</f>
        <v>0</v>
      </c>
      <c r="B2779">
        <f>Charms!B2779</f>
        <v>0</v>
      </c>
      <c r="C2779" t="b">
        <f ca="1">OR(Values!$S$98&gt;=Charms!M2779,IFERROR(Charms!J2779=OFFSET(Values!$A$24,MATCH("S",Values!$T$25:$T$50,0),0),FALSE))</f>
        <v>1</v>
      </c>
      <c r="D2779" t="e">
        <f>VLOOKUP(Charms!J2779,Values!$A$11:$S$59,19,0)&gt;=Charms!L2779</f>
        <v>#N/A</v>
      </c>
      <c r="E2779" t="e">
        <f>OR(ISBLANK(Charms!I2779),(VLOOKUP(Values!$S$6,Castes!$B$2:$F$25,4,0)=Charms!I2779))</f>
        <v>#N/A</v>
      </c>
      <c r="J2779" t="e">
        <f t="shared" ca="1" si="216"/>
        <v>#N/A</v>
      </c>
      <c r="K2779" s="18" t="e">
        <f t="shared" ca="1" si="215"/>
        <v>#N/A</v>
      </c>
      <c r="L2779" t="e">
        <f ca="1">IF(J2779,Charms!B2779,"")</f>
        <v>#N/A</v>
      </c>
      <c r="M2779" t="str">
        <f t="shared" ca="1" si="217"/>
        <v>-</v>
      </c>
      <c r="N2779" s="18" t="str">
        <f t="shared" si="218"/>
        <v>K1622:L5000</v>
      </c>
      <c r="O2779" t="str">
        <f t="shared" si="219"/>
        <v>A1622:A2779</v>
      </c>
    </row>
    <row r="2780" spans="1:15">
      <c r="A2780" s="18">
        <f>Charms!K2780</f>
        <v>0</v>
      </c>
      <c r="B2780">
        <f>Charms!B2780</f>
        <v>0</v>
      </c>
      <c r="C2780" t="b">
        <f ca="1">OR(Values!$S$98&gt;=Charms!M2780,IFERROR(Charms!J2780=OFFSET(Values!$A$24,MATCH("S",Values!$T$25:$T$50,0),0),FALSE))</f>
        <v>1</v>
      </c>
      <c r="D2780" t="e">
        <f>VLOOKUP(Charms!J2780,Values!$A$11:$S$59,19,0)&gt;=Charms!L2780</f>
        <v>#N/A</v>
      </c>
      <c r="E2780" t="e">
        <f>OR(ISBLANK(Charms!I2780),(VLOOKUP(Values!$S$6,Castes!$B$2:$F$25,4,0)=Charms!I2780))</f>
        <v>#N/A</v>
      </c>
      <c r="J2780" t="e">
        <f t="shared" ca="1" si="216"/>
        <v>#N/A</v>
      </c>
      <c r="K2780" s="18" t="e">
        <f t="shared" ca="1" si="215"/>
        <v>#N/A</v>
      </c>
      <c r="L2780" t="e">
        <f ca="1">IF(J2780,Charms!B2780,"")</f>
        <v>#N/A</v>
      </c>
      <c r="M2780" t="str">
        <f t="shared" ca="1" si="217"/>
        <v>-</v>
      </c>
      <c r="N2780" s="18" t="str">
        <f t="shared" si="218"/>
        <v>K1622:L5000</v>
      </c>
      <c r="O2780" t="str">
        <f t="shared" si="219"/>
        <v>A1622:A2780</v>
      </c>
    </row>
    <row r="2781" spans="1:15">
      <c r="A2781" s="18">
        <f>Charms!K2781</f>
        <v>0</v>
      </c>
      <c r="B2781">
        <f>Charms!B2781</f>
        <v>0</v>
      </c>
      <c r="C2781" t="b">
        <f ca="1">OR(Values!$S$98&gt;=Charms!M2781,IFERROR(Charms!J2781=OFFSET(Values!$A$24,MATCH("S",Values!$T$25:$T$50,0),0),FALSE))</f>
        <v>1</v>
      </c>
      <c r="D2781" t="e">
        <f>VLOOKUP(Charms!J2781,Values!$A$11:$S$59,19,0)&gt;=Charms!L2781</f>
        <v>#N/A</v>
      </c>
      <c r="E2781" t="e">
        <f>OR(ISBLANK(Charms!I2781),(VLOOKUP(Values!$S$6,Castes!$B$2:$F$25,4,0)=Charms!I2781))</f>
        <v>#N/A</v>
      </c>
      <c r="J2781" t="e">
        <f t="shared" ca="1" si="216"/>
        <v>#N/A</v>
      </c>
      <c r="K2781" s="18" t="e">
        <f t="shared" ca="1" si="215"/>
        <v>#N/A</v>
      </c>
      <c r="L2781" t="e">
        <f ca="1">IF(J2781,Charms!B2781,"")</f>
        <v>#N/A</v>
      </c>
      <c r="M2781" t="str">
        <f t="shared" ca="1" si="217"/>
        <v>-</v>
      </c>
      <c r="N2781" s="18" t="str">
        <f t="shared" si="218"/>
        <v>K1622:L5000</v>
      </c>
      <c r="O2781" t="str">
        <f t="shared" si="219"/>
        <v>A1622:A2781</v>
      </c>
    </row>
    <row r="2782" spans="1:15">
      <c r="A2782" s="18">
        <f>Charms!K2782</f>
        <v>0</v>
      </c>
      <c r="B2782">
        <f>Charms!B2782</f>
        <v>0</v>
      </c>
      <c r="C2782" t="b">
        <f ca="1">OR(Values!$S$98&gt;=Charms!M2782,IFERROR(Charms!J2782=OFFSET(Values!$A$24,MATCH("S",Values!$T$25:$T$50,0),0),FALSE))</f>
        <v>1</v>
      </c>
      <c r="D2782" t="e">
        <f>VLOOKUP(Charms!J2782,Values!$A$11:$S$59,19,0)&gt;=Charms!L2782</f>
        <v>#N/A</v>
      </c>
      <c r="E2782" t="e">
        <f>OR(ISBLANK(Charms!I2782),(VLOOKUP(Values!$S$6,Castes!$B$2:$F$25,4,0)=Charms!I2782))</f>
        <v>#N/A</v>
      </c>
      <c r="J2782" t="e">
        <f t="shared" ca="1" si="216"/>
        <v>#N/A</v>
      </c>
      <c r="K2782" s="18" t="e">
        <f t="shared" ca="1" si="215"/>
        <v>#N/A</v>
      </c>
      <c r="L2782" t="e">
        <f ca="1">IF(J2782,Charms!B2782,"")</f>
        <v>#N/A</v>
      </c>
      <c r="M2782" t="str">
        <f t="shared" ca="1" si="217"/>
        <v>-</v>
      </c>
      <c r="N2782" s="18" t="str">
        <f t="shared" si="218"/>
        <v>K1622:L5000</v>
      </c>
      <c r="O2782" t="str">
        <f t="shared" si="219"/>
        <v>A1622:A2782</v>
      </c>
    </row>
    <row r="2783" spans="1:15">
      <c r="A2783" s="18">
        <f>Charms!K2783</f>
        <v>0</v>
      </c>
      <c r="B2783">
        <f>Charms!B2783</f>
        <v>0</v>
      </c>
      <c r="C2783" t="b">
        <f ca="1">OR(Values!$S$98&gt;=Charms!M2783,IFERROR(Charms!J2783=OFFSET(Values!$A$24,MATCH("S",Values!$T$25:$T$50,0),0),FALSE))</f>
        <v>1</v>
      </c>
      <c r="D2783" t="e">
        <f>VLOOKUP(Charms!J2783,Values!$A$11:$S$59,19,0)&gt;=Charms!L2783</f>
        <v>#N/A</v>
      </c>
      <c r="E2783" t="e">
        <f>OR(ISBLANK(Charms!I2783),(VLOOKUP(Values!$S$6,Castes!$B$2:$F$25,4,0)=Charms!I2783))</f>
        <v>#N/A</v>
      </c>
      <c r="J2783" t="e">
        <f t="shared" ca="1" si="216"/>
        <v>#N/A</v>
      </c>
      <c r="K2783" s="18" t="e">
        <f t="shared" ca="1" si="215"/>
        <v>#N/A</v>
      </c>
      <c r="L2783" t="e">
        <f ca="1">IF(J2783,Charms!B2783,"")</f>
        <v>#N/A</v>
      </c>
      <c r="M2783" t="str">
        <f t="shared" ca="1" si="217"/>
        <v>-</v>
      </c>
      <c r="N2783" s="18" t="str">
        <f t="shared" si="218"/>
        <v>K1622:L5000</v>
      </c>
      <c r="O2783" t="str">
        <f t="shared" si="219"/>
        <v>A1622:A2783</v>
      </c>
    </row>
    <row r="2784" spans="1:15">
      <c r="A2784" s="18">
        <f>Charms!K2784</f>
        <v>0</v>
      </c>
      <c r="B2784">
        <f>Charms!B2784</f>
        <v>0</v>
      </c>
      <c r="C2784" t="b">
        <f ca="1">OR(Values!$S$98&gt;=Charms!M2784,IFERROR(Charms!J2784=OFFSET(Values!$A$24,MATCH("S",Values!$T$25:$T$50,0),0),FALSE))</f>
        <v>1</v>
      </c>
      <c r="D2784" t="e">
        <f>VLOOKUP(Charms!J2784,Values!$A$11:$S$59,19,0)&gt;=Charms!L2784</f>
        <v>#N/A</v>
      </c>
      <c r="E2784" t="e">
        <f>OR(ISBLANK(Charms!I2784),(VLOOKUP(Values!$S$6,Castes!$B$2:$F$25,4,0)=Charms!I2784))</f>
        <v>#N/A</v>
      </c>
      <c r="J2784" t="e">
        <f t="shared" ca="1" si="216"/>
        <v>#N/A</v>
      </c>
      <c r="K2784" s="18" t="e">
        <f t="shared" ca="1" si="215"/>
        <v>#N/A</v>
      </c>
      <c r="L2784" t="e">
        <f ca="1">IF(J2784,Charms!B2784,"")</f>
        <v>#N/A</v>
      </c>
      <c r="M2784" t="str">
        <f t="shared" ca="1" si="217"/>
        <v>-</v>
      </c>
      <c r="N2784" s="18" t="str">
        <f t="shared" si="218"/>
        <v>K1622:L5000</v>
      </c>
      <c r="O2784" t="str">
        <f t="shared" si="219"/>
        <v>A1622:A2784</v>
      </c>
    </row>
    <row r="2785" spans="1:15">
      <c r="A2785" s="18">
        <f>Charms!K2785</f>
        <v>0</v>
      </c>
      <c r="B2785">
        <f>Charms!B2785</f>
        <v>0</v>
      </c>
      <c r="C2785" t="b">
        <f ca="1">OR(Values!$S$98&gt;=Charms!M2785,IFERROR(Charms!J2785=OFFSET(Values!$A$24,MATCH("S",Values!$T$25:$T$50,0),0),FALSE))</f>
        <v>1</v>
      </c>
      <c r="D2785" t="e">
        <f>VLOOKUP(Charms!J2785,Values!$A$11:$S$59,19,0)&gt;=Charms!L2785</f>
        <v>#N/A</v>
      </c>
      <c r="E2785" t="e">
        <f>OR(ISBLANK(Charms!I2785),(VLOOKUP(Values!$S$6,Castes!$B$2:$F$25,4,0)=Charms!I2785))</f>
        <v>#N/A</v>
      </c>
      <c r="J2785" t="e">
        <f t="shared" ca="1" si="216"/>
        <v>#N/A</v>
      </c>
      <c r="K2785" s="18" t="e">
        <f t="shared" ca="1" si="215"/>
        <v>#N/A</v>
      </c>
      <c r="L2785" t="e">
        <f ca="1">IF(J2785,Charms!B2785,"")</f>
        <v>#N/A</v>
      </c>
      <c r="M2785" t="str">
        <f t="shared" ca="1" si="217"/>
        <v>-</v>
      </c>
      <c r="N2785" s="18" t="str">
        <f t="shared" si="218"/>
        <v>K1622:L5000</v>
      </c>
      <c r="O2785" t="str">
        <f t="shared" si="219"/>
        <v>A1622:A2785</v>
      </c>
    </row>
    <row r="2786" spans="1:15">
      <c r="A2786" s="18">
        <f>Charms!K2786</f>
        <v>0</v>
      </c>
      <c r="B2786">
        <f>Charms!B2786</f>
        <v>0</v>
      </c>
      <c r="C2786" t="b">
        <f ca="1">OR(Values!$S$98&gt;=Charms!M2786,IFERROR(Charms!J2786=OFFSET(Values!$A$24,MATCH("S",Values!$T$25:$T$50,0),0),FALSE))</f>
        <v>1</v>
      </c>
      <c r="D2786" t="e">
        <f>VLOOKUP(Charms!J2786,Values!$A$11:$S$59,19,0)&gt;=Charms!L2786</f>
        <v>#N/A</v>
      </c>
      <c r="E2786" t="e">
        <f>OR(ISBLANK(Charms!I2786),(VLOOKUP(Values!$S$6,Castes!$B$2:$F$25,4,0)=Charms!I2786))</f>
        <v>#N/A</v>
      </c>
      <c r="J2786" t="e">
        <f t="shared" ca="1" si="216"/>
        <v>#N/A</v>
      </c>
      <c r="K2786" s="18" t="e">
        <f t="shared" ca="1" si="215"/>
        <v>#N/A</v>
      </c>
      <c r="L2786" t="e">
        <f ca="1">IF(J2786,Charms!B2786,"")</f>
        <v>#N/A</v>
      </c>
      <c r="M2786" t="str">
        <f t="shared" ca="1" si="217"/>
        <v>-</v>
      </c>
      <c r="N2786" s="18" t="str">
        <f t="shared" si="218"/>
        <v>K1622:L5000</v>
      </c>
      <c r="O2786" t="str">
        <f t="shared" si="219"/>
        <v>A1622:A2786</v>
      </c>
    </row>
    <row r="2787" spans="1:15">
      <c r="A2787" s="18">
        <f>Charms!K2787</f>
        <v>0</v>
      </c>
      <c r="B2787">
        <f>Charms!B2787</f>
        <v>0</v>
      </c>
      <c r="C2787" t="b">
        <f ca="1">OR(Values!$S$98&gt;=Charms!M2787,IFERROR(Charms!J2787=OFFSET(Values!$A$24,MATCH("S",Values!$T$25:$T$50,0),0),FALSE))</f>
        <v>1</v>
      </c>
      <c r="D2787" t="e">
        <f>VLOOKUP(Charms!J2787,Values!$A$11:$S$59,19,0)&gt;=Charms!L2787</f>
        <v>#N/A</v>
      </c>
      <c r="E2787" t="e">
        <f>OR(ISBLANK(Charms!I2787),(VLOOKUP(Values!$S$6,Castes!$B$2:$F$25,4,0)=Charms!I2787))</f>
        <v>#N/A</v>
      </c>
      <c r="J2787" t="e">
        <f t="shared" ca="1" si="216"/>
        <v>#N/A</v>
      </c>
      <c r="K2787" s="18" t="e">
        <f t="shared" ca="1" si="215"/>
        <v>#N/A</v>
      </c>
      <c r="L2787" t="e">
        <f ca="1">IF(J2787,Charms!B2787,"")</f>
        <v>#N/A</v>
      </c>
      <c r="M2787" t="str">
        <f t="shared" ca="1" si="217"/>
        <v>-</v>
      </c>
      <c r="N2787" s="18" t="str">
        <f t="shared" si="218"/>
        <v>K1622:L5000</v>
      </c>
      <c r="O2787" t="str">
        <f t="shared" si="219"/>
        <v>A1622:A2787</v>
      </c>
    </row>
    <row r="2788" spans="1:15">
      <c r="A2788" s="18">
        <f>Charms!K2788</f>
        <v>0</v>
      </c>
      <c r="B2788">
        <f>Charms!B2788</f>
        <v>0</v>
      </c>
      <c r="C2788" t="b">
        <f ca="1">OR(Values!$S$98&gt;=Charms!M2788,IFERROR(Charms!J2788=OFFSET(Values!$A$24,MATCH("S",Values!$T$25:$T$50,0),0),FALSE))</f>
        <v>1</v>
      </c>
      <c r="D2788" t="e">
        <f>VLOOKUP(Charms!J2788,Values!$A$11:$S$59,19,0)&gt;=Charms!L2788</f>
        <v>#N/A</v>
      </c>
      <c r="E2788" t="e">
        <f>OR(ISBLANK(Charms!I2788),(VLOOKUP(Values!$S$6,Castes!$B$2:$F$25,4,0)=Charms!I2788))</f>
        <v>#N/A</v>
      </c>
      <c r="J2788" t="e">
        <f t="shared" ca="1" si="216"/>
        <v>#N/A</v>
      </c>
      <c r="K2788" s="18" t="e">
        <f t="shared" ca="1" si="215"/>
        <v>#N/A</v>
      </c>
      <c r="L2788" t="e">
        <f ca="1">IF(J2788,Charms!B2788,"")</f>
        <v>#N/A</v>
      </c>
      <c r="M2788" t="str">
        <f t="shared" ca="1" si="217"/>
        <v>-</v>
      </c>
      <c r="N2788" s="18" t="str">
        <f t="shared" si="218"/>
        <v>K1622:L5000</v>
      </c>
      <c r="O2788" t="str">
        <f t="shared" si="219"/>
        <v>A1622:A2788</v>
      </c>
    </row>
    <row r="2789" spans="1:15">
      <c r="A2789" s="18">
        <f>Charms!K2789</f>
        <v>0</v>
      </c>
      <c r="B2789">
        <f>Charms!B2789</f>
        <v>0</v>
      </c>
      <c r="C2789" t="b">
        <f ca="1">OR(Values!$S$98&gt;=Charms!M2789,IFERROR(Charms!J2789=OFFSET(Values!$A$24,MATCH("S",Values!$T$25:$T$50,0),0),FALSE))</f>
        <v>1</v>
      </c>
      <c r="D2789" t="e">
        <f>VLOOKUP(Charms!J2789,Values!$A$11:$S$59,19,0)&gt;=Charms!L2789</f>
        <v>#N/A</v>
      </c>
      <c r="E2789" t="e">
        <f>OR(ISBLANK(Charms!I2789),(VLOOKUP(Values!$S$6,Castes!$B$2:$F$25,4,0)=Charms!I2789))</f>
        <v>#N/A</v>
      </c>
      <c r="J2789" t="e">
        <f t="shared" ca="1" si="216"/>
        <v>#N/A</v>
      </c>
      <c r="K2789" s="18" t="e">
        <f t="shared" ca="1" si="215"/>
        <v>#N/A</v>
      </c>
      <c r="L2789" t="e">
        <f ca="1">IF(J2789,Charms!B2789,"")</f>
        <v>#N/A</v>
      </c>
      <c r="M2789" t="str">
        <f t="shared" ca="1" si="217"/>
        <v>-</v>
      </c>
      <c r="N2789" s="18" t="str">
        <f t="shared" si="218"/>
        <v>K1622:L5000</v>
      </c>
      <c r="O2789" t="str">
        <f t="shared" si="219"/>
        <v>A1622:A2789</v>
      </c>
    </row>
    <row r="2790" spans="1:15">
      <c r="A2790" s="18">
        <f>Charms!K2790</f>
        <v>0</v>
      </c>
      <c r="B2790">
        <f>Charms!B2790</f>
        <v>0</v>
      </c>
      <c r="C2790" t="b">
        <f ca="1">OR(Values!$S$98&gt;=Charms!M2790,IFERROR(Charms!J2790=OFFSET(Values!$A$24,MATCH("S",Values!$T$25:$T$50,0),0),FALSE))</f>
        <v>1</v>
      </c>
      <c r="D2790" t="e">
        <f>VLOOKUP(Charms!J2790,Values!$A$11:$S$59,19,0)&gt;=Charms!L2790</f>
        <v>#N/A</v>
      </c>
      <c r="E2790" t="e">
        <f>OR(ISBLANK(Charms!I2790),(VLOOKUP(Values!$S$6,Castes!$B$2:$F$25,4,0)=Charms!I2790))</f>
        <v>#N/A</v>
      </c>
      <c r="J2790" t="e">
        <f t="shared" ca="1" si="216"/>
        <v>#N/A</v>
      </c>
      <c r="K2790" s="18" t="e">
        <f t="shared" ca="1" si="215"/>
        <v>#N/A</v>
      </c>
      <c r="L2790" t="e">
        <f ca="1">IF(J2790,Charms!B2790,"")</f>
        <v>#N/A</v>
      </c>
      <c r="M2790" t="str">
        <f t="shared" ca="1" si="217"/>
        <v>-</v>
      </c>
      <c r="N2790" s="18" t="str">
        <f t="shared" si="218"/>
        <v>K1622:L5000</v>
      </c>
      <c r="O2790" t="str">
        <f t="shared" si="219"/>
        <v>A1622:A2790</v>
      </c>
    </row>
    <row r="2791" spans="1:15">
      <c r="A2791" s="18">
        <f>Charms!K2791</f>
        <v>0</v>
      </c>
      <c r="B2791">
        <f>Charms!B2791</f>
        <v>0</v>
      </c>
      <c r="C2791" t="b">
        <f ca="1">OR(Values!$S$98&gt;=Charms!M2791,IFERROR(Charms!J2791=OFFSET(Values!$A$24,MATCH("S",Values!$T$25:$T$50,0),0),FALSE))</f>
        <v>1</v>
      </c>
      <c r="D2791" t="e">
        <f>VLOOKUP(Charms!J2791,Values!$A$11:$S$59,19,0)&gt;=Charms!L2791</f>
        <v>#N/A</v>
      </c>
      <c r="E2791" t="e">
        <f>OR(ISBLANK(Charms!I2791),(VLOOKUP(Values!$S$6,Castes!$B$2:$F$25,4,0)=Charms!I2791))</f>
        <v>#N/A</v>
      </c>
      <c r="J2791" t="e">
        <f t="shared" ca="1" si="216"/>
        <v>#N/A</v>
      </c>
      <c r="K2791" s="18" t="e">
        <f t="shared" ca="1" si="215"/>
        <v>#N/A</v>
      </c>
      <c r="L2791" t="e">
        <f ca="1">IF(J2791,Charms!B2791,"")</f>
        <v>#N/A</v>
      </c>
      <c r="M2791" t="str">
        <f t="shared" ca="1" si="217"/>
        <v>-</v>
      </c>
      <c r="N2791" s="18" t="str">
        <f t="shared" si="218"/>
        <v>K1622:L5000</v>
      </c>
      <c r="O2791" t="str">
        <f t="shared" si="219"/>
        <v>A1622:A2791</v>
      </c>
    </row>
    <row r="2792" spans="1:15">
      <c r="A2792" s="18">
        <f>Charms!K2792</f>
        <v>0</v>
      </c>
      <c r="B2792">
        <f>Charms!B2792</f>
        <v>0</v>
      </c>
      <c r="C2792" t="b">
        <f ca="1">OR(Values!$S$98&gt;=Charms!M2792,IFERROR(Charms!J2792=OFFSET(Values!$A$24,MATCH("S",Values!$T$25:$T$50,0),0),FALSE))</f>
        <v>1</v>
      </c>
      <c r="D2792" t="e">
        <f>VLOOKUP(Charms!J2792,Values!$A$11:$S$59,19,0)&gt;=Charms!L2792</f>
        <v>#N/A</v>
      </c>
      <c r="E2792" t="e">
        <f>OR(ISBLANK(Charms!I2792),(VLOOKUP(Values!$S$6,Castes!$B$2:$F$25,4,0)=Charms!I2792))</f>
        <v>#N/A</v>
      </c>
      <c r="J2792" t="e">
        <f t="shared" ca="1" si="216"/>
        <v>#N/A</v>
      </c>
      <c r="K2792" s="18" t="e">
        <f t="shared" ca="1" si="215"/>
        <v>#N/A</v>
      </c>
      <c r="L2792" t="e">
        <f ca="1">IF(J2792,Charms!B2792,"")</f>
        <v>#N/A</v>
      </c>
      <c r="M2792" t="str">
        <f t="shared" ca="1" si="217"/>
        <v>-</v>
      </c>
      <c r="N2792" s="18" t="str">
        <f t="shared" si="218"/>
        <v>K1622:L5000</v>
      </c>
      <c r="O2792" t="str">
        <f t="shared" si="219"/>
        <v>A1622:A2792</v>
      </c>
    </row>
    <row r="2793" spans="1:15">
      <c r="A2793" s="18">
        <f>Charms!K2793</f>
        <v>0</v>
      </c>
      <c r="B2793">
        <f>Charms!B2793</f>
        <v>0</v>
      </c>
      <c r="C2793" t="b">
        <f ca="1">OR(Values!$S$98&gt;=Charms!M2793,IFERROR(Charms!J2793=OFFSET(Values!$A$24,MATCH("S",Values!$T$25:$T$50,0),0),FALSE))</f>
        <v>1</v>
      </c>
      <c r="D2793" t="e">
        <f>VLOOKUP(Charms!J2793,Values!$A$11:$S$59,19,0)&gt;=Charms!L2793</f>
        <v>#N/A</v>
      </c>
      <c r="E2793" t="e">
        <f>OR(ISBLANK(Charms!I2793),(VLOOKUP(Values!$S$6,Castes!$B$2:$F$25,4,0)=Charms!I2793))</f>
        <v>#N/A</v>
      </c>
      <c r="J2793" t="e">
        <f t="shared" ca="1" si="216"/>
        <v>#N/A</v>
      </c>
      <c r="K2793" s="18" t="e">
        <f t="shared" ca="1" si="215"/>
        <v>#N/A</v>
      </c>
      <c r="L2793" t="e">
        <f ca="1">IF(J2793,Charms!B2793,"")</f>
        <v>#N/A</v>
      </c>
      <c r="M2793" t="str">
        <f t="shared" ca="1" si="217"/>
        <v>-</v>
      </c>
      <c r="N2793" s="18" t="str">
        <f t="shared" si="218"/>
        <v>K1622:L5000</v>
      </c>
      <c r="O2793" t="str">
        <f t="shared" si="219"/>
        <v>A1622:A2793</v>
      </c>
    </row>
    <row r="2794" spans="1:15">
      <c r="A2794" s="18">
        <f>Charms!K2794</f>
        <v>0</v>
      </c>
      <c r="B2794">
        <f>Charms!B2794</f>
        <v>0</v>
      </c>
      <c r="C2794" t="b">
        <f ca="1">OR(Values!$S$98&gt;=Charms!M2794,IFERROR(Charms!J2794=OFFSET(Values!$A$24,MATCH("S",Values!$T$25:$T$50,0),0),FALSE))</f>
        <v>1</v>
      </c>
      <c r="D2794" t="e">
        <f>VLOOKUP(Charms!J2794,Values!$A$11:$S$59,19,0)&gt;=Charms!L2794</f>
        <v>#N/A</v>
      </c>
      <c r="E2794" t="e">
        <f>OR(ISBLANK(Charms!I2794),(VLOOKUP(Values!$S$6,Castes!$B$2:$F$25,4,0)=Charms!I2794))</f>
        <v>#N/A</v>
      </c>
      <c r="J2794" t="e">
        <f t="shared" ca="1" si="216"/>
        <v>#N/A</v>
      </c>
      <c r="K2794" s="18" t="e">
        <f t="shared" ca="1" si="215"/>
        <v>#N/A</v>
      </c>
      <c r="L2794" t="e">
        <f ca="1">IF(J2794,Charms!B2794,"")</f>
        <v>#N/A</v>
      </c>
      <c r="M2794" t="str">
        <f t="shared" ca="1" si="217"/>
        <v>-</v>
      </c>
      <c r="N2794" s="18" t="str">
        <f t="shared" si="218"/>
        <v>K1622:L5000</v>
      </c>
      <c r="O2794" t="str">
        <f t="shared" si="219"/>
        <v>A1622:A2794</v>
      </c>
    </row>
    <row r="2795" spans="1:15">
      <c r="A2795" s="18">
        <f>Charms!K2795</f>
        <v>0</v>
      </c>
      <c r="B2795">
        <f>Charms!B2795</f>
        <v>0</v>
      </c>
      <c r="C2795" t="b">
        <f ca="1">OR(Values!$S$98&gt;=Charms!M2795,IFERROR(Charms!J2795=OFFSET(Values!$A$24,MATCH("S",Values!$T$25:$T$50,0),0),FALSE))</f>
        <v>1</v>
      </c>
      <c r="D2795" t="e">
        <f>VLOOKUP(Charms!J2795,Values!$A$11:$S$59,19,0)&gt;=Charms!L2795</f>
        <v>#N/A</v>
      </c>
      <c r="E2795" t="e">
        <f>OR(ISBLANK(Charms!I2795),(VLOOKUP(Values!$S$6,Castes!$B$2:$F$25,4,0)=Charms!I2795))</f>
        <v>#N/A</v>
      </c>
      <c r="J2795" t="e">
        <f t="shared" ca="1" si="216"/>
        <v>#N/A</v>
      </c>
      <c r="K2795" s="18" t="e">
        <f t="shared" ca="1" si="215"/>
        <v>#N/A</v>
      </c>
      <c r="L2795" t="e">
        <f ca="1">IF(J2795,Charms!B2795,"")</f>
        <v>#N/A</v>
      </c>
      <c r="M2795" t="str">
        <f t="shared" ca="1" si="217"/>
        <v>-</v>
      </c>
      <c r="N2795" s="18" t="str">
        <f t="shared" si="218"/>
        <v>K1622:L5000</v>
      </c>
      <c r="O2795" t="str">
        <f t="shared" si="219"/>
        <v>A1622:A2795</v>
      </c>
    </row>
    <row r="2796" spans="1:15">
      <c r="A2796" s="18">
        <f>Charms!K2796</f>
        <v>0</v>
      </c>
      <c r="B2796">
        <f>Charms!B2796</f>
        <v>0</v>
      </c>
      <c r="C2796" t="b">
        <f ca="1">OR(Values!$S$98&gt;=Charms!M2796,IFERROR(Charms!J2796=OFFSET(Values!$A$24,MATCH("S",Values!$T$25:$T$50,0),0),FALSE))</f>
        <v>1</v>
      </c>
      <c r="D2796" t="e">
        <f>VLOOKUP(Charms!J2796,Values!$A$11:$S$59,19,0)&gt;=Charms!L2796</f>
        <v>#N/A</v>
      </c>
      <c r="E2796" t="e">
        <f>OR(ISBLANK(Charms!I2796),(VLOOKUP(Values!$S$6,Castes!$B$2:$F$25,4,0)=Charms!I2796))</f>
        <v>#N/A</v>
      </c>
      <c r="J2796" t="e">
        <f t="shared" ca="1" si="216"/>
        <v>#N/A</v>
      </c>
      <c r="K2796" s="18" t="e">
        <f t="shared" ca="1" si="215"/>
        <v>#N/A</v>
      </c>
      <c r="L2796" t="e">
        <f ca="1">IF(J2796,Charms!B2796,"")</f>
        <v>#N/A</v>
      </c>
      <c r="M2796" t="str">
        <f t="shared" ca="1" si="217"/>
        <v>-</v>
      </c>
      <c r="N2796" s="18" t="str">
        <f t="shared" si="218"/>
        <v>K1622:L5000</v>
      </c>
      <c r="O2796" t="str">
        <f t="shared" si="219"/>
        <v>A1622:A2796</v>
      </c>
    </row>
    <row r="2797" spans="1:15">
      <c r="A2797" s="18">
        <f>Charms!K2797</f>
        <v>0</v>
      </c>
      <c r="B2797">
        <f>Charms!B2797</f>
        <v>0</v>
      </c>
      <c r="C2797" t="b">
        <f ca="1">OR(Values!$S$98&gt;=Charms!M2797,IFERROR(Charms!J2797=OFFSET(Values!$A$24,MATCH("S",Values!$T$25:$T$50,0),0),FALSE))</f>
        <v>1</v>
      </c>
      <c r="D2797" t="e">
        <f>VLOOKUP(Charms!J2797,Values!$A$11:$S$59,19,0)&gt;=Charms!L2797</f>
        <v>#N/A</v>
      </c>
      <c r="E2797" t="e">
        <f>OR(ISBLANK(Charms!I2797),(VLOOKUP(Values!$S$6,Castes!$B$2:$F$25,4,0)=Charms!I2797))</f>
        <v>#N/A</v>
      </c>
      <c r="J2797" t="e">
        <f t="shared" ca="1" si="216"/>
        <v>#N/A</v>
      </c>
      <c r="K2797" s="18" t="e">
        <f t="shared" ca="1" si="215"/>
        <v>#N/A</v>
      </c>
      <c r="L2797" t="e">
        <f ca="1">IF(J2797,Charms!B2797,"")</f>
        <v>#N/A</v>
      </c>
      <c r="M2797" t="str">
        <f t="shared" ca="1" si="217"/>
        <v>-</v>
      </c>
      <c r="N2797" s="18" t="str">
        <f t="shared" si="218"/>
        <v>K1622:L5000</v>
      </c>
      <c r="O2797" t="str">
        <f t="shared" si="219"/>
        <v>A1622:A2797</v>
      </c>
    </row>
    <row r="2798" spans="1:15">
      <c r="A2798" s="18">
        <f>Charms!K2798</f>
        <v>0</v>
      </c>
      <c r="B2798">
        <f>Charms!B2798</f>
        <v>0</v>
      </c>
      <c r="C2798" t="b">
        <f ca="1">OR(Values!$S$98&gt;=Charms!M2798,IFERROR(Charms!J2798=OFFSET(Values!$A$24,MATCH("S",Values!$T$25:$T$50,0),0),FALSE))</f>
        <v>1</v>
      </c>
      <c r="D2798" t="e">
        <f>VLOOKUP(Charms!J2798,Values!$A$11:$S$59,19,0)&gt;=Charms!L2798</f>
        <v>#N/A</v>
      </c>
      <c r="E2798" t="e">
        <f>OR(ISBLANK(Charms!I2798),(VLOOKUP(Values!$S$6,Castes!$B$2:$F$25,4,0)=Charms!I2798))</f>
        <v>#N/A</v>
      </c>
      <c r="J2798" t="e">
        <f t="shared" ca="1" si="216"/>
        <v>#N/A</v>
      </c>
      <c r="K2798" s="18" t="e">
        <f t="shared" ca="1" si="215"/>
        <v>#N/A</v>
      </c>
      <c r="L2798" t="e">
        <f ca="1">IF(J2798,Charms!B2798,"")</f>
        <v>#N/A</v>
      </c>
      <c r="M2798" t="str">
        <f t="shared" ca="1" si="217"/>
        <v>-</v>
      </c>
      <c r="N2798" s="18" t="str">
        <f t="shared" si="218"/>
        <v>K1622:L5000</v>
      </c>
      <c r="O2798" t="str">
        <f t="shared" si="219"/>
        <v>A1622:A2798</v>
      </c>
    </row>
    <row r="2799" spans="1:15">
      <c r="A2799" s="18">
        <f>Charms!K2799</f>
        <v>0</v>
      </c>
      <c r="B2799">
        <f>Charms!B2799</f>
        <v>0</v>
      </c>
      <c r="C2799" t="b">
        <f ca="1">OR(Values!$S$98&gt;=Charms!M2799,IFERROR(Charms!J2799=OFFSET(Values!$A$24,MATCH("S",Values!$T$25:$T$50,0),0),FALSE))</f>
        <v>1</v>
      </c>
      <c r="D2799" t="e">
        <f>VLOOKUP(Charms!J2799,Values!$A$11:$S$59,19,0)&gt;=Charms!L2799</f>
        <v>#N/A</v>
      </c>
      <c r="E2799" t="e">
        <f>OR(ISBLANK(Charms!I2799),(VLOOKUP(Values!$S$6,Castes!$B$2:$F$25,4,0)=Charms!I2799))</f>
        <v>#N/A</v>
      </c>
      <c r="J2799" t="e">
        <f t="shared" ca="1" si="216"/>
        <v>#N/A</v>
      </c>
      <c r="K2799" s="18" t="e">
        <f t="shared" ca="1" si="215"/>
        <v>#N/A</v>
      </c>
      <c r="L2799" t="e">
        <f ca="1">IF(J2799,Charms!B2799,"")</f>
        <v>#N/A</v>
      </c>
      <c r="M2799" t="str">
        <f t="shared" ca="1" si="217"/>
        <v>-</v>
      </c>
      <c r="N2799" s="18" t="str">
        <f t="shared" si="218"/>
        <v>K1622:L5000</v>
      </c>
      <c r="O2799" t="str">
        <f t="shared" si="219"/>
        <v>A1622:A2799</v>
      </c>
    </row>
    <row r="2800" spans="1:15">
      <c r="A2800" s="18">
        <f>Charms!K2800</f>
        <v>0</v>
      </c>
      <c r="B2800">
        <f>Charms!B2800</f>
        <v>0</v>
      </c>
      <c r="C2800" t="b">
        <f ca="1">OR(Values!$S$98&gt;=Charms!M2800,IFERROR(Charms!J2800=OFFSET(Values!$A$24,MATCH("S",Values!$T$25:$T$50,0),0),FALSE))</f>
        <v>1</v>
      </c>
      <c r="D2800" t="e">
        <f>VLOOKUP(Charms!J2800,Values!$A$11:$S$59,19,0)&gt;=Charms!L2800</f>
        <v>#N/A</v>
      </c>
      <c r="E2800" t="e">
        <f>OR(ISBLANK(Charms!I2800),(VLOOKUP(Values!$S$6,Castes!$B$2:$F$25,4,0)=Charms!I2800))</f>
        <v>#N/A</v>
      </c>
      <c r="J2800" t="e">
        <f t="shared" ca="1" si="216"/>
        <v>#N/A</v>
      </c>
      <c r="K2800" s="18" t="e">
        <f t="shared" ca="1" si="215"/>
        <v>#N/A</v>
      </c>
      <c r="L2800" t="e">
        <f ca="1">IF(J2800,Charms!B2800,"")</f>
        <v>#N/A</v>
      </c>
      <c r="M2800" t="str">
        <f t="shared" ca="1" si="217"/>
        <v>-</v>
      </c>
      <c r="N2800" s="18" t="str">
        <f t="shared" si="218"/>
        <v>K1622:L5000</v>
      </c>
      <c r="O2800" t="str">
        <f t="shared" si="219"/>
        <v>A1622:A2800</v>
      </c>
    </row>
    <row r="2801" spans="1:15">
      <c r="A2801" s="18">
        <f>Charms!K2801</f>
        <v>0</v>
      </c>
      <c r="B2801">
        <f>Charms!B2801</f>
        <v>0</v>
      </c>
      <c r="C2801" t="b">
        <f ca="1">OR(Values!$S$98&gt;=Charms!M2801,IFERROR(Charms!J2801=OFFSET(Values!$A$24,MATCH("S",Values!$T$25:$T$50,0),0),FALSE))</f>
        <v>1</v>
      </c>
      <c r="D2801" t="e">
        <f>VLOOKUP(Charms!J2801,Values!$A$11:$S$59,19,0)&gt;=Charms!L2801</f>
        <v>#N/A</v>
      </c>
      <c r="E2801" t="e">
        <f>OR(ISBLANK(Charms!I2801),(VLOOKUP(Values!$S$6,Castes!$B$2:$F$25,4,0)=Charms!I2801))</f>
        <v>#N/A</v>
      </c>
      <c r="J2801" t="e">
        <f t="shared" ca="1" si="216"/>
        <v>#N/A</v>
      </c>
      <c r="K2801" s="18" t="e">
        <f t="shared" ca="1" si="215"/>
        <v>#N/A</v>
      </c>
      <c r="L2801" t="e">
        <f ca="1">IF(J2801,Charms!B2801,"")</f>
        <v>#N/A</v>
      </c>
      <c r="M2801" t="str">
        <f t="shared" ca="1" si="217"/>
        <v>-</v>
      </c>
      <c r="N2801" s="18" t="str">
        <f t="shared" si="218"/>
        <v>K1622:L5000</v>
      </c>
      <c r="O2801" t="str">
        <f t="shared" si="219"/>
        <v>A1622:A2801</v>
      </c>
    </row>
    <row r="2802" spans="1:15">
      <c r="A2802" s="18">
        <f>Charms!K2802</f>
        <v>0</v>
      </c>
      <c r="B2802">
        <f>Charms!B2802</f>
        <v>0</v>
      </c>
      <c r="C2802" t="b">
        <f ca="1">OR(Values!$S$98&gt;=Charms!M2802,IFERROR(Charms!J2802=OFFSET(Values!$A$24,MATCH("S",Values!$T$25:$T$50,0),0),FALSE))</f>
        <v>1</v>
      </c>
      <c r="D2802" t="e">
        <f>VLOOKUP(Charms!J2802,Values!$A$11:$S$59,19,0)&gt;=Charms!L2802</f>
        <v>#N/A</v>
      </c>
      <c r="E2802" t="e">
        <f>OR(ISBLANK(Charms!I2802),(VLOOKUP(Values!$S$6,Castes!$B$2:$F$25,4,0)=Charms!I2802))</f>
        <v>#N/A</v>
      </c>
      <c r="J2802" t="e">
        <f t="shared" ca="1" si="216"/>
        <v>#N/A</v>
      </c>
      <c r="K2802" s="18" t="e">
        <f t="shared" ca="1" si="215"/>
        <v>#N/A</v>
      </c>
      <c r="L2802" t="e">
        <f ca="1">IF(J2802,Charms!B2802,"")</f>
        <v>#N/A</v>
      </c>
      <c r="M2802" t="str">
        <f t="shared" ca="1" si="217"/>
        <v>-</v>
      </c>
      <c r="N2802" s="18" t="str">
        <f t="shared" si="218"/>
        <v>K1622:L5000</v>
      </c>
      <c r="O2802" t="str">
        <f t="shared" si="219"/>
        <v>A1622:A2802</v>
      </c>
    </row>
    <row r="2803" spans="1:15">
      <c r="A2803" s="18">
        <f>Charms!K2803</f>
        <v>0</v>
      </c>
      <c r="B2803">
        <f>Charms!B2803</f>
        <v>0</v>
      </c>
      <c r="C2803" t="b">
        <f ca="1">OR(Values!$S$98&gt;=Charms!M2803,IFERROR(Charms!J2803=OFFSET(Values!$A$24,MATCH("S",Values!$T$25:$T$50,0),0),FALSE))</f>
        <v>1</v>
      </c>
      <c r="D2803" t="e">
        <f>VLOOKUP(Charms!J2803,Values!$A$11:$S$59,19,0)&gt;=Charms!L2803</f>
        <v>#N/A</v>
      </c>
      <c r="E2803" t="e">
        <f>OR(ISBLANK(Charms!I2803),(VLOOKUP(Values!$S$6,Castes!$B$2:$F$25,4,0)=Charms!I2803))</f>
        <v>#N/A</v>
      </c>
      <c r="J2803" t="e">
        <f t="shared" ca="1" si="216"/>
        <v>#N/A</v>
      </c>
      <c r="K2803" s="18" t="e">
        <f t="shared" ca="1" si="215"/>
        <v>#N/A</v>
      </c>
      <c r="L2803" t="e">
        <f ca="1">IF(J2803,Charms!B2803,"")</f>
        <v>#N/A</v>
      </c>
      <c r="M2803" t="str">
        <f t="shared" ca="1" si="217"/>
        <v>-</v>
      </c>
      <c r="N2803" s="18" t="str">
        <f t="shared" si="218"/>
        <v>K1622:L5000</v>
      </c>
      <c r="O2803" t="str">
        <f t="shared" si="219"/>
        <v>A1622:A2803</v>
      </c>
    </row>
    <row r="2804" spans="1:15">
      <c r="A2804" s="18">
        <f>Charms!K2804</f>
        <v>0</v>
      </c>
      <c r="B2804">
        <f>Charms!B2804</f>
        <v>0</v>
      </c>
      <c r="C2804" t="b">
        <f ca="1">OR(Values!$S$98&gt;=Charms!M2804,IFERROR(Charms!J2804=OFFSET(Values!$A$24,MATCH("S",Values!$T$25:$T$50,0),0),FALSE))</f>
        <v>1</v>
      </c>
      <c r="D2804" t="e">
        <f>VLOOKUP(Charms!J2804,Values!$A$11:$S$59,19,0)&gt;=Charms!L2804</f>
        <v>#N/A</v>
      </c>
      <c r="E2804" t="e">
        <f>OR(ISBLANK(Charms!I2804),(VLOOKUP(Values!$S$6,Castes!$B$2:$F$25,4,0)=Charms!I2804))</f>
        <v>#N/A</v>
      </c>
      <c r="J2804" t="e">
        <f t="shared" ca="1" si="216"/>
        <v>#N/A</v>
      </c>
      <c r="K2804" s="18" t="e">
        <f t="shared" ca="1" si="215"/>
        <v>#N/A</v>
      </c>
      <c r="L2804" t="e">
        <f ca="1">IF(J2804,Charms!B2804,"")</f>
        <v>#N/A</v>
      </c>
      <c r="M2804" t="str">
        <f t="shared" ca="1" si="217"/>
        <v>-</v>
      </c>
      <c r="N2804" s="18" t="str">
        <f t="shared" si="218"/>
        <v>K1622:L5000</v>
      </c>
      <c r="O2804" t="str">
        <f t="shared" si="219"/>
        <v>A1622:A2804</v>
      </c>
    </row>
    <row r="2805" spans="1:15">
      <c r="A2805" s="18">
        <f>Charms!K2805</f>
        <v>0</v>
      </c>
      <c r="B2805">
        <f>Charms!B2805</f>
        <v>0</v>
      </c>
      <c r="C2805" t="b">
        <f ca="1">OR(Values!$S$98&gt;=Charms!M2805,IFERROR(Charms!J2805=OFFSET(Values!$A$24,MATCH("S",Values!$T$25:$T$50,0),0),FALSE))</f>
        <v>1</v>
      </c>
      <c r="D2805" t="e">
        <f>VLOOKUP(Charms!J2805,Values!$A$11:$S$59,19,0)&gt;=Charms!L2805</f>
        <v>#N/A</v>
      </c>
      <c r="E2805" t="e">
        <f>OR(ISBLANK(Charms!I2805),(VLOOKUP(Values!$S$6,Castes!$B$2:$F$25,4,0)=Charms!I2805))</f>
        <v>#N/A</v>
      </c>
      <c r="J2805" t="e">
        <f t="shared" ca="1" si="216"/>
        <v>#N/A</v>
      </c>
      <c r="K2805" s="18" t="e">
        <f t="shared" ca="1" si="215"/>
        <v>#N/A</v>
      </c>
      <c r="L2805" t="e">
        <f ca="1">IF(J2805,Charms!B2805,"")</f>
        <v>#N/A</v>
      </c>
      <c r="M2805" t="str">
        <f t="shared" ca="1" si="217"/>
        <v>-</v>
      </c>
      <c r="N2805" s="18" t="str">
        <f t="shared" si="218"/>
        <v>K1622:L5000</v>
      </c>
      <c r="O2805" t="str">
        <f t="shared" si="219"/>
        <v>A1622:A2805</v>
      </c>
    </row>
    <row r="2806" spans="1:15">
      <c r="A2806" s="18">
        <f>Charms!K2806</f>
        <v>0</v>
      </c>
      <c r="B2806">
        <f>Charms!B2806</f>
        <v>0</v>
      </c>
      <c r="C2806" t="b">
        <f ca="1">OR(Values!$S$98&gt;=Charms!M2806,IFERROR(Charms!J2806=OFFSET(Values!$A$24,MATCH("S",Values!$T$25:$T$50,0),0),FALSE))</f>
        <v>1</v>
      </c>
      <c r="D2806" t="e">
        <f>VLOOKUP(Charms!J2806,Values!$A$11:$S$59,19,0)&gt;=Charms!L2806</f>
        <v>#N/A</v>
      </c>
      <c r="E2806" t="e">
        <f>OR(ISBLANK(Charms!I2806),(VLOOKUP(Values!$S$6,Castes!$B$2:$F$25,4,0)=Charms!I2806))</f>
        <v>#N/A</v>
      </c>
      <c r="J2806" t="e">
        <f t="shared" ca="1" si="216"/>
        <v>#N/A</v>
      </c>
      <c r="K2806" s="18" t="e">
        <f t="shared" ca="1" si="215"/>
        <v>#N/A</v>
      </c>
      <c r="L2806" t="e">
        <f ca="1">IF(J2806,Charms!B2806,"")</f>
        <v>#N/A</v>
      </c>
      <c r="M2806" t="str">
        <f t="shared" ca="1" si="217"/>
        <v>-</v>
      </c>
      <c r="N2806" s="18" t="str">
        <f t="shared" si="218"/>
        <v>K1622:L5000</v>
      </c>
      <c r="O2806" t="str">
        <f t="shared" si="219"/>
        <v>A1622:A2806</v>
      </c>
    </row>
    <row r="2807" spans="1:15">
      <c r="A2807" s="18">
        <f>Charms!K2807</f>
        <v>0</v>
      </c>
      <c r="B2807">
        <f>Charms!B2807</f>
        <v>0</v>
      </c>
      <c r="C2807" t="b">
        <f ca="1">OR(Values!$S$98&gt;=Charms!M2807,IFERROR(Charms!J2807=OFFSET(Values!$A$24,MATCH("S",Values!$T$25:$T$50,0),0),FALSE))</f>
        <v>1</v>
      </c>
      <c r="D2807" t="e">
        <f>VLOOKUP(Charms!J2807,Values!$A$11:$S$59,19,0)&gt;=Charms!L2807</f>
        <v>#N/A</v>
      </c>
      <c r="E2807" t="e">
        <f>OR(ISBLANK(Charms!I2807),(VLOOKUP(Values!$S$6,Castes!$B$2:$F$25,4,0)=Charms!I2807))</f>
        <v>#N/A</v>
      </c>
      <c r="J2807" t="e">
        <f t="shared" ca="1" si="216"/>
        <v>#N/A</v>
      </c>
      <c r="K2807" s="18" t="e">
        <f t="shared" ca="1" si="215"/>
        <v>#N/A</v>
      </c>
      <c r="L2807" t="e">
        <f ca="1">IF(J2807,Charms!B2807,"")</f>
        <v>#N/A</v>
      </c>
      <c r="M2807" t="str">
        <f t="shared" ca="1" si="217"/>
        <v>-</v>
      </c>
      <c r="N2807" s="18" t="str">
        <f t="shared" si="218"/>
        <v>K1622:L5000</v>
      </c>
      <c r="O2807" t="str">
        <f t="shared" si="219"/>
        <v>A1622:A2807</v>
      </c>
    </row>
    <row r="2808" spans="1:15">
      <c r="A2808" s="18">
        <f>Charms!K2808</f>
        <v>0</v>
      </c>
      <c r="B2808">
        <f>Charms!B2808</f>
        <v>0</v>
      </c>
      <c r="C2808" t="b">
        <f ca="1">OR(Values!$S$98&gt;=Charms!M2808,IFERROR(Charms!J2808=OFFSET(Values!$A$24,MATCH("S",Values!$T$25:$T$50,0),0),FALSE))</f>
        <v>1</v>
      </c>
      <c r="D2808" t="e">
        <f>VLOOKUP(Charms!J2808,Values!$A$11:$S$59,19,0)&gt;=Charms!L2808</f>
        <v>#N/A</v>
      </c>
      <c r="E2808" t="e">
        <f>OR(ISBLANK(Charms!I2808),(VLOOKUP(Values!$S$6,Castes!$B$2:$F$25,4,0)=Charms!I2808))</f>
        <v>#N/A</v>
      </c>
      <c r="J2808" t="e">
        <f t="shared" ca="1" si="216"/>
        <v>#N/A</v>
      </c>
      <c r="K2808" s="18" t="e">
        <f t="shared" ca="1" si="215"/>
        <v>#N/A</v>
      </c>
      <c r="L2808" t="e">
        <f ca="1">IF(J2808,Charms!B2808,"")</f>
        <v>#N/A</v>
      </c>
      <c r="M2808" t="str">
        <f t="shared" ca="1" si="217"/>
        <v>-</v>
      </c>
      <c r="N2808" s="18" t="str">
        <f t="shared" si="218"/>
        <v>K1622:L5000</v>
      </c>
      <c r="O2808" t="str">
        <f t="shared" si="219"/>
        <v>A1622:A2808</v>
      </c>
    </row>
    <row r="2809" spans="1:15">
      <c r="A2809" s="18">
        <f>Charms!K2809</f>
        <v>0</v>
      </c>
      <c r="B2809">
        <f>Charms!B2809</f>
        <v>0</v>
      </c>
      <c r="C2809" t="b">
        <f ca="1">OR(Values!$S$98&gt;=Charms!M2809,IFERROR(Charms!J2809=OFFSET(Values!$A$24,MATCH("S",Values!$T$25:$T$50,0),0),FALSE))</f>
        <v>1</v>
      </c>
      <c r="D2809" t="e">
        <f>VLOOKUP(Charms!J2809,Values!$A$11:$S$59,19,0)&gt;=Charms!L2809</f>
        <v>#N/A</v>
      </c>
      <c r="E2809" t="e">
        <f>OR(ISBLANK(Charms!I2809),(VLOOKUP(Values!$S$6,Castes!$B$2:$F$25,4,0)=Charms!I2809))</f>
        <v>#N/A</v>
      </c>
      <c r="J2809" t="e">
        <f t="shared" ca="1" si="216"/>
        <v>#N/A</v>
      </c>
      <c r="K2809" s="18" t="e">
        <f t="shared" ca="1" si="215"/>
        <v>#N/A</v>
      </c>
      <c r="L2809" t="e">
        <f ca="1">IF(J2809,Charms!B2809,"")</f>
        <v>#N/A</v>
      </c>
      <c r="M2809" t="str">
        <f t="shared" ca="1" si="217"/>
        <v>-</v>
      </c>
      <c r="N2809" s="18" t="str">
        <f t="shared" si="218"/>
        <v>K1622:L5000</v>
      </c>
      <c r="O2809" t="str">
        <f t="shared" si="219"/>
        <v>A1622:A2809</v>
      </c>
    </row>
    <row r="2810" spans="1:15">
      <c r="A2810" s="18">
        <f>Charms!K2810</f>
        <v>0</v>
      </c>
      <c r="B2810">
        <f>Charms!B2810</f>
        <v>0</v>
      </c>
      <c r="C2810" t="b">
        <f ca="1">OR(Values!$S$98&gt;=Charms!M2810,IFERROR(Charms!J2810=OFFSET(Values!$A$24,MATCH("S",Values!$T$25:$T$50,0),0),FALSE))</f>
        <v>1</v>
      </c>
      <c r="D2810" t="e">
        <f>VLOOKUP(Charms!J2810,Values!$A$11:$S$59,19,0)&gt;=Charms!L2810</f>
        <v>#N/A</v>
      </c>
      <c r="E2810" t="e">
        <f>OR(ISBLANK(Charms!I2810),(VLOOKUP(Values!$S$6,Castes!$B$2:$F$25,4,0)=Charms!I2810))</f>
        <v>#N/A</v>
      </c>
      <c r="J2810" t="e">
        <f t="shared" ca="1" si="216"/>
        <v>#N/A</v>
      </c>
      <c r="K2810" s="18" t="e">
        <f t="shared" ca="1" si="215"/>
        <v>#N/A</v>
      </c>
      <c r="L2810" t="e">
        <f ca="1">IF(J2810,Charms!B2810,"")</f>
        <v>#N/A</v>
      </c>
      <c r="M2810" t="str">
        <f t="shared" ca="1" si="217"/>
        <v>-</v>
      </c>
      <c r="N2810" s="18" t="str">
        <f t="shared" si="218"/>
        <v>K1622:L5000</v>
      </c>
      <c r="O2810" t="str">
        <f t="shared" si="219"/>
        <v>A1622:A2810</v>
      </c>
    </row>
    <row r="2811" spans="1:15">
      <c r="A2811" s="18">
        <f>Charms!K2811</f>
        <v>0</v>
      </c>
      <c r="B2811">
        <f>Charms!B2811</f>
        <v>0</v>
      </c>
      <c r="C2811" t="b">
        <f ca="1">OR(Values!$S$98&gt;=Charms!M2811,IFERROR(Charms!J2811=OFFSET(Values!$A$24,MATCH("S",Values!$T$25:$T$50,0),0),FALSE))</f>
        <v>1</v>
      </c>
      <c r="D2811" t="e">
        <f>VLOOKUP(Charms!J2811,Values!$A$11:$S$59,19,0)&gt;=Charms!L2811</f>
        <v>#N/A</v>
      </c>
      <c r="E2811" t="e">
        <f>OR(ISBLANK(Charms!I2811),(VLOOKUP(Values!$S$6,Castes!$B$2:$F$25,4,0)=Charms!I2811))</f>
        <v>#N/A</v>
      </c>
      <c r="J2811" t="e">
        <f t="shared" ca="1" si="216"/>
        <v>#N/A</v>
      </c>
      <c r="K2811" s="18" t="e">
        <f t="shared" ca="1" si="215"/>
        <v>#N/A</v>
      </c>
      <c r="L2811" t="e">
        <f ca="1">IF(J2811,Charms!B2811,"")</f>
        <v>#N/A</v>
      </c>
      <c r="M2811" t="str">
        <f t="shared" ca="1" si="217"/>
        <v>-</v>
      </c>
      <c r="N2811" s="18" t="str">
        <f t="shared" si="218"/>
        <v>K1622:L5000</v>
      </c>
      <c r="O2811" t="str">
        <f t="shared" si="219"/>
        <v>A1622:A2811</v>
      </c>
    </row>
    <row r="2812" spans="1:15">
      <c r="A2812" s="18">
        <f>Charms!K2812</f>
        <v>0</v>
      </c>
      <c r="B2812">
        <f>Charms!B2812</f>
        <v>0</v>
      </c>
      <c r="C2812" t="b">
        <f ca="1">OR(Values!$S$98&gt;=Charms!M2812,IFERROR(Charms!J2812=OFFSET(Values!$A$24,MATCH("S",Values!$T$25:$T$50,0),0),FALSE))</f>
        <v>1</v>
      </c>
      <c r="D2812" t="e">
        <f>VLOOKUP(Charms!J2812,Values!$A$11:$S$59,19,0)&gt;=Charms!L2812</f>
        <v>#N/A</v>
      </c>
      <c r="E2812" t="e">
        <f>OR(ISBLANK(Charms!I2812),(VLOOKUP(Values!$S$6,Castes!$B$2:$F$25,4,0)=Charms!I2812))</f>
        <v>#N/A</v>
      </c>
      <c r="J2812" t="e">
        <f t="shared" ca="1" si="216"/>
        <v>#N/A</v>
      </c>
      <c r="K2812" s="18" t="e">
        <f t="shared" ca="1" si="215"/>
        <v>#N/A</v>
      </c>
      <c r="L2812" t="e">
        <f ca="1">IF(J2812,Charms!B2812,"")</f>
        <v>#N/A</v>
      </c>
      <c r="M2812" t="str">
        <f t="shared" ca="1" si="217"/>
        <v>-</v>
      </c>
      <c r="N2812" s="18" t="str">
        <f t="shared" si="218"/>
        <v>K1622:L5000</v>
      </c>
      <c r="O2812" t="str">
        <f t="shared" si="219"/>
        <v>A1622:A2812</v>
      </c>
    </row>
    <row r="2813" spans="1:15">
      <c r="A2813" s="18">
        <f>Charms!K2813</f>
        <v>0</v>
      </c>
      <c r="B2813">
        <f>Charms!B2813</f>
        <v>0</v>
      </c>
      <c r="C2813" t="b">
        <f ca="1">OR(Values!$S$98&gt;=Charms!M2813,IFERROR(Charms!J2813=OFFSET(Values!$A$24,MATCH("S",Values!$T$25:$T$50,0),0),FALSE))</f>
        <v>1</v>
      </c>
      <c r="D2813" t="e">
        <f>VLOOKUP(Charms!J2813,Values!$A$11:$S$59,19,0)&gt;=Charms!L2813</f>
        <v>#N/A</v>
      </c>
      <c r="E2813" t="e">
        <f>OR(ISBLANK(Charms!I2813),(VLOOKUP(Values!$S$6,Castes!$B$2:$F$25,4,0)=Charms!I2813))</f>
        <v>#N/A</v>
      </c>
      <c r="J2813" t="e">
        <f t="shared" ca="1" si="216"/>
        <v>#N/A</v>
      </c>
      <c r="K2813" s="18" t="e">
        <f t="shared" ca="1" si="215"/>
        <v>#N/A</v>
      </c>
      <c r="L2813" t="e">
        <f ca="1">IF(J2813,Charms!B2813,"")</f>
        <v>#N/A</v>
      </c>
      <c r="M2813" t="str">
        <f t="shared" ca="1" si="217"/>
        <v>-</v>
      </c>
      <c r="N2813" s="18" t="str">
        <f t="shared" si="218"/>
        <v>K1622:L5000</v>
      </c>
      <c r="O2813" t="str">
        <f t="shared" si="219"/>
        <v>A1622:A2813</v>
      </c>
    </row>
    <row r="2814" spans="1:15">
      <c r="A2814" s="18">
        <f>Charms!K2814</f>
        <v>0</v>
      </c>
      <c r="B2814">
        <f>Charms!B2814</f>
        <v>0</v>
      </c>
      <c r="C2814" t="b">
        <f ca="1">OR(Values!$S$98&gt;=Charms!M2814,IFERROR(Charms!J2814=OFFSET(Values!$A$24,MATCH("S",Values!$T$25:$T$50,0),0),FALSE))</f>
        <v>1</v>
      </c>
      <c r="D2814" t="e">
        <f>VLOOKUP(Charms!J2814,Values!$A$11:$S$59,19,0)&gt;=Charms!L2814</f>
        <v>#N/A</v>
      </c>
      <c r="E2814" t="e">
        <f>OR(ISBLANK(Charms!I2814),(VLOOKUP(Values!$S$6,Castes!$B$2:$F$25,4,0)=Charms!I2814))</f>
        <v>#N/A</v>
      </c>
      <c r="J2814" t="e">
        <f t="shared" ca="1" si="216"/>
        <v>#N/A</v>
      </c>
      <c r="K2814" s="18" t="e">
        <f t="shared" ca="1" si="215"/>
        <v>#N/A</v>
      </c>
      <c r="L2814" t="e">
        <f ca="1">IF(J2814,Charms!B2814,"")</f>
        <v>#N/A</v>
      </c>
      <c r="M2814" t="str">
        <f t="shared" ca="1" si="217"/>
        <v>-</v>
      </c>
      <c r="N2814" s="18" t="str">
        <f t="shared" si="218"/>
        <v>K1622:L5000</v>
      </c>
      <c r="O2814" t="str">
        <f t="shared" si="219"/>
        <v>A1622:A2814</v>
      </c>
    </row>
    <row r="2815" spans="1:15">
      <c r="A2815" s="18">
        <f>Charms!K2815</f>
        <v>0</v>
      </c>
      <c r="B2815">
        <f>Charms!B2815</f>
        <v>0</v>
      </c>
      <c r="C2815" t="b">
        <f ca="1">OR(Values!$S$98&gt;=Charms!M2815,IFERROR(Charms!J2815=OFFSET(Values!$A$24,MATCH("S",Values!$T$25:$T$50,0),0),FALSE))</f>
        <v>1</v>
      </c>
      <c r="D2815" t="e">
        <f>VLOOKUP(Charms!J2815,Values!$A$11:$S$59,19,0)&gt;=Charms!L2815</f>
        <v>#N/A</v>
      </c>
      <c r="E2815" t="e">
        <f>OR(ISBLANK(Charms!I2815),(VLOOKUP(Values!$S$6,Castes!$B$2:$F$25,4,0)=Charms!I2815))</f>
        <v>#N/A</v>
      </c>
      <c r="J2815" t="e">
        <f t="shared" ca="1" si="216"/>
        <v>#N/A</v>
      </c>
      <c r="K2815" s="18" t="e">
        <f t="shared" ca="1" si="215"/>
        <v>#N/A</v>
      </c>
      <c r="L2815" t="e">
        <f ca="1">IF(J2815,Charms!B2815,"")</f>
        <v>#N/A</v>
      </c>
      <c r="M2815" t="str">
        <f t="shared" ca="1" si="217"/>
        <v>-</v>
      </c>
      <c r="N2815" s="18" t="str">
        <f t="shared" si="218"/>
        <v>K1622:L5000</v>
      </c>
      <c r="O2815" t="str">
        <f t="shared" si="219"/>
        <v>A1622:A2815</v>
      </c>
    </row>
    <row r="2816" spans="1:15">
      <c r="A2816" s="18">
        <f>Charms!K2816</f>
        <v>0</v>
      </c>
      <c r="B2816">
        <f>Charms!B2816</f>
        <v>0</v>
      </c>
      <c r="C2816" t="b">
        <f ca="1">OR(Values!$S$98&gt;=Charms!M2816,IFERROR(Charms!J2816=OFFSET(Values!$A$24,MATCH("S",Values!$T$25:$T$50,0),0),FALSE))</f>
        <v>1</v>
      </c>
      <c r="D2816" t="e">
        <f>VLOOKUP(Charms!J2816,Values!$A$11:$S$59,19,0)&gt;=Charms!L2816</f>
        <v>#N/A</v>
      </c>
      <c r="E2816" t="e">
        <f>OR(ISBLANK(Charms!I2816),(VLOOKUP(Values!$S$6,Castes!$B$2:$F$25,4,0)=Charms!I2816))</f>
        <v>#N/A</v>
      </c>
      <c r="J2816" t="e">
        <f t="shared" ca="1" si="216"/>
        <v>#N/A</v>
      </c>
      <c r="K2816" s="18" t="e">
        <f t="shared" ca="1" si="215"/>
        <v>#N/A</v>
      </c>
      <c r="L2816" t="e">
        <f ca="1">IF(J2816,Charms!B2816,"")</f>
        <v>#N/A</v>
      </c>
      <c r="M2816" t="str">
        <f t="shared" ca="1" si="217"/>
        <v>-</v>
      </c>
      <c r="N2816" s="18" t="str">
        <f t="shared" si="218"/>
        <v>K1622:L5000</v>
      </c>
      <c r="O2816" t="str">
        <f t="shared" si="219"/>
        <v>A1622:A2816</v>
      </c>
    </row>
    <row r="2817" spans="1:15">
      <c r="A2817" s="18">
        <f>Charms!K2817</f>
        <v>0</v>
      </c>
      <c r="B2817">
        <f>Charms!B2817</f>
        <v>0</v>
      </c>
      <c r="C2817" t="b">
        <f ca="1">OR(Values!$S$98&gt;=Charms!M2817,IFERROR(Charms!J2817=OFFSET(Values!$A$24,MATCH("S",Values!$T$25:$T$50,0),0),FALSE))</f>
        <v>1</v>
      </c>
      <c r="D2817" t="e">
        <f>VLOOKUP(Charms!J2817,Values!$A$11:$S$59,19,0)&gt;=Charms!L2817</f>
        <v>#N/A</v>
      </c>
      <c r="E2817" t="e">
        <f>OR(ISBLANK(Charms!I2817),(VLOOKUP(Values!$S$6,Castes!$B$2:$F$25,4,0)=Charms!I2817))</f>
        <v>#N/A</v>
      </c>
      <c r="J2817" t="e">
        <f t="shared" ca="1" si="216"/>
        <v>#N/A</v>
      </c>
      <c r="K2817" s="18" t="e">
        <f t="shared" ca="1" si="215"/>
        <v>#N/A</v>
      </c>
      <c r="L2817" t="e">
        <f ca="1">IF(J2817,Charms!B2817,"")</f>
        <v>#N/A</v>
      </c>
      <c r="M2817" t="str">
        <f t="shared" ca="1" si="217"/>
        <v>-</v>
      </c>
      <c r="N2817" s="18" t="str">
        <f t="shared" si="218"/>
        <v>K1622:L5000</v>
      </c>
      <c r="O2817" t="str">
        <f t="shared" si="219"/>
        <v>A1622:A2817</v>
      </c>
    </row>
    <row r="2818" spans="1:15">
      <c r="A2818" s="18">
        <f>Charms!K2818</f>
        <v>0</v>
      </c>
      <c r="B2818">
        <f>Charms!B2818</f>
        <v>0</v>
      </c>
      <c r="C2818" t="b">
        <f ca="1">OR(Values!$S$98&gt;=Charms!M2818,IFERROR(Charms!J2818=OFFSET(Values!$A$24,MATCH("S",Values!$T$25:$T$50,0),0),FALSE))</f>
        <v>1</v>
      </c>
      <c r="D2818" t="e">
        <f>VLOOKUP(Charms!J2818,Values!$A$11:$S$59,19,0)&gt;=Charms!L2818</f>
        <v>#N/A</v>
      </c>
      <c r="E2818" t="e">
        <f>OR(ISBLANK(Charms!I2818),(VLOOKUP(Values!$S$6,Castes!$B$2:$F$25,4,0)=Charms!I2818))</f>
        <v>#N/A</v>
      </c>
      <c r="J2818" t="e">
        <f t="shared" ca="1" si="216"/>
        <v>#N/A</v>
      </c>
      <c r="K2818" s="18" t="e">
        <f t="shared" ref="K2818:K2881" ca="1" si="220">IF(L2818="","",COUNTIF(INDIRECT("J"&amp;MATCH(A2818,A:A,0)&amp;":J"&amp;ROW()),J2818))</f>
        <v>#N/A</v>
      </c>
      <c r="L2818" t="e">
        <f ca="1">IF(J2818,Charms!B2818,"")</f>
        <v>#N/A</v>
      </c>
      <c r="M2818" t="str">
        <f t="shared" ca="1" si="217"/>
        <v>-</v>
      </c>
      <c r="N2818" s="18" t="str">
        <f t="shared" si="218"/>
        <v>K1622:L5000</v>
      </c>
      <c r="O2818" t="str">
        <f t="shared" si="219"/>
        <v>A1622:A2818</v>
      </c>
    </row>
    <row r="2819" spans="1:15">
      <c r="A2819" s="18">
        <f>Charms!K2819</f>
        <v>0</v>
      </c>
      <c r="B2819">
        <f>Charms!B2819</f>
        <v>0</v>
      </c>
      <c r="C2819" t="b">
        <f ca="1">OR(Values!$S$98&gt;=Charms!M2819,IFERROR(Charms!J2819=OFFSET(Values!$A$24,MATCH("S",Values!$T$25:$T$50,0),0),FALSE))</f>
        <v>1</v>
      </c>
      <c r="D2819" t="e">
        <f>VLOOKUP(Charms!J2819,Values!$A$11:$S$59,19,0)&gt;=Charms!L2819</f>
        <v>#N/A</v>
      </c>
      <c r="E2819" t="e">
        <f>OR(ISBLANK(Charms!I2819),(VLOOKUP(Values!$S$6,Castes!$B$2:$F$25,4,0)=Charms!I2819))</f>
        <v>#N/A</v>
      </c>
      <c r="J2819" t="e">
        <f t="shared" ref="J2819:J2882" ca="1" si="221">(C2819+D2819+E2819+F2819+G2819+H2819+I2819)=3</f>
        <v>#N/A</v>
      </c>
      <c r="K2819" s="18" t="e">
        <f t="shared" ca="1" si="220"/>
        <v>#N/A</v>
      </c>
      <c r="L2819" t="e">
        <f ca="1">IF(J2819,Charms!B2819,"")</f>
        <v>#N/A</v>
      </c>
      <c r="M2819" t="str">
        <f t="shared" ref="M2819:M2882" ca="1" si="222">IFERROR(VLOOKUP(COUNTIF(INDIRECT(O2819),A2819),INDIRECT(N2819),2,0),"-")</f>
        <v>-</v>
      </c>
      <c r="N2819" s="18" t="str">
        <f t="shared" ref="N2819:N2882" si="223">"K"&amp;MATCH(A2819,A:A,0)&amp;":L"&amp;(MATCH(A2819,A:A,0)+COUNTIF(A:A,A2819)-1)</f>
        <v>K1622:L5000</v>
      </c>
      <c r="O2819" t="str">
        <f t="shared" ref="O2819:O2882" si="224">"A"&amp;MATCH(A2819,A:A,0)&amp;":A"&amp;ROW()</f>
        <v>A1622:A2819</v>
      </c>
    </row>
    <row r="2820" spans="1:15">
      <c r="A2820" s="18">
        <f>Charms!K2820</f>
        <v>0</v>
      </c>
      <c r="B2820">
        <f>Charms!B2820</f>
        <v>0</v>
      </c>
      <c r="C2820" t="b">
        <f ca="1">OR(Values!$S$98&gt;=Charms!M2820,IFERROR(Charms!J2820=OFFSET(Values!$A$24,MATCH("S",Values!$T$25:$T$50,0),0),FALSE))</f>
        <v>1</v>
      </c>
      <c r="D2820" t="e">
        <f>VLOOKUP(Charms!J2820,Values!$A$11:$S$59,19,0)&gt;=Charms!L2820</f>
        <v>#N/A</v>
      </c>
      <c r="E2820" t="e">
        <f>OR(ISBLANK(Charms!I2820),(VLOOKUP(Values!$S$6,Castes!$B$2:$F$25,4,0)=Charms!I2820))</f>
        <v>#N/A</v>
      </c>
      <c r="J2820" t="e">
        <f t="shared" ca="1" si="221"/>
        <v>#N/A</v>
      </c>
      <c r="K2820" s="18" t="e">
        <f t="shared" ca="1" si="220"/>
        <v>#N/A</v>
      </c>
      <c r="L2820" t="e">
        <f ca="1">IF(J2820,Charms!B2820,"")</f>
        <v>#N/A</v>
      </c>
      <c r="M2820" t="str">
        <f t="shared" ca="1" si="222"/>
        <v>-</v>
      </c>
      <c r="N2820" s="18" t="str">
        <f t="shared" si="223"/>
        <v>K1622:L5000</v>
      </c>
      <c r="O2820" t="str">
        <f t="shared" si="224"/>
        <v>A1622:A2820</v>
      </c>
    </row>
    <row r="2821" spans="1:15">
      <c r="A2821" s="18">
        <f>Charms!K2821</f>
        <v>0</v>
      </c>
      <c r="B2821">
        <f>Charms!B2821</f>
        <v>0</v>
      </c>
      <c r="C2821" t="b">
        <f ca="1">OR(Values!$S$98&gt;=Charms!M2821,IFERROR(Charms!J2821=OFFSET(Values!$A$24,MATCH("S",Values!$T$25:$T$50,0),0),FALSE))</f>
        <v>1</v>
      </c>
      <c r="D2821" t="e">
        <f>VLOOKUP(Charms!J2821,Values!$A$11:$S$59,19,0)&gt;=Charms!L2821</f>
        <v>#N/A</v>
      </c>
      <c r="E2821" t="e">
        <f>OR(ISBLANK(Charms!I2821),(VLOOKUP(Values!$S$6,Castes!$B$2:$F$25,4,0)=Charms!I2821))</f>
        <v>#N/A</v>
      </c>
      <c r="J2821" t="e">
        <f t="shared" ca="1" si="221"/>
        <v>#N/A</v>
      </c>
      <c r="K2821" s="18" t="e">
        <f t="shared" ca="1" si="220"/>
        <v>#N/A</v>
      </c>
      <c r="L2821" t="e">
        <f ca="1">IF(J2821,Charms!B2821,"")</f>
        <v>#N/A</v>
      </c>
      <c r="M2821" t="str">
        <f t="shared" ca="1" si="222"/>
        <v>-</v>
      </c>
      <c r="N2821" s="18" t="str">
        <f t="shared" si="223"/>
        <v>K1622:L5000</v>
      </c>
      <c r="O2821" t="str">
        <f t="shared" si="224"/>
        <v>A1622:A2821</v>
      </c>
    </row>
    <row r="2822" spans="1:15">
      <c r="A2822" s="18">
        <f>Charms!K2822</f>
        <v>0</v>
      </c>
      <c r="B2822">
        <f>Charms!B2822</f>
        <v>0</v>
      </c>
      <c r="C2822" t="b">
        <f ca="1">OR(Values!$S$98&gt;=Charms!M2822,IFERROR(Charms!J2822=OFFSET(Values!$A$24,MATCH("S",Values!$T$25:$T$50,0),0),FALSE))</f>
        <v>1</v>
      </c>
      <c r="D2822" t="e">
        <f>VLOOKUP(Charms!J2822,Values!$A$11:$S$59,19,0)&gt;=Charms!L2822</f>
        <v>#N/A</v>
      </c>
      <c r="E2822" t="e">
        <f>OR(ISBLANK(Charms!I2822),(VLOOKUP(Values!$S$6,Castes!$B$2:$F$25,4,0)=Charms!I2822))</f>
        <v>#N/A</v>
      </c>
      <c r="J2822" t="e">
        <f t="shared" ca="1" si="221"/>
        <v>#N/A</v>
      </c>
      <c r="K2822" s="18" t="e">
        <f t="shared" ca="1" si="220"/>
        <v>#N/A</v>
      </c>
      <c r="L2822" t="e">
        <f ca="1">IF(J2822,Charms!B2822,"")</f>
        <v>#N/A</v>
      </c>
      <c r="M2822" t="str">
        <f t="shared" ca="1" si="222"/>
        <v>-</v>
      </c>
      <c r="N2822" s="18" t="str">
        <f t="shared" si="223"/>
        <v>K1622:L5000</v>
      </c>
      <c r="O2822" t="str">
        <f t="shared" si="224"/>
        <v>A1622:A2822</v>
      </c>
    </row>
    <row r="2823" spans="1:15">
      <c r="A2823" s="18">
        <f>Charms!K2823</f>
        <v>0</v>
      </c>
      <c r="B2823">
        <f>Charms!B2823</f>
        <v>0</v>
      </c>
      <c r="C2823" t="b">
        <f ca="1">OR(Values!$S$98&gt;=Charms!M2823,IFERROR(Charms!J2823=OFFSET(Values!$A$24,MATCH("S",Values!$T$25:$T$50,0),0),FALSE))</f>
        <v>1</v>
      </c>
      <c r="D2823" t="e">
        <f>VLOOKUP(Charms!J2823,Values!$A$11:$S$59,19,0)&gt;=Charms!L2823</f>
        <v>#N/A</v>
      </c>
      <c r="E2823" t="e">
        <f>OR(ISBLANK(Charms!I2823),(VLOOKUP(Values!$S$6,Castes!$B$2:$F$25,4,0)=Charms!I2823))</f>
        <v>#N/A</v>
      </c>
      <c r="J2823" t="e">
        <f t="shared" ca="1" si="221"/>
        <v>#N/A</v>
      </c>
      <c r="K2823" s="18" t="e">
        <f t="shared" ca="1" si="220"/>
        <v>#N/A</v>
      </c>
      <c r="L2823" t="e">
        <f ca="1">IF(J2823,Charms!B2823,"")</f>
        <v>#N/A</v>
      </c>
      <c r="M2823" t="str">
        <f t="shared" ca="1" si="222"/>
        <v>-</v>
      </c>
      <c r="N2823" s="18" t="str">
        <f t="shared" si="223"/>
        <v>K1622:L5000</v>
      </c>
      <c r="O2823" t="str">
        <f t="shared" si="224"/>
        <v>A1622:A2823</v>
      </c>
    </row>
    <row r="2824" spans="1:15">
      <c r="A2824" s="18">
        <f>Charms!K2824</f>
        <v>0</v>
      </c>
      <c r="B2824">
        <f>Charms!B2824</f>
        <v>0</v>
      </c>
      <c r="C2824" t="b">
        <f ca="1">OR(Values!$S$98&gt;=Charms!M2824,IFERROR(Charms!J2824=OFFSET(Values!$A$24,MATCH("S",Values!$T$25:$T$50,0),0),FALSE))</f>
        <v>1</v>
      </c>
      <c r="D2824" t="e">
        <f>VLOOKUP(Charms!J2824,Values!$A$11:$S$59,19,0)&gt;=Charms!L2824</f>
        <v>#N/A</v>
      </c>
      <c r="E2824" t="e">
        <f>OR(ISBLANK(Charms!I2824),(VLOOKUP(Values!$S$6,Castes!$B$2:$F$25,4,0)=Charms!I2824))</f>
        <v>#N/A</v>
      </c>
      <c r="J2824" t="e">
        <f t="shared" ca="1" si="221"/>
        <v>#N/A</v>
      </c>
      <c r="K2824" s="18" t="e">
        <f t="shared" ca="1" si="220"/>
        <v>#N/A</v>
      </c>
      <c r="L2824" t="e">
        <f ca="1">IF(J2824,Charms!B2824,"")</f>
        <v>#N/A</v>
      </c>
      <c r="M2824" t="str">
        <f t="shared" ca="1" si="222"/>
        <v>-</v>
      </c>
      <c r="N2824" s="18" t="str">
        <f t="shared" si="223"/>
        <v>K1622:L5000</v>
      </c>
      <c r="O2824" t="str">
        <f t="shared" si="224"/>
        <v>A1622:A2824</v>
      </c>
    </row>
    <row r="2825" spans="1:15">
      <c r="A2825" s="18">
        <f>Charms!K2825</f>
        <v>0</v>
      </c>
      <c r="B2825">
        <f>Charms!B2825</f>
        <v>0</v>
      </c>
      <c r="C2825" t="b">
        <f ca="1">OR(Values!$S$98&gt;=Charms!M2825,IFERROR(Charms!J2825=OFFSET(Values!$A$24,MATCH("S",Values!$T$25:$T$50,0),0),FALSE))</f>
        <v>1</v>
      </c>
      <c r="D2825" t="e">
        <f>VLOOKUP(Charms!J2825,Values!$A$11:$S$59,19,0)&gt;=Charms!L2825</f>
        <v>#N/A</v>
      </c>
      <c r="E2825" t="e">
        <f>OR(ISBLANK(Charms!I2825),(VLOOKUP(Values!$S$6,Castes!$B$2:$F$25,4,0)=Charms!I2825))</f>
        <v>#N/A</v>
      </c>
      <c r="J2825" t="e">
        <f t="shared" ca="1" si="221"/>
        <v>#N/A</v>
      </c>
      <c r="K2825" s="18" t="e">
        <f t="shared" ca="1" si="220"/>
        <v>#N/A</v>
      </c>
      <c r="L2825" t="e">
        <f ca="1">IF(J2825,Charms!B2825,"")</f>
        <v>#N/A</v>
      </c>
      <c r="M2825" t="str">
        <f t="shared" ca="1" si="222"/>
        <v>-</v>
      </c>
      <c r="N2825" s="18" t="str">
        <f t="shared" si="223"/>
        <v>K1622:L5000</v>
      </c>
      <c r="O2825" t="str">
        <f t="shared" si="224"/>
        <v>A1622:A2825</v>
      </c>
    </row>
    <row r="2826" spans="1:15">
      <c r="A2826" s="18">
        <f>Charms!K2826</f>
        <v>0</v>
      </c>
      <c r="B2826">
        <f>Charms!B2826</f>
        <v>0</v>
      </c>
      <c r="C2826" t="b">
        <f ca="1">OR(Values!$S$98&gt;=Charms!M2826,IFERROR(Charms!J2826=OFFSET(Values!$A$24,MATCH("S",Values!$T$25:$T$50,0),0),FALSE))</f>
        <v>1</v>
      </c>
      <c r="D2826" t="e">
        <f>VLOOKUP(Charms!J2826,Values!$A$11:$S$59,19,0)&gt;=Charms!L2826</f>
        <v>#N/A</v>
      </c>
      <c r="E2826" t="e">
        <f>OR(ISBLANK(Charms!I2826),(VLOOKUP(Values!$S$6,Castes!$B$2:$F$25,4,0)=Charms!I2826))</f>
        <v>#N/A</v>
      </c>
      <c r="J2826" t="e">
        <f t="shared" ca="1" si="221"/>
        <v>#N/A</v>
      </c>
      <c r="K2826" s="18" t="e">
        <f t="shared" ca="1" si="220"/>
        <v>#N/A</v>
      </c>
      <c r="L2826" t="e">
        <f ca="1">IF(J2826,Charms!B2826,"")</f>
        <v>#N/A</v>
      </c>
      <c r="M2826" t="str">
        <f t="shared" ca="1" si="222"/>
        <v>-</v>
      </c>
      <c r="N2826" s="18" t="str">
        <f t="shared" si="223"/>
        <v>K1622:L5000</v>
      </c>
      <c r="O2826" t="str">
        <f t="shared" si="224"/>
        <v>A1622:A2826</v>
      </c>
    </row>
    <row r="2827" spans="1:15">
      <c r="A2827" s="18">
        <f>Charms!K2827</f>
        <v>0</v>
      </c>
      <c r="B2827">
        <f>Charms!B2827</f>
        <v>0</v>
      </c>
      <c r="C2827" t="b">
        <f ca="1">OR(Values!$S$98&gt;=Charms!M2827,IFERROR(Charms!J2827=OFFSET(Values!$A$24,MATCH("S",Values!$T$25:$T$50,0),0),FALSE))</f>
        <v>1</v>
      </c>
      <c r="D2827" t="e">
        <f>VLOOKUP(Charms!J2827,Values!$A$11:$S$59,19,0)&gt;=Charms!L2827</f>
        <v>#N/A</v>
      </c>
      <c r="E2827" t="e">
        <f>OR(ISBLANK(Charms!I2827),(VLOOKUP(Values!$S$6,Castes!$B$2:$F$25,4,0)=Charms!I2827))</f>
        <v>#N/A</v>
      </c>
      <c r="J2827" t="e">
        <f t="shared" ca="1" si="221"/>
        <v>#N/A</v>
      </c>
      <c r="K2827" s="18" t="e">
        <f t="shared" ca="1" si="220"/>
        <v>#N/A</v>
      </c>
      <c r="L2827" t="e">
        <f ca="1">IF(J2827,Charms!B2827,"")</f>
        <v>#N/A</v>
      </c>
      <c r="M2827" t="str">
        <f t="shared" ca="1" si="222"/>
        <v>-</v>
      </c>
      <c r="N2827" s="18" t="str">
        <f t="shared" si="223"/>
        <v>K1622:L5000</v>
      </c>
      <c r="O2827" t="str">
        <f t="shared" si="224"/>
        <v>A1622:A2827</v>
      </c>
    </row>
    <row r="2828" spans="1:15">
      <c r="A2828" s="18">
        <f>Charms!K2828</f>
        <v>0</v>
      </c>
      <c r="B2828">
        <f>Charms!B2828</f>
        <v>0</v>
      </c>
      <c r="C2828" t="b">
        <f ca="1">OR(Values!$S$98&gt;=Charms!M2828,IFERROR(Charms!J2828=OFFSET(Values!$A$24,MATCH("S",Values!$T$25:$T$50,0),0),FALSE))</f>
        <v>1</v>
      </c>
      <c r="D2828" t="e">
        <f>VLOOKUP(Charms!J2828,Values!$A$11:$S$59,19,0)&gt;=Charms!L2828</f>
        <v>#N/A</v>
      </c>
      <c r="E2828" t="e">
        <f>OR(ISBLANK(Charms!I2828),(VLOOKUP(Values!$S$6,Castes!$B$2:$F$25,4,0)=Charms!I2828))</f>
        <v>#N/A</v>
      </c>
      <c r="J2828" t="e">
        <f t="shared" ca="1" si="221"/>
        <v>#N/A</v>
      </c>
      <c r="K2828" s="18" t="e">
        <f t="shared" ca="1" si="220"/>
        <v>#N/A</v>
      </c>
      <c r="L2828" t="e">
        <f ca="1">IF(J2828,Charms!B2828,"")</f>
        <v>#N/A</v>
      </c>
      <c r="M2828" t="str">
        <f t="shared" ca="1" si="222"/>
        <v>-</v>
      </c>
      <c r="N2828" s="18" t="str">
        <f t="shared" si="223"/>
        <v>K1622:L5000</v>
      </c>
      <c r="O2828" t="str">
        <f t="shared" si="224"/>
        <v>A1622:A2828</v>
      </c>
    </row>
    <row r="2829" spans="1:15">
      <c r="A2829" s="18">
        <f>Charms!K2829</f>
        <v>0</v>
      </c>
      <c r="B2829">
        <f>Charms!B2829</f>
        <v>0</v>
      </c>
      <c r="C2829" t="b">
        <f ca="1">OR(Values!$S$98&gt;=Charms!M2829,IFERROR(Charms!J2829=OFFSET(Values!$A$24,MATCH("S",Values!$T$25:$T$50,0),0),FALSE))</f>
        <v>1</v>
      </c>
      <c r="D2829" t="e">
        <f>VLOOKUP(Charms!J2829,Values!$A$11:$S$59,19,0)&gt;=Charms!L2829</f>
        <v>#N/A</v>
      </c>
      <c r="E2829" t="e">
        <f>OR(ISBLANK(Charms!I2829),(VLOOKUP(Values!$S$6,Castes!$B$2:$F$25,4,0)=Charms!I2829))</f>
        <v>#N/A</v>
      </c>
      <c r="J2829" t="e">
        <f t="shared" ca="1" si="221"/>
        <v>#N/A</v>
      </c>
      <c r="K2829" s="18" t="e">
        <f t="shared" ca="1" si="220"/>
        <v>#N/A</v>
      </c>
      <c r="L2829" t="e">
        <f ca="1">IF(J2829,Charms!B2829,"")</f>
        <v>#N/A</v>
      </c>
      <c r="M2829" t="str">
        <f t="shared" ca="1" si="222"/>
        <v>-</v>
      </c>
      <c r="N2829" s="18" t="str">
        <f t="shared" si="223"/>
        <v>K1622:L5000</v>
      </c>
      <c r="O2829" t="str">
        <f t="shared" si="224"/>
        <v>A1622:A2829</v>
      </c>
    </row>
    <row r="2830" spans="1:15">
      <c r="A2830" s="18">
        <f>Charms!K2830</f>
        <v>0</v>
      </c>
      <c r="B2830">
        <f>Charms!B2830</f>
        <v>0</v>
      </c>
      <c r="C2830" t="b">
        <f ca="1">OR(Values!$S$98&gt;=Charms!M2830,IFERROR(Charms!J2830=OFFSET(Values!$A$24,MATCH("S",Values!$T$25:$T$50,0),0),FALSE))</f>
        <v>1</v>
      </c>
      <c r="D2830" t="e">
        <f>VLOOKUP(Charms!J2830,Values!$A$11:$S$59,19,0)&gt;=Charms!L2830</f>
        <v>#N/A</v>
      </c>
      <c r="E2830" t="e">
        <f>OR(ISBLANK(Charms!I2830),(VLOOKUP(Values!$S$6,Castes!$B$2:$F$25,4,0)=Charms!I2830))</f>
        <v>#N/A</v>
      </c>
      <c r="J2830" t="e">
        <f t="shared" ca="1" si="221"/>
        <v>#N/A</v>
      </c>
      <c r="K2830" s="18" t="e">
        <f t="shared" ca="1" si="220"/>
        <v>#N/A</v>
      </c>
      <c r="L2830" t="e">
        <f ca="1">IF(J2830,Charms!B2830,"")</f>
        <v>#N/A</v>
      </c>
      <c r="M2830" t="str">
        <f t="shared" ca="1" si="222"/>
        <v>-</v>
      </c>
      <c r="N2830" s="18" t="str">
        <f t="shared" si="223"/>
        <v>K1622:L5000</v>
      </c>
      <c r="O2830" t="str">
        <f t="shared" si="224"/>
        <v>A1622:A2830</v>
      </c>
    </row>
    <row r="2831" spans="1:15">
      <c r="A2831" s="18">
        <f>Charms!K2831</f>
        <v>0</v>
      </c>
      <c r="B2831">
        <f>Charms!B2831</f>
        <v>0</v>
      </c>
      <c r="C2831" t="b">
        <f ca="1">OR(Values!$S$98&gt;=Charms!M2831,IFERROR(Charms!J2831=OFFSET(Values!$A$24,MATCH("S",Values!$T$25:$T$50,0),0),FALSE))</f>
        <v>1</v>
      </c>
      <c r="D2831" t="e">
        <f>VLOOKUP(Charms!J2831,Values!$A$11:$S$59,19,0)&gt;=Charms!L2831</f>
        <v>#N/A</v>
      </c>
      <c r="E2831" t="e">
        <f>OR(ISBLANK(Charms!I2831),(VLOOKUP(Values!$S$6,Castes!$B$2:$F$25,4,0)=Charms!I2831))</f>
        <v>#N/A</v>
      </c>
      <c r="J2831" t="e">
        <f t="shared" ca="1" si="221"/>
        <v>#N/A</v>
      </c>
      <c r="K2831" s="18" t="e">
        <f t="shared" ca="1" si="220"/>
        <v>#N/A</v>
      </c>
      <c r="L2831" t="e">
        <f ca="1">IF(J2831,Charms!B2831,"")</f>
        <v>#N/A</v>
      </c>
      <c r="M2831" t="str">
        <f t="shared" ca="1" si="222"/>
        <v>-</v>
      </c>
      <c r="N2831" s="18" t="str">
        <f t="shared" si="223"/>
        <v>K1622:L5000</v>
      </c>
      <c r="O2831" t="str">
        <f t="shared" si="224"/>
        <v>A1622:A2831</v>
      </c>
    </row>
    <row r="2832" spans="1:15">
      <c r="A2832" s="18">
        <f>Charms!K2832</f>
        <v>0</v>
      </c>
      <c r="B2832">
        <f>Charms!B2832</f>
        <v>0</v>
      </c>
      <c r="C2832" t="b">
        <f ca="1">OR(Values!$S$98&gt;=Charms!M2832,IFERROR(Charms!J2832=OFFSET(Values!$A$24,MATCH("S",Values!$T$25:$T$50,0),0),FALSE))</f>
        <v>1</v>
      </c>
      <c r="D2832" t="e">
        <f>VLOOKUP(Charms!J2832,Values!$A$11:$S$59,19,0)&gt;=Charms!L2832</f>
        <v>#N/A</v>
      </c>
      <c r="E2832" t="e">
        <f>OR(ISBLANK(Charms!I2832),(VLOOKUP(Values!$S$6,Castes!$B$2:$F$25,4,0)=Charms!I2832))</f>
        <v>#N/A</v>
      </c>
      <c r="J2832" t="e">
        <f t="shared" ca="1" si="221"/>
        <v>#N/A</v>
      </c>
      <c r="K2832" s="18" t="e">
        <f t="shared" ca="1" si="220"/>
        <v>#N/A</v>
      </c>
      <c r="L2832" t="e">
        <f ca="1">IF(J2832,Charms!B2832,"")</f>
        <v>#N/A</v>
      </c>
      <c r="M2832" t="str">
        <f t="shared" ca="1" si="222"/>
        <v>-</v>
      </c>
      <c r="N2832" s="18" t="str">
        <f t="shared" si="223"/>
        <v>K1622:L5000</v>
      </c>
      <c r="O2832" t="str">
        <f t="shared" si="224"/>
        <v>A1622:A2832</v>
      </c>
    </row>
    <row r="2833" spans="1:15">
      <c r="A2833" s="18">
        <f>Charms!K2833</f>
        <v>0</v>
      </c>
      <c r="B2833">
        <f>Charms!B2833</f>
        <v>0</v>
      </c>
      <c r="C2833" t="b">
        <f ca="1">OR(Values!$S$98&gt;=Charms!M2833,IFERROR(Charms!J2833=OFFSET(Values!$A$24,MATCH("S",Values!$T$25:$T$50,0),0),FALSE))</f>
        <v>1</v>
      </c>
      <c r="D2833" t="e">
        <f>VLOOKUP(Charms!J2833,Values!$A$11:$S$59,19,0)&gt;=Charms!L2833</f>
        <v>#N/A</v>
      </c>
      <c r="E2833" t="e">
        <f>OR(ISBLANK(Charms!I2833),(VLOOKUP(Values!$S$6,Castes!$B$2:$F$25,4,0)=Charms!I2833))</f>
        <v>#N/A</v>
      </c>
      <c r="J2833" t="e">
        <f t="shared" ca="1" si="221"/>
        <v>#N/A</v>
      </c>
      <c r="K2833" s="18" t="e">
        <f t="shared" ca="1" si="220"/>
        <v>#N/A</v>
      </c>
      <c r="L2833" t="e">
        <f ca="1">IF(J2833,Charms!B2833,"")</f>
        <v>#N/A</v>
      </c>
      <c r="M2833" t="str">
        <f t="shared" ca="1" si="222"/>
        <v>-</v>
      </c>
      <c r="N2833" s="18" t="str">
        <f t="shared" si="223"/>
        <v>K1622:L5000</v>
      </c>
      <c r="O2833" t="str">
        <f t="shared" si="224"/>
        <v>A1622:A2833</v>
      </c>
    </row>
    <row r="2834" spans="1:15">
      <c r="A2834" s="18">
        <f>Charms!K2834</f>
        <v>0</v>
      </c>
      <c r="B2834">
        <f>Charms!B2834</f>
        <v>0</v>
      </c>
      <c r="C2834" t="b">
        <f ca="1">OR(Values!$S$98&gt;=Charms!M2834,IFERROR(Charms!J2834=OFFSET(Values!$A$24,MATCH("S",Values!$T$25:$T$50,0),0),FALSE))</f>
        <v>1</v>
      </c>
      <c r="D2834" t="e">
        <f>VLOOKUP(Charms!J2834,Values!$A$11:$S$59,19,0)&gt;=Charms!L2834</f>
        <v>#N/A</v>
      </c>
      <c r="E2834" t="e">
        <f>OR(ISBLANK(Charms!I2834),(VLOOKUP(Values!$S$6,Castes!$B$2:$F$25,4,0)=Charms!I2834))</f>
        <v>#N/A</v>
      </c>
      <c r="J2834" t="e">
        <f t="shared" ca="1" si="221"/>
        <v>#N/A</v>
      </c>
      <c r="K2834" s="18" t="e">
        <f t="shared" ca="1" si="220"/>
        <v>#N/A</v>
      </c>
      <c r="L2834" t="e">
        <f ca="1">IF(J2834,Charms!B2834,"")</f>
        <v>#N/A</v>
      </c>
      <c r="M2834" t="str">
        <f t="shared" ca="1" si="222"/>
        <v>-</v>
      </c>
      <c r="N2834" s="18" t="str">
        <f t="shared" si="223"/>
        <v>K1622:L5000</v>
      </c>
      <c r="O2834" t="str">
        <f t="shared" si="224"/>
        <v>A1622:A2834</v>
      </c>
    </row>
    <row r="2835" spans="1:15">
      <c r="A2835" s="18">
        <f>Charms!K2835</f>
        <v>0</v>
      </c>
      <c r="B2835">
        <f>Charms!B2835</f>
        <v>0</v>
      </c>
      <c r="C2835" t="b">
        <f ca="1">OR(Values!$S$98&gt;=Charms!M2835,IFERROR(Charms!J2835=OFFSET(Values!$A$24,MATCH("S",Values!$T$25:$T$50,0),0),FALSE))</f>
        <v>1</v>
      </c>
      <c r="D2835" t="e">
        <f>VLOOKUP(Charms!J2835,Values!$A$11:$S$59,19,0)&gt;=Charms!L2835</f>
        <v>#N/A</v>
      </c>
      <c r="E2835" t="e">
        <f>OR(ISBLANK(Charms!I2835),(VLOOKUP(Values!$S$6,Castes!$B$2:$F$25,4,0)=Charms!I2835))</f>
        <v>#N/A</v>
      </c>
      <c r="J2835" t="e">
        <f t="shared" ca="1" si="221"/>
        <v>#N/A</v>
      </c>
      <c r="K2835" s="18" t="e">
        <f t="shared" ca="1" si="220"/>
        <v>#N/A</v>
      </c>
      <c r="L2835" t="e">
        <f ca="1">IF(J2835,Charms!B2835,"")</f>
        <v>#N/A</v>
      </c>
      <c r="M2835" t="str">
        <f t="shared" ca="1" si="222"/>
        <v>-</v>
      </c>
      <c r="N2835" s="18" t="str">
        <f t="shared" si="223"/>
        <v>K1622:L5000</v>
      </c>
      <c r="O2835" t="str">
        <f t="shared" si="224"/>
        <v>A1622:A2835</v>
      </c>
    </row>
    <row r="2836" spans="1:15">
      <c r="A2836" s="18">
        <f>Charms!K2836</f>
        <v>0</v>
      </c>
      <c r="B2836">
        <f>Charms!B2836</f>
        <v>0</v>
      </c>
      <c r="C2836" t="b">
        <f ca="1">OR(Values!$S$98&gt;=Charms!M2836,IFERROR(Charms!J2836=OFFSET(Values!$A$24,MATCH("S",Values!$T$25:$T$50,0),0),FALSE))</f>
        <v>1</v>
      </c>
      <c r="D2836" t="e">
        <f>VLOOKUP(Charms!J2836,Values!$A$11:$S$59,19,0)&gt;=Charms!L2836</f>
        <v>#N/A</v>
      </c>
      <c r="E2836" t="e">
        <f>OR(ISBLANK(Charms!I2836),(VLOOKUP(Values!$S$6,Castes!$B$2:$F$25,4,0)=Charms!I2836))</f>
        <v>#N/A</v>
      </c>
      <c r="J2836" t="e">
        <f t="shared" ca="1" si="221"/>
        <v>#N/A</v>
      </c>
      <c r="K2836" s="18" t="e">
        <f t="shared" ca="1" si="220"/>
        <v>#N/A</v>
      </c>
      <c r="L2836" t="e">
        <f ca="1">IF(J2836,Charms!B2836,"")</f>
        <v>#N/A</v>
      </c>
      <c r="M2836" t="str">
        <f t="shared" ca="1" si="222"/>
        <v>-</v>
      </c>
      <c r="N2836" s="18" t="str">
        <f t="shared" si="223"/>
        <v>K1622:L5000</v>
      </c>
      <c r="O2836" t="str">
        <f t="shared" si="224"/>
        <v>A1622:A2836</v>
      </c>
    </row>
    <row r="2837" spans="1:15">
      <c r="A2837" s="18">
        <f>Charms!K2837</f>
        <v>0</v>
      </c>
      <c r="B2837">
        <f>Charms!B2837</f>
        <v>0</v>
      </c>
      <c r="C2837" t="b">
        <f ca="1">OR(Values!$S$98&gt;=Charms!M2837,IFERROR(Charms!J2837=OFFSET(Values!$A$24,MATCH("S",Values!$T$25:$T$50,0),0),FALSE))</f>
        <v>1</v>
      </c>
      <c r="D2837" t="e">
        <f>VLOOKUP(Charms!J2837,Values!$A$11:$S$59,19,0)&gt;=Charms!L2837</f>
        <v>#N/A</v>
      </c>
      <c r="E2837" t="e">
        <f>OR(ISBLANK(Charms!I2837),(VLOOKUP(Values!$S$6,Castes!$B$2:$F$25,4,0)=Charms!I2837))</f>
        <v>#N/A</v>
      </c>
      <c r="J2837" t="e">
        <f t="shared" ca="1" si="221"/>
        <v>#N/A</v>
      </c>
      <c r="K2837" s="18" t="e">
        <f t="shared" ca="1" si="220"/>
        <v>#N/A</v>
      </c>
      <c r="L2837" t="e">
        <f ca="1">IF(J2837,Charms!B2837,"")</f>
        <v>#N/A</v>
      </c>
      <c r="M2837" t="str">
        <f t="shared" ca="1" si="222"/>
        <v>-</v>
      </c>
      <c r="N2837" s="18" t="str">
        <f t="shared" si="223"/>
        <v>K1622:L5000</v>
      </c>
      <c r="O2837" t="str">
        <f t="shared" si="224"/>
        <v>A1622:A2837</v>
      </c>
    </row>
    <row r="2838" spans="1:15">
      <c r="A2838" s="18">
        <f>Charms!K2838</f>
        <v>0</v>
      </c>
      <c r="B2838">
        <f>Charms!B2838</f>
        <v>0</v>
      </c>
      <c r="C2838" t="b">
        <f ca="1">OR(Values!$S$98&gt;=Charms!M2838,IFERROR(Charms!J2838=OFFSET(Values!$A$24,MATCH("S",Values!$T$25:$T$50,0),0),FALSE))</f>
        <v>1</v>
      </c>
      <c r="D2838" t="e">
        <f>VLOOKUP(Charms!J2838,Values!$A$11:$S$59,19,0)&gt;=Charms!L2838</f>
        <v>#N/A</v>
      </c>
      <c r="E2838" t="e">
        <f>OR(ISBLANK(Charms!I2838),(VLOOKUP(Values!$S$6,Castes!$B$2:$F$25,4,0)=Charms!I2838))</f>
        <v>#N/A</v>
      </c>
      <c r="J2838" t="e">
        <f t="shared" ca="1" si="221"/>
        <v>#N/A</v>
      </c>
      <c r="K2838" s="18" t="e">
        <f t="shared" ca="1" si="220"/>
        <v>#N/A</v>
      </c>
      <c r="L2838" t="e">
        <f ca="1">IF(J2838,Charms!B2838,"")</f>
        <v>#N/A</v>
      </c>
      <c r="M2838" t="str">
        <f t="shared" ca="1" si="222"/>
        <v>-</v>
      </c>
      <c r="N2838" s="18" t="str">
        <f t="shared" si="223"/>
        <v>K1622:L5000</v>
      </c>
      <c r="O2838" t="str">
        <f t="shared" si="224"/>
        <v>A1622:A2838</v>
      </c>
    </row>
    <row r="2839" spans="1:15">
      <c r="A2839" s="18">
        <f>Charms!K2839</f>
        <v>0</v>
      </c>
      <c r="B2839">
        <f>Charms!B2839</f>
        <v>0</v>
      </c>
      <c r="C2839" t="b">
        <f ca="1">OR(Values!$S$98&gt;=Charms!M2839,IFERROR(Charms!J2839=OFFSET(Values!$A$24,MATCH("S",Values!$T$25:$T$50,0),0),FALSE))</f>
        <v>1</v>
      </c>
      <c r="D2839" t="e">
        <f>VLOOKUP(Charms!J2839,Values!$A$11:$S$59,19,0)&gt;=Charms!L2839</f>
        <v>#N/A</v>
      </c>
      <c r="E2839" t="e">
        <f>OR(ISBLANK(Charms!I2839),(VLOOKUP(Values!$S$6,Castes!$B$2:$F$25,4,0)=Charms!I2839))</f>
        <v>#N/A</v>
      </c>
      <c r="J2839" t="e">
        <f t="shared" ca="1" si="221"/>
        <v>#N/A</v>
      </c>
      <c r="K2839" s="18" t="e">
        <f t="shared" ca="1" si="220"/>
        <v>#N/A</v>
      </c>
      <c r="L2839" t="e">
        <f ca="1">IF(J2839,Charms!B2839,"")</f>
        <v>#N/A</v>
      </c>
      <c r="M2839" t="str">
        <f t="shared" ca="1" si="222"/>
        <v>-</v>
      </c>
      <c r="N2839" s="18" t="str">
        <f t="shared" si="223"/>
        <v>K1622:L5000</v>
      </c>
      <c r="O2839" t="str">
        <f t="shared" si="224"/>
        <v>A1622:A2839</v>
      </c>
    </row>
    <row r="2840" spans="1:15">
      <c r="A2840" s="18">
        <f>Charms!K2840</f>
        <v>0</v>
      </c>
      <c r="B2840">
        <f>Charms!B2840</f>
        <v>0</v>
      </c>
      <c r="C2840" t="b">
        <f ca="1">OR(Values!$S$98&gt;=Charms!M2840,IFERROR(Charms!J2840=OFFSET(Values!$A$24,MATCH("S",Values!$T$25:$T$50,0),0),FALSE))</f>
        <v>1</v>
      </c>
      <c r="D2840" t="e">
        <f>VLOOKUP(Charms!J2840,Values!$A$11:$S$59,19,0)&gt;=Charms!L2840</f>
        <v>#N/A</v>
      </c>
      <c r="E2840" t="e">
        <f>OR(ISBLANK(Charms!I2840),(VLOOKUP(Values!$S$6,Castes!$B$2:$F$25,4,0)=Charms!I2840))</f>
        <v>#N/A</v>
      </c>
      <c r="J2840" t="e">
        <f t="shared" ca="1" si="221"/>
        <v>#N/A</v>
      </c>
      <c r="K2840" s="18" t="e">
        <f t="shared" ca="1" si="220"/>
        <v>#N/A</v>
      </c>
      <c r="L2840" t="e">
        <f ca="1">IF(J2840,Charms!B2840,"")</f>
        <v>#N/A</v>
      </c>
      <c r="M2840" t="str">
        <f t="shared" ca="1" si="222"/>
        <v>-</v>
      </c>
      <c r="N2840" s="18" t="str">
        <f t="shared" si="223"/>
        <v>K1622:L5000</v>
      </c>
      <c r="O2840" t="str">
        <f t="shared" si="224"/>
        <v>A1622:A2840</v>
      </c>
    </row>
    <row r="2841" spans="1:15">
      <c r="A2841" s="18">
        <f>Charms!K2841</f>
        <v>0</v>
      </c>
      <c r="B2841">
        <f>Charms!B2841</f>
        <v>0</v>
      </c>
      <c r="C2841" t="b">
        <f ca="1">OR(Values!$S$98&gt;=Charms!M2841,IFERROR(Charms!J2841=OFFSET(Values!$A$24,MATCH("S",Values!$T$25:$T$50,0),0),FALSE))</f>
        <v>1</v>
      </c>
      <c r="D2841" t="e">
        <f>VLOOKUP(Charms!J2841,Values!$A$11:$S$59,19,0)&gt;=Charms!L2841</f>
        <v>#N/A</v>
      </c>
      <c r="E2841" t="e">
        <f>OR(ISBLANK(Charms!I2841),(VLOOKUP(Values!$S$6,Castes!$B$2:$F$25,4,0)=Charms!I2841))</f>
        <v>#N/A</v>
      </c>
      <c r="J2841" t="e">
        <f t="shared" ca="1" si="221"/>
        <v>#N/A</v>
      </c>
      <c r="K2841" s="18" t="e">
        <f t="shared" ca="1" si="220"/>
        <v>#N/A</v>
      </c>
      <c r="L2841" t="e">
        <f ca="1">IF(J2841,Charms!B2841,"")</f>
        <v>#N/A</v>
      </c>
      <c r="M2841" t="str">
        <f t="shared" ca="1" si="222"/>
        <v>-</v>
      </c>
      <c r="N2841" s="18" t="str">
        <f t="shared" si="223"/>
        <v>K1622:L5000</v>
      </c>
      <c r="O2841" t="str">
        <f t="shared" si="224"/>
        <v>A1622:A2841</v>
      </c>
    </row>
    <row r="2842" spans="1:15">
      <c r="A2842" s="18">
        <f>Charms!K2842</f>
        <v>0</v>
      </c>
      <c r="B2842">
        <f>Charms!B2842</f>
        <v>0</v>
      </c>
      <c r="C2842" t="b">
        <f ca="1">OR(Values!$S$98&gt;=Charms!M2842,IFERROR(Charms!J2842=OFFSET(Values!$A$24,MATCH("S",Values!$T$25:$T$50,0),0),FALSE))</f>
        <v>1</v>
      </c>
      <c r="D2842" t="e">
        <f>VLOOKUP(Charms!J2842,Values!$A$11:$S$59,19,0)&gt;=Charms!L2842</f>
        <v>#N/A</v>
      </c>
      <c r="E2842" t="e">
        <f>OR(ISBLANK(Charms!I2842),(VLOOKUP(Values!$S$6,Castes!$B$2:$F$25,4,0)=Charms!I2842))</f>
        <v>#N/A</v>
      </c>
      <c r="J2842" t="e">
        <f t="shared" ca="1" si="221"/>
        <v>#N/A</v>
      </c>
      <c r="K2842" s="18" t="e">
        <f t="shared" ca="1" si="220"/>
        <v>#N/A</v>
      </c>
      <c r="L2842" t="e">
        <f ca="1">IF(J2842,Charms!B2842,"")</f>
        <v>#N/A</v>
      </c>
      <c r="M2842" t="str">
        <f t="shared" ca="1" si="222"/>
        <v>-</v>
      </c>
      <c r="N2842" s="18" t="str">
        <f t="shared" si="223"/>
        <v>K1622:L5000</v>
      </c>
      <c r="O2842" t="str">
        <f t="shared" si="224"/>
        <v>A1622:A2842</v>
      </c>
    </row>
    <row r="2843" spans="1:15">
      <c r="A2843" s="18">
        <f>Charms!K2843</f>
        <v>0</v>
      </c>
      <c r="B2843">
        <f>Charms!B2843</f>
        <v>0</v>
      </c>
      <c r="C2843" t="b">
        <f ca="1">OR(Values!$S$98&gt;=Charms!M2843,IFERROR(Charms!J2843=OFFSET(Values!$A$24,MATCH("S",Values!$T$25:$T$50,0),0),FALSE))</f>
        <v>1</v>
      </c>
      <c r="D2843" t="e">
        <f>VLOOKUP(Charms!J2843,Values!$A$11:$S$59,19,0)&gt;=Charms!L2843</f>
        <v>#N/A</v>
      </c>
      <c r="E2843" t="e">
        <f>OR(ISBLANK(Charms!I2843),(VLOOKUP(Values!$S$6,Castes!$B$2:$F$25,4,0)=Charms!I2843))</f>
        <v>#N/A</v>
      </c>
      <c r="J2843" t="e">
        <f t="shared" ca="1" si="221"/>
        <v>#N/A</v>
      </c>
      <c r="K2843" s="18" t="e">
        <f t="shared" ca="1" si="220"/>
        <v>#N/A</v>
      </c>
      <c r="L2843" t="e">
        <f ca="1">IF(J2843,Charms!B2843,"")</f>
        <v>#N/A</v>
      </c>
      <c r="M2843" t="str">
        <f t="shared" ca="1" si="222"/>
        <v>-</v>
      </c>
      <c r="N2843" s="18" t="str">
        <f t="shared" si="223"/>
        <v>K1622:L5000</v>
      </c>
      <c r="O2843" t="str">
        <f t="shared" si="224"/>
        <v>A1622:A2843</v>
      </c>
    </row>
    <row r="2844" spans="1:15">
      <c r="A2844" s="18">
        <f>Charms!K2844</f>
        <v>0</v>
      </c>
      <c r="B2844">
        <f>Charms!B2844</f>
        <v>0</v>
      </c>
      <c r="C2844" t="b">
        <f ca="1">OR(Values!$S$98&gt;=Charms!M2844,IFERROR(Charms!J2844=OFFSET(Values!$A$24,MATCH("S",Values!$T$25:$T$50,0),0),FALSE))</f>
        <v>1</v>
      </c>
      <c r="D2844" t="e">
        <f>VLOOKUP(Charms!J2844,Values!$A$11:$S$59,19,0)&gt;=Charms!L2844</f>
        <v>#N/A</v>
      </c>
      <c r="E2844" t="e">
        <f>OR(ISBLANK(Charms!I2844),(VLOOKUP(Values!$S$6,Castes!$B$2:$F$25,4,0)=Charms!I2844))</f>
        <v>#N/A</v>
      </c>
      <c r="J2844" t="e">
        <f t="shared" ca="1" si="221"/>
        <v>#N/A</v>
      </c>
      <c r="K2844" s="18" t="e">
        <f t="shared" ca="1" si="220"/>
        <v>#N/A</v>
      </c>
      <c r="L2844" t="e">
        <f ca="1">IF(J2844,Charms!B2844,"")</f>
        <v>#N/A</v>
      </c>
      <c r="M2844" t="str">
        <f t="shared" ca="1" si="222"/>
        <v>-</v>
      </c>
      <c r="N2844" s="18" t="str">
        <f t="shared" si="223"/>
        <v>K1622:L5000</v>
      </c>
      <c r="O2844" t="str">
        <f t="shared" si="224"/>
        <v>A1622:A2844</v>
      </c>
    </row>
    <row r="2845" spans="1:15">
      <c r="A2845" s="18">
        <f>Charms!K2845</f>
        <v>0</v>
      </c>
      <c r="B2845">
        <f>Charms!B2845</f>
        <v>0</v>
      </c>
      <c r="C2845" t="b">
        <f ca="1">OR(Values!$S$98&gt;=Charms!M2845,IFERROR(Charms!J2845=OFFSET(Values!$A$24,MATCH("S",Values!$T$25:$T$50,0),0),FALSE))</f>
        <v>1</v>
      </c>
      <c r="D2845" t="e">
        <f>VLOOKUP(Charms!J2845,Values!$A$11:$S$59,19,0)&gt;=Charms!L2845</f>
        <v>#N/A</v>
      </c>
      <c r="E2845" t="e">
        <f>OR(ISBLANK(Charms!I2845),(VLOOKUP(Values!$S$6,Castes!$B$2:$F$25,4,0)=Charms!I2845))</f>
        <v>#N/A</v>
      </c>
      <c r="J2845" t="e">
        <f t="shared" ca="1" si="221"/>
        <v>#N/A</v>
      </c>
      <c r="K2845" s="18" t="e">
        <f t="shared" ca="1" si="220"/>
        <v>#N/A</v>
      </c>
      <c r="L2845" t="e">
        <f ca="1">IF(J2845,Charms!B2845,"")</f>
        <v>#N/A</v>
      </c>
      <c r="M2845" t="str">
        <f t="shared" ca="1" si="222"/>
        <v>-</v>
      </c>
      <c r="N2845" s="18" t="str">
        <f t="shared" si="223"/>
        <v>K1622:L5000</v>
      </c>
      <c r="O2845" t="str">
        <f t="shared" si="224"/>
        <v>A1622:A2845</v>
      </c>
    </row>
    <row r="2846" spans="1:15">
      <c r="A2846" s="18">
        <f>Charms!K2846</f>
        <v>0</v>
      </c>
      <c r="B2846">
        <f>Charms!B2846</f>
        <v>0</v>
      </c>
      <c r="C2846" t="b">
        <f ca="1">OR(Values!$S$98&gt;=Charms!M2846,IFERROR(Charms!J2846=OFFSET(Values!$A$24,MATCH("S",Values!$T$25:$T$50,0),0),FALSE))</f>
        <v>1</v>
      </c>
      <c r="D2846" t="e">
        <f>VLOOKUP(Charms!J2846,Values!$A$11:$S$59,19,0)&gt;=Charms!L2846</f>
        <v>#N/A</v>
      </c>
      <c r="E2846" t="e">
        <f>OR(ISBLANK(Charms!I2846),(VLOOKUP(Values!$S$6,Castes!$B$2:$F$25,4,0)=Charms!I2846))</f>
        <v>#N/A</v>
      </c>
      <c r="J2846" t="e">
        <f t="shared" ca="1" si="221"/>
        <v>#N/A</v>
      </c>
      <c r="K2846" s="18" t="e">
        <f t="shared" ca="1" si="220"/>
        <v>#N/A</v>
      </c>
      <c r="L2846" t="e">
        <f ca="1">IF(J2846,Charms!B2846,"")</f>
        <v>#N/A</v>
      </c>
      <c r="M2846" t="str">
        <f t="shared" ca="1" si="222"/>
        <v>-</v>
      </c>
      <c r="N2846" s="18" t="str">
        <f t="shared" si="223"/>
        <v>K1622:L5000</v>
      </c>
      <c r="O2846" t="str">
        <f t="shared" si="224"/>
        <v>A1622:A2846</v>
      </c>
    </row>
    <row r="2847" spans="1:15">
      <c r="A2847" s="18">
        <f>Charms!K2847</f>
        <v>0</v>
      </c>
      <c r="B2847">
        <f>Charms!B2847</f>
        <v>0</v>
      </c>
      <c r="C2847" t="b">
        <f ca="1">OR(Values!$S$98&gt;=Charms!M2847,IFERROR(Charms!J2847=OFFSET(Values!$A$24,MATCH("S",Values!$T$25:$T$50,0),0),FALSE))</f>
        <v>1</v>
      </c>
      <c r="D2847" t="e">
        <f>VLOOKUP(Charms!J2847,Values!$A$11:$S$59,19,0)&gt;=Charms!L2847</f>
        <v>#N/A</v>
      </c>
      <c r="E2847" t="e">
        <f>OR(ISBLANK(Charms!I2847),(VLOOKUP(Values!$S$6,Castes!$B$2:$F$25,4,0)=Charms!I2847))</f>
        <v>#N/A</v>
      </c>
      <c r="J2847" t="e">
        <f t="shared" ca="1" si="221"/>
        <v>#N/A</v>
      </c>
      <c r="K2847" s="18" t="e">
        <f t="shared" ca="1" si="220"/>
        <v>#N/A</v>
      </c>
      <c r="L2847" t="e">
        <f ca="1">IF(J2847,Charms!B2847,"")</f>
        <v>#N/A</v>
      </c>
      <c r="M2847" t="str">
        <f t="shared" ca="1" si="222"/>
        <v>-</v>
      </c>
      <c r="N2847" s="18" t="str">
        <f t="shared" si="223"/>
        <v>K1622:L5000</v>
      </c>
      <c r="O2847" t="str">
        <f t="shared" si="224"/>
        <v>A1622:A2847</v>
      </c>
    </row>
    <row r="2848" spans="1:15">
      <c r="A2848" s="18">
        <f>Charms!K2848</f>
        <v>0</v>
      </c>
      <c r="B2848">
        <f>Charms!B2848</f>
        <v>0</v>
      </c>
      <c r="C2848" t="b">
        <f ca="1">OR(Values!$S$98&gt;=Charms!M2848,IFERROR(Charms!J2848=OFFSET(Values!$A$24,MATCH("S",Values!$T$25:$T$50,0),0),FALSE))</f>
        <v>1</v>
      </c>
      <c r="D2848" t="e">
        <f>VLOOKUP(Charms!J2848,Values!$A$11:$S$59,19,0)&gt;=Charms!L2848</f>
        <v>#N/A</v>
      </c>
      <c r="E2848" t="e">
        <f>OR(ISBLANK(Charms!I2848),(VLOOKUP(Values!$S$6,Castes!$B$2:$F$25,4,0)=Charms!I2848))</f>
        <v>#N/A</v>
      </c>
      <c r="J2848" t="e">
        <f t="shared" ca="1" si="221"/>
        <v>#N/A</v>
      </c>
      <c r="K2848" s="18" t="e">
        <f t="shared" ca="1" si="220"/>
        <v>#N/A</v>
      </c>
      <c r="L2848" t="e">
        <f ca="1">IF(J2848,Charms!B2848,"")</f>
        <v>#N/A</v>
      </c>
      <c r="M2848" t="str">
        <f t="shared" ca="1" si="222"/>
        <v>-</v>
      </c>
      <c r="N2848" s="18" t="str">
        <f t="shared" si="223"/>
        <v>K1622:L5000</v>
      </c>
      <c r="O2848" t="str">
        <f t="shared" si="224"/>
        <v>A1622:A2848</v>
      </c>
    </row>
    <row r="2849" spans="1:15">
      <c r="A2849" s="18">
        <f>Charms!K2849</f>
        <v>0</v>
      </c>
      <c r="B2849">
        <f>Charms!B2849</f>
        <v>0</v>
      </c>
      <c r="C2849" t="b">
        <f ca="1">OR(Values!$S$98&gt;=Charms!M2849,IFERROR(Charms!J2849=OFFSET(Values!$A$24,MATCH("S",Values!$T$25:$T$50,0),0),FALSE))</f>
        <v>1</v>
      </c>
      <c r="D2849" t="e">
        <f>VLOOKUP(Charms!J2849,Values!$A$11:$S$59,19,0)&gt;=Charms!L2849</f>
        <v>#N/A</v>
      </c>
      <c r="E2849" t="e">
        <f>OR(ISBLANK(Charms!I2849),(VLOOKUP(Values!$S$6,Castes!$B$2:$F$25,4,0)=Charms!I2849))</f>
        <v>#N/A</v>
      </c>
      <c r="J2849" t="e">
        <f t="shared" ca="1" si="221"/>
        <v>#N/A</v>
      </c>
      <c r="K2849" s="18" t="e">
        <f t="shared" ca="1" si="220"/>
        <v>#N/A</v>
      </c>
      <c r="L2849" t="e">
        <f ca="1">IF(J2849,Charms!B2849,"")</f>
        <v>#N/A</v>
      </c>
      <c r="M2849" t="str">
        <f t="shared" ca="1" si="222"/>
        <v>-</v>
      </c>
      <c r="N2849" s="18" t="str">
        <f t="shared" si="223"/>
        <v>K1622:L5000</v>
      </c>
      <c r="O2849" t="str">
        <f t="shared" si="224"/>
        <v>A1622:A2849</v>
      </c>
    </row>
    <row r="2850" spans="1:15">
      <c r="A2850" s="18">
        <f>Charms!K2850</f>
        <v>0</v>
      </c>
      <c r="B2850">
        <f>Charms!B2850</f>
        <v>0</v>
      </c>
      <c r="C2850" t="b">
        <f ca="1">OR(Values!$S$98&gt;=Charms!M2850,IFERROR(Charms!J2850=OFFSET(Values!$A$24,MATCH("S",Values!$T$25:$T$50,0),0),FALSE))</f>
        <v>1</v>
      </c>
      <c r="D2850" t="e">
        <f>VLOOKUP(Charms!J2850,Values!$A$11:$S$59,19,0)&gt;=Charms!L2850</f>
        <v>#N/A</v>
      </c>
      <c r="E2850" t="e">
        <f>OR(ISBLANK(Charms!I2850),(VLOOKUP(Values!$S$6,Castes!$B$2:$F$25,4,0)=Charms!I2850))</f>
        <v>#N/A</v>
      </c>
      <c r="J2850" t="e">
        <f t="shared" ca="1" si="221"/>
        <v>#N/A</v>
      </c>
      <c r="K2850" s="18" t="e">
        <f t="shared" ca="1" si="220"/>
        <v>#N/A</v>
      </c>
      <c r="L2850" t="e">
        <f ca="1">IF(J2850,Charms!B2850,"")</f>
        <v>#N/A</v>
      </c>
      <c r="M2850" t="str">
        <f t="shared" ca="1" si="222"/>
        <v>-</v>
      </c>
      <c r="N2850" s="18" t="str">
        <f t="shared" si="223"/>
        <v>K1622:L5000</v>
      </c>
      <c r="O2850" t="str">
        <f t="shared" si="224"/>
        <v>A1622:A2850</v>
      </c>
    </row>
    <row r="2851" spans="1:15">
      <c r="A2851" s="18">
        <f>Charms!K2851</f>
        <v>0</v>
      </c>
      <c r="B2851">
        <f>Charms!B2851</f>
        <v>0</v>
      </c>
      <c r="C2851" t="b">
        <f ca="1">OR(Values!$S$98&gt;=Charms!M2851,IFERROR(Charms!J2851=OFFSET(Values!$A$24,MATCH("S",Values!$T$25:$T$50,0),0),FALSE))</f>
        <v>1</v>
      </c>
      <c r="D2851" t="e">
        <f>VLOOKUP(Charms!J2851,Values!$A$11:$S$59,19,0)&gt;=Charms!L2851</f>
        <v>#N/A</v>
      </c>
      <c r="E2851" t="e">
        <f>OR(ISBLANK(Charms!I2851),(VLOOKUP(Values!$S$6,Castes!$B$2:$F$25,4,0)=Charms!I2851))</f>
        <v>#N/A</v>
      </c>
      <c r="J2851" t="e">
        <f t="shared" ca="1" si="221"/>
        <v>#N/A</v>
      </c>
      <c r="K2851" s="18" t="e">
        <f t="shared" ca="1" si="220"/>
        <v>#N/A</v>
      </c>
      <c r="L2851" t="e">
        <f ca="1">IF(J2851,Charms!B2851,"")</f>
        <v>#N/A</v>
      </c>
      <c r="M2851" t="str">
        <f t="shared" ca="1" si="222"/>
        <v>-</v>
      </c>
      <c r="N2851" s="18" t="str">
        <f t="shared" si="223"/>
        <v>K1622:L5000</v>
      </c>
      <c r="O2851" t="str">
        <f t="shared" si="224"/>
        <v>A1622:A2851</v>
      </c>
    </row>
    <row r="2852" spans="1:15">
      <c r="A2852" s="18">
        <f>Charms!K2852</f>
        <v>0</v>
      </c>
      <c r="B2852">
        <f>Charms!B2852</f>
        <v>0</v>
      </c>
      <c r="C2852" t="b">
        <f ca="1">OR(Values!$S$98&gt;=Charms!M2852,IFERROR(Charms!J2852=OFFSET(Values!$A$24,MATCH("S",Values!$T$25:$T$50,0),0),FALSE))</f>
        <v>1</v>
      </c>
      <c r="D2852" t="e">
        <f>VLOOKUP(Charms!J2852,Values!$A$11:$S$59,19,0)&gt;=Charms!L2852</f>
        <v>#N/A</v>
      </c>
      <c r="E2852" t="e">
        <f>OR(ISBLANK(Charms!I2852),(VLOOKUP(Values!$S$6,Castes!$B$2:$F$25,4,0)=Charms!I2852))</f>
        <v>#N/A</v>
      </c>
      <c r="J2852" t="e">
        <f t="shared" ca="1" si="221"/>
        <v>#N/A</v>
      </c>
      <c r="K2852" s="18" t="e">
        <f t="shared" ca="1" si="220"/>
        <v>#N/A</v>
      </c>
      <c r="L2852" t="e">
        <f ca="1">IF(J2852,Charms!B2852,"")</f>
        <v>#N/A</v>
      </c>
      <c r="M2852" t="str">
        <f t="shared" ca="1" si="222"/>
        <v>-</v>
      </c>
      <c r="N2852" s="18" t="str">
        <f t="shared" si="223"/>
        <v>K1622:L5000</v>
      </c>
      <c r="O2852" t="str">
        <f t="shared" si="224"/>
        <v>A1622:A2852</v>
      </c>
    </row>
    <row r="2853" spans="1:15">
      <c r="A2853" s="18">
        <f>Charms!K2853</f>
        <v>0</v>
      </c>
      <c r="B2853">
        <f>Charms!B2853</f>
        <v>0</v>
      </c>
      <c r="C2853" t="b">
        <f ca="1">OR(Values!$S$98&gt;=Charms!M2853,IFERROR(Charms!J2853=OFFSET(Values!$A$24,MATCH("S",Values!$T$25:$T$50,0),0),FALSE))</f>
        <v>1</v>
      </c>
      <c r="D2853" t="e">
        <f>VLOOKUP(Charms!J2853,Values!$A$11:$S$59,19,0)&gt;=Charms!L2853</f>
        <v>#N/A</v>
      </c>
      <c r="E2853" t="e">
        <f>OR(ISBLANK(Charms!I2853),(VLOOKUP(Values!$S$6,Castes!$B$2:$F$25,4,0)=Charms!I2853))</f>
        <v>#N/A</v>
      </c>
      <c r="J2853" t="e">
        <f t="shared" ca="1" si="221"/>
        <v>#N/A</v>
      </c>
      <c r="K2853" s="18" t="e">
        <f t="shared" ca="1" si="220"/>
        <v>#N/A</v>
      </c>
      <c r="L2853" t="e">
        <f ca="1">IF(J2853,Charms!B2853,"")</f>
        <v>#N/A</v>
      </c>
      <c r="M2853" t="str">
        <f t="shared" ca="1" si="222"/>
        <v>-</v>
      </c>
      <c r="N2853" s="18" t="str">
        <f t="shared" si="223"/>
        <v>K1622:L5000</v>
      </c>
      <c r="O2853" t="str">
        <f t="shared" si="224"/>
        <v>A1622:A2853</v>
      </c>
    </row>
    <row r="2854" spans="1:15">
      <c r="A2854" s="18">
        <f>Charms!K2854</f>
        <v>0</v>
      </c>
      <c r="B2854">
        <f>Charms!B2854</f>
        <v>0</v>
      </c>
      <c r="C2854" t="b">
        <f ca="1">OR(Values!$S$98&gt;=Charms!M2854,IFERROR(Charms!J2854=OFFSET(Values!$A$24,MATCH("S",Values!$T$25:$T$50,0),0),FALSE))</f>
        <v>1</v>
      </c>
      <c r="D2854" t="e">
        <f>VLOOKUP(Charms!J2854,Values!$A$11:$S$59,19,0)&gt;=Charms!L2854</f>
        <v>#N/A</v>
      </c>
      <c r="E2854" t="e">
        <f>OR(ISBLANK(Charms!I2854),(VLOOKUP(Values!$S$6,Castes!$B$2:$F$25,4,0)=Charms!I2854))</f>
        <v>#N/A</v>
      </c>
      <c r="J2854" t="e">
        <f t="shared" ca="1" si="221"/>
        <v>#N/A</v>
      </c>
      <c r="K2854" s="18" t="e">
        <f t="shared" ca="1" si="220"/>
        <v>#N/A</v>
      </c>
      <c r="L2854" t="e">
        <f ca="1">IF(J2854,Charms!B2854,"")</f>
        <v>#N/A</v>
      </c>
      <c r="M2854" t="str">
        <f t="shared" ca="1" si="222"/>
        <v>-</v>
      </c>
      <c r="N2854" s="18" t="str">
        <f t="shared" si="223"/>
        <v>K1622:L5000</v>
      </c>
      <c r="O2854" t="str">
        <f t="shared" si="224"/>
        <v>A1622:A2854</v>
      </c>
    </row>
    <row r="2855" spans="1:15">
      <c r="A2855" s="18">
        <f>Charms!K2855</f>
        <v>0</v>
      </c>
      <c r="B2855">
        <f>Charms!B2855</f>
        <v>0</v>
      </c>
      <c r="C2855" t="b">
        <f ca="1">OR(Values!$S$98&gt;=Charms!M2855,IFERROR(Charms!J2855=OFFSET(Values!$A$24,MATCH("S",Values!$T$25:$T$50,0),0),FALSE))</f>
        <v>1</v>
      </c>
      <c r="D2855" t="e">
        <f>VLOOKUP(Charms!J2855,Values!$A$11:$S$59,19,0)&gt;=Charms!L2855</f>
        <v>#N/A</v>
      </c>
      <c r="E2855" t="e">
        <f>OR(ISBLANK(Charms!I2855),(VLOOKUP(Values!$S$6,Castes!$B$2:$F$25,4,0)=Charms!I2855))</f>
        <v>#N/A</v>
      </c>
      <c r="J2855" t="e">
        <f t="shared" ca="1" si="221"/>
        <v>#N/A</v>
      </c>
      <c r="K2855" s="18" t="e">
        <f t="shared" ca="1" si="220"/>
        <v>#N/A</v>
      </c>
      <c r="L2855" t="e">
        <f ca="1">IF(J2855,Charms!B2855,"")</f>
        <v>#N/A</v>
      </c>
      <c r="M2855" t="str">
        <f t="shared" ca="1" si="222"/>
        <v>-</v>
      </c>
      <c r="N2855" s="18" t="str">
        <f t="shared" si="223"/>
        <v>K1622:L5000</v>
      </c>
      <c r="O2855" t="str">
        <f t="shared" si="224"/>
        <v>A1622:A2855</v>
      </c>
    </row>
    <row r="2856" spans="1:15">
      <c r="A2856" s="18">
        <f>Charms!K2856</f>
        <v>0</v>
      </c>
      <c r="B2856">
        <f>Charms!B2856</f>
        <v>0</v>
      </c>
      <c r="C2856" t="b">
        <f ca="1">OR(Values!$S$98&gt;=Charms!M2856,IFERROR(Charms!J2856=OFFSET(Values!$A$24,MATCH("S",Values!$T$25:$T$50,0),0),FALSE))</f>
        <v>1</v>
      </c>
      <c r="D2856" t="e">
        <f>VLOOKUP(Charms!J2856,Values!$A$11:$S$59,19,0)&gt;=Charms!L2856</f>
        <v>#N/A</v>
      </c>
      <c r="E2856" t="e">
        <f>OR(ISBLANK(Charms!I2856),(VLOOKUP(Values!$S$6,Castes!$B$2:$F$25,4,0)=Charms!I2856))</f>
        <v>#N/A</v>
      </c>
      <c r="J2856" t="e">
        <f t="shared" ca="1" si="221"/>
        <v>#N/A</v>
      </c>
      <c r="K2856" s="18" t="e">
        <f t="shared" ca="1" si="220"/>
        <v>#N/A</v>
      </c>
      <c r="L2856" t="e">
        <f ca="1">IF(J2856,Charms!B2856,"")</f>
        <v>#N/A</v>
      </c>
      <c r="M2856" t="str">
        <f t="shared" ca="1" si="222"/>
        <v>-</v>
      </c>
      <c r="N2856" s="18" t="str">
        <f t="shared" si="223"/>
        <v>K1622:L5000</v>
      </c>
      <c r="O2856" t="str">
        <f t="shared" si="224"/>
        <v>A1622:A2856</v>
      </c>
    </row>
    <row r="2857" spans="1:15">
      <c r="A2857" s="18">
        <f>Charms!K2857</f>
        <v>0</v>
      </c>
      <c r="B2857">
        <f>Charms!B2857</f>
        <v>0</v>
      </c>
      <c r="C2857" t="b">
        <f ca="1">OR(Values!$S$98&gt;=Charms!M2857,IFERROR(Charms!J2857=OFFSET(Values!$A$24,MATCH("S",Values!$T$25:$T$50,0),0),FALSE))</f>
        <v>1</v>
      </c>
      <c r="D2857" t="e">
        <f>VLOOKUP(Charms!J2857,Values!$A$11:$S$59,19,0)&gt;=Charms!L2857</f>
        <v>#N/A</v>
      </c>
      <c r="E2857" t="e">
        <f>OR(ISBLANK(Charms!I2857),(VLOOKUP(Values!$S$6,Castes!$B$2:$F$25,4,0)=Charms!I2857))</f>
        <v>#N/A</v>
      </c>
      <c r="J2857" t="e">
        <f t="shared" ca="1" si="221"/>
        <v>#N/A</v>
      </c>
      <c r="K2857" s="18" t="e">
        <f t="shared" ca="1" si="220"/>
        <v>#N/A</v>
      </c>
      <c r="L2857" t="e">
        <f ca="1">IF(J2857,Charms!B2857,"")</f>
        <v>#N/A</v>
      </c>
      <c r="M2857" t="str">
        <f t="shared" ca="1" si="222"/>
        <v>-</v>
      </c>
      <c r="N2857" s="18" t="str">
        <f t="shared" si="223"/>
        <v>K1622:L5000</v>
      </c>
      <c r="O2857" t="str">
        <f t="shared" si="224"/>
        <v>A1622:A2857</v>
      </c>
    </row>
    <row r="2858" spans="1:15">
      <c r="A2858" s="18">
        <f>Charms!K2858</f>
        <v>0</v>
      </c>
      <c r="B2858">
        <f>Charms!B2858</f>
        <v>0</v>
      </c>
      <c r="C2858" t="b">
        <f ca="1">OR(Values!$S$98&gt;=Charms!M2858,IFERROR(Charms!J2858=OFFSET(Values!$A$24,MATCH("S",Values!$T$25:$T$50,0),0),FALSE))</f>
        <v>1</v>
      </c>
      <c r="D2858" t="e">
        <f>VLOOKUP(Charms!J2858,Values!$A$11:$S$59,19,0)&gt;=Charms!L2858</f>
        <v>#N/A</v>
      </c>
      <c r="E2858" t="e">
        <f>OR(ISBLANK(Charms!I2858),(VLOOKUP(Values!$S$6,Castes!$B$2:$F$25,4,0)=Charms!I2858))</f>
        <v>#N/A</v>
      </c>
      <c r="J2858" t="e">
        <f t="shared" ca="1" si="221"/>
        <v>#N/A</v>
      </c>
      <c r="K2858" s="18" t="e">
        <f t="shared" ca="1" si="220"/>
        <v>#N/A</v>
      </c>
      <c r="L2858" t="e">
        <f ca="1">IF(J2858,Charms!B2858,"")</f>
        <v>#N/A</v>
      </c>
      <c r="M2858" t="str">
        <f t="shared" ca="1" si="222"/>
        <v>-</v>
      </c>
      <c r="N2858" s="18" t="str">
        <f t="shared" si="223"/>
        <v>K1622:L5000</v>
      </c>
      <c r="O2858" t="str">
        <f t="shared" si="224"/>
        <v>A1622:A2858</v>
      </c>
    </row>
    <row r="2859" spans="1:15">
      <c r="A2859" s="18">
        <f>Charms!K2859</f>
        <v>0</v>
      </c>
      <c r="B2859">
        <f>Charms!B2859</f>
        <v>0</v>
      </c>
      <c r="C2859" t="b">
        <f ca="1">OR(Values!$S$98&gt;=Charms!M2859,IFERROR(Charms!J2859=OFFSET(Values!$A$24,MATCH("S",Values!$T$25:$T$50,0),0),FALSE))</f>
        <v>1</v>
      </c>
      <c r="D2859" t="e">
        <f>VLOOKUP(Charms!J2859,Values!$A$11:$S$59,19,0)&gt;=Charms!L2859</f>
        <v>#N/A</v>
      </c>
      <c r="E2859" t="e">
        <f>OR(ISBLANK(Charms!I2859),(VLOOKUP(Values!$S$6,Castes!$B$2:$F$25,4,0)=Charms!I2859))</f>
        <v>#N/A</v>
      </c>
      <c r="J2859" t="e">
        <f t="shared" ca="1" si="221"/>
        <v>#N/A</v>
      </c>
      <c r="K2859" s="18" t="e">
        <f t="shared" ca="1" si="220"/>
        <v>#N/A</v>
      </c>
      <c r="L2859" t="e">
        <f ca="1">IF(J2859,Charms!B2859,"")</f>
        <v>#N/A</v>
      </c>
      <c r="M2859" t="str">
        <f t="shared" ca="1" si="222"/>
        <v>-</v>
      </c>
      <c r="N2859" s="18" t="str">
        <f t="shared" si="223"/>
        <v>K1622:L5000</v>
      </c>
      <c r="O2859" t="str">
        <f t="shared" si="224"/>
        <v>A1622:A2859</v>
      </c>
    </row>
    <row r="2860" spans="1:15">
      <c r="A2860" s="18">
        <f>Charms!K2860</f>
        <v>0</v>
      </c>
      <c r="B2860">
        <f>Charms!B2860</f>
        <v>0</v>
      </c>
      <c r="C2860" t="b">
        <f ca="1">OR(Values!$S$98&gt;=Charms!M2860,IFERROR(Charms!J2860=OFFSET(Values!$A$24,MATCH("S",Values!$T$25:$T$50,0),0),FALSE))</f>
        <v>1</v>
      </c>
      <c r="D2860" t="e">
        <f>VLOOKUP(Charms!J2860,Values!$A$11:$S$59,19,0)&gt;=Charms!L2860</f>
        <v>#N/A</v>
      </c>
      <c r="E2860" t="e">
        <f>OR(ISBLANK(Charms!I2860),(VLOOKUP(Values!$S$6,Castes!$B$2:$F$25,4,0)=Charms!I2860))</f>
        <v>#N/A</v>
      </c>
      <c r="J2860" t="e">
        <f t="shared" ca="1" si="221"/>
        <v>#N/A</v>
      </c>
      <c r="K2860" s="18" t="e">
        <f t="shared" ca="1" si="220"/>
        <v>#N/A</v>
      </c>
      <c r="L2860" t="e">
        <f ca="1">IF(J2860,Charms!B2860,"")</f>
        <v>#N/A</v>
      </c>
      <c r="M2860" t="str">
        <f t="shared" ca="1" si="222"/>
        <v>-</v>
      </c>
      <c r="N2860" s="18" t="str">
        <f t="shared" si="223"/>
        <v>K1622:L5000</v>
      </c>
      <c r="O2860" t="str">
        <f t="shared" si="224"/>
        <v>A1622:A2860</v>
      </c>
    </row>
    <row r="2861" spans="1:15">
      <c r="A2861" s="18">
        <f>Charms!K2861</f>
        <v>0</v>
      </c>
      <c r="B2861">
        <f>Charms!B2861</f>
        <v>0</v>
      </c>
      <c r="C2861" t="b">
        <f ca="1">OR(Values!$S$98&gt;=Charms!M2861,IFERROR(Charms!J2861=OFFSET(Values!$A$24,MATCH("S",Values!$T$25:$T$50,0),0),FALSE))</f>
        <v>1</v>
      </c>
      <c r="D2861" t="e">
        <f>VLOOKUP(Charms!J2861,Values!$A$11:$S$59,19,0)&gt;=Charms!L2861</f>
        <v>#N/A</v>
      </c>
      <c r="E2861" t="e">
        <f>OR(ISBLANK(Charms!I2861),(VLOOKUP(Values!$S$6,Castes!$B$2:$F$25,4,0)=Charms!I2861))</f>
        <v>#N/A</v>
      </c>
      <c r="J2861" t="e">
        <f t="shared" ca="1" si="221"/>
        <v>#N/A</v>
      </c>
      <c r="K2861" s="18" t="e">
        <f t="shared" ca="1" si="220"/>
        <v>#N/A</v>
      </c>
      <c r="L2861" t="e">
        <f ca="1">IF(J2861,Charms!B2861,"")</f>
        <v>#N/A</v>
      </c>
      <c r="M2861" t="str">
        <f t="shared" ca="1" si="222"/>
        <v>-</v>
      </c>
      <c r="N2861" s="18" t="str">
        <f t="shared" si="223"/>
        <v>K1622:L5000</v>
      </c>
      <c r="O2861" t="str">
        <f t="shared" si="224"/>
        <v>A1622:A2861</v>
      </c>
    </row>
    <row r="2862" spans="1:15">
      <c r="A2862" s="18">
        <f>Charms!K2862</f>
        <v>0</v>
      </c>
      <c r="B2862">
        <f>Charms!B2862</f>
        <v>0</v>
      </c>
      <c r="C2862" t="b">
        <f ca="1">OR(Values!$S$98&gt;=Charms!M2862,IFERROR(Charms!J2862=OFFSET(Values!$A$24,MATCH("S",Values!$T$25:$T$50,0),0),FALSE))</f>
        <v>1</v>
      </c>
      <c r="D2862" t="e">
        <f>VLOOKUP(Charms!J2862,Values!$A$11:$S$59,19,0)&gt;=Charms!L2862</f>
        <v>#N/A</v>
      </c>
      <c r="E2862" t="e">
        <f>OR(ISBLANK(Charms!I2862),(VLOOKUP(Values!$S$6,Castes!$B$2:$F$25,4,0)=Charms!I2862))</f>
        <v>#N/A</v>
      </c>
      <c r="J2862" t="e">
        <f t="shared" ca="1" si="221"/>
        <v>#N/A</v>
      </c>
      <c r="K2862" s="18" t="e">
        <f t="shared" ca="1" si="220"/>
        <v>#N/A</v>
      </c>
      <c r="L2862" t="e">
        <f ca="1">IF(J2862,Charms!B2862,"")</f>
        <v>#N/A</v>
      </c>
      <c r="M2862" t="str">
        <f t="shared" ca="1" si="222"/>
        <v>-</v>
      </c>
      <c r="N2862" s="18" t="str">
        <f t="shared" si="223"/>
        <v>K1622:L5000</v>
      </c>
      <c r="O2862" t="str">
        <f t="shared" si="224"/>
        <v>A1622:A2862</v>
      </c>
    </row>
    <row r="2863" spans="1:15">
      <c r="A2863" s="18">
        <f>Charms!K2863</f>
        <v>0</v>
      </c>
      <c r="B2863">
        <f>Charms!B2863</f>
        <v>0</v>
      </c>
      <c r="C2863" t="b">
        <f ca="1">OR(Values!$S$98&gt;=Charms!M2863,IFERROR(Charms!J2863=OFFSET(Values!$A$24,MATCH("S",Values!$T$25:$T$50,0),0),FALSE))</f>
        <v>1</v>
      </c>
      <c r="D2863" t="e">
        <f>VLOOKUP(Charms!J2863,Values!$A$11:$S$59,19,0)&gt;=Charms!L2863</f>
        <v>#N/A</v>
      </c>
      <c r="E2863" t="e">
        <f>OR(ISBLANK(Charms!I2863),(VLOOKUP(Values!$S$6,Castes!$B$2:$F$25,4,0)=Charms!I2863))</f>
        <v>#N/A</v>
      </c>
      <c r="J2863" t="e">
        <f t="shared" ca="1" si="221"/>
        <v>#N/A</v>
      </c>
      <c r="K2863" s="18" t="e">
        <f t="shared" ca="1" si="220"/>
        <v>#N/A</v>
      </c>
      <c r="L2863" t="e">
        <f ca="1">IF(J2863,Charms!B2863,"")</f>
        <v>#N/A</v>
      </c>
      <c r="M2863" t="str">
        <f t="shared" ca="1" si="222"/>
        <v>-</v>
      </c>
      <c r="N2863" s="18" t="str">
        <f t="shared" si="223"/>
        <v>K1622:L5000</v>
      </c>
      <c r="O2863" t="str">
        <f t="shared" si="224"/>
        <v>A1622:A2863</v>
      </c>
    </row>
    <row r="2864" spans="1:15">
      <c r="A2864" s="18">
        <f>Charms!K2864</f>
        <v>0</v>
      </c>
      <c r="B2864">
        <f>Charms!B2864</f>
        <v>0</v>
      </c>
      <c r="C2864" t="b">
        <f ca="1">OR(Values!$S$98&gt;=Charms!M2864,IFERROR(Charms!J2864=OFFSET(Values!$A$24,MATCH("S",Values!$T$25:$T$50,0),0),FALSE))</f>
        <v>1</v>
      </c>
      <c r="D2864" t="e">
        <f>VLOOKUP(Charms!J2864,Values!$A$11:$S$59,19,0)&gt;=Charms!L2864</f>
        <v>#N/A</v>
      </c>
      <c r="E2864" t="e">
        <f>OR(ISBLANK(Charms!I2864),(VLOOKUP(Values!$S$6,Castes!$B$2:$F$25,4,0)=Charms!I2864))</f>
        <v>#N/A</v>
      </c>
      <c r="J2864" t="e">
        <f t="shared" ca="1" si="221"/>
        <v>#N/A</v>
      </c>
      <c r="K2864" s="18" t="e">
        <f t="shared" ca="1" si="220"/>
        <v>#N/A</v>
      </c>
      <c r="L2864" t="e">
        <f ca="1">IF(J2864,Charms!B2864,"")</f>
        <v>#N/A</v>
      </c>
      <c r="M2864" t="str">
        <f t="shared" ca="1" si="222"/>
        <v>-</v>
      </c>
      <c r="N2864" s="18" t="str">
        <f t="shared" si="223"/>
        <v>K1622:L5000</v>
      </c>
      <c r="O2864" t="str">
        <f t="shared" si="224"/>
        <v>A1622:A2864</v>
      </c>
    </row>
    <row r="2865" spans="1:15">
      <c r="A2865" s="18">
        <f>Charms!K2865</f>
        <v>0</v>
      </c>
      <c r="B2865">
        <f>Charms!B2865</f>
        <v>0</v>
      </c>
      <c r="C2865" t="b">
        <f ca="1">OR(Values!$S$98&gt;=Charms!M2865,IFERROR(Charms!J2865=OFFSET(Values!$A$24,MATCH("S",Values!$T$25:$T$50,0),0),FALSE))</f>
        <v>1</v>
      </c>
      <c r="D2865" t="e">
        <f>VLOOKUP(Charms!J2865,Values!$A$11:$S$59,19,0)&gt;=Charms!L2865</f>
        <v>#N/A</v>
      </c>
      <c r="E2865" t="e">
        <f>OR(ISBLANK(Charms!I2865),(VLOOKUP(Values!$S$6,Castes!$B$2:$F$25,4,0)=Charms!I2865))</f>
        <v>#N/A</v>
      </c>
      <c r="J2865" t="e">
        <f t="shared" ca="1" si="221"/>
        <v>#N/A</v>
      </c>
      <c r="K2865" s="18" t="e">
        <f t="shared" ca="1" si="220"/>
        <v>#N/A</v>
      </c>
      <c r="L2865" t="e">
        <f ca="1">IF(J2865,Charms!B2865,"")</f>
        <v>#N/A</v>
      </c>
      <c r="M2865" t="str">
        <f t="shared" ca="1" si="222"/>
        <v>-</v>
      </c>
      <c r="N2865" s="18" t="str">
        <f t="shared" si="223"/>
        <v>K1622:L5000</v>
      </c>
      <c r="O2865" t="str">
        <f t="shared" si="224"/>
        <v>A1622:A2865</v>
      </c>
    </row>
    <row r="2866" spans="1:15">
      <c r="A2866" s="18">
        <f>Charms!K2866</f>
        <v>0</v>
      </c>
      <c r="B2866">
        <f>Charms!B2866</f>
        <v>0</v>
      </c>
      <c r="C2866" t="b">
        <f ca="1">OR(Values!$S$98&gt;=Charms!M2866,IFERROR(Charms!J2866=OFFSET(Values!$A$24,MATCH("S",Values!$T$25:$T$50,0),0),FALSE))</f>
        <v>1</v>
      </c>
      <c r="D2866" t="e">
        <f>VLOOKUP(Charms!J2866,Values!$A$11:$S$59,19,0)&gt;=Charms!L2866</f>
        <v>#N/A</v>
      </c>
      <c r="E2866" t="e">
        <f>OR(ISBLANK(Charms!I2866),(VLOOKUP(Values!$S$6,Castes!$B$2:$F$25,4,0)=Charms!I2866))</f>
        <v>#N/A</v>
      </c>
      <c r="J2866" t="e">
        <f t="shared" ca="1" si="221"/>
        <v>#N/A</v>
      </c>
      <c r="K2866" s="18" t="e">
        <f t="shared" ca="1" si="220"/>
        <v>#N/A</v>
      </c>
      <c r="L2866" t="e">
        <f ca="1">IF(J2866,Charms!B2866,"")</f>
        <v>#N/A</v>
      </c>
      <c r="M2866" t="str">
        <f t="shared" ca="1" si="222"/>
        <v>-</v>
      </c>
      <c r="N2866" s="18" t="str">
        <f t="shared" si="223"/>
        <v>K1622:L5000</v>
      </c>
      <c r="O2866" t="str">
        <f t="shared" si="224"/>
        <v>A1622:A2866</v>
      </c>
    </row>
    <row r="2867" spans="1:15">
      <c r="A2867" s="18">
        <f>Charms!K2867</f>
        <v>0</v>
      </c>
      <c r="B2867">
        <f>Charms!B2867</f>
        <v>0</v>
      </c>
      <c r="C2867" t="b">
        <f ca="1">OR(Values!$S$98&gt;=Charms!M2867,IFERROR(Charms!J2867=OFFSET(Values!$A$24,MATCH("S",Values!$T$25:$T$50,0),0),FALSE))</f>
        <v>1</v>
      </c>
      <c r="D2867" t="e">
        <f>VLOOKUP(Charms!J2867,Values!$A$11:$S$59,19,0)&gt;=Charms!L2867</f>
        <v>#N/A</v>
      </c>
      <c r="E2867" t="e">
        <f>OR(ISBLANK(Charms!I2867),(VLOOKUP(Values!$S$6,Castes!$B$2:$F$25,4,0)=Charms!I2867))</f>
        <v>#N/A</v>
      </c>
      <c r="J2867" t="e">
        <f t="shared" ca="1" si="221"/>
        <v>#N/A</v>
      </c>
      <c r="K2867" s="18" t="e">
        <f t="shared" ca="1" si="220"/>
        <v>#N/A</v>
      </c>
      <c r="L2867" t="e">
        <f ca="1">IF(J2867,Charms!B2867,"")</f>
        <v>#N/A</v>
      </c>
      <c r="M2867" t="str">
        <f t="shared" ca="1" si="222"/>
        <v>-</v>
      </c>
      <c r="N2867" s="18" t="str">
        <f t="shared" si="223"/>
        <v>K1622:L5000</v>
      </c>
      <c r="O2867" t="str">
        <f t="shared" si="224"/>
        <v>A1622:A2867</v>
      </c>
    </row>
    <row r="2868" spans="1:15">
      <c r="A2868" s="18">
        <f>Charms!K2868</f>
        <v>0</v>
      </c>
      <c r="B2868">
        <f>Charms!B2868</f>
        <v>0</v>
      </c>
      <c r="C2868" t="b">
        <f ca="1">OR(Values!$S$98&gt;=Charms!M2868,IFERROR(Charms!J2868=OFFSET(Values!$A$24,MATCH("S",Values!$T$25:$T$50,0),0),FALSE))</f>
        <v>1</v>
      </c>
      <c r="D2868" t="e">
        <f>VLOOKUP(Charms!J2868,Values!$A$11:$S$59,19,0)&gt;=Charms!L2868</f>
        <v>#N/A</v>
      </c>
      <c r="E2868" t="e">
        <f>OR(ISBLANK(Charms!I2868),(VLOOKUP(Values!$S$6,Castes!$B$2:$F$25,4,0)=Charms!I2868))</f>
        <v>#N/A</v>
      </c>
      <c r="J2868" t="e">
        <f t="shared" ca="1" si="221"/>
        <v>#N/A</v>
      </c>
      <c r="K2868" s="18" t="e">
        <f t="shared" ca="1" si="220"/>
        <v>#N/A</v>
      </c>
      <c r="L2868" t="e">
        <f ca="1">IF(J2868,Charms!B2868,"")</f>
        <v>#N/A</v>
      </c>
      <c r="M2868" t="str">
        <f t="shared" ca="1" si="222"/>
        <v>-</v>
      </c>
      <c r="N2868" s="18" t="str">
        <f t="shared" si="223"/>
        <v>K1622:L5000</v>
      </c>
      <c r="O2868" t="str">
        <f t="shared" si="224"/>
        <v>A1622:A2868</v>
      </c>
    </row>
    <row r="2869" spans="1:15">
      <c r="A2869" s="18">
        <f>Charms!K2869</f>
        <v>0</v>
      </c>
      <c r="B2869">
        <f>Charms!B2869</f>
        <v>0</v>
      </c>
      <c r="C2869" t="b">
        <f ca="1">OR(Values!$S$98&gt;=Charms!M2869,IFERROR(Charms!J2869=OFFSET(Values!$A$24,MATCH("S",Values!$T$25:$T$50,0),0),FALSE))</f>
        <v>1</v>
      </c>
      <c r="D2869" t="e">
        <f>VLOOKUP(Charms!J2869,Values!$A$11:$S$59,19,0)&gt;=Charms!L2869</f>
        <v>#N/A</v>
      </c>
      <c r="E2869" t="e">
        <f>OR(ISBLANK(Charms!I2869),(VLOOKUP(Values!$S$6,Castes!$B$2:$F$25,4,0)=Charms!I2869))</f>
        <v>#N/A</v>
      </c>
      <c r="J2869" t="e">
        <f t="shared" ca="1" si="221"/>
        <v>#N/A</v>
      </c>
      <c r="K2869" s="18" t="e">
        <f t="shared" ca="1" si="220"/>
        <v>#N/A</v>
      </c>
      <c r="L2869" t="e">
        <f ca="1">IF(J2869,Charms!B2869,"")</f>
        <v>#N/A</v>
      </c>
      <c r="M2869" t="str">
        <f t="shared" ca="1" si="222"/>
        <v>-</v>
      </c>
      <c r="N2869" s="18" t="str">
        <f t="shared" si="223"/>
        <v>K1622:L5000</v>
      </c>
      <c r="O2869" t="str">
        <f t="shared" si="224"/>
        <v>A1622:A2869</v>
      </c>
    </row>
    <row r="2870" spans="1:15">
      <c r="A2870" s="18">
        <f>Charms!K2870</f>
        <v>0</v>
      </c>
      <c r="B2870">
        <f>Charms!B2870</f>
        <v>0</v>
      </c>
      <c r="C2870" t="b">
        <f ca="1">OR(Values!$S$98&gt;=Charms!M2870,IFERROR(Charms!J2870=OFFSET(Values!$A$24,MATCH("S",Values!$T$25:$T$50,0),0),FALSE))</f>
        <v>1</v>
      </c>
      <c r="D2870" t="e">
        <f>VLOOKUP(Charms!J2870,Values!$A$11:$S$59,19,0)&gt;=Charms!L2870</f>
        <v>#N/A</v>
      </c>
      <c r="E2870" t="e">
        <f>OR(ISBLANK(Charms!I2870),(VLOOKUP(Values!$S$6,Castes!$B$2:$F$25,4,0)=Charms!I2870))</f>
        <v>#N/A</v>
      </c>
      <c r="J2870" t="e">
        <f t="shared" ca="1" si="221"/>
        <v>#N/A</v>
      </c>
      <c r="K2870" s="18" t="e">
        <f t="shared" ca="1" si="220"/>
        <v>#N/A</v>
      </c>
      <c r="L2870" t="e">
        <f ca="1">IF(J2870,Charms!B2870,"")</f>
        <v>#N/A</v>
      </c>
      <c r="M2870" t="str">
        <f t="shared" ca="1" si="222"/>
        <v>-</v>
      </c>
      <c r="N2870" s="18" t="str">
        <f t="shared" si="223"/>
        <v>K1622:L5000</v>
      </c>
      <c r="O2870" t="str">
        <f t="shared" si="224"/>
        <v>A1622:A2870</v>
      </c>
    </row>
    <row r="2871" spans="1:15">
      <c r="A2871" s="18">
        <f>Charms!K2871</f>
        <v>0</v>
      </c>
      <c r="B2871">
        <f>Charms!B2871</f>
        <v>0</v>
      </c>
      <c r="C2871" t="b">
        <f ca="1">OR(Values!$S$98&gt;=Charms!M2871,IFERROR(Charms!J2871=OFFSET(Values!$A$24,MATCH("S",Values!$T$25:$T$50,0),0),FALSE))</f>
        <v>1</v>
      </c>
      <c r="D2871" t="e">
        <f>VLOOKUP(Charms!J2871,Values!$A$11:$S$59,19,0)&gt;=Charms!L2871</f>
        <v>#N/A</v>
      </c>
      <c r="E2871" t="e">
        <f>OR(ISBLANK(Charms!I2871),(VLOOKUP(Values!$S$6,Castes!$B$2:$F$25,4,0)=Charms!I2871))</f>
        <v>#N/A</v>
      </c>
      <c r="J2871" t="e">
        <f t="shared" ca="1" si="221"/>
        <v>#N/A</v>
      </c>
      <c r="K2871" s="18" t="e">
        <f t="shared" ca="1" si="220"/>
        <v>#N/A</v>
      </c>
      <c r="L2871" t="e">
        <f ca="1">IF(J2871,Charms!B2871,"")</f>
        <v>#N/A</v>
      </c>
      <c r="M2871" t="str">
        <f t="shared" ca="1" si="222"/>
        <v>-</v>
      </c>
      <c r="N2871" s="18" t="str">
        <f t="shared" si="223"/>
        <v>K1622:L5000</v>
      </c>
      <c r="O2871" t="str">
        <f t="shared" si="224"/>
        <v>A1622:A2871</v>
      </c>
    </row>
    <row r="2872" spans="1:15">
      <c r="A2872" s="18">
        <f>Charms!K2872</f>
        <v>0</v>
      </c>
      <c r="B2872">
        <f>Charms!B2872</f>
        <v>0</v>
      </c>
      <c r="C2872" t="b">
        <f ca="1">OR(Values!$S$98&gt;=Charms!M2872,IFERROR(Charms!J2872=OFFSET(Values!$A$24,MATCH("S",Values!$T$25:$T$50,0),0),FALSE))</f>
        <v>1</v>
      </c>
      <c r="D2872" t="e">
        <f>VLOOKUP(Charms!J2872,Values!$A$11:$S$59,19,0)&gt;=Charms!L2872</f>
        <v>#N/A</v>
      </c>
      <c r="E2872" t="e">
        <f>OR(ISBLANK(Charms!I2872),(VLOOKUP(Values!$S$6,Castes!$B$2:$F$25,4,0)=Charms!I2872))</f>
        <v>#N/A</v>
      </c>
      <c r="J2872" t="e">
        <f t="shared" ca="1" si="221"/>
        <v>#N/A</v>
      </c>
      <c r="K2872" s="18" t="e">
        <f t="shared" ca="1" si="220"/>
        <v>#N/A</v>
      </c>
      <c r="L2872" t="e">
        <f ca="1">IF(J2872,Charms!B2872,"")</f>
        <v>#N/A</v>
      </c>
      <c r="M2872" t="str">
        <f t="shared" ca="1" si="222"/>
        <v>-</v>
      </c>
      <c r="N2872" s="18" t="str">
        <f t="shared" si="223"/>
        <v>K1622:L5000</v>
      </c>
      <c r="O2872" t="str">
        <f t="shared" si="224"/>
        <v>A1622:A2872</v>
      </c>
    </row>
    <row r="2873" spans="1:15">
      <c r="A2873" s="18">
        <f>Charms!K2873</f>
        <v>0</v>
      </c>
      <c r="B2873">
        <f>Charms!B2873</f>
        <v>0</v>
      </c>
      <c r="C2873" t="b">
        <f ca="1">OR(Values!$S$98&gt;=Charms!M2873,IFERROR(Charms!J2873=OFFSET(Values!$A$24,MATCH("S",Values!$T$25:$T$50,0),0),FALSE))</f>
        <v>1</v>
      </c>
      <c r="D2873" t="e">
        <f>VLOOKUP(Charms!J2873,Values!$A$11:$S$59,19,0)&gt;=Charms!L2873</f>
        <v>#N/A</v>
      </c>
      <c r="E2873" t="e">
        <f>OR(ISBLANK(Charms!I2873),(VLOOKUP(Values!$S$6,Castes!$B$2:$F$25,4,0)=Charms!I2873))</f>
        <v>#N/A</v>
      </c>
      <c r="J2873" t="e">
        <f t="shared" ca="1" si="221"/>
        <v>#N/A</v>
      </c>
      <c r="K2873" s="18" t="e">
        <f t="shared" ca="1" si="220"/>
        <v>#N/A</v>
      </c>
      <c r="L2873" t="e">
        <f ca="1">IF(J2873,Charms!B2873,"")</f>
        <v>#N/A</v>
      </c>
      <c r="M2873" t="str">
        <f t="shared" ca="1" si="222"/>
        <v>-</v>
      </c>
      <c r="N2873" s="18" t="str">
        <f t="shared" si="223"/>
        <v>K1622:L5000</v>
      </c>
      <c r="O2873" t="str">
        <f t="shared" si="224"/>
        <v>A1622:A2873</v>
      </c>
    </row>
    <row r="2874" spans="1:15">
      <c r="A2874" s="18">
        <f>Charms!K2874</f>
        <v>0</v>
      </c>
      <c r="B2874">
        <f>Charms!B2874</f>
        <v>0</v>
      </c>
      <c r="C2874" t="b">
        <f ca="1">OR(Values!$S$98&gt;=Charms!M2874,IFERROR(Charms!J2874=OFFSET(Values!$A$24,MATCH("S",Values!$T$25:$T$50,0),0),FALSE))</f>
        <v>1</v>
      </c>
      <c r="D2874" t="e">
        <f>VLOOKUP(Charms!J2874,Values!$A$11:$S$59,19,0)&gt;=Charms!L2874</f>
        <v>#N/A</v>
      </c>
      <c r="E2874" t="e">
        <f>OR(ISBLANK(Charms!I2874),(VLOOKUP(Values!$S$6,Castes!$B$2:$F$25,4,0)=Charms!I2874))</f>
        <v>#N/A</v>
      </c>
      <c r="J2874" t="e">
        <f t="shared" ca="1" si="221"/>
        <v>#N/A</v>
      </c>
      <c r="K2874" s="18" t="e">
        <f t="shared" ca="1" si="220"/>
        <v>#N/A</v>
      </c>
      <c r="L2874" t="e">
        <f ca="1">IF(J2874,Charms!B2874,"")</f>
        <v>#N/A</v>
      </c>
      <c r="M2874" t="str">
        <f t="shared" ca="1" si="222"/>
        <v>-</v>
      </c>
      <c r="N2874" s="18" t="str">
        <f t="shared" si="223"/>
        <v>K1622:L5000</v>
      </c>
      <c r="O2874" t="str">
        <f t="shared" si="224"/>
        <v>A1622:A2874</v>
      </c>
    </row>
    <row r="2875" spans="1:15">
      <c r="A2875" s="18">
        <f>Charms!K2875</f>
        <v>0</v>
      </c>
      <c r="B2875">
        <f>Charms!B2875</f>
        <v>0</v>
      </c>
      <c r="C2875" t="b">
        <f ca="1">OR(Values!$S$98&gt;=Charms!M2875,IFERROR(Charms!J2875=OFFSET(Values!$A$24,MATCH("S",Values!$T$25:$T$50,0),0),FALSE))</f>
        <v>1</v>
      </c>
      <c r="D2875" t="e">
        <f>VLOOKUP(Charms!J2875,Values!$A$11:$S$59,19,0)&gt;=Charms!L2875</f>
        <v>#N/A</v>
      </c>
      <c r="E2875" t="e">
        <f>OR(ISBLANK(Charms!I2875),(VLOOKUP(Values!$S$6,Castes!$B$2:$F$25,4,0)=Charms!I2875))</f>
        <v>#N/A</v>
      </c>
      <c r="J2875" t="e">
        <f t="shared" ca="1" si="221"/>
        <v>#N/A</v>
      </c>
      <c r="K2875" s="18" t="e">
        <f t="shared" ca="1" si="220"/>
        <v>#N/A</v>
      </c>
      <c r="L2875" t="e">
        <f ca="1">IF(J2875,Charms!B2875,"")</f>
        <v>#N/A</v>
      </c>
      <c r="M2875" t="str">
        <f t="shared" ca="1" si="222"/>
        <v>-</v>
      </c>
      <c r="N2875" s="18" t="str">
        <f t="shared" si="223"/>
        <v>K1622:L5000</v>
      </c>
      <c r="O2875" t="str">
        <f t="shared" si="224"/>
        <v>A1622:A2875</v>
      </c>
    </row>
    <row r="2876" spans="1:15">
      <c r="A2876" s="18">
        <f>Charms!K2876</f>
        <v>0</v>
      </c>
      <c r="B2876">
        <f>Charms!B2876</f>
        <v>0</v>
      </c>
      <c r="C2876" t="b">
        <f ca="1">OR(Values!$S$98&gt;=Charms!M2876,IFERROR(Charms!J2876=OFFSET(Values!$A$24,MATCH("S",Values!$T$25:$T$50,0),0),FALSE))</f>
        <v>1</v>
      </c>
      <c r="D2876" t="e">
        <f>VLOOKUP(Charms!J2876,Values!$A$11:$S$59,19,0)&gt;=Charms!L2876</f>
        <v>#N/A</v>
      </c>
      <c r="E2876" t="e">
        <f>OR(ISBLANK(Charms!I2876),(VLOOKUP(Values!$S$6,Castes!$B$2:$F$25,4,0)=Charms!I2876))</f>
        <v>#N/A</v>
      </c>
      <c r="J2876" t="e">
        <f t="shared" ca="1" si="221"/>
        <v>#N/A</v>
      </c>
      <c r="K2876" s="18" t="e">
        <f t="shared" ca="1" si="220"/>
        <v>#N/A</v>
      </c>
      <c r="L2876" t="e">
        <f ca="1">IF(J2876,Charms!B2876,"")</f>
        <v>#N/A</v>
      </c>
      <c r="M2876" t="str">
        <f t="shared" ca="1" si="222"/>
        <v>-</v>
      </c>
      <c r="N2876" s="18" t="str">
        <f t="shared" si="223"/>
        <v>K1622:L5000</v>
      </c>
      <c r="O2876" t="str">
        <f t="shared" si="224"/>
        <v>A1622:A2876</v>
      </c>
    </row>
    <row r="2877" spans="1:15">
      <c r="A2877" s="18">
        <f>Charms!K2877</f>
        <v>0</v>
      </c>
      <c r="B2877">
        <f>Charms!B2877</f>
        <v>0</v>
      </c>
      <c r="C2877" t="b">
        <f ca="1">OR(Values!$S$98&gt;=Charms!M2877,IFERROR(Charms!J2877=OFFSET(Values!$A$24,MATCH("S",Values!$T$25:$T$50,0),0),FALSE))</f>
        <v>1</v>
      </c>
      <c r="D2877" t="e">
        <f>VLOOKUP(Charms!J2877,Values!$A$11:$S$59,19,0)&gt;=Charms!L2877</f>
        <v>#N/A</v>
      </c>
      <c r="E2877" t="e">
        <f>OR(ISBLANK(Charms!I2877),(VLOOKUP(Values!$S$6,Castes!$B$2:$F$25,4,0)=Charms!I2877))</f>
        <v>#N/A</v>
      </c>
      <c r="J2877" t="e">
        <f t="shared" ca="1" si="221"/>
        <v>#N/A</v>
      </c>
      <c r="K2877" s="18" t="e">
        <f t="shared" ca="1" si="220"/>
        <v>#N/A</v>
      </c>
      <c r="L2877" t="e">
        <f ca="1">IF(J2877,Charms!B2877,"")</f>
        <v>#N/A</v>
      </c>
      <c r="M2877" t="str">
        <f t="shared" ca="1" si="222"/>
        <v>-</v>
      </c>
      <c r="N2877" s="18" t="str">
        <f t="shared" si="223"/>
        <v>K1622:L5000</v>
      </c>
      <c r="O2877" t="str">
        <f t="shared" si="224"/>
        <v>A1622:A2877</v>
      </c>
    </row>
    <row r="2878" spans="1:15">
      <c r="A2878" s="18">
        <f>Charms!K2878</f>
        <v>0</v>
      </c>
      <c r="B2878">
        <f>Charms!B2878</f>
        <v>0</v>
      </c>
      <c r="C2878" t="b">
        <f ca="1">OR(Values!$S$98&gt;=Charms!M2878,IFERROR(Charms!J2878=OFFSET(Values!$A$24,MATCH("S",Values!$T$25:$T$50,0),0),FALSE))</f>
        <v>1</v>
      </c>
      <c r="D2878" t="e">
        <f>VLOOKUP(Charms!J2878,Values!$A$11:$S$59,19,0)&gt;=Charms!L2878</f>
        <v>#N/A</v>
      </c>
      <c r="E2878" t="e">
        <f>OR(ISBLANK(Charms!I2878),(VLOOKUP(Values!$S$6,Castes!$B$2:$F$25,4,0)=Charms!I2878))</f>
        <v>#N/A</v>
      </c>
      <c r="J2878" t="e">
        <f t="shared" ca="1" si="221"/>
        <v>#N/A</v>
      </c>
      <c r="K2878" s="18" t="e">
        <f t="shared" ca="1" si="220"/>
        <v>#N/A</v>
      </c>
      <c r="L2878" t="e">
        <f ca="1">IF(J2878,Charms!B2878,"")</f>
        <v>#N/A</v>
      </c>
      <c r="M2878" t="str">
        <f t="shared" ca="1" si="222"/>
        <v>-</v>
      </c>
      <c r="N2878" s="18" t="str">
        <f t="shared" si="223"/>
        <v>K1622:L5000</v>
      </c>
      <c r="O2878" t="str">
        <f t="shared" si="224"/>
        <v>A1622:A2878</v>
      </c>
    </row>
    <row r="2879" spans="1:15">
      <c r="A2879" s="18">
        <f>Charms!K2879</f>
        <v>0</v>
      </c>
      <c r="B2879">
        <f>Charms!B2879</f>
        <v>0</v>
      </c>
      <c r="C2879" t="b">
        <f ca="1">OR(Values!$S$98&gt;=Charms!M2879,IFERROR(Charms!J2879=OFFSET(Values!$A$24,MATCH("S",Values!$T$25:$T$50,0),0),FALSE))</f>
        <v>1</v>
      </c>
      <c r="D2879" t="e">
        <f>VLOOKUP(Charms!J2879,Values!$A$11:$S$59,19,0)&gt;=Charms!L2879</f>
        <v>#N/A</v>
      </c>
      <c r="E2879" t="e">
        <f>OR(ISBLANK(Charms!I2879),(VLOOKUP(Values!$S$6,Castes!$B$2:$F$25,4,0)=Charms!I2879))</f>
        <v>#N/A</v>
      </c>
      <c r="J2879" t="e">
        <f t="shared" ca="1" si="221"/>
        <v>#N/A</v>
      </c>
      <c r="K2879" s="18" t="e">
        <f t="shared" ca="1" si="220"/>
        <v>#N/A</v>
      </c>
      <c r="L2879" t="e">
        <f ca="1">IF(J2879,Charms!B2879,"")</f>
        <v>#N/A</v>
      </c>
      <c r="M2879" t="str">
        <f t="shared" ca="1" si="222"/>
        <v>-</v>
      </c>
      <c r="N2879" s="18" t="str">
        <f t="shared" si="223"/>
        <v>K1622:L5000</v>
      </c>
      <c r="O2879" t="str">
        <f t="shared" si="224"/>
        <v>A1622:A2879</v>
      </c>
    </row>
    <row r="2880" spans="1:15">
      <c r="A2880" s="18">
        <f>Charms!K2880</f>
        <v>0</v>
      </c>
      <c r="B2880">
        <f>Charms!B2880</f>
        <v>0</v>
      </c>
      <c r="C2880" t="b">
        <f ca="1">OR(Values!$S$98&gt;=Charms!M2880,IFERROR(Charms!J2880=OFFSET(Values!$A$24,MATCH("S",Values!$T$25:$T$50,0),0),FALSE))</f>
        <v>1</v>
      </c>
      <c r="D2880" t="e">
        <f>VLOOKUP(Charms!J2880,Values!$A$11:$S$59,19,0)&gt;=Charms!L2880</f>
        <v>#N/A</v>
      </c>
      <c r="E2880" t="e">
        <f>OR(ISBLANK(Charms!I2880),(VLOOKUP(Values!$S$6,Castes!$B$2:$F$25,4,0)=Charms!I2880))</f>
        <v>#N/A</v>
      </c>
      <c r="J2880" t="e">
        <f t="shared" ca="1" si="221"/>
        <v>#N/A</v>
      </c>
      <c r="K2880" s="18" t="e">
        <f t="shared" ca="1" si="220"/>
        <v>#N/A</v>
      </c>
      <c r="L2880" t="e">
        <f ca="1">IF(J2880,Charms!B2880,"")</f>
        <v>#N/A</v>
      </c>
      <c r="M2880" t="str">
        <f t="shared" ca="1" si="222"/>
        <v>-</v>
      </c>
      <c r="N2880" s="18" t="str">
        <f t="shared" si="223"/>
        <v>K1622:L5000</v>
      </c>
      <c r="O2880" t="str">
        <f t="shared" si="224"/>
        <v>A1622:A2880</v>
      </c>
    </row>
    <row r="2881" spans="1:15">
      <c r="A2881" s="18">
        <f>Charms!K2881</f>
        <v>0</v>
      </c>
      <c r="B2881">
        <f>Charms!B2881</f>
        <v>0</v>
      </c>
      <c r="C2881" t="b">
        <f ca="1">OR(Values!$S$98&gt;=Charms!M2881,IFERROR(Charms!J2881=OFFSET(Values!$A$24,MATCH("S",Values!$T$25:$T$50,0),0),FALSE))</f>
        <v>1</v>
      </c>
      <c r="D2881" t="e">
        <f>VLOOKUP(Charms!J2881,Values!$A$11:$S$59,19,0)&gt;=Charms!L2881</f>
        <v>#N/A</v>
      </c>
      <c r="E2881" t="e">
        <f>OR(ISBLANK(Charms!I2881),(VLOOKUP(Values!$S$6,Castes!$B$2:$F$25,4,0)=Charms!I2881))</f>
        <v>#N/A</v>
      </c>
      <c r="J2881" t="e">
        <f t="shared" ca="1" si="221"/>
        <v>#N/A</v>
      </c>
      <c r="K2881" s="18" t="e">
        <f t="shared" ca="1" si="220"/>
        <v>#N/A</v>
      </c>
      <c r="L2881" t="e">
        <f ca="1">IF(J2881,Charms!B2881,"")</f>
        <v>#N/A</v>
      </c>
      <c r="M2881" t="str">
        <f t="shared" ca="1" si="222"/>
        <v>-</v>
      </c>
      <c r="N2881" s="18" t="str">
        <f t="shared" si="223"/>
        <v>K1622:L5000</v>
      </c>
      <c r="O2881" t="str">
        <f t="shared" si="224"/>
        <v>A1622:A2881</v>
      </c>
    </row>
    <row r="2882" spans="1:15">
      <c r="A2882" s="18">
        <f>Charms!K2882</f>
        <v>0</v>
      </c>
      <c r="B2882">
        <f>Charms!B2882</f>
        <v>0</v>
      </c>
      <c r="C2882" t="b">
        <f ca="1">OR(Values!$S$98&gt;=Charms!M2882,IFERROR(Charms!J2882=OFFSET(Values!$A$24,MATCH("S",Values!$T$25:$T$50,0),0),FALSE))</f>
        <v>1</v>
      </c>
      <c r="D2882" t="e">
        <f>VLOOKUP(Charms!J2882,Values!$A$11:$S$59,19,0)&gt;=Charms!L2882</f>
        <v>#N/A</v>
      </c>
      <c r="E2882" t="e">
        <f>OR(ISBLANK(Charms!I2882),(VLOOKUP(Values!$S$6,Castes!$B$2:$F$25,4,0)=Charms!I2882))</f>
        <v>#N/A</v>
      </c>
      <c r="J2882" t="e">
        <f t="shared" ca="1" si="221"/>
        <v>#N/A</v>
      </c>
      <c r="K2882" s="18" t="e">
        <f t="shared" ref="K2882:K2945" ca="1" si="225">IF(L2882="","",COUNTIF(INDIRECT("J"&amp;MATCH(A2882,A:A,0)&amp;":J"&amp;ROW()),J2882))</f>
        <v>#N/A</v>
      </c>
      <c r="L2882" t="e">
        <f ca="1">IF(J2882,Charms!B2882,"")</f>
        <v>#N/A</v>
      </c>
      <c r="M2882" t="str">
        <f t="shared" ca="1" si="222"/>
        <v>-</v>
      </c>
      <c r="N2882" s="18" t="str">
        <f t="shared" si="223"/>
        <v>K1622:L5000</v>
      </c>
      <c r="O2882" t="str">
        <f t="shared" si="224"/>
        <v>A1622:A2882</v>
      </c>
    </row>
    <row r="2883" spans="1:15">
      <c r="A2883" s="18">
        <f>Charms!K2883</f>
        <v>0</v>
      </c>
      <c r="B2883">
        <f>Charms!B2883</f>
        <v>0</v>
      </c>
      <c r="C2883" t="b">
        <f ca="1">OR(Values!$S$98&gt;=Charms!M2883,IFERROR(Charms!J2883=OFFSET(Values!$A$24,MATCH("S",Values!$T$25:$T$50,0),0),FALSE))</f>
        <v>1</v>
      </c>
      <c r="D2883" t="e">
        <f>VLOOKUP(Charms!J2883,Values!$A$11:$S$59,19,0)&gt;=Charms!L2883</f>
        <v>#N/A</v>
      </c>
      <c r="E2883" t="e">
        <f>OR(ISBLANK(Charms!I2883),(VLOOKUP(Values!$S$6,Castes!$B$2:$F$25,4,0)=Charms!I2883))</f>
        <v>#N/A</v>
      </c>
      <c r="J2883" t="e">
        <f t="shared" ref="J2883:J2946" ca="1" si="226">(C2883+D2883+E2883+F2883+G2883+H2883+I2883)=3</f>
        <v>#N/A</v>
      </c>
      <c r="K2883" s="18" t="e">
        <f t="shared" ca="1" si="225"/>
        <v>#N/A</v>
      </c>
      <c r="L2883" t="e">
        <f ca="1">IF(J2883,Charms!B2883,"")</f>
        <v>#N/A</v>
      </c>
      <c r="M2883" t="str">
        <f t="shared" ref="M2883:M2946" ca="1" si="227">IFERROR(VLOOKUP(COUNTIF(INDIRECT(O2883),A2883),INDIRECT(N2883),2,0),"-")</f>
        <v>-</v>
      </c>
      <c r="N2883" s="18" t="str">
        <f t="shared" ref="N2883:N2946" si="228">"K"&amp;MATCH(A2883,A:A,0)&amp;":L"&amp;(MATCH(A2883,A:A,0)+COUNTIF(A:A,A2883)-1)</f>
        <v>K1622:L5000</v>
      </c>
      <c r="O2883" t="str">
        <f t="shared" ref="O2883:O2946" si="229">"A"&amp;MATCH(A2883,A:A,0)&amp;":A"&amp;ROW()</f>
        <v>A1622:A2883</v>
      </c>
    </row>
    <row r="2884" spans="1:15">
      <c r="A2884" s="18">
        <f>Charms!K2884</f>
        <v>0</v>
      </c>
      <c r="B2884">
        <f>Charms!B2884</f>
        <v>0</v>
      </c>
      <c r="C2884" t="b">
        <f ca="1">OR(Values!$S$98&gt;=Charms!M2884,IFERROR(Charms!J2884=OFFSET(Values!$A$24,MATCH("S",Values!$T$25:$T$50,0),0),FALSE))</f>
        <v>1</v>
      </c>
      <c r="D2884" t="e">
        <f>VLOOKUP(Charms!J2884,Values!$A$11:$S$59,19,0)&gt;=Charms!L2884</f>
        <v>#N/A</v>
      </c>
      <c r="E2884" t="e">
        <f>OR(ISBLANK(Charms!I2884),(VLOOKUP(Values!$S$6,Castes!$B$2:$F$25,4,0)=Charms!I2884))</f>
        <v>#N/A</v>
      </c>
      <c r="J2884" t="e">
        <f t="shared" ca="1" si="226"/>
        <v>#N/A</v>
      </c>
      <c r="K2884" s="18" t="e">
        <f t="shared" ca="1" si="225"/>
        <v>#N/A</v>
      </c>
      <c r="L2884" t="e">
        <f ca="1">IF(J2884,Charms!B2884,"")</f>
        <v>#N/A</v>
      </c>
      <c r="M2884" t="str">
        <f t="shared" ca="1" si="227"/>
        <v>-</v>
      </c>
      <c r="N2884" s="18" t="str">
        <f t="shared" si="228"/>
        <v>K1622:L5000</v>
      </c>
      <c r="O2884" t="str">
        <f t="shared" si="229"/>
        <v>A1622:A2884</v>
      </c>
    </row>
    <row r="2885" spans="1:15">
      <c r="A2885" s="18">
        <f>Charms!K2885</f>
        <v>0</v>
      </c>
      <c r="B2885">
        <f>Charms!B2885</f>
        <v>0</v>
      </c>
      <c r="C2885" t="b">
        <f ca="1">OR(Values!$S$98&gt;=Charms!M2885,IFERROR(Charms!J2885=OFFSET(Values!$A$24,MATCH("S",Values!$T$25:$T$50,0),0),FALSE))</f>
        <v>1</v>
      </c>
      <c r="D2885" t="e">
        <f>VLOOKUP(Charms!J2885,Values!$A$11:$S$59,19,0)&gt;=Charms!L2885</f>
        <v>#N/A</v>
      </c>
      <c r="E2885" t="e">
        <f>OR(ISBLANK(Charms!I2885),(VLOOKUP(Values!$S$6,Castes!$B$2:$F$25,4,0)=Charms!I2885))</f>
        <v>#N/A</v>
      </c>
      <c r="J2885" t="e">
        <f t="shared" ca="1" si="226"/>
        <v>#N/A</v>
      </c>
      <c r="K2885" s="18" t="e">
        <f t="shared" ca="1" si="225"/>
        <v>#N/A</v>
      </c>
      <c r="L2885" t="e">
        <f ca="1">IF(J2885,Charms!B2885,"")</f>
        <v>#N/A</v>
      </c>
      <c r="M2885" t="str">
        <f t="shared" ca="1" si="227"/>
        <v>-</v>
      </c>
      <c r="N2885" s="18" t="str">
        <f t="shared" si="228"/>
        <v>K1622:L5000</v>
      </c>
      <c r="O2885" t="str">
        <f t="shared" si="229"/>
        <v>A1622:A2885</v>
      </c>
    </row>
    <row r="2886" spans="1:15">
      <c r="A2886" s="18">
        <f>Charms!K2886</f>
        <v>0</v>
      </c>
      <c r="B2886">
        <f>Charms!B2886</f>
        <v>0</v>
      </c>
      <c r="C2886" t="b">
        <f ca="1">OR(Values!$S$98&gt;=Charms!M2886,IFERROR(Charms!J2886=OFFSET(Values!$A$24,MATCH("S",Values!$T$25:$T$50,0),0),FALSE))</f>
        <v>1</v>
      </c>
      <c r="D2886" t="e">
        <f>VLOOKUP(Charms!J2886,Values!$A$11:$S$59,19,0)&gt;=Charms!L2886</f>
        <v>#N/A</v>
      </c>
      <c r="E2886" t="e">
        <f>OR(ISBLANK(Charms!I2886),(VLOOKUP(Values!$S$6,Castes!$B$2:$F$25,4,0)=Charms!I2886))</f>
        <v>#N/A</v>
      </c>
      <c r="J2886" t="e">
        <f t="shared" ca="1" si="226"/>
        <v>#N/A</v>
      </c>
      <c r="K2886" s="18" t="e">
        <f t="shared" ca="1" si="225"/>
        <v>#N/A</v>
      </c>
      <c r="L2886" t="e">
        <f ca="1">IF(J2886,Charms!B2886,"")</f>
        <v>#N/A</v>
      </c>
      <c r="M2886" t="str">
        <f t="shared" ca="1" si="227"/>
        <v>-</v>
      </c>
      <c r="N2886" s="18" t="str">
        <f t="shared" si="228"/>
        <v>K1622:L5000</v>
      </c>
      <c r="O2886" t="str">
        <f t="shared" si="229"/>
        <v>A1622:A2886</v>
      </c>
    </row>
    <row r="2887" spans="1:15">
      <c r="A2887" s="18">
        <f>Charms!K2887</f>
        <v>0</v>
      </c>
      <c r="B2887">
        <f>Charms!B2887</f>
        <v>0</v>
      </c>
      <c r="C2887" t="b">
        <f ca="1">OR(Values!$S$98&gt;=Charms!M2887,IFERROR(Charms!J2887=OFFSET(Values!$A$24,MATCH("S",Values!$T$25:$T$50,0),0),FALSE))</f>
        <v>1</v>
      </c>
      <c r="D2887" t="e">
        <f>VLOOKUP(Charms!J2887,Values!$A$11:$S$59,19,0)&gt;=Charms!L2887</f>
        <v>#N/A</v>
      </c>
      <c r="E2887" t="e">
        <f>OR(ISBLANK(Charms!I2887),(VLOOKUP(Values!$S$6,Castes!$B$2:$F$25,4,0)=Charms!I2887))</f>
        <v>#N/A</v>
      </c>
      <c r="J2887" t="e">
        <f t="shared" ca="1" si="226"/>
        <v>#N/A</v>
      </c>
      <c r="K2887" s="18" t="e">
        <f t="shared" ca="1" si="225"/>
        <v>#N/A</v>
      </c>
      <c r="L2887" t="e">
        <f ca="1">IF(J2887,Charms!B2887,"")</f>
        <v>#N/A</v>
      </c>
      <c r="M2887" t="str">
        <f t="shared" ca="1" si="227"/>
        <v>-</v>
      </c>
      <c r="N2887" s="18" t="str">
        <f t="shared" si="228"/>
        <v>K1622:L5000</v>
      </c>
      <c r="O2887" t="str">
        <f t="shared" si="229"/>
        <v>A1622:A2887</v>
      </c>
    </row>
    <row r="2888" spans="1:15">
      <c r="A2888" s="18">
        <f>Charms!K2888</f>
        <v>0</v>
      </c>
      <c r="B2888">
        <f>Charms!B2888</f>
        <v>0</v>
      </c>
      <c r="C2888" t="b">
        <f ca="1">OR(Values!$S$98&gt;=Charms!M2888,IFERROR(Charms!J2888=OFFSET(Values!$A$24,MATCH("S",Values!$T$25:$T$50,0),0),FALSE))</f>
        <v>1</v>
      </c>
      <c r="D2888" t="e">
        <f>VLOOKUP(Charms!J2888,Values!$A$11:$S$59,19,0)&gt;=Charms!L2888</f>
        <v>#N/A</v>
      </c>
      <c r="E2888" t="e">
        <f>OR(ISBLANK(Charms!I2888),(VLOOKUP(Values!$S$6,Castes!$B$2:$F$25,4,0)=Charms!I2888))</f>
        <v>#N/A</v>
      </c>
      <c r="J2888" t="e">
        <f t="shared" ca="1" si="226"/>
        <v>#N/A</v>
      </c>
      <c r="K2888" s="18" t="e">
        <f t="shared" ca="1" si="225"/>
        <v>#N/A</v>
      </c>
      <c r="L2888" t="e">
        <f ca="1">IF(J2888,Charms!B2888,"")</f>
        <v>#N/A</v>
      </c>
      <c r="M2888" t="str">
        <f t="shared" ca="1" si="227"/>
        <v>-</v>
      </c>
      <c r="N2888" s="18" t="str">
        <f t="shared" si="228"/>
        <v>K1622:L5000</v>
      </c>
      <c r="O2888" t="str">
        <f t="shared" si="229"/>
        <v>A1622:A2888</v>
      </c>
    </row>
    <row r="2889" spans="1:15">
      <c r="A2889" s="18">
        <f>Charms!K2889</f>
        <v>0</v>
      </c>
      <c r="B2889">
        <f>Charms!B2889</f>
        <v>0</v>
      </c>
      <c r="C2889" t="b">
        <f ca="1">OR(Values!$S$98&gt;=Charms!M2889,IFERROR(Charms!J2889=OFFSET(Values!$A$24,MATCH("S",Values!$T$25:$T$50,0),0),FALSE))</f>
        <v>1</v>
      </c>
      <c r="D2889" t="e">
        <f>VLOOKUP(Charms!J2889,Values!$A$11:$S$59,19,0)&gt;=Charms!L2889</f>
        <v>#N/A</v>
      </c>
      <c r="E2889" t="e">
        <f>OR(ISBLANK(Charms!I2889),(VLOOKUP(Values!$S$6,Castes!$B$2:$F$25,4,0)=Charms!I2889))</f>
        <v>#N/A</v>
      </c>
      <c r="J2889" t="e">
        <f t="shared" ca="1" si="226"/>
        <v>#N/A</v>
      </c>
      <c r="K2889" s="18" t="e">
        <f t="shared" ca="1" si="225"/>
        <v>#N/A</v>
      </c>
      <c r="L2889" t="e">
        <f ca="1">IF(J2889,Charms!B2889,"")</f>
        <v>#N/A</v>
      </c>
      <c r="M2889" t="str">
        <f t="shared" ca="1" si="227"/>
        <v>-</v>
      </c>
      <c r="N2889" s="18" t="str">
        <f t="shared" si="228"/>
        <v>K1622:L5000</v>
      </c>
      <c r="O2889" t="str">
        <f t="shared" si="229"/>
        <v>A1622:A2889</v>
      </c>
    </row>
    <row r="2890" spans="1:15">
      <c r="A2890" s="18">
        <f>Charms!K2890</f>
        <v>0</v>
      </c>
      <c r="B2890">
        <f>Charms!B2890</f>
        <v>0</v>
      </c>
      <c r="C2890" t="b">
        <f ca="1">OR(Values!$S$98&gt;=Charms!M2890,IFERROR(Charms!J2890=OFFSET(Values!$A$24,MATCH("S",Values!$T$25:$T$50,0),0),FALSE))</f>
        <v>1</v>
      </c>
      <c r="D2890" t="e">
        <f>VLOOKUP(Charms!J2890,Values!$A$11:$S$59,19,0)&gt;=Charms!L2890</f>
        <v>#N/A</v>
      </c>
      <c r="E2890" t="e">
        <f>OR(ISBLANK(Charms!I2890),(VLOOKUP(Values!$S$6,Castes!$B$2:$F$25,4,0)=Charms!I2890))</f>
        <v>#N/A</v>
      </c>
      <c r="J2890" t="e">
        <f t="shared" ca="1" si="226"/>
        <v>#N/A</v>
      </c>
      <c r="K2890" s="18" t="e">
        <f t="shared" ca="1" si="225"/>
        <v>#N/A</v>
      </c>
      <c r="L2890" t="e">
        <f ca="1">IF(J2890,Charms!B2890,"")</f>
        <v>#N/A</v>
      </c>
      <c r="M2890" t="str">
        <f t="shared" ca="1" si="227"/>
        <v>-</v>
      </c>
      <c r="N2890" s="18" t="str">
        <f t="shared" si="228"/>
        <v>K1622:L5000</v>
      </c>
      <c r="O2890" t="str">
        <f t="shared" si="229"/>
        <v>A1622:A2890</v>
      </c>
    </row>
    <row r="2891" spans="1:15">
      <c r="A2891" s="18">
        <f>Charms!K2891</f>
        <v>0</v>
      </c>
      <c r="B2891">
        <f>Charms!B2891</f>
        <v>0</v>
      </c>
      <c r="C2891" t="b">
        <f ca="1">OR(Values!$S$98&gt;=Charms!M2891,IFERROR(Charms!J2891=OFFSET(Values!$A$24,MATCH("S",Values!$T$25:$T$50,0),0),FALSE))</f>
        <v>1</v>
      </c>
      <c r="D2891" t="e">
        <f>VLOOKUP(Charms!J2891,Values!$A$11:$S$59,19,0)&gt;=Charms!L2891</f>
        <v>#N/A</v>
      </c>
      <c r="E2891" t="e">
        <f>OR(ISBLANK(Charms!I2891),(VLOOKUP(Values!$S$6,Castes!$B$2:$F$25,4,0)=Charms!I2891))</f>
        <v>#N/A</v>
      </c>
      <c r="J2891" t="e">
        <f t="shared" ca="1" si="226"/>
        <v>#N/A</v>
      </c>
      <c r="K2891" s="18" t="e">
        <f t="shared" ca="1" si="225"/>
        <v>#N/A</v>
      </c>
      <c r="L2891" t="e">
        <f ca="1">IF(J2891,Charms!B2891,"")</f>
        <v>#N/A</v>
      </c>
      <c r="M2891" t="str">
        <f t="shared" ca="1" si="227"/>
        <v>-</v>
      </c>
      <c r="N2891" s="18" t="str">
        <f t="shared" si="228"/>
        <v>K1622:L5000</v>
      </c>
      <c r="O2891" t="str">
        <f t="shared" si="229"/>
        <v>A1622:A2891</v>
      </c>
    </row>
    <row r="2892" spans="1:15">
      <c r="A2892" s="18">
        <f>Charms!K2892</f>
        <v>0</v>
      </c>
      <c r="B2892">
        <f>Charms!B2892</f>
        <v>0</v>
      </c>
      <c r="C2892" t="b">
        <f ca="1">OR(Values!$S$98&gt;=Charms!M2892,IFERROR(Charms!J2892=OFFSET(Values!$A$24,MATCH("S",Values!$T$25:$T$50,0),0),FALSE))</f>
        <v>1</v>
      </c>
      <c r="D2892" t="e">
        <f>VLOOKUP(Charms!J2892,Values!$A$11:$S$59,19,0)&gt;=Charms!L2892</f>
        <v>#N/A</v>
      </c>
      <c r="E2892" t="e">
        <f>OR(ISBLANK(Charms!I2892),(VLOOKUP(Values!$S$6,Castes!$B$2:$F$25,4,0)=Charms!I2892))</f>
        <v>#N/A</v>
      </c>
      <c r="J2892" t="e">
        <f t="shared" ca="1" si="226"/>
        <v>#N/A</v>
      </c>
      <c r="K2892" s="18" t="e">
        <f t="shared" ca="1" si="225"/>
        <v>#N/A</v>
      </c>
      <c r="L2892" t="e">
        <f ca="1">IF(J2892,Charms!B2892,"")</f>
        <v>#N/A</v>
      </c>
      <c r="M2892" t="str">
        <f t="shared" ca="1" si="227"/>
        <v>-</v>
      </c>
      <c r="N2892" s="18" t="str">
        <f t="shared" si="228"/>
        <v>K1622:L5000</v>
      </c>
      <c r="O2892" t="str">
        <f t="shared" si="229"/>
        <v>A1622:A2892</v>
      </c>
    </row>
    <row r="2893" spans="1:15">
      <c r="A2893" s="18">
        <f>Charms!K2893</f>
        <v>0</v>
      </c>
      <c r="B2893">
        <f>Charms!B2893</f>
        <v>0</v>
      </c>
      <c r="C2893" t="b">
        <f ca="1">OR(Values!$S$98&gt;=Charms!M2893,IFERROR(Charms!J2893=OFFSET(Values!$A$24,MATCH("S",Values!$T$25:$T$50,0),0),FALSE))</f>
        <v>1</v>
      </c>
      <c r="D2893" t="e">
        <f>VLOOKUP(Charms!J2893,Values!$A$11:$S$59,19,0)&gt;=Charms!L2893</f>
        <v>#N/A</v>
      </c>
      <c r="E2893" t="e">
        <f>OR(ISBLANK(Charms!I2893),(VLOOKUP(Values!$S$6,Castes!$B$2:$F$25,4,0)=Charms!I2893))</f>
        <v>#N/A</v>
      </c>
      <c r="J2893" t="e">
        <f t="shared" ca="1" si="226"/>
        <v>#N/A</v>
      </c>
      <c r="K2893" s="18" t="e">
        <f t="shared" ca="1" si="225"/>
        <v>#N/A</v>
      </c>
      <c r="L2893" t="e">
        <f ca="1">IF(J2893,Charms!B2893,"")</f>
        <v>#N/A</v>
      </c>
      <c r="M2893" t="str">
        <f t="shared" ca="1" si="227"/>
        <v>-</v>
      </c>
      <c r="N2893" s="18" t="str">
        <f t="shared" si="228"/>
        <v>K1622:L5000</v>
      </c>
      <c r="O2893" t="str">
        <f t="shared" si="229"/>
        <v>A1622:A2893</v>
      </c>
    </row>
    <row r="2894" spans="1:15">
      <c r="A2894" s="18">
        <f>Charms!K2894</f>
        <v>0</v>
      </c>
      <c r="B2894">
        <f>Charms!B2894</f>
        <v>0</v>
      </c>
      <c r="C2894" t="b">
        <f ca="1">OR(Values!$S$98&gt;=Charms!M2894,IFERROR(Charms!J2894=OFFSET(Values!$A$24,MATCH("S",Values!$T$25:$T$50,0),0),FALSE))</f>
        <v>1</v>
      </c>
      <c r="D2894" t="e">
        <f>VLOOKUP(Charms!J2894,Values!$A$11:$S$59,19,0)&gt;=Charms!L2894</f>
        <v>#N/A</v>
      </c>
      <c r="E2894" t="e">
        <f>OR(ISBLANK(Charms!I2894),(VLOOKUP(Values!$S$6,Castes!$B$2:$F$25,4,0)=Charms!I2894))</f>
        <v>#N/A</v>
      </c>
      <c r="J2894" t="e">
        <f t="shared" ca="1" si="226"/>
        <v>#N/A</v>
      </c>
      <c r="K2894" s="18" t="e">
        <f t="shared" ca="1" si="225"/>
        <v>#N/A</v>
      </c>
      <c r="L2894" t="e">
        <f ca="1">IF(J2894,Charms!B2894,"")</f>
        <v>#N/A</v>
      </c>
      <c r="M2894" t="str">
        <f t="shared" ca="1" si="227"/>
        <v>-</v>
      </c>
      <c r="N2894" s="18" t="str">
        <f t="shared" si="228"/>
        <v>K1622:L5000</v>
      </c>
      <c r="O2894" t="str">
        <f t="shared" si="229"/>
        <v>A1622:A2894</v>
      </c>
    </row>
    <row r="2895" spans="1:15">
      <c r="A2895" s="18">
        <f>Charms!K2895</f>
        <v>0</v>
      </c>
      <c r="B2895">
        <f>Charms!B2895</f>
        <v>0</v>
      </c>
      <c r="C2895" t="b">
        <f ca="1">OR(Values!$S$98&gt;=Charms!M2895,IFERROR(Charms!J2895=OFFSET(Values!$A$24,MATCH("S",Values!$T$25:$T$50,0),0),FALSE))</f>
        <v>1</v>
      </c>
      <c r="D2895" t="e">
        <f>VLOOKUP(Charms!J2895,Values!$A$11:$S$59,19,0)&gt;=Charms!L2895</f>
        <v>#N/A</v>
      </c>
      <c r="E2895" t="e">
        <f>OR(ISBLANK(Charms!I2895),(VLOOKUP(Values!$S$6,Castes!$B$2:$F$25,4,0)=Charms!I2895))</f>
        <v>#N/A</v>
      </c>
      <c r="J2895" t="e">
        <f t="shared" ca="1" si="226"/>
        <v>#N/A</v>
      </c>
      <c r="K2895" s="18" t="e">
        <f t="shared" ca="1" si="225"/>
        <v>#N/A</v>
      </c>
      <c r="L2895" t="e">
        <f ca="1">IF(J2895,Charms!B2895,"")</f>
        <v>#N/A</v>
      </c>
      <c r="M2895" t="str">
        <f t="shared" ca="1" si="227"/>
        <v>-</v>
      </c>
      <c r="N2895" s="18" t="str">
        <f t="shared" si="228"/>
        <v>K1622:L5000</v>
      </c>
      <c r="O2895" t="str">
        <f t="shared" si="229"/>
        <v>A1622:A2895</v>
      </c>
    </row>
    <row r="2896" spans="1:15">
      <c r="A2896" s="18">
        <f>Charms!K2896</f>
        <v>0</v>
      </c>
      <c r="B2896">
        <f>Charms!B2896</f>
        <v>0</v>
      </c>
      <c r="C2896" t="b">
        <f ca="1">OR(Values!$S$98&gt;=Charms!M2896,IFERROR(Charms!J2896=OFFSET(Values!$A$24,MATCH("S",Values!$T$25:$T$50,0),0),FALSE))</f>
        <v>1</v>
      </c>
      <c r="D2896" t="e">
        <f>VLOOKUP(Charms!J2896,Values!$A$11:$S$59,19,0)&gt;=Charms!L2896</f>
        <v>#N/A</v>
      </c>
      <c r="E2896" t="e">
        <f>OR(ISBLANK(Charms!I2896),(VLOOKUP(Values!$S$6,Castes!$B$2:$F$25,4,0)=Charms!I2896))</f>
        <v>#N/A</v>
      </c>
      <c r="J2896" t="e">
        <f t="shared" ca="1" si="226"/>
        <v>#N/A</v>
      </c>
      <c r="K2896" s="18" t="e">
        <f t="shared" ca="1" si="225"/>
        <v>#N/A</v>
      </c>
      <c r="L2896" t="e">
        <f ca="1">IF(J2896,Charms!B2896,"")</f>
        <v>#N/A</v>
      </c>
      <c r="M2896" t="str">
        <f t="shared" ca="1" si="227"/>
        <v>-</v>
      </c>
      <c r="N2896" s="18" t="str">
        <f t="shared" si="228"/>
        <v>K1622:L5000</v>
      </c>
      <c r="O2896" t="str">
        <f t="shared" si="229"/>
        <v>A1622:A2896</v>
      </c>
    </row>
    <row r="2897" spans="1:15">
      <c r="A2897" s="18">
        <f>Charms!K2897</f>
        <v>0</v>
      </c>
      <c r="B2897">
        <f>Charms!B2897</f>
        <v>0</v>
      </c>
      <c r="C2897" t="b">
        <f ca="1">OR(Values!$S$98&gt;=Charms!M2897,IFERROR(Charms!J2897=OFFSET(Values!$A$24,MATCH("S",Values!$T$25:$T$50,0),0),FALSE))</f>
        <v>1</v>
      </c>
      <c r="D2897" t="e">
        <f>VLOOKUP(Charms!J2897,Values!$A$11:$S$59,19,0)&gt;=Charms!L2897</f>
        <v>#N/A</v>
      </c>
      <c r="E2897" t="e">
        <f>OR(ISBLANK(Charms!I2897),(VLOOKUP(Values!$S$6,Castes!$B$2:$F$25,4,0)=Charms!I2897))</f>
        <v>#N/A</v>
      </c>
      <c r="J2897" t="e">
        <f t="shared" ca="1" si="226"/>
        <v>#N/A</v>
      </c>
      <c r="K2897" s="18" t="e">
        <f t="shared" ca="1" si="225"/>
        <v>#N/A</v>
      </c>
      <c r="L2897" t="e">
        <f ca="1">IF(J2897,Charms!B2897,"")</f>
        <v>#N/A</v>
      </c>
      <c r="M2897" t="str">
        <f t="shared" ca="1" si="227"/>
        <v>-</v>
      </c>
      <c r="N2897" s="18" t="str">
        <f t="shared" si="228"/>
        <v>K1622:L5000</v>
      </c>
      <c r="O2897" t="str">
        <f t="shared" si="229"/>
        <v>A1622:A2897</v>
      </c>
    </row>
    <row r="2898" spans="1:15">
      <c r="A2898" s="18">
        <f>Charms!K2898</f>
        <v>0</v>
      </c>
      <c r="B2898">
        <f>Charms!B2898</f>
        <v>0</v>
      </c>
      <c r="C2898" t="b">
        <f ca="1">OR(Values!$S$98&gt;=Charms!M2898,IFERROR(Charms!J2898=OFFSET(Values!$A$24,MATCH("S",Values!$T$25:$T$50,0),0),FALSE))</f>
        <v>1</v>
      </c>
      <c r="D2898" t="e">
        <f>VLOOKUP(Charms!J2898,Values!$A$11:$S$59,19,0)&gt;=Charms!L2898</f>
        <v>#N/A</v>
      </c>
      <c r="E2898" t="e">
        <f>OR(ISBLANK(Charms!I2898),(VLOOKUP(Values!$S$6,Castes!$B$2:$F$25,4,0)=Charms!I2898))</f>
        <v>#N/A</v>
      </c>
      <c r="J2898" t="e">
        <f t="shared" ca="1" si="226"/>
        <v>#N/A</v>
      </c>
      <c r="K2898" s="18" t="e">
        <f t="shared" ca="1" si="225"/>
        <v>#N/A</v>
      </c>
      <c r="L2898" t="e">
        <f ca="1">IF(J2898,Charms!B2898,"")</f>
        <v>#N/A</v>
      </c>
      <c r="M2898" t="str">
        <f t="shared" ca="1" si="227"/>
        <v>-</v>
      </c>
      <c r="N2898" s="18" t="str">
        <f t="shared" si="228"/>
        <v>K1622:L5000</v>
      </c>
      <c r="O2898" t="str">
        <f t="shared" si="229"/>
        <v>A1622:A2898</v>
      </c>
    </row>
    <row r="2899" spans="1:15">
      <c r="A2899" s="18">
        <f>Charms!K2899</f>
        <v>0</v>
      </c>
      <c r="B2899">
        <f>Charms!B2899</f>
        <v>0</v>
      </c>
      <c r="C2899" t="b">
        <f ca="1">OR(Values!$S$98&gt;=Charms!M2899,IFERROR(Charms!J2899=OFFSET(Values!$A$24,MATCH("S",Values!$T$25:$T$50,0),0),FALSE))</f>
        <v>1</v>
      </c>
      <c r="D2899" t="e">
        <f>VLOOKUP(Charms!J2899,Values!$A$11:$S$59,19,0)&gt;=Charms!L2899</f>
        <v>#N/A</v>
      </c>
      <c r="E2899" t="e">
        <f>OR(ISBLANK(Charms!I2899),(VLOOKUP(Values!$S$6,Castes!$B$2:$F$25,4,0)=Charms!I2899))</f>
        <v>#N/A</v>
      </c>
      <c r="J2899" t="e">
        <f t="shared" ca="1" si="226"/>
        <v>#N/A</v>
      </c>
      <c r="K2899" s="18" t="e">
        <f t="shared" ca="1" si="225"/>
        <v>#N/A</v>
      </c>
      <c r="L2899" t="e">
        <f ca="1">IF(J2899,Charms!B2899,"")</f>
        <v>#N/A</v>
      </c>
      <c r="M2899" t="str">
        <f t="shared" ca="1" si="227"/>
        <v>-</v>
      </c>
      <c r="N2899" s="18" t="str">
        <f t="shared" si="228"/>
        <v>K1622:L5000</v>
      </c>
      <c r="O2899" t="str">
        <f t="shared" si="229"/>
        <v>A1622:A2899</v>
      </c>
    </row>
    <row r="2900" spans="1:15">
      <c r="A2900" s="18">
        <f>Charms!K2900</f>
        <v>0</v>
      </c>
      <c r="B2900">
        <f>Charms!B2900</f>
        <v>0</v>
      </c>
      <c r="C2900" t="b">
        <f ca="1">OR(Values!$S$98&gt;=Charms!M2900,IFERROR(Charms!J2900=OFFSET(Values!$A$24,MATCH("S",Values!$T$25:$T$50,0),0),FALSE))</f>
        <v>1</v>
      </c>
      <c r="D2900" t="e">
        <f>VLOOKUP(Charms!J2900,Values!$A$11:$S$59,19,0)&gt;=Charms!L2900</f>
        <v>#N/A</v>
      </c>
      <c r="E2900" t="e">
        <f>OR(ISBLANK(Charms!I2900),(VLOOKUP(Values!$S$6,Castes!$B$2:$F$25,4,0)=Charms!I2900))</f>
        <v>#N/A</v>
      </c>
      <c r="J2900" t="e">
        <f t="shared" ca="1" si="226"/>
        <v>#N/A</v>
      </c>
      <c r="K2900" s="18" t="e">
        <f t="shared" ca="1" si="225"/>
        <v>#N/A</v>
      </c>
      <c r="L2900" t="e">
        <f ca="1">IF(J2900,Charms!B2900,"")</f>
        <v>#N/A</v>
      </c>
      <c r="M2900" t="str">
        <f t="shared" ca="1" si="227"/>
        <v>-</v>
      </c>
      <c r="N2900" s="18" t="str">
        <f t="shared" si="228"/>
        <v>K1622:L5000</v>
      </c>
      <c r="O2900" t="str">
        <f t="shared" si="229"/>
        <v>A1622:A2900</v>
      </c>
    </row>
    <row r="2901" spans="1:15">
      <c r="A2901" s="18">
        <f>Charms!K2901</f>
        <v>0</v>
      </c>
      <c r="B2901">
        <f>Charms!B2901</f>
        <v>0</v>
      </c>
      <c r="C2901" t="b">
        <f ca="1">OR(Values!$S$98&gt;=Charms!M2901,IFERROR(Charms!J2901=OFFSET(Values!$A$24,MATCH("S",Values!$T$25:$T$50,0),0),FALSE))</f>
        <v>1</v>
      </c>
      <c r="D2901" t="e">
        <f>VLOOKUP(Charms!J2901,Values!$A$11:$S$59,19,0)&gt;=Charms!L2901</f>
        <v>#N/A</v>
      </c>
      <c r="E2901" t="e">
        <f>OR(ISBLANK(Charms!I2901),(VLOOKUP(Values!$S$6,Castes!$B$2:$F$25,4,0)=Charms!I2901))</f>
        <v>#N/A</v>
      </c>
      <c r="J2901" t="e">
        <f t="shared" ca="1" si="226"/>
        <v>#N/A</v>
      </c>
      <c r="K2901" s="18" t="e">
        <f t="shared" ca="1" si="225"/>
        <v>#N/A</v>
      </c>
      <c r="L2901" t="e">
        <f ca="1">IF(J2901,Charms!B2901,"")</f>
        <v>#N/A</v>
      </c>
      <c r="M2901" t="str">
        <f t="shared" ca="1" si="227"/>
        <v>-</v>
      </c>
      <c r="N2901" s="18" t="str">
        <f t="shared" si="228"/>
        <v>K1622:L5000</v>
      </c>
      <c r="O2901" t="str">
        <f t="shared" si="229"/>
        <v>A1622:A2901</v>
      </c>
    </row>
    <row r="2902" spans="1:15">
      <c r="A2902" s="18">
        <f>Charms!K2902</f>
        <v>0</v>
      </c>
      <c r="B2902">
        <f>Charms!B2902</f>
        <v>0</v>
      </c>
      <c r="C2902" t="b">
        <f ca="1">OR(Values!$S$98&gt;=Charms!M2902,IFERROR(Charms!J2902=OFFSET(Values!$A$24,MATCH("S",Values!$T$25:$T$50,0),0),FALSE))</f>
        <v>1</v>
      </c>
      <c r="D2902" t="e">
        <f>VLOOKUP(Charms!J2902,Values!$A$11:$S$59,19,0)&gt;=Charms!L2902</f>
        <v>#N/A</v>
      </c>
      <c r="E2902" t="e">
        <f>OR(ISBLANK(Charms!I2902),(VLOOKUP(Values!$S$6,Castes!$B$2:$F$25,4,0)=Charms!I2902))</f>
        <v>#N/A</v>
      </c>
      <c r="J2902" t="e">
        <f t="shared" ca="1" si="226"/>
        <v>#N/A</v>
      </c>
      <c r="K2902" s="18" t="e">
        <f t="shared" ca="1" si="225"/>
        <v>#N/A</v>
      </c>
      <c r="L2902" t="e">
        <f ca="1">IF(J2902,Charms!B2902,"")</f>
        <v>#N/A</v>
      </c>
      <c r="M2902" t="str">
        <f t="shared" ca="1" si="227"/>
        <v>-</v>
      </c>
      <c r="N2902" s="18" t="str">
        <f t="shared" si="228"/>
        <v>K1622:L5000</v>
      </c>
      <c r="O2902" t="str">
        <f t="shared" si="229"/>
        <v>A1622:A2902</v>
      </c>
    </row>
    <row r="2903" spans="1:15">
      <c r="A2903" s="18">
        <f>Charms!K2903</f>
        <v>0</v>
      </c>
      <c r="B2903">
        <f>Charms!B2903</f>
        <v>0</v>
      </c>
      <c r="C2903" t="b">
        <f ca="1">OR(Values!$S$98&gt;=Charms!M2903,IFERROR(Charms!J2903=OFFSET(Values!$A$24,MATCH("S",Values!$T$25:$T$50,0),0),FALSE))</f>
        <v>1</v>
      </c>
      <c r="D2903" t="e">
        <f>VLOOKUP(Charms!J2903,Values!$A$11:$S$59,19,0)&gt;=Charms!L2903</f>
        <v>#N/A</v>
      </c>
      <c r="E2903" t="e">
        <f>OR(ISBLANK(Charms!I2903),(VLOOKUP(Values!$S$6,Castes!$B$2:$F$25,4,0)=Charms!I2903))</f>
        <v>#N/A</v>
      </c>
      <c r="J2903" t="e">
        <f t="shared" ca="1" si="226"/>
        <v>#N/A</v>
      </c>
      <c r="K2903" s="18" t="e">
        <f t="shared" ca="1" si="225"/>
        <v>#N/A</v>
      </c>
      <c r="L2903" t="e">
        <f ca="1">IF(J2903,Charms!B2903,"")</f>
        <v>#N/A</v>
      </c>
      <c r="M2903" t="str">
        <f t="shared" ca="1" si="227"/>
        <v>-</v>
      </c>
      <c r="N2903" s="18" t="str">
        <f t="shared" si="228"/>
        <v>K1622:L5000</v>
      </c>
      <c r="O2903" t="str">
        <f t="shared" si="229"/>
        <v>A1622:A2903</v>
      </c>
    </row>
    <row r="2904" spans="1:15">
      <c r="A2904" s="18">
        <f>Charms!K2904</f>
        <v>0</v>
      </c>
      <c r="B2904">
        <f>Charms!B2904</f>
        <v>0</v>
      </c>
      <c r="C2904" t="b">
        <f ca="1">OR(Values!$S$98&gt;=Charms!M2904,IFERROR(Charms!J2904=OFFSET(Values!$A$24,MATCH("S",Values!$T$25:$T$50,0),0),FALSE))</f>
        <v>1</v>
      </c>
      <c r="D2904" t="e">
        <f>VLOOKUP(Charms!J2904,Values!$A$11:$S$59,19,0)&gt;=Charms!L2904</f>
        <v>#N/A</v>
      </c>
      <c r="E2904" t="e">
        <f>OR(ISBLANK(Charms!I2904),(VLOOKUP(Values!$S$6,Castes!$B$2:$F$25,4,0)=Charms!I2904))</f>
        <v>#N/A</v>
      </c>
      <c r="J2904" t="e">
        <f t="shared" ca="1" si="226"/>
        <v>#N/A</v>
      </c>
      <c r="K2904" s="18" t="e">
        <f t="shared" ca="1" si="225"/>
        <v>#N/A</v>
      </c>
      <c r="L2904" t="e">
        <f ca="1">IF(J2904,Charms!B2904,"")</f>
        <v>#N/A</v>
      </c>
      <c r="M2904" t="str">
        <f t="shared" ca="1" si="227"/>
        <v>-</v>
      </c>
      <c r="N2904" s="18" t="str">
        <f t="shared" si="228"/>
        <v>K1622:L5000</v>
      </c>
      <c r="O2904" t="str">
        <f t="shared" si="229"/>
        <v>A1622:A2904</v>
      </c>
    </row>
    <row r="2905" spans="1:15">
      <c r="A2905" s="18">
        <f>Charms!K2905</f>
        <v>0</v>
      </c>
      <c r="B2905">
        <f>Charms!B2905</f>
        <v>0</v>
      </c>
      <c r="C2905" t="b">
        <f ca="1">OR(Values!$S$98&gt;=Charms!M2905,IFERROR(Charms!J2905=OFFSET(Values!$A$24,MATCH("S",Values!$T$25:$T$50,0),0),FALSE))</f>
        <v>1</v>
      </c>
      <c r="D2905" t="e">
        <f>VLOOKUP(Charms!J2905,Values!$A$11:$S$59,19,0)&gt;=Charms!L2905</f>
        <v>#N/A</v>
      </c>
      <c r="E2905" t="e">
        <f>OR(ISBLANK(Charms!I2905),(VLOOKUP(Values!$S$6,Castes!$B$2:$F$25,4,0)=Charms!I2905))</f>
        <v>#N/A</v>
      </c>
      <c r="J2905" t="e">
        <f t="shared" ca="1" si="226"/>
        <v>#N/A</v>
      </c>
      <c r="K2905" s="18" t="e">
        <f t="shared" ca="1" si="225"/>
        <v>#N/A</v>
      </c>
      <c r="L2905" t="e">
        <f ca="1">IF(J2905,Charms!B2905,"")</f>
        <v>#N/A</v>
      </c>
      <c r="M2905" t="str">
        <f t="shared" ca="1" si="227"/>
        <v>-</v>
      </c>
      <c r="N2905" s="18" t="str">
        <f t="shared" si="228"/>
        <v>K1622:L5000</v>
      </c>
      <c r="O2905" t="str">
        <f t="shared" si="229"/>
        <v>A1622:A2905</v>
      </c>
    </row>
    <row r="2906" spans="1:15">
      <c r="A2906" s="18">
        <f>Charms!K2906</f>
        <v>0</v>
      </c>
      <c r="B2906">
        <f>Charms!B2906</f>
        <v>0</v>
      </c>
      <c r="C2906" t="b">
        <f ca="1">OR(Values!$S$98&gt;=Charms!M2906,IFERROR(Charms!J2906=OFFSET(Values!$A$24,MATCH("S",Values!$T$25:$T$50,0),0),FALSE))</f>
        <v>1</v>
      </c>
      <c r="D2906" t="e">
        <f>VLOOKUP(Charms!J2906,Values!$A$11:$S$59,19,0)&gt;=Charms!L2906</f>
        <v>#N/A</v>
      </c>
      <c r="E2906" t="e">
        <f>OR(ISBLANK(Charms!I2906),(VLOOKUP(Values!$S$6,Castes!$B$2:$F$25,4,0)=Charms!I2906))</f>
        <v>#N/A</v>
      </c>
      <c r="J2906" t="e">
        <f t="shared" ca="1" si="226"/>
        <v>#N/A</v>
      </c>
      <c r="K2906" s="18" t="e">
        <f t="shared" ca="1" si="225"/>
        <v>#N/A</v>
      </c>
      <c r="L2906" t="e">
        <f ca="1">IF(J2906,Charms!B2906,"")</f>
        <v>#N/A</v>
      </c>
      <c r="M2906" t="str">
        <f t="shared" ca="1" si="227"/>
        <v>-</v>
      </c>
      <c r="N2906" s="18" t="str">
        <f t="shared" si="228"/>
        <v>K1622:L5000</v>
      </c>
      <c r="O2906" t="str">
        <f t="shared" si="229"/>
        <v>A1622:A2906</v>
      </c>
    </row>
    <row r="2907" spans="1:15">
      <c r="A2907" s="18">
        <f>Charms!K2907</f>
        <v>0</v>
      </c>
      <c r="B2907">
        <f>Charms!B2907</f>
        <v>0</v>
      </c>
      <c r="C2907" t="b">
        <f ca="1">OR(Values!$S$98&gt;=Charms!M2907,IFERROR(Charms!J2907=OFFSET(Values!$A$24,MATCH("S",Values!$T$25:$T$50,0),0),FALSE))</f>
        <v>1</v>
      </c>
      <c r="D2907" t="e">
        <f>VLOOKUP(Charms!J2907,Values!$A$11:$S$59,19,0)&gt;=Charms!L2907</f>
        <v>#N/A</v>
      </c>
      <c r="E2907" t="e">
        <f>OR(ISBLANK(Charms!I2907),(VLOOKUP(Values!$S$6,Castes!$B$2:$F$25,4,0)=Charms!I2907))</f>
        <v>#N/A</v>
      </c>
      <c r="J2907" t="e">
        <f t="shared" ca="1" si="226"/>
        <v>#N/A</v>
      </c>
      <c r="K2907" s="18" t="e">
        <f t="shared" ca="1" si="225"/>
        <v>#N/A</v>
      </c>
      <c r="L2907" t="e">
        <f ca="1">IF(J2907,Charms!B2907,"")</f>
        <v>#N/A</v>
      </c>
      <c r="M2907" t="str">
        <f t="shared" ca="1" si="227"/>
        <v>-</v>
      </c>
      <c r="N2907" s="18" t="str">
        <f t="shared" si="228"/>
        <v>K1622:L5000</v>
      </c>
      <c r="O2907" t="str">
        <f t="shared" si="229"/>
        <v>A1622:A2907</v>
      </c>
    </row>
    <row r="2908" spans="1:15">
      <c r="A2908" s="18">
        <f>Charms!K2908</f>
        <v>0</v>
      </c>
      <c r="B2908">
        <f>Charms!B2908</f>
        <v>0</v>
      </c>
      <c r="C2908" t="b">
        <f ca="1">OR(Values!$S$98&gt;=Charms!M2908,IFERROR(Charms!J2908=OFFSET(Values!$A$24,MATCH("S",Values!$T$25:$T$50,0),0),FALSE))</f>
        <v>1</v>
      </c>
      <c r="D2908" t="e">
        <f>VLOOKUP(Charms!J2908,Values!$A$11:$S$59,19,0)&gt;=Charms!L2908</f>
        <v>#N/A</v>
      </c>
      <c r="E2908" t="e">
        <f>OR(ISBLANK(Charms!I2908),(VLOOKUP(Values!$S$6,Castes!$B$2:$F$25,4,0)=Charms!I2908))</f>
        <v>#N/A</v>
      </c>
      <c r="J2908" t="e">
        <f t="shared" ca="1" si="226"/>
        <v>#N/A</v>
      </c>
      <c r="K2908" s="18" t="e">
        <f t="shared" ca="1" si="225"/>
        <v>#N/A</v>
      </c>
      <c r="L2908" t="e">
        <f ca="1">IF(J2908,Charms!B2908,"")</f>
        <v>#N/A</v>
      </c>
      <c r="M2908" t="str">
        <f t="shared" ca="1" si="227"/>
        <v>-</v>
      </c>
      <c r="N2908" s="18" t="str">
        <f t="shared" si="228"/>
        <v>K1622:L5000</v>
      </c>
      <c r="O2908" t="str">
        <f t="shared" si="229"/>
        <v>A1622:A2908</v>
      </c>
    </row>
    <row r="2909" spans="1:15">
      <c r="A2909" s="18">
        <f>Charms!K2909</f>
        <v>0</v>
      </c>
      <c r="B2909">
        <f>Charms!B2909</f>
        <v>0</v>
      </c>
      <c r="C2909" t="b">
        <f ca="1">OR(Values!$S$98&gt;=Charms!M2909,IFERROR(Charms!J2909=OFFSET(Values!$A$24,MATCH("S",Values!$T$25:$T$50,0),0),FALSE))</f>
        <v>1</v>
      </c>
      <c r="D2909" t="e">
        <f>VLOOKUP(Charms!J2909,Values!$A$11:$S$59,19,0)&gt;=Charms!L2909</f>
        <v>#N/A</v>
      </c>
      <c r="E2909" t="e">
        <f>OR(ISBLANK(Charms!I2909),(VLOOKUP(Values!$S$6,Castes!$B$2:$F$25,4,0)=Charms!I2909))</f>
        <v>#N/A</v>
      </c>
      <c r="J2909" t="e">
        <f t="shared" ca="1" si="226"/>
        <v>#N/A</v>
      </c>
      <c r="K2909" s="18" t="e">
        <f t="shared" ca="1" si="225"/>
        <v>#N/A</v>
      </c>
      <c r="L2909" t="e">
        <f ca="1">IF(J2909,Charms!B2909,"")</f>
        <v>#N/A</v>
      </c>
      <c r="M2909" t="str">
        <f t="shared" ca="1" si="227"/>
        <v>-</v>
      </c>
      <c r="N2909" s="18" t="str">
        <f t="shared" si="228"/>
        <v>K1622:L5000</v>
      </c>
      <c r="O2909" t="str">
        <f t="shared" si="229"/>
        <v>A1622:A2909</v>
      </c>
    </row>
    <row r="2910" spans="1:15">
      <c r="A2910" s="18">
        <f>Charms!K2910</f>
        <v>0</v>
      </c>
      <c r="B2910">
        <f>Charms!B2910</f>
        <v>0</v>
      </c>
      <c r="C2910" t="b">
        <f ca="1">OR(Values!$S$98&gt;=Charms!M2910,IFERROR(Charms!J2910=OFFSET(Values!$A$24,MATCH("S",Values!$T$25:$T$50,0),0),FALSE))</f>
        <v>1</v>
      </c>
      <c r="D2910" t="e">
        <f>VLOOKUP(Charms!J2910,Values!$A$11:$S$59,19,0)&gt;=Charms!L2910</f>
        <v>#N/A</v>
      </c>
      <c r="E2910" t="e">
        <f>OR(ISBLANK(Charms!I2910),(VLOOKUP(Values!$S$6,Castes!$B$2:$F$25,4,0)=Charms!I2910))</f>
        <v>#N/A</v>
      </c>
      <c r="J2910" t="e">
        <f t="shared" ca="1" si="226"/>
        <v>#N/A</v>
      </c>
      <c r="K2910" s="18" t="e">
        <f t="shared" ca="1" si="225"/>
        <v>#N/A</v>
      </c>
      <c r="L2910" t="e">
        <f ca="1">IF(J2910,Charms!B2910,"")</f>
        <v>#N/A</v>
      </c>
      <c r="M2910" t="str">
        <f t="shared" ca="1" si="227"/>
        <v>-</v>
      </c>
      <c r="N2910" s="18" t="str">
        <f t="shared" si="228"/>
        <v>K1622:L5000</v>
      </c>
      <c r="O2910" t="str">
        <f t="shared" si="229"/>
        <v>A1622:A2910</v>
      </c>
    </row>
    <row r="2911" spans="1:15">
      <c r="A2911" s="18">
        <f>Charms!K2911</f>
        <v>0</v>
      </c>
      <c r="B2911">
        <f>Charms!B2911</f>
        <v>0</v>
      </c>
      <c r="C2911" t="b">
        <f ca="1">OR(Values!$S$98&gt;=Charms!M2911,IFERROR(Charms!J2911=OFFSET(Values!$A$24,MATCH("S",Values!$T$25:$T$50,0),0),FALSE))</f>
        <v>1</v>
      </c>
      <c r="D2911" t="e">
        <f>VLOOKUP(Charms!J2911,Values!$A$11:$S$59,19,0)&gt;=Charms!L2911</f>
        <v>#N/A</v>
      </c>
      <c r="E2911" t="e">
        <f>OR(ISBLANK(Charms!I2911),(VLOOKUP(Values!$S$6,Castes!$B$2:$F$25,4,0)=Charms!I2911))</f>
        <v>#N/A</v>
      </c>
      <c r="J2911" t="e">
        <f t="shared" ca="1" si="226"/>
        <v>#N/A</v>
      </c>
      <c r="K2911" s="18" t="e">
        <f t="shared" ca="1" si="225"/>
        <v>#N/A</v>
      </c>
      <c r="L2911" t="e">
        <f ca="1">IF(J2911,Charms!B2911,"")</f>
        <v>#N/A</v>
      </c>
      <c r="M2911" t="str">
        <f t="shared" ca="1" si="227"/>
        <v>-</v>
      </c>
      <c r="N2911" s="18" t="str">
        <f t="shared" si="228"/>
        <v>K1622:L5000</v>
      </c>
      <c r="O2911" t="str">
        <f t="shared" si="229"/>
        <v>A1622:A2911</v>
      </c>
    </row>
    <row r="2912" spans="1:15">
      <c r="A2912" s="18">
        <f>Charms!K2912</f>
        <v>0</v>
      </c>
      <c r="B2912">
        <f>Charms!B2912</f>
        <v>0</v>
      </c>
      <c r="C2912" t="b">
        <f ca="1">OR(Values!$S$98&gt;=Charms!M2912,IFERROR(Charms!J2912=OFFSET(Values!$A$24,MATCH("S",Values!$T$25:$T$50,0),0),FALSE))</f>
        <v>1</v>
      </c>
      <c r="D2912" t="e">
        <f>VLOOKUP(Charms!J2912,Values!$A$11:$S$59,19,0)&gt;=Charms!L2912</f>
        <v>#N/A</v>
      </c>
      <c r="E2912" t="e">
        <f>OR(ISBLANK(Charms!I2912),(VLOOKUP(Values!$S$6,Castes!$B$2:$F$25,4,0)=Charms!I2912))</f>
        <v>#N/A</v>
      </c>
      <c r="J2912" t="e">
        <f t="shared" ca="1" si="226"/>
        <v>#N/A</v>
      </c>
      <c r="K2912" s="18" t="e">
        <f t="shared" ca="1" si="225"/>
        <v>#N/A</v>
      </c>
      <c r="L2912" t="e">
        <f ca="1">IF(J2912,Charms!B2912,"")</f>
        <v>#N/A</v>
      </c>
      <c r="M2912" t="str">
        <f t="shared" ca="1" si="227"/>
        <v>-</v>
      </c>
      <c r="N2912" s="18" t="str">
        <f t="shared" si="228"/>
        <v>K1622:L5000</v>
      </c>
      <c r="O2912" t="str">
        <f t="shared" si="229"/>
        <v>A1622:A2912</v>
      </c>
    </row>
    <row r="2913" spans="1:15">
      <c r="A2913" s="18">
        <f>Charms!K2913</f>
        <v>0</v>
      </c>
      <c r="B2913">
        <f>Charms!B2913</f>
        <v>0</v>
      </c>
      <c r="C2913" t="b">
        <f ca="1">OR(Values!$S$98&gt;=Charms!M2913,IFERROR(Charms!J2913=OFFSET(Values!$A$24,MATCH("S",Values!$T$25:$T$50,0),0),FALSE))</f>
        <v>1</v>
      </c>
      <c r="D2913" t="e">
        <f>VLOOKUP(Charms!J2913,Values!$A$11:$S$59,19,0)&gt;=Charms!L2913</f>
        <v>#N/A</v>
      </c>
      <c r="E2913" t="e">
        <f>OR(ISBLANK(Charms!I2913),(VLOOKUP(Values!$S$6,Castes!$B$2:$F$25,4,0)=Charms!I2913))</f>
        <v>#N/A</v>
      </c>
      <c r="J2913" t="e">
        <f t="shared" ca="1" si="226"/>
        <v>#N/A</v>
      </c>
      <c r="K2913" s="18" t="e">
        <f t="shared" ca="1" si="225"/>
        <v>#N/A</v>
      </c>
      <c r="L2913" t="e">
        <f ca="1">IF(J2913,Charms!B2913,"")</f>
        <v>#N/A</v>
      </c>
      <c r="M2913" t="str">
        <f t="shared" ca="1" si="227"/>
        <v>-</v>
      </c>
      <c r="N2913" s="18" t="str">
        <f t="shared" si="228"/>
        <v>K1622:L5000</v>
      </c>
      <c r="O2913" t="str">
        <f t="shared" si="229"/>
        <v>A1622:A2913</v>
      </c>
    </row>
    <row r="2914" spans="1:15">
      <c r="A2914" s="18">
        <f>Charms!K2914</f>
        <v>0</v>
      </c>
      <c r="B2914">
        <f>Charms!B2914</f>
        <v>0</v>
      </c>
      <c r="C2914" t="b">
        <f ca="1">OR(Values!$S$98&gt;=Charms!M2914,IFERROR(Charms!J2914=OFFSET(Values!$A$24,MATCH("S",Values!$T$25:$T$50,0),0),FALSE))</f>
        <v>1</v>
      </c>
      <c r="D2914" t="e">
        <f>VLOOKUP(Charms!J2914,Values!$A$11:$S$59,19,0)&gt;=Charms!L2914</f>
        <v>#N/A</v>
      </c>
      <c r="E2914" t="e">
        <f>OR(ISBLANK(Charms!I2914),(VLOOKUP(Values!$S$6,Castes!$B$2:$F$25,4,0)=Charms!I2914))</f>
        <v>#N/A</v>
      </c>
      <c r="J2914" t="e">
        <f t="shared" ca="1" si="226"/>
        <v>#N/A</v>
      </c>
      <c r="K2914" s="18" t="e">
        <f t="shared" ca="1" si="225"/>
        <v>#N/A</v>
      </c>
      <c r="L2914" t="e">
        <f ca="1">IF(J2914,Charms!B2914,"")</f>
        <v>#N/A</v>
      </c>
      <c r="M2914" t="str">
        <f t="shared" ca="1" si="227"/>
        <v>-</v>
      </c>
      <c r="N2914" s="18" t="str">
        <f t="shared" si="228"/>
        <v>K1622:L5000</v>
      </c>
      <c r="O2914" t="str">
        <f t="shared" si="229"/>
        <v>A1622:A2914</v>
      </c>
    </row>
    <row r="2915" spans="1:15">
      <c r="A2915" s="18">
        <f>Charms!K2915</f>
        <v>0</v>
      </c>
      <c r="B2915">
        <f>Charms!B2915</f>
        <v>0</v>
      </c>
      <c r="C2915" t="b">
        <f ca="1">OR(Values!$S$98&gt;=Charms!M2915,IFERROR(Charms!J2915=OFFSET(Values!$A$24,MATCH("S",Values!$T$25:$T$50,0),0),FALSE))</f>
        <v>1</v>
      </c>
      <c r="D2915" t="e">
        <f>VLOOKUP(Charms!J2915,Values!$A$11:$S$59,19,0)&gt;=Charms!L2915</f>
        <v>#N/A</v>
      </c>
      <c r="E2915" t="e">
        <f>OR(ISBLANK(Charms!I2915),(VLOOKUP(Values!$S$6,Castes!$B$2:$F$25,4,0)=Charms!I2915))</f>
        <v>#N/A</v>
      </c>
      <c r="J2915" t="e">
        <f t="shared" ca="1" si="226"/>
        <v>#N/A</v>
      </c>
      <c r="K2915" s="18" t="e">
        <f t="shared" ca="1" si="225"/>
        <v>#N/A</v>
      </c>
      <c r="L2915" t="e">
        <f ca="1">IF(J2915,Charms!B2915,"")</f>
        <v>#N/A</v>
      </c>
      <c r="M2915" t="str">
        <f t="shared" ca="1" si="227"/>
        <v>-</v>
      </c>
      <c r="N2915" s="18" t="str">
        <f t="shared" si="228"/>
        <v>K1622:L5000</v>
      </c>
      <c r="O2915" t="str">
        <f t="shared" si="229"/>
        <v>A1622:A2915</v>
      </c>
    </row>
    <row r="2916" spans="1:15">
      <c r="A2916" s="18">
        <f>Charms!K2916</f>
        <v>0</v>
      </c>
      <c r="B2916">
        <f>Charms!B2916</f>
        <v>0</v>
      </c>
      <c r="C2916" t="b">
        <f ca="1">OR(Values!$S$98&gt;=Charms!M2916,IFERROR(Charms!J2916=OFFSET(Values!$A$24,MATCH("S",Values!$T$25:$T$50,0),0),FALSE))</f>
        <v>1</v>
      </c>
      <c r="D2916" t="e">
        <f>VLOOKUP(Charms!J2916,Values!$A$11:$S$59,19,0)&gt;=Charms!L2916</f>
        <v>#N/A</v>
      </c>
      <c r="E2916" t="e">
        <f>OR(ISBLANK(Charms!I2916),(VLOOKUP(Values!$S$6,Castes!$B$2:$F$25,4,0)=Charms!I2916))</f>
        <v>#N/A</v>
      </c>
      <c r="J2916" t="e">
        <f t="shared" ca="1" si="226"/>
        <v>#N/A</v>
      </c>
      <c r="K2916" s="18" t="e">
        <f t="shared" ca="1" si="225"/>
        <v>#N/A</v>
      </c>
      <c r="L2916" t="e">
        <f ca="1">IF(J2916,Charms!B2916,"")</f>
        <v>#N/A</v>
      </c>
      <c r="M2916" t="str">
        <f t="shared" ca="1" si="227"/>
        <v>-</v>
      </c>
      <c r="N2916" s="18" t="str">
        <f t="shared" si="228"/>
        <v>K1622:L5000</v>
      </c>
      <c r="O2916" t="str">
        <f t="shared" si="229"/>
        <v>A1622:A2916</v>
      </c>
    </row>
    <row r="2917" spans="1:15">
      <c r="A2917" s="18">
        <f>Charms!K2917</f>
        <v>0</v>
      </c>
      <c r="B2917">
        <f>Charms!B2917</f>
        <v>0</v>
      </c>
      <c r="C2917" t="b">
        <f ca="1">OR(Values!$S$98&gt;=Charms!M2917,IFERROR(Charms!J2917=OFFSET(Values!$A$24,MATCH("S",Values!$T$25:$T$50,0),0),FALSE))</f>
        <v>1</v>
      </c>
      <c r="D2917" t="e">
        <f>VLOOKUP(Charms!J2917,Values!$A$11:$S$59,19,0)&gt;=Charms!L2917</f>
        <v>#N/A</v>
      </c>
      <c r="E2917" t="e">
        <f>OR(ISBLANK(Charms!I2917),(VLOOKUP(Values!$S$6,Castes!$B$2:$F$25,4,0)=Charms!I2917))</f>
        <v>#N/A</v>
      </c>
      <c r="J2917" t="e">
        <f t="shared" ca="1" si="226"/>
        <v>#N/A</v>
      </c>
      <c r="K2917" s="18" t="e">
        <f t="shared" ca="1" si="225"/>
        <v>#N/A</v>
      </c>
      <c r="L2917" t="e">
        <f ca="1">IF(J2917,Charms!B2917,"")</f>
        <v>#N/A</v>
      </c>
      <c r="M2917" t="str">
        <f t="shared" ca="1" si="227"/>
        <v>-</v>
      </c>
      <c r="N2917" s="18" t="str">
        <f t="shared" si="228"/>
        <v>K1622:L5000</v>
      </c>
      <c r="O2917" t="str">
        <f t="shared" si="229"/>
        <v>A1622:A2917</v>
      </c>
    </row>
    <row r="2918" spans="1:15">
      <c r="A2918" s="18">
        <f>Charms!K2918</f>
        <v>0</v>
      </c>
      <c r="B2918">
        <f>Charms!B2918</f>
        <v>0</v>
      </c>
      <c r="C2918" t="b">
        <f ca="1">OR(Values!$S$98&gt;=Charms!M2918,IFERROR(Charms!J2918=OFFSET(Values!$A$24,MATCH("S",Values!$T$25:$T$50,0),0),FALSE))</f>
        <v>1</v>
      </c>
      <c r="D2918" t="e">
        <f>VLOOKUP(Charms!J2918,Values!$A$11:$S$59,19,0)&gt;=Charms!L2918</f>
        <v>#N/A</v>
      </c>
      <c r="E2918" t="e">
        <f>OR(ISBLANK(Charms!I2918),(VLOOKUP(Values!$S$6,Castes!$B$2:$F$25,4,0)=Charms!I2918))</f>
        <v>#N/A</v>
      </c>
      <c r="J2918" t="e">
        <f t="shared" ca="1" si="226"/>
        <v>#N/A</v>
      </c>
      <c r="K2918" s="18" t="e">
        <f t="shared" ca="1" si="225"/>
        <v>#N/A</v>
      </c>
      <c r="L2918" t="e">
        <f ca="1">IF(J2918,Charms!B2918,"")</f>
        <v>#N/A</v>
      </c>
      <c r="M2918" t="str">
        <f t="shared" ca="1" si="227"/>
        <v>-</v>
      </c>
      <c r="N2918" s="18" t="str">
        <f t="shared" si="228"/>
        <v>K1622:L5000</v>
      </c>
      <c r="O2918" t="str">
        <f t="shared" si="229"/>
        <v>A1622:A2918</v>
      </c>
    </row>
    <row r="2919" spans="1:15">
      <c r="A2919" s="18">
        <f>Charms!K2919</f>
        <v>0</v>
      </c>
      <c r="B2919">
        <f>Charms!B2919</f>
        <v>0</v>
      </c>
      <c r="C2919" t="b">
        <f ca="1">OR(Values!$S$98&gt;=Charms!M2919,IFERROR(Charms!J2919=OFFSET(Values!$A$24,MATCH("S",Values!$T$25:$T$50,0),0),FALSE))</f>
        <v>1</v>
      </c>
      <c r="D2919" t="e">
        <f>VLOOKUP(Charms!J2919,Values!$A$11:$S$59,19,0)&gt;=Charms!L2919</f>
        <v>#N/A</v>
      </c>
      <c r="E2919" t="e">
        <f>OR(ISBLANK(Charms!I2919),(VLOOKUP(Values!$S$6,Castes!$B$2:$F$25,4,0)=Charms!I2919))</f>
        <v>#N/A</v>
      </c>
      <c r="J2919" t="e">
        <f t="shared" ca="1" si="226"/>
        <v>#N/A</v>
      </c>
      <c r="K2919" s="18" t="e">
        <f t="shared" ca="1" si="225"/>
        <v>#N/A</v>
      </c>
      <c r="L2919" t="e">
        <f ca="1">IF(J2919,Charms!B2919,"")</f>
        <v>#N/A</v>
      </c>
      <c r="M2919" t="str">
        <f t="shared" ca="1" si="227"/>
        <v>-</v>
      </c>
      <c r="N2919" s="18" t="str">
        <f t="shared" si="228"/>
        <v>K1622:L5000</v>
      </c>
      <c r="O2919" t="str">
        <f t="shared" si="229"/>
        <v>A1622:A2919</v>
      </c>
    </row>
    <row r="2920" spans="1:15">
      <c r="A2920" s="18">
        <f>Charms!K2920</f>
        <v>0</v>
      </c>
      <c r="B2920">
        <f>Charms!B2920</f>
        <v>0</v>
      </c>
      <c r="C2920" t="b">
        <f ca="1">OR(Values!$S$98&gt;=Charms!M2920,IFERROR(Charms!J2920=OFFSET(Values!$A$24,MATCH("S",Values!$T$25:$T$50,0),0),FALSE))</f>
        <v>1</v>
      </c>
      <c r="D2920" t="e">
        <f>VLOOKUP(Charms!J2920,Values!$A$11:$S$59,19,0)&gt;=Charms!L2920</f>
        <v>#N/A</v>
      </c>
      <c r="E2920" t="e">
        <f>OR(ISBLANK(Charms!I2920),(VLOOKUP(Values!$S$6,Castes!$B$2:$F$25,4,0)=Charms!I2920))</f>
        <v>#N/A</v>
      </c>
      <c r="J2920" t="e">
        <f t="shared" ca="1" si="226"/>
        <v>#N/A</v>
      </c>
      <c r="K2920" s="18" t="e">
        <f t="shared" ca="1" si="225"/>
        <v>#N/A</v>
      </c>
      <c r="L2920" t="e">
        <f ca="1">IF(J2920,Charms!B2920,"")</f>
        <v>#N/A</v>
      </c>
      <c r="M2920" t="str">
        <f t="shared" ca="1" si="227"/>
        <v>-</v>
      </c>
      <c r="N2920" s="18" t="str">
        <f t="shared" si="228"/>
        <v>K1622:L5000</v>
      </c>
      <c r="O2920" t="str">
        <f t="shared" si="229"/>
        <v>A1622:A2920</v>
      </c>
    </row>
    <row r="2921" spans="1:15">
      <c r="A2921" s="18">
        <f>Charms!K2921</f>
        <v>0</v>
      </c>
      <c r="B2921">
        <f>Charms!B2921</f>
        <v>0</v>
      </c>
      <c r="C2921" t="b">
        <f ca="1">OR(Values!$S$98&gt;=Charms!M2921,IFERROR(Charms!J2921=OFFSET(Values!$A$24,MATCH("S",Values!$T$25:$T$50,0),0),FALSE))</f>
        <v>1</v>
      </c>
      <c r="D2921" t="e">
        <f>VLOOKUP(Charms!J2921,Values!$A$11:$S$59,19,0)&gt;=Charms!L2921</f>
        <v>#N/A</v>
      </c>
      <c r="E2921" t="e">
        <f>OR(ISBLANK(Charms!I2921),(VLOOKUP(Values!$S$6,Castes!$B$2:$F$25,4,0)=Charms!I2921))</f>
        <v>#N/A</v>
      </c>
      <c r="J2921" t="e">
        <f t="shared" ca="1" si="226"/>
        <v>#N/A</v>
      </c>
      <c r="K2921" s="18" t="e">
        <f t="shared" ca="1" si="225"/>
        <v>#N/A</v>
      </c>
      <c r="L2921" t="e">
        <f ca="1">IF(J2921,Charms!B2921,"")</f>
        <v>#N/A</v>
      </c>
      <c r="M2921" t="str">
        <f t="shared" ca="1" si="227"/>
        <v>-</v>
      </c>
      <c r="N2921" s="18" t="str">
        <f t="shared" si="228"/>
        <v>K1622:L5000</v>
      </c>
      <c r="O2921" t="str">
        <f t="shared" si="229"/>
        <v>A1622:A2921</v>
      </c>
    </row>
    <row r="2922" spans="1:15">
      <c r="A2922" s="18">
        <f>Charms!K2922</f>
        <v>0</v>
      </c>
      <c r="B2922">
        <f>Charms!B2922</f>
        <v>0</v>
      </c>
      <c r="C2922" t="b">
        <f ca="1">OR(Values!$S$98&gt;=Charms!M2922,IFERROR(Charms!J2922=OFFSET(Values!$A$24,MATCH("S",Values!$T$25:$T$50,0),0),FALSE))</f>
        <v>1</v>
      </c>
      <c r="D2922" t="e">
        <f>VLOOKUP(Charms!J2922,Values!$A$11:$S$59,19,0)&gt;=Charms!L2922</f>
        <v>#N/A</v>
      </c>
      <c r="E2922" t="e">
        <f>OR(ISBLANK(Charms!I2922),(VLOOKUP(Values!$S$6,Castes!$B$2:$F$25,4,0)=Charms!I2922))</f>
        <v>#N/A</v>
      </c>
      <c r="J2922" t="e">
        <f t="shared" ca="1" si="226"/>
        <v>#N/A</v>
      </c>
      <c r="K2922" s="18" t="e">
        <f t="shared" ca="1" si="225"/>
        <v>#N/A</v>
      </c>
      <c r="L2922" t="e">
        <f ca="1">IF(J2922,Charms!B2922,"")</f>
        <v>#N/A</v>
      </c>
      <c r="M2922" t="str">
        <f t="shared" ca="1" si="227"/>
        <v>-</v>
      </c>
      <c r="N2922" s="18" t="str">
        <f t="shared" si="228"/>
        <v>K1622:L5000</v>
      </c>
      <c r="O2922" t="str">
        <f t="shared" si="229"/>
        <v>A1622:A2922</v>
      </c>
    </row>
    <row r="2923" spans="1:15">
      <c r="A2923" s="18">
        <f>Charms!K2923</f>
        <v>0</v>
      </c>
      <c r="B2923">
        <f>Charms!B2923</f>
        <v>0</v>
      </c>
      <c r="C2923" t="b">
        <f ca="1">OR(Values!$S$98&gt;=Charms!M2923,IFERROR(Charms!J2923=OFFSET(Values!$A$24,MATCH("S",Values!$T$25:$T$50,0),0),FALSE))</f>
        <v>1</v>
      </c>
      <c r="D2923" t="e">
        <f>VLOOKUP(Charms!J2923,Values!$A$11:$S$59,19,0)&gt;=Charms!L2923</f>
        <v>#N/A</v>
      </c>
      <c r="E2923" t="e">
        <f>OR(ISBLANK(Charms!I2923),(VLOOKUP(Values!$S$6,Castes!$B$2:$F$25,4,0)=Charms!I2923))</f>
        <v>#N/A</v>
      </c>
      <c r="J2923" t="e">
        <f t="shared" ca="1" si="226"/>
        <v>#N/A</v>
      </c>
      <c r="K2923" s="18" t="e">
        <f t="shared" ca="1" si="225"/>
        <v>#N/A</v>
      </c>
      <c r="L2923" t="e">
        <f ca="1">IF(J2923,Charms!B2923,"")</f>
        <v>#N/A</v>
      </c>
      <c r="M2923" t="str">
        <f t="shared" ca="1" si="227"/>
        <v>-</v>
      </c>
      <c r="N2923" s="18" t="str">
        <f t="shared" si="228"/>
        <v>K1622:L5000</v>
      </c>
      <c r="O2923" t="str">
        <f t="shared" si="229"/>
        <v>A1622:A2923</v>
      </c>
    </row>
    <row r="2924" spans="1:15">
      <c r="A2924" s="18">
        <f>Charms!K2924</f>
        <v>0</v>
      </c>
      <c r="B2924">
        <f>Charms!B2924</f>
        <v>0</v>
      </c>
      <c r="C2924" t="b">
        <f ca="1">OR(Values!$S$98&gt;=Charms!M2924,IFERROR(Charms!J2924=OFFSET(Values!$A$24,MATCH("S",Values!$T$25:$T$50,0),0),FALSE))</f>
        <v>1</v>
      </c>
      <c r="D2924" t="e">
        <f>VLOOKUP(Charms!J2924,Values!$A$11:$S$59,19,0)&gt;=Charms!L2924</f>
        <v>#N/A</v>
      </c>
      <c r="E2924" t="e">
        <f>OR(ISBLANK(Charms!I2924),(VLOOKUP(Values!$S$6,Castes!$B$2:$F$25,4,0)=Charms!I2924))</f>
        <v>#N/A</v>
      </c>
      <c r="J2924" t="e">
        <f t="shared" ca="1" si="226"/>
        <v>#N/A</v>
      </c>
      <c r="K2924" s="18" t="e">
        <f t="shared" ca="1" si="225"/>
        <v>#N/A</v>
      </c>
      <c r="L2924" t="e">
        <f ca="1">IF(J2924,Charms!B2924,"")</f>
        <v>#N/A</v>
      </c>
      <c r="M2924" t="str">
        <f t="shared" ca="1" si="227"/>
        <v>-</v>
      </c>
      <c r="N2924" s="18" t="str">
        <f t="shared" si="228"/>
        <v>K1622:L5000</v>
      </c>
      <c r="O2924" t="str">
        <f t="shared" si="229"/>
        <v>A1622:A2924</v>
      </c>
    </row>
    <row r="2925" spans="1:15">
      <c r="A2925" s="18">
        <f>Charms!K2925</f>
        <v>0</v>
      </c>
      <c r="B2925">
        <f>Charms!B2925</f>
        <v>0</v>
      </c>
      <c r="C2925" t="b">
        <f ca="1">OR(Values!$S$98&gt;=Charms!M2925,IFERROR(Charms!J2925=OFFSET(Values!$A$24,MATCH("S",Values!$T$25:$T$50,0),0),FALSE))</f>
        <v>1</v>
      </c>
      <c r="D2925" t="e">
        <f>VLOOKUP(Charms!J2925,Values!$A$11:$S$59,19,0)&gt;=Charms!L2925</f>
        <v>#N/A</v>
      </c>
      <c r="E2925" t="e">
        <f>OR(ISBLANK(Charms!I2925),(VLOOKUP(Values!$S$6,Castes!$B$2:$F$25,4,0)=Charms!I2925))</f>
        <v>#N/A</v>
      </c>
      <c r="J2925" t="e">
        <f t="shared" ca="1" si="226"/>
        <v>#N/A</v>
      </c>
      <c r="K2925" s="18" t="e">
        <f t="shared" ca="1" si="225"/>
        <v>#N/A</v>
      </c>
      <c r="L2925" t="e">
        <f ca="1">IF(J2925,Charms!B2925,"")</f>
        <v>#N/A</v>
      </c>
      <c r="M2925" t="str">
        <f t="shared" ca="1" si="227"/>
        <v>-</v>
      </c>
      <c r="N2925" s="18" t="str">
        <f t="shared" si="228"/>
        <v>K1622:L5000</v>
      </c>
      <c r="O2925" t="str">
        <f t="shared" si="229"/>
        <v>A1622:A2925</v>
      </c>
    </row>
    <row r="2926" spans="1:15">
      <c r="A2926" s="18">
        <f>Charms!K2926</f>
        <v>0</v>
      </c>
      <c r="B2926">
        <f>Charms!B2926</f>
        <v>0</v>
      </c>
      <c r="C2926" t="b">
        <f ca="1">OR(Values!$S$98&gt;=Charms!M2926,IFERROR(Charms!J2926=OFFSET(Values!$A$24,MATCH("S",Values!$T$25:$T$50,0),0),FALSE))</f>
        <v>1</v>
      </c>
      <c r="D2926" t="e">
        <f>VLOOKUP(Charms!J2926,Values!$A$11:$S$59,19,0)&gt;=Charms!L2926</f>
        <v>#N/A</v>
      </c>
      <c r="E2926" t="e">
        <f>OR(ISBLANK(Charms!I2926),(VLOOKUP(Values!$S$6,Castes!$B$2:$F$25,4,0)=Charms!I2926))</f>
        <v>#N/A</v>
      </c>
      <c r="J2926" t="e">
        <f t="shared" ca="1" si="226"/>
        <v>#N/A</v>
      </c>
      <c r="K2926" s="18" t="e">
        <f t="shared" ca="1" si="225"/>
        <v>#N/A</v>
      </c>
      <c r="L2926" t="e">
        <f ca="1">IF(J2926,Charms!B2926,"")</f>
        <v>#N/A</v>
      </c>
      <c r="M2926" t="str">
        <f t="shared" ca="1" si="227"/>
        <v>-</v>
      </c>
      <c r="N2926" s="18" t="str">
        <f t="shared" si="228"/>
        <v>K1622:L5000</v>
      </c>
      <c r="O2926" t="str">
        <f t="shared" si="229"/>
        <v>A1622:A2926</v>
      </c>
    </row>
    <row r="2927" spans="1:15">
      <c r="A2927" s="18">
        <f>Charms!K2927</f>
        <v>0</v>
      </c>
      <c r="B2927">
        <f>Charms!B2927</f>
        <v>0</v>
      </c>
      <c r="C2927" t="b">
        <f ca="1">OR(Values!$S$98&gt;=Charms!M2927,IFERROR(Charms!J2927=OFFSET(Values!$A$24,MATCH("S",Values!$T$25:$T$50,0),0),FALSE))</f>
        <v>1</v>
      </c>
      <c r="D2927" t="e">
        <f>VLOOKUP(Charms!J2927,Values!$A$11:$S$59,19,0)&gt;=Charms!L2927</f>
        <v>#N/A</v>
      </c>
      <c r="E2927" t="e">
        <f>OR(ISBLANK(Charms!I2927),(VLOOKUP(Values!$S$6,Castes!$B$2:$F$25,4,0)=Charms!I2927))</f>
        <v>#N/A</v>
      </c>
      <c r="J2927" t="e">
        <f t="shared" ca="1" si="226"/>
        <v>#N/A</v>
      </c>
      <c r="K2927" s="18" t="e">
        <f t="shared" ca="1" si="225"/>
        <v>#N/A</v>
      </c>
      <c r="L2927" t="e">
        <f ca="1">IF(J2927,Charms!B2927,"")</f>
        <v>#N/A</v>
      </c>
      <c r="M2927" t="str">
        <f t="shared" ca="1" si="227"/>
        <v>-</v>
      </c>
      <c r="N2927" s="18" t="str">
        <f t="shared" si="228"/>
        <v>K1622:L5000</v>
      </c>
      <c r="O2927" t="str">
        <f t="shared" si="229"/>
        <v>A1622:A2927</v>
      </c>
    </row>
    <row r="2928" spans="1:15">
      <c r="A2928" s="18">
        <f>Charms!K2928</f>
        <v>0</v>
      </c>
      <c r="B2928">
        <f>Charms!B2928</f>
        <v>0</v>
      </c>
      <c r="C2928" t="b">
        <f ca="1">OR(Values!$S$98&gt;=Charms!M2928,IFERROR(Charms!J2928=OFFSET(Values!$A$24,MATCH("S",Values!$T$25:$T$50,0),0),FALSE))</f>
        <v>1</v>
      </c>
      <c r="D2928" t="e">
        <f>VLOOKUP(Charms!J2928,Values!$A$11:$S$59,19,0)&gt;=Charms!L2928</f>
        <v>#N/A</v>
      </c>
      <c r="E2928" t="e">
        <f>OR(ISBLANK(Charms!I2928),(VLOOKUP(Values!$S$6,Castes!$B$2:$F$25,4,0)=Charms!I2928))</f>
        <v>#N/A</v>
      </c>
      <c r="J2928" t="e">
        <f t="shared" ca="1" si="226"/>
        <v>#N/A</v>
      </c>
      <c r="K2928" s="18" t="e">
        <f t="shared" ca="1" si="225"/>
        <v>#N/A</v>
      </c>
      <c r="L2928" t="e">
        <f ca="1">IF(J2928,Charms!B2928,"")</f>
        <v>#N/A</v>
      </c>
      <c r="M2928" t="str">
        <f t="shared" ca="1" si="227"/>
        <v>-</v>
      </c>
      <c r="N2928" s="18" t="str">
        <f t="shared" si="228"/>
        <v>K1622:L5000</v>
      </c>
      <c r="O2928" t="str">
        <f t="shared" si="229"/>
        <v>A1622:A2928</v>
      </c>
    </row>
    <row r="2929" spans="1:15">
      <c r="A2929" s="18">
        <f>Charms!K2929</f>
        <v>0</v>
      </c>
      <c r="B2929">
        <f>Charms!B2929</f>
        <v>0</v>
      </c>
      <c r="C2929" t="b">
        <f ca="1">OR(Values!$S$98&gt;=Charms!M2929,IFERROR(Charms!J2929=OFFSET(Values!$A$24,MATCH("S",Values!$T$25:$T$50,0),0),FALSE))</f>
        <v>1</v>
      </c>
      <c r="D2929" t="e">
        <f>VLOOKUP(Charms!J2929,Values!$A$11:$S$59,19,0)&gt;=Charms!L2929</f>
        <v>#N/A</v>
      </c>
      <c r="E2929" t="e">
        <f>OR(ISBLANK(Charms!I2929),(VLOOKUP(Values!$S$6,Castes!$B$2:$F$25,4,0)=Charms!I2929))</f>
        <v>#N/A</v>
      </c>
      <c r="J2929" t="e">
        <f t="shared" ca="1" si="226"/>
        <v>#N/A</v>
      </c>
      <c r="K2929" s="18" t="e">
        <f t="shared" ca="1" si="225"/>
        <v>#N/A</v>
      </c>
      <c r="L2929" t="e">
        <f ca="1">IF(J2929,Charms!B2929,"")</f>
        <v>#N/A</v>
      </c>
      <c r="M2929" t="str">
        <f t="shared" ca="1" si="227"/>
        <v>-</v>
      </c>
      <c r="N2929" s="18" t="str">
        <f t="shared" si="228"/>
        <v>K1622:L5000</v>
      </c>
      <c r="O2929" t="str">
        <f t="shared" si="229"/>
        <v>A1622:A2929</v>
      </c>
    </row>
    <row r="2930" spans="1:15">
      <c r="A2930" s="18">
        <f>Charms!K2930</f>
        <v>0</v>
      </c>
      <c r="B2930">
        <f>Charms!B2930</f>
        <v>0</v>
      </c>
      <c r="C2930" t="b">
        <f ca="1">OR(Values!$S$98&gt;=Charms!M2930,IFERROR(Charms!J2930=OFFSET(Values!$A$24,MATCH("S",Values!$T$25:$T$50,0),0),FALSE))</f>
        <v>1</v>
      </c>
      <c r="D2930" t="e">
        <f>VLOOKUP(Charms!J2930,Values!$A$11:$S$59,19,0)&gt;=Charms!L2930</f>
        <v>#N/A</v>
      </c>
      <c r="E2930" t="e">
        <f>OR(ISBLANK(Charms!I2930),(VLOOKUP(Values!$S$6,Castes!$B$2:$F$25,4,0)=Charms!I2930))</f>
        <v>#N/A</v>
      </c>
      <c r="J2930" t="e">
        <f t="shared" ca="1" si="226"/>
        <v>#N/A</v>
      </c>
      <c r="K2930" s="18" t="e">
        <f t="shared" ca="1" si="225"/>
        <v>#N/A</v>
      </c>
      <c r="L2930" t="e">
        <f ca="1">IF(J2930,Charms!B2930,"")</f>
        <v>#N/A</v>
      </c>
      <c r="M2930" t="str">
        <f t="shared" ca="1" si="227"/>
        <v>-</v>
      </c>
      <c r="N2930" s="18" t="str">
        <f t="shared" si="228"/>
        <v>K1622:L5000</v>
      </c>
      <c r="O2930" t="str">
        <f t="shared" si="229"/>
        <v>A1622:A2930</v>
      </c>
    </row>
    <row r="2931" spans="1:15">
      <c r="A2931" s="18">
        <f>Charms!K2931</f>
        <v>0</v>
      </c>
      <c r="B2931">
        <f>Charms!B2931</f>
        <v>0</v>
      </c>
      <c r="C2931" t="b">
        <f ca="1">OR(Values!$S$98&gt;=Charms!M2931,IFERROR(Charms!J2931=OFFSET(Values!$A$24,MATCH("S",Values!$T$25:$T$50,0),0),FALSE))</f>
        <v>1</v>
      </c>
      <c r="D2931" t="e">
        <f>VLOOKUP(Charms!J2931,Values!$A$11:$S$59,19,0)&gt;=Charms!L2931</f>
        <v>#N/A</v>
      </c>
      <c r="E2931" t="e">
        <f>OR(ISBLANK(Charms!I2931),(VLOOKUP(Values!$S$6,Castes!$B$2:$F$25,4,0)=Charms!I2931))</f>
        <v>#N/A</v>
      </c>
      <c r="J2931" t="e">
        <f t="shared" ca="1" si="226"/>
        <v>#N/A</v>
      </c>
      <c r="K2931" s="18" t="e">
        <f t="shared" ca="1" si="225"/>
        <v>#N/A</v>
      </c>
      <c r="L2931" t="e">
        <f ca="1">IF(J2931,Charms!B2931,"")</f>
        <v>#N/A</v>
      </c>
      <c r="M2931" t="str">
        <f t="shared" ca="1" si="227"/>
        <v>-</v>
      </c>
      <c r="N2931" s="18" t="str">
        <f t="shared" si="228"/>
        <v>K1622:L5000</v>
      </c>
      <c r="O2931" t="str">
        <f t="shared" si="229"/>
        <v>A1622:A2931</v>
      </c>
    </row>
    <row r="2932" spans="1:15">
      <c r="A2932" s="18">
        <f>Charms!K2932</f>
        <v>0</v>
      </c>
      <c r="B2932">
        <f>Charms!B2932</f>
        <v>0</v>
      </c>
      <c r="C2932" t="b">
        <f ca="1">OR(Values!$S$98&gt;=Charms!M2932,IFERROR(Charms!J2932=OFFSET(Values!$A$24,MATCH("S",Values!$T$25:$T$50,0),0),FALSE))</f>
        <v>1</v>
      </c>
      <c r="D2932" t="e">
        <f>VLOOKUP(Charms!J2932,Values!$A$11:$S$59,19,0)&gt;=Charms!L2932</f>
        <v>#N/A</v>
      </c>
      <c r="E2932" t="e">
        <f>OR(ISBLANK(Charms!I2932),(VLOOKUP(Values!$S$6,Castes!$B$2:$F$25,4,0)=Charms!I2932))</f>
        <v>#N/A</v>
      </c>
      <c r="J2932" t="e">
        <f t="shared" ca="1" si="226"/>
        <v>#N/A</v>
      </c>
      <c r="K2932" s="18" t="e">
        <f t="shared" ca="1" si="225"/>
        <v>#N/A</v>
      </c>
      <c r="L2932" t="e">
        <f ca="1">IF(J2932,Charms!B2932,"")</f>
        <v>#N/A</v>
      </c>
      <c r="M2932" t="str">
        <f t="shared" ca="1" si="227"/>
        <v>-</v>
      </c>
      <c r="N2932" s="18" t="str">
        <f t="shared" si="228"/>
        <v>K1622:L5000</v>
      </c>
      <c r="O2932" t="str">
        <f t="shared" si="229"/>
        <v>A1622:A2932</v>
      </c>
    </row>
    <row r="2933" spans="1:15">
      <c r="A2933" s="18">
        <f>Charms!K2933</f>
        <v>0</v>
      </c>
      <c r="B2933">
        <f>Charms!B2933</f>
        <v>0</v>
      </c>
      <c r="C2933" t="b">
        <f ca="1">OR(Values!$S$98&gt;=Charms!M2933,IFERROR(Charms!J2933=OFFSET(Values!$A$24,MATCH("S",Values!$T$25:$T$50,0),0),FALSE))</f>
        <v>1</v>
      </c>
      <c r="D2933" t="e">
        <f>VLOOKUP(Charms!J2933,Values!$A$11:$S$59,19,0)&gt;=Charms!L2933</f>
        <v>#N/A</v>
      </c>
      <c r="E2933" t="e">
        <f>OR(ISBLANK(Charms!I2933),(VLOOKUP(Values!$S$6,Castes!$B$2:$F$25,4,0)=Charms!I2933))</f>
        <v>#N/A</v>
      </c>
      <c r="J2933" t="e">
        <f t="shared" ca="1" si="226"/>
        <v>#N/A</v>
      </c>
      <c r="K2933" s="18" t="e">
        <f t="shared" ca="1" si="225"/>
        <v>#N/A</v>
      </c>
      <c r="L2933" t="e">
        <f ca="1">IF(J2933,Charms!B2933,"")</f>
        <v>#N/A</v>
      </c>
      <c r="M2933" t="str">
        <f t="shared" ca="1" si="227"/>
        <v>-</v>
      </c>
      <c r="N2933" s="18" t="str">
        <f t="shared" si="228"/>
        <v>K1622:L5000</v>
      </c>
      <c r="O2933" t="str">
        <f t="shared" si="229"/>
        <v>A1622:A2933</v>
      </c>
    </row>
    <row r="2934" spans="1:15">
      <c r="A2934" s="18">
        <f>Charms!K2934</f>
        <v>0</v>
      </c>
      <c r="B2934">
        <f>Charms!B2934</f>
        <v>0</v>
      </c>
      <c r="C2934" t="b">
        <f ca="1">OR(Values!$S$98&gt;=Charms!M2934,IFERROR(Charms!J2934=OFFSET(Values!$A$24,MATCH("S",Values!$T$25:$T$50,0),0),FALSE))</f>
        <v>1</v>
      </c>
      <c r="D2934" t="e">
        <f>VLOOKUP(Charms!J2934,Values!$A$11:$S$59,19,0)&gt;=Charms!L2934</f>
        <v>#N/A</v>
      </c>
      <c r="E2934" t="e">
        <f>OR(ISBLANK(Charms!I2934),(VLOOKUP(Values!$S$6,Castes!$B$2:$F$25,4,0)=Charms!I2934))</f>
        <v>#N/A</v>
      </c>
      <c r="J2934" t="e">
        <f t="shared" ca="1" si="226"/>
        <v>#N/A</v>
      </c>
      <c r="K2934" s="18" t="e">
        <f t="shared" ca="1" si="225"/>
        <v>#N/A</v>
      </c>
      <c r="L2934" t="e">
        <f ca="1">IF(J2934,Charms!B2934,"")</f>
        <v>#N/A</v>
      </c>
      <c r="M2934" t="str">
        <f t="shared" ca="1" si="227"/>
        <v>-</v>
      </c>
      <c r="N2934" s="18" t="str">
        <f t="shared" si="228"/>
        <v>K1622:L5000</v>
      </c>
      <c r="O2934" t="str">
        <f t="shared" si="229"/>
        <v>A1622:A2934</v>
      </c>
    </row>
    <row r="2935" spans="1:15">
      <c r="A2935" s="18">
        <f>Charms!K2935</f>
        <v>0</v>
      </c>
      <c r="B2935">
        <f>Charms!B2935</f>
        <v>0</v>
      </c>
      <c r="C2935" t="b">
        <f ca="1">OR(Values!$S$98&gt;=Charms!M2935,IFERROR(Charms!J2935=OFFSET(Values!$A$24,MATCH("S",Values!$T$25:$T$50,0),0),FALSE))</f>
        <v>1</v>
      </c>
      <c r="D2935" t="e">
        <f>VLOOKUP(Charms!J2935,Values!$A$11:$S$59,19,0)&gt;=Charms!L2935</f>
        <v>#N/A</v>
      </c>
      <c r="E2935" t="e">
        <f>OR(ISBLANK(Charms!I2935),(VLOOKUP(Values!$S$6,Castes!$B$2:$F$25,4,0)=Charms!I2935))</f>
        <v>#N/A</v>
      </c>
      <c r="J2935" t="e">
        <f t="shared" ca="1" si="226"/>
        <v>#N/A</v>
      </c>
      <c r="K2935" s="18" t="e">
        <f t="shared" ca="1" si="225"/>
        <v>#N/A</v>
      </c>
      <c r="L2935" t="e">
        <f ca="1">IF(J2935,Charms!B2935,"")</f>
        <v>#N/A</v>
      </c>
      <c r="M2935" t="str">
        <f t="shared" ca="1" si="227"/>
        <v>-</v>
      </c>
      <c r="N2935" s="18" t="str">
        <f t="shared" si="228"/>
        <v>K1622:L5000</v>
      </c>
      <c r="O2935" t="str">
        <f t="shared" si="229"/>
        <v>A1622:A2935</v>
      </c>
    </row>
    <row r="2936" spans="1:15">
      <c r="A2936" s="18">
        <f>Charms!K2936</f>
        <v>0</v>
      </c>
      <c r="B2936">
        <f>Charms!B2936</f>
        <v>0</v>
      </c>
      <c r="C2936" t="b">
        <f ca="1">OR(Values!$S$98&gt;=Charms!M2936,IFERROR(Charms!J2936=OFFSET(Values!$A$24,MATCH("S",Values!$T$25:$T$50,0),0),FALSE))</f>
        <v>1</v>
      </c>
      <c r="D2936" t="e">
        <f>VLOOKUP(Charms!J2936,Values!$A$11:$S$59,19,0)&gt;=Charms!L2936</f>
        <v>#N/A</v>
      </c>
      <c r="E2936" t="e">
        <f>OR(ISBLANK(Charms!I2936),(VLOOKUP(Values!$S$6,Castes!$B$2:$F$25,4,0)=Charms!I2936))</f>
        <v>#N/A</v>
      </c>
      <c r="J2936" t="e">
        <f t="shared" ca="1" si="226"/>
        <v>#N/A</v>
      </c>
      <c r="K2936" s="18" t="e">
        <f t="shared" ca="1" si="225"/>
        <v>#N/A</v>
      </c>
      <c r="L2936" t="e">
        <f ca="1">IF(J2936,Charms!B2936,"")</f>
        <v>#N/A</v>
      </c>
      <c r="M2936" t="str">
        <f t="shared" ca="1" si="227"/>
        <v>-</v>
      </c>
      <c r="N2936" s="18" t="str">
        <f t="shared" si="228"/>
        <v>K1622:L5000</v>
      </c>
      <c r="O2936" t="str">
        <f t="shared" si="229"/>
        <v>A1622:A2936</v>
      </c>
    </row>
    <row r="2937" spans="1:15">
      <c r="A2937" s="18">
        <f>Charms!K2937</f>
        <v>0</v>
      </c>
      <c r="B2937">
        <f>Charms!B2937</f>
        <v>0</v>
      </c>
      <c r="C2937" t="b">
        <f ca="1">OR(Values!$S$98&gt;=Charms!M2937,IFERROR(Charms!J2937=OFFSET(Values!$A$24,MATCH("S",Values!$T$25:$T$50,0),0),FALSE))</f>
        <v>1</v>
      </c>
      <c r="D2937" t="e">
        <f>VLOOKUP(Charms!J2937,Values!$A$11:$S$59,19,0)&gt;=Charms!L2937</f>
        <v>#N/A</v>
      </c>
      <c r="E2937" t="e">
        <f>OR(ISBLANK(Charms!I2937),(VLOOKUP(Values!$S$6,Castes!$B$2:$F$25,4,0)=Charms!I2937))</f>
        <v>#N/A</v>
      </c>
      <c r="J2937" t="e">
        <f t="shared" ca="1" si="226"/>
        <v>#N/A</v>
      </c>
      <c r="K2937" s="18" t="e">
        <f t="shared" ca="1" si="225"/>
        <v>#N/A</v>
      </c>
      <c r="L2937" t="e">
        <f ca="1">IF(J2937,Charms!B2937,"")</f>
        <v>#N/A</v>
      </c>
      <c r="M2937" t="str">
        <f t="shared" ca="1" si="227"/>
        <v>-</v>
      </c>
      <c r="N2937" s="18" t="str">
        <f t="shared" si="228"/>
        <v>K1622:L5000</v>
      </c>
      <c r="O2937" t="str">
        <f t="shared" si="229"/>
        <v>A1622:A2937</v>
      </c>
    </row>
    <row r="2938" spans="1:15">
      <c r="A2938" s="18">
        <f>Charms!K2938</f>
        <v>0</v>
      </c>
      <c r="B2938">
        <f>Charms!B2938</f>
        <v>0</v>
      </c>
      <c r="C2938" t="b">
        <f ca="1">OR(Values!$S$98&gt;=Charms!M2938,IFERROR(Charms!J2938=OFFSET(Values!$A$24,MATCH("S",Values!$T$25:$T$50,0),0),FALSE))</f>
        <v>1</v>
      </c>
      <c r="D2938" t="e">
        <f>VLOOKUP(Charms!J2938,Values!$A$11:$S$59,19,0)&gt;=Charms!L2938</f>
        <v>#N/A</v>
      </c>
      <c r="E2938" t="e">
        <f>OR(ISBLANK(Charms!I2938),(VLOOKUP(Values!$S$6,Castes!$B$2:$F$25,4,0)=Charms!I2938))</f>
        <v>#N/A</v>
      </c>
      <c r="J2938" t="e">
        <f t="shared" ca="1" si="226"/>
        <v>#N/A</v>
      </c>
      <c r="K2938" s="18" t="e">
        <f t="shared" ca="1" si="225"/>
        <v>#N/A</v>
      </c>
      <c r="L2938" t="e">
        <f ca="1">IF(J2938,Charms!B2938,"")</f>
        <v>#N/A</v>
      </c>
      <c r="M2938" t="str">
        <f t="shared" ca="1" si="227"/>
        <v>-</v>
      </c>
      <c r="N2938" s="18" t="str">
        <f t="shared" si="228"/>
        <v>K1622:L5000</v>
      </c>
      <c r="O2938" t="str">
        <f t="shared" si="229"/>
        <v>A1622:A2938</v>
      </c>
    </row>
    <row r="2939" spans="1:15">
      <c r="A2939" s="18">
        <f>Charms!K2939</f>
        <v>0</v>
      </c>
      <c r="B2939">
        <f>Charms!B2939</f>
        <v>0</v>
      </c>
      <c r="C2939" t="b">
        <f ca="1">OR(Values!$S$98&gt;=Charms!M2939,IFERROR(Charms!J2939=OFFSET(Values!$A$24,MATCH("S",Values!$T$25:$T$50,0),0),FALSE))</f>
        <v>1</v>
      </c>
      <c r="D2939" t="e">
        <f>VLOOKUP(Charms!J2939,Values!$A$11:$S$59,19,0)&gt;=Charms!L2939</f>
        <v>#N/A</v>
      </c>
      <c r="E2939" t="e">
        <f>OR(ISBLANK(Charms!I2939),(VLOOKUP(Values!$S$6,Castes!$B$2:$F$25,4,0)=Charms!I2939))</f>
        <v>#N/A</v>
      </c>
      <c r="J2939" t="e">
        <f t="shared" ca="1" si="226"/>
        <v>#N/A</v>
      </c>
      <c r="K2939" s="18" t="e">
        <f t="shared" ca="1" si="225"/>
        <v>#N/A</v>
      </c>
      <c r="L2939" t="e">
        <f ca="1">IF(J2939,Charms!B2939,"")</f>
        <v>#N/A</v>
      </c>
      <c r="M2939" t="str">
        <f t="shared" ca="1" si="227"/>
        <v>-</v>
      </c>
      <c r="N2939" s="18" t="str">
        <f t="shared" si="228"/>
        <v>K1622:L5000</v>
      </c>
      <c r="O2939" t="str">
        <f t="shared" si="229"/>
        <v>A1622:A2939</v>
      </c>
    </row>
    <row r="2940" spans="1:15">
      <c r="A2940" s="18">
        <f>Charms!K2940</f>
        <v>0</v>
      </c>
      <c r="B2940">
        <f>Charms!B2940</f>
        <v>0</v>
      </c>
      <c r="C2940" t="b">
        <f ca="1">OR(Values!$S$98&gt;=Charms!M2940,IFERROR(Charms!J2940=OFFSET(Values!$A$24,MATCH("S",Values!$T$25:$T$50,0),0),FALSE))</f>
        <v>1</v>
      </c>
      <c r="D2940" t="e">
        <f>VLOOKUP(Charms!J2940,Values!$A$11:$S$59,19,0)&gt;=Charms!L2940</f>
        <v>#N/A</v>
      </c>
      <c r="E2940" t="e">
        <f>OR(ISBLANK(Charms!I2940),(VLOOKUP(Values!$S$6,Castes!$B$2:$F$25,4,0)=Charms!I2940))</f>
        <v>#N/A</v>
      </c>
      <c r="J2940" t="e">
        <f t="shared" ca="1" si="226"/>
        <v>#N/A</v>
      </c>
      <c r="K2940" s="18" t="e">
        <f t="shared" ca="1" si="225"/>
        <v>#N/A</v>
      </c>
      <c r="L2940" t="e">
        <f ca="1">IF(J2940,Charms!B2940,"")</f>
        <v>#N/A</v>
      </c>
      <c r="M2940" t="str">
        <f t="shared" ca="1" si="227"/>
        <v>-</v>
      </c>
      <c r="N2940" s="18" t="str">
        <f t="shared" si="228"/>
        <v>K1622:L5000</v>
      </c>
      <c r="O2940" t="str">
        <f t="shared" si="229"/>
        <v>A1622:A2940</v>
      </c>
    </row>
    <row r="2941" spans="1:15">
      <c r="A2941" s="18">
        <f>Charms!K2941</f>
        <v>0</v>
      </c>
      <c r="B2941">
        <f>Charms!B2941</f>
        <v>0</v>
      </c>
      <c r="C2941" t="b">
        <f ca="1">OR(Values!$S$98&gt;=Charms!M2941,IFERROR(Charms!J2941=OFFSET(Values!$A$24,MATCH("S",Values!$T$25:$T$50,0),0),FALSE))</f>
        <v>1</v>
      </c>
      <c r="D2941" t="e">
        <f>VLOOKUP(Charms!J2941,Values!$A$11:$S$59,19,0)&gt;=Charms!L2941</f>
        <v>#N/A</v>
      </c>
      <c r="E2941" t="e">
        <f>OR(ISBLANK(Charms!I2941),(VLOOKUP(Values!$S$6,Castes!$B$2:$F$25,4,0)=Charms!I2941))</f>
        <v>#N/A</v>
      </c>
      <c r="J2941" t="e">
        <f t="shared" ca="1" si="226"/>
        <v>#N/A</v>
      </c>
      <c r="K2941" s="18" t="e">
        <f t="shared" ca="1" si="225"/>
        <v>#N/A</v>
      </c>
      <c r="L2941" t="e">
        <f ca="1">IF(J2941,Charms!B2941,"")</f>
        <v>#N/A</v>
      </c>
      <c r="M2941" t="str">
        <f t="shared" ca="1" si="227"/>
        <v>-</v>
      </c>
      <c r="N2941" s="18" t="str">
        <f t="shared" si="228"/>
        <v>K1622:L5000</v>
      </c>
      <c r="O2941" t="str">
        <f t="shared" si="229"/>
        <v>A1622:A2941</v>
      </c>
    </row>
    <row r="2942" spans="1:15">
      <c r="A2942" s="18">
        <f>Charms!K2942</f>
        <v>0</v>
      </c>
      <c r="B2942">
        <f>Charms!B2942</f>
        <v>0</v>
      </c>
      <c r="C2942" t="b">
        <f ca="1">OR(Values!$S$98&gt;=Charms!M2942,IFERROR(Charms!J2942=OFFSET(Values!$A$24,MATCH("S",Values!$T$25:$T$50,0),0),FALSE))</f>
        <v>1</v>
      </c>
      <c r="D2942" t="e">
        <f>VLOOKUP(Charms!J2942,Values!$A$11:$S$59,19,0)&gt;=Charms!L2942</f>
        <v>#N/A</v>
      </c>
      <c r="E2942" t="e">
        <f>OR(ISBLANK(Charms!I2942),(VLOOKUP(Values!$S$6,Castes!$B$2:$F$25,4,0)=Charms!I2942))</f>
        <v>#N/A</v>
      </c>
      <c r="J2942" t="e">
        <f t="shared" ca="1" si="226"/>
        <v>#N/A</v>
      </c>
      <c r="K2942" s="18" t="e">
        <f t="shared" ca="1" si="225"/>
        <v>#N/A</v>
      </c>
      <c r="L2942" t="e">
        <f ca="1">IF(J2942,Charms!B2942,"")</f>
        <v>#N/A</v>
      </c>
      <c r="M2942" t="str">
        <f t="shared" ca="1" si="227"/>
        <v>-</v>
      </c>
      <c r="N2942" s="18" t="str">
        <f t="shared" si="228"/>
        <v>K1622:L5000</v>
      </c>
      <c r="O2942" t="str">
        <f t="shared" si="229"/>
        <v>A1622:A2942</v>
      </c>
    </row>
    <row r="2943" spans="1:15">
      <c r="A2943" s="18">
        <f>Charms!K2943</f>
        <v>0</v>
      </c>
      <c r="B2943">
        <f>Charms!B2943</f>
        <v>0</v>
      </c>
      <c r="C2943" t="b">
        <f ca="1">OR(Values!$S$98&gt;=Charms!M2943,IFERROR(Charms!J2943=OFFSET(Values!$A$24,MATCH("S",Values!$T$25:$T$50,0),0),FALSE))</f>
        <v>1</v>
      </c>
      <c r="D2943" t="e">
        <f>VLOOKUP(Charms!J2943,Values!$A$11:$S$59,19,0)&gt;=Charms!L2943</f>
        <v>#N/A</v>
      </c>
      <c r="E2943" t="e">
        <f>OR(ISBLANK(Charms!I2943),(VLOOKUP(Values!$S$6,Castes!$B$2:$F$25,4,0)=Charms!I2943))</f>
        <v>#N/A</v>
      </c>
      <c r="J2943" t="e">
        <f t="shared" ca="1" si="226"/>
        <v>#N/A</v>
      </c>
      <c r="K2943" s="18" t="e">
        <f t="shared" ca="1" si="225"/>
        <v>#N/A</v>
      </c>
      <c r="L2943" t="e">
        <f ca="1">IF(J2943,Charms!B2943,"")</f>
        <v>#N/A</v>
      </c>
      <c r="M2943" t="str">
        <f t="shared" ca="1" si="227"/>
        <v>-</v>
      </c>
      <c r="N2943" s="18" t="str">
        <f t="shared" si="228"/>
        <v>K1622:L5000</v>
      </c>
      <c r="O2943" t="str">
        <f t="shared" si="229"/>
        <v>A1622:A2943</v>
      </c>
    </row>
    <row r="2944" spans="1:15">
      <c r="A2944" s="18">
        <f>Charms!K2944</f>
        <v>0</v>
      </c>
      <c r="B2944">
        <f>Charms!B2944</f>
        <v>0</v>
      </c>
      <c r="C2944" t="b">
        <f ca="1">OR(Values!$S$98&gt;=Charms!M2944,IFERROR(Charms!J2944=OFFSET(Values!$A$24,MATCH("S",Values!$T$25:$T$50,0),0),FALSE))</f>
        <v>1</v>
      </c>
      <c r="D2944" t="e">
        <f>VLOOKUP(Charms!J2944,Values!$A$11:$S$59,19,0)&gt;=Charms!L2944</f>
        <v>#N/A</v>
      </c>
      <c r="E2944" t="e">
        <f>OR(ISBLANK(Charms!I2944),(VLOOKUP(Values!$S$6,Castes!$B$2:$F$25,4,0)=Charms!I2944))</f>
        <v>#N/A</v>
      </c>
      <c r="J2944" t="e">
        <f t="shared" ca="1" si="226"/>
        <v>#N/A</v>
      </c>
      <c r="K2944" s="18" t="e">
        <f t="shared" ca="1" si="225"/>
        <v>#N/A</v>
      </c>
      <c r="L2944" t="e">
        <f ca="1">IF(J2944,Charms!B2944,"")</f>
        <v>#N/A</v>
      </c>
      <c r="M2944" t="str">
        <f t="shared" ca="1" si="227"/>
        <v>-</v>
      </c>
      <c r="N2944" s="18" t="str">
        <f t="shared" si="228"/>
        <v>K1622:L5000</v>
      </c>
      <c r="O2944" t="str">
        <f t="shared" si="229"/>
        <v>A1622:A2944</v>
      </c>
    </row>
    <row r="2945" spans="1:15">
      <c r="A2945" s="18">
        <f>Charms!K2945</f>
        <v>0</v>
      </c>
      <c r="B2945">
        <f>Charms!B2945</f>
        <v>0</v>
      </c>
      <c r="C2945" t="b">
        <f ca="1">OR(Values!$S$98&gt;=Charms!M2945,IFERROR(Charms!J2945=OFFSET(Values!$A$24,MATCH("S",Values!$T$25:$T$50,0),0),FALSE))</f>
        <v>1</v>
      </c>
      <c r="D2945" t="e">
        <f>VLOOKUP(Charms!J2945,Values!$A$11:$S$59,19,0)&gt;=Charms!L2945</f>
        <v>#N/A</v>
      </c>
      <c r="E2945" t="e">
        <f>OR(ISBLANK(Charms!I2945),(VLOOKUP(Values!$S$6,Castes!$B$2:$F$25,4,0)=Charms!I2945))</f>
        <v>#N/A</v>
      </c>
      <c r="J2945" t="e">
        <f t="shared" ca="1" si="226"/>
        <v>#N/A</v>
      </c>
      <c r="K2945" s="18" t="e">
        <f t="shared" ca="1" si="225"/>
        <v>#N/A</v>
      </c>
      <c r="L2945" t="e">
        <f ca="1">IF(J2945,Charms!B2945,"")</f>
        <v>#N/A</v>
      </c>
      <c r="M2945" t="str">
        <f t="shared" ca="1" si="227"/>
        <v>-</v>
      </c>
      <c r="N2945" s="18" t="str">
        <f t="shared" si="228"/>
        <v>K1622:L5000</v>
      </c>
      <c r="O2945" t="str">
        <f t="shared" si="229"/>
        <v>A1622:A2945</v>
      </c>
    </row>
    <row r="2946" spans="1:15">
      <c r="A2946" s="18">
        <f>Charms!K2946</f>
        <v>0</v>
      </c>
      <c r="B2946">
        <f>Charms!B2946</f>
        <v>0</v>
      </c>
      <c r="C2946" t="b">
        <f ca="1">OR(Values!$S$98&gt;=Charms!M2946,IFERROR(Charms!J2946=OFFSET(Values!$A$24,MATCH("S",Values!$T$25:$T$50,0),0),FALSE))</f>
        <v>1</v>
      </c>
      <c r="D2946" t="e">
        <f>VLOOKUP(Charms!J2946,Values!$A$11:$S$59,19,0)&gt;=Charms!L2946</f>
        <v>#N/A</v>
      </c>
      <c r="E2946" t="e">
        <f>OR(ISBLANK(Charms!I2946),(VLOOKUP(Values!$S$6,Castes!$B$2:$F$25,4,0)=Charms!I2946))</f>
        <v>#N/A</v>
      </c>
      <c r="J2946" t="e">
        <f t="shared" ca="1" si="226"/>
        <v>#N/A</v>
      </c>
      <c r="K2946" s="18" t="e">
        <f t="shared" ref="K2946:K3009" ca="1" si="230">IF(L2946="","",COUNTIF(INDIRECT("J"&amp;MATCH(A2946,A:A,0)&amp;":J"&amp;ROW()),J2946))</f>
        <v>#N/A</v>
      </c>
      <c r="L2946" t="e">
        <f ca="1">IF(J2946,Charms!B2946,"")</f>
        <v>#N/A</v>
      </c>
      <c r="M2946" t="str">
        <f t="shared" ca="1" si="227"/>
        <v>-</v>
      </c>
      <c r="N2946" s="18" t="str">
        <f t="shared" si="228"/>
        <v>K1622:L5000</v>
      </c>
      <c r="O2946" t="str">
        <f t="shared" si="229"/>
        <v>A1622:A2946</v>
      </c>
    </row>
    <row r="2947" spans="1:15">
      <c r="A2947" s="18">
        <f>Charms!K2947</f>
        <v>0</v>
      </c>
      <c r="B2947">
        <f>Charms!B2947</f>
        <v>0</v>
      </c>
      <c r="C2947" t="b">
        <f ca="1">OR(Values!$S$98&gt;=Charms!M2947,IFERROR(Charms!J2947=OFFSET(Values!$A$24,MATCH("S",Values!$T$25:$T$50,0),0),FALSE))</f>
        <v>1</v>
      </c>
      <c r="D2947" t="e">
        <f>VLOOKUP(Charms!J2947,Values!$A$11:$S$59,19,0)&gt;=Charms!L2947</f>
        <v>#N/A</v>
      </c>
      <c r="E2947" t="e">
        <f>OR(ISBLANK(Charms!I2947),(VLOOKUP(Values!$S$6,Castes!$B$2:$F$25,4,0)=Charms!I2947))</f>
        <v>#N/A</v>
      </c>
      <c r="J2947" t="e">
        <f t="shared" ref="J2947:J3010" ca="1" si="231">(C2947+D2947+E2947+F2947+G2947+H2947+I2947)=3</f>
        <v>#N/A</v>
      </c>
      <c r="K2947" s="18" t="e">
        <f t="shared" ca="1" si="230"/>
        <v>#N/A</v>
      </c>
      <c r="L2947" t="e">
        <f ca="1">IF(J2947,Charms!B2947,"")</f>
        <v>#N/A</v>
      </c>
      <c r="M2947" t="str">
        <f t="shared" ref="M2947:M3010" ca="1" si="232">IFERROR(VLOOKUP(COUNTIF(INDIRECT(O2947),A2947),INDIRECT(N2947),2,0),"-")</f>
        <v>-</v>
      </c>
      <c r="N2947" s="18" t="str">
        <f t="shared" ref="N2947:N3010" si="233">"K"&amp;MATCH(A2947,A:A,0)&amp;":L"&amp;(MATCH(A2947,A:A,0)+COUNTIF(A:A,A2947)-1)</f>
        <v>K1622:L5000</v>
      </c>
      <c r="O2947" t="str">
        <f t="shared" ref="O2947:O3010" si="234">"A"&amp;MATCH(A2947,A:A,0)&amp;":A"&amp;ROW()</f>
        <v>A1622:A2947</v>
      </c>
    </row>
    <row r="2948" spans="1:15">
      <c r="A2948" s="18">
        <f>Charms!K2948</f>
        <v>0</v>
      </c>
      <c r="B2948">
        <f>Charms!B2948</f>
        <v>0</v>
      </c>
      <c r="C2948" t="b">
        <f ca="1">OR(Values!$S$98&gt;=Charms!M2948,IFERROR(Charms!J2948=OFFSET(Values!$A$24,MATCH("S",Values!$T$25:$T$50,0),0),FALSE))</f>
        <v>1</v>
      </c>
      <c r="D2948" t="e">
        <f>VLOOKUP(Charms!J2948,Values!$A$11:$S$59,19,0)&gt;=Charms!L2948</f>
        <v>#N/A</v>
      </c>
      <c r="E2948" t="e">
        <f>OR(ISBLANK(Charms!I2948),(VLOOKUP(Values!$S$6,Castes!$B$2:$F$25,4,0)=Charms!I2948))</f>
        <v>#N/A</v>
      </c>
      <c r="J2948" t="e">
        <f t="shared" ca="1" si="231"/>
        <v>#N/A</v>
      </c>
      <c r="K2948" s="18" t="e">
        <f t="shared" ca="1" si="230"/>
        <v>#N/A</v>
      </c>
      <c r="L2948" t="e">
        <f ca="1">IF(J2948,Charms!B2948,"")</f>
        <v>#N/A</v>
      </c>
      <c r="M2948" t="str">
        <f t="shared" ca="1" si="232"/>
        <v>-</v>
      </c>
      <c r="N2948" s="18" t="str">
        <f t="shared" si="233"/>
        <v>K1622:L5000</v>
      </c>
      <c r="O2948" t="str">
        <f t="shared" si="234"/>
        <v>A1622:A2948</v>
      </c>
    </row>
    <row r="2949" spans="1:15">
      <c r="A2949" s="18">
        <f>Charms!K2949</f>
        <v>0</v>
      </c>
      <c r="B2949">
        <f>Charms!B2949</f>
        <v>0</v>
      </c>
      <c r="C2949" t="b">
        <f ca="1">OR(Values!$S$98&gt;=Charms!M2949,IFERROR(Charms!J2949=OFFSET(Values!$A$24,MATCH("S",Values!$T$25:$T$50,0),0),FALSE))</f>
        <v>1</v>
      </c>
      <c r="D2949" t="e">
        <f>VLOOKUP(Charms!J2949,Values!$A$11:$S$59,19,0)&gt;=Charms!L2949</f>
        <v>#N/A</v>
      </c>
      <c r="E2949" t="e">
        <f>OR(ISBLANK(Charms!I2949),(VLOOKUP(Values!$S$6,Castes!$B$2:$F$25,4,0)=Charms!I2949))</f>
        <v>#N/A</v>
      </c>
      <c r="J2949" t="e">
        <f t="shared" ca="1" si="231"/>
        <v>#N/A</v>
      </c>
      <c r="K2949" s="18" t="e">
        <f t="shared" ca="1" si="230"/>
        <v>#N/A</v>
      </c>
      <c r="L2949" t="e">
        <f ca="1">IF(J2949,Charms!B2949,"")</f>
        <v>#N/A</v>
      </c>
      <c r="M2949" t="str">
        <f t="shared" ca="1" si="232"/>
        <v>-</v>
      </c>
      <c r="N2949" s="18" t="str">
        <f t="shared" si="233"/>
        <v>K1622:L5000</v>
      </c>
      <c r="O2949" t="str">
        <f t="shared" si="234"/>
        <v>A1622:A2949</v>
      </c>
    </row>
    <row r="2950" spans="1:15">
      <c r="A2950" s="18">
        <f>Charms!K2950</f>
        <v>0</v>
      </c>
      <c r="B2950">
        <f>Charms!B2950</f>
        <v>0</v>
      </c>
      <c r="C2950" t="b">
        <f ca="1">OR(Values!$S$98&gt;=Charms!M2950,IFERROR(Charms!J2950=OFFSET(Values!$A$24,MATCH("S",Values!$T$25:$T$50,0),0),FALSE))</f>
        <v>1</v>
      </c>
      <c r="D2950" t="e">
        <f>VLOOKUP(Charms!J2950,Values!$A$11:$S$59,19,0)&gt;=Charms!L2950</f>
        <v>#N/A</v>
      </c>
      <c r="E2950" t="e">
        <f>OR(ISBLANK(Charms!I2950),(VLOOKUP(Values!$S$6,Castes!$B$2:$F$25,4,0)=Charms!I2950))</f>
        <v>#N/A</v>
      </c>
      <c r="J2950" t="e">
        <f t="shared" ca="1" si="231"/>
        <v>#N/A</v>
      </c>
      <c r="K2950" s="18" t="e">
        <f t="shared" ca="1" si="230"/>
        <v>#N/A</v>
      </c>
      <c r="L2950" t="e">
        <f ca="1">IF(J2950,Charms!B2950,"")</f>
        <v>#N/A</v>
      </c>
      <c r="M2950" t="str">
        <f t="shared" ca="1" si="232"/>
        <v>-</v>
      </c>
      <c r="N2950" s="18" t="str">
        <f t="shared" si="233"/>
        <v>K1622:L5000</v>
      </c>
      <c r="O2950" t="str">
        <f t="shared" si="234"/>
        <v>A1622:A2950</v>
      </c>
    </row>
    <row r="2951" spans="1:15">
      <c r="A2951" s="18">
        <f>Charms!K2951</f>
        <v>0</v>
      </c>
      <c r="B2951">
        <f>Charms!B2951</f>
        <v>0</v>
      </c>
      <c r="C2951" t="b">
        <f ca="1">OR(Values!$S$98&gt;=Charms!M2951,IFERROR(Charms!J2951=OFFSET(Values!$A$24,MATCH("S",Values!$T$25:$T$50,0),0),FALSE))</f>
        <v>1</v>
      </c>
      <c r="D2951" t="e">
        <f>VLOOKUP(Charms!J2951,Values!$A$11:$S$59,19,0)&gt;=Charms!L2951</f>
        <v>#N/A</v>
      </c>
      <c r="E2951" t="e">
        <f>OR(ISBLANK(Charms!I2951),(VLOOKUP(Values!$S$6,Castes!$B$2:$F$25,4,0)=Charms!I2951))</f>
        <v>#N/A</v>
      </c>
      <c r="J2951" t="e">
        <f t="shared" ca="1" si="231"/>
        <v>#N/A</v>
      </c>
      <c r="K2951" s="18" t="e">
        <f t="shared" ca="1" si="230"/>
        <v>#N/A</v>
      </c>
      <c r="L2951" t="e">
        <f ca="1">IF(J2951,Charms!B2951,"")</f>
        <v>#N/A</v>
      </c>
      <c r="M2951" t="str">
        <f t="shared" ca="1" si="232"/>
        <v>-</v>
      </c>
      <c r="N2951" s="18" t="str">
        <f t="shared" si="233"/>
        <v>K1622:L5000</v>
      </c>
      <c r="O2951" t="str">
        <f t="shared" si="234"/>
        <v>A1622:A2951</v>
      </c>
    </row>
    <row r="2952" spans="1:15">
      <c r="A2952" s="18">
        <f>Charms!K2952</f>
        <v>0</v>
      </c>
      <c r="B2952">
        <f>Charms!B2952</f>
        <v>0</v>
      </c>
      <c r="C2952" t="b">
        <f ca="1">OR(Values!$S$98&gt;=Charms!M2952,IFERROR(Charms!J2952=OFFSET(Values!$A$24,MATCH("S",Values!$T$25:$T$50,0),0),FALSE))</f>
        <v>1</v>
      </c>
      <c r="D2952" t="e">
        <f>VLOOKUP(Charms!J2952,Values!$A$11:$S$59,19,0)&gt;=Charms!L2952</f>
        <v>#N/A</v>
      </c>
      <c r="E2952" t="e">
        <f>OR(ISBLANK(Charms!I2952),(VLOOKUP(Values!$S$6,Castes!$B$2:$F$25,4,0)=Charms!I2952))</f>
        <v>#N/A</v>
      </c>
      <c r="J2952" t="e">
        <f t="shared" ca="1" si="231"/>
        <v>#N/A</v>
      </c>
      <c r="K2952" s="18" t="e">
        <f t="shared" ca="1" si="230"/>
        <v>#N/A</v>
      </c>
      <c r="L2952" t="e">
        <f ca="1">IF(J2952,Charms!B2952,"")</f>
        <v>#N/A</v>
      </c>
      <c r="M2952" t="str">
        <f t="shared" ca="1" si="232"/>
        <v>-</v>
      </c>
      <c r="N2952" s="18" t="str">
        <f t="shared" si="233"/>
        <v>K1622:L5000</v>
      </c>
      <c r="O2952" t="str">
        <f t="shared" si="234"/>
        <v>A1622:A2952</v>
      </c>
    </row>
    <row r="2953" spans="1:15">
      <c r="A2953" s="18">
        <f>Charms!K2953</f>
        <v>0</v>
      </c>
      <c r="B2953">
        <f>Charms!B2953</f>
        <v>0</v>
      </c>
      <c r="C2953" t="b">
        <f ca="1">OR(Values!$S$98&gt;=Charms!M2953,IFERROR(Charms!J2953=OFFSET(Values!$A$24,MATCH("S",Values!$T$25:$T$50,0),0),FALSE))</f>
        <v>1</v>
      </c>
      <c r="D2953" t="e">
        <f>VLOOKUP(Charms!J2953,Values!$A$11:$S$59,19,0)&gt;=Charms!L2953</f>
        <v>#N/A</v>
      </c>
      <c r="E2953" t="e">
        <f>OR(ISBLANK(Charms!I2953),(VLOOKUP(Values!$S$6,Castes!$B$2:$F$25,4,0)=Charms!I2953))</f>
        <v>#N/A</v>
      </c>
      <c r="J2953" t="e">
        <f t="shared" ca="1" si="231"/>
        <v>#N/A</v>
      </c>
      <c r="K2953" s="18" t="e">
        <f t="shared" ca="1" si="230"/>
        <v>#N/A</v>
      </c>
      <c r="L2953" t="e">
        <f ca="1">IF(J2953,Charms!B2953,"")</f>
        <v>#N/A</v>
      </c>
      <c r="M2953" t="str">
        <f t="shared" ca="1" si="232"/>
        <v>-</v>
      </c>
      <c r="N2953" s="18" t="str">
        <f t="shared" si="233"/>
        <v>K1622:L5000</v>
      </c>
      <c r="O2953" t="str">
        <f t="shared" si="234"/>
        <v>A1622:A2953</v>
      </c>
    </row>
    <row r="2954" spans="1:15">
      <c r="A2954" s="18">
        <f>Charms!K2954</f>
        <v>0</v>
      </c>
      <c r="B2954">
        <f>Charms!B2954</f>
        <v>0</v>
      </c>
      <c r="C2954" t="b">
        <f ca="1">OR(Values!$S$98&gt;=Charms!M2954,IFERROR(Charms!J2954=OFFSET(Values!$A$24,MATCH("S",Values!$T$25:$T$50,0),0),FALSE))</f>
        <v>1</v>
      </c>
      <c r="D2954" t="e">
        <f>VLOOKUP(Charms!J2954,Values!$A$11:$S$59,19,0)&gt;=Charms!L2954</f>
        <v>#N/A</v>
      </c>
      <c r="E2954" t="e">
        <f>OR(ISBLANK(Charms!I2954),(VLOOKUP(Values!$S$6,Castes!$B$2:$F$25,4,0)=Charms!I2954))</f>
        <v>#N/A</v>
      </c>
      <c r="J2954" t="e">
        <f t="shared" ca="1" si="231"/>
        <v>#N/A</v>
      </c>
      <c r="K2954" s="18" t="e">
        <f t="shared" ca="1" si="230"/>
        <v>#N/A</v>
      </c>
      <c r="L2954" t="e">
        <f ca="1">IF(J2954,Charms!B2954,"")</f>
        <v>#N/A</v>
      </c>
      <c r="M2954" t="str">
        <f t="shared" ca="1" si="232"/>
        <v>-</v>
      </c>
      <c r="N2954" s="18" t="str">
        <f t="shared" si="233"/>
        <v>K1622:L5000</v>
      </c>
      <c r="O2954" t="str">
        <f t="shared" si="234"/>
        <v>A1622:A2954</v>
      </c>
    </row>
    <row r="2955" spans="1:15">
      <c r="A2955" s="18">
        <f>Charms!K2955</f>
        <v>0</v>
      </c>
      <c r="B2955">
        <f>Charms!B2955</f>
        <v>0</v>
      </c>
      <c r="C2955" t="b">
        <f ca="1">OR(Values!$S$98&gt;=Charms!M2955,IFERROR(Charms!J2955=OFFSET(Values!$A$24,MATCH("S",Values!$T$25:$T$50,0),0),FALSE))</f>
        <v>1</v>
      </c>
      <c r="D2955" t="e">
        <f>VLOOKUP(Charms!J2955,Values!$A$11:$S$59,19,0)&gt;=Charms!L2955</f>
        <v>#N/A</v>
      </c>
      <c r="E2955" t="e">
        <f>OR(ISBLANK(Charms!I2955),(VLOOKUP(Values!$S$6,Castes!$B$2:$F$25,4,0)=Charms!I2955))</f>
        <v>#N/A</v>
      </c>
      <c r="J2955" t="e">
        <f t="shared" ca="1" si="231"/>
        <v>#N/A</v>
      </c>
      <c r="K2955" s="18" t="e">
        <f t="shared" ca="1" si="230"/>
        <v>#N/A</v>
      </c>
      <c r="L2955" t="e">
        <f ca="1">IF(J2955,Charms!B2955,"")</f>
        <v>#N/A</v>
      </c>
      <c r="M2955" t="str">
        <f t="shared" ca="1" si="232"/>
        <v>-</v>
      </c>
      <c r="N2955" s="18" t="str">
        <f t="shared" si="233"/>
        <v>K1622:L5000</v>
      </c>
      <c r="O2955" t="str">
        <f t="shared" si="234"/>
        <v>A1622:A2955</v>
      </c>
    </row>
    <row r="2956" spans="1:15">
      <c r="A2956" s="18">
        <f>Charms!K2956</f>
        <v>0</v>
      </c>
      <c r="B2956">
        <f>Charms!B2956</f>
        <v>0</v>
      </c>
      <c r="C2956" t="b">
        <f ca="1">OR(Values!$S$98&gt;=Charms!M2956,IFERROR(Charms!J2956=OFFSET(Values!$A$24,MATCH("S",Values!$T$25:$T$50,0),0),FALSE))</f>
        <v>1</v>
      </c>
      <c r="D2956" t="e">
        <f>VLOOKUP(Charms!J2956,Values!$A$11:$S$59,19,0)&gt;=Charms!L2956</f>
        <v>#N/A</v>
      </c>
      <c r="E2956" t="e">
        <f>OR(ISBLANK(Charms!I2956),(VLOOKUP(Values!$S$6,Castes!$B$2:$F$25,4,0)=Charms!I2956))</f>
        <v>#N/A</v>
      </c>
      <c r="J2956" t="e">
        <f t="shared" ca="1" si="231"/>
        <v>#N/A</v>
      </c>
      <c r="K2956" s="18" t="e">
        <f t="shared" ca="1" si="230"/>
        <v>#N/A</v>
      </c>
      <c r="L2956" t="e">
        <f ca="1">IF(J2956,Charms!B2956,"")</f>
        <v>#N/A</v>
      </c>
      <c r="M2956" t="str">
        <f t="shared" ca="1" si="232"/>
        <v>-</v>
      </c>
      <c r="N2956" s="18" t="str">
        <f t="shared" si="233"/>
        <v>K1622:L5000</v>
      </c>
      <c r="O2956" t="str">
        <f t="shared" si="234"/>
        <v>A1622:A2956</v>
      </c>
    </row>
    <row r="2957" spans="1:15">
      <c r="A2957" s="18">
        <f>Charms!K2957</f>
        <v>0</v>
      </c>
      <c r="B2957">
        <f>Charms!B2957</f>
        <v>0</v>
      </c>
      <c r="C2957" t="b">
        <f ca="1">OR(Values!$S$98&gt;=Charms!M2957,IFERROR(Charms!J2957=OFFSET(Values!$A$24,MATCH("S",Values!$T$25:$T$50,0),0),FALSE))</f>
        <v>1</v>
      </c>
      <c r="D2957" t="e">
        <f>VLOOKUP(Charms!J2957,Values!$A$11:$S$59,19,0)&gt;=Charms!L2957</f>
        <v>#N/A</v>
      </c>
      <c r="E2957" t="e">
        <f>OR(ISBLANK(Charms!I2957),(VLOOKUP(Values!$S$6,Castes!$B$2:$F$25,4,0)=Charms!I2957))</f>
        <v>#N/A</v>
      </c>
      <c r="J2957" t="e">
        <f t="shared" ca="1" si="231"/>
        <v>#N/A</v>
      </c>
      <c r="K2957" s="18" t="e">
        <f t="shared" ca="1" si="230"/>
        <v>#N/A</v>
      </c>
      <c r="L2957" t="e">
        <f ca="1">IF(J2957,Charms!B2957,"")</f>
        <v>#N/A</v>
      </c>
      <c r="M2957" t="str">
        <f t="shared" ca="1" si="232"/>
        <v>-</v>
      </c>
      <c r="N2957" s="18" t="str">
        <f t="shared" si="233"/>
        <v>K1622:L5000</v>
      </c>
      <c r="O2957" t="str">
        <f t="shared" si="234"/>
        <v>A1622:A2957</v>
      </c>
    </row>
    <row r="2958" spans="1:15">
      <c r="A2958" s="18">
        <f>Charms!K2958</f>
        <v>0</v>
      </c>
      <c r="B2958">
        <f>Charms!B2958</f>
        <v>0</v>
      </c>
      <c r="C2958" t="b">
        <f ca="1">OR(Values!$S$98&gt;=Charms!M2958,IFERROR(Charms!J2958=OFFSET(Values!$A$24,MATCH("S",Values!$T$25:$T$50,0),0),FALSE))</f>
        <v>1</v>
      </c>
      <c r="D2958" t="e">
        <f>VLOOKUP(Charms!J2958,Values!$A$11:$S$59,19,0)&gt;=Charms!L2958</f>
        <v>#N/A</v>
      </c>
      <c r="E2958" t="e">
        <f>OR(ISBLANK(Charms!I2958),(VLOOKUP(Values!$S$6,Castes!$B$2:$F$25,4,0)=Charms!I2958))</f>
        <v>#N/A</v>
      </c>
      <c r="J2958" t="e">
        <f t="shared" ca="1" si="231"/>
        <v>#N/A</v>
      </c>
      <c r="K2958" s="18" t="e">
        <f t="shared" ca="1" si="230"/>
        <v>#N/A</v>
      </c>
      <c r="L2958" t="e">
        <f ca="1">IF(J2958,Charms!B2958,"")</f>
        <v>#N/A</v>
      </c>
      <c r="M2958" t="str">
        <f t="shared" ca="1" si="232"/>
        <v>-</v>
      </c>
      <c r="N2958" s="18" t="str">
        <f t="shared" si="233"/>
        <v>K1622:L5000</v>
      </c>
      <c r="O2958" t="str">
        <f t="shared" si="234"/>
        <v>A1622:A2958</v>
      </c>
    </row>
    <row r="2959" spans="1:15">
      <c r="A2959" s="18">
        <f>Charms!K2959</f>
        <v>0</v>
      </c>
      <c r="B2959">
        <f>Charms!B2959</f>
        <v>0</v>
      </c>
      <c r="C2959" t="b">
        <f ca="1">OR(Values!$S$98&gt;=Charms!M2959,IFERROR(Charms!J2959=OFFSET(Values!$A$24,MATCH("S",Values!$T$25:$T$50,0),0),FALSE))</f>
        <v>1</v>
      </c>
      <c r="D2959" t="e">
        <f>VLOOKUP(Charms!J2959,Values!$A$11:$S$59,19,0)&gt;=Charms!L2959</f>
        <v>#N/A</v>
      </c>
      <c r="E2959" t="e">
        <f>OR(ISBLANK(Charms!I2959),(VLOOKUP(Values!$S$6,Castes!$B$2:$F$25,4,0)=Charms!I2959))</f>
        <v>#N/A</v>
      </c>
      <c r="J2959" t="e">
        <f t="shared" ca="1" si="231"/>
        <v>#N/A</v>
      </c>
      <c r="K2959" s="18" t="e">
        <f t="shared" ca="1" si="230"/>
        <v>#N/A</v>
      </c>
      <c r="L2959" t="e">
        <f ca="1">IF(J2959,Charms!B2959,"")</f>
        <v>#N/A</v>
      </c>
      <c r="M2959" t="str">
        <f t="shared" ca="1" si="232"/>
        <v>-</v>
      </c>
      <c r="N2959" s="18" t="str">
        <f t="shared" si="233"/>
        <v>K1622:L5000</v>
      </c>
      <c r="O2959" t="str">
        <f t="shared" si="234"/>
        <v>A1622:A2959</v>
      </c>
    </row>
    <row r="2960" spans="1:15">
      <c r="A2960" s="18">
        <f>Charms!K2960</f>
        <v>0</v>
      </c>
      <c r="B2960">
        <f>Charms!B2960</f>
        <v>0</v>
      </c>
      <c r="C2960" t="b">
        <f ca="1">OR(Values!$S$98&gt;=Charms!M2960,IFERROR(Charms!J2960=OFFSET(Values!$A$24,MATCH("S",Values!$T$25:$T$50,0),0),FALSE))</f>
        <v>1</v>
      </c>
      <c r="D2960" t="e">
        <f>VLOOKUP(Charms!J2960,Values!$A$11:$S$59,19,0)&gt;=Charms!L2960</f>
        <v>#N/A</v>
      </c>
      <c r="E2960" t="e">
        <f>OR(ISBLANK(Charms!I2960),(VLOOKUP(Values!$S$6,Castes!$B$2:$F$25,4,0)=Charms!I2960))</f>
        <v>#N/A</v>
      </c>
      <c r="J2960" t="e">
        <f t="shared" ca="1" si="231"/>
        <v>#N/A</v>
      </c>
      <c r="K2960" s="18" t="e">
        <f t="shared" ca="1" si="230"/>
        <v>#N/A</v>
      </c>
      <c r="L2960" t="e">
        <f ca="1">IF(J2960,Charms!B2960,"")</f>
        <v>#N/A</v>
      </c>
      <c r="M2960" t="str">
        <f t="shared" ca="1" si="232"/>
        <v>-</v>
      </c>
      <c r="N2960" s="18" t="str">
        <f t="shared" si="233"/>
        <v>K1622:L5000</v>
      </c>
      <c r="O2960" t="str">
        <f t="shared" si="234"/>
        <v>A1622:A2960</v>
      </c>
    </row>
    <row r="2961" spans="1:15">
      <c r="A2961" s="18">
        <f>Charms!K2961</f>
        <v>0</v>
      </c>
      <c r="B2961">
        <f>Charms!B2961</f>
        <v>0</v>
      </c>
      <c r="C2961" t="b">
        <f ca="1">OR(Values!$S$98&gt;=Charms!M2961,IFERROR(Charms!J2961=OFFSET(Values!$A$24,MATCH("S",Values!$T$25:$T$50,0),0),FALSE))</f>
        <v>1</v>
      </c>
      <c r="D2961" t="e">
        <f>VLOOKUP(Charms!J2961,Values!$A$11:$S$59,19,0)&gt;=Charms!L2961</f>
        <v>#N/A</v>
      </c>
      <c r="E2961" t="e">
        <f>OR(ISBLANK(Charms!I2961),(VLOOKUP(Values!$S$6,Castes!$B$2:$F$25,4,0)=Charms!I2961))</f>
        <v>#N/A</v>
      </c>
      <c r="J2961" t="e">
        <f t="shared" ca="1" si="231"/>
        <v>#N/A</v>
      </c>
      <c r="K2961" s="18" t="e">
        <f t="shared" ca="1" si="230"/>
        <v>#N/A</v>
      </c>
      <c r="L2961" t="e">
        <f ca="1">IF(J2961,Charms!B2961,"")</f>
        <v>#N/A</v>
      </c>
      <c r="M2961" t="str">
        <f t="shared" ca="1" si="232"/>
        <v>-</v>
      </c>
      <c r="N2961" s="18" t="str">
        <f t="shared" si="233"/>
        <v>K1622:L5000</v>
      </c>
      <c r="O2961" t="str">
        <f t="shared" si="234"/>
        <v>A1622:A2961</v>
      </c>
    </row>
    <row r="2962" spans="1:15">
      <c r="A2962" s="18">
        <f>Charms!K2962</f>
        <v>0</v>
      </c>
      <c r="B2962">
        <f>Charms!B2962</f>
        <v>0</v>
      </c>
      <c r="C2962" t="b">
        <f ca="1">OR(Values!$S$98&gt;=Charms!M2962,IFERROR(Charms!J2962=OFFSET(Values!$A$24,MATCH("S",Values!$T$25:$T$50,0),0),FALSE))</f>
        <v>1</v>
      </c>
      <c r="D2962" t="e">
        <f>VLOOKUP(Charms!J2962,Values!$A$11:$S$59,19,0)&gt;=Charms!L2962</f>
        <v>#N/A</v>
      </c>
      <c r="E2962" t="e">
        <f>OR(ISBLANK(Charms!I2962),(VLOOKUP(Values!$S$6,Castes!$B$2:$F$25,4,0)=Charms!I2962))</f>
        <v>#N/A</v>
      </c>
      <c r="J2962" t="e">
        <f t="shared" ca="1" si="231"/>
        <v>#N/A</v>
      </c>
      <c r="K2962" s="18" t="e">
        <f t="shared" ca="1" si="230"/>
        <v>#N/A</v>
      </c>
      <c r="L2962" t="e">
        <f ca="1">IF(J2962,Charms!B2962,"")</f>
        <v>#N/A</v>
      </c>
      <c r="M2962" t="str">
        <f t="shared" ca="1" si="232"/>
        <v>-</v>
      </c>
      <c r="N2962" s="18" t="str">
        <f t="shared" si="233"/>
        <v>K1622:L5000</v>
      </c>
      <c r="O2962" t="str">
        <f t="shared" si="234"/>
        <v>A1622:A2962</v>
      </c>
    </row>
    <row r="2963" spans="1:15">
      <c r="A2963" s="18">
        <f>Charms!K2963</f>
        <v>0</v>
      </c>
      <c r="B2963">
        <f>Charms!B2963</f>
        <v>0</v>
      </c>
      <c r="C2963" t="b">
        <f ca="1">OR(Values!$S$98&gt;=Charms!M2963,IFERROR(Charms!J2963=OFFSET(Values!$A$24,MATCH("S",Values!$T$25:$T$50,0),0),FALSE))</f>
        <v>1</v>
      </c>
      <c r="D2963" t="e">
        <f>VLOOKUP(Charms!J2963,Values!$A$11:$S$59,19,0)&gt;=Charms!L2963</f>
        <v>#N/A</v>
      </c>
      <c r="E2963" t="e">
        <f>OR(ISBLANK(Charms!I2963),(VLOOKUP(Values!$S$6,Castes!$B$2:$F$25,4,0)=Charms!I2963))</f>
        <v>#N/A</v>
      </c>
      <c r="J2963" t="e">
        <f t="shared" ca="1" si="231"/>
        <v>#N/A</v>
      </c>
      <c r="K2963" s="18" t="e">
        <f t="shared" ca="1" si="230"/>
        <v>#N/A</v>
      </c>
      <c r="L2963" t="e">
        <f ca="1">IF(J2963,Charms!B2963,"")</f>
        <v>#N/A</v>
      </c>
      <c r="M2963" t="str">
        <f t="shared" ca="1" si="232"/>
        <v>-</v>
      </c>
      <c r="N2963" s="18" t="str">
        <f t="shared" si="233"/>
        <v>K1622:L5000</v>
      </c>
      <c r="O2963" t="str">
        <f t="shared" si="234"/>
        <v>A1622:A2963</v>
      </c>
    </row>
    <row r="2964" spans="1:15">
      <c r="A2964" s="18">
        <f>Charms!K2964</f>
        <v>0</v>
      </c>
      <c r="B2964">
        <f>Charms!B2964</f>
        <v>0</v>
      </c>
      <c r="C2964" t="b">
        <f ca="1">OR(Values!$S$98&gt;=Charms!M2964,IFERROR(Charms!J2964=OFFSET(Values!$A$24,MATCH("S",Values!$T$25:$T$50,0),0),FALSE))</f>
        <v>1</v>
      </c>
      <c r="D2964" t="e">
        <f>VLOOKUP(Charms!J2964,Values!$A$11:$S$59,19,0)&gt;=Charms!L2964</f>
        <v>#N/A</v>
      </c>
      <c r="E2964" t="e">
        <f>OR(ISBLANK(Charms!I2964),(VLOOKUP(Values!$S$6,Castes!$B$2:$F$25,4,0)=Charms!I2964))</f>
        <v>#N/A</v>
      </c>
      <c r="J2964" t="e">
        <f t="shared" ca="1" si="231"/>
        <v>#N/A</v>
      </c>
      <c r="K2964" s="18" t="e">
        <f t="shared" ca="1" si="230"/>
        <v>#N/A</v>
      </c>
      <c r="L2964" t="e">
        <f ca="1">IF(J2964,Charms!B2964,"")</f>
        <v>#N/A</v>
      </c>
      <c r="M2964" t="str">
        <f t="shared" ca="1" si="232"/>
        <v>-</v>
      </c>
      <c r="N2964" s="18" t="str">
        <f t="shared" si="233"/>
        <v>K1622:L5000</v>
      </c>
      <c r="O2964" t="str">
        <f t="shared" si="234"/>
        <v>A1622:A2964</v>
      </c>
    </row>
    <row r="2965" spans="1:15">
      <c r="A2965" s="18">
        <f>Charms!K2965</f>
        <v>0</v>
      </c>
      <c r="B2965">
        <f>Charms!B2965</f>
        <v>0</v>
      </c>
      <c r="C2965" t="b">
        <f ca="1">OR(Values!$S$98&gt;=Charms!M2965,IFERROR(Charms!J2965=OFFSET(Values!$A$24,MATCH("S",Values!$T$25:$T$50,0),0),FALSE))</f>
        <v>1</v>
      </c>
      <c r="D2965" t="e">
        <f>VLOOKUP(Charms!J2965,Values!$A$11:$S$59,19,0)&gt;=Charms!L2965</f>
        <v>#N/A</v>
      </c>
      <c r="E2965" t="e">
        <f>OR(ISBLANK(Charms!I2965),(VLOOKUP(Values!$S$6,Castes!$B$2:$F$25,4,0)=Charms!I2965))</f>
        <v>#N/A</v>
      </c>
      <c r="J2965" t="e">
        <f t="shared" ca="1" si="231"/>
        <v>#N/A</v>
      </c>
      <c r="K2965" s="18" t="e">
        <f t="shared" ca="1" si="230"/>
        <v>#N/A</v>
      </c>
      <c r="L2965" t="e">
        <f ca="1">IF(J2965,Charms!B2965,"")</f>
        <v>#N/A</v>
      </c>
      <c r="M2965" t="str">
        <f t="shared" ca="1" si="232"/>
        <v>-</v>
      </c>
      <c r="N2965" s="18" t="str">
        <f t="shared" si="233"/>
        <v>K1622:L5000</v>
      </c>
      <c r="O2965" t="str">
        <f t="shared" si="234"/>
        <v>A1622:A2965</v>
      </c>
    </row>
    <row r="2966" spans="1:15">
      <c r="A2966" s="18">
        <f>Charms!K2966</f>
        <v>0</v>
      </c>
      <c r="B2966">
        <f>Charms!B2966</f>
        <v>0</v>
      </c>
      <c r="C2966" t="b">
        <f ca="1">OR(Values!$S$98&gt;=Charms!M2966,IFERROR(Charms!J2966=OFFSET(Values!$A$24,MATCH("S",Values!$T$25:$T$50,0),0),FALSE))</f>
        <v>1</v>
      </c>
      <c r="D2966" t="e">
        <f>VLOOKUP(Charms!J2966,Values!$A$11:$S$59,19,0)&gt;=Charms!L2966</f>
        <v>#N/A</v>
      </c>
      <c r="E2966" t="e">
        <f>OR(ISBLANK(Charms!I2966),(VLOOKUP(Values!$S$6,Castes!$B$2:$F$25,4,0)=Charms!I2966))</f>
        <v>#N/A</v>
      </c>
      <c r="J2966" t="e">
        <f t="shared" ca="1" si="231"/>
        <v>#N/A</v>
      </c>
      <c r="K2966" s="18" t="e">
        <f t="shared" ca="1" si="230"/>
        <v>#N/A</v>
      </c>
      <c r="L2966" t="e">
        <f ca="1">IF(J2966,Charms!B2966,"")</f>
        <v>#N/A</v>
      </c>
      <c r="M2966" t="str">
        <f t="shared" ca="1" si="232"/>
        <v>-</v>
      </c>
      <c r="N2966" s="18" t="str">
        <f t="shared" si="233"/>
        <v>K1622:L5000</v>
      </c>
      <c r="O2966" t="str">
        <f t="shared" si="234"/>
        <v>A1622:A2966</v>
      </c>
    </row>
    <row r="2967" spans="1:15">
      <c r="A2967" s="18">
        <f>Charms!K2967</f>
        <v>0</v>
      </c>
      <c r="B2967">
        <f>Charms!B2967</f>
        <v>0</v>
      </c>
      <c r="C2967" t="b">
        <f ca="1">OR(Values!$S$98&gt;=Charms!M2967,IFERROR(Charms!J2967=OFFSET(Values!$A$24,MATCH("S",Values!$T$25:$T$50,0),0),FALSE))</f>
        <v>1</v>
      </c>
      <c r="D2967" t="e">
        <f>VLOOKUP(Charms!J2967,Values!$A$11:$S$59,19,0)&gt;=Charms!L2967</f>
        <v>#N/A</v>
      </c>
      <c r="E2967" t="e">
        <f>OR(ISBLANK(Charms!I2967),(VLOOKUP(Values!$S$6,Castes!$B$2:$F$25,4,0)=Charms!I2967))</f>
        <v>#N/A</v>
      </c>
      <c r="J2967" t="e">
        <f t="shared" ca="1" si="231"/>
        <v>#N/A</v>
      </c>
      <c r="K2967" s="18" t="e">
        <f t="shared" ca="1" si="230"/>
        <v>#N/A</v>
      </c>
      <c r="L2967" t="e">
        <f ca="1">IF(J2967,Charms!B2967,"")</f>
        <v>#N/A</v>
      </c>
      <c r="M2967" t="str">
        <f t="shared" ca="1" si="232"/>
        <v>-</v>
      </c>
      <c r="N2967" s="18" t="str">
        <f t="shared" si="233"/>
        <v>K1622:L5000</v>
      </c>
      <c r="O2967" t="str">
        <f t="shared" si="234"/>
        <v>A1622:A2967</v>
      </c>
    </row>
    <row r="2968" spans="1:15">
      <c r="A2968" s="18">
        <f>Charms!K2968</f>
        <v>0</v>
      </c>
      <c r="B2968">
        <f>Charms!B2968</f>
        <v>0</v>
      </c>
      <c r="C2968" t="b">
        <f ca="1">OR(Values!$S$98&gt;=Charms!M2968,IFERROR(Charms!J2968=OFFSET(Values!$A$24,MATCH("S",Values!$T$25:$T$50,0),0),FALSE))</f>
        <v>1</v>
      </c>
      <c r="D2968" t="e">
        <f>VLOOKUP(Charms!J2968,Values!$A$11:$S$59,19,0)&gt;=Charms!L2968</f>
        <v>#N/A</v>
      </c>
      <c r="E2968" t="e">
        <f>OR(ISBLANK(Charms!I2968),(VLOOKUP(Values!$S$6,Castes!$B$2:$F$25,4,0)=Charms!I2968))</f>
        <v>#N/A</v>
      </c>
      <c r="J2968" t="e">
        <f t="shared" ca="1" si="231"/>
        <v>#N/A</v>
      </c>
      <c r="K2968" s="18" t="e">
        <f t="shared" ca="1" si="230"/>
        <v>#N/A</v>
      </c>
      <c r="L2968" t="e">
        <f ca="1">IF(J2968,Charms!B2968,"")</f>
        <v>#N/A</v>
      </c>
      <c r="M2968" t="str">
        <f t="shared" ca="1" si="232"/>
        <v>-</v>
      </c>
      <c r="N2968" s="18" t="str">
        <f t="shared" si="233"/>
        <v>K1622:L5000</v>
      </c>
      <c r="O2968" t="str">
        <f t="shared" si="234"/>
        <v>A1622:A2968</v>
      </c>
    </row>
    <row r="2969" spans="1:15">
      <c r="A2969" s="18">
        <f>Charms!K2969</f>
        <v>0</v>
      </c>
      <c r="B2969">
        <f>Charms!B2969</f>
        <v>0</v>
      </c>
      <c r="C2969" t="b">
        <f ca="1">OR(Values!$S$98&gt;=Charms!M2969,IFERROR(Charms!J2969=OFFSET(Values!$A$24,MATCH("S",Values!$T$25:$T$50,0),0),FALSE))</f>
        <v>1</v>
      </c>
      <c r="D2969" t="e">
        <f>VLOOKUP(Charms!J2969,Values!$A$11:$S$59,19,0)&gt;=Charms!L2969</f>
        <v>#N/A</v>
      </c>
      <c r="E2969" t="e">
        <f>OR(ISBLANK(Charms!I2969),(VLOOKUP(Values!$S$6,Castes!$B$2:$F$25,4,0)=Charms!I2969))</f>
        <v>#N/A</v>
      </c>
      <c r="J2969" t="e">
        <f t="shared" ca="1" si="231"/>
        <v>#N/A</v>
      </c>
      <c r="K2969" s="18" t="e">
        <f t="shared" ca="1" si="230"/>
        <v>#N/A</v>
      </c>
      <c r="L2969" t="e">
        <f ca="1">IF(J2969,Charms!B2969,"")</f>
        <v>#N/A</v>
      </c>
      <c r="M2969" t="str">
        <f t="shared" ca="1" si="232"/>
        <v>-</v>
      </c>
      <c r="N2969" s="18" t="str">
        <f t="shared" si="233"/>
        <v>K1622:L5000</v>
      </c>
      <c r="O2969" t="str">
        <f t="shared" si="234"/>
        <v>A1622:A2969</v>
      </c>
    </row>
    <row r="2970" spans="1:15">
      <c r="A2970" s="18">
        <f>Charms!K2970</f>
        <v>0</v>
      </c>
      <c r="B2970">
        <f>Charms!B2970</f>
        <v>0</v>
      </c>
      <c r="C2970" t="b">
        <f ca="1">OR(Values!$S$98&gt;=Charms!M2970,IFERROR(Charms!J2970=OFFSET(Values!$A$24,MATCH("S",Values!$T$25:$T$50,0),0),FALSE))</f>
        <v>1</v>
      </c>
      <c r="D2970" t="e">
        <f>VLOOKUP(Charms!J2970,Values!$A$11:$S$59,19,0)&gt;=Charms!L2970</f>
        <v>#N/A</v>
      </c>
      <c r="E2970" t="e">
        <f>OR(ISBLANK(Charms!I2970),(VLOOKUP(Values!$S$6,Castes!$B$2:$F$25,4,0)=Charms!I2970))</f>
        <v>#N/A</v>
      </c>
      <c r="J2970" t="e">
        <f t="shared" ca="1" si="231"/>
        <v>#N/A</v>
      </c>
      <c r="K2970" s="18" t="e">
        <f t="shared" ca="1" si="230"/>
        <v>#N/A</v>
      </c>
      <c r="L2970" t="e">
        <f ca="1">IF(J2970,Charms!B2970,"")</f>
        <v>#N/A</v>
      </c>
      <c r="M2970" t="str">
        <f t="shared" ca="1" si="232"/>
        <v>-</v>
      </c>
      <c r="N2970" s="18" t="str">
        <f t="shared" si="233"/>
        <v>K1622:L5000</v>
      </c>
      <c r="O2970" t="str">
        <f t="shared" si="234"/>
        <v>A1622:A2970</v>
      </c>
    </row>
    <row r="2971" spans="1:15">
      <c r="A2971" s="18">
        <f>Charms!K2971</f>
        <v>0</v>
      </c>
      <c r="B2971">
        <f>Charms!B2971</f>
        <v>0</v>
      </c>
      <c r="C2971" t="b">
        <f ca="1">OR(Values!$S$98&gt;=Charms!M2971,IFERROR(Charms!J2971=OFFSET(Values!$A$24,MATCH("S",Values!$T$25:$T$50,0),0),FALSE))</f>
        <v>1</v>
      </c>
      <c r="D2971" t="e">
        <f>VLOOKUP(Charms!J2971,Values!$A$11:$S$59,19,0)&gt;=Charms!L2971</f>
        <v>#N/A</v>
      </c>
      <c r="E2971" t="e">
        <f>OR(ISBLANK(Charms!I2971),(VLOOKUP(Values!$S$6,Castes!$B$2:$F$25,4,0)=Charms!I2971))</f>
        <v>#N/A</v>
      </c>
      <c r="J2971" t="e">
        <f t="shared" ca="1" si="231"/>
        <v>#N/A</v>
      </c>
      <c r="K2971" s="18" t="e">
        <f t="shared" ca="1" si="230"/>
        <v>#N/A</v>
      </c>
      <c r="L2971" t="e">
        <f ca="1">IF(J2971,Charms!B2971,"")</f>
        <v>#N/A</v>
      </c>
      <c r="M2971" t="str">
        <f t="shared" ca="1" si="232"/>
        <v>-</v>
      </c>
      <c r="N2971" s="18" t="str">
        <f t="shared" si="233"/>
        <v>K1622:L5000</v>
      </c>
      <c r="O2971" t="str">
        <f t="shared" si="234"/>
        <v>A1622:A2971</v>
      </c>
    </row>
    <row r="2972" spans="1:15">
      <c r="A2972" s="18">
        <f>Charms!K2972</f>
        <v>0</v>
      </c>
      <c r="B2972">
        <f>Charms!B2972</f>
        <v>0</v>
      </c>
      <c r="C2972" t="b">
        <f ca="1">OR(Values!$S$98&gt;=Charms!M2972,IFERROR(Charms!J2972=OFFSET(Values!$A$24,MATCH("S",Values!$T$25:$T$50,0),0),FALSE))</f>
        <v>1</v>
      </c>
      <c r="D2972" t="e">
        <f>VLOOKUP(Charms!J2972,Values!$A$11:$S$59,19,0)&gt;=Charms!L2972</f>
        <v>#N/A</v>
      </c>
      <c r="E2972" t="e">
        <f>OR(ISBLANK(Charms!I2972),(VLOOKUP(Values!$S$6,Castes!$B$2:$F$25,4,0)=Charms!I2972))</f>
        <v>#N/A</v>
      </c>
      <c r="J2972" t="e">
        <f t="shared" ca="1" si="231"/>
        <v>#N/A</v>
      </c>
      <c r="K2972" s="18" t="e">
        <f t="shared" ca="1" si="230"/>
        <v>#N/A</v>
      </c>
      <c r="L2972" t="e">
        <f ca="1">IF(J2972,Charms!B2972,"")</f>
        <v>#N/A</v>
      </c>
      <c r="M2972" t="str">
        <f t="shared" ca="1" si="232"/>
        <v>-</v>
      </c>
      <c r="N2972" s="18" t="str">
        <f t="shared" si="233"/>
        <v>K1622:L5000</v>
      </c>
      <c r="O2972" t="str">
        <f t="shared" si="234"/>
        <v>A1622:A2972</v>
      </c>
    </row>
    <row r="2973" spans="1:15">
      <c r="A2973" s="18">
        <f>Charms!K2973</f>
        <v>0</v>
      </c>
      <c r="B2973">
        <f>Charms!B2973</f>
        <v>0</v>
      </c>
      <c r="C2973" t="b">
        <f ca="1">OR(Values!$S$98&gt;=Charms!M2973,IFERROR(Charms!J2973=OFFSET(Values!$A$24,MATCH("S",Values!$T$25:$T$50,0),0),FALSE))</f>
        <v>1</v>
      </c>
      <c r="D2973" t="e">
        <f>VLOOKUP(Charms!J2973,Values!$A$11:$S$59,19,0)&gt;=Charms!L2973</f>
        <v>#N/A</v>
      </c>
      <c r="E2973" t="e">
        <f>OR(ISBLANK(Charms!I2973),(VLOOKUP(Values!$S$6,Castes!$B$2:$F$25,4,0)=Charms!I2973))</f>
        <v>#N/A</v>
      </c>
      <c r="J2973" t="e">
        <f t="shared" ca="1" si="231"/>
        <v>#N/A</v>
      </c>
      <c r="K2973" s="18" t="e">
        <f t="shared" ca="1" si="230"/>
        <v>#N/A</v>
      </c>
      <c r="L2973" t="e">
        <f ca="1">IF(J2973,Charms!B2973,"")</f>
        <v>#N/A</v>
      </c>
      <c r="M2973" t="str">
        <f t="shared" ca="1" si="232"/>
        <v>-</v>
      </c>
      <c r="N2973" s="18" t="str">
        <f t="shared" si="233"/>
        <v>K1622:L5000</v>
      </c>
      <c r="O2973" t="str">
        <f t="shared" si="234"/>
        <v>A1622:A2973</v>
      </c>
    </row>
    <row r="2974" spans="1:15">
      <c r="A2974" s="18">
        <f>Charms!K2974</f>
        <v>0</v>
      </c>
      <c r="B2974">
        <f>Charms!B2974</f>
        <v>0</v>
      </c>
      <c r="C2974" t="b">
        <f ca="1">OR(Values!$S$98&gt;=Charms!M2974,IFERROR(Charms!J2974=OFFSET(Values!$A$24,MATCH("S",Values!$T$25:$T$50,0),0),FALSE))</f>
        <v>1</v>
      </c>
      <c r="D2974" t="e">
        <f>VLOOKUP(Charms!J2974,Values!$A$11:$S$59,19,0)&gt;=Charms!L2974</f>
        <v>#N/A</v>
      </c>
      <c r="E2974" t="e">
        <f>OR(ISBLANK(Charms!I2974),(VLOOKUP(Values!$S$6,Castes!$B$2:$F$25,4,0)=Charms!I2974))</f>
        <v>#N/A</v>
      </c>
      <c r="J2974" t="e">
        <f t="shared" ca="1" si="231"/>
        <v>#N/A</v>
      </c>
      <c r="K2974" s="18" t="e">
        <f t="shared" ca="1" si="230"/>
        <v>#N/A</v>
      </c>
      <c r="L2974" t="e">
        <f ca="1">IF(J2974,Charms!B2974,"")</f>
        <v>#N/A</v>
      </c>
      <c r="M2974" t="str">
        <f t="shared" ca="1" si="232"/>
        <v>-</v>
      </c>
      <c r="N2974" s="18" t="str">
        <f t="shared" si="233"/>
        <v>K1622:L5000</v>
      </c>
      <c r="O2974" t="str">
        <f t="shared" si="234"/>
        <v>A1622:A2974</v>
      </c>
    </row>
    <row r="2975" spans="1:15">
      <c r="A2975" s="18">
        <f>Charms!K2975</f>
        <v>0</v>
      </c>
      <c r="B2975">
        <f>Charms!B2975</f>
        <v>0</v>
      </c>
      <c r="C2975" t="b">
        <f ca="1">OR(Values!$S$98&gt;=Charms!M2975,IFERROR(Charms!J2975=OFFSET(Values!$A$24,MATCH("S",Values!$T$25:$T$50,0),0),FALSE))</f>
        <v>1</v>
      </c>
      <c r="D2975" t="e">
        <f>VLOOKUP(Charms!J2975,Values!$A$11:$S$59,19,0)&gt;=Charms!L2975</f>
        <v>#N/A</v>
      </c>
      <c r="E2975" t="e">
        <f>OR(ISBLANK(Charms!I2975),(VLOOKUP(Values!$S$6,Castes!$B$2:$F$25,4,0)=Charms!I2975))</f>
        <v>#N/A</v>
      </c>
      <c r="J2975" t="e">
        <f t="shared" ca="1" si="231"/>
        <v>#N/A</v>
      </c>
      <c r="K2975" s="18" t="e">
        <f t="shared" ca="1" si="230"/>
        <v>#N/A</v>
      </c>
      <c r="L2975" t="e">
        <f ca="1">IF(J2975,Charms!B2975,"")</f>
        <v>#N/A</v>
      </c>
      <c r="M2975" t="str">
        <f t="shared" ca="1" si="232"/>
        <v>-</v>
      </c>
      <c r="N2975" s="18" t="str">
        <f t="shared" si="233"/>
        <v>K1622:L5000</v>
      </c>
      <c r="O2975" t="str">
        <f t="shared" si="234"/>
        <v>A1622:A2975</v>
      </c>
    </row>
    <row r="2976" spans="1:15">
      <c r="A2976" s="18">
        <f>Charms!K2976</f>
        <v>0</v>
      </c>
      <c r="B2976">
        <f>Charms!B2976</f>
        <v>0</v>
      </c>
      <c r="C2976" t="b">
        <f ca="1">OR(Values!$S$98&gt;=Charms!M2976,IFERROR(Charms!J2976=OFFSET(Values!$A$24,MATCH("S",Values!$T$25:$T$50,0),0),FALSE))</f>
        <v>1</v>
      </c>
      <c r="D2976" t="e">
        <f>VLOOKUP(Charms!J2976,Values!$A$11:$S$59,19,0)&gt;=Charms!L2976</f>
        <v>#N/A</v>
      </c>
      <c r="E2976" t="e">
        <f>OR(ISBLANK(Charms!I2976),(VLOOKUP(Values!$S$6,Castes!$B$2:$F$25,4,0)=Charms!I2976))</f>
        <v>#N/A</v>
      </c>
      <c r="J2976" t="e">
        <f t="shared" ca="1" si="231"/>
        <v>#N/A</v>
      </c>
      <c r="K2976" s="18" t="e">
        <f t="shared" ca="1" si="230"/>
        <v>#N/A</v>
      </c>
      <c r="L2976" t="e">
        <f ca="1">IF(J2976,Charms!B2976,"")</f>
        <v>#N/A</v>
      </c>
      <c r="M2976" t="str">
        <f t="shared" ca="1" si="232"/>
        <v>-</v>
      </c>
      <c r="N2976" s="18" t="str">
        <f t="shared" si="233"/>
        <v>K1622:L5000</v>
      </c>
      <c r="O2976" t="str">
        <f t="shared" si="234"/>
        <v>A1622:A2976</v>
      </c>
    </row>
    <row r="2977" spans="1:15">
      <c r="A2977" s="18">
        <f>Charms!K2977</f>
        <v>0</v>
      </c>
      <c r="B2977">
        <f>Charms!B2977</f>
        <v>0</v>
      </c>
      <c r="C2977" t="b">
        <f ca="1">OR(Values!$S$98&gt;=Charms!M2977,IFERROR(Charms!J2977=OFFSET(Values!$A$24,MATCH("S",Values!$T$25:$T$50,0),0),FALSE))</f>
        <v>1</v>
      </c>
      <c r="D2977" t="e">
        <f>VLOOKUP(Charms!J2977,Values!$A$11:$S$59,19,0)&gt;=Charms!L2977</f>
        <v>#N/A</v>
      </c>
      <c r="E2977" t="e">
        <f>OR(ISBLANK(Charms!I2977),(VLOOKUP(Values!$S$6,Castes!$B$2:$F$25,4,0)=Charms!I2977))</f>
        <v>#N/A</v>
      </c>
      <c r="J2977" t="e">
        <f t="shared" ca="1" si="231"/>
        <v>#N/A</v>
      </c>
      <c r="K2977" s="18" t="e">
        <f t="shared" ca="1" si="230"/>
        <v>#N/A</v>
      </c>
      <c r="L2977" t="e">
        <f ca="1">IF(J2977,Charms!B2977,"")</f>
        <v>#N/A</v>
      </c>
      <c r="M2977" t="str">
        <f t="shared" ca="1" si="232"/>
        <v>-</v>
      </c>
      <c r="N2977" s="18" t="str">
        <f t="shared" si="233"/>
        <v>K1622:L5000</v>
      </c>
      <c r="O2977" t="str">
        <f t="shared" si="234"/>
        <v>A1622:A2977</v>
      </c>
    </row>
    <row r="2978" spans="1:15">
      <c r="A2978" s="18">
        <f>Charms!K2978</f>
        <v>0</v>
      </c>
      <c r="B2978">
        <f>Charms!B2978</f>
        <v>0</v>
      </c>
      <c r="C2978" t="b">
        <f ca="1">OR(Values!$S$98&gt;=Charms!M2978,IFERROR(Charms!J2978=OFFSET(Values!$A$24,MATCH("S",Values!$T$25:$T$50,0),0),FALSE))</f>
        <v>1</v>
      </c>
      <c r="D2978" t="e">
        <f>VLOOKUP(Charms!J2978,Values!$A$11:$S$59,19,0)&gt;=Charms!L2978</f>
        <v>#N/A</v>
      </c>
      <c r="E2978" t="e">
        <f>OR(ISBLANK(Charms!I2978),(VLOOKUP(Values!$S$6,Castes!$B$2:$F$25,4,0)=Charms!I2978))</f>
        <v>#N/A</v>
      </c>
      <c r="J2978" t="e">
        <f t="shared" ca="1" si="231"/>
        <v>#N/A</v>
      </c>
      <c r="K2978" s="18" t="e">
        <f t="shared" ca="1" si="230"/>
        <v>#N/A</v>
      </c>
      <c r="L2978" t="e">
        <f ca="1">IF(J2978,Charms!B2978,"")</f>
        <v>#N/A</v>
      </c>
      <c r="M2978" t="str">
        <f t="shared" ca="1" si="232"/>
        <v>-</v>
      </c>
      <c r="N2978" s="18" t="str">
        <f t="shared" si="233"/>
        <v>K1622:L5000</v>
      </c>
      <c r="O2978" t="str">
        <f t="shared" si="234"/>
        <v>A1622:A2978</v>
      </c>
    </row>
    <row r="2979" spans="1:15">
      <c r="A2979" s="18">
        <f>Charms!K2979</f>
        <v>0</v>
      </c>
      <c r="B2979">
        <f>Charms!B2979</f>
        <v>0</v>
      </c>
      <c r="C2979" t="b">
        <f ca="1">OR(Values!$S$98&gt;=Charms!M2979,IFERROR(Charms!J2979=OFFSET(Values!$A$24,MATCH("S",Values!$T$25:$T$50,0),0),FALSE))</f>
        <v>1</v>
      </c>
      <c r="D2979" t="e">
        <f>VLOOKUP(Charms!J2979,Values!$A$11:$S$59,19,0)&gt;=Charms!L2979</f>
        <v>#N/A</v>
      </c>
      <c r="E2979" t="e">
        <f>OR(ISBLANK(Charms!I2979),(VLOOKUP(Values!$S$6,Castes!$B$2:$F$25,4,0)=Charms!I2979))</f>
        <v>#N/A</v>
      </c>
      <c r="J2979" t="e">
        <f t="shared" ca="1" si="231"/>
        <v>#N/A</v>
      </c>
      <c r="K2979" s="18" t="e">
        <f t="shared" ca="1" si="230"/>
        <v>#N/A</v>
      </c>
      <c r="L2979" t="e">
        <f ca="1">IF(J2979,Charms!B2979,"")</f>
        <v>#N/A</v>
      </c>
      <c r="M2979" t="str">
        <f t="shared" ca="1" si="232"/>
        <v>-</v>
      </c>
      <c r="N2979" s="18" t="str">
        <f t="shared" si="233"/>
        <v>K1622:L5000</v>
      </c>
      <c r="O2979" t="str">
        <f t="shared" si="234"/>
        <v>A1622:A2979</v>
      </c>
    </row>
    <row r="2980" spans="1:15">
      <c r="A2980" s="18">
        <f>Charms!K2980</f>
        <v>0</v>
      </c>
      <c r="B2980">
        <f>Charms!B2980</f>
        <v>0</v>
      </c>
      <c r="C2980" t="b">
        <f ca="1">OR(Values!$S$98&gt;=Charms!M2980,IFERROR(Charms!J2980=OFFSET(Values!$A$24,MATCH("S",Values!$T$25:$T$50,0),0),FALSE))</f>
        <v>1</v>
      </c>
      <c r="D2980" t="e">
        <f>VLOOKUP(Charms!J2980,Values!$A$11:$S$59,19,0)&gt;=Charms!L2980</f>
        <v>#N/A</v>
      </c>
      <c r="E2980" t="e">
        <f>OR(ISBLANK(Charms!I2980),(VLOOKUP(Values!$S$6,Castes!$B$2:$F$25,4,0)=Charms!I2980))</f>
        <v>#N/A</v>
      </c>
      <c r="J2980" t="e">
        <f t="shared" ca="1" si="231"/>
        <v>#N/A</v>
      </c>
      <c r="K2980" s="18" t="e">
        <f t="shared" ca="1" si="230"/>
        <v>#N/A</v>
      </c>
      <c r="L2980" t="e">
        <f ca="1">IF(J2980,Charms!B2980,"")</f>
        <v>#N/A</v>
      </c>
      <c r="M2980" t="str">
        <f t="shared" ca="1" si="232"/>
        <v>-</v>
      </c>
      <c r="N2980" s="18" t="str">
        <f t="shared" si="233"/>
        <v>K1622:L5000</v>
      </c>
      <c r="O2980" t="str">
        <f t="shared" si="234"/>
        <v>A1622:A2980</v>
      </c>
    </row>
    <row r="2981" spans="1:15">
      <c r="A2981" s="18">
        <f>Charms!K2981</f>
        <v>0</v>
      </c>
      <c r="B2981">
        <f>Charms!B2981</f>
        <v>0</v>
      </c>
      <c r="C2981" t="b">
        <f ca="1">OR(Values!$S$98&gt;=Charms!M2981,IFERROR(Charms!J2981=OFFSET(Values!$A$24,MATCH("S",Values!$T$25:$T$50,0),0),FALSE))</f>
        <v>1</v>
      </c>
      <c r="D2981" t="e">
        <f>VLOOKUP(Charms!J2981,Values!$A$11:$S$59,19,0)&gt;=Charms!L2981</f>
        <v>#N/A</v>
      </c>
      <c r="E2981" t="e">
        <f>OR(ISBLANK(Charms!I2981),(VLOOKUP(Values!$S$6,Castes!$B$2:$F$25,4,0)=Charms!I2981))</f>
        <v>#N/A</v>
      </c>
      <c r="J2981" t="e">
        <f t="shared" ca="1" si="231"/>
        <v>#N/A</v>
      </c>
      <c r="K2981" s="18" t="e">
        <f t="shared" ca="1" si="230"/>
        <v>#N/A</v>
      </c>
      <c r="L2981" t="e">
        <f ca="1">IF(J2981,Charms!B2981,"")</f>
        <v>#N/A</v>
      </c>
      <c r="M2981" t="str">
        <f t="shared" ca="1" si="232"/>
        <v>-</v>
      </c>
      <c r="N2981" s="18" t="str">
        <f t="shared" si="233"/>
        <v>K1622:L5000</v>
      </c>
      <c r="O2981" t="str">
        <f t="shared" si="234"/>
        <v>A1622:A2981</v>
      </c>
    </row>
    <row r="2982" spans="1:15">
      <c r="A2982" s="18">
        <f>Charms!K2982</f>
        <v>0</v>
      </c>
      <c r="B2982">
        <f>Charms!B2982</f>
        <v>0</v>
      </c>
      <c r="C2982" t="b">
        <f ca="1">OR(Values!$S$98&gt;=Charms!M2982,IFERROR(Charms!J2982=OFFSET(Values!$A$24,MATCH("S",Values!$T$25:$T$50,0),0),FALSE))</f>
        <v>1</v>
      </c>
      <c r="D2982" t="e">
        <f>VLOOKUP(Charms!J2982,Values!$A$11:$S$59,19,0)&gt;=Charms!L2982</f>
        <v>#N/A</v>
      </c>
      <c r="E2982" t="e">
        <f>OR(ISBLANK(Charms!I2982),(VLOOKUP(Values!$S$6,Castes!$B$2:$F$25,4,0)=Charms!I2982))</f>
        <v>#N/A</v>
      </c>
      <c r="J2982" t="e">
        <f t="shared" ca="1" si="231"/>
        <v>#N/A</v>
      </c>
      <c r="K2982" s="18" t="e">
        <f t="shared" ca="1" si="230"/>
        <v>#N/A</v>
      </c>
      <c r="L2982" t="e">
        <f ca="1">IF(J2982,Charms!B2982,"")</f>
        <v>#N/A</v>
      </c>
      <c r="M2982" t="str">
        <f t="shared" ca="1" si="232"/>
        <v>-</v>
      </c>
      <c r="N2982" s="18" t="str">
        <f t="shared" si="233"/>
        <v>K1622:L5000</v>
      </c>
      <c r="O2982" t="str">
        <f t="shared" si="234"/>
        <v>A1622:A2982</v>
      </c>
    </row>
    <row r="2983" spans="1:15">
      <c r="A2983" s="18">
        <f>Charms!K2983</f>
        <v>0</v>
      </c>
      <c r="B2983">
        <f>Charms!B2983</f>
        <v>0</v>
      </c>
      <c r="C2983" t="b">
        <f ca="1">OR(Values!$S$98&gt;=Charms!M2983,IFERROR(Charms!J2983=OFFSET(Values!$A$24,MATCH("S",Values!$T$25:$T$50,0),0),FALSE))</f>
        <v>1</v>
      </c>
      <c r="D2983" t="e">
        <f>VLOOKUP(Charms!J2983,Values!$A$11:$S$59,19,0)&gt;=Charms!L2983</f>
        <v>#N/A</v>
      </c>
      <c r="E2983" t="e">
        <f>OR(ISBLANK(Charms!I2983),(VLOOKUP(Values!$S$6,Castes!$B$2:$F$25,4,0)=Charms!I2983))</f>
        <v>#N/A</v>
      </c>
      <c r="J2983" t="e">
        <f t="shared" ca="1" si="231"/>
        <v>#N/A</v>
      </c>
      <c r="K2983" s="18" t="e">
        <f t="shared" ca="1" si="230"/>
        <v>#N/A</v>
      </c>
      <c r="L2983" t="e">
        <f ca="1">IF(J2983,Charms!B2983,"")</f>
        <v>#N/A</v>
      </c>
      <c r="M2983" t="str">
        <f t="shared" ca="1" si="232"/>
        <v>-</v>
      </c>
      <c r="N2983" s="18" t="str">
        <f t="shared" si="233"/>
        <v>K1622:L5000</v>
      </c>
      <c r="O2983" t="str">
        <f t="shared" si="234"/>
        <v>A1622:A2983</v>
      </c>
    </row>
    <row r="2984" spans="1:15">
      <c r="A2984" s="18">
        <f>Charms!K2984</f>
        <v>0</v>
      </c>
      <c r="B2984">
        <f>Charms!B2984</f>
        <v>0</v>
      </c>
      <c r="C2984" t="b">
        <f ca="1">OR(Values!$S$98&gt;=Charms!M2984,IFERROR(Charms!J2984=OFFSET(Values!$A$24,MATCH("S",Values!$T$25:$T$50,0),0),FALSE))</f>
        <v>1</v>
      </c>
      <c r="D2984" t="e">
        <f>VLOOKUP(Charms!J2984,Values!$A$11:$S$59,19,0)&gt;=Charms!L2984</f>
        <v>#N/A</v>
      </c>
      <c r="E2984" t="e">
        <f>OR(ISBLANK(Charms!I2984),(VLOOKUP(Values!$S$6,Castes!$B$2:$F$25,4,0)=Charms!I2984))</f>
        <v>#N/A</v>
      </c>
      <c r="J2984" t="e">
        <f t="shared" ca="1" si="231"/>
        <v>#N/A</v>
      </c>
      <c r="K2984" s="18" t="e">
        <f t="shared" ca="1" si="230"/>
        <v>#N/A</v>
      </c>
      <c r="L2984" t="e">
        <f ca="1">IF(J2984,Charms!B2984,"")</f>
        <v>#N/A</v>
      </c>
      <c r="M2984" t="str">
        <f t="shared" ca="1" si="232"/>
        <v>-</v>
      </c>
      <c r="N2984" s="18" t="str">
        <f t="shared" si="233"/>
        <v>K1622:L5000</v>
      </c>
      <c r="O2984" t="str">
        <f t="shared" si="234"/>
        <v>A1622:A2984</v>
      </c>
    </row>
    <row r="2985" spans="1:15">
      <c r="A2985" s="18">
        <f>Charms!K2985</f>
        <v>0</v>
      </c>
      <c r="B2985">
        <f>Charms!B2985</f>
        <v>0</v>
      </c>
      <c r="C2985" t="b">
        <f ca="1">OR(Values!$S$98&gt;=Charms!M2985,IFERROR(Charms!J2985=OFFSET(Values!$A$24,MATCH("S",Values!$T$25:$T$50,0),0),FALSE))</f>
        <v>1</v>
      </c>
      <c r="D2985" t="e">
        <f>VLOOKUP(Charms!J2985,Values!$A$11:$S$59,19,0)&gt;=Charms!L2985</f>
        <v>#N/A</v>
      </c>
      <c r="E2985" t="e">
        <f>OR(ISBLANK(Charms!I2985),(VLOOKUP(Values!$S$6,Castes!$B$2:$F$25,4,0)=Charms!I2985))</f>
        <v>#N/A</v>
      </c>
      <c r="J2985" t="e">
        <f t="shared" ca="1" si="231"/>
        <v>#N/A</v>
      </c>
      <c r="K2985" s="18" t="e">
        <f t="shared" ca="1" si="230"/>
        <v>#N/A</v>
      </c>
      <c r="L2985" t="e">
        <f ca="1">IF(J2985,Charms!B2985,"")</f>
        <v>#N/A</v>
      </c>
      <c r="M2985" t="str">
        <f t="shared" ca="1" si="232"/>
        <v>-</v>
      </c>
      <c r="N2985" s="18" t="str">
        <f t="shared" si="233"/>
        <v>K1622:L5000</v>
      </c>
      <c r="O2985" t="str">
        <f t="shared" si="234"/>
        <v>A1622:A2985</v>
      </c>
    </row>
    <row r="2986" spans="1:15">
      <c r="A2986" s="18">
        <f>Charms!K2986</f>
        <v>0</v>
      </c>
      <c r="B2986">
        <f>Charms!B2986</f>
        <v>0</v>
      </c>
      <c r="C2986" t="b">
        <f ca="1">OR(Values!$S$98&gt;=Charms!M2986,IFERROR(Charms!J2986=OFFSET(Values!$A$24,MATCH("S",Values!$T$25:$T$50,0),0),FALSE))</f>
        <v>1</v>
      </c>
      <c r="D2986" t="e">
        <f>VLOOKUP(Charms!J2986,Values!$A$11:$S$59,19,0)&gt;=Charms!L2986</f>
        <v>#N/A</v>
      </c>
      <c r="E2986" t="e">
        <f>OR(ISBLANK(Charms!I2986),(VLOOKUP(Values!$S$6,Castes!$B$2:$F$25,4,0)=Charms!I2986))</f>
        <v>#N/A</v>
      </c>
      <c r="J2986" t="e">
        <f t="shared" ca="1" si="231"/>
        <v>#N/A</v>
      </c>
      <c r="K2986" s="18" t="e">
        <f t="shared" ca="1" si="230"/>
        <v>#N/A</v>
      </c>
      <c r="L2986" t="e">
        <f ca="1">IF(J2986,Charms!B2986,"")</f>
        <v>#N/A</v>
      </c>
      <c r="M2986" t="str">
        <f t="shared" ca="1" si="232"/>
        <v>-</v>
      </c>
      <c r="N2986" s="18" t="str">
        <f t="shared" si="233"/>
        <v>K1622:L5000</v>
      </c>
      <c r="O2986" t="str">
        <f t="shared" si="234"/>
        <v>A1622:A2986</v>
      </c>
    </row>
    <row r="2987" spans="1:15">
      <c r="A2987" s="18">
        <f>Charms!K2987</f>
        <v>0</v>
      </c>
      <c r="B2987">
        <f>Charms!B2987</f>
        <v>0</v>
      </c>
      <c r="C2987" t="b">
        <f ca="1">OR(Values!$S$98&gt;=Charms!M2987,IFERROR(Charms!J2987=OFFSET(Values!$A$24,MATCH("S",Values!$T$25:$T$50,0),0),FALSE))</f>
        <v>1</v>
      </c>
      <c r="D2987" t="e">
        <f>VLOOKUP(Charms!J2987,Values!$A$11:$S$59,19,0)&gt;=Charms!L2987</f>
        <v>#N/A</v>
      </c>
      <c r="E2987" t="e">
        <f>OR(ISBLANK(Charms!I2987),(VLOOKUP(Values!$S$6,Castes!$B$2:$F$25,4,0)=Charms!I2987))</f>
        <v>#N/A</v>
      </c>
      <c r="J2987" t="e">
        <f t="shared" ca="1" si="231"/>
        <v>#N/A</v>
      </c>
      <c r="K2987" s="18" t="e">
        <f t="shared" ca="1" si="230"/>
        <v>#N/A</v>
      </c>
      <c r="L2987" t="e">
        <f ca="1">IF(J2987,Charms!B2987,"")</f>
        <v>#N/A</v>
      </c>
      <c r="M2987" t="str">
        <f t="shared" ca="1" si="232"/>
        <v>-</v>
      </c>
      <c r="N2987" s="18" t="str">
        <f t="shared" si="233"/>
        <v>K1622:L5000</v>
      </c>
      <c r="O2987" t="str">
        <f t="shared" si="234"/>
        <v>A1622:A2987</v>
      </c>
    </row>
    <row r="2988" spans="1:15">
      <c r="A2988" s="18">
        <f>Charms!K2988</f>
        <v>0</v>
      </c>
      <c r="B2988">
        <f>Charms!B2988</f>
        <v>0</v>
      </c>
      <c r="C2988" t="b">
        <f ca="1">OR(Values!$S$98&gt;=Charms!M2988,IFERROR(Charms!J2988=OFFSET(Values!$A$24,MATCH("S",Values!$T$25:$T$50,0),0),FALSE))</f>
        <v>1</v>
      </c>
      <c r="D2988" t="e">
        <f>VLOOKUP(Charms!J2988,Values!$A$11:$S$59,19,0)&gt;=Charms!L2988</f>
        <v>#N/A</v>
      </c>
      <c r="E2988" t="e">
        <f>OR(ISBLANK(Charms!I2988),(VLOOKUP(Values!$S$6,Castes!$B$2:$F$25,4,0)=Charms!I2988))</f>
        <v>#N/A</v>
      </c>
      <c r="J2988" t="e">
        <f t="shared" ca="1" si="231"/>
        <v>#N/A</v>
      </c>
      <c r="K2988" s="18" t="e">
        <f t="shared" ca="1" si="230"/>
        <v>#N/A</v>
      </c>
      <c r="L2988" t="e">
        <f ca="1">IF(J2988,Charms!B2988,"")</f>
        <v>#N/A</v>
      </c>
      <c r="M2988" t="str">
        <f t="shared" ca="1" si="232"/>
        <v>-</v>
      </c>
      <c r="N2988" s="18" t="str">
        <f t="shared" si="233"/>
        <v>K1622:L5000</v>
      </c>
      <c r="O2988" t="str">
        <f t="shared" si="234"/>
        <v>A1622:A2988</v>
      </c>
    </row>
    <row r="2989" spans="1:15">
      <c r="A2989" s="18">
        <f>Charms!K2989</f>
        <v>0</v>
      </c>
      <c r="B2989">
        <f>Charms!B2989</f>
        <v>0</v>
      </c>
      <c r="C2989" t="b">
        <f ca="1">OR(Values!$S$98&gt;=Charms!M2989,IFERROR(Charms!J2989=OFFSET(Values!$A$24,MATCH("S",Values!$T$25:$T$50,0),0),FALSE))</f>
        <v>1</v>
      </c>
      <c r="D2989" t="e">
        <f>VLOOKUP(Charms!J2989,Values!$A$11:$S$59,19,0)&gt;=Charms!L2989</f>
        <v>#N/A</v>
      </c>
      <c r="E2989" t="e">
        <f>OR(ISBLANK(Charms!I2989),(VLOOKUP(Values!$S$6,Castes!$B$2:$F$25,4,0)=Charms!I2989))</f>
        <v>#N/A</v>
      </c>
      <c r="J2989" t="e">
        <f t="shared" ca="1" si="231"/>
        <v>#N/A</v>
      </c>
      <c r="K2989" s="18" t="e">
        <f t="shared" ca="1" si="230"/>
        <v>#N/A</v>
      </c>
      <c r="L2989" t="e">
        <f ca="1">IF(J2989,Charms!B2989,"")</f>
        <v>#N/A</v>
      </c>
      <c r="M2989" t="str">
        <f t="shared" ca="1" si="232"/>
        <v>-</v>
      </c>
      <c r="N2989" s="18" t="str">
        <f t="shared" si="233"/>
        <v>K1622:L5000</v>
      </c>
      <c r="O2989" t="str">
        <f t="shared" si="234"/>
        <v>A1622:A2989</v>
      </c>
    </row>
    <row r="2990" spans="1:15">
      <c r="A2990" s="18">
        <f>Charms!K2990</f>
        <v>0</v>
      </c>
      <c r="B2990">
        <f>Charms!B2990</f>
        <v>0</v>
      </c>
      <c r="C2990" t="b">
        <f ca="1">OR(Values!$S$98&gt;=Charms!M2990,IFERROR(Charms!J2990=OFFSET(Values!$A$24,MATCH("S",Values!$T$25:$T$50,0),0),FALSE))</f>
        <v>1</v>
      </c>
      <c r="D2990" t="e">
        <f>VLOOKUP(Charms!J2990,Values!$A$11:$S$59,19,0)&gt;=Charms!L2990</f>
        <v>#N/A</v>
      </c>
      <c r="E2990" t="e">
        <f>OR(ISBLANK(Charms!I2990),(VLOOKUP(Values!$S$6,Castes!$B$2:$F$25,4,0)=Charms!I2990))</f>
        <v>#N/A</v>
      </c>
      <c r="J2990" t="e">
        <f t="shared" ca="1" si="231"/>
        <v>#N/A</v>
      </c>
      <c r="K2990" s="18" t="e">
        <f t="shared" ca="1" si="230"/>
        <v>#N/A</v>
      </c>
      <c r="L2990" t="e">
        <f ca="1">IF(J2990,Charms!B2990,"")</f>
        <v>#N/A</v>
      </c>
      <c r="M2990" t="str">
        <f t="shared" ca="1" si="232"/>
        <v>-</v>
      </c>
      <c r="N2990" s="18" t="str">
        <f t="shared" si="233"/>
        <v>K1622:L5000</v>
      </c>
      <c r="O2990" t="str">
        <f t="shared" si="234"/>
        <v>A1622:A2990</v>
      </c>
    </row>
    <row r="2991" spans="1:15">
      <c r="A2991" s="18">
        <f>Charms!K2991</f>
        <v>0</v>
      </c>
      <c r="B2991">
        <f>Charms!B2991</f>
        <v>0</v>
      </c>
      <c r="C2991" t="b">
        <f ca="1">OR(Values!$S$98&gt;=Charms!M2991,IFERROR(Charms!J2991=OFFSET(Values!$A$24,MATCH("S",Values!$T$25:$T$50,0),0),FALSE))</f>
        <v>1</v>
      </c>
      <c r="D2991" t="e">
        <f>VLOOKUP(Charms!J2991,Values!$A$11:$S$59,19,0)&gt;=Charms!L2991</f>
        <v>#N/A</v>
      </c>
      <c r="E2991" t="e">
        <f>OR(ISBLANK(Charms!I2991),(VLOOKUP(Values!$S$6,Castes!$B$2:$F$25,4,0)=Charms!I2991))</f>
        <v>#N/A</v>
      </c>
      <c r="J2991" t="e">
        <f t="shared" ca="1" si="231"/>
        <v>#N/A</v>
      </c>
      <c r="K2991" s="18" t="e">
        <f t="shared" ca="1" si="230"/>
        <v>#N/A</v>
      </c>
      <c r="L2991" t="e">
        <f ca="1">IF(J2991,Charms!B2991,"")</f>
        <v>#N/A</v>
      </c>
      <c r="M2991" t="str">
        <f t="shared" ca="1" si="232"/>
        <v>-</v>
      </c>
      <c r="N2991" s="18" t="str">
        <f t="shared" si="233"/>
        <v>K1622:L5000</v>
      </c>
      <c r="O2991" t="str">
        <f t="shared" si="234"/>
        <v>A1622:A2991</v>
      </c>
    </row>
    <row r="2992" spans="1:15">
      <c r="A2992" s="18">
        <f>Charms!K2992</f>
        <v>0</v>
      </c>
      <c r="B2992">
        <f>Charms!B2992</f>
        <v>0</v>
      </c>
      <c r="C2992" t="b">
        <f ca="1">OR(Values!$S$98&gt;=Charms!M2992,IFERROR(Charms!J2992=OFFSET(Values!$A$24,MATCH("S",Values!$T$25:$T$50,0),0),FALSE))</f>
        <v>1</v>
      </c>
      <c r="D2992" t="e">
        <f>VLOOKUP(Charms!J2992,Values!$A$11:$S$59,19,0)&gt;=Charms!L2992</f>
        <v>#N/A</v>
      </c>
      <c r="E2992" t="e">
        <f>OR(ISBLANK(Charms!I2992),(VLOOKUP(Values!$S$6,Castes!$B$2:$F$25,4,0)=Charms!I2992))</f>
        <v>#N/A</v>
      </c>
      <c r="J2992" t="e">
        <f t="shared" ca="1" si="231"/>
        <v>#N/A</v>
      </c>
      <c r="K2992" s="18" t="e">
        <f t="shared" ca="1" si="230"/>
        <v>#N/A</v>
      </c>
      <c r="L2992" t="e">
        <f ca="1">IF(J2992,Charms!B2992,"")</f>
        <v>#N/A</v>
      </c>
      <c r="M2992" t="str">
        <f t="shared" ca="1" si="232"/>
        <v>-</v>
      </c>
      <c r="N2992" s="18" t="str">
        <f t="shared" si="233"/>
        <v>K1622:L5000</v>
      </c>
      <c r="O2992" t="str">
        <f t="shared" si="234"/>
        <v>A1622:A2992</v>
      </c>
    </row>
    <row r="2993" spans="1:15">
      <c r="A2993" s="18">
        <f>Charms!K2993</f>
        <v>0</v>
      </c>
      <c r="B2993">
        <f>Charms!B2993</f>
        <v>0</v>
      </c>
      <c r="C2993" t="b">
        <f ca="1">OR(Values!$S$98&gt;=Charms!M2993,IFERROR(Charms!J2993=OFFSET(Values!$A$24,MATCH("S",Values!$T$25:$T$50,0),0),FALSE))</f>
        <v>1</v>
      </c>
      <c r="D2993" t="e">
        <f>VLOOKUP(Charms!J2993,Values!$A$11:$S$59,19,0)&gt;=Charms!L2993</f>
        <v>#N/A</v>
      </c>
      <c r="E2993" t="e">
        <f>OR(ISBLANK(Charms!I2993),(VLOOKUP(Values!$S$6,Castes!$B$2:$F$25,4,0)=Charms!I2993))</f>
        <v>#N/A</v>
      </c>
      <c r="J2993" t="e">
        <f t="shared" ca="1" si="231"/>
        <v>#N/A</v>
      </c>
      <c r="K2993" s="18" t="e">
        <f t="shared" ca="1" si="230"/>
        <v>#N/A</v>
      </c>
      <c r="L2993" t="e">
        <f ca="1">IF(J2993,Charms!B2993,"")</f>
        <v>#N/A</v>
      </c>
      <c r="M2993" t="str">
        <f t="shared" ca="1" si="232"/>
        <v>-</v>
      </c>
      <c r="N2993" s="18" t="str">
        <f t="shared" si="233"/>
        <v>K1622:L5000</v>
      </c>
      <c r="O2993" t="str">
        <f t="shared" si="234"/>
        <v>A1622:A2993</v>
      </c>
    </row>
    <row r="2994" spans="1:15">
      <c r="A2994" s="18">
        <f>Charms!K2994</f>
        <v>0</v>
      </c>
      <c r="B2994">
        <f>Charms!B2994</f>
        <v>0</v>
      </c>
      <c r="C2994" t="b">
        <f ca="1">OR(Values!$S$98&gt;=Charms!M2994,IFERROR(Charms!J2994=OFFSET(Values!$A$24,MATCH("S",Values!$T$25:$T$50,0),0),FALSE))</f>
        <v>1</v>
      </c>
      <c r="D2994" t="e">
        <f>VLOOKUP(Charms!J2994,Values!$A$11:$S$59,19,0)&gt;=Charms!L2994</f>
        <v>#N/A</v>
      </c>
      <c r="E2994" t="e">
        <f>OR(ISBLANK(Charms!I2994),(VLOOKUP(Values!$S$6,Castes!$B$2:$F$25,4,0)=Charms!I2994))</f>
        <v>#N/A</v>
      </c>
      <c r="J2994" t="e">
        <f t="shared" ca="1" si="231"/>
        <v>#N/A</v>
      </c>
      <c r="K2994" s="18" t="e">
        <f t="shared" ca="1" si="230"/>
        <v>#N/A</v>
      </c>
      <c r="L2994" t="e">
        <f ca="1">IF(J2994,Charms!B2994,"")</f>
        <v>#N/A</v>
      </c>
      <c r="M2994" t="str">
        <f t="shared" ca="1" si="232"/>
        <v>-</v>
      </c>
      <c r="N2994" s="18" t="str">
        <f t="shared" si="233"/>
        <v>K1622:L5000</v>
      </c>
      <c r="O2994" t="str">
        <f t="shared" si="234"/>
        <v>A1622:A2994</v>
      </c>
    </row>
    <row r="2995" spans="1:15">
      <c r="A2995" s="18">
        <f>Charms!K2995</f>
        <v>0</v>
      </c>
      <c r="B2995">
        <f>Charms!B2995</f>
        <v>0</v>
      </c>
      <c r="C2995" t="b">
        <f ca="1">OR(Values!$S$98&gt;=Charms!M2995,IFERROR(Charms!J2995=OFFSET(Values!$A$24,MATCH("S",Values!$T$25:$T$50,0),0),FALSE))</f>
        <v>1</v>
      </c>
      <c r="D2995" t="e">
        <f>VLOOKUP(Charms!J2995,Values!$A$11:$S$59,19,0)&gt;=Charms!L2995</f>
        <v>#N/A</v>
      </c>
      <c r="E2995" t="e">
        <f>OR(ISBLANK(Charms!I2995),(VLOOKUP(Values!$S$6,Castes!$B$2:$F$25,4,0)=Charms!I2995))</f>
        <v>#N/A</v>
      </c>
      <c r="J2995" t="e">
        <f t="shared" ca="1" si="231"/>
        <v>#N/A</v>
      </c>
      <c r="K2995" s="18" t="e">
        <f t="shared" ca="1" si="230"/>
        <v>#N/A</v>
      </c>
      <c r="L2995" t="e">
        <f ca="1">IF(J2995,Charms!B2995,"")</f>
        <v>#N/A</v>
      </c>
      <c r="M2995" t="str">
        <f t="shared" ca="1" si="232"/>
        <v>-</v>
      </c>
      <c r="N2995" s="18" t="str">
        <f t="shared" si="233"/>
        <v>K1622:L5000</v>
      </c>
      <c r="O2995" t="str">
        <f t="shared" si="234"/>
        <v>A1622:A2995</v>
      </c>
    </row>
    <row r="2996" spans="1:15">
      <c r="A2996" s="18">
        <f>Charms!K2996</f>
        <v>0</v>
      </c>
      <c r="B2996">
        <f>Charms!B2996</f>
        <v>0</v>
      </c>
      <c r="C2996" t="b">
        <f ca="1">OR(Values!$S$98&gt;=Charms!M2996,IFERROR(Charms!J2996=OFFSET(Values!$A$24,MATCH("S",Values!$T$25:$T$50,0),0),FALSE))</f>
        <v>1</v>
      </c>
      <c r="D2996" t="e">
        <f>VLOOKUP(Charms!J2996,Values!$A$11:$S$59,19,0)&gt;=Charms!L2996</f>
        <v>#N/A</v>
      </c>
      <c r="E2996" t="e">
        <f>OR(ISBLANK(Charms!I2996),(VLOOKUP(Values!$S$6,Castes!$B$2:$F$25,4,0)=Charms!I2996))</f>
        <v>#N/A</v>
      </c>
      <c r="J2996" t="e">
        <f t="shared" ca="1" si="231"/>
        <v>#N/A</v>
      </c>
      <c r="K2996" s="18" t="e">
        <f t="shared" ca="1" si="230"/>
        <v>#N/A</v>
      </c>
      <c r="L2996" t="e">
        <f ca="1">IF(J2996,Charms!B2996,"")</f>
        <v>#N/A</v>
      </c>
      <c r="M2996" t="str">
        <f t="shared" ca="1" si="232"/>
        <v>-</v>
      </c>
      <c r="N2996" s="18" t="str">
        <f t="shared" si="233"/>
        <v>K1622:L5000</v>
      </c>
      <c r="O2996" t="str">
        <f t="shared" si="234"/>
        <v>A1622:A2996</v>
      </c>
    </row>
    <row r="2997" spans="1:15">
      <c r="A2997" s="18">
        <f>Charms!K2997</f>
        <v>0</v>
      </c>
      <c r="B2997">
        <f>Charms!B2997</f>
        <v>0</v>
      </c>
      <c r="C2997" t="b">
        <f ca="1">OR(Values!$S$98&gt;=Charms!M2997,IFERROR(Charms!J2997=OFFSET(Values!$A$24,MATCH("S",Values!$T$25:$T$50,0),0),FALSE))</f>
        <v>1</v>
      </c>
      <c r="D2997" t="e">
        <f>VLOOKUP(Charms!J2997,Values!$A$11:$S$59,19,0)&gt;=Charms!L2997</f>
        <v>#N/A</v>
      </c>
      <c r="E2997" t="e">
        <f>OR(ISBLANK(Charms!I2997),(VLOOKUP(Values!$S$6,Castes!$B$2:$F$25,4,0)=Charms!I2997))</f>
        <v>#N/A</v>
      </c>
      <c r="J2997" t="e">
        <f t="shared" ca="1" si="231"/>
        <v>#N/A</v>
      </c>
      <c r="K2997" s="18" t="e">
        <f t="shared" ca="1" si="230"/>
        <v>#N/A</v>
      </c>
      <c r="L2997" t="e">
        <f ca="1">IF(J2997,Charms!B2997,"")</f>
        <v>#N/A</v>
      </c>
      <c r="M2997" t="str">
        <f t="shared" ca="1" si="232"/>
        <v>-</v>
      </c>
      <c r="N2997" s="18" t="str">
        <f t="shared" si="233"/>
        <v>K1622:L5000</v>
      </c>
      <c r="O2997" t="str">
        <f t="shared" si="234"/>
        <v>A1622:A2997</v>
      </c>
    </row>
    <row r="2998" spans="1:15">
      <c r="A2998" s="18">
        <f>Charms!K2998</f>
        <v>0</v>
      </c>
      <c r="B2998">
        <f>Charms!B2998</f>
        <v>0</v>
      </c>
      <c r="C2998" t="b">
        <f ca="1">OR(Values!$S$98&gt;=Charms!M2998,IFERROR(Charms!J2998=OFFSET(Values!$A$24,MATCH("S",Values!$T$25:$T$50,0),0),FALSE))</f>
        <v>1</v>
      </c>
      <c r="D2998" t="e">
        <f>VLOOKUP(Charms!J2998,Values!$A$11:$S$59,19,0)&gt;=Charms!L2998</f>
        <v>#N/A</v>
      </c>
      <c r="E2998" t="e">
        <f>OR(ISBLANK(Charms!I2998),(VLOOKUP(Values!$S$6,Castes!$B$2:$F$25,4,0)=Charms!I2998))</f>
        <v>#N/A</v>
      </c>
      <c r="J2998" t="e">
        <f t="shared" ca="1" si="231"/>
        <v>#N/A</v>
      </c>
      <c r="K2998" s="18" t="e">
        <f t="shared" ca="1" si="230"/>
        <v>#N/A</v>
      </c>
      <c r="L2998" t="e">
        <f ca="1">IF(J2998,Charms!B2998,"")</f>
        <v>#N/A</v>
      </c>
      <c r="M2998" t="str">
        <f t="shared" ca="1" si="232"/>
        <v>-</v>
      </c>
      <c r="N2998" s="18" t="str">
        <f t="shared" si="233"/>
        <v>K1622:L5000</v>
      </c>
      <c r="O2998" t="str">
        <f t="shared" si="234"/>
        <v>A1622:A2998</v>
      </c>
    </row>
    <row r="2999" spans="1:15">
      <c r="A2999" s="18">
        <f>Charms!K2999</f>
        <v>0</v>
      </c>
      <c r="B2999">
        <f>Charms!B2999</f>
        <v>0</v>
      </c>
      <c r="C2999" t="b">
        <f ca="1">OR(Values!$S$98&gt;=Charms!M2999,IFERROR(Charms!J2999=OFFSET(Values!$A$24,MATCH("S",Values!$T$25:$T$50,0),0),FALSE))</f>
        <v>1</v>
      </c>
      <c r="D2999" t="e">
        <f>VLOOKUP(Charms!J2999,Values!$A$11:$S$59,19,0)&gt;=Charms!L2999</f>
        <v>#N/A</v>
      </c>
      <c r="E2999" t="e">
        <f>OR(ISBLANK(Charms!I2999),(VLOOKUP(Values!$S$6,Castes!$B$2:$F$25,4,0)=Charms!I2999))</f>
        <v>#N/A</v>
      </c>
      <c r="J2999" t="e">
        <f t="shared" ca="1" si="231"/>
        <v>#N/A</v>
      </c>
      <c r="K2999" s="18" t="e">
        <f t="shared" ca="1" si="230"/>
        <v>#N/A</v>
      </c>
      <c r="L2999" t="e">
        <f ca="1">IF(J2999,Charms!B2999,"")</f>
        <v>#N/A</v>
      </c>
      <c r="M2999" t="str">
        <f t="shared" ca="1" si="232"/>
        <v>-</v>
      </c>
      <c r="N2999" s="18" t="str">
        <f t="shared" si="233"/>
        <v>K1622:L5000</v>
      </c>
      <c r="O2999" t="str">
        <f t="shared" si="234"/>
        <v>A1622:A2999</v>
      </c>
    </row>
    <row r="3000" spans="1:15">
      <c r="A3000" s="18">
        <f>Charms!K3000</f>
        <v>0</v>
      </c>
      <c r="B3000">
        <f>Charms!B3000</f>
        <v>0</v>
      </c>
      <c r="C3000" t="b">
        <f ca="1">OR(Values!$S$98&gt;=Charms!M3000,IFERROR(Charms!J3000=OFFSET(Values!$A$24,MATCH("S",Values!$T$25:$T$50,0),0),FALSE))</f>
        <v>1</v>
      </c>
      <c r="D3000" t="e">
        <f>VLOOKUP(Charms!J3000,Values!$A$11:$S$59,19,0)&gt;=Charms!L3000</f>
        <v>#N/A</v>
      </c>
      <c r="E3000" t="e">
        <f>OR(ISBLANK(Charms!I3000),(VLOOKUP(Values!$S$6,Castes!$B$2:$F$25,4,0)=Charms!I3000))</f>
        <v>#N/A</v>
      </c>
      <c r="J3000" t="e">
        <f t="shared" ca="1" si="231"/>
        <v>#N/A</v>
      </c>
      <c r="K3000" s="18" t="e">
        <f t="shared" ca="1" si="230"/>
        <v>#N/A</v>
      </c>
      <c r="L3000" t="e">
        <f ca="1">IF(J3000,Charms!B3000,"")</f>
        <v>#N/A</v>
      </c>
      <c r="M3000" t="str">
        <f t="shared" ca="1" si="232"/>
        <v>-</v>
      </c>
      <c r="N3000" s="18" t="str">
        <f t="shared" si="233"/>
        <v>K1622:L5000</v>
      </c>
      <c r="O3000" t="str">
        <f t="shared" si="234"/>
        <v>A1622:A3000</v>
      </c>
    </row>
    <row r="3001" spans="1:15">
      <c r="A3001" s="18">
        <f>Charms!K3001</f>
        <v>0</v>
      </c>
      <c r="B3001">
        <f>Charms!B3001</f>
        <v>0</v>
      </c>
      <c r="C3001" t="b">
        <f ca="1">OR(Values!$S$98&gt;=Charms!M3001,IFERROR(Charms!J3001=OFFSET(Values!$A$24,MATCH("S",Values!$T$25:$T$50,0),0),FALSE))</f>
        <v>1</v>
      </c>
      <c r="D3001" t="e">
        <f>VLOOKUP(Charms!J3001,Values!$A$11:$S$59,19,0)&gt;=Charms!L3001</f>
        <v>#N/A</v>
      </c>
      <c r="E3001" t="e">
        <f>OR(ISBLANK(Charms!I3001),(VLOOKUP(Values!$S$6,Castes!$B$2:$F$25,4,0)=Charms!I3001))</f>
        <v>#N/A</v>
      </c>
      <c r="J3001" t="e">
        <f t="shared" ca="1" si="231"/>
        <v>#N/A</v>
      </c>
      <c r="K3001" s="18" t="e">
        <f t="shared" ca="1" si="230"/>
        <v>#N/A</v>
      </c>
      <c r="L3001" t="e">
        <f ca="1">IF(J3001,Charms!B3001,"")</f>
        <v>#N/A</v>
      </c>
      <c r="M3001" t="str">
        <f t="shared" ca="1" si="232"/>
        <v>-</v>
      </c>
      <c r="N3001" s="18" t="str">
        <f t="shared" si="233"/>
        <v>K1622:L5000</v>
      </c>
      <c r="O3001" t="str">
        <f t="shared" si="234"/>
        <v>A1622:A3001</v>
      </c>
    </row>
    <row r="3002" spans="1:15">
      <c r="A3002" s="18">
        <f>Charms!K3002</f>
        <v>0</v>
      </c>
      <c r="B3002">
        <f>Charms!B3002</f>
        <v>0</v>
      </c>
      <c r="C3002" t="b">
        <f ca="1">OR(Values!$S$98&gt;=Charms!M3002,IFERROR(Charms!J3002=OFFSET(Values!$A$24,MATCH("S",Values!$T$25:$T$50,0),0),FALSE))</f>
        <v>1</v>
      </c>
      <c r="D3002" t="e">
        <f>VLOOKUP(Charms!J3002,Values!$A$11:$S$59,19,0)&gt;=Charms!L3002</f>
        <v>#N/A</v>
      </c>
      <c r="E3002" t="e">
        <f>OR(ISBLANK(Charms!I3002),(VLOOKUP(Values!$S$6,Castes!$B$2:$F$25,4,0)=Charms!I3002))</f>
        <v>#N/A</v>
      </c>
      <c r="J3002" t="e">
        <f t="shared" ca="1" si="231"/>
        <v>#N/A</v>
      </c>
      <c r="K3002" s="18" t="e">
        <f t="shared" ca="1" si="230"/>
        <v>#N/A</v>
      </c>
      <c r="L3002" t="e">
        <f ca="1">IF(J3002,Charms!B3002,"")</f>
        <v>#N/A</v>
      </c>
      <c r="M3002" t="str">
        <f t="shared" ca="1" si="232"/>
        <v>-</v>
      </c>
      <c r="N3002" s="18" t="str">
        <f t="shared" si="233"/>
        <v>K1622:L5000</v>
      </c>
      <c r="O3002" t="str">
        <f t="shared" si="234"/>
        <v>A1622:A3002</v>
      </c>
    </row>
    <row r="3003" spans="1:15">
      <c r="A3003" s="18">
        <f>Charms!K3003</f>
        <v>0</v>
      </c>
      <c r="B3003">
        <f>Charms!B3003</f>
        <v>0</v>
      </c>
      <c r="C3003" t="b">
        <f ca="1">OR(Values!$S$98&gt;=Charms!M3003,IFERROR(Charms!J3003=OFFSET(Values!$A$24,MATCH("S",Values!$T$25:$T$50,0),0),FALSE))</f>
        <v>1</v>
      </c>
      <c r="D3003" t="e">
        <f>VLOOKUP(Charms!J3003,Values!$A$11:$S$59,19,0)&gt;=Charms!L3003</f>
        <v>#N/A</v>
      </c>
      <c r="E3003" t="e">
        <f>OR(ISBLANK(Charms!I3003),(VLOOKUP(Values!$S$6,Castes!$B$2:$F$25,4,0)=Charms!I3003))</f>
        <v>#N/A</v>
      </c>
      <c r="J3003" t="e">
        <f t="shared" ca="1" si="231"/>
        <v>#N/A</v>
      </c>
      <c r="K3003" s="18" t="e">
        <f t="shared" ca="1" si="230"/>
        <v>#N/A</v>
      </c>
      <c r="L3003" t="e">
        <f ca="1">IF(J3003,Charms!B3003,"")</f>
        <v>#N/A</v>
      </c>
      <c r="M3003" t="str">
        <f t="shared" ca="1" si="232"/>
        <v>-</v>
      </c>
      <c r="N3003" s="18" t="str">
        <f t="shared" si="233"/>
        <v>K1622:L5000</v>
      </c>
      <c r="O3003" t="str">
        <f t="shared" si="234"/>
        <v>A1622:A3003</v>
      </c>
    </row>
    <row r="3004" spans="1:15">
      <c r="A3004" s="18">
        <f>Charms!K3004</f>
        <v>0</v>
      </c>
      <c r="B3004">
        <f>Charms!B3004</f>
        <v>0</v>
      </c>
      <c r="C3004" t="b">
        <f ca="1">OR(Values!$S$98&gt;=Charms!M3004,IFERROR(Charms!J3004=OFFSET(Values!$A$24,MATCH("S",Values!$T$25:$T$50,0),0),FALSE))</f>
        <v>1</v>
      </c>
      <c r="D3004" t="e">
        <f>VLOOKUP(Charms!J3004,Values!$A$11:$S$59,19,0)&gt;=Charms!L3004</f>
        <v>#N/A</v>
      </c>
      <c r="E3004" t="e">
        <f>OR(ISBLANK(Charms!I3004),(VLOOKUP(Values!$S$6,Castes!$B$2:$F$25,4,0)=Charms!I3004))</f>
        <v>#N/A</v>
      </c>
      <c r="J3004" t="e">
        <f t="shared" ca="1" si="231"/>
        <v>#N/A</v>
      </c>
      <c r="K3004" s="18" t="e">
        <f t="shared" ca="1" si="230"/>
        <v>#N/A</v>
      </c>
      <c r="L3004" t="e">
        <f ca="1">IF(J3004,Charms!B3004,"")</f>
        <v>#N/A</v>
      </c>
      <c r="M3004" t="str">
        <f t="shared" ca="1" si="232"/>
        <v>-</v>
      </c>
      <c r="N3004" s="18" t="str">
        <f t="shared" si="233"/>
        <v>K1622:L5000</v>
      </c>
      <c r="O3004" t="str">
        <f t="shared" si="234"/>
        <v>A1622:A3004</v>
      </c>
    </row>
    <row r="3005" spans="1:15">
      <c r="A3005" s="18">
        <f>Charms!K3005</f>
        <v>0</v>
      </c>
      <c r="B3005">
        <f>Charms!B3005</f>
        <v>0</v>
      </c>
      <c r="C3005" t="b">
        <f ca="1">OR(Values!$S$98&gt;=Charms!M3005,IFERROR(Charms!J3005=OFFSET(Values!$A$24,MATCH("S",Values!$T$25:$T$50,0),0),FALSE))</f>
        <v>1</v>
      </c>
      <c r="D3005" t="e">
        <f>VLOOKUP(Charms!J3005,Values!$A$11:$S$59,19,0)&gt;=Charms!L3005</f>
        <v>#N/A</v>
      </c>
      <c r="E3005" t="e">
        <f>OR(ISBLANK(Charms!I3005),(VLOOKUP(Values!$S$6,Castes!$B$2:$F$25,4,0)=Charms!I3005))</f>
        <v>#N/A</v>
      </c>
      <c r="J3005" t="e">
        <f t="shared" ca="1" si="231"/>
        <v>#N/A</v>
      </c>
      <c r="K3005" s="18" t="e">
        <f t="shared" ca="1" si="230"/>
        <v>#N/A</v>
      </c>
      <c r="L3005" t="e">
        <f ca="1">IF(J3005,Charms!B3005,"")</f>
        <v>#N/A</v>
      </c>
      <c r="M3005" t="str">
        <f t="shared" ca="1" si="232"/>
        <v>-</v>
      </c>
      <c r="N3005" s="18" t="str">
        <f t="shared" si="233"/>
        <v>K1622:L5000</v>
      </c>
      <c r="O3005" t="str">
        <f t="shared" si="234"/>
        <v>A1622:A3005</v>
      </c>
    </row>
    <row r="3006" spans="1:15">
      <c r="A3006" s="18">
        <f>Charms!K3006</f>
        <v>0</v>
      </c>
      <c r="B3006">
        <f>Charms!B3006</f>
        <v>0</v>
      </c>
      <c r="C3006" t="b">
        <f ca="1">OR(Values!$S$98&gt;=Charms!M3006,IFERROR(Charms!J3006=OFFSET(Values!$A$24,MATCH("S",Values!$T$25:$T$50,0),0),FALSE))</f>
        <v>1</v>
      </c>
      <c r="D3006" t="e">
        <f>VLOOKUP(Charms!J3006,Values!$A$11:$S$59,19,0)&gt;=Charms!L3006</f>
        <v>#N/A</v>
      </c>
      <c r="E3006" t="e">
        <f>OR(ISBLANK(Charms!I3006),(VLOOKUP(Values!$S$6,Castes!$B$2:$F$25,4,0)=Charms!I3006))</f>
        <v>#N/A</v>
      </c>
      <c r="J3006" t="e">
        <f t="shared" ca="1" si="231"/>
        <v>#N/A</v>
      </c>
      <c r="K3006" s="18" t="e">
        <f t="shared" ca="1" si="230"/>
        <v>#N/A</v>
      </c>
      <c r="L3006" t="e">
        <f ca="1">IF(J3006,Charms!B3006,"")</f>
        <v>#N/A</v>
      </c>
      <c r="M3006" t="str">
        <f t="shared" ca="1" si="232"/>
        <v>-</v>
      </c>
      <c r="N3006" s="18" t="str">
        <f t="shared" si="233"/>
        <v>K1622:L5000</v>
      </c>
      <c r="O3006" t="str">
        <f t="shared" si="234"/>
        <v>A1622:A3006</v>
      </c>
    </row>
    <row r="3007" spans="1:15">
      <c r="A3007" s="18">
        <f>Charms!K3007</f>
        <v>0</v>
      </c>
      <c r="B3007">
        <f>Charms!B3007</f>
        <v>0</v>
      </c>
      <c r="C3007" t="b">
        <f ca="1">OR(Values!$S$98&gt;=Charms!M3007,IFERROR(Charms!J3007=OFFSET(Values!$A$24,MATCH("S",Values!$T$25:$T$50,0),0),FALSE))</f>
        <v>1</v>
      </c>
      <c r="D3007" t="e">
        <f>VLOOKUP(Charms!J3007,Values!$A$11:$S$59,19,0)&gt;=Charms!L3007</f>
        <v>#N/A</v>
      </c>
      <c r="E3007" t="e">
        <f>OR(ISBLANK(Charms!I3007),(VLOOKUP(Values!$S$6,Castes!$B$2:$F$25,4,0)=Charms!I3007))</f>
        <v>#N/A</v>
      </c>
      <c r="J3007" t="e">
        <f t="shared" ca="1" si="231"/>
        <v>#N/A</v>
      </c>
      <c r="K3007" s="18" t="e">
        <f t="shared" ca="1" si="230"/>
        <v>#N/A</v>
      </c>
      <c r="L3007" t="e">
        <f ca="1">IF(J3007,Charms!B3007,"")</f>
        <v>#N/A</v>
      </c>
      <c r="M3007" t="str">
        <f t="shared" ca="1" si="232"/>
        <v>-</v>
      </c>
      <c r="N3007" s="18" t="str">
        <f t="shared" si="233"/>
        <v>K1622:L5000</v>
      </c>
      <c r="O3007" t="str">
        <f t="shared" si="234"/>
        <v>A1622:A3007</v>
      </c>
    </row>
    <row r="3008" spans="1:15">
      <c r="A3008" s="18">
        <f>Charms!K3008</f>
        <v>0</v>
      </c>
      <c r="B3008">
        <f>Charms!B3008</f>
        <v>0</v>
      </c>
      <c r="C3008" t="b">
        <f ca="1">OR(Values!$S$98&gt;=Charms!M3008,IFERROR(Charms!J3008=OFFSET(Values!$A$24,MATCH("S",Values!$T$25:$T$50,0),0),FALSE))</f>
        <v>1</v>
      </c>
      <c r="D3008" t="e">
        <f>VLOOKUP(Charms!J3008,Values!$A$11:$S$59,19,0)&gt;=Charms!L3008</f>
        <v>#N/A</v>
      </c>
      <c r="E3008" t="e">
        <f>OR(ISBLANK(Charms!I3008),(VLOOKUP(Values!$S$6,Castes!$B$2:$F$25,4,0)=Charms!I3008))</f>
        <v>#N/A</v>
      </c>
      <c r="J3008" t="e">
        <f t="shared" ca="1" si="231"/>
        <v>#N/A</v>
      </c>
      <c r="K3008" s="18" t="e">
        <f t="shared" ca="1" si="230"/>
        <v>#N/A</v>
      </c>
      <c r="L3008" t="e">
        <f ca="1">IF(J3008,Charms!B3008,"")</f>
        <v>#N/A</v>
      </c>
      <c r="M3008" t="str">
        <f t="shared" ca="1" si="232"/>
        <v>-</v>
      </c>
      <c r="N3008" s="18" t="str">
        <f t="shared" si="233"/>
        <v>K1622:L5000</v>
      </c>
      <c r="O3008" t="str">
        <f t="shared" si="234"/>
        <v>A1622:A3008</v>
      </c>
    </row>
    <row r="3009" spans="1:15">
      <c r="A3009" s="18">
        <f>Charms!K3009</f>
        <v>0</v>
      </c>
      <c r="B3009">
        <f>Charms!B3009</f>
        <v>0</v>
      </c>
      <c r="C3009" t="b">
        <f ca="1">OR(Values!$S$98&gt;=Charms!M3009,IFERROR(Charms!J3009=OFFSET(Values!$A$24,MATCH("S",Values!$T$25:$T$50,0),0),FALSE))</f>
        <v>1</v>
      </c>
      <c r="D3009" t="e">
        <f>VLOOKUP(Charms!J3009,Values!$A$11:$S$59,19,0)&gt;=Charms!L3009</f>
        <v>#N/A</v>
      </c>
      <c r="E3009" t="e">
        <f>OR(ISBLANK(Charms!I3009),(VLOOKUP(Values!$S$6,Castes!$B$2:$F$25,4,0)=Charms!I3009))</f>
        <v>#N/A</v>
      </c>
      <c r="J3009" t="e">
        <f t="shared" ca="1" si="231"/>
        <v>#N/A</v>
      </c>
      <c r="K3009" s="18" t="e">
        <f t="shared" ca="1" si="230"/>
        <v>#N/A</v>
      </c>
      <c r="L3009" t="e">
        <f ca="1">IF(J3009,Charms!B3009,"")</f>
        <v>#N/A</v>
      </c>
      <c r="M3009" t="str">
        <f t="shared" ca="1" si="232"/>
        <v>-</v>
      </c>
      <c r="N3009" s="18" t="str">
        <f t="shared" si="233"/>
        <v>K1622:L5000</v>
      </c>
      <c r="O3009" t="str">
        <f t="shared" si="234"/>
        <v>A1622:A3009</v>
      </c>
    </row>
    <row r="3010" spans="1:15">
      <c r="A3010" s="18">
        <f>Charms!K3010</f>
        <v>0</v>
      </c>
      <c r="B3010">
        <f>Charms!B3010</f>
        <v>0</v>
      </c>
      <c r="C3010" t="b">
        <f ca="1">OR(Values!$S$98&gt;=Charms!M3010,IFERROR(Charms!J3010=OFFSET(Values!$A$24,MATCH("S",Values!$T$25:$T$50,0),0),FALSE))</f>
        <v>1</v>
      </c>
      <c r="D3010" t="e">
        <f>VLOOKUP(Charms!J3010,Values!$A$11:$S$59,19,0)&gt;=Charms!L3010</f>
        <v>#N/A</v>
      </c>
      <c r="E3010" t="e">
        <f>OR(ISBLANK(Charms!I3010),(VLOOKUP(Values!$S$6,Castes!$B$2:$F$25,4,0)=Charms!I3010))</f>
        <v>#N/A</v>
      </c>
      <c r="J3010" t="e">
        <f t="shared" ca="1" si="231"/>
        <v>#N/A</v>
      </c>
      <c r="K3010" s="18" t="e">
        <f t="shared" ref="K3010:K3073" ca="1" si="235">IF(L3010="","",COUNTIF(INDIRECT("J"&amp;MATCH(A3010,A:A,0)&amp;":J"&amp;ROW()),J3010))</f>
        <v>#N/A</v>
      </c>
      <c r="L3010" t="e">
        <f ca="1">IF(J3010,Charms!B3010,"")</f>
        <v>#N/A</v>
      </c>
      <c r="M3010" t="str">
        <f t="shared" ca="1" si="232"/>
        <v>-</v>
      </c>
      <c r="N3010" s="18" t="str">
        <f t="shared" si="233"/>
        <v>K1622:L5000</v>
      </c>
      <c r="O3010" t="str">
        <f t="shared" si="234"/>
        <v>A1622:A3010</v>
      </c>
    </row>
    <row r="3011" spans="1:15">
      <c r="A3011" s="18">
        <f>Charms!K3011</f>
        <v>0</v>
      </c>
      <c r="B3011">
        <f>Charms!B3011</f>
        <v>0</v>
      </c>
      <c r="C3011" t="b">
        <f ca="1">OR(Values!$S$98&gt;=Charms!M3011,IFERROR(Charms!J3011=OFFSET(Values!$A$24,MATCH("S",Values!$T$25:$T$50,0),0),FALSE))</f>
        <v>1</v>
      </c>
      <c r="D3011" t="e">
        <f>VLOOKUP(Charms!J3011,Values!$A$11:$S$59,19,0)&gt;=Charms!L3011</f>
        <v>#N/A</v>
      </c>
      <c r="E3011" t="e">
        <f>OR(ISBLANK(Charms!I3011),(VLOOKUP(Values!$S$6,Castes!$B$2:$F$25,4,0)=Charms!I3011))</f>
        <v>#N/A</v>
      </c>
      <c r="J3011" t="e">
        <f t="shared" ref="J3011:J3074" ca="1" si="236">(C3011+D3011+E3011+F3011+G3011+H3011+I3011)=3</f>
        <v>#N/A</v>
      </c>
      <c r="K3011" s="18" t="e">
        <f t="shared" ca="1" si="235"/>
        <v>#N/A</v>
      </c>
      <c r="L3011" t="e">
        <f ca="1">IF(J3011,Charms!B3011,"")</f>
        <v>#N/A</v>
      </c>
      <c r="M3011" t="str">
        <f t="shared" ref="M3011:M3074" ca="1" si="237">IFERROR(VLOOKUP(COUNTIF(INDIRECT(O3011),A3011),INDIRECT(N3011),2,0),"-")</f>
        <v>-</v>
      </c>
      <c r="N3011" s="18" t="str">
        <f t="shared" ref="N3011:N3074" si="238">"K"&amp;MATCH(A3011,A:A,0)&amp;":L"&amp;(MATCH(A3011,A:A,0)+COUNTIF(A:A,A3011)-1)</f>
        <v>K1622:L5000</v>
      </c>
      <c r="O3011" t="str">
        <f t="shared" ref="O3011:O3074" si="239">"A"&amp;MATCH(A3011,A:A,0)&amp;":A"&amp;ROW()</f>
        <v>A1622:A3011</v>
      </c>
    </row>
    <row r="3012" spans="1:15">
      <c r="A3012" s="18">
        <f>Charms!K3012</f>
        <v>0</v>
      </c>
      <c r="B3012">
        <f>Charms!B3012</f>
        <v>0</v>
      </c>
      <c r="C3012" t="b">
        <f ca="1">OR(Values!$S$98&gt;=Charms!M3012,IFERROR(Charms!J3012=OFFSET(Values!$A$24,MATCH("S",Values!$T$25:$T$50,0),0),FALSE))</f>
        <v>1</v>
      </c>
      <c r="D3012" t="e">
        <f>VLOOKUP(Charms!J3012,Values!$A$11:$S$59,19,0)&gt;=Charms!L3012</f>
        <v>#N/A</v>
      </c>
      <c r="E3012" t="e">
        <f>OR(ISBLANK(Charms!I3012),(VLOOKUP(Values!$S$6,Castes!$B$2:$F$25,4,0)=Charms!I3012))</f>
        <v>#N/A</v>
      </c>
      <c r="J3012" t="e">
        <f t="shared" ca="1" si="236"/>
        <v>#N/A</v>
      </c>
      <c r="K3012" s="18" t="e">
        <f t="shared" ca="1" si="235"/>
        <v>#N/A</v>
      </c>
      <c r="L3012" t="e">
        <f ca="1">IF(J3012,Charms!B3012,"")</f>
        <v>#N/A</v>
      </c>
      <c r="M3012" t="str">
        <f t="shared" ca="1" si="237"/>
        <v>-</v>
      </c>
      <c r="N3012" s="18" t="str">
        <f t="shared" si="238"/>
        <v>K1622:L5000</v>
      </c>
      <c r="O3012" t="str">
        <f t="shared" si="239"/>
        <v>A1622:A3012</v>
      </c>
    </row>
    <row r="3013" spans="1:15">
      <c r="A3013" s="18">
        <f>Charms!K3013</f>
        <v>0</v>
      </c>
      <c r="B3013">
        <f>Charms!B3013</f>
        <v>0</v>
      </c>
      <c r="C3013" t="b">
        <f ca="1">OR(Values!$S$98&gt;=Charms!M3013,IFERROR(Charms!J3013=OFFSET(Values!$A$24,MATCH("S",Values!$T$25:$T$50,0),0),FALSE))</f>
        <v>1</v>
      </c>
      <c r="D3013" t="e">
        <f>VLOOKUP(Charms!J3013,Values!$A$11:$S$59,19,0)&gt;=Charms!L3013</f>
        <v>#N/A</v>
      </c>
      <c r="E3013" t="e">
        <f>OR(ISBLANK(Charms!I3013),(VLOOKUP(Values!$S$6,Castes!$B$2:$F$25,4,0)=Charms!I3013))</f>
        <v>#N/A</v>
      </c>
      <c r="J3013" t="e">
        <f t="shared" ca="1" si="236"/>
        <v>#N/A</v>
      </c>
      <c r="K3013" s="18" t="e">
        <f t="shared" ca="1" si="235"/>
        <v>#N/A</v>
      </c>
      <c r="L3013" t="e">
        <f ca="1">IF(J3013,Charms!B3013,"")</f>
        <v>#N/A</v>
      </c>
      <c r="M3013" t="str">
        <f t="shared" ca="1" si="237"/>
        <v>-</v>
      </c>
      <c r="N3013" s="18" t="str">
        <f t="shared" si="238"/>
        <v>K1622:L5000</v>
      </c>
      <c r="O3013" t="str">
        <f t="shared" si="239"/>
        <v>A1622:A3013</v>
      </c>
    </row>
    <row r="3014" spans="1:15">
      <c r="A3014" s="18">
        <f>Charms!K3014</f>
        <v>0</v>
      </c>
      <c r="B3014">
        <f>Charms!B3014</f>
        <v>0</v>
      </c>
      <c r="C3014" t="b">
        <f ca="1">OR(Values!$S$98&gt;=Charms!M3014,IFERROR(Charms!J3014=OFFSET(Values!$A$24,MATCH("S",Values!$T$25:$T$50,0),0),FALSE))</f>
        <v>1</v>
      </c>
      <c r="D3014" t="e">
        <f>VLOOKUP(Charms!J3014,Values!$A$11:$S$59,19,0)&gt;=Charms!L3014</f>
        <v>#N/A</v>
      </c>
      <c r="E3014" t="e">
        <f>OR(ISBLANK(Charms!I3014),(VLOOKUP(Values!$S$6,Castes!$B$2:$F$25,4,0)=Charms!I3014))</f>
        <v>#N/A</v>
      </c>
      <c r="J3014" t="e">
        <f t="shared" ca="1" si="236"/>
        <v>#N/A</v>
      </c>
      <c r="K3014" s="18" t="e">
        <f t="shared" ca="1" si="235"/>
        <v>#N/A</v>
      </c>
      <c r="L3014" t="e">
        <f ca="1">IF(J3014,Charms!B3014,"")</f>
        <v>#N/A</v>
      </c>
      <c r="M3014" t="str">
        <f t="shared" ca="1" si="237"/>
        <v>-</v>
      </c>
      <c r="N3014" s="18" t="str">
        <f t="shared" si="238"/>
        <v>K1622:L5000</v>
      </c>
      <c r="O3014" t="str">
        <f t="shared" si="239"/>
        <v>A1622:A3014</v>
      </c>
    </row>
    <row r="3015" spans="1:15">
      <c r="A3015" s="18">
        <f>Charms!K3015</f>
        <v>0</v>
      </c>
      <c r="B3015">
        <f>Charms!B3015</f>
        <v>0</v>
      </c>
      <c r="C3015" t="b">
        <f ca="1">OR(Values!$S$98&gt;=Charms!M3015,IFERROR(Charms!J3015=OFFSET(Values!$A$24,MATCH("S",Values!$T$25:$T$50,0),0),FALSE))</f>
        <v>1</v>
      </c>
      <c r="D3015" t="e">
        <f>VLOOKUP(Charms!J3015,Values!$A$11:$S$59,19,0)&gt;=Charms!L3015</f>
        <v>#N/A</v>
      </c>
      <c r="E3015" t="e">
        <f>OR(ISBLANK(Charms!I3015),(VLOOKUP(Values!$S$6,Castes!$B$2:$F$25,4,0)=Charms!I3015))</f>
        <v>#N/A</v>
      </c>
      <c r="J3015" t="e">
        <f t="shared" ca="1" si="236"/>
        <v>#N/A</v>
      </c>
      <c r="K3015" s="18" t="e">
        <f t="shared" ca="1" si="235"/>
        <v>#N/A</v>
      </c>
      <c r="L3015" t="e">
        <f ca="1">IF(J3015,Charms!B3015,"")</f>
        <v>#N/A</v>
      </c>
      <c r="M3015" t="str">
        <f t="shared" ca="1" si="237"/>
        <v>-</v>
      </c>
      <c r="N3015" s="18" t="str">
        <f t="shared" si="238"/>
        <v>K1622:L5000</v>
      </c>
      <c r="O3015" t="str">
        <f t="shared" si="239"/>
        <v>A1622:A3015</v>
      </c>
    </row>
    <row r="3016" spans="1:15">
      <c r="A3016" s="18">
        <f>Charms!K3016</f>
        <v>0</v>
      </c>
      <c r="B3016">
        <f>Charms!B3016</f>
        <v>0</v>
      </c>
      <c r="C3016" t="b">
        <f ca="1">OR(Values!$S$98&gt;=Charms!M3016,IFERROR(Charms!J3016=OFFSET(Values!$A$24,MATCH("S",Values!$T$25:$T$50,0),0),FALSE))</f>
        <v>1</v>
      </c>
      <c r="D3016" t="e">
        <f>VLOOKUP(Charms!J3016,Values!$A$11:$S$59,19,0)&gt;=Charms!L3016</f>
        <v>#N/A</v>
      </c>
      <c r="E3016" t="e">
        <f>OR(ISBLANK(Charms!I3016),(VLOOKUP(Values!$S$6,Castes!$B$2:$F$25,4,0)=Charms!I3016))</f>
        <v>#N/A</v>
      </c>
      <c r="J3016" t="e">
        <f t="shared" ca="1" si="236"/>
        <v>#N/A</v>
      </c>
      <c r="K3016" s="18" t="e">
        <f t="shared" ca="1" si="235"/>
        <v>#N/A</v>
      </c>
      <c r="L3016" t="e">
        <f ca="1">IF(J3016,Charms!B3016,"")</f>
        <v>#N/A</v>
      </c>
      <c r="M3016" t="str">
        <f t="shared" ca="1" si="237"/>
        <v>-</v>
      </c>
      <c r="N3016" s="18" t="str">
        <f t="shared" si="238"/>
        <v>K1622:L5000</v>
      </c>
      <c r="O3016" t="str">
        <f t="shared" si="239"/>
        <v>A1622:A3016</v>
      </c>
    </row>
    <row r="3017" spans="1:15">
      <c r="A3017" s="18">
        <f>Charms!K3017</f>
        <v>0</v>
      </c>
      <c r="B3017">
        <f>Charms!B3017</f>
        <v>0</v>
      </c>
      <c r="C3017" t="b">
        <f ca="1">OR(Values!$S$98&gt;=Charms!M3017,IFERROR(Charms!J3017=OFFSET(Values!$A$24,MATCH("S",Values!$T$25:$T$50,0),0),FALSE))</f>
        <v>1</v>
      </c>
      <c r="D3017" t="e">
        <f>VLOOKUP(Charms!J3017,Values!$A$11:$S$59,19,0)&gt;=Charms!L3017</f>
        <v>#N/A</v>
      </c>
      <c r="E3017" t="e">
        <f>OR(ISBLANK(Charms!I3017),(VLOOKUP(Values!$S$6,Castes!$B$2:$F$25,4,0)=Charms!I3017))</f>
        <v>#N/A</v>
      </c>
      <c r="J3017" t="e">
        <f t="shared" ca="1" si="236"/>
        <v>#N/A</v>
      </c>
      <c r="K3017" s="18" t="e">
        <f t="shared" ca="1" si="235"/>
        <v>#N/A</v>
      </c>
      <c r="L3017" t="e">
        <f ca="1">IF(J3017,Charms!B3017,"")</f>
        <v>#N/A</v>
      </c>
      <c r="M3017" t="str">
        <f t="shared" ca="1" si="237"/>
        <v>-</v>
      </c>
      <c r="N3017" s="18" t="str">
        <f t="shared" si="238"/>
        <v>K1622:L5000</v>
      </c>
      <c r="O3017" t="str">
        <f t="shared" si="239"/>
        <v>A1622:A3017</v>
      </c>
    </row>
    <row r="3018" spans="1:15">
      <c r="A3018" s="18">
        <f>Charms!K3018</f>
        <v>0</v>
      </c>
      <c r="B3018">
        <f>Charms!B3018</f>
        <v>0</v>
      </c>
      <c r="C3018" t="b">
        <f ca="1">OR(Values!$S$98&gt;=Charms!M3018,IFERROR(Charms!J3018=OFFSET(Values!$A$24,MATCH("S",Values!$T$25:$T$50,0),0),FALSE))</f>
        <v>1</v>
      </c>
      <c r="D3018" t="e">
        <f>VLOOKUP(Charms!J3018,Values!$A$11:$S$59,19,0)&gt;=Charms!L3018</f>
        <v>#N/A</v>
      </c>
      <c r="E3018" t="e">
        <f>OR(ISBLANK(Charms!I3018),(VLOOKUP(Values!$S$6,Castes!$B$2:$F$25,4,0)=Charms!I3018))</f>
        <v>#N/A</v>
      </c>
      <c r="J3018" t="e">
        <f t="shared" ca="1" si="236"/>
        <v>#N/A</v>
      </c>
      <c r="K3018" s="18" t="e">
        <f t="shared" ca="1" si="235"/>
        <v>#N/A</v>
      </c>
      <c r="L3018" t="e">
        <f ca="1">IF(J3018,Charms!B3018,"")</f>
        <v>#N/A</v>
      </c>
      <c r="M3018" t="str">
        <f t="shared" ca="1" si="237"/>
        <v>-</v>
      </c>
      <c r="N3018" s="18" t="str">
        <f t="shared" si="238"/>
        <v>K1622:L5000</v>
      </c>
      <c r="O3018" t="str">
        <f t="shared" si="239"/>
        <v>A1622:A3018</v>
      </c>
    </row>
    <row r="3019" spans="1:15">
      <c r="A3019" s="18">
        <f>Charms!K3019</f>
        <v>0</v>
      </c>
      <c r="B3019">
        <f>Charms!B3019</f>
        <v>0</v>
      </c>
      <c r="C3019" t="b">
        <f ca="1">OR(Values!$S$98&gt;=Charms!M3019,IFERROR(Charms!J3019=OFFSET(Values!$A$24,MATCH("S",Values!$T$25:$T$50,0),0),FALSE))</f>
        <v>1</v>
      </c>
      <c r="D3019" t="e">
        <f>VLOOKUP(Charms!J3019,Values!$A$11:$S$59,19,0)&gt;=Charms!L3019</f>
        <v>#N/A</v>
      </c>
      <c r="E3019" t="e">
        <f>OR(ISBLANK(Charms!I3019),(VLOOKUP(Values!$S$6,Castes!$B$2:$F$25,4,0)=Charms!I3019))</f>
        <v>#N/A</v>
      </c>
      <c r="J3019" t="e">
        <f t="shared" ca="1" si="236"/>
        <v>#N/A</v>
      </c>
      <c r="K3019" s="18" t="e">
        <f t="shared" ca="1" si="235"/>
        <v>#N/A</v>
      </c>
      <c r="L3019" t="e">
        <f ca="1">IF(J3019,Charms!B3019,"")</f>
        <v>#N/A</v>
      </c>
      <c r="M3019" t="str">
        <f t="shared" ca="1" si="237"/>
        <v>-</v>
      </c>
      <c r="N3019" s="18" t="str">
        <f t="shared" si="238"/>
        <v>K1622:L5000</v>
      </c>
      <c r="O3019" t="str">
        <f t="shared" si="239"/>
        <v>A1622:A3019</v>
      </c>
    </row>
    <row r="3020" spans="1:15">
      <c r="A3020" s="18">
        <f>Charms!K3020</f>
        <v>0</v>
      </c>
      <c r="B3020">
        <f>Charms!B3020</f>
        <v>0</v>
      </c>
      <c r="C3020" t="b">
        <f ca="1">OR(Values!$S$98&gt;=Charms!M3020,IFERROR(Charms!J3020=OFFSET(Values!$A$24,MATCH("S",Values!$T$25:$T$50,0),0),FALSE))</f>
        <v>1</v>
      </c>
      <c r="D3020" t="e">
        <f>VLOOKUP(Charms!J3020,Values!$A$11:$S$59,19,0)&gt;=Charms!L3020</f>
        <v>#N/A</v>
      </c>
      <c r="E3020" t="e">
        <f>OR(ISBLANK(Charms!I3020),(VLOOKUP(Values!$S$6,Castes!$B$2:$F$25,4,0)=Charms!I3020))</f>
        <v>#N/A</v>
      </c>
      <c r="J3020" t="e">
        <f t="shared" ca="1" si="236"/>
        <v>#N/A</v>
      </c>
      <c r="K3020" s="18" t="e">
        <f t="shared" ca="1" si="235"/>
        <v>#N/A</v>
      </c>
      <c r="L3020" t="e">
        <f ca="1">IF(J3020,Charms!B3020,"")</f>
        <v>#N/A</v>
      </c>
      <c r="M3020" t="str">
        <f t="shared" ca="1" si="237"/>
        <v>-</v>
      </c>
      <c r="N3020" s="18" t="str">
        <f t="shared" si="238"/>
        <v>K1622:L5000</v>
      </c>
      <c r="O3020" t="str">
        <f t="shared" si="239"/>
        <v>A1622:A3020</v>
      </c>
    </row>
    <row r="3021" spans="1:15">
      <c r="A3021" s="18">
        <f>Charms!K3021</f>
        <v>0</v>
      </c>
      <c r="B3021">
        <f>Charms!B3021</f>
        <v>0</v>
      </c>
      <c r="C3021" t="b">
        <f ca="1">OR(Values!$S$98&gt;=Charms!M3021,IFERROR(Charms!J3021=OFFSET(Values!$A$24,MATCH("S",Values!$T$25:$T$50,0),0),FALSE))</f>
        <v>1</v>
      </c>
      <c r="D3021" t="e">
        <f>VLOOKUP(Charms!J3021,Values!$A$11:$S$59,19,0)&gt;=Charms!L3021</f>
        <v>#N/A</v>
      </c>
      <c r="E3021" t="e">
        <f>OR(ISBLANK(Charms!I3021),(VLOOKUP(Values!$S$6,Castes!$B$2:$F$25,4,0)=Charms!I3021))</f>
        <v>#N/A</v>
      </c>
      <c r="J3021" t="e">
        <f t="shared" ca="1" si="236"/>
        <v>#N/A</v>
      </c>
      <c r="K3021" s="18" t="e">
        <f t="shared" ca="1" si="235"/>
        <v>#N/A</v>
      </c>
      <c r="L3021" t="e">
        <f ca="1">IF(J3021,Charms!B3021,"")</f>
        <v>#N/A</v>
      </c>
      <c r="M3021" t="str">
        <f t="shared" ca="1" si="237"/>
        <v>-</v>
      </c>
      <c r="N3021" s="18" t="str">
        <f t="shared" si="238"/>
        <v>K1622:L5000</v>
      </c>
      <c r="O3021" t="str">
        <f t="shared" si="239"/>
        <v>A1622:A3021</v>
      </c>
    </row>
    <row r="3022" spans="1:15">
      <c r="A3022" s="18">
        <f>Charms!K3022</f>
        <v>0</v>
      </c>
      <c r="B3022">
        <f>Charms!B3022</f>
        <v>0</v>
      </c>
      <c r="C3022" t="b">
        <f ca="1">OR(Values!$S$98&gt;=Charms!M3022,IFERROR(Charms!J3022=OFFSET(Values!$A$24,MATCH("S",Values!$T$25:$T$50,0),0),FALSE))</f>
        <v>1</v>
      </c>
      <c r="D3022" t="e">
        <f>VLOOKUP(Charms!J3022,Values!$A$11:$S$59,19,0)&gt;=Charms!L3022</f>
        <v>#N/A</v>
      </c>
      <c r="E3022" t="e">
        <f>OR(ISBLANK(Charms!I3022),(VLOOKUP(Values!$S$6,Castes!$B$2:$F$25,4,0)=Charms!I3022))</f>
        <v>#N/A</v>
      </c>
      <c r="J3022" t="e">
        <f t="shared" ca="1" si="236"/>
        <v>#N/A</v>
      </c>
      <c r="K3022" s="18" t="e">
        <f t="shared" ca="1" si="235"/>
        <v>#N/A</v>
      </c>
      <c r="L3022" t="e">
        <f ca="1">IF(J3022,Charms!B3022,"")</f>
        <v>#N/A</v>
      </c>
      <c r="M3022" t="str">
        <f t="shared" ca="1" si="237"/>
        <v>-</v>
      </c>
      <c r="N3022" s="18" t="str">
        <f t="shared" si="238"/>
        <v>K1622:L5000</v>
      </c>
      <c r="O3022" t="str">
        <f t="shared" si="239"/>
        <v>A1622:A3022</v>
      </c>
    </row>
    <row r="3023" spans="1:15">
      <c r="A3023" s="18">
        <f>Charms!K3023</f>
        <v>0</v>
      </c>
      <c r="B3023">
        <f>Charms!B3023</f>
        <v>0</v>
      </c>
      <c r="C3023" t="b">
        <f ca="1">OR(Values!$S$98&gt;=Charms!M3023,IFERROR(Charms!J3023=OFFSET(Values!$A$24,MATCH("S",Values!$T$25:$T$50,0),0),FALSE))</f>
        <v>1</v>
      </c>
      <c r="D3023" t="e">
        <f>VLOOKUP(Charms!J3023,Values!$A$11:$S$59,19,0)&gt;=Charms!L3023</f>
        <v>#N/A</v>
      </c>
      <c r="E3023" t="e">
        <f>OR(ISBLANK(Charms!I3023),(VLOOKUP(Values!$S$6,Castes!$B$2:$F$25,4,0)=Charms!I3023))</f>
        <v>#N/A</v>
      </c>
      <c r="J3023" t="e">
        <f t="shared" ca="1" si="236"/>
        <v>#N/A</v>
      </c>
      <c r="K3023" s="18" t="e">
        <f t="shared" ca="1" si="235"/>
        <v>#N/A</v>
      </c>
      <c r="L3023" t="e">
        <f ca="1">IF(J3023,Charms!B3023,"")</f>
        <v>#N/A</v>
      </c>
      <c r="M3023" t="str">
        <f t="shared" ca="1" si="237"/>
        <v>-</v>
      </c>
      <c r="N3023" s="18" t="str">
        <f t="shared" si="238"/>
        <v>K1622:L5000</v>
      </c>
      <c r="O3023" t="str">
        <f t="shared" si="239"/>
        <v>A1622:A3023</v>
      </c>
    </row>
    <row r="3024" spans="1:15">
      <c r="A3024" s="18">
        <f>Charms!K3024</f>
        <v>0</v>
      </c>
      <c r="B3024">
        <f>Charms!B3024</f>
        <v>0</v>
      </c>
      <c r="C3024" t="b">
        <f ca="1">OR(Values!$S$98&gt;=Charms!M3024,IFERROR(Charms!J3024=OFFSET(Values!$A$24,MATCH("S",Values!$T$25:$T$50,0),0),FALSE))</f>
        <v>1</v>
      </c>
      <c r="D3024" t="e">
        <f>VLOOKUP(Charms!J3024,Values!$A$11:$S$59,19,0)&gt;=Charms!L3024</f>
        <v>#N/A</v>
      </c>
      <c r="E3024" t="e">
        <f>OR(ISBLANK(Charms!I3024),(VLOOKUP(Values!$S$6,Castes!$B$2:$F$25,4,0)=Charms!I3024))</f>
        <v>#N/A</v>
      </c>
      <c r="J3024" t="e">
        <f t="shared" ca="1" si="236"/>
        <v>#N/A</v>
      </c>
      <c r="K3024" s="18" t="e">
        <f t="shared" ca="1" si="235"/>
        <v>#N/A</v>
      </c>
      <c r="L3024" t="e">
        <f ca="1">IF(J3024,Charms!B3024,"")</f>
        <v>#N/A</v>
      </c>
      <c r="M3024" t="str">
        <f t="shared" ca="1" si="237"/>
        <v>-</v>
      </c>
      <c r="N3024" s="18" t="str">
        <f t="shared" si="238"/>
        <v>K1622:L5000</v>
      </c>
      <c r="O3024" t="str">
        <f t="shared" si="239"/>
        <v>A1622:A3024</v>
      </c>
    </row>
    <row r="3025" spans="1:15">
      <c r="A3025" s="18">
        <f>Charms!K3025</f>
        <v>0</v>
      </c>
      <c r="B3025">
        <f>Charms!B3025</f>
        <v>0</v>
      </c>
      <c r="C3025" t="b">
        <f ca="1">OR(Values!$S$98&gt;=Charms!M3025,IFERROR(Charms!J3025=OFFSET(Values!$A$24,MATCH("S",Values!$T$25:$T$50,0),0),FALSE))</f>
        <v>1</v>
      </c>
      <c r="D3025" t="e">
        <f>VLOOKUP(Charms!J3025,Values!$A$11:$S$59,19,0)&gt;=Charms!L3025</f>
        <v>#N/A</v>
      </c>
      <c r="E3025" t="e">
        <f>OR(ISBLANK(Charms!I3025),(VLOOKUP(Values!$S$6,Castes!$B$2:$F$25,4,0)=Charms!I3025))</f>
        <v>#N/A</v>
      </c>
      <c r="J3025" t="e">
        <f t="shared" ca="1" si="236"/>
        <v>#N/A</v>
      </c>
      <c r="K3025" s="18" t="e">
        <f t="shared" ca="1" si="235"/>
        <v>#N/A</v>
      </c>
      <c r="L3025" t="e">
        <f ca="1">IF(J3025,Charms!B3025,"")</f>
        <v>#N/A</v>
      </c>
      <c r="M3025" t="str">
        <f t="shared" ca="1" si="237"/>
        <v>-</v>
      </c>
      <c r="N3025" s="18" t="str">
        <f t="shared" si="238"/>
        <v>K1622:L5000</v>
      </c>
      <c r="O3025" t="str">
        <f t="shared" si="239"/>
        <v>A1622:A3025</v>
      </c>
    </row>
    <row r="3026" spans="1:15">
      <c r="A3026" s="18">
        <f>Charms!K3026</f>
        <v>0</v>
      </c>
      <c r="B3026">
        <f>Charms!B3026</f>
        <v>0</v>
      </c>
      <c r="C3026" t="b">
        <f ca="1">OR(Values!$S$98&gt;=Charms!M3026,IFERROR(Charms!J3026=OFFSET(Values!$A$24,MATCH("S",Values!$T$25:$T$50,0),0),FALSE))</f>
        <v>1</v>
      </c>
      <c r="D3026" t="e">
        <f>VLOOKUP(Charms!J3026,Values!$A$11:$S$59,19,0)&gt;=Charms!L3026</f>
        <v>#N/A</v>
      </c>
      <c r="E3026" t="e">
        <f>OR(ISBLANK(Charms!I3026),(VLOOKUP(Values!$S$6,Castes!$B$2:$F$25,4,0)=Charms!I3026))</f>
        <v>#N/A</v>
      </c>
      <c r="J3026" t="e">
        <f t="shared" ca="1" si="236"/>
        <v>#N/A</v>
      </c>
      <c r="K3026" s="18" t="e">
        <f t="shared" ca="1" si="235"/>
        <v>#N/A</v>
      </c>
      <c r="L3026" t="e">
        <f ca="1">IF(J3026,Charms!B3026,"")</f>
        <v>#N/A</v>
      </c>
      <c r="M3026" t="str">
        <f t="shared" ca="1" si="237"/>
        <v>-</v>
      </c>
      <c r="N3026" s="18" t="str">
        <f t="shared" si="238"/>
        <v>K1622:L5000</v>
      </c>
      <c r="O3026" t="str">
        <f t="shared" si="239"/>
        <v>A1622:A3026</v>
      </c>
    </row>
    <row r="3027" spans="1:15">
      <c r="A3027" s="18">
        <f>Charms!K3027</f>
        <v>0</v>
      </c>
      <c r="B3027">
        <f>Charms!B3027</f>
        <v>0</v>
      </c>
      <c r="C3027" t="b">
        <f ca="1">OR(Values!$S$98&gt;=Charms!M3027,IFERROR(Charms!J3027=OFFSET(Values!$A$24,MATCH("S",Values!$T$25:$T$50,0),0),FALSE))</f>
        <v>1</v>
      </c>
      <c r="D3027" t="e">
        <f>VLOOKUP(Charms!J3027,Values!$A$11:$S$59,19,0)&gt;=Charms!L3027</f>
        <v>#N/A</v>
      </c>
      <c r="E3027" t="e">
        <f>OR(ISBLANK(Charms!I3027),(VLOOKUP(Values!$S$6,Castes!$B$2:$F$25,4,0)=Charms!I3027))</f>
        <v>#N/A</v>
      </c>
      <c r="J3027" t="e">
        <f t="shared" ca="1" si="236"/>
        <v>#N/A</v>
      </c>
      <c r="K3027" s="18" t="e">
        <f t="shared" ca="1" si="235"/>
        <v>#N/A</v>
      </c>
      <c r="L3027" t="e">
        <f ca="1">IF(J3027,Charms!B3027,"")</f>
        <v>#N/A</v>
      </c>
      <c r="M3027" t="str">
        <f t="shared" ca="1" si="237"/>
        <v>-</v>
      </c>
      <c r="N3027" s="18" t="str">
        <f t="shared" si="238"/>
        <v>K1622:L5000</v>
      </c>
      <c r="O3027" t="str">
        <f t="shared" si="239"/>
        <v>A1622:A3027</v>
      </c>
    </row>
    <row r="3028" spans="1:15">
      <c r="A3028" s="18">
        <f>Charms!K3028</f>
        <v>0</v>
      </c>
      <c r="B3028">
        <f>Charms!B3028</f>
        <v>0</v>
      </c>
      <c r="C3028" t="b">
        <f ca="1">OR(Values!$S$98&gt;=Charms!M3028,IFERROR(Charms!J3028=OFFSET(Values!$A$24,MATCH("S",Values!$T$25:$T$50,0),0),FALSE))</f>
        <v>1</v>
      </c>
      <c r="D3028" t="e">
        <f>VLOOKUP(Charms!J3028,Values!$A$11:$S$59,19,0)&gt;=Charms!L3028</f>
        <v>#N/A</v>
      </c>
      <c r="E3028" t="e">
        <f>OR(ISBLANK(Charms!I3028),(VLOOKUP(Values!$S$6,Castes!$B$2:$F$25,4,0)=Charms!I3028))</f>
        <v>#N/A</v>
      </c>
      <c r="J3028" t="e">
        <f t="shared" ca="1" si="236"/>
        <v>#N/A</v>
      </c>
      <c r="K3028" s="18" t="e">
        <f t="shared" ca="1" si="235"/>
        <v>#N/A</v>
      </c>
      <c r="L3028" t="e">
        <f ca="1">IF(J3028,Charms!B3028,"")</f>
        <v>#N/A</v>
      </c>
      <c r="M3028" t="str">
        <f t="shared" ca="1" si="237"/>
        <v>-</v>
      </c>
      <c r="N3028" s="18" t="str">
        <f t="shared" si="238"/>
        <v>K1622:L5000</v>
      </c>
      <c r="O3028" t="str">
        <f t="shared" si="239"/>
        <v>A1622:A3028</v>
      </c>
    </row>
    <row r="3029" spans="1:15">
      <c r="A3029" s="18">
        <f>Charms!K3029</f>
        <v>0</v>
      </c>
      <c r="B3029">
        <f>Charms!B3029</f>
        <v>0</v>
      </c>
      <c r="C3029" t="b">
        <f ca="1">OR(Values!$S$98&gt;=Charms!M3029,IFERROR(Charms!J3029=OFFSET(Values!$A$24,MATCH("S",Values!$T$25:$T$50,0),0),FALSE))</f>
        <v>1</v>
      </c>
      <c r="D3029" t="e">
        <f>VLOOKUP(Charms!J3029,Values!$A$11:$S$59,19,0)&gt;=Charms!L3029</f>
        <v>#N/A</v>
      </c>
      <c r="E3029" t="e">
        <f>OR(ISBLANK(Charms!I3029),(VLOOKUP(Values!$S$6,Castes!$B$2:$F$25,4,0)=Charms!I3029))</f>
        <v>#N/A</v>
      </c>
      <c r="J3029" t="e">
        <f t="shared" ca="1" si="236"/>
        <v>#N/A</v>
      </c>
      <c r="K3029" s="18" t="e">
        <f t="shared" ca="1" si="235"/>
        <v>#N/A</v>
      </c>
      <c r="L3029" t="e">
        <f ca="1">IF(J3029,Charms!B3029,"")</f>
        <v>#N/A</v>
      </c>
      <c r="M3029" t="str">
        <f t="shared" ca="1" si="237"/>
        <v>-</v>
      </c>
      <c r="N3029" s="18" t="str">
        <f t="shared" si="238"/>
        <v>K1622:L5000</v>
      </c>
      <c r="O3029" t="str">
        <f t="shared" si="239"/>
        <v>A1622:A3029</v>
      </c>
    </row>
    <row r="3030" spans="1:15">
      <c r="A3030" s="18">
        <f>Charms!K3030</f>
        <v>0</v>
      </c>
      <c r="B3030">
        <f>Charms!B3030</f>
        <v>0</v>
      </c>
      <c r="C3030" t="b">
        <f ca="1">OR(Values!$S$98&gt;=Charms!M3030,IFERROR(Charms!J3030=OFFSET(Values!$A$24,MATCH("S",Values!$T$25:$T$50,0),0),FALSE))</f>
        <v>1</v>
      </c>
      <c r="D3030" t="e">
        <f>VLOOKUP(Charms!J3030,Values!$A$11:$S$59,19,0)&gt;=Charms!L3030</f>
        <v>#N/A</v>
      </c>
      <c r="E3030" t="e">
        <f>OR(ISBLANK(Charms!I3030),(VLOOKUP(Values!$S$6,Castes!$B$2:$F$25,4,0)=Charms!I3030))</f>
        <v>#N/A</v>
      </c>
      <c r="J3030" t="e">
        <f t="shared" ca="1" si="236"/>
        <v>#N/A</v>
      </c>
      <c r="K3030" s="18" t="e">
        <f t="shared" ca="1" si="235"/>
        <v>#N/A</v>
      </c>
      <c r="L3030" t="e">
        <f ca="1">IF(J3030,Charms!B3030,"")</f>
        <v>#N/A</v>
      </c>
      <c r="M3030" t="str">
        <f t="shared" ca="1" si="237"/>
        <v>-</v>
      </c>
      <c r="N3030" s="18" t="str">
        <f t="shared" si="238"/>
        <v>K1622:L5000</v>
      </c>
      <c r="O3030" t="str">
        <f t="shared" si="239"/>
        <v>A1622:A3030</v>
      </c>
    </row>
    <row r="3031" spans="1:15">
      <c r="A3031" s="18">
        <f>Charms!K3031</f>
        <v>0</v>
      </c>
      <c r="B3031">
        <f>Charms!B3031</f>
        <v>0</v>
      </c>
      <c r="C3031" t="b">
        <f ca="1">OR(Values!$S$98&gt;=Charms!M3031,IFERROR(Charms!J3031=OFFSET(Values!$A$24,MATCH("S",Values!$T$25:$T$50,0),0),FALSE))</f>
        <v>1</v>
      </c>
      <c r="D3031" t="e">
        <f>VLOOKUP(Charms!J3031,Values!$A$11:$S$59,19,0)&gt;=Charms!L3031</f>
        <v>#N/A</v>
      </c>
      <c r="E3031" t="e">
        <f>OR(ISBLANK(Charms!I3031),(VLOOKUP(Values!$S$6,Castes!$B$2:$F$25,4,0)=Charms!I3031))</f>
        <v>#N/A</v>
      </c>
      <c r="J3031" t="e">
        <f t="shared" ca="1" si="236"/>
        <v>#N/A</v>
      </c>
      <c r="K3031" s="18" t="e">
        <f t="shared" ca="1" si="235"/>
        <v>#N/A</v>
      </c>
      <c r="L3031" t="e">
        <f ca="1">IF(J3031,Charms!B3031,"")</f>
        <v>#N/A</v>
      </c>
      <c r="M3031" t="str">
        <f t="shared" ca="1" si="237"/>
        <v>-</v>
      </c>
      <c r="N3031" s="18" t="str">
        <f t="shared" si="238"/>
        <v>K1622:L5000</v>
      </c>
      <c r="O3031" t="str">
        <f t="shared" si="239"/>
        <v>A1622:A3031</v>
      </c>
    </row>
    <row r="3032" spans="1:15">
      <c r="A3032" s="18">
        <f>Charms!K3032</f>
        <v>0</v>
      </c>
      <c r="B3032">
        <f>Charms!B3032</f>
        <v>0</v>
      </c>
      <c r="C3032" t="b">
        <f ca="1">OR(Values!$S$98&gt;=Charms!M3032,IFERROR(Charms!J3032=OFFSET(Values!$A$24,MATCH("S",Values!$T$25:$T$50,0),0),FALSE))</f>
        <v>1</v>
      </c>
      <c r="D3032" t="e">
        <f>VLOOKUP(Charms!J3032,Values!$A$11:$S$59,19,0)&gt;=Charms!L3032</f>
        <v>#N/A</v>
      </c>
      <c r="E3032" t="e">
        <f>OR(ISBLANK(Charms!I3032),(VLOOKUP(Values!$S$6,Castes!$B$2:$F$25,4,0)=Charms!I3032))</f>
        <v>#N/A</v>
      </c>
      <c r="J3032" t="e">
        <f t="shared" ca="1" si="236"/>
        <v>#N/A</v>
      </c>
      <c r="K3032" s="18" t="e">
        <f t="shared" ca="1" si="235"/>
        <v>#N/A</v>
      </c>
      <c r="L3032" t="e">
        <f ca="1">IF(J3032,Charms!B3032,"")</f>
        <v>#N/A</v>
      </c>
      <c r="M3032" t="str">
        <f t="shared" ca="1" si="237"/>
        <v>-</v>
      </c>
      <c r="N3032" s="18" t="str">
        <f t="shared" si="238"/>
        <v>K1622:L5000</v>
      </c>
      <c r="O3032" t="str">
        <f t="shared" si="239"/>
        <v>A1622:A3032</v>
      </c>
    </row>
    <row r="3033" spans="1:15">
      <c r="A3033" s="18">
        <f>Charms!K3033</f>
        <v>0</v>
      </c>
      <c r="B3033">
        <f>Charms!B3033</f>
        <v>0</v>
      </c>
      <c r="C3033" t="b">
        <f ca="1">OR(Values!$S$98&gt;=Charms!M3033,IFERROR(Charms!J3033=OFFSET(Values!$A$24,MATCH("S",Values!$T$25:$T$50,0),0),FALSE))</f>
        <v>1</v>
      </c>
      <c r="D3033" t="e">
        <f>VLOOKUP(Charms!J3033,Values!$A$11:$S$59,19,0)&gt;=Charms!L3033</f>
        <v>#N/A</v>
      </c>
      <c r="E3033" t="e">
        <f>OR(ISBLANK(Charms!I3033),(VLOOKUP(Values!$S$6,Castes!$B$2:$F$25,4,0)=Charms!I3033))</f>
        <v>#N/A</v>
      </c>
      <c r="J3033" t="e">
        <f t="shared" ca="1" si="236"/>
        <v>#N/A</v>
      </c>
      <c r="K3033" s="18" t="e">
        <f t="shared" ca="1" si="235"/>
        <v>#N/A</v>
      </c>
      <c r="L3033" t="e">
        <f ca="1">IF(J3033,Charms!B3033,"")</f>
        <v>#N/A</v>
      </c>
      <c r="M3033" t="str">
        <f t="shared" ca="1" si="237"/>
        <v>-</v>
      </c>
      <c r="N3033" s="18" t="str">
        <f t="shared" si="238"/>
        <v>K1622:L5000</v>
      </c>
      <c r="O3033" t="str">
        <f t="shared" si="239"/>
        <v>A1622:A3033</v>
      </c>
    </row>
    <row r="3034" spans="1:15">
      <c r="A3034" s="18">
        <f>Charms!K3034</f>
        <v>0</v>
      </c>
      <c r="B3034">
        <f>Charms!B3034</f>
        <v>0</v>
      </c>
      <c r="C3034" t="b">
        <f ca="1">OR(Values!$S$98&gt;=Charms!M3034,IFERROR(Charms!J3034=OFFSET(Values!$A$24,MATCH("S",Values!$T$25:$T$50,0),0),FALSE))</f>
        <v>1</v>
      </c>
      <c r="D3034" t="e">
        <f>VLOOKUP(Charms!J3034,Values!$A$11:$S$59,19,0)&gt;=Charms!L3034</f>
        <v>#N/A</v>
      </c>
      <c r="E3034" t="e">
        <f>OR(ISBLANK(Charms!I3034),(VLOOKUP(Values!$S$6,Castes!$B$2:$F$25,4,0)=Charms!I3034))</f>
        <v>#N/A</v>
      </c>
      <c r="J3034" t="e">
        <f t="shared" ca="1" si="236"/>
        <v>#N/A</v>
      </c>
      <c r="K3034" s="18" t="e">
        <f t="shared" ca="1" si="235"/>
        <v>#N/A</v>
      </c>
      <c r="L3034" t="e">
        <f ca="1">IF(J3034,Charms!B3034,"")</f>
        <v>#N/A</v>
      </c>
      <c r="M3034" t="str">
        <f t="shared" ca="1" si="237"/>
        <v>-</v>
      </c>
      <c r="N3034" s="18" t="str">
        <f t="shared" si="238"/>
        <v>K1622:L5000</v>
      </c>
      <c r="O3034" t="str">
        <f t="shared" si="239"/>
        <v>A1622:A3034</v>
      </c>
    </row>
    <row r="3035" spans="1:15">
      <c r="A3035" s="18">
        <f>Charms!K3035</f>
        <v>0</v>
      </c>
      <c r="B3035">
        <f>Charms!B3035</f>
        <v>0</v>
      </c>
      <c r="C3035" t="b">
        <f ca="1">OR(Values!$S$98&gt;=Charms!M3035,IFERROR(Charms!J3035=OFFSET(Values!$A$24,MATCH("S",Values!$T$25:$T$50,0),0),FALSE))</f>
        <v>1</v>
      </c>
      <c r="D3035" t="e">
        <f>VLOOKUP(Charms!J3035,Values!$A$11:$S$59,19,0)&gt;=Charms!L3035</f>
        <v>#N/A</v>
      </c>
      <c r="E3035" t="e">
        <f>OR(ISBLANK(Charms!I3035),(VLOOKUP(Values!$S$6,Castes!$B$2:$F$25,4,0)=Charms!I3035))</f>
        <v>#N/A</v>
      </c>
      <c r="J3035" t="e">
        <f t="shared" ca="1" si="236"/>
        <v>#N/A</v>
      </c>
      <c r="K3035" s="18" t="e">
        <f t="shared" ca="1" si="235"/>
        <v>#N/A</v>
      </c>
      <c r="L3035" t="e">
        <f ca="1">IF(J3035,Charms!B3035,"")</f>
        <v>#N/A</v>
      </c>
      <c r="M3035" t="str">
        <f t="shared" ca="1" si="237"/>
        <v>-</v>
      </c>
      <c r="N3035" s="18" t="str">
        <f t="shared" si="238"/>
        <v>K1622:L5000</v>
      </c>
      <c r="O3035" t="str">
        <f t="shared" si="239"/>
        <v>A1622:A3035</v>
      </c>
    </row>
    <row r="3036" spans="1:15">
      <c r="A3036" s="18">
        <f>Charms!K3036</f>
        <v>0</v>
      </c>
      <c r="B3036">
        <f>Charms!B3036</f>
        <v>0</v>
      </c>
      <c r="C3036" t="b">
        <f ca="1">OR(Values!$S$98&gt;=Charms!M3036,IFERROR(Charms!J3036=OFFSET(Values!$A$24,MATCH("S",Values!$T$25:$T$50,0),0),FALSE))</f>
        <v>1</v>
      </c>
      <c r="D3036" t="e">
        <f>VLOOKUP(Charms!J3036,Values!$A$11:$S$59,19,0)&gt;=Charms!L3036</f>
        <v>#N/A</v>
      </c>
      <c r="E3036" t="e">
        <f>OR(ISBLANK(Charms!I3036),(VLOOKUP(Values!$S$6,Castes!$B$2:$F$25,4,0)=Charms!I3036))</f>
        <v>#N/A</v>
      </c>
      <c r="J3036" t="e">
        <f t="shared" ca="1" si="236"/>
        <v>#N/A</v>
      </c>
      <c r="K3036" s="18" t="e">
        <f t="shared" ca="1" si="235"/>
        <v>#N/A</v>
      </c>
      <c r="L3036" t="e">
        <f ca="1">IF(J3036,Charms!B3036,"")</f>
        <v>#N/A</v>
      </c>
      <c r="M3036" t="str">
        <f t="shared" ca="1" si="237"/>
        <v>-</v>
      </c>
      <c r="N3036" s="18" t="str">
        <f t="shared" si="238"/>
        <v>K1622:L5000</v>
      </c>
      <c r="O3036" t="str">
        <f t="shared" si="239"/>
        <v>A1622:A3036</v>
      </c>
    </row>
    <row r="3037" spans="1:15">
      <c r="A3037" s="18">
        <f>Charms!K3037</f>
        <v>0</v>
      </c>
      <c r="B3037">
        <f>Charms!B3037</f>
        <v>0</v>
      </c>
      <c r="C3037" t="b">
        <f ca="1">OR(Values!$S$98&gt;=Charms!M3037,IFERROR(Charms!J3037=OFFSET(Values!$A$24,MATCH("S",Values!$T$25:$T$50,0),0),FALSE))</f>
        <v>1</v>
      </c>
      <c r="D3037" t="e">
        <f>VLOOKUP(Charms!J3037,Values!$A$11:$S$59,19,0)&gt;=Charms!L3037</f>
        <v>#N/A</v>
      </c>
      <c r="E3037" t="e">
        <f>OR(ISBLANK(Charms!I3037),(VLOOKUP(Values!$S$6,Castes!$B$2:$F$25,4,0)=Charms!I3037))</f>
        <v>#N/A</v>
      </c>
      <c r="J3037" t="e">
        <f t="shared" ca="1" si="236"/>
        <v>#N/A</v>
      </c>
      <c r="K3037" s="18" t="e">
        <f t="shared" ca="1" si="235"/>
        <v>#N/A</v>
      </c>
      <c r="L3037" t="e">
        <f ca="1">IF(J3037,Charms!B3037,"")</f>
        <v>#N/A</v>
      </c>
      <c r="M3037" t="str">
        <f t="shared" ca="1" si="237"/>
        <v>-</v>
      </c>
      <c r="N3037" s="18" t="str">
        <f t="shared" si="238"/>
        <v>K1622:L5000</v>
      </c>
      <c r="O3037" t="str">
        <f t="shared" si="239"/>
        <v>A1622:A3037</v>
      </c>
    </row>
    <row r="3038" spans="1:15">
      <c r="A3038" s="18">
        <f>Charms!K3038</f>
        <v>0</v>
      </c>
      <c r="B3038">
        <f>Charms!B3038</f>
        <v>0</v>
      </c>
      <c r="C3038" t="b">
        <f ca="1">OR(Values!$S$98&gt;=Charms!M3038,IFERROR(Charms!J3038=OFFSET(Values!$A$24,MATCH("S",Values!$T$25:$T$50,0),0),FALSE))</f>
        <v>1</v>
      </c>
      <c r="D3038" t="e">
        <f>VLOOKUP(Charms!J3038,Values!$A$11:$S$59,19,0)&gt;=Charms!L3038</f>
        <v>#N/A</v>
      </c>
      <c r="E3038" t="e">
        <f>OR(ISBLANK(Charms!I3038),(VLOOKUP(Values!$S$6,Castes!$B$2:$F$25,4,0)=Charms!I3038))</f>
        <v>#N/A</v>
      </c>
      <c r="J3038" t="e">
        <f t="shared" ca="1" si="236"/>
        <v>#N/A</v>
      </c>
      <c r="K3038" s="18" t="e">
        <f t="shared" ca="1" si="235"/>
        <v>#N/A</v>
      </c>
      <c r="L3038" t="e">
        <f ca="1">IF(J3038,Charms!B3038,"")</f>
        <v>#N/A</v>
      </c>
      <c r="M3038" t="str">
        <f t="shared" ca="1" si="237"/>
        <v>-</v>
      </c>
      <c r="N3038" s="18" t="str">
        <f t="shared" si="238"/>
        <v>K1622:L5000</v>
      </c>
      <c r="O3038" t="str">
        <f t="shared" si="239"/>
        <v>A1622:A3038</v>
      </c>
    </row>
    <row r="3039" spans="1:15">
      <c r="A3039" s="18">
        <f>Charms!K3039</f>
        <v>0</v>
      </c>
      <c r="B3039">
        <f>Charms!B3039</f>
        <v>0</v>
      </c>
      <c r="C3039" t="b">
        <f ca="1">OR(Values!$S$98&gt;=Charms!M3039,IFERROR(Charms!J3039=OFFSET(Values!$A$24,MATCH("S",Values!$T$25:$T$50,0),0),FALSE))</f>
        <v>1</v>
      </c>
      <c r="D3039" t="e">
        <f>VLOOKUP(Charms!J3039,Values!$A$11:$S$59,19,0)&gt;=Charms!L3039</f>
        <v>#N/A</v>
      </c>
      <c r="E3039" t="e">
        <f>OR(ISBLANK(Charms!I3039),(VLOOKUP(Values!$S$6,Castes!$B$2:$F$25,4,0)=Charms!I3039))</f>
        <v>#N/A</v>
      </c>
      <c r="J3039" t="e">
        <f t="shared" ca="1" si="236"/>
        <v>#N/A</v>
      </c>
      <c r="K3039" s="18" t="e">
        <f t="shared" ca="1" si="235"/>
        <v>#N/A</v>
      </c>
      <c r="L3039" t="e">
        <f ca="1">IF(J3039,Charms!B3039,"")</f>
        <v>#N/A</v>
      </c>
      <c r="M3039" t="str">
        <f t="shared" ca="1" si="237"/>
        <v>-</v>
      </c>
      <c r="N3039" s="18" t="str">
        <f t="shared" si="238"/>
        <v>K1622:L5000</v>
      </c>
      <c r="O3039" t="str">
        <f t="shared" si="239"/>
        <v>A1622:A3039</v>
      </c>
    </row>
    <row r="3040" spans="1:15">
      <c r="A3040" s="18">
        <f>Charms!K3040</f>
        <v>0</v>
      </c>
      <c r="B3040">
        <f>Charms!B3040</f>
        <v>0</v>
      </c>
      <c r="C3040" t="b">
        <f ca="1">OR(Values!$S$98&gt;=Charms!M3040,IFERROR(Charms!J3040=OFFSET(Values!$A$24,MATCH("S",Values!$T$25:$T$50,0),0),FALSE))</f>
        <v>1</v>
      </c>
      <c r="D3040" t="e">
        <f>VLOOKUP(Charms!J3040,Values!$A$11:$S$59,19,0)&gt;=Charms!L3040</f>
        <v>#N/A</v>
      </c>
      <c r="E3040" t="e">
        <f>OR(ISBLANK(Charms!I3040),(VLOOKUP(Values!$S$6,Castes!$B$2:$F$25,4,0)=Charms!I3040))</f>
        <v>#N/A</v>
      </c>
      <c r="J3040" t="e">
        <f t="shared" ca="1" si="236"/>
        <v>#N/A</v>
      </c>
      <c r="K3040" s="18" t="e">
        <f t="shared" ca="1" si="235"/>
        <v>#N/A</v>
      </c>
      <c r="L3040" t="e">
        <f ca="1">IF(J3040,Charms!B3040,"")</f>
        <v>#N/A</v>
      </c>
      <c r="M3040" t="str">
        <f t="shared" ca="1" si="237"/>
        <v>-</v>
      </c>
      <c r="N3040" s="18" t="str">
        <f t="shared" si="238"/>
        <v>K1622:L5000</v>
      </c>
      <c r="O3040" t="str">
        <f t="shared" si="239"/>
        <v>A1622:A3040</v>
      </c>
    </row>
    <row r="3041" spans="1:15">
      <c r="A3041" s="18">
        <f>Charms!K3041</f>
        <v>0</v>
      </c>
      <c r="B3041">
        <f>Charms!B3041</f>
        <v>0</v>
      </c>
      <c r="C3041" t="b">
        <f ca="1">OR(Values!$S$98&gt;=Charms!M3041,IFERROR(Charms!J3041=OFFSET(Values!$A$24,MATCH("S",Values!$T$25:$T$50,0),0),FALSE))</f>
        <v>1</v>
      </c>
      <c r="D3041" t="e">
        <f>VLOOKUP(Charms!J3041,Values!$A$11:$S$59,19,0)&gt;=Charms!L3041</f>
        <v>#N/A</v>
      </c>
      <c r="E3041" t="e">
        <f>OR(ISBLANK(Charms!I3041),(VLOOKUP(Values!$S$6,Castes!$B$2:$F$25,4,0)=Charms!I3041))</f>
        <v>#N/A</v>
      </c>
      <c r="J3041" t="e">
        <f t="shared" ca="1" si="236"/>
        <v>#N/A</v>
      </c>
      <c r="K3041" s="18" t="e">
        <f t="shared" ca="1" si="235"/>
        <v>#N/A</v>
      </c>
      <c r="L3041" t="e">
        <f ca="1">IF(J3041,Charms!B3041,"")</f>
        <v>#N/A</v>
      </c>
      <c r="M3041" t="str">
        <f t="shared" ca="1" si="237"/>
        <v>-</v>
      </c>
      <c r="N3041" s="18" t="str">
        <f t="shared" si="238"/>
        <v>K1622:L5000</v>
      </c>
      <c r="O3041" t="str">
        <f t="shared" si="239"/>
        <v>A1622:A3041</v>
      </c>
    </row>
    <row r="3042" spans="1:15">
      <c r="A3042" s="18">
        <f>Charms!K3042</f>
        <v>0</v>
      </c>
      <c r="B3042">
        <f>Charms!B3042</f>
        <v>0</v>
      </c>
      <c r="C3042" t="b">
        <f ca="1">OR(Values!$S$98&gt;=Charms!M3042,IFERROR(Charms!J3042=OFFSET(Values!$A$24,MATCH("S",Values!$T$25:$T$50,0),0),FALSE))</f>
        <v>1</v>
      </c>
      <c r="D3042" t="e">
        <f>VLOOKUP(Charms!J3042,Values!$A$11:$S$59,19,0)&gt;=Charms!L3042</f>
        <v>#N/A</v>
      </c>
      <c r="E3042" t="e">
        <f>OR(ISBLANK(Charms!I3042),(VLOOKUP(Values!$S$6,Castes!$B$2:$F$25,4,0)=Charms!I3042))</f>
        <v>#N/A</v>
      </c>
      <c r="J3042" t="e">
        <f t="shared" ca="1" si="236"/>
        <v>#N/A</v>
      </c>
      <c r="K3042" s="18" t="e">
        <f t="shared" ca="1" si="235"/>
        <v>#N/A</v>
      </c>
      <c r="L3042" t="e">
        <f ca="1">IF(J3042,Charms!B3042,"")</f>
        <v>#N/A</v>
      </c>
      <c r="M3042" t="str">
        <f t="shared" ca="1" si="237"/>
        <v>-</v>
      </c>
      <c r="N3042" s="18" t="str">
        <f t="shared" si="238"/>
        <v>K1622:L5000</v>
      </c>
      <c r="O3042" t="str">
        <f t="shared" si="239"/>
        <v>A1622:A3042</v>
      </c>
    </row>
    <row r="3043" spans="1:15">
      <c r="A3043" s="18">
        <f>Charms!K3043</f>
        <v>0</v>
      </c>
      <c r="B3043">
        <f>Charms!B3043</f>
        <v>0</v>
      </c>
      <c r="C3043" t="b">
        <f ca="1">OR(Values!$S$98&gt;=Charms!M3043,IFERROR(Charms!J3043=OFFSET(Values!$A$24,MATCH("S",Values!$T$25:$T$50,0),0),FALSE))</f>
        <v>1</v>
      </c>
      <c r="D3043" t="e">
        <f>VLOOKUP(Charms!J3043,Values!$A$11:$S$59,19,0)&gt;=Charms!L3043</f>
        <v>#N/A</v>
      </c>
      <c r="E3043" t="e">
        <f>OR(ISBLANK(Charms!I3043),(VLOOKUP(Values!$S$6,Castes!$B$2:$F$25,4,0)=Charms!I3043))</f>
        <v>#N/A</v>
      </c>
      <c r="J3043" t="e">
        <f t="shared" ca="1" si="236"/>
        <v>#N/A</v>
      </c>
      <c r="K3043" s="18" t="e">
        <f t="shared" ca="1" si="235"/>
        <v>#N/A</v>
      </c>
      <c r="L3043" t="e">
        <f ca="1">IF(J3043,Charms!B3043,"")</f>
        <v>#N/A</v>
      </c>
      <c r="M3043" t="str">
        <f t="shared" ca="1" si="237"/>
        <v>-</v>
      </c>
      <c r="N3043" s="18" t="str">
        <f t="shared" si="238"/>
        <v>K1622:L5000</v>
      </c>
      <c r="O3043" t="str">
        <f t="shared" si="239"/>
        <v>A1622:A3043</v>
      </c>
    </row>
    <row r="3044" spans="1:15">
      <c r="A3044" s="18">
        <f>Charms!K3044</f>
        <v>0</v>
      </c>
      <c r="B3044">
        <f>Charms!B3044</f>
        <v>0</v>
      </c>
      <c r="C3044" t="b">
        <f ca="1">OR(Values!$S$98&gt;=Charms!M3044,IFERROR(Charms!J3044=OFFSET(Values!$A$24,MATCH("S",Values!$T$25:$T$50,0),0),FALSE))</f>
        <v>1</v>
      </c>
      <c r="D3044" t="e">
        <f>VLOOKUP(Charms!J3044,Values!$A$11:$S$59,19,0)&gt;=Charms!L3044</f>
        <v>#N/A</v>
      </c>
      <c r="E3044" t="e">
        <f>OR(ISBLANK(Charms!I3044),(VLOOKUP(Values!$S$6,Castes!$B$2:$F$25,4,0)=Charms!I3044))</f>
        <v>#N/A</v>
      </c>
      <c r="J3044" t="e">
        <f t="shared" ca="1" si="236"/>
        <v>#N/A</v>
      </c>
      <c r="K3044" s="18" t="e">
        <f t="shared" ca="1" si="235"/>
        <v>#N/A</v>
      </c>
      <c r="L3044" t="e">
        <f ca="1">IF(J3044,Charms!B3044,"")</f>
        <v>#N/A</v>
      </c>
      <c r="M3044" t="str">
        <f t="shared" ca="1" si="237"/>
        <v>-</v>
      </c>
      <c r="N3044" s="18" t="str">
        <f t="shared" si="238"/>
        <v>K1622:L5000</v>
      </c>
      <c r="O3044" t="str">
        <f t="shared" si="239"/>
        <v>A1622:A3044</v>
      </c>
    </row>
    <row r="3045" spans="1:15">
      <c r="A3045" s="18">
        <f>Charms!K3045</f>
        <v>0</v>
      </c>
      <c r="B3045">
        <f>Charms!B3045</f>
        <v>0</v>
      </c>
      <c r="C3045" t="b">
        <f ca="1">OR(Values!$S$98&gt;=Charms!M3045,IFERROR(Charms!J3045=OFFSET(Values!$A$24,MATCH("S",Values!$T$25:$T$50,0),0),FALSE))</f>
        <v>1</v>
      </c>
      <c r="D3045" t="e">
        <f>VLOOKUP(Charms!J3045,Values!$A$11:$S$59,19,0)&gt;=Charms!L3045</f>
        <v>#N/A</v>
      </c>
      <c r="E3045" t="e">
        <f>OR(ISBLANK(Charms!I3045),(VLOOKUP(Values!$S$6,Castes!$B$2:$F$25,4,0)=Charms!I3045))</f>
        <v>#N/A</v>
      </c>
      <c r="J3045" t="e">
        <f t="shared" ca="1" si="236"/>
        <v>#N/A</v>
      </c>
      <c r="K3045" s="18" t="e">
        <f t="shared" ca="1" si="235"/>
        <v>#N/A</v>
      </c>
      <c r="L3045" t="e">
        <f ca="1">IF(J3045,Charms!B3045,"")</f>
        <v>#N/A</v>
      </c>
      <c r="M3045" t="str">
        <f t="shared" ca="1" si="237"/>
        <v>-</v>
      </c>
      <c r="N3045" s="18" t="str">
        <f t="shared" si="238"/>
        <v>K1622:L5000</v>
      </c>
      <c r="O3045" t="str">
        <f t="shared" si="239"/>
        <v>A1622:A3045</v>
      </c>
    </row>
    <row r="3046" spans="1:15">
      <c r="A3046" s="18">
        <f>Charms!K3046</f>
        <v>0</v>
      </c>
      <c r="B3046">
        <f>Charms!B3046</f>
        <v>0</v>
      </c>
      <c r="C3046" t="b">
        <f ca="1">OR(Values!$S$98&gt;=Charms!M3046,IFERROR(Charms!J3046=OFFSET(Values!$A$24,MATCH("S",Values!$T$25:$T$50,0),0),FALSE))</f>
        <v>1</v>
      </c>
      <c r="D3046" t="e">
        <f>VLOOKUP(Charms!J3046,Values!$A$11:$S$59,19,0)&gt;=Charms!L3046</f>
        <v>#N/A</v>
      </c>
      <c r="E3046" t="e">
        <f>OR(ISBLANK(Charms!I3046),(VLOOKUP(Values!$S$6,Castes!$B$2:$F$25,4,0)=Charms!I3046))</f>
        <v>#N/A</v>
      </c>
      <c r="J3046" t="e">
        <f t="shared" ca="1" si="236"/>
        <v>#N/A</v>
      </c>
      <c r="K3046" s="18" t="e">
        <f t="shared" ca="1" si="235"/>
        <v>#N/A</v>
      </c>
      <c r="L3046" t="e">
        <f ca="1">IF(J3046,Charms!B3046,"")</f>
        <v>#N/A</v>
      </c>
      <c r="M3046" t="str">
        <f t="shared" ca="1" si="237"/>
        <v>-</v>
      </c>
      <c r="N3046" s="18" t="str">
        <f t="shared" si="238"/>
        <v>K1622:L5000</v>
      </c>
      <c r="O3046" t="str">
        <f t="shared" si="239"/>
        <v>A1622:A3046</v>
      </c>
    </row>
    <row r="3047" spans="1:15">
      <c r="A3047" s="18">
        <f>Charms!K3047</f>
        <v>0</v>
      </c>
      <c r="B3047">
        <f>Charms!B3047</f>
        <v>0</v>
      </c>
      <c r="C3047" t="b">
        <f ca="1">OR(Values!$S$98&gt;=Charms!M3047,IFERROR(Charms!J3047=OFFSET(Values!$A$24,MATCH("S",Values!$T$25:$T$50,0),0),FALSE))</f>
        <v>1</v>
      </c>
      <c r="D3047" t="e">
        <f>VLOOKUP(Charms!J3047,Values!$A$11:$S$59,19,0)&gt;=Charms!L3047</f>
        <v>#N/A</v>
      </c>
      <c r="E3047" t="e">
        <f>OR(ISBLANK(Charms!I3047),(VLOOKUP(Values!$S$6,Castes!$B$2:$F$25,4,0)=Charms!I3047))</f>
        <v>#N/A</v>
      </c>
      <c r="J3047" t="e">
        <f t="shared" ca="1" si="236"/>
        <v>#N/A</v>
      </c>
      <c r="K3047" s="18" t="e">
        <f t="shared" ca="1" si="235"/>
        <v>#N/A</v>
      </c>
      <c r="L3047" t="e">
        <f ca="1">IF(J3047,Charms!B3047,"")</f>
        <v>#N/A</v>
      </c>
      <c r="M3047" t="str">
        <f t="shared" ca="1" si="237"/>
        <v>-</v>
      </c>
      <c r="N3047" s="18" t="str">
        <f t="shared" si="238"/>
        <v>K1622:L5000</v>
      </c>
      <c r="O3047" t="str">
        <f t="shared" si="239"/>
        <v>A1622:A3047</v>
      </c>
    </row>
    <row r="3048" spans="1:15">
      <c r="A3048" s="18">
        <f>Charms!K3048</f>
        <v>0</v>
      </c>
      <c r="B3048">
        <f>Charms!B3048</f>
        <v>0</v>
      </c>
      <c r="C3048" t="b">
        <f ca="1">OR(Values!$S$98&gt;=Charms!M3048,IFERROR(Charms!J3048=OFFSET(Values!$A$24,MATCH("S",Values!$T$25:$T$50,0),0),FALSE))</f>
        <v>1</v>
      </c>
      <c r="D3048" t="e">
        <f>VLOOKUP(Charms!J3048,Values!$A$11:$S$59,19,0)&gt;=Charms!L3048</f>
        <v>#N/A</v>
      </c>
      <c r="E3048" t="e">
        <f>OR(ISBLANK(Charms!I3048),(VLOOKUP(Values!$S$6,Castes!$B$2:$F$25,4,0)=Charms!I3048))</f>
        <v>#N/A</v>
      </c>
      <c r="J3048" t="e">
        <f t="shared" ca="1" si="236"/>
        <v>#N/A</v>
      </c>
      <c r="K3048" s="18" t="e">
        <f t="shared" ca="1" si="235"/>
        <v>#N/A</v>
      </c>
      <c r="L3048" t="e">
        <f ca="1">IF(J3048,Charms!B3048,"")</f>
        <v>#N/A</v>
      </c>
      <c r="M3048" t="str">
        <f t="shared" ca="1" si="237"/>
        <v>-</v>
      </c>
      <c r="N3048" s="18" t="str">
        <f t="shared" si="238"/>
        <v>K1622:L5000</v>
      </c>
      <c r="O3048" t="str">
        <f t="shared" si="239"/>
        <v>A1622:A3048</v>
      </c>
    </row>
    <row r="3049" spans="1:15">
      <c r="A3049" s="18">
        <f>Charms!K3049</f>
        <v>0</v>
      </c>
      <c r="B3049">
        <f>Charms!B3049</f>
        <v>0</v>
      </c>
      <c r="C3049" t="b">
        <f ca="1">OR(Values!$S$98&gt;=Charms!M3049,IFERROR(Charms!J3049=OFFSET(Values!$A$24,MATCH("S",Values!$T$25:$T$50,0),0),FALSE))</f>
        <v>1</v>
      </c>
      <c r="D3049" t="e">
        <f>VLOOKUP(Charms!J3049,Values!$A$11:$S$59,19,0)&gt;=Charms!L3049</f>
        <v>#N/A</v>
      </c>
      <c r="E3049" t="e">
        <f>OR(ISBLANK(Charms!I3049),(VLOOKUP(Values!$S$6,Castes!$B$2:$F$25,4,0)=Charms!I3049))</f>
        <v>#N/A</v>
      </c>
      <c r="J3049" t="e">
        <f t="shared" ca="1" si="236"/>
        <v>#N/A</v>
      </c>
      <c r="K3049" s="18" t="e">
        <f t="shared" ca="1" si="235"/>
        <v>#N/A</v>
      </c>
      <c r="L3049" t="e">
        <f ca="1">IF(J3049,Charms!B3049,"")</f>
        <v>#N/A</v>
      </c>
      <c r="M3049" t="str">
        <f t="shared" ca="1" si="237"/>
        <v>-</v>
      </c>
      <c r="N3049" s="18" t="str">
        <f t="shared" si="238"/>
        <v>K1622:L5000</v>
      </c>
      <c r="O3049" t="str">
        <f t="shared" si="239"/>
        <v>A1622:A3049</v>
      </c>
    </row>
    <row r="3050" spans="1:15">
      <c r="A3050" s="18">
        <f>Charms!K3050</f>
        <v>0</v>
      </c>
      <c r="B3050">
        <f>Charms!B3050</f>
        <v>0</v>
      </c>
      <c r="C3050" t="b">
        <f ca="1">OR(Values!$S$98&gt;=Charms!M3050,IFERROR(Charms!J3050=OFFSET(Values!$A$24,MATCH("S",Values!$T$25:$T$50,0),0),FALSE))</f>
        <v>1</v>
      </c>
      <c r="D3050" t="e">
        <f>VLOOKUP(Charms!J3050,Values!$A$11:$S$59,19,0)&gt;=Charms!L3050</f>
        <v>#N/A</v>
      </c>
      <c r="E3050" t="e">
        <f>OR(ISBLANK(Charms!I3050),(VLOOKUP(Values!$S$6,Castes!$B$2:$F$25,4,0)=Charms!I3050))</f>
        <v>#N/A</v>
      </c>
      <c r="J3050" t="e">
        <f t="shared" ca="1" si="236"/>
        <v>#N/A</v>
      </c>
      <c r="K3050" s="18" t="e">
        <f t="shared" ca="1" si="235"/>
        <v>#N/A</v>
      </c>
      <c r="L3050" t="e">
        <f ca="1">IF(J3050,Charms!B3050,"")</f>
        <v>#N/A</v>
      </c>
      <c r="M3050" t="str">
        <f t="shared" ca="1" si="237"/>
        <v>-</v>
      </c>
      <c r="N3050" s="18" t="str">
        <f t="shared" si="238"/>
        <v>K1622:L5000</v>
      </c>
      <c r="O3050" t="str">
        <f t="shared" si="239"/>
        <v>A1622:A3050</v>
      </c>
    </row>
    <row r="3051" spans="1:15">
      <c r="A3051" s="18">
        <f>Charms!K3051</f>
        <v>0</v>
      </c>
      <c r="B3051">
        <f>Charms!B3051</f>
        <v>0</v>
      </c>
      <c r="C3051" t="b">
        <f ca="1">OR(Values!$S$98&gt;=Charms!M3051,IFERROR(Charms!J3051=OFFSET(Values!$A$24,MATCH("S",Values!$T$25:$T$50,0),0),FALSE))</f>
        <v>1</v>
      </c>
      <c r="D3051" t="e">
        <f>VLOOKUP(Charms!J3051,Values!$A$11:$S$59,19,0)&gt;=Charms!L3051</f>
        <v>#N/A</v>
      </c>
      <c r="E3051" t="e">
        <f>OR(ISBLANK(Charms!I3051),(VLOOKUP(Values!$S$6,Castes!$B$2:$F$25,4,0)=Charms!I3051))</f>
        <v>#N/A</v>
      </c>
      <c r="J3051" t="e">
        <f t="shared" ca="1" si="236"/>
        <v>#N/A</v>
      </c>
      <c r="K3051" s="18" t="e">
        <f t="shared" ca="1" si="235"/>
        <v>#N/A</v>
      </c>
      <c r="L3051" t="e">
        <f ca="1">IF(J3051,Charms!B3051,"")</f>
        <v>#N/A</v>
      </c>
      <c r="M3051" t="str">
        <f t="shared" ca="1" si="237"/>
        <v>-</v>
      </c>
      <c r="N3051" s="18" t="str">
        <f t="shared" si="238"/>
        <v>K1622:L5000</v>
      </c>
      <c r="O3051" t="str">
        <f t="shared" si="239"/>
        <v>A1622:A3051</v>
      </c>
    </row>
    <row r="3052" spans="1:15">
      <c r="A3052" s="18">
        <f>Charms!K3052</f>
        <v>0</v>
      </c>
      <c r="B3052">
        <f>Charms!B3052</f>
        <v>0</v>
      </c>
      <c r="C3052" t="b">
        <f ca="1">OR(Values!$S$98&gt;=Charms!M3052,IFERROR(Charms!J3052=OFFSET(Values!$A$24,MATCH("S",Values!$T$25:$T$50,0),0),FALSE))</f>
        <v>1</v>
      </c>
      <c r="D3052" t="e">
        <f>VLOOKUP(Charms!J3052,Values!$A$11:$S$59,19,0)&gt;=Charms!L3052</f>
        <v>#N/A</v>
      </c>
      <c r="E3052" t="e">
        <f>OR(ISBLANK(Charms!I3052),(VLOOKUP(Values!$S$6,Castes!$B$2:$F$25,4,0)=Charms!I3052))</f>
        <v>#N/A</v>
      </c>
      <c r="J3052" t="e">
        <f t="shared" ca="1" si="236"/>
        <v>#N/A</v>
      </c>
      <c r="K3052" s="18" t="e">
        <f t="shared" ca="1" si="235"/>
        <v>#N/A</v>
      </c>
      <c r="L3052" t="e">
        <f ca="1">IF(J3052,Charms!B3052,"")</f>
        <v>#N/A</v>
      </c>
      <c r="M3052" t="str">
        <f t="shared" ca="1" si="237"/>
        <v>-</v>
      </c>
      <c r="N3052" s="18" t="str">
        <f t="shared" si="238"/>
        <v>K1622:L5000</v>
      </c>
      <c r="O3052" t="str">
        <f t="shared" si="239"/>
        <v>A1622:A3052</v>
      </c>
    </row>
    <row r="3053" spans="1:15">
      <c r="A3053" s="18">
        <f>Charms!K3053</f>
        <v>0</v>
      </c>
      <c r="B3053">
        <f>Charms!B3053</f>
        <v>0</v>
      </c>
      <c r="C3053" t="b">
        <f ca="1">OR(Values!$S$98&gt;=Charms!M3053,IFERROR(Charms!J3053=OFFSET(Values!$A$24,MATCH("S",Values!$T$25:$T$50,0),0),FALSE))</f>
        <v>1</v>
      </c>
      <c r="D3053" t="e">
        <f>VLOOKUP(Charms!J3053,Values!$A$11:$S$59,19,0)&gt;=Charms!L3053</f>
        <v>#N/A</v>
      </c>
      <c r="E3053" t="e">
        <f>OR(ISBLANK(Charms!I3053),(VLOOKUP(Values!$S$6,Castes!$B$2:$F$25,4,0)=Charms!I3053))</f>
        <v>#N/A</v>
      </c>
      <c r="J3053" t="e">
        <f t="shared" ca="1" si="236"/>
        <v>#N/A</v>
      </c>
      <c r="K3053" s="18" t="e">
        <f t="shared" ca="1" si="235"/>
        <v>#N/A</v>
      </c>
      <c r="L3053" t="e">
        <f ca="1">IF(J3053,Charms!B3053,"")</f>
        <v>#N/A</v>
      </c>
      <c r="M3053" t="str">
        <f t="shared" ca="1" si="237"/>
        <v>-</v>
      </c>
      <c r="N3053" s="18" t="str">
        <f t="shared" si="238"/>
        <v>K1622:L5000</v>
      </c>
      <c r="O3053" t="str">
        <f t="shared" si="239"/>
        <v>A1622:A3053</v>
      </c>
    </row>
    <row r="3054" spans="1:15">
      <c r="A3054" s="18">
        <f>Charms!K3054</f>
        <v>0</v>
      </c>
      <c r="B3054">
        <f>Charms!B3054</f>
        <v>0</v>
      </c>
      <c r="C3054" t="b">
        <f ca="1">OR(Values!$S$98&gt;=Charms!M3054,IFERROR(Charms!J3054=OFFSET(Values!$A$24,MATCH("S",Values!$T$25:$T$50,0),0),FALSE))</f>
        <v>1</v>
      </c>
      <c r="D3054" t="e">
        <f>VLOOKUP(Charms!J3054,Values!$A$11:$S$59,19,0)&gt;=Charms!L3054</f>
        <v>#N/A</v>
      </c>
      <c r="E3054" t="e">
        <f>OR(ISBLANK(Charms!I3054),(VLOOKUP(Values!$S$6,Castes!$B$2:$F$25,4,0)=Charms!I3054))</f>
        <v>#N/A</v>
      </c>
      <c r="J3054" t="e">
        <f t="shared" ca="1" si="236"/>
        <v>#N/A</v>
      </c>
      <c r="K3054" s="18" t="e">
        <f t="shared" ca="1" si="235"/>
        <v>#N/A</v>
      </c>
      <c r="L3054" t="e">
        <f ca="1">IF(J3054,Charms!B3054,"")</f>
        <v>#N/A</v>
      </c>
      <c r="M3054" t="str">
        <f t="shared" ca="1" si="237"/>
        <v>-</v>
      </c>
      <c r="N3054" s="18" t="str">
        <f t="shared" si="238"/>
        <v>K1622:L5000</v>
      </c>
      <c r="O3054" t="str">
        <f t="shared" si="239"/>
        <v>A1622:A3054</v>
      </c>
    </row>
    <row r="3055" spans="1:15">
      <c r="A3055" s="18">
        <f>Charms!K3055</f>
        <v>0</v>
      </c>
      <c r="B3055">
        <f>Charms!B3055</f>
        <v>0</v>
      </c>
      <c r="C3055" t="b">
        <f ca="1">OR(Values!$S$98&gt;=Charms!M3055,IFERROR(Charms!J3055=OFFSET(Values!$A$24,MATCH("S",Values!$T$25:$T$50,0),0),FALSE))</f>
        <v>1</v>
      </c>
      <c r="D3055" t="e">
        <f>VLOOKUP(Charms!J3055,Values!$A$11:$S$59,19,0)&gt;=Charms!L3055</f>
        <v>#N/A</v>
      </c>
      <c r="E3055" t="e">
        <f>OR(ISBLANK(Charms!I3055),(VLOOKUP(Values!$S$6,Castes!$B$2:$F$25,4,0)=Charms!I3055))</f>
        <v>#N/A</v>
      </c>
      <c r="J3055" t="e">
        <f t="shared" ca="1" si="236"/>
        <v>#N/A</v>
      </c>
      <c r="K3055" s="18" t="e">
        <f t="shared" ca="1" si="235"/>
        <v>#N/A</v>
      </c>
      <c r="L3055" t="e">
        <f ca="1">IF(J3055,Charms!B3055,"")</f>
        <v>#N/A</v>
      </c>
      <c r="M3055" t="str">
        <f t="shared" ca="1" si="237"/>
        <v>-</v>
      </c>
      <c r="N3055" s="18" t="str">
        <f t="shared" si="238"/>
        <v>K1622:L5000</v>
      </c>
      <c r="O3055" t="str">
        <f t="shared" si="239"/>
        <v>A1622:A3055</v>
      </c>
    </row>
    <row r="3056" spans="1:15">
      <c r="A3056" s="18">
        <f>Charms!K3056</f>
        <v>0</v>
      </c>
      <c r="B3056">
        <f>Charms!B3056</f>
        <v>0</v>
      </c>
      <c r="C3056" t="b">
        <f ca="1">OR(Values!$S$98&gt;=Charms!M3056,IFERROR(Charms!J3056=OFFSET(Values!$A$24,MATCH("S",Values!$T$25:$T$50,0),0),FALSE))</f>
        <v>1</v>
      </c>
      <c r="D3056" t="e">
        <f>VLOOKUP(Charms!J3056,Values!$A$11:$S$59,19,0)&gt;=Charms!L3056</f>
        <v>#N/A</v>
      </c>
      <c r="E3056" t="e">
        <f>OR(ISBLANK(Charms!I3056),(VLOOKUP(Values!$S$6,Castes!$B$2:$F$25,4,0)=Charms!I3056))</f>
        <v>#N/A</v>
      </c>
      <c r="J3056" t="e">
        <f t="shared" ca="1" si="236"/>
        <v>#N/A</v>
      </c>
      <c r="K3056" s="18" t="e">
        <f t="shared" ca="1" si="235"/>
        <v>#N/A</v>
      </c>
      <c r="L3056" t="e">
        <f ca="1">IF(J3056,Charms!B3056,"")</f>
        <v>#N/A</v>
      </c>
      <c r="M3056" t="str">
        <f t="shared" ca="1" si="237"/>
        <v>-</v>
      </c>
      <c r="N3056" s="18" t="str">
        <f t="shared" si="238"/>
        <v>K1622:L5000</v>
      </c>
      <c r="O3056" t="str">
        <f t="shared" si="239"/>
        <v>A1622:A3056</v>
      </c>
    </row>
    <row r="3057" spans="1:15">
      <c r="A3057" s="18">
        <f>Charms!K3057</f>
        <v>0</v>
      </c>
      <c r="B3057">
        <f>Charms!B3057</f>
        <v>0</v>
      </c>
      <c r="C3057" t="b">
        <f ca="1">OR(Values!$S$98&gt;=Charms!M3057,IFERROR(Charms!J3057=OFFSET(Values!$A$24,MATCH("S",Values!$T$25:$T$50,0),0),FALSE))</f>
        <v>1</v>
      </c>
      <c r="D3057" t="e">
        <f>VLOOKUP(Charms!J3057,Values!$A$11:$S$59,19,0)&gt;=Charms!L3057</f>
        <v>#N/A</v>
      </c>
      <c r="E3057" t="e">
        <f>OR(ISBLANK(Charms!I3057),(VLOOKUP(Values!$S$6,Castes!$B$2:$F$25,4,0)=Charms!I3057))</f>
        <v>#N/A</v>
      </c>
      <c r="J3057" t="e">
        <f t="shared" ca="1" si="236"/>
        <v>#N/A</v>
      </c>
      <c r="K3057" s="18" t="e">
        <f t="shared" ca="1" si="235"/>
        <v>#N/A</v>
      </c>
      <c r="L3057" t="e">
        <f ca="1">IF(J3057,Charms!B3057,"")</f>
        <v>#N/A</v>
      </c>
      <c r="M3057" t="str">
        <f t="shared" ca="1" si="237"/>
        <v>-</v>
      </c>
      <c r="N3057" s="18" t="str">
        <f t="shared" si="238"/>
        <v>K1622:L5000</v>
      </c>
      <c r="O3057" t="str">
        <f t="shared" si="239"/>
        <v>A1622:A3057</v>
      </c>
    </row>
    <row r="3058" spans="1:15">
      <c r="A3058" s="18">
        <f>Charms!K3058</f>
        <v>0</v>
      </c>
      <c r="B3058">
        <f>Charms!B3058</f>
        <v>0</v>
      </c>
      <c r="C3058" t="b">
        <f ca="1">OR(Values!$S$98&gt;=Charms!M3058,IFERROR(Charms!J3058=OFFSET(Values!$A$24,MATCH("S",Values!$T$25:$T$50,0),0),FALSE))</f>
        <v>1</v>
      </c>
      <c r="D3058" t="e">
        <f>VLOOKUP(Charms!J3058,Values!$A$11:$S$59,19,0)&gt;=Charms!L3058</f>
        <v>#N/A</v>
      </c>
      <c r="E3058" t="e">
        <f>OR(ISBLANK(Charms!I3058),(VLOOKUP(Values!$S$6,Castes!$B$2:$F$25,4,0)=Charms!I3058))</f>
        <v>#N/A</v>
      </c>
      <c r="J3058" t="e">
        <f t="shared" ca="1" si="236"/>
        <v>#N/A</v>
      </c>
      <c r="K3058" s="18" t="e">
        <f t="shared" ca="1" si="235"/>
        <v>#N/A</v>
      </c>
      <c r="L3058" t="e">
        <f ca="1">IF(J3058,Charms!B3058,"")</f>
        <v>#N/A</v>
      </c>
      <c r="M3058" t="str">
        <f t="shared" ca="1" si="237"/>
        <v>-</v>
      </c>
      <c r="N3058" s="18" t="str">
        <f t="shared" si="238"/>
        <v>K1622:L5000</v>
      </c>
      <c r="O3058" t="str">
        <f t="shared" si="239"/>
        <v>A1622:A3058</v>
      </c>
    </row>
    <row r="3059" spans="1:15">
      <c r="A3059" s="18">
        <f>Charms!K3059</f>
        <v>0</v>
      </c>
      <c r="B3059">
        <f>Charms!B3059</f>
        <v>0</v>
      </c>
      <c r="C3059" t="b">
        <f ca="1">OR(Values!$S$98&gt;=Charms!M3059,IFERROR(Charms!J3059=OFFSET(Values!$A$24,MATCH("S",Values!$T$25:$T$50,0),0),FALSE))</f>
        <v>1</v>
      </c>
      <c r="D3059" t="e">
        <f>VLOOKUP(Charms!J3059,Values!$A$11:$S$59,19,0)&gt;=Charms!L3059</f>
        <v>#N/A</v>
      </c>
      <c r="E3059" t="e">
        <f>OR(ISBLANK(Charms!I3059),(VLOOKUP(Values!$S$6,Castes!$B$2:$F$25,4,0)=Charms!I3059))</f>
        <v>#N/A</v>
      </c>
      <c r="J3059" t="e">
        <f t="shared" ca="1" si="236"/>
        <v>#N/A</v>
      </c>
      <c r="K3059" s="18" t="e">
        <f t="shared" ca="1" si="235"/>
        <v>#N/A</v>
      </c>
      <c r="L3059" t="e">
        <f ca="1">IF(J3059,Charms!B3059,"")</f>
        <v>#N/A</v>
      </c>
      <c r="M3059" t="str">
        <f t="shared" ca="1" si="237"/>
        <v>-</v>
      </c>
      <c r="N3059" s="18" t="str">
        <f t="shared" si="238"/>
        <v>K1622:L5000</v>
      </c>
      <c r="O3059" t="str">
        <f t="shared" si="239"/>
        <v>A1622:A3059</v>
      </c>
    </row>
    <row r="3060" spans="1:15">
      <c r="A3060" s="18">
        <f>Charms!K3060</f>
        <v>0</v>
      </c>
      <c r="B3060">
        <f>Charms!B3060</f>
        <v>0</v>
      </c>
      <c r="C3060" t="b">
        <f ca="1">OR(Values!$S$98&gt;=Charms!M3060,IFERROR(Charms!J3060=OFFSET(Values!$A$24,MATCH("S",Values!$T$25:$T$50,0),0),FALSE))</f>
        <v>1</v>
      </c>
      <c r="D3060" t="e">
        <f>VLOOKUP(Charms!J3060,Values!$A$11:$S$59,19,0)&gt;=Charms!L3060</f>
        <v>#N/A</v>
      </c>
      <c r="E3060" t="e">
        <f>OR(ISBLANK(Charms!I3060),(VLOOKUP(Values!$S$6,Castes!$B$2:$F$25,4,0)=Charms!I3060))</f>
        <v>#N/A</v>
      </c>
      <c r="J3060" t="e">
        <f t="shared" ca="1" si="236"/>
        <v>#N/A</v>
      </c>
      <c r="K3060" s="18" t="e">
        <f t="shared" ca="1" si="235"/>
        <v>#N/A</v>
      </c>
      <c r="L3060" t="e">
        <f ca="1">IF(J3060,Charms!B3060,"")</f>
        <v>#N/A</v>
      </c>
      <c r="M3060" t="str">
        <f t="shared" ca="1" si="237"/>
        <v>-</v>
      </c>
      <c r="N3060" s="18" t="str">
        <f t="shared" si="238"/>
        <v>K1622:L5000</v>
      </c>
      <c r="O3060" t="str">
        <f t="shared" si="239"/>
        <v>A1622:A3060</v>
      </c>
    </row>
    <row r="3061" spans="1:15">
      <c r="A3061" s="18">
        <f>Charms!K3061</f>
        <v>0</v>
      </c>
      <c r="B3061">
        <f>Charms!B3061</f>
        <v>0</v>
      </c>
      <c r="C3061" t="b">
        <f ca="1">OR(Values!$S$98&gt;=Charms!M3061,IFERROR(Charms!J3061=OFFSET(Values!$A$24,MATCH("S",Values!$T$25:$T$50,0),0),FALSE))</f>
        <v>1</v>
      </c>
      <c r="D3061" t="e">
        <f>VLOOKUP(Charms!J3061,Values!$A$11:$S$59,19,0)&gt;=Charms!L3061</f>
        <v>#N/A</v>
      </c>
      <c r="E3061" t="e">
        <f>OR(ISBLANK(Charms!I3061),(VLOOKUP(Values!$S$6,Castes!$B$2:$F$25,4,0)=Charms!I3061))</f>
        <v>#N/A</v>
      </c>
      <c r="J3061" t="e">
        <f t="shared" ca="1" si="236"/>
        <v>#N/A</v>
      </c>
      <c r="K3061" s="18" t="e">
        <f t="shared" ca="1" si="235"/>
        <v>#N/A</v>
      </c>
      <c r="L3061" t="e">
        <f ca="1">IF(J3061,Charms!B3061,"")</f>
        <v>#N/A</v>
      </c>
      <c r="M3061" t="str">
        <f t="shared" ca="1" si="237"/>
        <v>-</v>
      </c>
      <c r="N3061" s="18" t="str">
        <f t="shared" si="238"/>
        <v>K1622:L5000</v>
      </c>
      <c r="O3061" t="str">
        <f t="shared" si="239"/>
        <v>A1622:A3061</v>
      </c>
    </row>
    <row r="3062" spans="1:15">
      <c r="A3062" s="18">
        <f>Charms!K3062</f>
        <v>0</v>
      </c>
      <c r="B3062">
        <f>Charms!B3062</f>
        <v>0</v>
      </c>
      <c r="C3062" t="b">
        <f ca="1">OR(Values!$S$98&gt;=Charms!M3062,IFERROR(Charms!J3062=OFFSET(Values!$A$24,MATCH("S",Values!$T$25:$T$50,0),0),FALSE))</f>
        <v>1</v>
      </c>
      <c r="D3062" t="e">
        <f>VLOOKUP(Charms!J3062,Values!$A$11:$S$59,19,0)&gt;=Charms!L3062</f>
        <v>#N/A</v>
      </c>
      <c r="E3062" t="e">
        <f>OR(ISBLANK(Charms!I3062),(VLOOKUP(Values!$S$6,Castes!$B$2:$F$25,4,0)=Charms!I3062))</f>
        <v>#N/A</v>
      </c>
      <c r="J3062" t="e">
        <f t="shared" ca="1" si="236"/>
        <v>#N/A</v>
      </c>
      <c r="K3062" s="18" t="e">
        <f t="shared" ca="1" si="235"/>
        <v>#N/A</v>
      </c>
      <c r="L3062" t="e">
        <f ca="1">IF(J3062,Charms!B3062,"")</f>
        <v>#N/A</v>
      </c>
      <c r="M3062" t="str">
        <f t="shared" ca="1" si="237"/>
        <v>-</v>
      </c>
      <c r="N3062" s="18" t="str">
        <f t="shared" si="238"/>
        <v>K1622:L5000</v>
      </c>
      <c r="O3062" t="str">
        <f t="shared" si="239"/>
        <v>A1622:A3062</v>
      </c>
    </row>
    <row r="3063" spans="1:15">
      <c r="A3063" s="18">
        <f>Charms!K3063</f>
        <v>0</v>
      </c>
      <c r="B3063">
        <f>Charms!B3063</f>
        <v>0</v>
      </c>
      <c r="C3063" t="b">
        <f ca="1">OR(Values!$S$98&gt;=Charms!M3063,IFERROR(Charms!J3063=OFFSET(Values!$A$24,MATCH("S",Values!$T$25:$T$50,0),0),FALSE))</f>
        <v>1</v>
      </c>
      <c r="D3063" t="e">
        <f>VLOOKUP(Charms!J3063,Values!$A$11:$S$59,19,0)&gt;=Charms!L3063</f>
        <v>#N/A</v>
      </c>
      <c r="E3063" t="e">
        <f>OR(ISBLANK(Charms!I3063),(VLOOKUP(Values!$S$6,Castes!$B$2:$F$25,4,0)=Charms!I3063))</f>
        <v>#N/A</v>
      </c>
      <c r="J3063" t="e">
        <f t="shared" ca="1" si="236"/>
        <v>#N/A</v>
      </c>
      <c r="K3063" s="18" t="e">
        <f t="shared" ca="1" si="235"/>
        <v>#N/A</v>
      </c>
      <c r="L3063" t="e">
        <f ca="1">IF(J3063,Charms!B3063,"")</f>
        <v>#N/A</v>
      </c>
      <c r="M3063" t="str">
        <f t="shared" ca="1" si="237"/>
        <v>-</v>
      </c>
      <c r="N3063" s="18" t="str">
        <f t="shared" si="238"/>
        <v>K1622:L5000</v>
      </c>
      <c r="O3063" t="str">
        <f t="shared" si="239"/>
        <v>A1622:A3063</v>
      </c>
    </row>
    <row r="3064" spans="1:15">
      <c r="A3064" s="18">
        <f>Charms!K3064</f>
        <v>0</v>
      </c>
      <c r="B3064">
        <f>Charms!B3064</f>
        <v>0</v>
      </c>
      <c r="C3064" t="b">
        <f ca="1">OR(Values!$S$98&gt;=Charms!M3064,IFERROR(Charms!J3064=OFFSET(Values!$A$24,MATCH("S",Values!$T$25:$T$50,0),0),FALSE))</f>
        <v>1</v>
      </c>
      <c r="D3064" t="e">
        <f>VLOOKUP(Charms!J3064,Values!$A$11:$S$59,19,0)&gt;=Charms!L3064</f>
        <v>#N/A</v>
      </c>
      <c r="E3064" t="e">
        <f>OR(ISBLANK(Charms!I3064),(VLOOKUP(Values!$S$6,Castes!$B$2:$F$25,4,0)=Charms!I3064))</f>
        <v>#N/A</v>
      </c>
      <c r="J3064" t="e">
        <f t="shared" ca="1" si="236"/>
        <v>#N/A</v>
      </c>
      <c r="K3064" s="18" t="e">
        <f t="shared" ca="1" si="235"/>
        <v>#N/A</v>
      </c>
      <c r="L3064" t="e">
        <f ca="1">IF(J3064,Charms!B3064,"")</f>
        <v>#N/A</v>
      </c>
      <c r="M3064" t="str">
        <f t="shared" ca="1" si="237"/>
        <v>-</v>
      </c>
      <c r="N3064" s="18" t="str">
        <f t="shared" si="238"/>
        <v>K1622:L5000</v>
      </c>
      <c r="O3064" t="str">
        <f t="shared" si="239"/>
        <v>A1622:A3064</v>
      </c>
    </row>
    <row r="3065" spans="1:15">
      <c r="A3065" s="18">
        <f>Charms!K3065</f>
        <v>0</v>
      </c>
      <c r="B3065">
        <f>Charms!B3065</f>
        <v>0</v>
      </c>
      <c r="C3065" t="b">
        <f ca="1">OR(Values!$S$98&gt;=Charms!M3065,IFERROR(Charms!J3065=OFFSET(Values!$A$24,MATCH("S",Values!$T$25:$T$50,0),0),FALSE))</f>
        <v>1</v>
      </c>
      <c r="D3065" t="e">
        <f>VLOOKUP(Charms!J3065,Values!$A$11:$S$59,19,0)&gt;=Charms!L3065</f>
        <v>#N/A</v>
      </c>
      <c r="E3065" t="e">
        <f>OR(ISBLANK(Charms!I3065),(VLOOKUP(Values!$S$6,Castes!$B$2:$F$25,4,0)=Charms!I3065))</f>
        <v>#N/A</v>
      </c>
      <c r="J3065" t="e">
        <f t="shared" ca="1" si="236"/>
        <v>#N/A</v>
      </c>
      <c r="K3065" s="18" t="e">
        <f t="shared" ca="1" si="235"/>
        <v>#N/A</v>
      </c>
      <c r="L3065" t="e">
        <f ca="1">IF(J3065,Charms!B3065,"")</f>
        <v>#N/A</v>
      </c>
      <c r="M3065" t="str">
        <f t="shared" ca="1" si="237"/>
        <v>-</v>
      </c>
      <c r="N3065" s="18" t="str">
        <f t="shared" si="238"/>
        <v>K1622:L5000</v>
      </c>
      <c r="O3065" t="str">
        <f t="shared" si="239"/>
        <v>A1622:A3065</v>
      </c>
    </row>
    <row r="3066" spans="1:15">
      <c r="A3066" s="18">
        <f>Charms!K3066</f>
        <v>0</v>
      </c>
      <c r="B3066">
        <f>Charms!B3066</f>
        <v>0</v>
      </c>
      <c r="C3066" t="b">
        <f ca="1">OR(Values!$S$98&gt;=Charms!M3066,IFERROR(Charms!J3066=OFFSET(Values!$A$24,MATCH("S",Values!$T$25:$T$50,0),0),FALSE))</f>
        <v>1</v>
      </c>
      <c r="D3066" t="e">
        <f>VLOOKUP(Charms!J3066,Values!$A$11:$S$59,19,0)&gt;=Charms!L3066</f>
        <v>#N/A</v>
      </c>
      <c r="E3066" t="e">
        <f>OR(ISBLANK(Charms!I3066),(VLOOKUP(Values!$S$6,Castes!$B$2:$F$25,4,0)=Charms!I3066))</f>
        <v>#N/A</v>
      </c>
      <c r="J3066" t="e">
        <f t="shared" ca="1" si="236"/>
        <v>#N/A</v>
      </c>
      <c r="K3066" s="18" t="e">
        <f t="shared" ca="1" si="235"/>
        <v>#N/A</v>
      </c>
      <c r="L3066" t="e">
        <f ca="1">IF(J3066,Charms!B3066,"")</f>
        <v>#N/A</v>
      </c>
      <c r="M3066" t="str">
        <f t="shared" ca="1" si="237"/>
        <v>-</v>
      </c>
      <c r="N3066" s="18" t="str">
        <f t="shared" si="238"/>
        <v>K1622:L5000</v>
      </c>
      <c r="O3066" t="str">
        <f t="shared" si="239"/>
        <v>A1622:A3066</v>
      </c>
    </row>
    <row r="3067" spans="1:15">
      <c r="A3067" s="18">
        <f>Charms!K3067</f>
        <v>0</v>
      </c>
      <c r="B3067">
        <f>Charms!B3067</f>
        <v>0</v>
      </c>
      <c r="C3067" t="b">
        <f ca="1">OR(Values!$S$98&gt;=Charms!M3067,IFERROR(Charms!J3067=OFFSET(Values!$A$24,MATCH("S",Values!$T$25:$T$50,0),0),FALSE))</f>
        <v>1</v>
      </c>
      <c r="D3067" t="e">
        <f>VLOOKUP(Charms!J3067,Values!$A$11:$S$59,19,0)&gt;=Charms!L3067</f>
        <v>#N/A</v>
      </c>
      <c r="E3067" t="e">
        <f>OR(ISBLANK(Charms!I3067),(VLOOKUP(Values!$S$6,Castes!$B$2:$F$25,4,0)=Charms!I3067))</f>
        <v>#N/A</v>
      </c>
      <c r="J3067" t="e">
        <f t="shared" ca="1" si="236"/>
        <v>#N/A</v>
      </c>
      <c r="K3067" s="18" t="e">
        <f t="shared" ca="1" si="235"/>
        <v>#N/A</v>
      </c>
      <c r="L3067" t="e">
        <f ca="1">IF(J3067,Charms!B3067,"")</f>
        <v>#N/A</v>
      </c>
      <c r="M3067" t="str">
        <f t="shared" ca="1" si="237"/>
        <v>-</v>
      </c>
      <c r="N3067" s="18" t="str">
        <f t="shared" si="238"/>
        <v>K1622:L5000</v>
      </c>
      <c r="O3067" t="str">
        <f t="shared" si="239"/>
        <v>A1622:A3067</v>
      </c>
    </row>
    <row r="3068" spans="1:15">
      <c r="A3068" s="18">
        <f>Charms!K3068</f>
        <v>0</v>
      </c>
      <c r="B3068">
        <f>Charms!B3068</f>
        <v>0</v>
      </c>
      <c r="C3068" t="b">
        <f ca="1">OR(Values!$S$98&gt;=Charms!M3068,IFERROR(Charms!J3068=OFFSET(Values!$A$24,MATCH("S",Values!$T$25:$T$50,0),0),FALSE))</f>
        <v>1</v>
      </c>
      <c r="D3068" t="e">
        <f>VLOOKUP(Charms!J3068,Values!$A$11:$S$59,19,0)&gt;=Charms!L3068</f>
        <v>#N/A</v>
      </c>
      <c r="E3068" t="e">
        <f>OR(ISBLANK(Charms!I3068),(VLOOKUP(Values!$S$6,Castes!$B$2:$F$25,4,0)=Charms!I3068))</f>
        <v>#N/A</v>
      </c>
      <c r="J3068" t="e">
        <f t="shared" ca="1" si="236"/>
        <v>#N/A</v>
      </c>
      <c r="K3068" s="18" t="e">
        <f t="shared" ca="1" si="235"/>
        <v>#N/A</v>
      </c>
      <c r="L3068" t="e">
        <f ca="1">IF(J3068,Charms!B3068,"")</f>
        <v>#N/A</v>
      </c>
      <c r="M3068" t="str">
        <f t="shared" ca="1" si="237"/>
        <v>-</v>
      </c>
      <c r="N3068" s="18" t="str">
        <f t="shared" si="238"/>
        <v>K1622:L5000</v>
      </c>
      <c r="O3068" t="str">
        <f t="shared" si="239"/>
        <v>A1622:A3068</v>
      </c>
    </row>
    <row r="3069" spans="1:15">
      <c r="A3069" s="18">
        <f>Charms!K3069</f>
        <v>0</v>
      </c>
      <c r="B3069">
        <f>Charms!B3069</f>
        <v>0</v>
      </c>
      <c r="C3069" t="b">
        <f ca="1">OR(Values!$S$98&gt;=Charms!M3069,IFERROR(Charms!J3069=OFFSET(Values!$A$24,MATCH("S",Values!$T$25:$T$50,0),0),FALSE))</f>
        <v>1</v>
      </c>
      <c r="D3069" t="e">
        <f>VLOOKUP(Charms!J3069,Values!$A$11:$S$59,19,0)&gt;=Charms!L3069</f>
        <v>#N/A</v>
      </c>
      <c r="E3069" t="e">
        <f>OR(ISBLANK(Charms!I3069),(VLOOKUP(Values!$S$6,Castes!$B$2:$F$25,4,0)=Charms!I3069))</f>
        <v>#N/A</v>
      </c>
      <c r="J3069" t="e">
        <f t="shared" ca="1" si="236"/>
        <v>#N/A</v>
      </c>
      <c r="K3069" s="18" t="e">
        <f t="shared" ca="1" si="235"/>
        <v>#N/A</v>
      </c>
      <c r="L3069" t="e">
        <f ca="1">IF(J3069,Charms!B3069,"")</f>
        <v>#N/A</v>
      </c>
      <c r="M3069" t="str">
        <f t="shared" ca="1" si="237"/>
        <v>-</v>
      </c>
      <c r="N3069" s="18" t="str">
        <f t="shared" si="238"/>
        <v>K1622:L5000</v>
      </c>
      <c r="O3069" t="str">
        <f t="shared" si="239"/>
        <v>A1622:A3069</v>
      </c>
    </row>
    <row r="3070" spans="1:15">
      <c r="A3070" s="18">
        <f>Charms!K3070</f>
        <v>0</v>
      </c>
      <c r="B3070">
        <f>Charms!B3070</f>
        <v>0</v>
      </c>
      <c r="C3070" t="b">
        <f ca="1">OR(Values!$S$98&gt;=Charms!M3070,IFERROR(Charms!J3070=OFFSET(Values!$A$24,MATCH("S",Values!$T$25:$T$50,0),0),FALSE))</f>
        <v>1</v>
      </c>
      <c r="D3070" t="e">
        <f>VLOOKUP(Charms!J3070,Values!$A$11:$S$59,19,0)&gt;=Charms!L3070</f>
        <v>#N/A</v>
      </c>
      <c r="E3070" t="e">
        <f>OR(ISBLANK(Charms!I3070),(VLOOKUP(Values!$S$6,Castes!$B$2:$F$25,4,0)=Charms!I3070))</f>
        <v>#N/A</v>
      </c>
      <c r="J3070" t="e">
        <f t="shared" ca="1" si="236"/>
        <v>#N/A</v>
      </c>
      <c r="K3070" s="18" t="e">
        <f t="shared" ca="1" si="235"/>
        <v>#N/A</v>
      </c>
      <c r="L3070" t="e">
        <f ca="1">IF(J3070,Charms!B3070,"")</f>
        <v>#N/A</v>
      </c>
      <c r="M3070" t="str">
        <f t="shared" ca="1" si="237"/>
        <v>-</v>
      </c>
      <c r="N3070" s="18" t="str">
        <f t="shared" si="238"/>
        <v>K1622:L5000</v>
      </c>
      <c r="O3070" t="str">
        <f t="shared" si="239"/>
        <v>A1622:A3070</v>
      </c>
    </row>
    <row r="3071" spans="1:15">
      <c r="A3071" s="18">
        <f>Charms!K3071</f>
        <v>0</v>
      </c>
      <c r="B3071">
        <f>Charms!B3071</f>
        <v>0</v>
      </c>
      <c r="C3071" t="b">
        <f ca="1">OR(Values!$S$98&gt;=Charms!M3071,IFERROR(Charms!J3071=OFFSET(Values!$A$24,MATCH("S",Values!$T$25:$T$50,0),0),FALSE))</f>
        <v>1</v>
      </c>
      <c r="D3071" t="e">
        <f>VLOOKUP(Charms!J3071,Values!$A$11:$S$59,19,0)&gt;=Charms!L3071</f>
        <v>#N/A</v>
      </c>
      <c r="E3071" t="e">
        <f>OR(ISBLANK(Charms!I3071),(VLOOKUP(Values!$S$6,Castes!$B$2:$F$25,4,0)=Charms!I3071))</f>
        <v>#N/A</v>
      </c>
      <c r="J3071" t="e">
        <f t="shared" ca="1" si="236"/>
        <v>#N/A</v>
      </c>
      <c r="K3071" s="18" t="e">
        <f t="shared" ca="1" si="235"/>
        <v>#N/A</v>
      </c>
      <c r="L3071" t="e">
        <f ca="1">IF(J3071,Charms!B3071,"")</f>
        <v>#N/A</v>
      </c>
      <c r="M3071" t="str">
        <f t="shared" ca="1" si="237"/>
        <v>-</v>
      </c>
      <c r="N3071" s="18" t="str">
        <f t="shared" si="238"/>
        <v>K1622:L5000</v>
      </c>
      <c r="O3071" t="str">
        <f t="shared" si="239"/>
        <v>A1622:A3071</v>
      </c>
    </row>
    <row r="3072" spans="1:15">
      <c r="A3072" s="18">
        <f>Charms!K3072</f>
        <v>0</v>
      </c>
      <c r="B3072">
        <f>Charms!B3072</f>
        <v>0</v>
      </c>
      <c r="C3072" t="b">
        <f ca="1">OR(Values!$S$98&gt;=Charms!M3072,IFERROR(Charms!J3072=OFFSET(Values!$A$24,MATCH("S",Values!$T$25:$T$50,0),0),FALSE))</f>
        <v>1</v>
      </c>
      <c r="D3072" t="e">
        <f>VLOOKUP(Charms!J3072,Values!$A$11:$S$59,19,0)&gt;=Charms!L3072</f>
        <v>#N/A</v>
      </c>
      <c r="E3072" t="e">
        <f>OR(ISBLANK(Charms!I3072),(VLOOKUP(Values!$S$6,Castes!$B$2:$F$25,4,0)=Charms!I3072))</f>
        <v>#N/A</v>
      </c>
      <c r="J3072" t="e">
        <f t="shared" ca="1" si="236"/>
        <v>#N/A</v>
      </c>
      <c r="K3072" s="18" t="e">
        <f t="shared" ca="1" si="235"/>
        <v>#N/A</v>
      </c>
      <c r="L3072" t="e">
        <f ca="1">IF(J3072,Charms!B3072,"")</f>
        <v>#N/A</v>
      </c>
      <c r="M3072" t="str">
        <f t="shared" ca="1" si="237"/>
        <v>-</v>
      </c>
      <c r="N3072" s="18" t="str">
        <f t="shared" si="238"/>
        <v>K1622:L5000</v>
      </c>
      <c r="O3072" t="str">
        <f t="shared" si="239"/>
        <v>A1622:A3072</v>
      </c>
    </row>
    <row r="3073" spans="1:15">
      <c r="A3073" s="18">
        <f>Charms!K3073</f>
        <v>0</v>
      </c>
      <c r="B3073">
        <f>Charms!B3073</f>
        <v>0</v>
      </c>
      <c r="C3073" t="b">
        <f ca="1">OR(Values!$S$98&gt;=Charms!M3073,IFERROR(Charms!J3073=OFFSET(Values!$A$24,MATCH("S",Values!$T$25:$T$50,0),0),FALSE))</f>
        <v>1</v>
      </c>
      <c r="D3073" t="e">
        <f>VLOOKUP(Charms!J3073,Values!$A$11:$S$59,19,0)&gt;=Charms!L3073</f>
        <v>#N/A</v>
      </c>
      <c r="E3073" t="e">
        <f>OR(ISBLANK(Charms!I3073),(VLOOKUP(Values!$S$6,Castes!$B$2:$F$25,4,0)=Charms!I3073))</f>
        <v>#N/A</v>
      </c>
      <c r="J3073" t="e">
        <f t="shared" ca="1" si="236"/>
        <v>#N/A</v>
      </c>
      <c r="K3073" s="18" t="e">
        <f t="shared" ca="1" si="235"/>
        <v>#N/A</v>
      </c>
      <c r="L3073" t="e">
        <f ca="1">IF(J3073,Charms!B3073,"")</f>
        <v>#N/A</v>
      </c>
      <c r="M3073" t="str">
        <f t="shared" ca="1" si="237"/>
        <v>-</v>
      </c>
      <c r="N3073" s="18" t="str">
        <f t="shared" si="238"/>
        <v>K1622:L5000</v>
      </c>
      <c r="O3073" t="str">
        <f t="shared" si="239"/>
        <v>A1622:A3073</v>
      </c>
    </row>
    <row r="3074" spans="1:15">
      <c r="A3074" s="18">
        <f>Charms!K3074</f>
        <v>0</v>
      </c>
      <c r="B3074">
        <f>Charms!B3074</f>
        <v>0</v>
      </c>
      <c r="C3074" t="b">
        <f ca="1">OR(Values!$S$98&gt;=Charms!M3074,IFERROR(Charms!J3074=OFFSET(Values!$A$24,MATCH("S",Values!$T$25:$T$50,0),0),FALSE))</f>
        <v>1</v>
      </c>
      <c r="D3074" t="e">
        <f>VLOOKUP(Charms!J3074,Values!$A$11:$S$59,19,0)&gt;=Charms!L3074</f>
        <v>#N/A</v>
      </c>
      <c r="E3074" t="e">
        <f>OR(ISBLANK(Charms!I3074),(VLOOKUP(Values!$S$6,Castes!$B$2:$F$25,4,0)=Charms!I3074))</f>
        <v>#N/A</v>
      </c>
      <c r="J3074" t="e">
        <f t="shared" ca="1" si="236"/>
        <v>#N/A</v>
      </c>
      <c r="K3074" s="18" t="e">
        <f t="shared" ref="K3074:K3137" ca="1" si="240">IF(L3074="","",COUNTIF(INDIRECT("J"&amp;MATCH(A3074,A:A,0)&amp;":J"&amp;ROW()),J3074))</f>
        <v>#N/A</v>
      </c>
      <c r="L3074" t="e">
        <f ca="1">IF(J3074,Charms!B3074,"")</f>
        <v>#N/A</v>
      </c>
      <c r="M3074" t="str">
        <f t="shared" ca="1" si="237"/>
        <v>-</v>
      </c>
      <c r="N3074" s="18" t="str">
        <f t="shared" si="238"/>
        <v>K1622:L5000</v>
      </c>
      <c r="O3074" t="str">
        <f t="shared" si="239"/>
        <v>A1622:A3074</v>
      </c>
    </row>
    <row r="3075" spans="1:15">
      <c r="A3075" s="18">
        <f>Charms!K3075</f>
        <v>0</v>
      </c>
      <c r="B3075">
        <f>Charms!B3075</f>
        <v>0</v>
      </c>
      <c r="C3075" t="b">
        <f ca="1">OR(Values!$S$98&gt;=Charms!M3075,IFERROR(Charms!J3075=OFFSET(Values!$A$24,MATCH("S",Values!$T$25:$T$50,0),0),FALSE))</f>
        <v>1</v>
      </c>
      <c r="D3075" t="e">
        <f>VLOOKUP(Charms!J3075,Values!$A$11:$S$59,19,0)&gt;=Charms!L3075</f>
        <v>#N/A</v>
      </c>
      <c r="E3075" t="e">
        <f>OR(ISBLANK(Charms!I3075),(VLOOKUP(Values!$S$6,Castes!$B$2:$F$25,4,0)=Charms!I3075))</f>
        <v>#N/A</v>
      </c>
      <c r="J3075" t="e">
        <f t="shared" ref="J3075:J3138" ca="1" si="241">(C3075+D3075+E3075+F3075+G3075+H3075+I3075)=3</f>
        <v>#N/A</v>
      </c>
      <c r="K3075" s="18" t="e">
        <f t="shared" ca="1" si="240"/>
        <v>#N/A</v>
      </c>
      <c r="L3075" t="e">
        <f ca="1">IF(J3075,Charms!B3075,"")</f>
        <v>#N/A</v>
      </c>
      <c r="M3075" t="str">
        <f t="shared" ref="M3075:M3138" ca="1" si="242">IFERROR(VLOOKUP(COUNTIF(INDIRECT(O3075),A3075),INDIRECT(N3075),2,0),"-")</f>
        <v>-</v>
      </c>
      <c r="N3075" s="18" t="str">
        <f t="shared" ref="N3075:N3138" si="243">"K"&amp;MATCH(A3075,A:A,0)&amp;":L"&amp;(MATCH(A3075,A:A,0)+COUNTIF(A:A,A3075)-1)</f>
        <v>K1622:L5000</v>
      </c>
      <c r="O3075" t="str">
        <f t="shared" ref="O3075:O3138" si="244">"A"&amp;MATCH(A3075,A:A,0)&amp;":A"&amp;ROW()</f>
        <v>A1622:A3075</v>
      </c>
    </row>
    <row r="3076" spans="1:15">
      <c r="A3076" s="18">
        <f>Charms!K3076</f>
        <v>0</v>
      </c>
      <c r="B3076">
        <f>Charms!B3076</f>
        <v>0</v>
      </c>
      <c r="C3076" t="b">
        <f ca="1">OR(Values!$S$98&gt;=Charms!M3076,IFERROR(Charms!J3076=OFFSET(Values!$A$24,MATCH("S",Values!$T$25:$T$50,0),0),FALSE))</f>
        <v>1</v>
      </c>
      <c r="D3076" t="e">
        <f>VLOOKUP(Charms!J3076,Values!$A$11:$S$59,19,0)&gt;=Charms!L3076</f>
        <v>#N/A</v>
      </c>
      <c r="E3076" t="e">
        <f>OR(ISBLANK(Charms!I3076),(VLOOKUP(Values!$S$6,Castes!$B$2:$F$25,4,0)=Charms!I3076))</f>
        <v>#N/A</v>
      </c>
      <c r="J3076" t="e">
        <f t="shared" ca="1" si="241"/>
        <v>#N/A</v>
      </c>
      <c r="K3076" s="18" t="e">
        <f t="shared" ca="1" si="240"/>
        <v>#N/A</v>
      </c>
      <c r="L3076" t="e">
        <f ca="1">IF(J3076,Charms!B3076,"")</f>
        <v>#N/A</v>
      </c>
      <c r="M3076" t="str">
        <f t="shared" ca="1" si="242"/>
        <v>-</v>
      </c>
      <c r="N3076" s="18" t="str">
        <f t="shared" si="243"/>
        <v>K1622:L5000</v>
      </c>
      <c r="O3076" t="str">
        <f t="shared" si="244"/>
        <v>A1622:A3076</v>
      </c>
    </row>
    <row r="3077" spans="1:15">
      <c r="A3077" s="18">
        <f>Charms!K3077</f>
        <v>0</v>
      </c>
      <c r="B3077">
        <f>Charms!B3077</f>
        <v>0</v>
      </c>
      <c r="C3077" t="b">
        <f ca="1">OR(Values!$S$98&gt;=Charms!M3077,IFERROR(Charms!J3077=OFFSET(Values!$A$24,MATCH("S",Values!$T$25:$T$50,0),0),FALSE))</f>
        <v>1</v>
      </c>
      <c r="D3077" t="e">
        <f>VLOOKUP(Charms!J3077,Values!$A$11:$S$59,19,0)&gt;=Charms!L3077</f>
        <v>#N/A</v>
      </c>
      <c r="E3077" t="e">
        <f>OR(ISBLANK(Charms!I3077),(VLOOKUP(Values!$S$6,Castes!$B$2:$F$25,4,0)=Charms!I3077))</f>
        <v>#N/A</v>
      </c>
      <c r="J3077" t="e">
        <f t="shared" ca="1" si="241"/>
        <v>#N/A</v>
      </c>
      <c r="K3077" s="18" t="e">
        <f t="shared" ca="1" si="240"/>
        <v>#N/A</v>
      </c>
      <c r="L3077" t="e">
        <f ca="1">IF(J3077,Charms!B3077,"")</f>
        <v>#N/A</v>
      </c>
      <c r="M3077" t="str">
        <f t="shared" ca="1" si="242"/>
        <v>-</v>
      </c>
      <c r="N3077" s="18" t="str">
        <f t="shared" si="243"/>
        <v>K1622:L5000</v>
      </c>
      <c r="O3077" t="str">
        <f t="shared" si="244"/>
        <v>A1622:A3077</v>
      </c>
    </row>
    <row r="3078" spans="1:15">
      <c r="A3078" s="18">
        <f>Charms!K3078</f>
        <v>0</v>
      </c>
      <c r="B3078">
        <f>Charms!B3078</f>
        <v>0</v>
      </c>
      <c r="C3078" t="b">
        <f ca="1">OR(Values!$S$98&gt;=Charms!M3078,IFERROR(Charms!J3078=OFFSET(Values!$A$24,MATCH("S",Values!$T$25:$T$50,0),0),FALSE))</f>
        <v>1</v>
      </c>
      <c r="D3078" t="e">
        <f>VLOOKUP(Charms!J3078,Values!$A$11:$S$59,19,0)&gt;=Charms!L3078</f>
        <v>#N/A</v>
      </c>
      <c r="E3078" t="e">
        <f>OR(ISBLANK(Charms!I3078),(VLOOKUP(Values!$S$6,Castes!$B$2:$F$25,4,0)=Charms!I3078))</f>
        <v>#N/A</v>
      </c>
      <c r="J3078" t="e">
        <f t="shared" ca="1" si="241"/>
        <v>#N/A</v>
      </c>
      <c r="K3078" s="18" t="e">
        <f t="shared" ca="1" si="240"/>
        <v>#N/A</v>
      </c>
      <c r="L3078" t="e">
        <f ca="1">IF(J3078,Charms!B3078,"")</f>
        <v>#N/A</v>
      </c>
      <c r="M3078" t="str">
        <f t="shared" ca="1" si="242"/>
        <v>-</v>
      </c>
      <c r="N3078" s="18" t="str">
        <f t="shared" si="243"/>
        <v>K1622:L5000</v>
      </c>
      <c r="O3078" t="str">
        <f t="shared" si="244"/>
        <v>A1622:A3078</v>
      </c>
    </row>
    <row r="3079" spans="1:15">
      <c r="A3079" s="18">
        <f>Charms!K3079</f>
        <v>0</v>
      </c>
      <c r="B3079">
        <f>Charms!B3079</f>
        <v>0</v>
      </c>
      <c r="C3079" t="b">
        <f ca="1">OR(Values!$S$98&gt;=Charms!M3079,IFERROR(Charms!J3079=OFFSET(Values!$A$24,MATCH("S",Values!$T$25:$T$50,0),0),FALSE))</f>
        <v>1</v>
      </c>
      <c r="D3079" t="e">
        <f>VLOOKUP(Charms!J3079,Values!$A$11:$S$59,19,0)&gt;=Charms!L3079</f>
        <v>#N/A</v>
      </c>
      <c r="E3079" t="e">
        <f>OR(ISBLANK(Charms!I3079),(VLOOKUP(Values!$S$6,Castes!$B$2:$F$25,4,0)=Charms!I3079))</f>
        <v>#N/A</v>
      </c>
      <c r="J3079" t="e">
        <f t="shared" ca="1" si="241"/>
        <v>#N/A</v>
      </c>
      <c r="K3079" s="18" t="e">
        <f t="shared" ca="1" si="240"/>
        <v>#N/A</v>
      </c>
      <c r="L3079" t="e">
        <f ca="1">IF(J3079,Charms!B3079,"")</f>
        <v>#N/A</v>
      </c>
      <c r="M3079" t="str">
        <f t="shared" ca="1" si="242"/>
        <v>-</v>
      </c>
      <c r="N3079" s="18" t="str">
        <f t="shared" si="243"/>
        <v>K1622:L5000</v>
      </c>
      <c r="O3079" t="str">
        <f t="shared" si="244"/>
        <v>A1622:A3079</v>
      </c>
    </row>
    <row r="3080" spans="1:15">
      <c r="A3080" s="18">
        <f>Charms!K3080</f>
        <v>0</v>
      </c>
      <c r="B3080">
        <f>Charms!B3080</f>
        <v>0</v>
      </c>
      <c r="C3080" t="b">
        <f ca="1">OR(Values!$S$98&gt;=Charms!M3080,IFERROR(Charms!J3080=OFFSET(Values!$A$24,MATCH("S",Values!$T$25:$T$50,0),0),FALSE))</f>
        <v>1</v>
      </c>
      <c r="D3080" t="e">
        <f>VLOOKUP(Charms!J3080,Values!$A$11:$S$59,19,0)&gt;=Charms!L3080</f>
        <v>#N/A</v>
      </c>
      <c r="E3080" t="e">
        <f>OR(ISBLANK(Charms!I3080),(VLOOKUP(Values!$S$6,Castes!$B$2:$F$25,4,0)=Charms!I3080))</f>
        <v>#N/A</v>
      </c>
      <c r="J3080" t="e">
        <f t="shared" ca="1" si="241"/>
        <v>#N/A</v>
      </c>
      <c r="K3080" s="18" t="e">
        <f t="shared" ca="1" si="240"/>
        <v>#N/A</v>
      </c>
      <c r="L3080" t="e">
        <f ca="1">IF(J3080,Charms!B3080,"")</f>
        <v>#N/A</v>
      </c>
      <c r="M3080" t="str">
        <f t="shared" ca="1" si="242"/>
        <v>-</v>
      </c>
      <c r="N3080" s="18" t="str">
        <f t="shared" si="243"/>
        <v>K1622:L5000</v>
      </c>
      <c r="O3080" t="str">
        <f t="shared" si="244"/>
        <v>A1622:A3080</v>
      </c>
    </row>
    <row r="3081" spans="1:15">
      <c r="A3081" s="18">
        <f>Charms!K3081</f>
        <v>0</v>
      </c>
      <c r="B3081">
        <f>Charms!B3081</f>
        <v>0</v>
      </c>
      <c r="C3081" t="b">
        <f ca="1">OR(Values!$S$98&gt;=Charms!M3081,IFERROR(Charms!J3081=OFFSET(Values!$A$24,MATCH("S",Values!$T$25:$T$50,0),0),FALSE))</f>
        <v>1</v>
      </c>
      <c r="D3081" t="e">
        <f>VLOOKUP(Charms!J3081,Values!$A$11:$S$59,19,0)&gt;=Charms!L3081</f>
        <v>#N/A</v>
      </c>
      <c r="E3081" t="e">
        <f>OR(ISBLANK(Charms!I3081),(VLOOKUP(Values!$S$6,Castes!$B$2:$F$25,4,0)=Charms!I3081))</f>
        <v>#N/A</v>
      </c>
      <c r="J3081" t="e">
        <f t="shared" ca="1" si="241"/>
        <v>#N/A</v>
      </c>
      <c r="K3081" s="18" t="e">
        <f t="shared" ca="1" si="240"/>
        <v>#N/A</v>
      </c>
      <c r="L3081" t="e">
        <f ca="1">IF(J3081,Charms!B3081,"")</f>
        <v>#N/A</v>
      </c>
      <c r="M3081" t="str">
        <f t="shared" ca="1" si="242"/>
        <v>-</v>
      </c>
      <c r="N3081" s="18" t="str">
        <f t="shared" si="243"/>
        <v>K1622:L5000</v>
      </c>
      <c r="O3081" t="str">
        <f t="shared" si="244"/>
        <v>A1622:A3081</v>
      </c>
    </row>
    <row r="3082" spans="1:15">
      <c r="A3082" s="18">
        <f>Charms!K3082</f>
        <v>0</v>
      </c>
      <c r="B3082">
        <f>Charms!B3082</f>
        <v>0</v>
      </c>
      <c r="C3082" t="b">
        <f ca="1">OR(Values!$S$98&gt;=Charms!M3082,IFERROR(Charms!J3082=OFFSET(Values!$A$24,MATCH("S",Values!$T$25:$T$50,0),0),FALSE))</f>
        <v>1</v>
      </c>
      <c r="D3082" t="e">
        <f>VLOOKUP(Charms!J3082,Values!$A$11:$S$59,19,0)&gt;=Charms!L3082</f>
        <v>#N/A</v>
      </c>
      <c r="E3082" t="e">
        <f>OR(ISBLANK(Charms!I3082),(VLOOKUP(Values!$S$6,Castes!$B$2:$F$25,4,0)=Charms!I3082))</f>
        <v>#N/A</v>
      </c>
      <c r="J3082" t="e">
        <f t="shared" ca="1" si="241"/>
        <v>#N/A</v>
      </c>
      <c r="K3082" s="18" t="e">
        <f t="shared" ca="1" si="240"/>
        <v>#N/A</v>
      </c>
      <c r="L3082" t="e">
        <f ca="1">IF(J3082,Charms!B3082,"")</f>
        <v>#N/A</v>
      </c>
      <c r="M3082" t="str">
        <f t="shared" ca="1" si="242"/>
        <v>-</v>
      </c>
      <c r="N3082" s="18" t="str">
        <f t="shared" si="243"/>
        <v>K1622:L5000</v>
      </c>
      <c r="O3082" t="str">
        <f t="shared" si="244"/>
        <v>A1622:A3082</v>
      </c>
    </row>
    <row r="3083" spans="1:15">
      <c r="A3083" s="18">
        <f>Charms!K3083</f>
        <v>0</v>
      </c>
      <c r="B3083">
        <f>Charms!B3083</f>
        <v>0</v>
      </c>
      <c r="C3083" t="b">
        <f ca="1">OR(Values!$S$98&gt;=Charms!M3083,IFERROR(Charms!J3083=OFFSET(Values!$A$24,MATCH("S",Values!$T$25:$T$50,0),0),FALSE))</f>
        <v>1</v>
      </c>
      <c r="D3083" t="e">
        <f>VLOOKUP(Charms!J3083,Values!$A$11:$S$59,19,0)&gt;=Charms!L3083</f>
        <v>#N/A</v>
      </c>
      <c r="E3083" t="e">
        <f>OR(ISBLANK(Charms!I3083),(VLOOKUP(Values!$S$6,Castes!$B$2:$F$25,4,0)=Charms!I3083))</f>
        <v>#N/A</v>
      </c>
      <c r="J3083" t="e">
        <f t="shared" ca="1" si="241"/>
        <v>#N/A</v>
      </c>
      <c r="K3083" s="18" t="e">
        <f t="shared" ca="1" si="240"/>
        <v>#N/A</v>
      </c>
      <c r="L3083" t="e">
        <f ca="1">IF(J3083,Charms!B3083,"")</f>
        <v>#N/A</v>
      </c>
      <c r="M3083" t="str">
        <f t="shared" ca="1" si="242"/>
        <v>-</v>
      </c>
      <c r="N3083" s="18" t="str">
        <f t="shared" si="243"/>
        <v>K1622:L5000</v>
      </c>
      <c r="O3083" t="str">
        <f t="shared" si="244"/>
        <v>A1622:A3083</v>
      </c>
    </row>
    <row r="3084" spans="1:15">
      <c r="A3084" s="18">
        <f>Charms!K3084</f>
        <v>0</v>
      </c>
      <c r="B3084">
        <f>Charms!B3084</f>
        <v>0</v>
      </c>
      <c r="C3084" t="b">
        <f ca="1">OR(Values!$S$98&gt;=Charms!M3084,IFERROR(Charms!J3084=OFFSET(Values!$A$24,MATCH("S",Values!$T$25:$T$50,0),0),FALSE))</f>
        <v>1</v>
      </c>
      <c r="D3084" t="e">
        <f>VLOOKUP(Charms!J3084,Values!$A$11:$S$59,19,0)&gt;=Charms!L3084</f>
        <v>#N/A</v>
      </c>
      <c r="E3084" t="e">
        <f>OR(ISBLANK(Charms!I3084),(VLOOKUP(Values!$S$6,Castes!$B$2:$F$25,4,0)=Charms!I3084))</f>
        <v>#N/A</v>
      </c>
      <c r="J3084" t="e">
        <f t="shared" ca="1" si="241"/>
        <v>#N/A</v>
      </c>
      <c r="K3084" s="18" t="e">
        <f t="shared" ca="1" si="240"/>
        <v>#N/A</v>
      </c>
      <c r="L3084" t="e">
        <f ca="1">IF(J3084,Charms!B3084,"")</f>
        <v>#N/A</v>
      </c>
      <c r="M3084" t="str">
        <f t="shared" ca="1" si="242"/>
        <v>-</v>
      </c>
      <c r="N3084" s="18" t="str">
        <f t="shared" si="243"/>
        <v>K1622:L5000</v>
      </c>
      <c r="O3084" t="str">
        <f t="shared" si="244"/>
        <v>A1622:A3084</v>
      </c>
    </row>
    <row r="3085" spans="1:15">
      <c r="A3085" s="18">
        <f>Charms!K3085</f>
        <v>0</v>
      </c>
      <c r="B3085">
        <f>Charms!B3085</f>
        <v>0</v>
      </c>
      <c r="C3085" t="b">
        <f ca="1">OR(Values!$S$98&gt;=Charms!M3085,IFERROR(Charms!J3085=OFFSET(Values!$A$24,MATCH("S",Values!$T$25:$T$50,0),0),FALSE))</f>
        <v>1</v>
      </c>
      <c r="D3085" t="e">
        <f>VLOOKUP(Charms!J3085,Values!$A$11:$S$59,19,0)&gt;=Charms!L3085</f>
        <v>#N/A</v>
      </c>
      <c r="E3085" t="e">
        <f>OR(ISBLANK(Charms!I3085),(VLOOKUP(Values!$S$6,Castes!$B$2:$F$25,4,0)=Charms!I3085))</f>
        <v>#N/A</v>
      </c>
      <c r="J3085" t="e">
        <f t="shared" ca="1" si="241"/>
        <v>#N/A</v>
      </c>
      <c r="K3085" s="18" t="e">
        <f t="shared" ca="1" si="240"/>
        <v>#N/A</v>
      </c>
      <c r="L3085" t="e">
        <f ca="1">IF(J3085,Charms!B3085,"")</f>
        <v>#N/A</v>
      </c>
      <c r="M3085" t="str">
        <f t="shared" ca="1" si="242"/>
        <v>-</v>
      </c>
      <c r="N3085" s="18" t="str">
        <f t="shared" si="243"/>
        <v>K1622:L5000</v>
      </c>
      <c r="O3085" t="str">
        <f t="shared" si="244"/>
        <v>A1622:A3085</v>
      </c>
    </row>
    <row r="3086" spans="1:15">
      <c r="A3086" s="18">
        <f>Charms!K3086</f>
        <v>0</v>
      </c>
      <c r="B3086">
        <f>Charms!B3086</f>
        <v>0</v>
      </c>
      <c r="C3086" t="b">
        <f ca="1">OR(Values!$S$98&gt;=Charms!M3086,IFERROR(Charms!J3086=OFFSET(Values!$A$24,MATCH("S",Values!$T$25:$T$50,0),0),FALSE))</f>
        <v>1</v>
      </c>
      <c r="D3086" t="e">
        <f>VLOOKUP(Charms!J3086,Values!$A$11:$S$59,19,0)&gt;=Charms!L3086</f>
        <v>#N/A</v>
      </c>
      <c r="E3086" t="e">
        <f>OR(ISBLANK(Charms!I3086),(VLOOKUP(Values!$S$6,Castes!$B$2:$F$25,4,0)=Charms!I3086))</f>
        <v>#N/A</v>
      </c>
      <c r="J3086" t="e">
        <f t="shared" ca="1" si="241"/>
        <v>#N/A</v>
      </c>
      <c r="K3086" s="18" t="e">
        <f t="shared" ca="1" si="240"/>
        <v>#N/A</v>
      </c>
      <c r="L3086" t="e">
        <f ca="1">IF(J3086,Charms!B3086,"")</f>
        <v>#N/A</v>
      </c>
      <c r="M3086" t="str">
        <f t="shared" ca="1" si="242"/>
        <v>-</v>
      </c>
      <c r="N3086" s="18" t="str">
        <f t="shared" si="243"/>
        <v>K1622:L5000</v>
      </c>
      <c r="O3086" t="str">
        <f t="shared" si="244"/>
        <v>A1622:A3086</v>
      </c>
    </row>
    <row r="3087" spans="1:15">
      <c r="A3087" s="18">
        <f>Charms!K3087</f>
        <v>0</v>
      </c>
      <c r="B3087">
        <f>Charms!B3087</f>
        <v>0</v>
      </c>
      <c r="C3087" t="b">
        <f ca="1">OR(Values!$S$98&gt;=Charms!M3087,IFERROR(Charms!J3087=OFFSET(Values!$A$24,MATCH("S",Values!$T$25:$T$50,0),0),FALSE))</f>
        <v>1</v>
      </c>
      <c r="D3087" t="e">
        <f>VLOOKUP(Charms!J3087,Values!$A$11:$S$59,19,0)&gt;=Charms!L3087</f>
        <v>#N/A</v>
      </c>
      <c r="E3087" t="e">
        <f>OR(ISBLANK(Charms!I3087),(VLOOKUP(Values!$S$6,Castes!$B$2:$F$25,4,0)=Charms!I3087))</f>
        <v>#N/A</v>
      </c>
      <c r="J3087" t="e">
        <f t="shared" ca="1" si="241"/>
        <v>#N/A</v>
      </c>
      <c r="K3087" s="18" t="e">
        <f t="shared" ca="1" si="240"/>
        <v>#N/A</v>
      </c>
      <c r="L3087" t="e">
        <f ca="1">IF(J3087,Charms!B3087,"")</f>
        <v>#N/A</v>
      </c>
      <c r="M3087" t="str">
        <f t="shared" ca="1" si="242"/>
        <v>-</v>
      </c>
      <c r="N3087" s="18" t="str">
        <f t="shared" si="243"/>
        <v>K1622:L5000</v>
      </c>
      <c r="O3087" t="str">
        <f t="shared" si="244"/>
        <v>A1622:A3087</v>
      </c>
    </row>
    <row r="3088" spans="1:15">
      <c r="A3088" s="18">
        <f>Charms!K3088</f>
        <v>0</v>
      </c>
      <c r="B3088">
        <f>Charms!B3088</f>
        <v>0</v>
      </c>
      <c r="C3088" t="b">
        <f ca="1">OR(Values!$S$98&gt;=Charms!M3088,IFERROR(Charms!J3088=OFFSET(Values!$A$24,MATCH("S",Values!$T$25:$T$50,0),0),FALSE))</f>
        <v>1</v>
      </c>
      <c r="D3088" t="e">
        <f>VLOOKUP(Charms!J3088,Values!$A$11:$S$59,19,0)&gt;=Charms!L3088</f>
        <v>#N/A</v>
      </c>
      <c r="E3088" t="e">
        <f>OR(ISBLANK(Charms!I3088),(VLOOKUP(Values!$S$6,Castes!$B$2:$F$25,4,0)=Charms!I3088))</f>
        <v>#N/A</v>
      </c>
      <c r="J3088" t="e">
        <f t="shared" ca="1" si="241"/>
        <v>#N/A</v>
      </c>
      <c r="K3088" s="18" t="e">
        <f t="shared" ca="1" si="240"/>
        <v>#N/A</v>
      </c>
      <c r="L3088" t="e">
        <f ca="1">IF(J3088,Charms!B3088,"")</f>
        <v>#N/A</v>
      </c>
      <c r="M3088" t="str">
        <f t="shared" ca="1" si="242"/>
        <v>-</v>
      </c>
      <c r="N3088" s="18" t="str">
        <f t="shared" si="243"/>
        <v>K1622:L5000</v>
      </c>
      <c r="O3088" t="str">
        <f t="shared" si="244"/>
        <v>A1622:A3088</v>
      </c>
    </row>
    <row r="3089" spans="1:15">
      <c r="A3089" s="18">
        <f>Charms!K3089</f>
        <v>0</v>
      </c>
      <c r="B3089">
        <f>Charms!B3089</f>
        <v>0</v>
      </c>
      <c r="C3089" t="b">
        <f ca="1">OR(Values!$S$98&gt;=Charms!M3089,IFERROR(Charms!J3089=OFFSET(Values!$A$24,MATCH("S",Values!$T$25:$T$50,0),0),FALSE))</f>
        <v>1</v>
      </c>
      <c r="D3089" t="e">
        <f>VLOOKUP(Charms!J3089,Values!$A$11:$S$59,19,0)&gt;=Charms!L3089</f>
        <v>#N/A</v>
      </c>
      <c r="E3089" t="e">
        <f>OR(ISBLANK(Charms!I3089),(VLOOKUP(Values!$S$6,Castes!$B$2:$F$25,4,0)=Charms!I3089))</f>
        <v>#N/A</v>
      </c>
      <c r="J3089" t="e">
        <f t="shared" ca="1" si="241"/>
        <v>#N/A</v>
      </c>
      <c r="K3089" s="18" t="e">
        <f t="shared" ca="1" si="240"/>
        <v>#N/A</v>
      </c>
      <c r="L3089" t="e">
        <f ca="1">IF(J3089,Charms!B3089,"")</f>
        <v>#N/A</v>
      </c>
      <c r="M3089" t="str">
        <f t="shared" ca="1" si="242"/>
        <v>-</v>
      </c>
      <c r="N3089" s="18" t="str">
        <f t="shared" si="243"/>
        <v>K1622:L5000</v>
      </c>
      <c r="O3089" t="str">
        <f t="shared" si="244"/>
        <v>A1622:A3089</v>
      </c>
    </row>
    <row r="3090" spans="1:15">
      <c r="A3090" s="18">
        <f>Charms!K3090</f>
        <v>0</v>
      </c>
      <c r="B3090">
        <f>Charms!B3090</f>
        <v>0</v>
      </c>
      <c r="C3090" t="b">
        <f ca="1">OR(Values!$S$98&gt;=Charms!M3090,IFERROR(Charms!J3090=OFFSET(Values!$A$24,MATCH("S",Values!$T$25:$T$50,0),0),FALSE))</f>
        <v>1</v>
      </c>
      <c r="D3090" t="e">
        <f>VLOOKUP(Charms!J3090,Values!$A$11:$S$59,19,0)&gt;=Charms!L3090</f>
        <v>#N/A</v>
      </c>
      <c r="E3090" t="e">
        <f>OR(ISBLANK(Charms!I3090),(VLOOKUP(Values!$S$6,Castes!$B$2:$F$25,4,0)=Charms!I3090))</f>
        <v>#N/A</v>
      </c>
      <c r="J3090" t="e">
        <f t="shared" ca="1" si="241"/>
        <v>#N/A</v>
      </c>
      <c r="K3090" s="18" t="e">
        <f t="shared" ca="1" si="240"/>
        <v>#N/A</v>
      </c>
      <c r="L3090" t="e">
        <f ca="1">IF(J3090,Charms!B3090,"")</f>
        <v>#N/A</v>
      </c>
      <c r="M3090" t="str">
        <f t="shared" ca="1" si="242"/>
        <v>-</v>
      </c>
      <c r="N3090" s="18" t="str">
        <f t="shared" si="243"/>
        <v>K1622:L5000</v>
      </c>
      <c r="O3090" t="str">
        <f t="shared" si="244"/>
        <v>A1622:A3090</v>
      </c>
    </row>
    <row r="3091" spans="1:15">
      <c r="A3091" s="18">
        <f>Charms!K3091</f>
        <v>0</v>
      </c>
      <c r="B3091">
        <f>Charms!B3091</f>
        <v>0</v>
      </c>
      <c r="C3091" t="b">
        <f ca="1">OR(Values!$S$98&gt;=Charms!M3091,IFERROR(Charms!J3091=OFFSET(Values!$A$24,MATCH("S",Values!$T$25:$T$50,0),0),FALSE))</f>
        <v>1</v>
      </c>
      <c r="D3091" t="e">
        <f>VLOOKUP(Charms!J3091,Values!$A$11:$S$59,19,0)&gt;=Charms!L3091</f>
        <v>#N/A</v>
      </c>
      <c r="E3091" t="e">
        <f>OR(ISBLANK(Charms!I3091),(VLOOKUP(Values!$S$6,Castes!$B$2:$F$25,4,0)=Charms!I3091))</f>
        <v>#N/A</v>
      </c>
      <c r="J3091" t="e">
        <f t="shared" ca="1" si="241"/>
        <v>#N/A</v>
      </c>
      <c r="K3091" s="18" t="e">
        <f t="shared" ca="1" si="240"/>
        <v>#N/A</v>
      </c>
      <c r="L3091" t="e">
        <f ca="1">IF(J3091,Charms!B3091,"")</f>
        <v>#N/A</v>
      </c>
      <c r="M3091" t="str">
        <f t="shared" ca="1" si="242"/>
        <v>-</v>
      </c>
      <c r="N3091" s="18" t="str">
        <f t="shared" si="243"/>
        <v>K1622:L5000</v>
      </c>
      <c r="O3091" t="str">
        <f t="shared" si="244"/>
        <v>A1622:A3091</v>
      </c>
    </row>
    <row r="3092" spans="1:15">
      <c r="A3092" s="18">
        <f>Charms!K3092</f>
        <v>0</v>
      </c>
      <c r="B3092">
        <f>Charms!B3092</f>
        <v>0</v>
      </c>
      <c r="C3092" t="b">
        <f ca="1">OR(Values!$S$98&gt;=Charms!M3092,IFERROR(Charms!J3092=OFFSET(Values!$A$24,MATCH("S",Values!$T$25:$T$50,0),0),FALSE))</f>
        <v>1</v>
      </c>
      <c r="D3092" t="e">
        <f>VLOOKUP(Charms!J3092,Values!$A$11:$S$59,19,0)&gt;=Charms!L3092</f>
        <v>#N/A</v>
      </c>
      <c r="E3092" t="e">
        <f>OR(ISBLANK(Charms!I3092),(VLOOKUP(Values!$S$6,Castes!$B$2:$F$25,4,0)=Charms!I3092))</f>
        <v>#N/A</v>
      </c>
      <c r="J3092" t="e">
        <f t="shared" ca="1" si="241"/>
        <v>#N/A</v>
      </c>
      <c r="K3092" s="18" t="e">
        <f t="shared" ca="1" si="240"/>
        <v>#N/A</v>
      </c>
      <c r="L3092" t="e">
        <f ca="1">IF(J3092,Charms!B3092,"")</f>
        <v>#N/A</v>
      </c>
      <c r="M3092" t="str">
        <f t="shared" ca="1" si="242"/>
        <v>-</v>
      </c>
      <c r="N3092" s="18" t="str">
        <f t="shared" si="243"/>
        <v>K1622:L5000</v>
      </c>
      <c r="O3092" t="str">
        <f t="shared" si="244"/>
        <v>A1622:A3092</v>
      </c>
    </row>
    <row r="3093" spans="1:15">
      <c r="A3093" s="18">
        <f>Charms!K3093</f>
        <v>0</v>
      </c>
      <c r="B3093">
        <f>Charms!B3093</f>
        <v>0</v>
      </c>
      <c r="C3093" t="b">
        <f ca="1">OR(Values!$S$98&gt;=Charms!M3093,IFERROR(Charms!J3093=OFFSET(Values!$A$24,MATCH("S",Values!$T$25:$T$50,0),0),FALSE))</f>
        <v>1</v>
      </c>
      <c r="D3093" t="e">
        <f>VLOOKUP(Charms!J3093,Values!$A$11:$S$59,19,0)&gt;=Charms!L3093</f>
        <v>#N/A</v>
      </c>
      <c r="E3093" t="e">
        <f>OR(ISBLANK(Charms!I3093),(VLOOKUP(Values!$S$6,Castes!$B$2:$F$25,4,0)=Charms!I3093))</f>
        <v>#N/A</v>
      </c>
      <c r="J3093" t="e">
        <f t="shared" ca="1" si="241"/>
        <v>#N/A</v>
      </c>
      <c r="K3093" s="18" t="e">
        <f t="shared" ca="1" si="240"/>
        <v>#N/A</v>
      </c>
      <c r="L3093" t="e">
        <f ca="1">IF(J3093,Charms!B3093,"")</f>
        <v>#N/A</v>
      </c>
      <c r="M3093" t="str">
        <f t="shared" ca="1" si="242"/>
        <v>-</v>
      </c>
      <c r="N3093" s="18" t="str">
        <f t="shared" si="243"/>
        <v>K1622:L5000</v>
      </c>
      <c r="O3093" t="str">
        <f t="shared" si="244"/>
        <v>A1622:A3093</v>
      </c>
    </row>
    <row r="3094" spans="1:15">
      <c r="A3094" s="18">
        <f>Charms!K3094</f>
        <v>0</v>
      </c>
      <c r="B3094">
        <f>Charms!B3094</f>
        <v>0</v>
      </c>
      <c r="C3094" t="b">
        <f ca="1">OR(Values!$S$98&gt;=Charms!M3094,IFERROR(Charms!J3094=OFFSET(Values!$A$24,MATCH("S",Values!$T$25:$T$50,0),0),FALSE))</f>
        <v>1</v>
      </c>
      <c r="D3094" t="e">
        <f>VLOOKUP(Charms!J3094,Values!$A$11:$S$59,19,0)&gt;=Charms!L3094</f>
        <v>#N/A</v>
      </c>
      <c r="E3094" t="e">
        <f>OR(ISBLANK(Charms!I3094),(VLOOKUP(Values!$S$6,Castes!$B$2:$F$25,4,0)=Charms!I3094))</f>
        <v>#N/A</v>
      </c>
      <c r="J3094" t="e">
        <f t="shared" ca="1" si="241"/>
        <v>#N/A</v>
      </c>
      <c r="K3094" s="18" t="e">
        <f t="shared" ca="1" si="240"/>
        <v>#N/A</v>
      </c>
      <c r="L3094" t="e">
        <f ca="1">IF(J3094,Charms!B3094,"")</f>
        <v>#N/A</v>
      </c>
      <c r="M3094" t="str">
        <f t="shared" ca="1" si="242"/>
        <v>-</v>
      </c>
      <c r="N3094" s="18" t="str">
        <f t="shared" si="243"/>
        <v>K1622:L5000</v>
      </c>
      <c r="O3094" t="str">
        <f t="shared" si="244"/>
        <v>A1622:A3094</v>
      </c>
    </row>
    <row r="3095" spans="1:15">
      <c r="A3095" s="18">
        <f>Charms!K3095</f>
        <v>0</v>
      </c>
      <c r="B3095">
        <f>Charms!B3095</f>
        <v>0</v>
      </c>
      <c r="C3095" t="b">
        <f ca="1">OR(Values!$S$98&gt;=Charms!M3095,IFERROR(Charms!J3095=OFFSET(Values!$A$24,MATCH("S",Values!$T$25:$T$50,0),0),FALSE))</f>
        <v>1</v>
      </c>
      <c r="D3095" t="e">
        <f>VLOOKUP(Charms!J3095,Values!$A$11:$S$59,19,0)&gt;=Charms!L3095</f>
        <v>#N/A</v>
      </c>
      <c r="E3095" t="e">
        <f>OR(ISBLANK(Charms!I3095),(VLOOKUP(Values!$S$6,Castes!$B$2:$F$25,4,0)=Charms!I3095))</f>
        <v>#N/A</v>
      </c>
      <c r="J3095" t="e">
        <f t="shared" ca="1" si="241"/>
        <v>#N/A</v>
      </c>
      <c r="K3095" s="18" t="e">
        <f t="shared" ca="1" si="240"/>
        <v>#N/A</v>
      </c>
      <c r="L3095" t="e">
        <f ca="1">IF(J3095,Charms!B3095,"")</f>
        <v>#N/A</v>
      </c>
      <c r="M3095" t="str">
        <f t="shared" ca="1" si="242"/>
        <v>-</v>
      </c>
      <c r="N3095" s="18" t="str">
        <f t="shared" si="243"/>
        <v>K1622:L5000</v>
      </c>
      <c r="O3095" t="str">
        <f t="shared" si="244"/>
        <v>A1622:A3095</v>
      </c>
    </row>
    <row r="3096" spans="1:15">
      <c r="A3096" s="18">
        <f>Charms!K3096</f>
        <v>0</v>
      </c>
      <c r="B3096">
        <f>Charms!B3096</f>
        <v>0</v>
      </c>
      <c r="C3096" t="b">
        <f ca="1">OR(Values!$S$98&gt;=Charms!M3096,IFERROR(Charms!J3096=OFFSET(Values!$A$24,MATCH("S",Values!$T$25:$T$50,0),0),FALSE))</f>
        <v>1</v>
      </c>
      <c r="D3096" t="e">
        <f>VLOOKUP(Charms!J3096,Values!$A$11:$S$59,19,0)&gt;=Charms!L3096</f>
        <v>#N/A</v>
      </c>
      <c r="E3096" t="e">
        <f>OR(ISBLANK(Charms!I3096),(VLOOKUP(Values!$S$6,Castes!$B$2:$F$25,4,0)=Charms!I3096))</f>
        <v>#N/A</v>
      </c>
      <c r="J3096" t="e">
        <f t="shared" ca="1" si="241"/>
        <v>#N/A</v>
      </c>
      <c r="K3096" s="18" t="e">
        <f t="shared" ca="1" si="240"/>
        <v>#N/A</v>
      </c>
      <c r="L3096" t="e">
        <f ca="1">IF(J3096,Charms!B3096,"")</f>
        <v>#N/A</v>
      </c>
      <c r="M3096" t="str">
        <f t="shared" ca="1" si="242"/>
        <v>-</v>
      </c>
      <c r="N3096" s="18" t="str">
        <f t="shared" si="243"/>
        <v>K1622:L5000</v>
      </c>
      <c r="O3096" t="str">
        <f t="shared" si="244"/>
        <v>A1622:A3096</v>
      </c>
    </row>
    <row r="3097" spans="1:15">
      <c r="A3097" s="18">
        <f>Charms!K3097</f>
        <v>0</v>
      </c>
      <c r="B3097">
        <f>Charms!B3097</f>
        <v>0</v>
      </c>
      <c r="C3097" t="b">
        <f ca="1">OR(Values!$S$98&gt;=Charms!M3097,IFERROR(Charms!J3097=OFFSET(Values!$A$24,MATCH("S",Values!$T$25:$T$50,0),0),FALSE))</f>
        <v>1</v>
      </c>
      <c r="D3097" t="e">
        <f>VLOOKUP(Charms!J3097,Values!$A$11:$S$59,19,0)&gt;=Charms!L3097</f>
        <v>#N/A</v>
      </c>
      <c r="E3097" t="e">
        <f>OR(ISBLANK(Charms!I3097),(VLOOKUP(Values!$S$6,Castes!$B$2:$F$25,4,0)=Charms!I3097))</f>
        <v>#N/A</v>
      </c>
      <c r="J3097" t="e">
        <f t="shared" ca="1" si="241"/>
        <v>#N/A</v>
      </c>
      <c r="K3097" s="18" t="e">
        <f t="shared" ca="1" si="240"/>
        <v>#N/A</v>
      </c>
      <c r="L3097" t="e">
        <f ca="1">IF(J3097,Charms!B3097,"")</f>
        <v>#N/A</v>
      </c>
      <c r="M3097" t="str">
        <f t="shared" ca="1" si="242"/>
        <v>-</v>
      </c>
      <c r="N3097" s="18" t="str">
        <f t="shared" si="243"/>
        <v>K1622:L5000</v>
      </c>
      <c r="O3097" t="str">
        <f t="shared" si="244"/>
        <v>A1622:A3097</v>
      </c>
    </row>
    <row r="3098" spans="1:15">
      <c r="A3098" s="18">
        <f>Charms!K3098</f>
        <v>0</v>
      </c>
      <c r="B3098">
        <f>Charms!B3098</f>
        <v>0</v>
      </c>
      <c r="C3098" t="b">
        <f ca="1">OR(Values!$S$98&gt;=Charms!M3098,IFERROR(Charms!J3098=OFFSET(Values!$A$24,MATCH("S",Values!$T$25:$T$50,0),0),FALSE))</f>
        <v>1</v>
      </c>
      <c r="D3098" t="e">
        <f>VLOOKUP(Charms!J3098,Values!$A$11:$S$59,19,0)&gt;=Charms!L3098</f>
        <v>#N/A</v>
      </c>
      <c r="E3098" t="e">
        <f>OR(ISBLANK(Charms!I3098),(VLOOKUP(Values!$S$6,Castes!$B$2:$F$25,4,0)=Charms!I3098))</f>
        <v>#N/A</v>
      </c>
      <c r="J3098" t="e">
        <f t="shared" ca="1" si="241"/>
        <v>#N/A</v>
      </c>
      <c r="K3098" s="18" t="e">
        <f t="shared" ca="1" si="240"/>
        <v>#N/A</v>
      </c>
      <c r="L3098" t="e">
        <f ca="1">IF(J3098,Charms!B3098,"")</f>
        <v>#N/A</v>
      </c>
      <c r="M3098" t="str">
        <f t="shared" ca="1" si="242"/>
        <v>-</v>
      </c>
      <c r="N3098" s="18" t="str">
        <f t="shared" si="243"/>
        <v>K1622:L5000</v>
      </c>
      <c r="O3098" t="str">
        <f t="shared" si="244"/>
        <v>A1622:A3098</v>
      </c>
    </row>
    <row r="3099" spans="1:15">
      <c r="A3099" s="18">
        <f>Charms!K3099</f>
        <v>0</v>
      </c>
      <c r="B3099">
        <f>Charms!B3099</f>
        <v>0</v>
      </c>
      <c r="C3099" t="b">
        <f ca="1">OR(Values!$S$98&gt;=Charms!M3099,IFERROR(Charms!J3099=OFFSET(Values!$A$24,MATCH("S",Values!$T$25:$T$50,0),0),FALSE))</f>
        <v>1</v>
      </c>
      <c r="D3099" t="e">
        <f>VLOOKUP(Charms!J3099,Values!$A$11:$S$59,19,0)&gt;=Charms!L3099</f>
        <v>#N/A</v>
      </c>
      <c r="E3099" t="e">
        <f>OR(ISBLANK(Charms!I3099),(VLOOKUP(Values!$S$6,Castes!$B$2:$F$25,4,0)=Charms!I3099))</f>
        <v>#N/A</v>
      </c>
      <c r="J3099" t="e">
        <f t="shared" ca="1" si="241"/>
        <v>#N/A</v>
      </c>
      <c r="K3099" s="18" t="e">
        <f t="shared" ca="1" si="240"/>
        <v>#N/A</v>
      </c>
      <c r="L3099" t="e">
        <f ca="1">IF(J3099,Charms!B3099,"")</f>
        <v>#N/A</v>
      </c>
      <c r="M3099" t="str">
        <f t="shared" ca="1" si="242"/>
        <v>-</v>
      </c>
      <c r="N3099" s="18" t="str">
        <f t="shared" si="243"/>
        <v>K1622:L5000</v>
      </c>
      <c r="O3099" t="str">
        <f t="shared" si="244"/>
        <v>A1622:A3099</v>
      </c>
    </row>
    <row r="3100" spans="1:15">
      <c r="A3100" s="18">
        <f>Charms!K3100</f>
        <v>0</v>
      </c>
      <c r="B3100">
        <f>Charms!B3100</f>
        <v>0</v>
      </c>
      <c r="C3100" t="b">
        <f ca="1">OR(Values!$S$98&gt;=Charms!M3100,IFERROR(Charms!J3100=OFFSET(Values!$A$24,MATCH("S",Values!$T$25:$T$50,0),0),FALSE))</f>
        <v>1</v>
      </c>
      <c r="D3100" t="e">
        <f>VLOOKUP(Charms!J3100,Values!$A$11:$S$59,19,0)&gt;=Charms!L3100</f>
        <v>#N/A</v>
      </c>
      <c r="E3100" t="e">
        <f>OR(ISBLANK(Charms!I3100),(VLOOKUP(Values!$S$6,Castes!$B$2:$F$25,4,0)=Charms!I3100))</f>
        <v>#N/A</v>
      </c>
      <c r="J3100" t="e">
        <f t="shared" ca="1" si="241"/>
        <v>#N/A</v>
      </c>
      <c r="K3100" s="18" t="e">
        <f t="shared" ca="1" si="240"/>
        <v>#N/A</v>
      </c>
      <c r="L3100" t="e">
        <f ca="1">IF(J3100,Charms!B3100,"")</f>
        <v>#N/A</v>
      </c>
      <c r="M3100" t="str">
        <f t="shared" ca="1" si="242"/>
        <v>-</v>
      </c>
      <c r="N3100" s="18" t="str">
        <f t="shared" si="243"/>
        <v>K1622:L5000</v>
      </c>
      <c r="O3100" t="str">
        <f t="shared" si="244"/>
        <v>A1622:A3100</v>
      </c>
    </row>
    <row r="3101" spans="1:15">
      <c r="A3101" s="18">
        <f>Charms!K3101</f>
        <v>0</v>
      </c>
      <c r="B3101">
        <f>Charms!B3101</f>
        <v>0</v>
      </c>
      <c r="C3101" t="b">
        <f ca="1">OR(Values!$S$98&gt;=Charms!M3101,IFERROR(Charms!J3101=OFFSET(Values!$A$24,MATCH("S",Values!$T$25:$T$50,0),0),FALSE))</f>
        <v>1</v>
      </c>
      <c r="D3101" t="e">
        <f>VLOOKUP(Charms!J3101,Values!$A$11:$S$59,19,0)&gt;=Charms!L3101</f>
        <v>#N/A</v>
      </c>
      <c r="E3101" t="e">
        <f>OR(ISBLANK(Charms!I3101),(VLOOKUP(Values!$S$6,Castes!$B$2:$F$25,4,0)=Charms!I3101))</f>
        <v>#N/A</v>
      </c>
      <c r="J3101" t="e">
        <f t="shared" ca="1" si="241"/>
        <v>#N/A</v>
      </c>
      <c r="K3101" s="18" t="e">
        <f t="shared" ca="1" si="240"/>
        <v>#N/A</v>
      </c>
      <c r="L3101" t="e">
        <f ca="1">IF(J3101,Charms!B3101,"")</f>
        <v>#N/A</v>
      </c>
      <c r="M3101" t="str">
        <f t="shared" ca="1" si="242"/>
        <v>-</v>
      </c>
      <c r="N3101" s="18" t="str">
        <f t="shared" si="243"/>
        <v>K1622:L5000</v>
      </c>
      <c r="O3101" t="str">
        <f t="shared" si="244"/>
        <v>A1622:A3101</v>
      </c>
    </row>
    <row r="3102" spans="1:15">
      <c r="A3102" s="18">
        <f>Charms!K3102</f>
        <v>0</v>
      </c>
      <c r="B3102">
        <f>Charms!B3102</f>
        <v>0</v>
      </c>
      <c r="C3102" t="b">
        <f ca="1">OR(Values!$S$98&gt;=Charms!M3102,IFERROR(Charms!J3102=OFFSET(Values!$A$24,MATCH("S",Values!$T$25:$T$50,0),0),FALSE))</f>
        <v>1</v>
      </c>
      <c r="D3102" t="e">
        <f>VLOOKUP(Charms!J3102,Values!$A$11:$S$59,19,0)&gt;=Charms!L3102</f>
        <v>#N/A</v>
      </c>
      <c r="E3102" t="e">
        <f>OR(ISBLANK(Charms!I3102),(VLOOKUP(Values!$S$6,Castes!$B$2:$F$25,4,0)=Charms!I3102))</f>
        <v>#N/A</v>
      </c>
      <c r="J3102" t="e">
        <f t="shared" ca="1" si="241"/>
        <v>#N/A</v>
      </c>
      <c r="K3102" s="18" t="e">
        <f t="shared" ca="1" si="240"/>
        <v>#N/A</v>
      </c>
      <c r="L3102" t="e">
        <f ca="1">IF(J3102,Charms!B3102,"")</f>
        <v>#N/A</v>
      </c>
      <c r="M3102" t="str">
        <f t="shared" ca="1" si="242"/>
        <v>-</v>
      </c>
      <c r="N3102" s="18" t="str">
        <f t="shared" si="243"/>
        <v>K1622:L5000</v>
      </c>
      <c r="O3102" t="str">
        <f t="shared" si="244"/>
        <v>A1622:A3102</v>
      </c>
    </row>
    <row r="3103" spans="1:15">
      <c r="A3103" s="18">
        <f>Charms!K3103</f>
        <v>0</v>
      </c>
      <c r="B3103">
        <f>Charms!B3103</f>
        <v>0</v>
      </c>
      <c r="C3103" t="b">
        <f ca="1">OR(Values!$S$98&gt;=Charms!M3103,IFERROR(Charms!J3103=OFFSET(Values!$A$24,MATCH("S",Values!$T$25:$T$50,0),0),FALSE))</f>
        <v>1</v>
      </c>
      <c r="D3103" t="e">
        <f>VLOOKUP(Charms!J3103,Values!$A$11:$S$59,19,0)&gt;=Charms!L3103</f>
        <v>#N/A</v>
      </c>
      <c r="E3103" t="e">
        <f>OR(ISBLANK(Charms!I3103),(VLOOKUP(Values!$S$6,Castes!$B$2:$F$25,4,0)=Charms!I3103))</f>
        <v>#N/A</v>
      </c>
      <c r="J3103" t="e">
        <f t="shared" ca="1" si="241"/>
        <v>#N/A</v>
      </c>
      <c r="K3103" s="18" t="e">
        <f t="shared" ca="1" si="240"/>
        <v>#N/A</v>
      </c>
      <c r="L3103" t="e">
        <f ca="1">IF(J3103,Charms!B3103,"")</f>
        <v>#N/A</v>
      </c>
      <c r="M3103" t="str">
        <f t="shared" ca="1" si="242"/>
        <v>-</v>
      </c>
      <c r="N3103" s="18" t="str">
        <f t="shared" si="243"/>
        <v>K1622:L5000</v>
      </c>
      <c r="O3103" t="str">
        <f t="shared" si="244"/>
        <v>A1622:A3103</v>
      </c>
    </row>
    <row r="3104" spans="1:15">
      <c r="A3104" s="18">
        <f>Charms!K3104</f>
        <v>0</v>
      </c>
      <c r="B3104">
        <f>Charms!B3104</f>
        <v>0</v>
      </c>
      <c r="C3104" t="b">
        <f ca="1">OR(Values!$S$98&gt;=Charms!M3104,IFERROR(Charms!J3104=OFFSET(Values!$A$24,MATCH("S",Values!$T$25:$T$50,0),0),FALSE))</f>
        <v>1</v>
      </c>
      <c r="D3104" t="e">
        <f>VLOOKUP(Charms!J3104,Values!$A$11:$S$59,19,0)&gt;=Charms!L3104</f>
        <v>#N/A</v>
      </c>
      <c r="E3104" t="e">
        <f>OR(ISBLANK(Charms!I3104),(VLOOKUP(Values!$S$6,Castes!$B$2:$F$25,4,0)=Charms!I3104))</f>
        <v>#N/A</v>
      </c>
      <c r="J3104" t="e">
        <f t="shared" ca="1" si="241"/>
        <v>#N/A</v>
      </c>
      <c r="K3104" s="18" t="e">
        <f t="shared" ca="1" si="240"/>
        <v>#N/A</v>
      </c>
      <c r="L3104" t="e">
        <f ca="1">IF(J3104,Charms!B3104,"")</f>
        <v>#N/A</v>
      </c>
      <c r="M3104" t="str">
        <f t="shared" ca="1" si="242"/>
        <v>-</v>
      </c>
      <c r="N3104" s="18" t="str">
        <f t="shared" si="243"/>
        <v>K1622:L5000</v>
      </c>
      <c r="O3104" t="str">
        <f t="shared" si="244"/>
        <v>A1622:A3104</v>
      </c>
    </row>
    <row r="3105" spans="1:15">
      <c r="A3105" s="18">
        <f>Charms!K3105</f>
        <v>0</v>
      </c>
      <c r="B3105">
        <f>Charms!B3105</f>
        <v>0</v>
      </c>
      <c r="C3105" t="b">
        <f ca="1">OR(Values!$S$98&gt;=Charms!M3105,IFERROR(Charms!J3105=OFFSET(Values!$A$24,MATCH("S",Values!$T$25:$T$50,0),0),FALSE))</f>
        <v>1</v>
      </c>
      <c r="D3105" t="e">
        <f>VLOOKUP(Charms!J3105,Values!$A$11:$S$59,19,0)&gt;=Charms!L3105</f>
        <v>#N/A</v>
      </c>
      <c r="E3105" t="e">
        <f>OR(ISBLANK(Charms!I3105),(VLOOKUP(Values!$S$6,Castes!$B$2:$F$25,4,0)=Charms!I3105))</f>
        <v>#N/A</v>
      </c>
      <c r="J3105" t="e">
        <f t="shared" ca="1" si="241"/>
        <v>#N/A</v>
      </c>
      <c r="K3105" s="18" t="e">
        <f t="shared" ca="1" si="240"/>
        <v>#N/A</v>
      </c>
      <c r="L3105" t="e">
        <f ca="1">IF(J3105,Charms!B3105,"")</f>
        <v>#N/A</v>
      </c>
      <c r="M3105" t="str">
        <f t="shared" ca="1" si="242"/>
        <v>-</v>
      </c>
      <c r="N3105" s="18" t="str">
        <f t="shared" si="243"/>
        <v>K1622:L5000</v>
      </c>
      <c r="O3105" t="str">
        <f t="shared" si="244"/>
        <v>A1622:A3105</v>
      </c>
    </row>
    <row r="3106" spans="1:15">
      <c r="A3106" s="18">
        <f>Charms!K3106</f>
        <v>0</v>
      </c>
      <c r="B3106">
        <f>Charms!B3106</f>
        <v>0</v>
      </c>
      <c r="C3106" t="b">
        <f ca="1">OR(Values!$S$98&gt;=Charms!M3106,IFERROR(Charms!J3106=OFFSET(Values!$A$24,MATCH("S",Values!$T$25:$T$50,0),0),FALSE))</f>
        <v>1</v>
      </c>
      <c r="D3106" t="e">
        <f>VLOOKUP(Charms!J3106,Values!$A$11:$S$59,19,0)&gt;=Charms!L3106</f>
        <v>#N/A</v>
      </c>
      <c r="E3106" t="e">
        <f>OR(ISBLANK(Charms!I3106),(VLOOKUP(Values!$S$6,Castes!$B$2:$F$25,4,0)=Charms!I3106))</f>
        <v>#N/A</v>
      </c>
      <c r="J3106" t="e">
        <f t="shared" ca="1" si="241"/>
        <v>#N/A</v>
      </c>
      <c r="K3106" s="18" t="e">
        <f t="shared" ca="1" si="240"/>
        <v>#N/A</v>
      </c>
      <c r="L3106" t="e">
        <f ca="1">IF(J3106,Charms!B3106,"")</f>
        <v>#N/A</v>
      </c>
      <c r="M3106" t="str">
        <f t="shared" ca="1" si="242"/>
        <v>-</v>
      </c>
      <c r="N3106" s="18" t="str">
        <f t="shared" si="243"/>
        <v>K1622:L5000</v>
      </c>
      <c r="O3106" t="str">
        <f t="shared" si="244"/>
        <v>A1622:A3106</v>
      </c>
    </row>
    <row r="3107" spans="1:15">
      <c r="A3107" s="18">
        <f>Charms!K3107</f>
        <v>0</v>
      </c>
      <c r="B3107">
        <f>Charms!B3107</f>
        <v>0</v>
      </c>
      <c r="C3107" t="b">
        <f ca="1">OR(Values!$S$98&gt;=Charms!M3107,IFERROR(Charms!J3107=OFFSET(Values!$A$24,MATCH("S",Values!$T$25:$T$50,0),0),FALSE))</f>
        <v>1</v>
      </c>
      <c r="D3107" t="e">
        <f>VLOOKUP(Charms!J3107,Values!$A$11:$S$59,19,0)&gt;=Charms!L3107</f>
        <v>#N/A</v>
      </c>
      <c r="E3107" t="e">
        <f>OR(ISBLANK(Charms!I3107),(VLOOKUP(Values!$S$6,Castes!$B$2:$F$25,4,0)=Charms!I3107))</f>
        <v>#N/A</v>
      </c>
      <c r="J3107" t="e">
        <f t="shared" ca="1" si="241"/>
        <v>#N/A</v>
      </c>
      <c r="K3107" s="18" t="e">
        <f t="shared" ca="1" si="240"/>
        <v>#N/A</v>
      </c>
      <c r="L3107" t="e">
        <f ca="1">IF(J3107,Charms!B3107,"")</f>
        <v>#N/A</v>
      </c>
      <c r="M3107" t="str">
        <f t="shared" ca="1" si="242"/>
        <v>-</v>
      </c>
      <c r="N3107" s="18" t="str">
        <f t="shared" si="243"/>
        <v>K1622:L5000</v>
      </c>
      <c r="O3107" t="str">
        <f t="shared" si="244"/>
        <v>A1622:A3107</v>
      </c>
    </row>
    <row r="3108" spans="1:15">
      <c r="A3108" s="18">
        <f>Charms!K3108</f>
        <v>0</v>
      </c>
      <c r="B3108">
        <f>Charms!B3108</f>
        <v>0</v>
      </c>
      <c r="C3108" t="b">
        <f ca="1">OR(Values!$S$98&gt;=Charms!M3108,IFERROR(Charms!J3108=OFFSET(Values!$A$24,MATCH("S",Values!$T$25:$T$50,0),0),FALSE))</f>
        <v>1</v>
      </c>
      <c r="D3108" t="e">
        <f>VLOOKUP(Charms!J3108,Values!$A$11:$S$59,19,0)&gt;=Charms!L3108</f>
        <v>#N/A</v>
      </c>
      <c r="E3108" t="e">
        <f>OR(ISBLANK(Charms!I3108),(VLOOKUP(Values!$S$6,Castes!$B$2:$F$25,4,0)=Charms!I3108))</f>
        <v>#N/A</v>
      </c>
      <c r="J3108" t="e">
        <f t="shared" ca="1" si="241"/>
        <v>#N/A</v>
      </c>
      <c r="K3108" s="18" t="e">
        <f t="shared" ca="1" si="240"/>
        <v>#N/A</v>
      </c>
      <c r="L3108" t="e">
        <f ca="1">IF(J3108,Charms!B3108,"")</f>
        <v>#N/A</v>
      </c>
      <c r="M3108" t="str">
        <f t="shared" ca="1" si="242"/>
        <v>-</v>
      </c>
      <c r="N3108" s="18" t="str">
        <f t="shared" si="243"/>
        <v>K1622:L5000</v>
      </c>
      <c r="O3108" t="str">
        <f t="shared" si="244"/>
        <v>A1622:A3108</v>
      </c>
    </row>
    <row r="3109" spans="1:15">
      <c r="A3109" s="18">
        <f>Charms!K3109</f>
        <v>0</v>
      </c>
      <c r="B3109">
        <f>Charms!B3109</f>
        <v>0</v>
      </c>
      <c r="C3109" t="b">
        <f ca="1">OR(Values!$S$98&gt;=Charms!M3109,IFERROR(Charms!J3109=OFFSET(Values!$A$24,MATCH("S",Values!$T$25:$T$50,0),0),FALSE))</f>
        <v>1</v>
      </c>
      <c r="D3109" t="e">
        <f>VLOOKUP(Charms!J3109,Values!$A$11:$S$59,19,0)&gt;=Charms!L3109</f>
        <v>#N/A</v>
      </c>
      <c r="E3109" t="e">
        <f>OR(ISBLANK(Charms!I3109),(VLOOKUP(Values!$S$6,Castes!$B$2:$F$25,4,0)=Charms!I3109))</f>
        <v>#N/A</v>
      </c>
      <c r="J3109" t="e">
        <f t="shared" ca="1" si="241"/>
        <v>#N/A</v>
      </c>
      <c r="K3109" s="18" t="e">
        <f t="shared" ca="1" si="240"/>
        <v>#N/A</v>
      </c>
      <c r="L3109" t="e">
        <f ca="1">IF(J3109,Charms!B3109,"")</f>
        <v>#N/A</v>
      </c>
      <c r="M3109" t="str">
        <f t="shared" ca="1" si="242"/>
        <v>-</v>
      </c>
      <c r="N3109" s="18" t="str">
        <f t="shared" si="243"/>
        <v>K1622:L5000</v>
      </c>
      <c r="O3109" t="str">
        <f t="shared" si="244"/>
        <v>A1622:A3109</v>
      </c>
    </row>
    <row r="3110" spans="1:15">
      <c r="A3110" s="18">
        <f>Charms!K3110</f>
        <v>0</v>
      </c>
      <c r="B3110">
        <f>Charms!B3110</f>
        <v>0</v>
      </c>
      <c r="C3110" t="b">
        <f ca="1">OR(Values!$S$98&gt;=Charms!M3110,IFERROR(Charms!J3110=OFFSET(Values!$A$24,MATCH("S",Values!$T$25:$T$50,0),0),FALSE))</f>
        <v>1</v>
      </c>
      <c r="D3110" t="e">
        <f>VLOOKUP(Charms!J3110,Values!$A$11:$S$59,19,0)&gt;=Charms!L3110</f>
        <v>#N/A</v>
      </c>
      <c r="E3110" t="e">
        <f>OR(ISBLANK(Charms!I3110),(VLOOKUP(Values!$S$6,Castes!$B$2:$F$25,4,0)=Charms!I3110))</f>
        <v>#N/A</v>
      </c>
      <c r="J3110" t="e">
        <f t="shared" ca="1" si="241"/>
        <v>#N/A</v>
      </c>
      <c r="K3110" s="18" t="e">
        <f t="shared" ca="1" si="240"/>
        <v>#N/A</v>
      </c>
      <c r="L3110" t="e">
        <f ca="1">IF(J3110,Charms!B3110,"")</f>
        <v>#N/A</v>
      </c>
      <c r="M3110" t="str">
        <f t="shared" ca="1" si="242"/>
        <v>-</v>
      </c>
      <c r="N3110" s="18" t="str">
        <f t="shared" si="243"/>
        <v>K1622:L5000</v>
      </c>
      <c r="O3110" t="str">
        <f t="shared" si="244"/>
        <v>A1622:A3110</v>
      </c>
    </row>
    <row r="3111" spans="1:15">
      <c r="A3111" s="18">
        <f>Charms!K3111</f>
        <v>0</v>
      </c>
      <c r="B3111">
        <f>Charms!B3111</f>
        <v>0</v>
      </c>
      <c r="C3111" t="b">
        <f ca="1">OR(Values!$S$98&gt;=Charms!M3111,IFERROR(Charms!J3111=OFFSET(Values!$A$24,MATCH("S",Values!$T$25:$T$50,0),0),FALSE))</f>
        <v>1</v>
      </c>
      <c r="D3111" t="e">
        <f>VLOOKUP(Charms!J3111,Values!$A$11:$S$59,19,0)&gt;=Charms!L3111</f>
        <v>#N/A</v>
      </c>
      <c r="E3111" t="e">
        <f>OR(ISBLANK(Charms!I3111),(VLOOKUP(Values!$S$6,Castes!$B$2:$F$25,4,0)=Charms!I3111))</f>
        <v>#N/A</v>
      </c>
      <c r="J3111" t="e">
        <f t="shared" ca="1" si="241"/>
        <v>#N/A</v>
      </c>
      <c r="K3111" s="18" t="e">
        <f t="shared" ca="1" si="240"/>
        <v>#N/A</v>
      </c>
      <c r="L3111" t="e">
        <f ca="1">IF(J3111,Charms!B3111,"")</f>
        <v>#N/A</v>
      </c>
      <c r="M3111" t="str">
        <f t="shared" ca="1" si="242"/>
        <v>-</v>
      </c>
      <c r="N3111" s="18" t="str">
        <f t="shared" si="243"/>
        <v>K1622:L5000</v>
      </c>
      <c r="O3111" t="str">
        <f t="shared" si="244"/>
        <v>A1622:A3111</v>
      </c>
    </row>
    <row r="3112" spans="1:15">
      <c r="A3112" s="18">
        <f>Charms!K3112</f>
        <v>0</v>
      </c>
      <c r="B3112">
        <f>Charms!B3112</f>
        <v>0</v>
      </c>
      <c r="C3112" t="b">
        <f ca="1">OR(Values!$S$98&gt;=Charms!M3112,IFERROR(Charms!J3112=OFFSET(Values!$A$24,MATCH("S",Values!$T$25:$T$50,0),0),FALSE))</f>
        <v>1</v>
      </c>
      <c r="D3112" t="e">
        <f>VLOOKUP(Charms!J3112,Values!$A$11:$S$59,19,0)&gt;=Charms!L3112</f>
        <v>#N/A</v>
      </c>
      <c r="E3112" t="e">
        <f>OR(ISBLANK(Charms!I3112),(VLOOKUP(Values!$S$6,Castes!$B$2:$F$25,4,0)=Charms!I3112))</f>
        <v>#N/A</v>
      </c>
      <c r="J3112" t="e">
        <f t="shared" ca="1" si="241"/>
        <v>#N/A</v>
      </c>
      <c r="K3112" s="18" t="e">
        <f t="shared" ca="1" si="240"/>
        <v>#N/A</v>
      </c>
      <c r="L3112" t="e">
        <f ca="1">IF(J3112,Charms!B3112,"")</f>
        <v>#N/A</v>
      </c>
      <c r="M3112" t="str">
        <f t="shared" ca="1" si="242"/>
        <v>-</v>
      </c>
      <c r="N3112" s="18" t="str">
        <f t="shared" si="243"/>
        <v>K1622:L5000</v>
      </c>
      <c r="O3112" t="str">
        <f t="shared" si="244"/>
        <v>A1622:A3112</v>
      </c>
    </row>
    <row r="3113" spans="1:15">
      <c r="A3113" s="18">
        <f>Charms!K3113</f>
        <v>0</v>
      </c>
      <c r="B3113">
        <f>Charms!B3113</f>
        <v>0</v>
      </c>
      <c r="C3113" t="b">
        <f ca="1">OR(Values!$S$98&gt;=Charms!M3113,IFERROR(Charms!J3113=OFFSET(Values!$A$24,MATCH("S",Values!$T$25:$T$50,0),0),FALSE))</f>
        <v>1</v>
      </c>
      <c r="D3113" t="e">
        <f>VLOOKUP(Charms!J3113,Values!$A$11:$S$59,19,0)&gt;=Charms!L3113</f>
        <v>#N/A</v>
      </c>
      <c r="E3113" t="e">
        <f>OR(ISBLANK(Charms!I3113),(VLOOKUP(Values!$S$6,Castes!$B$2:$F$25,4,0)=Charms!I3113))</f>
        <v>#N/A</v>
      </c>
      <c r="J3113" t="e">
        <f t="shared" ca="1" si="241"/>
        <v>#N/A</v>
      </c>
      <c r="K3113" s="18" t="e">
        <f t="shared" ca="1" si="240"/>
        <v>#N/A</v>
      </c>
      <c r="L3113" t="e">
        <f ca="1">IF(J3113,Charms!B3113,"")</f>
        <v>#N/A</v>
      </c>
      <c r="M3113" t="str">
        <f t="shared" ca="1" si="242"/>
        <v>-</v>
      </c>
      <c r="N3113" s="18" t="str">
        <f t="shared" si="243"/>
        <v>K1622:L5000</v>
      </c>
      <c r="O3113" t="str">
        <f t="shared" si="244"/>
        <v>A1622:A3113</v>
      </c>
    </row>
    <row r="3114" spans="1:15">
      <c r="A3114" s="18">
        <f>Charms!K3114</f>
        <v>0</v>
      </c>
      <c r="B3114">
        <f>Charms!B3114</f>
        <v>0</v>
      </c>
      <c r="C3114" t="b">
        <f ca="1">OR(Values!$S$98&gt;=Charms!M3114,IFERROR(Charms!J3114=OFFSET(Values!$A$24,MATCH("S",Values!$T$25:$T$50,0),0),FALSE))</f>
        <v>1</v>
      </c>
      <c r="D3114" t="e">
        <f>VLOOKUP(Charms!J3114,Values!$A$11:$S$59,19,0)&gt;=Charms!L3114</f>
        <v>#N/A</v>
      </c>
      <c r="E3114" t="e">
        <f>OR(ISBLANK(Charms!I3114),(VLOOKUP(Values!$S$6,Castes!$B$2:$F$25,4,0)=Charms!I3114))</f>
        <v>#N/A</v>
      </c>
      <c r="J3114" t="e">
        <f t="shared" ca="1" si="241"/>
        <v>#N/A</v>
      </c>
      <c r="K3114" s="18" t="e">
        <f t="shared" ca="1" si="240"/>
        <v>#N/A</v>
      </c>
      <c r="L3114" t="e">
        <f ca="1">IF(J3114,Charms!B3114,"")</f>
        <v>#N/A</v>
      </c>
      <c r="M3114" t="str">
        <f t="shared" ca="1" si="242"/>
        <v>-</v>
      </c>
      <c r="N3114" s="18" t="str">
        <f t="shared" si="243"/>
        <v>K1622:L5000</v>
      </c>
      <c r="O3114" t="str">
        <f t="shared" si="244"/>
        <v>A1622:A3114</v>
      </c>
    </row>
    <row r="3115" spans="1:15">
      <c r="A3115" s="18">
        <f>Charms!K3115</f>
        <v>0</v>
      </c>
      <c r="B3115">
        <f>Charms!B3115</f>
        <v>0</v>
      </c>
      <c r="C3115" t="b">
        <f ca="1">OR(Values!$S$98&gt;=Charms!M3115,IFERROR(Charms!J3115=OFFSET(Values!$A$24,MATCH("S",Values!$T$25:$T$50,0),0),FALSE))</f>
        <v>1</v>
      </c>
      <c r="D3115" t="e">
        <f>VLOOKUP(Charms!J3115,Values!$A$11:$S$59,19,0)&gt;=Charms!L3115</f>
        <v>#N/A</v>
      </c>
      <c r="E3115" t="e">
        <f>OR(ISBLANK(Charms!I3115),(VLOOKUP(Values!$S$6,Castes!$B$2:$F$25,4,0)=Charms!I3115))</f>
        <v>#N/A</v>
      </c>
      <c r="J3115" t="e">
        <f t="shared" ca="1" si="241"/>
        <v>#N/A</v>
      </c>
      <c r="K3115" s="18" t="e">
        <f t="shared" ca="1" si="240"/>
        <v>#N/A</v>
      </c>
      <c r="L3115" t="e">
        <f ca="1">IF(J3115,Charms!B3115,"")</f>
        <v>#N/A</v>
      </c>
      <c r="M3115" t="str">
        <f t="shared" ca="1" si="242"/>
        <v>-</v>
      </c>
      <c r="N3115" s="18" t="str">
        <f t="shared" si="243"/>
        <v>K1622:L5000</v>
      </c>
      <c r="O3115" t="str">
        <f t="shared" si="244"/>
        <v>A1622:A3115</v>
      </c>
    </row>
    <row r="3116" spans="1:15">
      <c r="A3116" s="18">
        <f>Charms!K3116</f>
        <v>0</v>
      </c>
      <c r="B3116">
        <f>Charms!B3116</f>
        <v>0</v>
      </c>
      <c r="C3116" t="b">
        <f ca="1">OR(Values!$S$98&gt;=Charms!M3116,IFERROR(Charms!J3116=OFFSET(Values!$A$24,MATCH("S",Values!$T$25:$T$50,0),0),FALSE))</f>
        <v>1</v>
      </c>
      <c r="D3116" t="e">
        <f>VLOOKUP(Charms!J3116,Values!$A$11:$S$59,19,0)&gt;=Charms!L3116</f>
        <v>#N/A</v>
      </c>
      <c r="E3116" t="e">
        <f>OR(ISBLANK(Charms!I3116),(VLOOKUP(Values!$S$6,Castes!$B$2:$F$25,4,0)=Charms!I3116))</f>
        <v>#N/A</v>
      </c>
      <c r="J3116" t="e">
        <f t="shared" ca="1" si="241"/>
        <v>#N/A</v>
      </c>
      <c r="K3116" s="18" t="e">
        <f t="shared" ca="1" si="240"/>
        <v>#N/A</v>
      </c>
      <c r="L3116" t="e">
        <f ca="1">IF(J3116,Charms!B3116,"")</f>
        <v>#N/A</v>
      </c>
      <c r="M3116" t="str">
        <f t="shared" ca="1" si="242"/>
        <v>-</v>
      </c>
      <c r="N3116" s="18" t="str">
        <f t="shared" si="243"/>
        <v>K1622:L5000</v>
      </c>
      <c r="O3116" t="str">
        <f t="shared" si="244"/>
        <v>A1622:A3116</v>
      </c>
    </row>
    <row r="3117" spans="1:15">
      <c r="A3117" s="18">
        <f>Charms!K3117</f>
        <v>0</v>
      </c>
      <c r="B3117">
        <f>Charms!B3117</f>
        <v>0</v>
      </c>
      <c r="C3117" t="b">
        <f ca="1">OR(Values!$S$98&gt;=Charms!M3117,IFERROR(Charms!J3117=OFFSET(Values!$A$24,MATCH("S",Values!$T$25:$T$50,0),0),FALSE))</f>
        <v>1</v>
      </c>
      <c r="D3117" t="e">
        <f>VLOOKUP(Charms!J3117,Values!$A$11:$S$59,19,0)&gt;=Charms!L3117</f>
        <v>#N/A</v>
      </c>
      <c r="E3117" t="e">
        <f>OR(ISBLANK(Charms!I3117),(VLOOKUP(Values!$S$6,Castes!$B$2:$F$25,4,0)=Charms!I3117))</f>
        <v>#N/A</v>
      </c>
      <c r="J3117" t="e">
        <f t="shared" ca="1" si="241"/>
        <v>#N/A</v>
      </c>
      <c r="K3117" s="18" t="e">
        <f t="shared" ca="1" si="240"/>
        <v>#N/A</v>
      </c>
      <c r="L3117" t="e">
        <f ca="1">IF(J3117,Charms!B3117,"")</f>
        <v>#N/A</v>
      </c>
      <c r="M3117" t="str">
        <f t="shared" ca="1" si="242"/>
        <v>-</v>
      </c>
      <c r="N3117" s="18" t="str">
        <f t="shared" si="243"/>
        <v>K1622:L5000</v>
      </c>
      <c r="O3117" t="str">
        <f t="shared" si="244"/>
        <v>A1622:A3117</v>
      </c>
    </row>
    <row r="3118" spans="1:15">
      <c r="A3118" s="18">
        <f>Charms!K3118</f>
        <v>0</v>
      </c>
      <c r="B3118">
        <f>Charms!B3118</f>
        <v>0</v>
      </c>
      <c r="C3118" t="b">
        <f ca="1">OR(Values!$S$98&gt;=Charms!M3118,IFERROR(Charms!J3118=OFFSET(Values!$A$24,MATCH("S",Values!$T$25:$T$50,0),0),FALSE))</f>
        <v>1</v>
      </c>
      <c r="D3118" t="e">
        <f>VLOOKUP(Charms!J3118,Values!$A$11:$S$59,19,0)&gt;=Charms!L3118</f>
        <v>#N/A</v>
      </c>
      <c r="E3118" t="e">
        <f>OR(ISBLANK(Charms!I3118),(VLOOKUP(Values!$S$6,Castes!$B$2:$F$25,4,0)=Charms!I3118))</f>
        <v>#N/A</v>
      </c>
      <c r="J3118" t="e">
        <f t="shared" ca="1" si="241"/>
        <v>#N/A</v>
      </c>
      <c r="K3118" s="18" t="e">
        <f t="shared" ca="1" si="240"/>
        <v>#N/A</v>
      </c>
      <c r="L3118" t="e">
        <f ca="1">IF(J3118,Charms!B3118,"")</f>
        <v>#N/A</v>
      </c>
      <c r="M3118" t="str">
        <f t="shared" ca="1" si="242"/>
        <v>-</v>
      </c>
      <c r="N3118" s="18" t="str">
        <f t="shared" si="243"/>
        <v>K1622:L5000</v>
      </c>
      <c r="O3118" t="str">
        <f t="shared" si="244"/>
        <v>A1622:A3118</v>
      </c>
    </row>
    <row r="3119" spans="1:15">
      <c r="A3119" s="18">
        <f>Charms!K3119</f>
        <v>0</v>
      </c>
      <c r="B3119">
        <f>Charms!B3119</f>
        <v>0</v>
      </c>
      <c r="C3119" t="b">
        <f ca="1">OR(Values!$S$98&gt;=Charms!M3119,IFERROR(Charms!J3119=OFFSET(Values!$A$24,MATCH("S",Values!$T$25:$T$50,0),0),FALSE))</f>
        <v>1</v>
      </c>
      <c r="D3119" t="e">
        <f>VLOOKUP(Charms!J3119,Values!$A$11:$S$59,19,0)&gt;=Charms!L3119</f>
        <v>#N/A</v>
      </c>
      <c r="E3119" t="e">
        <f>OR(ISBLANK(Charms!I3119),(VLOOKUP(Values!$S$6,Castes!$B$2:$F$25,4,0)=Charms!I3119))</f>
        <v>#N/A</v>
      </c>
      <c r="J3119" t="e">
        <f t="shared" ca="1" si="241"/>
        <v>#N/A</v>
      </c>
      <c r="K3119" s="18" t="e">
        <f t="shared" ca="1" si="240"/>
        <v>#N/A</v>
      </c>
      <c r="L3119" t="e">
        <f ca="1">IF(J3119,Charms!B3119,"")</f>
        <v>#N/A</v>
      </c>
      <c r="M3119" t="str">
        <f t="shared" ca="1" si="242"/>
        <v>-</v>
      </c>
      <c r="N3119" s="18" t="str">
        <f t="shared" si="243"/>
        <v>K1622:L5000</v>
      </c>
      <c r="O3119" t="str">
        <f t="shared" si="244"/>
        <v>A1622:A3119</v>
      </c>
    </row>
    <row r="3120" spans="1:15">
      <c r="A3120" s="18">
        <f>Charms!K3120</f>
        <v>0</v>
      </c>
      <c r="B3120">
        <f>Charms!B3120</f>
        <v>0</v>
      </c>
      <c r="C3120" t="b">
        <f ca="1">OR(Values!$S$98&gt;=Charms!M3120,IFERROR(Charms!J3120=OFFSET(Values!$A$24,MATCH("S",Values!$T$25:$T$50,0),0),FALSE))</f>
        <v>1</v>
      </c>
      <c r="D3120" t="e">
        <f>VLOOKUP(Charms!J3120,Values!$A$11:$S$59,19,0)&gt;=Charms!L3120</f>
        <v>#N/A</v>
      </c>
      <c r="E3120" t="e">
        <f>OR(ISBLANK(Charms!I3120),(VLOOKUP(Values!$S$6,Castes!$B$2:$F$25,4,0)=Charms!I3120))</f>
        <v>#N/A</v>
      </c>
      <c r="J3120" t="e">
        <f t="shared" ca="1" si="241"/>
        <v>#N/A</v>
      </c>
      <c r="K3120" s="18" t="e">
        <f t="shared" ca="1" si="240"/>
        <v>#N/A</v>
      </c>
      <c r="L3120" t="e">
        <f ca="1">IF(J3120,Charms!B3120,"")</f>
        <v>#N/A</v>
      </c>
      <c r="M3120" t="str">
        <f t="shared" ca="1" si="242"/>
        <v>-</v>
      </c>
      <c r="N3120" s="18" t="str">
        <f t="shared" si="243"/>
        <v>K1622:L5000</v>
      </c>
      <c r="O3120" t="str">
        <f t="shared" si="244"/>
        <v>A1622:A3120</v>
      </c>
    </row>
    <row r="3121" spans="1:15">
      <c r="A3121" s="18">
        <f>Charms!K3121</f>
        <v>0</v>
      </c>
      <c r="B3121">
        <f>Charms!B3121</f>
        <v>0</v>
      </c>
      <c r="C3121" t="b">
        <f ca="1">OR(Values!$S$98&gt;=Charms!M3121,IFERROR(Charms!J3121=OFFSET(Values!$A$24,MATCH("S",Values!$T$25:$T$50,0),0),FALSE))</f>
        <v>1</v>
      </c>
      <c r="D3121" t="e">
        <f>VLOOKUP(Charms!J3121,Values!$A$11:$S$59,19,0)&gt;=Charms!L3121</f>
        <v>#N/A</v>
      </c>
      <c r="E3121" t="e">
        <f>OR(ISBLANK(Charms!I3121),(VLOOKUP(Values!$S$6,Castes!$B$2:$F$25,4,0)=Charms!I3121))</f>
        <v>#N/A</v>
      </c>
      <c r="J3121" t="e">
        <f t="shared" ca="1" si="241"/>
        <v>#N/A</v>
      </c>
      <c r="K3121" s="18" t="e">
        <f t="shared" ca="1" si="240"/>
        <v>#N/A</v>
      </c>
      <c r="L3121" t="e">
        <f ca="1">IF(J3121,Charms!B3121,"")</f>
        <v>#N/A</v>
      </c>
      <c r="M3121" t="str">
        <f t="shared" ca="1" si="242"/>
        <v>-</v>
      </c>
      <c r="N3121" s="18" t="str">
        <f t="shared" si="243"/>
        <v>K1622:L5000</v>
      </c>
      <c r="O3121" t="str">
        <f t="shared" si="244"/>
        <v>A1622:A3121</v>
      </c>
    </row>
    <row r="3122" spans="1:15">
      <c r="A3122" s="18">
        <f>Charms!K3122</f>
        <v>0</v>
      </c>
      <c r="B3122">
        <f>Charms!B3122</f>
        <v>0</v>
      </c>
      <c r="C3122" t="b">
        <f ca="1">OR(Values!$S$98&gt;=Charms!M3122,IFERROR(Charms!J3122=OFFSET(Values!$A$24,MATCH("S",Values!$T$25:$T$50,0),0),FALSE))</f>
        <v>1</v>
      </c>
      <c r="D3122" t="e">
        <f>VLOOKUP(Charms!J3122,Values!$A$11:$S$59,19,0)&gt;=Charms!L3122</f>
        <v>#N/A</v>
      </c>
      <c r="E3122" t="e">
        <f>OR(ISBLANK(Charms!I3122),(VLOOKUP(Values!$S$6,Castes!$B$2:$F$25,4,0)=Charms!I3122))</f>
        <v>#N/A</v>
      </c>
      <c r="J3122" t="e">
        <f t="shared" ca="1" si="241"/>
        <v>#N/A</v>
      </c>
      <c r="K3122" s="18" t="e">
        <f t="shared" ca="1" si="240"/>
        <v>#N/A</v>
      </c>
      <c r="L3122" t="e">
        <f ca="1">IF(J3122,Charms!B3122,"")</f>
        <v>#N/A</v>
      </c>
      <c r="M3122" t="str">
        <f t="shared" ca="1" si="242"/>
        <v>-</v>
      </c>
      <c r="N3122" s="18" t="str">
        <f t="shared" si="243"/>
        <v>K1622:L5000</v>
      </c>
      <c r="O3122" t="str">
        <f t="shared" si="244"/>
        <v>A1622:A3122</v>
      </c>
    </row>
    <row r="3123" spans="1:15">
      <c r="A3123" s="18">
        <f>Charms!K3123</f>
        <v>0</v>
      </c>
      <c r="B3123">
        <f>Charms!B3123</f>
        <v>0</v>
      </c>
      <c r="C3123" t="b">
        <f ca="1">OR(Values!$S$98&gt;=Charms!M3123,IFERROR(Charms!J3123=OFFSET(Values!$A$24,MATCH("S",Values!$T$25:$T$50,0),0),FALSE))</f>
        <v>1</v>
      </c>
      <c r="D3123" t="e">
        <f>VLOOKUP(Charms!J3123,Values!$A$11:$S$59,19,0)&gt;=Charms!L3123</f>
        <v>#N/A</v>
      </c>
      <c r="E3123" t="e">
        <f>OR(ISBLANK(Charms!I3123),(VLOOKUP(Values!$S$6,Castes!$B$2:$F$25,4,0)=Charms!I3123))</f>
        <v>#N/A</v>
      </c>
      <c r="J3123" t="e">
        <f t="shared" ca="1" si="241"/>
        <v>#N/A</v>
      </c>
      <c r="K3123" s="18" t="e">
        <f t="shared" ca="1" si="240"/>
        <v>#N/A</v>
      </c>
      <c r="L3123" t="e">
        <f ca="1">IF(J3123,Charms!B3123,"")</f>
        <v>#N/A</v>
      </c>
      <c r="M3123" t="str">
        <f t="shared" ca="1" si="242"/>
        <v>-</v>
      </c>
      <c r="N3123" s="18" t="str">
        <f t="shared" si="243"/>
        <v>K1622:L5000</v>
      </c>
      <c r="O3123" t="str">
        <f t="shared" si="244"/>
        <v>A1622:A3123</v>
      </c>
    </row>
    <row r="3124" spans="1:15">
      <c r="A3124" s="18">
        <f>Charms!K3124</f>
        <v>0</v>
      </c>
      <c r="B3124">
        <f>Charms!B3124</f>
        <v>0</v>
      </c>
      <c r="C3124" t="b">
        <f ca="1">OR(Values!$S$98&gt;=Charms!M3124,IFERROR(Charms!J3124=OFFSET(Values!$A$24,MATCH("S",Values!$T$25:$T$50,0),0),FALSE))</f>
        <v>1</v>
      </c>
      <c r="D3124" t="e">
        <f>VLOOKUP(Charms!J3124,Values!$A$11:$S$59,19,0)&gt;=Charms!L3124</f>
        <v>#N/A</v>
      </c>
      <c r="E3124" t="e">
        <f>OR(ISBLANK(Charms!I3124),(VLOOKUP(Values!$S$6,Castes!$B$2:$F$25,4,0)=Charms!I3124))</f>
        <v>#N/A</v>
      </c>
      <c r="J3124" t="e">
        <f t="shared" ca="1" si="241"/>
        <v>#N/A</v>
      </c>
      <c r="K3124" s="18" t="e">
        <f t="shared" ca="1" si="240"/>
        <v>#N/A</v>
      </c>
      <c r="L3124" t="e">
        <f ca="1">IF(J3124,Charms!B3124,"")</f>
        <v>#N/A</v>
      </c>
      <c r="M3124" t="str">
        <f t="shared" ca="1" si="242"/>
        <v>-</v>
      </c>
      <c r="N3124" s="18" t="str">
        <f t="shared" si="243"/>
        <v>K1622:L5000</v>
      </c>
      <c r="O3124" t="str">
        <f t="shared" si="244"/>
        <v>A1622:A3124</v>
      </c>
    </row>
    <row r="3125" spans="1:15">
      <c r="A3125" s="18">
        <f>Charms!K3125</f>
        <v>0</v>
      </c>
      <c r="B3125">
        <f>Charms!B3125</f>
        <v>0</v>
      </c>
      <c r="C3125" t="b">
        <f ca="1">OR(Values!$S$98&gt;=Charms!M3125,IFERROR(Charms!J3125=OFFSET(Values!$A$24,MATCH("S",Values!$T$25:$T$50,0),0),FALSE))</f>
        <v>1</v>
      </c>
      <c r="D3125" t="e">
        <f>VLOOKUP(Charms!J3125,Values!$A$11:$S$59,19,0)&gt;=Charms!L3125</f>
        <v>#N/A</v>
      </c>
      <c r="E3125" t="e">
        <f>OR(ISBLANK(Charms!I3125),(VLOOKUP(Values!$S$6,Castes!$B$2:$F$25,4,0)=Charms!I3125))</f>
        <v>#N/A</v>
      </c>
      <c r="J3125" t="e">
        <f t="shared" ca="1" si="241"/>
        <v>#N/A</v>
      </c>
      <c r="K3125" s="18" t="e">
        <f t="shared" ca="1" si="240"/>
        <v>#N/A</v>
      </c>
      <c r="L3125" t="e">
        <f ca="1">IF(J3125,Charms!B3125,"")</f>
        <v>#N/A</v>
      </c>
      <c r="M3125" t="str">
        <f t="shared" ca="1" si="242"/>
        <v>-</v>
      </c>
      <c r="N3125" s="18" t="str">
        <f t="shared" si="243"/>
        <v>K1622:L5000</v>
      </c>
      <c r="O3125" t="str">
        <f t="shared" si="244"/>
        <v>A1622:A3125</v>
      </c>
    </row>
    <row r="3126" spans="1:15">
      <c r="A3126" s="18">
        <f>Charms!K3126</f>
        <v>0</v>
      </c>
      <c r="B3126">
        <f>Charms!B3126</f>
        <v>0</v>
      </c>
      <c r="C3126" t="b">
        <f ca="1">OR(Values!$S$98&gt;=Charms!M3126,IFERROR(Charms!J3126=OFFSET(Values!$A$24,MATCH("S",Values!$T$25:$T$50,0),0),FALSE))</f>
        <v>1</v>
      </c>
      <c r="D3126" t="e">
        <f>VLOOKUP(Charms!J3126,Values!$A$11:$S$59,19,0)&gt;=Charms!L3126</f>
        <v>#N/A</v>
      </c>
      <c r="E3126" t="e">
        <f>OR(ISBLANK(Charms!I3126),(VLOOKUP(Values!$S$6,Castes!$B$2:$F$25,4,0)=Charms!I3126))</f>
        <v>#N/A</v>
      </c>
      <c r="J3126" t="e">
        <f t="shared" ca="1" si="241"/>
        <v>#N/A</v>
      </c>
      <c r="K3126" s="18" t="e">
        <f t="shared" ca="1" si="240"/>
        <v>#N/A</v>
      </c>
      <c r="L3126" t="e">
        <f ca="1">IF(J3126,Charms!B3126,"")</f>
        <v>#N/A</v>
      </c>
      <c r="M3126" t="str">
        <f t="shared" ca="1" si="242"/>
        <v>-</v>
      </c>
      <c r="N3126" s="18" t="str">
        <f t="shared" si="243"/>
        <v>K1622:L5000</v>
      </c>
      <c r="O3126" t="str">
        <f t="shared" si="244"/>
        <v>A1622:A3126</v>
      </c>
    </row>
    <row r="3127" spans="1:15">
      <c r="A3127" s="18">
        <f>Charms!K3127</f>
        <v>0</v>
      </c>
      <c r="B3127">
        <f>Charms!B3127</f>
        <v>0</v>
      </c>
      <c r="C3127" t="b">
        <f ca="1">OR(Values!$S$98&gt;=Charms!M3127,IFERROR(Charms!J3127=OFFSET(Values!$A$24,MATCH("S",Values!$T$25:$T$50,0),0),FALSE))</f>
        <v>1</v>
      </c>
      <c r="D3127" t="e">
        <f>VLOOKUP(Charms!J3127,Values!$A$11:$S$59,19,0)&gt;=Charms!L3127</f>
        <v>#N/A</v>
      </c>
      <c r="E3127" t="e">
        <f>OR(ISBLANK(Charms!I3127),(VLOOKUP(Values!$S$6,Castes!$B$2:$F$25,4,0)=Charms!I3127))</f>
        <v>#N/A</v>
      </c>
      <c r="J3127" t="e">
        <f t="shared" ca="1" si="241"/>
        <v>#N/A</v>
      </c>
      <c r="K3127" s="18" t="e">
        <f t="shared" ca="1" si="240"/>
        <v>#N/A</v>
      </c>
      <c r="L3127" t="e">
        <f ca="1">IF(J3127,Charms!B3127,"")</f>
        <v>#N/A</v>
      </c>
      <c r="M3127" t="str">
        <f t="shared" ca="1" si="242"/>
        <v>-</v>
      </c>
      <c r="N3127" s="18" t="str">
        <f t="shared" si="243"/>
        <v>K1622:L5000</v>
      </c>
      <c r="O3127" t="str">
        <f t="shared" si="244"/>
        <v>A1622:A3127</v>
      </c>
    </row>
    <row r="3128" spans="1:15">
      <c r="A3128" s="18">
        <f>Charms!K3128</f>
        <v>0</v>
      </c>
      <c r="B3128">
        <f>Charms!B3128</f>
        <v>0</v>
      </c>
      <c r="C3128" t="b">
        <f ca="1">OR(Values!$S$98&gt;=Charms!M3128,IFERROR(Charms!J3128=OFFSET(Values!$A$24,MATCH("S",Values!$T$25:$T$50,0),0),FALSE))</f>
        <v>1</v>
      </c>
      <c r="D3128" t="e">
        <f>VLOOKUP(Charms!J3128,Values!$A$11:$S$59,19,0)&gt;=Charms!L3128</f>
        <v>#N/A</v>
      </c>
      <c r="E3128" t="e">
        <f>OR(ISBLANK(Charms!I3128),(VLOOKUP(Values!$S$6,Castes!$B$2:$F$25,4,0)=Charms!I3128))</f>
        <v>#N/A</v>
      </c>
      <c r="J3128" t="e">
        <f t="shared" ca="1" si="241"/>
        <v>#N/A</v>
      </c>
      <c r="K3128" s="18" t="e">
        <f t="shared" ca="1" si="240"/>
        <v>#N/A</v>
      </c>
      <c r="L3128" t="e">
        <f ca="1">IF(J3128,Charms!B3128,"")</f>
        <v>#N/A</v>
      </c>
      <c r="M3128" t="str">
        <f t="shared" ca="1" si="242"/>
        <v>-</v>
      </c>
      <c r="N3128" s="18" t="str">
        <f t="shared" si="243"/>
        <v>K1622:L5000</v>
      </c>
      <c r="O3128" t="str">
        <f t="shared" si="244"/>
        <v>A1622:A3128</v>
      </c>
    </row>
    <row r="3129" spans="1:15">
      <c r="A3129" s="18">
        <f>Charms!K3129</f>
        <v>0</v>
      </c>
      <c r="B3129">
        <f>Charms!B3129</f>
        <v>0</v>
      </c>
      <c r="C3129" t="b">
        <f ca="1">OR(Values!$S$98&gt;=Charms!M3129,IFERROR(Charms!J3129=OFFSET(Values!$A$24,MATCH("S",Values!$T$25:$T$50,0),0),FALSE))</f>
        <v>1</v>
      </c>
      <c r="D3129" t="e">
        <f>VLOOKUP(Charms!J3129,Values!$A$11:$S$59,19,0)&gt;=Charms!L3129</f>
        <v>#N/A</v>
      </c>
      <c r="E3129" t="e">
        <f>OR(ISBLANK(Charms!I3129),(VLOOKUP(Values!$S$6,Castes!$B$2:$F$25,4,0)=Charms!I3129))</f>
        <v>#N/A</v>
      </c>
      <c r="J3129" t="e">
        <f t="shared" ca="1" si="241"/>
        <v>#N/A</v>
      </c>
      <c r="K3129" s="18" t="e">
        <f t="shared" ca="1" si="240"/>
        <v>#N/A</v>
      </c>
      <c r="L3129" t="e">
        <f ca="1">IF(J3129,Charms!B3129,"")</f>
        <v>#N/A</v>
      </c>
      <c r="M3129" t="str">
        <f t="shared" ca="1" si="242"/>
        <v>-</v>
      </c>
      <c r="N3129" s="18" t="str">
        <f t="shared" si="243"/>
        <v>K1622:L5000</v>
      </c>
      <c r="O3129" t="str">
        <f t="shared" si="244"/>
        <v>A1622:A3129</v>
      </c>
    </row>
    <row r="3130" spans="1:15">
      <c r="A3130" s="18">
        <f>Charms!K3130</f>
        <v>0</v>
      </c>
      <c r="B3130">
        <f>Charms!B3130</f>
        <v>0</v>
      </c>
      <c r="C3130" t="b">
        <f ca="1">OR(Values!$S$98&gt;=Charms!M3130,IFERROR(Charms!J3130=OFFSET(Values!$A$24,MATCH("S",Values!$T$25:$T$50,0),0),FALSE))</f>
        <v>1</v>
      </c>
      <c r="D3130" t="e">
        <f>VLOOKUP(Charms!J3130,Values!$A$11:$S$59,19,0)&gt;=Charms!L3130</f>
        <v>#N/A</v>
      </c>
      <c r="E3130" t="e">
        <f>OR(ISBLANK(Charms!I3130),(VLOOKUP(Values!$S$6,Castes!$B$2:$F$25,4,0)=Charms!I3130))</f>
        <v>#N/A</v>
      </c>
      <c r="J3130" t="e">
        <f t="shared" ca="1" si="241"/>
        <v>#N/A</v>
      </c>
      <c r="K3130" s="18" t="e">
        <f t="shared" ca="1" si="240"/>
        <v>#N/A</v>
      </c>
      <c r="L3130" t="e">
        <f ca="1">IF(J3130,Charms!B3130,"")</f>
        <v>#N/A</v>
      </c>
      <c r="M3130" t="str">
        <f t="shared" ca="1" si="242"/>
        <v>-</v>
      </c>
      <c r="N3130" s="18" t="str">
        <f t="shared" si="243"/>
        <v>K1622:L5000</v>
      </c>
      <c r="O3130" t="str">
        <f t="shared" si="244"/>
        <v>A1622:A3130</v>
      </c>
    </row>
    <row r="3131" spans="1:15">
      <c r="A3131" s="18">
        <f>Charms!K3131</f>
        <v>0</v>
      </c>
      <c r="B3131">
        <f>Charms!B3131</f>
        <v>0</v>
      </c>
      <c r="C3131" t="b">
        <f ca="1">OR(Values!$S$98&gt;=Charms!M3131,IFERROR(Charms!J3131=OFFSET(Values!$A$24,MATCH("S",Values!$T$25:$T$50,0),0),FALSE))</f>
        <v>1</v>
      </c>
      <c r="D3131" t="e">
        <f>VLOOKUP(Charms!J3131,Values!$A$11:$S$59,19,0)&gt;=Charms!L3131</f>
        <v>#N/A</v>
      </c>
      <c r="E3131" t="e">
        <f>OR(ISBLANK(Charms!I3131),(VLOOKUP(Values!$S$6,Castes!$B$2:$F$25,4,0)=Charms!I3131))</f>
        <v>#N/A</v>
      </c>
      <c r="J3131" t="e">
        <f t="shared" ca="1" si="241"/>
        <v>#N/A</v>
      </c>
      <c r="K3131" s="18" t="e">
        <f t="shared" ca="1" si="240"/>
        <v>#N/A</v>
      </c>
      <c r="L3131" t="e">
        <f ca="1">IF(J3131,Charms!B3131,"")</f>
        <v>#N/A</v>
      </c>
      <c r="M3131" t="str">
        <f t="shared" ca="1" si="242"/>
        <v>-</v>
      </c>
      <c r="N3131" s="18" t="str">
        <f t="shared" si="243"/>
        <v>K1622:L5000</v>
      </c>
      <c r="O3131" t="str">
        <f t="shared" si="244"/>
        <v>A1622:A3131</v>
      </c>
    </row>
    <row r="3132" spans="1:15">
      <c r="A3132" s="18">
        <f>Charms!K3132</f>
        <v>0</v>
      </c>
      <c r="B3132">
        <f>Charms!B3132</f>
        <v>0</v>
      </c>
      <c r="C3132" t="b">
        <f ca="1">OR(Values!$S$98&gt;=Charms!M3132,IFERROR(Charms!J3132=OFFSET(Values!$A$24,MATCH("S",Values!$T$25:$T$50,0),0),FALSE))</f>
        <v>1</v>
      </c>
      <c r="D3132" t="e">
        <f>VLOOKUP(Charms!J3132,Values!$A$11:$S$59,19,0)&gt;=Charms!L3132</f>
        <v>#N/A</v>
      </c>
      <c r="E3132" t="e">
        <f>OR(ISBLANK(Charms!I3132),(VLOOKUP(Values!$S$6,Castes!$B$2:$F$25,4,0)=Charms!I3132))</f>
        <v>#N/A</v>
      </c>
      <c r="J3132" t="e">
        <f t="shared" ca="1" si="241"/>
        <v>#N/A</v>
      </c>
      <c r="K3132" s="18" t="e">
        <f t="shared" ca="1" si="240"/>
        <v>#N/A</v>
      </c>
      <c r="L3132" t="e">
        <f ca="1">IF(J3132,Charms!B3132,"")</f>
        <v>#N/A</v>
      </c>
      <c r="M3132" t="str">
        <f t="shared" ca="1" si="242"/>
        <v>-</v>
      </c>
      <c r="N3132" s="18" t="str">
        <f t="shared" si="243"/>
        <v>K1622:L5000</v>
      </c>
      <c r="O3132" t="str">
        <f t="shared" si="244"/>
        <v>A1622:A3132</v>
      </c>
    </row>
    <row r="3133" spans="1:15">
      <c r="A3133" s="18">
        <f>Charms!K3133</f>
        <v>0</v>
      </c>
      <c r="B3133">
        <f>Charms!B3133</f>
        <v>0</v>
      </c>
      <c r="C3133" t="b">
        <f ca="1">OR(Values!$S$98&gt;=Charms!M3133,IFERROR(Charms!J3133=OFFSET(Values!$A$24,MATCH("S",Values!$T$25:$T$50,0),0),FALSE))</f>
        <v>1</v>
      </c>
      <c r="D3133" t="e">
        <f>VLOOKUP(Charms!J3133,Values!$A$11:$S$59,19,0)&gt;=Charms!L3133</f>
        <v>#N/A</v>
      </c>
      <c r="E3133" t="e">
        <f>OR(ISBLANK(Charms!I3133),(VLOOKUP(Values!$S$6,Castes!$B$2:$F$25,4,0)=Charms!I3133))</f>
        <v>#N/A</v>
      </c>
      <c r="J3133" t="e">
        <f t="shared" ca="1" si="241"/>
        <v>#N/A</v>
      </c>
      <c r="K3133" s="18" t="e">
        <f t="shared" ca="1" si="240"/>
        <v>#N/A</v>
      </c>
      <c r="L3133" t="e">
        <f ca="1">IF(J3133,Charms!B3133,"")</f>
        <v>#N/A</v>
      </c>
      <c r="M3133" t="str">
        <f t="shared" ca="1" si="242"/>
        <v>-</v>
      </c>
      <c r="N3133" s="18" t="str">
        <f t="shared" si="243"/>
        <v>K1622:L5000</v>
      </c>
      <c r="O3133" t="str">
        <f t="shared" si="244"/>
        <v>A1622:A3133</v>
      </c>
    </row>
    <row r="3134" spans="1:15">
      <c r="A3134" s="18">
        <f>Charms!K3134</f>
        <v>0</v>
      </c>
      <c r="B3134">
        <f>Charms!B3134</f>
        <v>0</v>
      </c>
      <c r="C3134" t="b">
        <f ca="1">OR(Values!$S$98&gt;=Charms!M3134,IFERROR(Charms!J3134=OFFSET(Values!$A$24,MATCH("S",Values!$T$25:$T$50,0),0),FALSE))</f>
        <v>1</v>
      </c>
      <c r="D3134" t="e">
        <f>VLOOKUP(Charms!J3134,Values!$A$11:$S$59,19,0)&gt;=Charms!L3134</f>
        <v>#N/A</v>
      </c>
      <c r="E3134" t="e">
        <f>OR(ISBLANK(Charms!I3134),(VLOOKUP(Values!$S$6,Castes!$B$2:$F$25,4,0)=Charms!I3134))</f>
        <v>#N/A</v>
      </c>
      <c r="J3134" t="e">
        <f t="shared" ca="1" si="241"/>
        <v>#N/A</v>
      </c>
      <c r="K3134" s="18" t="e">
        <f t="shared" ca="1" si="240"/>
        <v>#N/A</v>
      </c>
      <c r="L3134" t="e">
        <f ca="1">IF(J3134,Charms!B3134,"")</f>
        <v>#N/A</v>
      </c>
      <c r="M3134" t="str">
        <f t="shared" ca="1" si="242"/>
        <v>-</v>
      </c>
      <c r="N3134" s="18" t="str">
        <f t="shared" si="243"/>
        <v>K1622:L5000</v>
      </c>
      <c r="O3134" t="str">
        <f t="shared" si="244"/>
        <v>A1622:A3134</v>
      </c>
    </row>
    <row r="3135" spans="1:15">
      <c r="A3135" s="18">
        <f>Charms!K3135</f>
        <v>0</v>
      </c>
      <c r="B3135">
        <f>Charms!B3135</f>
        <v>0</v>
      </c>
      <c r="C3135" t="b">
        <f ca="1">OR(Values!$S$98&gt;=Charms!M3135,IFERROR(Charms!J3135=OFFSET(Values!$A$24,MATCH("S",Values!$T$25:$T$50,0),0),FALSE))</f>
        <v>1</v>
      </c>
      <c r="D3135" t="e">
        <f>VLOOKUP(Charms!J3135,Values!$A$11:$S$59,19,0)&gt;=Charms!L3135</f>
        <v>#N/A</v>
      </c>
      <c r="E3135" t="e">
        <f>OR(ISBLANK(Charms!I3135),(VLOOKUP(Values!$S$6,Castes!$B$2:$F$25,4,0)=Charms!I3135))</f>
        <v>#N/A</v>
      </c>
      <c r="J3135" t="e">
        <f t="shared" ca="1" si="241"/>
        <v>#N/A</v>
      </c>
      <c r="K3135" s="18" t="e">
        <f t="shared" ca="1" si="240"/>
        <v>#N/A</v>
      </c>
      <c r="L3135" t="e">
        <f ca="1">IF(J3135,Charms!B3135,"")</f>
        <v>#N/A</v>
      </c>
      <c r="M3135" t="str">
        <f t="shared" ca="1" si="242"/>
        <v>-</v>
      </c>
      <c r="N3135" s="18" t="str">
        <f t="shared" si="243"/>
        <v>K1622:L5000</v>
      </c>
      <c r="O3135" t="str">
        <f t="shared" si="244"/>
        <v>A1622:A3135</v>
      </c>
    </row>
    <row r="3136" spans="1:15">
      <c r="A3136" s="18">
        <f>Charms!K3136</f>
        <v>0</v>
      </c>
      <c r="B3136">
        <f>Charms!B3136</f>
        <v>0</v>
      </c>
      <c r="C3136" t="b">
        <f ca="1">OR(Values!$S$98&gt;=Charms!M3136,IFERROR(Charms!J3136=OFFSET(Values!$A$24,MATCH("S",Values!$T$25:$T$50,0),0),FALSE))</f>
        <v>1</v>
      </c>
      <c r="D3136" t="e">
        <f>VLOOKUP(Charms!J3136,Values!$A$11:$S$59,19,0)&gt;=Charms!L3136</f>
        <v>#N/A</v>
      </c>
      <c r="E3136" t="e">
        <f>OR(ISBLANK(Charms!I3136),(VLOOKUP(Values!$S$6,Castes!$B$2:$F$25,4,0)=Charms!I3136))</f>
        <v>#N/A</v>
      </c>
      <c r="J3136" t="e">
        <f t="shared" ca="1" si="241"/>
        <v>#N/A</v>
      </c>
      <c r="K3136" s="18" t="e">
        <f t="shared" ca="1" si="240"/>
        <v>#N/A</v>
      </c>
      <c r="L3136" t="e">
        <f ca="1">IF(J3136,Charms!B3136,"")</f>
        <v>#N/A</v>
      </c>
      <c r="M3136" t="str">
        <f t="shared" ca="1" si="242"/>
        <v>-</v>
      </c>
      <c r="N3136" s="18" t="str">
        <f t="shared" si="243"/>
        <v>K1622:L5000</v>
      </c>
      <c r="O3136" t="str">
        <f t="shared" si="244"/>
        <v>A1622:A3136</v>
      </c>
    </row>
    <row r="3137" spans="1:15">
      <c r="A3137" s="18">
        <f>Charms!K3137</f>
        <v>0</v>
      </c>
      <c r="B3137">
        <f>Charms!B3137</f>
        <v>0</v>
      </c>
      <c r="C3137" t="b">
        <f ca="1">OR(Values!$S$98&gt;=Charms!M3137,IFERROR(Charms!J3137=OFFSET(Values!$A$24,MATCH("S",Values!$T$25:$T$50,0),0),FALSE))</f>
        <v>1</v>
      </c>
      <c r="D3137" t="e">
        <f>VLOOKUP(Charms!J3137,Values!$A$11:$S$59,19,0)&gt;=Charms!L3137</f>
        <v>#N/A</v>
      </c>
      <c r="E3137" t="e">
        <f>OR(ISBLANK(Charms!I3137),(VLOOKUP(Values!$S$6,Castes!$B$2:$F$25,4,0)=Charms!I3137))</f>
        <v>#N/A</v>
      </c>
      <c r="J3137" t="e">
        <f t="shared" ca="1" si="241"/>
        <v>#N/A</v>
      </c>
      <c r="K3137" s="18" t="e">
        <f t="shared" ca="1" si="240"/>
        <v>#N/A</v>
      </c>
      <c r="L3137" t="e">
        <f ca="1">IF(J3137,Charms!B3137,"")</f>
        <v>#N/A</v>
      </c>
      <c r="M3137" t="str">
        <f t="shared" ca="1" si="242"/>
        <v>-</v>
      </c>
      <c r="N3137" s="18" t="str">
        <f t="shared" si="243"/>
        <v>K1622:L5000</v>
      </c>
      <c r="O3137" t="str">
        <f t="shared" si="244"/>
        <v>A1622:A3137</v>
      </c>
    </row>
    <row r="3138" spans="1:15">
      <c r="A3138" s="18">
        <f>Charms!K3138</f>
        <v>0</v>
      </c>
      <c r="B3138">
        <f>Charms!B3138</f>
        <v>0</v>
      </c>
      <c r="C3138" t="b">
        <f ca="1">OR(Values!$S$98&gt;=Charms!M3138,IFERROR(Charms!J3138=OFFSET(Values!$A$24,MATCH("S",Values!$T$25:$T$50,0),0),FALSE))</f>
        <v>1</v>
      </c>
      <c r="D3138" t="e">
        <f>VLOOKUP(Charms!J3138,Values!$A$11:$S$59,19,0)&gt;=Charms!L3138</f>
        <v>#N/A</v>
      </c>
      <c r="E3138" t="e">
        <f>OR(ISBLANK(Charms!I3138),(VLOOKUP(Values!$S$6,Castes!$B$2:$F$25,4,0)=Charms!I3138))</f>
        <v>#N/A</v>
      </c>
      <c r="J3138" t="e">
        <f t="shared" ca="1" si="241"/>
        <v>#N/A</v>
      </c>
      <c r="K3138" s="18" t="e">
        <f t="shared" ref="K3138:K3201" ca="1" si="245">IF(L3138="","",COUNTIF(INDIRECT("J"&amp;MATCH(A3138,A:A,0)&amp;":J"&amp;ROW()),J3138))</f>
        <v>#N/A</v>
      </c>
      <c r="L3138" t="e">
        <f ca="1">IF(J3138,Charms!B3138,"")</f>
        <v>#N/A</v>
      </c>
      <c r="M3138" t="str">
        <f t="shared" ca="1" si="242"/>
        <v>-</v>
      </c>
      <c r="N3138" s="18" t="str">
        <f t="shared" si="243"/>
        <v>K1622:L5000</v>
      </c>
      <c r="O3138" t="str">
        <f t="shared" si="244"/>
        <v>A1622:A3138</v>
      </c>
    </row>
    <row r="3139" spans="1:15">
      <c r="A3139" s="18">
        <f>Charms!K3139</f>
        <v>0</v>
      </c>
      <c r="B3139">
        <f>Charms!B3139</f>
        <v>0</v>
      </c>
      <c r="C3139" t="b">
        <f ca="1">OR(Values!$S$98&gt;=Charms!M3139,IFERROR(Charms!J3139=OFFSET(Values!$A$24,MATCH("S",Values!$T$25:$T$50,0),0),FALSE))</f>
        <v>1</v>
      </c>
      <c r="D3139" t="e">
        <f>VLOOKUP(Charms!J3139,Values!$A$11:$S$59,19,0)&gt;=Charms!L3139</f>
        <v>#N/A</v>
      </c>
      <c r="E3139" t="e">
        <f>OR(ISBLANK(Charms!I3139),(VLOOKUP(Values!$S$6,Castes!$B$2:$F$25,4,0)=Charms!I3139))</f>
        <v>#N/A</v>
      </c>
      <c r="J3139" t="e">
        <f t="shared" ref="J3139:J3202" ca="1" si="246">(C3139+D3139+E3139+F3139+G3139+H3139+I3139)=3</f>
        <v>#N/A</v>
      </c>
      <c r="K3139" s="18" t="e">
        <f t="shared" ca="1" si="245"/>
        <v>#N/A</v>
      </c>
      <c r="L3139" t="e">
        <f ca="1">IF(J3139,Charms!B3139,"")</f>
        <v>#N/A</v>
      </c>
      <c r="M3139" t="str">
        <f t="shared" ref="M3139:M3202" ca="1" si="247">IFERROR(VLOOKUP(COUNTIF(INDIRECT(O3139),A3139),INDIRECT(N3139),2,0),"-")</f>
        <v>-</v>
      </c>
      <c r="N3139" s="18" t="str">
        <f t="shared" ref="N3139:N3202" si="248">"K"&amp;MATCH(A3139,A:A,0)&amp;":L"&amp;(MATCH(A3139,A:A,0)+COUNTIF(A:A,A3139)-1)</f>
        <v>K1622:L5000</v>
      </c>
      <c r="O3139" t="str">
        <f t="shared" ref="O3139:O3202" si="249">"A"&amp;MATCH(A3139,A:A,0)&amp;":A"&amp;ROW()</f>
        <v>A1622:A3139</v>
      </c>
    </row>
    <row r="3140" spans="1:15">
      <c r="A3140" s="18">
        <f>Charms!K3140</f>
        <v>0</v>
      </c>
      <c r="B3140">
        <f>Charms!B3140</f>
        <v>0</v>
      </c>
      <c r="C3140" t="b">
        <f ca="1">OR(Values!$S$98&gt;=Charms!M3140,IFERROR(Charms!J3140=OFFSET(Values!$A$24,MATCH("S",Values!$T$25:$T$50,0),0),FALSE))</f>
        <v>1</v>
      </c>
      <c r="D3140" t="e">
        <f>VLOOKUP(Charms!J3140,Values!$A$11:$S$59,19,0)&gt;=Charms!L3140</f>
        <v>#N/A</v>
      </c>
      <c r="E3140" t="e">
        <f>OR(ISBLANK(Charms!I3140),(VLOOKUP(Values!$S$6,Castes!$B$2:$F$25,4,0)=Charms!I3140))</f>
        <v>#N/A</v>
      </c>
      <c r="J3140" t="e">
        <f t="shared" ca="1" si="246"/>
        <v>#N/A</v>
      </c>
      <c r="K3140" s="18" t="e">
        <f t="shared" ca="1" si="245"/>
        <v>#N/A</v>
      </c>
      <c r="L3140" t="e">
        <f ca="1">IF(J3140,Charms!B3140,"")</f>
        <v>#N/A</v>
      </c>
      <c r="M3140" t="str">
        <f t="shared" ca="1" si="247"/>
        <v>-</v>
      </c>
      <c r="N3140" s="18" t="str">
        <f t="shared" si="248"/>
        <v>K1622:L5000</v>
      </c>
      <c r="O3140" t="str">
        <f t="shared" si="249"/>
        <v>A1622:A3140</v>
      </c>
    </row>
    <row r="3141" spans="1:15">
      <c r="A3141" s="18">
        <f>Charms!K3141</f>
        <v>0</v>
      </c>
      <c r="B3141">
        <f>Charms!B3141</f>
        <v>0</v>
      </c>
      <c r="C3141" t="b">
        <f ca="1">OR(Values!$S$98&gt;=Charms!M3141,IFERROR(Charms!J3141=OFFSET(Values!$A$24,MATCH("S",Values!$T$25:$T$50,0),0),FALSE))</f>
        <v>1</v>
      </c>
      <c r="D3141" t="e">
        <f>VLOOKUP(Charms!J3141,Values!$A$11:$S$59,19,0)&gt;=Charms!L3141</f>
        <v>#N/A</v>
      </c>
      <c r="E3141" t="e">
        <f>OR(ISBLANK(Charms!I3141),(VLOOKUP(Values!$S$6,Castes!$B$2:$F$25,4,0)=Charms!I3141))</f>
        <v>#N/A</v>
      </c>
      <c r="J3141" t="e">
        <f t="shared" ca="1" si="246"/>
        <v>#N/A</v>
      </c>
      <c r="K3141" s="18" t="e">
        <f t="shared" ca="1" si="245"/>
        <v>#N/A</v>
      </c>
      <c r="L3141" t="e">
        <f ca="1">IF(J3141,Charms!B3141,"")</f>
        <v>#N/A</v>
      </c>
      <c r="M3141" t="str">
        <f t="shared" ca="1" si="247"/>
        <v>-</v>
      </c>
      <c r="N3141" s="18" t="str">
        <f t="shared" si="248"/>
        <v>K1622:L5000</v>
      </c>
      <c r="O3141" t="str">
        <f t="shared" si="249"/>
        <v>A1622:A3141</v>
      </c>
    </row>
    <row r="3142" spans="1:15">
      <c r="A3142" s="18">
        <f>Charms!K3142</f>
        <v>0</v>
      </c>
      <c r="B3142">
        <f>Charms!B3142</f>
        <v>0</v>
      </c>
      <c r="C3142" t="b">
        <f ca="1">OR(Values!$S$98&gt;=Charms!M3142,IFERROR(Charms!J3142=OFFSET(Values!$A$24,MATCH("S",Values!$T$25:$T$50,0),0),FALSE))</f>
        <v>1</v>
      </c>
      <c r="D3142" t="e">
        <f>VLOOKUP(Charms!J3142,Values!$A$11:$S$59,19,0)&gt;=Charms!L3142</f>
        <v>#N/A</v>
      </c>
      <c r="E3142" t="e">
        <f>OR(ISBLANK(Charms!I3142),(VLOOKUP(Values!$S$6,Castes!$B$2:$F$25,4,0)=Charms!I3142))</f>
        <v>#N/A</v>
      </c>
      <c r="J3142" t="e">
        <f t="shared" ca="1" si="246"/>
        <v>#N/A</v>
      </c>
      <c r="K3142" s="18" t="e">
        <f t="shared" ca="1" si="245"/>
        <v>#N/A</v>
      </c>
      <c r="L3142" t="e">
        <f ca="1">IF(J3142,Charms!B3142,"")</f>
        <v>#N/A</v>
      </c>
      <c r="M3142" t="str">
        <f t="shared" ca="1" si="247"/>
        <v>-</v>
      </c>
      <c r="N3142" s="18" t="str">
        <f t="shared" si="248"/>
        <v>K1622:L5000</v>
      </c>
      <c r="O3142" t="str">
        <f t="shared" si="249"/>
        <v>A1622:A3142</v>
      </c>
    </row>
    <row r="3143" spans="1:15">
      <c r="A3143" s="18">
        <f>Charms!K3143</f>
        <v>0</v>
      </c>
      <c r="B3143">
        <f>Charms!B3143</f>
        <v>0</v>
      </c>
      <c r="C3143" t="b">
        <f ca="1">OR(Values!$S$98&gt;=Charms!M3143,IFERROR(Charms!J3143=OFFSET(Values!$A$24,MATCH("S",Values!$T$25:$T$50,0),0),FALSE))</f>
        <v>1</v>
      </c>
      <c r="D3143" t="e">
        <f>VLOOKUP(Charms!J3143,Values!$A$11:$S$59,19,0)&gt;=Charms!L3143</f>
        <v>#N/A</v>
      </c>
      <c r="E3143" t="e">
        <f>OR(ISBLANK(Charms!I3143),(VLOOKUP(Values!$S$6,Castes!$B$2:$F$25,4,0)=Charms!I3143))</f>
        <v>#N/A</v>
      </c>
      <c r="J3143" t="e">
        <f t="shared" ca="1" si="246"/>
        <v>#N/A</v>
      </c>
      <c r="K3143" s="18" t="e">
        <f t="shared" ca="1" si="245"/>
        <v>#N/A</v>
      </c>
      <c r="L3143" t="e">
        <f ca="1">IF(J3143,Charms!B3143,"")</f>
        <v>#N/A</v>
      </c>
      <c r="M3143" t="str">
        <f t="shared" ca="1" si="247"/>
        <v>-</v>
      </c>
      <c r="N3143" s="18" t="str">
        <f t="shared" si="248"/>
        <v>K1622:L5000</v>
      </c>
      <c r="O3143" t="str">
        <f t="shared" si="249"/>
        <v>A1622:A3143</v>
      </c>
    </row>
    <row r="3144" spans="1:15">
      <c r="A3144" s="18">
        <f>Charms!K3144</f>
        <v>0</v>
      </c>
      <c r="B3144">
        <f>Charms!B3144</f>
        <v>0</v>
      </c>
      <c r="C3144" t="b">
        <f ca="1">OR(Values!$S$98&gt;=Charms!M3144,IFERROR(Charms!J3144=OFFSET(Values!$A$24,MATCH("S",Values!$T$25:$T$50,0),0),FALSE))</f>
        <v>1</v>
      </c>
      <c r="D3144" t="e">
        <f>VLOOKUP(Charms!J3144,Values!$A$11:$S$59,19,0)&gt;=Charms!L3144</f>
        <v>#N/A</v>
      </c>
      <c r="E3144" t="e">
        <f>OR(ISBLANK(Charms!I3144),(VLOOKUP(Values!$S$6,Castes!$B$2:$F$25,4,0)=Charms!I3144))</f>
        <v>#N/A</v>
      </c>
      <c r="J3144" t="e">
        <f t="shared" ca="1" si="246"/>
        <v>#N/A</v>
      </c>
      <c r="K3144" s="18" t="e">
        <f t="shared" ca="1" si="245"/>
        <v>#N/A</v>
      </c>
      <c r="L3144" t="e">
        <f ca="1">IF(J3144,Charms!B3144,"")</f>
        <v>#N/A</v>
      </c>
      <c r="M3144" t="str">
        <f t="shared" ca="1" si="247"/>
        <v>-</v>
      </c>
      <c r="N3144" s="18" t="str">
        <f t="shared" si="248"/>
        <v>K1622:L5000</v>
      </c>
      <c r="O3144" t="str">
        <f t="shared" si="249"/>
        <v>A1622:A3144</v>
      </c>
    </row>
    <row r="3145" spans="1:15">
      <c r="A3145" s="18">
        <f>Charms!K3145</f>
        <v>0</v>
      </c>
      <c r="B3145">
        <f>Charms!B3145</f>
        <v>0</v>
      </c>
      <c r="C3145" t="b">
        <f ca="1">OR(Values!$S$98&gt;=Charms!M3145,IFERROR(Charms!J3145=OFFSET(Values!$A$24,MATCH("S",Values!$T$25:$T$50,0),0),FALSE))</f>
        <v>1</v>
      </c>
      <c r="D3145" t="e">
        <f>VLOOKUP(Charms!J3145,Values!$A$11:$S$59,19,0)&gt;=Charms!L3145</f>
        <v>#N/A</v>
      </c>
      <c r="E3145" t="e">
        <f>OR(ISBLANK(Charms!I3145),(VLOOKUP(Values!$S$6,Castes!$B$2:$F$25,4,0)=Charms!I3145))</f>
        <v>#N/A</v>
      </c>
      <c r="J3145" t="e">
        <f t="shared" ca="1" si="246"/>
        <v>#N/A</v>
      </c>
      <c r="K3145" s="18" t="e">
        <f t="shared" ca="1" si="245"/>
        <v>#N/A</v>
      </c>
      <c r="L3145" t="e">
        <f ca="1">IF(J3145,Charms!B3145,"")</f>
        <v>#N/A</v>
      </c>
      <c r="M3145" t="str">
        <f t="shared" ca="1" si="247"/>
        <v>-</v>
      </c>
      <c r="N3145" s="18" t="str">
        <f t="shared" si="248"/>
        <v>K1622:L5000</v>
      </c>
      <c r="O3145" t="str">
        <f t="shared" si="249"/>
        <v>A1622:A3145</v>
      </c>
    </row>
    <row r="3146" spans="1:15">
      <c r="A3146" s="18">
        <f>Charms!K3146</f>
        <v>0</v>
      </c>
      <c r="B3146">
        <f>Charms!B3146</f>
        <v>0</v>
      </c>
      <c r="C3146" t="b">
        <f ca="1">OR(Values!$S$98&gt;=Charms!M3146,IFERROR(Charms!J3146=OFFSET(Values!$A$24,MATCH("S",Values!$T$25:$T$50,0),0),FALSE))</f>
        <v>1</v>
      </c>
      <c r="D3146" t="e">
        <f>VLOOKUP(Charms!J3146,Values!$A$11:$S$59,19,0)&gt;=Charms!L3146</f>
        <v>#N/A</v>
      </c>
      <c r="E3146" t="e">
        <f>OR(ISBLANK(Charms!I3146),(VLOOKUP(Values!$S$6,Castes!$B$2:$F$25,4,0)=Charms!I3146))</f>
        <v>#N/A</v>
      </c>
      <c r="J3146" t="e">
        <f t="shared" ca="1" si="246"/>
        <v>#N/A</v>
      </c>
      <c r="K3146" s="18" t="e">
        <f t="shared" ca="1" si="245"/>
        <v>#N/A</v>
      </c>
      <c r="L3146" t="e">
        <f ca="1">IF(J3146,Charms!B3146,"")</f>
        <v>#N/A</v>
      </c>
      <c r="M3146" t="str">
        <f t="shared" ca="1" si="247"/>
        <v>-</v>
      </c>
      <c r="N3146" s="18" t="str">
        <f t="shared" si="248"/>
        <v>K1622:L5000</v>
      </c>
      <c r="O3146" t="str">
        <f t="shared" si="249"/>
        <v>A1622:A3146</v>
      </c>
    </row>
    <row r="3147" spans="1:15">
      <c r="A3147" s="18">
        <f>Charms!K3147</f>
        <v>0</v>
      </c>
      <c r="B3147">
        <f>Charms!B3147</f>
        <v>0</v>
      </c>
      <c r="C3147" t="b">
        <f ca="1">OR(Values!$S$98&gt;=Charms!M3147,IFERROR(Charms!J3147=OFFSET(Values!$A$24,MATCH("S",Values!$T$25:$T$50,0),0),FALSE))</f>
        <v>1</v>
      </c>
      <c r="D3147" t="e">
        <f>VLOOKUP(Charms!J3147,Values!$A$11:$S$59,19,0)&gt;=Charms!L3147</f>
        <v>#N/A</v>
      </c>
      <c r="E3147" t="e">
        <f>OR(ISBLANK(Charms!I3147),(VLOOKUP(Values!$S$6,Castes!$B$2:$F$25,4,0)=Charms!I3147))</f>
        <v>#N/A</v>
      </c>
      <c r="J3147" t="e">
        <f t="shared" ca="1" si="246"/>
        <v>#N/A</v>
      </c>
      <c r="K3147" s="18" t="e">
        <f t="shared" ca="1" si="245"/>
        <v>#N/A</v>
      </c>
      <c r="L3147" t="e">
        <f ca="1">IF(J3147,Charms!B3147,"")</f>
        <v>#N/A</v>
      </c>
      <c r="M3147" t="str">
        <f t="shared" ca="1" si="247"/>
        <v>-</v>
      </c>
      <c r="N3147" s="18" t="str">
        <f t="shared" si="248"/>
        <v>K1622:L5000</v>
      </c>
      <c r="O3147" t="str">
        <f t="shared" si="249"/>
        <v>A1622:A3147</v>
      </c>
    </row>
    <row r="3148" spans="1:15">
      <c r="A3148" s="18">
        <f>Charms!K3148</f>
        <v>0</v>
      </c>
      <c r="B3148">
        <f>Charms!B3148</f>
        <v>0</v>
      </c>
      <c r="C3148" t="b">
        <f ca="1">OR(Values!$S$98&gt;=Charms!M3148,IFERROR(Charms!J3148=OFFSET(Values!$A$24,MATCH("S",Values!$T$25:$T$50,0),0),FALSE))</f>
        <v>1</v>
      </c>
      <c r="D3148" t="e">
        <f>VLOOKUP(Charms!J3148,Values!$A$11:$S$59,19,0)&gt;=Charms!L3148</f>
        <v>#N/A</v>
      </c>
      <c r="E3148" t="e">
        <f>OR(ISBLANK(Charms!I3148),(VLOOKUP(Values!$S$6,Castes!$B$2:$F$25,4,0)=Charms!I3148))</f>
        <v>#N/A</v>
      </c>
      <c r="J3148" t="e">
        <f t="shared" ca="1" si="246"/>
        <v>#N/A</v>
      </c>
      <c r="K3148" s="18" t="e">
        <f t="shared" ca="1" si="245"/>
        <v>#N/A</v>
      </c>
      <c r="L3148" t="e">
        <f ca="1">IF(J3148,Charms!B3148,"")</f>
        <v>#N/A</v>
      </c>
      <c r="M3148" t="str">
        <f t="shared" ca="1" si="247"/>
        <v>-</v>
      </c>
      <c r="N3148" s="18" t="str">
        <f t="shared" si="248"/>
        <v>K1622:L5000</v>
      </c>
      <c r="O3148" t="str">
        <f t="shared" si="249"/>
        <v>A1622:A3148</v>
      </c>
    </row>
    <row r="3149" spans="1:15">
      <c r="A3149" s="18">
        <f>Charms!K3149</f>
        <v>0</v>
      </c>
      <c r="B3149">
        <f>Charms!B3149</f>
        <v>0</v>
      </c>
      <c r="C3149" t="b">
        <f ca="1">OR(Values!$S$98&gt;=Charms!M3149,IFERROR(Charms!J3149=OFFSET(Values!$A$24,MATCH("S",Values!$T$25:$T$50,0),0),FALSE))</f>
        <v>1</v>
      </c>
      <c r="D3149" t="e">
        <f>VLOOKUP(Charms!J3149,Values!$A$11:$S$59,19,0)&gt;=Charms!L3149</f>
        <v>#N/A</v>
      </c>
      <c r="E3149" t="e">
        <f>OR(ISBLANK(Charms!I3149),(VLOOKUP(Values!$S$6,Castes!$B$2:$F$25,4,0)=Charms!I3149))</f>
        <v>#N/A</v>
      </c>
      <c r="J3149" t="e">
        <f t="shared" ca="1" si="246"/>
        <v>#N/A</v>
      </c>
      <c r="K3149" s="18" t="e">
        <f t="shared" ca="1" si="245"/>
        <v>#N/A</v>
      </c>
      <c r="L3149" t="e">
        <f ca="1">IF(J3149,Charms!B3149,"")</f>
        <v>#N/A</v>
      </c>
      <c r="M3149" t="str">
        <f t="shared" ca="1" si="247"/>
        <v>-</v>
      </c>
      <c r="N3149" s="18" t="str">
        <f t="shared" si="248"/>
        <v>K1622:L5000</v>
      </c>
      <c r="O3149" t="str">
        <f t="shared" si="249"/>
        <v>A1622:A3149</v>
      </c>
    </row>
    <row r="3150" spans="1:15">
      <c r="A3150" s="18">
        <f>Charms!K3150</f>
        <v>0</v>
      </c>
      <c r="B3150">
        <f>Charms!B3150</f>
        <v>0</v>
      </c>
      <c r="C3150" t="b">
        <f ca="1">OR(Values!$S$98&gt;=Charms!M3150,IFERROR(Charms!J3150=OFFSET(Values!$A$24,MATCH("S",Values!$T$25:$T$50,0),0),FALSE))</f>
        <v>1</v>
      </c>
      <c r="D3150" t="e">
        <f>VLOOKUP(Charms!J3150,Values!$A$11:$S$59,19,0)&gt;=Charms!L3150</f>
        <v>#N/A</v>
      </c>
      <c r="E3150" t="e">
        <f>OR(ISBLANK(Charms!I3150),(VLOOKUP(Values!$S$6,Castes!$B$2:$F$25,4,0)=Charms!I3150))</f>
        <v>#N/A</v>
      </c>
      <c r="J3150" t="e">
        <f t="shared" ca="1" si="246"/>
        <v>#N/A</v>
      </c>
      <c r="K3150" s="18" t="e">
        <f t="shared" ca="1" si="245"/>
        <v>#N/A</v>
      </c>
      <c r="L3150" t="e">
        <f ca="1">IF(J3150,Charms!B3150,"")</f>
        <v>#N/A</v>
      </c>
      <c r="M3150" t="str">
        <f t="shared" ca="1" si="247"/>
        <v>-</v>
      </c>
      <c r="N3150" s="18" t="str">
        <f t="shared" si="248"/>
        <v>K1622:L5000</v>
      </c>
      <c r="O3150" t="str">
        <f t="shared" si="249"/>
        <v>A1622:A3150</v>
      </c>
    </row>
    <row r="3151" spans="1:15">
      <c r="A3151" s="18">
        <f>Charms!K3151</f>
        <v>0</v>
      </c>
      <c r="B3151">
        <f>Charms!B3151</f>
        <v>0</v>
      </c>
      <c r="C3151" t="b">
        <f ca="1">OR(Values!$S$98&gt;=Charms!M3151,IFERROR(Charms!J3151=OFFSET(Values!$A$24,MATCH("S",Values!$T$25:$T$50,0),0),FALSE))</f>
        <v>1</v>
      </c>
      <c r="D3151" t="e">
        <f>VLOOKUP(Charms!J3151,Values!$A$11:$S$59,19,0)&gt;=Charms!L3151</f>
        <v>#N/A</v>
      </c>
      <c r="E3151" t="e">
        <f>OR(ISBLANK(Charms!I3151),(VLOOKUP(Values!$S$6,Castes!$B$2:$F$25,4,0)=Charms!I3151))</f>
        <v>#N/A</v>
      </c>
      <c r="J3151" t="e">
        <f t="shared" ca="1" si="246"/>
        <v>#N/A</v>
      </c>
      <c r="K3151" s="18" t="e">
        <f t="shared" ca="1" si="245"/>
        <v>#N/A</v>
      </c>
      <c r="L3151" t="e">
        <f ca="1">IF(J3151,Charms!B3151,"")</f>
        <v>#N/A</v>
      </c>
      <c r="M3151" t="str">
        <f t="shared" ca="1" si="247"/>
        <v>-</v>
      </c>
      <c r="N3151" s="18" t="str">
        <f t="shared" si="248"/>
        <v>K1622:L5000</v>
      </c>
      <c r="O3151" t="str">
        <f t="shared" si="249"/>
        <v>A1622:A3151</v>
      </c>
    </row>
    <row r="3152" spans="1:15">
      <c r="A3152" s="18">
        <f>Charms!K3152</f>
        <v>0</v>
      </c>
      <c r="B3152">
        <f>Charms!B3152</f>
        <v>0</v>
      </c>
      <c r="C3152" t="b">
        <f ca="1">OR(Values!$S$98&gt;=Charms!M3152,IFERROR(Charms!J3152=OFFSET(Values!$A$24,MATCH("S",Values!$T$25:$T$50,0),0),FALSE))</f>
        <v>1</v>
      </c>
      <c r="D3152" t="e">
        <f>VLOOKUP(Charms!J3152,Values!$A$11:$S$59,19,0)&gt;=Charms!L3152</f>
        <v>#N/A</v>
      </c>
      <c r="E3152" t="e">
        <f>OR(ISBLANK(Charms!I3152),(VLOOKUP(Values!$S$6,Castes!$B$2:$F$25,4,0)=Charms!I3152))</f>
        <v>#N/A</v>
      </c>
      <c r="J3152" t="e">
        <f t="shared" ca="1" si="246"/>
        <v>#N/A</v>
      </c>
      <c r="K3152" s="18" t="e">
        <f t="shared" ca="1" si="245"/>
        <v>#N/A</v>
      </c>
      <c r="L3152" t="e">
        <f ca="1">IF(J3152,Charms!B3152,"")</f>
        <v>#N/A</v>
      </c>
      <c r="M3152" t="str">
        <f t="shared" ca="1" si="247"/>
        <v>-</v>
      </c>
      <c r="N3152" s="18" t="str">
        <f t="shared" si="248"/>
        <v>K1622:L5000</v>
      </c>
      <c r="O3152" t="str">
        <f t="shared" si="249"/>
        <v>A1622:A3152</v>
      </c>
    </row>
    <row r="3153" spans="1:15">
      <c r="A3153" s="18">
        <f>Charms!K3153</f>
        <v>0</v>
      </c>
      <c r="B3153">
        <f>Charms!B3153</f>
        <v>0</v>
      </c>
      <c r="C3153" t="b">
        <f ca="1">OR(Values!$S$98&gt;=Charms!M3153,IFERROR(Charms!J3153=OFFSET(Values!$A$24,MATCH("S",Values!$T$25:$T$50,0),0),FALSE))</f>
        <v>1</v>
      </c>
      <c r="D3153" t="e">
        <f>VLOOKUP(Charms!J3153,Values!$A$11:$S$59,19,0)&gt;=Charms!L3153</f>
        <v>#N/A</v>
      </c>
      <c r="E3153" t="e">
        <f>OR(ISBLANK(Charms!I3153),(VLOOKUP(Values!$S$6,Castes!$B$2:$F$25,4,0)=Charms!I3153))</f>
        <v>#N/A</v>
      </c>
      <c r="J3153" t="e">
        <f t="shared" ca="1" si="246"/>
        <v>#N/A</v>
      </c>
      <c r="K3153" s="18" t="e">
        <f t="shared" ca="1" si="245"/>
        <v>#N/A</v>
      </c>
      <c r="L3153" t="e">
        <f ca="1">IF(J3153,Charms!B3153,"")</f>
        <v>#N/A</v>
      </c>
      <c r="M3153" t="str">
        <f t="shared" ca="1" si="247"/>
        <v>-</v>
      </c>
      <c r="N3153" s="18" t="str">
        <f t="shared" si="248"/>
        <v>K1622:L5000</v>
      </c>
      <c r="O3153" t="str">
        <f t="shared" si="249"/>
        <v>A1622:A3153</v>
      </c>
    </row>
    <row r="3154" spans="1:15">
      <c r="A3154" s="18">
        <f>Charms!K3154</f>
        <v>0</v>
      </c>
      <c r="B3154">
        <f>Charms!B3154</f>
        <v>0</v>
      </c>
      <c r="C3154" t="b">
        <f ca="1">OR(Values!$S$98&gt;=Charms!M3154,IFERROR(Charms!J3154=OFFSET(Values!$A$24,MATCH("S",Values!$T$25:$T$50,0),0),FALSE))</f>
        <v>1</v>
      </c>
      <c r="D3154" t="e">
        <f>VLOOKUP(Charms!J3154,Values!$A$11:$S$59,19,0)&gt;=Charms!L3154</f>
        <v>#N/A</v>
      </c>
      <c r="E3154" t="e">
        <f>OR(ISBLANK(Charms!I3154),(VLOOKUP(Values!$S$6,Castes!$B$2:$F$25,4,0)=Charms!I3154))</f>
        <v>#N/A</v>
      </c>
      <c r="J3154" t="e">
        <f t="shared" ca="1" si="246"/>
        <v>#N/A</v>
      </c>
      <c r="K3154" s="18" t="e">
        <f t="shared" ca="1" si="245"/>
        <v>#N/A</v>
      </c>
      <c r="L3154" t="e">
        <f ca="1">IF(J3154,Charms!B3154,"")</f>
        <v>#N/A</v>
      </c>
      <c r="M3154" t="str">
        <f t="shared" ca="1" si="247"/>
        <v>-</v>
      </c>
      <c r="N3154" s="18" t="str">
        <f t="shared" si="248"/>
        <v>K1622:L5000</v>
      </c>
      <c r="O3154" t="str">
        <f t="shared" si="249"/>
        <v>A1622:A3154</v>
      </c>
    </row>
    <row r="3155" spans="1:15">
      <c r="A3155" s="18">
        <f>Charms!K3155</f>
        <v>0</v>
      </c>
      <c r="B3155">
        <f>Charms!B3155</f>
        <v>0</v>
      </c>
      <c r="C3155" t="b">
        <f ca="1">OR(Values!$S$98&gt;=Charms!M3155,IFERROR(Charms!J3155=OFFSET(Values!$A$24,MATCH("S",Values!$T$25:$T$50,0),0),FALSE))</f>
        <v>1</v>
      </c>
      <c r="D3155" t="e">
        <f>VLOOKUP(Charms!J3155,Values!$A$11:$S$59,19,0)&gt;=Charms!L3155</f>
        <v>#N/A</v>
      </c>
      <c r="E3155" t="e">
        <f>OR(ISBLANK(Charms!I3155),(VLOOKUP(Values!$S$6,Castes!$B$2:$F$25,4,0)=Charms!I3155))</f>
        <v>#N/A</v>
      </c>
      <c r="J3155" t="e">
        <f t="shared" ca="1" si="246"/>
        <v>#N/A</v>
      </c>
      <c r="K3155" s="18" t="e">
        <f t="shared" ca="1" si="245"/>
        <v>#N/A</v>
      </c>
      <c r="L3155" t="e">
        <f ca="1">IF(J3155,Charms!B3155,"")</f>
        <v>#N/A</v>
      </c>
      <c r="M3155" t="str">
        <f t="shared" ca="1" si="247"/>
        <v>-</v>
      </c>
      <c r="N3155" s="18" t="str">
        <f t="shared" si="248"/>
        <v>K1622:L5000</v>
      </c>
      <c r="O3155" t="str">
        <f t="shared" si="249"/>
        <v>A1622:A3155</v>
      </c>
    </row>
    <row r="3156" spans="1:15">
      <c r="A3156" s="18">
        <f>Charms!K3156</f>
        <v>0</v>
      </c>
      <c r="B3156">
        <f>Charms!B3156</f>
        <v>0</v>
      </c>
      <c r="C3156" t="b">
        <f ca="1">OR(Values!$S$98&gt;=Charms!M3156,IFERROR(Charms!J3156=OFFSET(Values!$A$24,MATCH("S",Values!$T$25:$T$50,0),0),FALSE))</f>
        <v>1</v>
      </c>
      <c r="D3156" t="e">
        <f>VLOOKUP(Charms!J3156,Values!$A$11:$S$59,19,0)&gt;=Charms!L3156</f>
        <v>#N/A</v>
      </c>
      <c r="E3156" t="e">
        <f>OR(ISBLANK(Charms!I3156),(VLOOKUP(Values!$S$6,Castes!$B$2:$F$25,4,0)=Charms!I3156))</f>
        <v>#N/A</v>
      </c>
      <c r="J3156" t="e">
        <f t="shared" ca="1" si="246"/>
        <v>#N/A</v>
      </c>
      <c r="K3156" s="18" t="e">
        <f t="shared" ca="1" si="245"/>
        <v>#N/A</v>
      </c>
      <c r="L3156" t="e">
        <f ca="1">IF(J3156,Charms!B3156,"")</f>
        <v>#N/A</v>
      </c>
      <c r="M3156" t="str">
        <f t="shared" ca="1" si="247"/>
        <v>-</v>
      </c>
      <c r="N3156" s="18" t="str">
        <f t="shared" si="248"/>
        <v>K1622:L5000</v>
      </c>
      <c r="O3156" t="str">
        <f t="shared" si="249"/>
        <v>A1622:A3156</v>
      </c>
    </row>
    <row r="3157" spans="1:15">
      <c r="A3157" s="18">
        <f>Charms!K3157</f>
        <v>0</v>
      </c>
      <c r="B3157">
        <f>Charms!B3157</f>
        <v>0</v>
      </c>
      <c r="C3157" t="b">
        <f ca="1">OR(Values!$S$98&gt;=Charms!M3157,IFERROR(Charms!J3157=OFFSET(Values!$A$24,MATCH("S",Values!$T$25:$T$50,0),0),FALSE))</f>
        <v>1</v>
      </c>
      <c r="D3157" t="e">
        <f>VLOOKUP(Charms!J3157,Values!$A$11:$S$59,19,0)&gt;=Charms!L3157</f>
        <v>#N/A</v>
      </c>
      <c r="E3157" t="e">
        <f>OR(ISBLANK(Charms!I3157),(VLOOKUP(Values!$S$6,Castes!$B$2:$F$25,4,0)=Charms!I3157))</f>
        <v>#N/A</v>
      </c>
      <c r="J3157" t="e">
        <f t="shared" ca="1" si="246"/>
        <v>#N/A</v>
      </c>
      <c r="K3157" s="18" t="e">
        <f t="shared" ca="1" si="245"/>
        <v>#N/A</v>
      </c>
      <c r="L3157" t="e">
        <f ca="1">IF(J3157,Charms!B3157,"")</f>
        <v>#N/A</v>
      </c>
      <c r="M3157" t="str">
        <f t="shared" ca="1" si="247"/>
        <v>-</v>
      </c>
      <c r="N3157" s="18" t="str">
        <f t="shared" si="248"/>
        <v>K1622:L5000</v>
      </c>
      <c r="O3157" t="str">
        <f t="shared" si="249"/>
        <v>A1622:A3157</v>
      </c>
    </row>
    <row r="3158" spans="1:15">
      <c r="A3158" s="18">
        <f>Charms!K3158</f>
        <v>0</v>
      </c>
      <c r="B3158">
        <f>Charms!B3158</f>
        <v>0</v>
      </c>
      <c r="C3158" t="b">
        <f ca="1">OR(Values!$S$98&gt;=Charms!M3158,IFERROR(Charms!J3158=OFFSET(Values!$A$24,MATCH("S",Values!$T$25:$T$50,0),0),FALSE))</f>
        <v>1</v>
      </c>
      <c r="D3158" t="e">
        <f>VLOOKUP(Charms!J3158,Values!$A$11:$S$59,19,0)&gt;=Charms!L3158</f>
        <v>#N/A</v>
      </c>
      <c r="E3158" t="e">
        <f>OR(ISBLANK(Charms!I3158),(VLOOKUP(Values!$S$6,Castes!$B$2:$F$25,4,0)=Charms!I3158))</f>
        <v>#N/A</v>
      </c>
      <c r="J3158" t="e">
        <f t="shared" ca="1" si="246"/>
        <v>#N/A</v>
      </c>
      <c r="K3158" s="18" t="e">
        <f t="shared" ca="1" si="245"/>
        <v>#N/A</v>
      </c>
      <c r="L3158" t="e">
        <f ca="1">IF(J3158,Charms!B3158,"")</f>
        <v>#N/A</v>
      </c>
      <c r="M3158" t="str">
        <f t="shared" ca="1" si="247"/>
        <v>-</v>
      </c>
      <c r="N3158" s="18" t="str">
        <f t="shared" si="248"/>
        <v>K1622:L5000</v>
      </c>
      <c r="O3158" t="str">
        <f t="shared" si="249"/>
        <v>A1622:A3158</v>
      </c>
    </row>
    <row r="3159" spans="1:15">
      <c r="A3159" s="18">
        <f>Charms!K3159</f>
        <v>0</v>
      </c>
      <c r="B3159">
        <f>Charms!B3159</f>
        <v>0</v>
      </c>
      <c r="C3159" t="b">
        <f ca="1">OR(Values!$S$98&gt;=Charms!M3159,IFERROR(Charms!J3159=OFFSET(Values!$A$24,MATCH("S",Values!$T$25:$T$50,0),0),FALSE))</f>
        <v>1</v>
      </c>
      <c r="D3159" t="e">
        <f>VLOOKUP(Charms!J3159,Values!$A$11:$S$59,19,0)&gt;=Charms!L3159</f>
        <v>#N/A</v>
      </c>
      <c r="E3159" t="e">
        <f>OR(ISBLANK(Charms!I3159),(VLOOKUP(Values!$S$6,Castes!$B$2:$F$25,4,0)=Charms!I3159))</f>
        <v>#N/A</v>
      </c>
      <c r="J3159" t="e">
        <f t="shared" ca="1" si="246"/>
        <v>#N/A</v>
      </c>
      <c r="K3159" s="18" t="e">
        <f t="shared" ca="1" si="245"/>
        <v>#N/A</v>
      </c>
      <c r="L3159" t="e">
        <f ca="1">IF(J3159,Charms!B3159,"")</f>
        <v>#N/A</v>
      </c>
      <c r="M3159" t="str">
        <f t="shared" ca="1" si="247"/>
        <v>-</v>
      </c>
      <c r="N3159" s="18" t="str">
        <f t="shared" si="248"/>
        <v>K1622:L5000</v>
      </c>
      <c r="O3159" t="str">
        <f t="shared" si="249"/>
        <v>A1622:A3159</v>
      </c>
    </row>
    <row r="3160" spans="1:15">
      <c r="A3160" s="18">
        <f>Charms!K3160</f>
        <v>0</v>
      </c>
      <c r="B3160">
        <f>Charms!B3160</f>
        <v>0</v>
      </c>
      <c r="C3160" t="b">
        <f ca="1">OR(Values!$S$98&gt;=Charms!M3160,IFERROR(Charms!J3160=OFFSET(Values!$A$24,MATCH("S",Values!$T$25:$T$50,0),0),FALSE))</f>
        <v>1</v>
      </c>
      <c r="D3160" t="e">
        <f>VLOOKUP(Charms!J3160,Values!$A$11:$S$59,19,0)&gt;=Charms!L3160</f>
        <v>#N/A</v>
      </c>
      <c r="E3160" t="e">
        <f>OR(ISBLANK(Charms!I3160),(VLOOKUP(Values!$S$6,Castes!$B$2:$F$25,4,0)=Charms!I3160))</f>
        <v>#N/A</v>
      </c>
      <c r="J3160" t="e">
        <f t="shared" ca="1" si="246"/>
        <v>#N/A</v>
      </c>
      <c r="K3160" s="18" t="e">
        <f t="shared" ca="1" si="245"/>
        <v>#N/A</v>
      </c>
      <c r="L3160" t="e">
        <f ca="1">IF(J3160,Charms!B3160,"")</f>
        <v>#N/A</v>
      </c>
      <c r="M3160" t="str">
        <f t="shared" ca="1" si="247"/>
        <v>-</v>
      </c>
      <c r="N3160" s="18" t="str">
        <f t="shared" si="248"/>
        <v>K1622:L5000</v>
      </c>
      <c r="O3160" t="str">
        <f t="shared" si="249"/>
        <v>A1622:A3160</v>
      </c>
    </row>
    <row r="3161" spans="1:15">
      <c r="A3161" s="18">
        <f>Charms!K3161</f>
        <v>0</v>
      </c>
      <c r="B3161">
        <f>Charms!B3161</f>
        <v>0</v>
      </c>
      <c r="C3161" t="b">
        <f ca="1">OR(Values!$S$98&gt;=Charms!M3161,IFERROR(Charms!J3161=OFFSET(Values!$A$24,MATCH("S",Values!$T$25:$T$50,0),0),FALSE))</f>
        <v>1</v>
      </c>
      <c r="D3161" t="e">
        <f>VLOOKUP(Charms!J3161,Values!$A$11:$S$59,19,0)&gt;=Charms!L3161</f>
        <v>#N/A</v>
      </c>
      <c r="E3161" t="e">
        <f>OR(ISBLANK(Charms!I3161),(VLOOKUP(Values!$S$6,Castes!$B$2:$F$25,4,0)=Charms!I3161))</f>
        <v>#N/A</v>
      </c>
      <c r="J3161" t="e">
        <f t="shared" ca="1" si="246"/>
        <v>#N/A</v>
      </c>
      <c r="K3161" s="18" t="e">
        <f t="shared" ca="1" si="245"/>
        <v>#N/A</v>
      </c>
      <c r="L3161" t="e">
        <f ca="1">IF(J3161,Charms!B3161,"")</f>
        <v>#N/A</v>
      </c>
      <c r="M3161" t="str">
        <f t="shared" ca="1" si="247"/>
        <v>-</v>
      </c>
      <c r="N3161" s="18" t="str">
        <f t="shared" si="248"/>
        <v>K1622:L5000</v>
      </c>
      <c r="O3161" t="str">
        <f t="shared" si="249"/>
        <v>A1622:A3161</v>
      </c>
    </row>
    <row r="3162" spans="1:15">
      <c r="A3162" s="18">
        <f>Charms!K3162</f>
        <v>0</v>
      </c>
      <c r="B3162">
        <f>Charms!B3162</f>
        <v>0</v>
      </c>
      <c r="C3162" t="b">
        <f ca="1">OR(Values!$S$98&gt;=Charms!M3162,IFERROR(Charms!J3162=OFFSET(Values!$A$24,MATCH("S",Values!$T$25:$T$50,0),0),FALSE))</f>
        <v>1</v>
      </c>
      <c r="D3162" t="e">
        <f>VLOOKUP(Charms!J3162,Values!$A$11:$S$59,19,0)&gt;=Charms!L3162</f>
        <v>#N/A</v>
      </c>
      <c r="E3162" t="e">
        <f>OR(ISBLANK(Charms!I3162),(VLOOKUP(Values!$S$6,Castes!$B$2:$F$25,4,0)=Charms!I3162))</f>
        <v>#N/A</v>
      </c>
      <c r="J3162" t="e">
        <f t="shared" ca="1" si="246"/>
        <v>#N/A</v>
      </c>
      <c r="K3162" s="18" t="e">
        <f t="shared" ca="1" si="245"/>
        <v>#N/A</v>
      </c>
      <c r="L3162" t="e">
        <f ca="1">IF(J3162,Charms!B3162,"")</f>
        <v>#N/A</v>
      </c>
      <c r="M3162" t="str">
        <f t="shared" ca="1" si="247"/>
        <v>-</v>
      </c>
      <c r="N3162" s="18" t="str">
        <f t="shared" si="248"/>
        <v>K1622:L5000</v>
      </c>
      <c r="O3162" t="str">
        <f t="shared" si="249"/>
        <v>A1622:A3162</v>
      </c>
    </row>
    <row r="3163" spans="1:15">
      <c r="A3163" s="18">
        <f>Charms!K3163</f>
        <v>0</v>
      </c>
      <c r="B3163">
        <f>Charms!B3163</f>
        <v>0</v>
      </c>
      <c r="C3163" t="b">
        <f ca="1">OR(Values!$S$98&gt;=Charms!M3163,IFERROR(Charms!J3163=OFFSET(Values!$A$24,MATCH("S",Values!$T$25:$T$50,0),0),FALSE))</f>
        <v>1</v>
      </c>
      <c r="D3163" t="e">
        <f>VLOOKUP(Charms!J3163,Values!$A$11:$S$59,19,0)&gt;=Charms!L3163</f>
        <v>#N/A</v>
      </c>
      <c r="E3163" t="e">
        <f>OR(ISBLANK(Charms!I3163),(VLOOKUP(Values!$S$6,Castes!$B$2:$F$25,4,0)=Charms!I3163))</f>
        <v>#N/A</v>
      </c>
      <c r="J3163" t="e">
        <f t="shared" ca="1" si="246"/>
        <v>#N/A</v>
      </c>
      <c r="K3163" s="18" t="e">
        <f t="shared" ca="1" si="245"/>
        <v>#N/A</v>
      </c>
      <c r="L3163" t="e">
        <f ca="1">IF(J3163,Charms!B3163,"")</f>
        <v>#N/A</v>
      </c>
      <c r="M3163" t="str">
        <f t="shared" ca="1" si="247"/>
        <v>-</v>
      </c>
      <c r="N3163" s="18" t="str">
        <f t="shared" si="248"/>
        <v>K1622:L5000</v>
      </c>
      <c r="O3163" t="str">
        <f t="shared" si="249"/>
        <v>A1622:A3163</v>
      </c>
    </row>
    <row r="3164" spans="1:15">
      <c r="A3164" s="18">
        <f>Charms!K3164</f>
        <v>0</v>
      </c>
      <c r="B3164">
        <f>Charms!B3164</f>
        <v>0</v>
      </c>
      <c r="C3164" t="b">
        <f ca="1">OR(Values!$S$98&gt;=Charms!M3164,IFERROR(Charms!J3164=OFFSET(Values!$A$24,MATCH("S",Values!$T$25:$T$50,0),0),FALSE))</f>
        <v>1</v>
      </c>
      <c r="D3164" t="e">
        <f>VLOOKUP(Charms!J3164,Values!$A$11:$S$59,19,0)&gt;=Charms!L3164</f>
        <v>#N/A</v>
      </c>
      <c r="E3164" t="e">
        <f>OR(ISBLANK(Charms!I3164),(VLOOKUP(Values!$S$6,Castes!$B$2:$F$25,4,0)=Charms!I3164))</f>
        <v>#N/A</v>
      </c>
      <c r="J3164" t="e">
        <f t="shared" ca="1" si="246"/>
        <v>#N/A</v>
      </c>
      <c r="K3164" s="18" t="e">
        <f t="shared" ca="1" si="245"/>
        <v>#N/A</v>
      </c>
      <c r="L3164" t="e">
        <f ca="1">IF(J3164,Charms!B3164,"")</f>
        <v>#N/A</v>
      </c>
      <c r="M3164" t="str">
        <f t="shared" ca="1" si="247"/>
        <v>-</v>
      </c>
      <c r="N3164" s="18" t="str">
        <f t="shared" si="248"/>
        <v>K1622:L5000</v>
      </c>
      <c r="O3164" t="str">
        <f t="shared" si="249"/>
        <v>A1622:A3164</v>
      </c>
    </row>
    <row r="3165" spans="1:15">
      <c r="A3165" s="18">
        <f>Charms!K3165</f>
        <v>0</v>
      </c>
      <c r="B3165">
        <f>Charms!B3165</f>
        <v>0</v>
      </c>
      <c r="C3165" t="b">
        <f ca="1">OR(Values!$S$98&gt;=Charms!M3165,IFERROR(Charms!J3165=OFFSET(Values!$A$24,MATCH("S",Values!$T$25:$T$50,0),0),FALSE))</f>
        <v>1</v>
      </c>
      <c r="D3165" t="e">
        <f>VLOOKUP(Charms!J3165,Values!$A$11:$S$59,19,0)&gt;=Charms!L3165</f>
        <v>#N/A</v>
      </c>
      <c r="E3165" t="e">
        <f>OR(ISBLANK(Charms!I3165),(VLOOKUP(Values!$S$6,Castes!$B$2:$F$25,4,0)=Charms!I3165))</f>
        <v>#N/A</v>
      </c>
      <c r="J3165" t="e">
        <f t="shared" ca="1" si="246"/>
        <v>#N/A</v>
      </c>
      <c r="K3165" s="18" t="e">
        <f t="shared" ca="1" si="245"/>
        <v>#N/A</v>
      </c>
      <c r="L3165" t="e">
        <f ca="1">IF(J3165,Charms!B3165,"")</f>
        <v>#N/A</v>
      </c>
      <c r="M3165" t="str">
        <f t="shared" ca="1" si="247"/>
        <v>-</v>
      </c>
      <c r="N3165" s="18" t="str">
        <f t="shared" si="248"/>
        <v>K1622:L5000</v>
      </c>
      <c r="O3165" t="str">
        <f t="shared" si="249"/>
        <v>A1622:A3165</v>
      </c>
    </row>
    <row r="3166" spans="1:15">
      <c r="A3166" s="18">
        <f>Charms!K3166</f>
        <v>0</v>
      </c>
      <c r="B3166">
        <f>Charms!B3166</f>
        <v>0</v>
      </c>
      <c r="C3166" t="b">
        <f ca="1">OR(Values!$S$98&gt;=Charms!M3166,IFERROR(Charms!J3166=OFFSET(Values!$A$24,MATCH("S",Values!$T$25:$T$50,0),0),FALSE))</f>
        <v>1</v>
      </c>
      <c r="D3166" t="e">
        <f>VLOOKUP(Charms!J3166,Values!$A$11:$S$59,19,0)&gt;=Charms!L3166</f>
        <v>#N/A</v>
      </c>
      <c r="E3166" t="e">
        <f>OR(ISBLANK(Charms!I3166),(VLOOKUP(Values!$S$6,Castes!$B$2:$F$25,4,0)=Charms!I3166))</f>
        <v>#N/A</v>
      </c>
      <c r="J3166" t="e">
        <f t="shared" ca="1" si="246"/>
        <v>#N/A</v>
      </c>
      <c r="K3166" s="18" t="e">
        <f t="shared" ca="1" si="245"/>
        <v>#N/A</v>
      </c>
      <c r="L3166" t="e">
        <f ca="1">IF(J3166,Charms!B3166,"")</f>
        <v>#N/A</v>
      </c>
      <c r="M3166" t="str">
        <f t="shared" ca="1" si="247"/>
        <v>-</v>
      </c>
      <c r="N3166" s="18" t="str">
        <f t="shared" si="248"/>
        <v>K1622:L5000</v>
      </c>
      <c r="O3166" t="str">
        <f t="shared" si="249"/>
        <v>A1622:A3166</v>
      </c>
    </row>
    <row r="3167" spans="1:15">
      <c r="A3167" s="18">
        <f>Charms!K3167</f>
        <v>0</v>
      </c>
      <c r="B3167">
        <f>Charms!B3167</f>
        <v>0</v>
      </c>
      <c r="C3167" t="b">
        <f ca="1">OR(Values!$S$98&gt;=Charms!M3167,IFERROR(Charms!J3167=OFFSET(Values!$A$24,MATCH("S",Values!$T$25:$T$50,0),0),FALSE))</f>
        <v>1</v>
      </c>
      <c r="D3167" t="e">
        <f>VLOOKUP(Charms!J3167,Values!$A$11:$S$59,19,0)&gt;=Charms!L3167</f>
        <v>#N/A</v>
      </c>
      <c r="E3167" t="e">
        <f>OR(ISBLANK(Charms!I3167),(VLOOKUP(Values!$S$6,Castes!$B$2:$F$25,4,0)=Charms!I3167))</f>
        <v>#N/A</v>
      </c>
      <c r="J3167" t="e">
        <f t="shared" ca="1" si="246"/>
        <v>#N/A</v>
      </c>
      <c r="K3167" s="18" t="e">
        <f t="shared" ca="1" si="245"/>
        <v>#N/A</v>
      </c>
      <c r="L3167" t="e">
        <f ca="1">IF(J3167,Charms!B3167,"")</f>
        <v>#N/A</v>
      </c>
      <c r="M3167" t="str">
        <f t="shared" ca="1" si="247"/>
        <v>-</v>
      </c>
      <c r="N3167" s="18" t="str">
        <f t="shared" si="248"/>
        <v>K1622:L5000</v>
      </c>
      <c r="O3167" t="str">
        <f t="shared" si="249"/>
        <v>A1622:A3167</v>
      </c>
    </row>
    <row r="3168" spans="1:15">
      <c r="A3168" s="18">
        <f>Charms!K3168</f>
        <v>0</v>
      </c>
      <c r="B3168">
        <f>Charms!B3168</f>
        <v>0</v>
      </c>
      <c r="C3168" t="b">
        <f ca="1">OR(Values!$S$98&gt;=Charms!M3168,IFERROR(Charms!J3168=OFFSET(Values!$A$24,MATCH("S",Values!$T$25:$T$50,0),0),FALSE))</f>
        <v>1</v>
      </c>
      <c r="D3168" t="e">
        <f>VLOOKUP(Charms!J3168,Values!$A$11:$S$59,19,0)&gt;=Charms!L3168</f>
        <v>#N/A</v>
      </c>
      <c r="E3168" t="e">
        <f>OR(ISBLANK(Charms!I3168),(VLOOKUP(Values!$S$6,Castes!$B$2:$F$25,4,0)=Charms!I3168))</f>
        <v>#N/A</v>
      </c>
      <c r="J3168" t="e">
        <f t="shared" ca="1" si="246"/>
        <v>#N/A</v>
      </c>
      <c r="K3168" s="18" t="e">
        <f t="shared" ca="1" si="245"/>
        <v>#N/A</v>
      </c>
      <c r="L3168" t="e">
        <f ca="1">IF(J3168,Charms!B3168,"")</f>
        <v>#N/A</v>
      </c>
      <c r="M3168" t="str">
        <f t="shared" ca="1" si="247"/>
        <v>-</v>
      </c>
      <c r="N3168" s="18" t="str">
        <f t="shared" si="248"/>
        <v>K1622:L5000</v>
      </c>
      <c r="O3168" t="str">
        <f t="shared" si="249"/>
        <v>A1622:A3168</v>
      </c>
    </row>
    <row r="3169" spans="1:15">
      <c r="A3169" s="18">
        <f>Charms!K3169</f>
        <v>0</v>
      </c>
      <c r="B3169">
        <f>Charms!B3169</f>
        <v>0</v>
      </c>
      <c r="C3169" t="b">
        <f ca="1">OR(Values!$S$98&gt;=Charms!M3169,IFERROR(Charms!J3169=OFFSET(Values!$A$24,MATCH("S",Values!$T$25:$T$50,0),0),FALSE))</f>
        <v>1</v>
      </c>
      <c r="D3169" t="e">
        <f>VLOOKUP(Charms!J3169,Values!$A$11:$S$59,19,0)&gt;=Charms!L3169</f>
        <v>#N/A</v>
      </c>
      <c r="E3169" t="e">
        <f>OR(ISBLANK(Charms!I3169),(VLOOKUP(Values!$S$6,Castes!$B$2:$F$25,4,0)=Charms!I3169))</f>
        <v>#N/A</v>
      </c>
      <c r="J3169" t="e">
        <f t="shared" ca="1" si="246"/>
        <v>#N/A</v>
      </c>
      <c r="K3169" s="18" t="e">
        <f t="shared" ca="1" si="245"/>
        <v>#N/A</v>
      </c>
      <c r="L3169" t="e">
        <f ca="1">IF(J3169,Charms!B3169,"")</f>
        <v>#N/A</v>
      </c>
      <c r="M3169" t="str">
        <f t="shared" ca="1" si="247"/>
        <v>-</v>
      </c>
      <c r="N3169" s="18" t="str">
        <f t="shared" si="248"/>
        <v>K1622:L5000</v>
      </c>
      <c r="O3169" t="str">
        <f t="shared" si="249"/>
        <v>A1622:A3169</v>
      </c>
    </row>
    <row r="3170" spans="1:15">
      <c r="A3170" s="18">
        <f>Charms!K3170</f>
        <v>0</v>
      </c>
      <c r="B3170">
        <f>Charms!B3170</f>
        <v>0</v>
      </c>
      <c r="C3170" t="b">
        <f ca="1">OR(Values!$S$98&gt;=Charms!M3170,IFERROR(Charms!J3170=OFFSET(Values!$A$24,MATCH("S",Values!$T$25:$T$50,0),0),FALSE))</f>
        <v>1</v>
      </c>
      <c r="D3170" t="e">
        <f>VLOOKUP(Charms!J3170,Values!$A$11:$S$59,19,0)&gt;=Charms!L3170</f>
        <v>#N/A</v>
      </c>
      <c r="E3170" t="e">
        <f>OR(ISBLANK(Charms!I3170),(VLOOKUP(Values!$S$6,Castes!$B$2:$F$25,4,0)=Charms!I3170))</f>
        <v>#N/A</v>
      </c>
      <c r="J3170" t="e">
        <f t="shared" ca="1" si="246"/>
        <v>#N/A</v>
      </c>
      <c r="K3170" s="18" t="e">
        <f t="shared" ca="1" si="245"/>
        <v>#N/A</v>
      </c>
      <c r="L3170" t="e">
        <f ca="1">IF(J3170,Charms!B3170,"")</f>
        <v>#N/A</v>
      </c>
      <c r="M3170" t="str">
        <f t="shared" ca="1" si="247"/>
        <v>-</v>
      </c>
      <c r="N3170" s="18" t="str">
        <f t="shared" si="248"/>
        <v>K1622:L5000</v>
      </c>
      <c r="O3170" t="str">
        <f t="shared" si="249"/>
        <v>A1622:A3170</v>
      </c>
    </row>
    <row r="3171" spans="1:15">
      <c r="A3171" s="18">
        <f>Charms!K3171</f>
        <v>0</v>
      </c>
      <c r="B3171">
        <f>Charms!B3171</f>
        <v>0</v>
      </c>
      <c r="C3171" t="b">
        <f ca="1">OR(Values!$S$98&gt;=Charms!M3171,IFERROR(Charms!J3171=OFFSET(Values!$A$24,MATCH("S",Values!$T$25:$T$50,0),0),FALSE))</f>
        <v>1</v>
      </c>
      <c r="D3171" t="e">
        <f>VLOOKUP(Charms!J3171,Values!$A$11:$S$59,19,0)&gt;=Charms!L3171</f>
        <v>#N/A</v>
      </c>
      <c r="E3171" t="e">
        <f>OR(ISBLANK(Charms!I3171),(VLOOKUP(Values!$S$6,Castes!$B$2:$F$25,4,0)=Charms!I3171))</f>
        <v>#N/A</v>
      </c>
      <c r="J3171" t="e">
        <f t="shared" ca="1" si="246"/>
        <v>#N/A</v>
      </c>
      <c r="K3171" s="18" t="e">
        <f t="shared" ca="1" si="245"/>
        <v>#N/A</v>
      </c>
      <c r="L3171" t="e">
        <f ca="1">IF(J3171,Charms!B3171,"")</f>
        <v>#N/A</v>
      </c>
      <c r="M3171" t="str">
        <f t="shared" ca="1" si="247"/>
        <v>-</v>
      </c>
      <c r="N3171" s="18" t="str">
        <f t="shared" si="248"/>
        <v>K1622:L5000</v>
      </c>
      <c r="O3171" t="str">
        <f t="shared" si="249"/>
        <v>A1622:A3171</v>
      </c>
    </row>
    <row r="3172" spans="1:15">
      <c r="A3172" s="18">
        <f>Charms!K3172</f>
        <v>0</v>
      </c>
      <c r="B3172">
        <f>Charms!B3172</f>
        <v>0</v>
      </c>
      <c r="C3172" t="b">
        <f ca="1">OR(Values!$S$98&gt;=Charms!M3172,IFERROR(Charms!J3172=OFFSET(Values!$A$24,MATCH("S",Values!$T$25:$T$50,0),0),FALSE))</f>
        <v>1</v>
      </c>
      <c r="D3172" t="e">
        <f>VLOOKUP(Charms!J3172,Values!$A$11:$S$59,19,0)&gt;=Charms!L3172</f>
        <v>#N/A</v>
      </c>
      <c r="E3172" t="e">
        <f>OR(ISBLANK(Charms!I3172),(VLOOKUP(Values!$S$6,Castes!$B$2:$F$25,4,0)=Charms!I3172))</f>
        <v>#N/A</v>
      </c>
      <c r="J3172" t="e">
        <f t="shared" ca="1" si="246"/>
        <v>#N/A</v>
      </c>
      <c r="K3172" s="18" t="e">
        <f t="shared" ca="1" si="245"/>
        <v>#N/A</v>
      </c>
      <c r="L3172" t="e">
        <f ca="1">IF(J3172,Charms!B3172,"")</f>
        <v>#N/A</v>
      </c>
      <c r="M3172" t="str">
        <f t="shared" ca="1" si="247"/>
        <v>-</v>
      </c>
      <c r="N3172" s="18" t="str">
        <f t="shared" si="248"/>
        <v>K1622:L5000</v>
      </c>
      <c r="O3172" t="str">
        <f t="shared" si="249"/>
        <v>A1622:A3172</v>
      </c>
    </row>
    <row r="3173" spans="1:15">
      <c r="A3173" s="18">
        <f>Charms!K3173</f>
        <v>0</v>
      </c>
      <c r="B3173">
        <f>Charms!B3173</f>
        <v>0</v>
      </c>
      <c r="C3173" t="b">
        <f ca="1">OR(Values!$S$98&gt;=Charms!M3173,IFERROR(Charms!J3173=OFFSET(Values!$A$24,MATCH("S",Values!$T$25:$T$50,0),0),FALSE))</f>
        <v>1</v>
      </c>
      <c r="D3173" t="e">
        <f>VLOOKUP(Charms!J3173,Values!$A$11:$S$59,19,0)&gt;=Charms!L3173</f>
        <v>#N/A</v>
      </c>
      <c r="E3173" t="e">
        <f>OR(ISBLANK(Charms!I3173),(VLOOKUP(Values!$S$6,Castes!$B$2:$F$25,4,0)=Charms!I3173))</f>
        <v>#N/A</v>
      </c>
      <c r="J3173" t="e">
        <f t="shared" ca="1" si="246"/>
        <v>#N/A</v>
      </c>
      <c r="K3173" s="18" t="e">
        <f t="shared" ca="1" si="245"/>
        <v>#N/A</v>
      </c>
      <c r="L3173" t="e">
        <f ca="1">IF(J3173,Charms!B3173,"")</f>
        <v>#N/A</v>
      </c>
      <c r="M3173" t="str">
        <f t="shared" ca="1" si="247"/>
        <v>-</v>
      </c>
      <c r="N3173" s="18" t="str">
        <f t="shared" si="248"/>
        <v>K1622:L5000</v>
      </c>
      <c r="O3173" t="str">
        <f t="shared" si="249"/>
        <v>A1622:A3173</v>
      </c>
    </row>
    <row r="3174" spans="1:15">
      <c r="A3174" s="18">
        <f>Charms!K3174</f>
        <v>0</v>
      </c>
      <c r="B3174">
        <f>Charms!B3174</f>
        <v>0</v>
      </c>
      <c r="C3174" t="b">
        <f ca="1">OR(Values!$S$98&gt;=Charms!M3174,IFERROR(Charms!J3174=OFFSET(Values!$A$24,MATCH("S",Values!$T$25:$T$50,0),0),FALSE))</f>
        <v>1</v>
      </c>
      <c r="D3174" t="e">
        <f>VLOOKUP(Charms!J3174,Values!$A$11:$S$59,19,0)&gt;=Charms!L3174</f>
        <v>#N/A</v>
      </c>
      <c r="E3174" t="e">
        <f>OR(ISBLANK(Charms!I3174),(VLOOKUP(Values!$S$6,Castes!$B$2:$F$25,4,0)=Charms!I3174))</f>
        <v>#N/A</v>
      </c>
      <c r="J3174" t="e">
        <f t="shared" ca="1" si="246"/>
        <v>#N/A</v>
      </c>
      <c r="K3174" s="18" t="e">
        <f t="shared" ca="1" si="245"/>
        <v>#N/A</v>
      </c>
      <c r="L3174" t="e">
        <f ca="1">IF(J3174,Charms!B3174,"")</f>
        <v>#N/A</v>
      </c>
      <c r="M3174" t="str">
        <f t="shared" ca="1" si="247"/>
        <v>-</v>
      </c>
      <c r="N3174" s="18" t="str">
        <f t="shared" si="248"/>
        <v>K1622:L5000</v>
      </c>
      <c r="O3174" t="str">
        <f t="shared" si="249"/>
        <v>A1622:A3174</v>
      </c>
    </row>
    <row r="3175" spans="1:15">
      <c r="A3175" s="18">
        <f>Charms!K3175</f>
        <v>0</v>
      </c>
      <c r="B3175">
        <f>Charms!B3175</f>
        <v>0</v>
      </c>
      <c r="C3175" t="b">
        <f ca="1">OR(Values!$S$98&gt;=Charms!M3175,IFERROR(Charms!J3175=OFFSET(Values!$A$24,MATCH("S",Values!$T$25:$T$50,0),0),FALSE))</f>
        <v>1</v>
      </c>
      <c r="D3175" t="e">
        <f>VLOOKUP(Charms!J3175,Values!$A$11:$S$59,19,0)&gt;=Charms!L3175</f>
        <v>#N/A</v>
      </c>
      <c r="E3175" t="e">
        <f>OR(ISBLANK(Charms!I3175),(VLOOKUP(Values!$S$6,Castes!$B$2:$F$25,4,0)=Charms!I3175))</f>
        <v>#N/A</v>
      </c>
      <c r="J3175" t="e">
        <f t="shared" ca="1" si="246"/>
        <v>#N/A</v>
      </c>
      <c r="K3175" s="18" t="e">
        <f t="shared" ca="1" si="245"/>
        <v>#N/A</v>
      </c>
      <c r="L3175" t="e">
        <f ca="1">IF(J3175,Charms!B3175,"")</f>
        <v>#N/A</v>
      </c>
      <c r="M3175" t="str">
        <f t="shared" ca="1" si="247"/>
        <v>-</v>
      </c>
      <c r="N3175" s="18" t="str">
        <f t="shared" si="248"/>
        <v>K1622:L5000</v>
      </c>
      <c r="O3175" t="str">
        <f t="shared" si="249"/>
        <v>A1622:A3175</v>
      </c>
    </row>
    <row r="3176" spans="1:15">
      <c r="A3176" s="18">
        <f>Charms!K3176</f>
        <v>0</v>
      </c>
      <c r="B3176">
        <f>Charms!B3176</f>
        <v>0</v>
      </c>
      <c r="C3176" t="b">
        <f ca="1">OR(Values!$S$98&gt;=Charms!M3176,IFERROR(Charms!J3176=OFFSET(Values!$A$24,MATCH("S",Values!$T$25:$T$50,0),0),FALSE))</f>
        <v>1</v>
      </c>
      <c r="D3176" t="e">
        <f>VLOOKUP(Charms!J3176,Values!$A$11:$S$59,19,0)&gt;=Charms!L3176</f>
        <v>#N/A</v>
      </c>
      <c r="E3176" t="e">
        <f>OR(ISBLANK(Charms!I3176),(VLOOKUP(Values!$S$6,Castes!$B$2:$F$25,4,0)=Charms!I3176))</f>
        <v>#N/A</v>
      </c>
      <c r="J3176" t="e">
        <f t="shared" ca="1" si="246"/>
        <v>#N/A</v>
      </c>
      <c r="K3176" s="18" t="e">
        <f t="shared" ca="1" si="245"/>
        <v>#N/A</v>
      </c>
      <c r="L3176" t="e">
        <f ca="1">IF(J3176,Charms!B3176,"")</f>
        <v>#N/A</v>
      </c>
      <c r="M3176" t="str">
        <f t="shared" ca="1" si="247"/>
        <v>-</v>
      </c>
      <c r="N3176" s="18" t="str">
        <f t="shared" si="248"/>
        <v>K1622:L5000</v>
      </c>
      <c r="O3176" t="str">
        <f t="shared" si="249"/>
        <v>A1622:A3176</v>
      </c>
    </row>
    <row r="3177" spans="1:15">
      <c r="A3177" s="18">
        <f>Charms!K3177</f>
        <v>0</v>
      </c>
      <c r="B3177">
        <f>Charms!B3177</f>
        <v>0</v>
      </c>
      <c r="C3177" t="b">
        <f ca="1">OR(Values!$S$98&gt;=Charms!M3177,IFERROR(Charms!J3177=OFFSET(Values!$A$24,MATCH("S",Values!$T$25:$T$50,0),0),FALSE))</f>
        <v>1</v>
      </c>
      <c r="D3177" t="e">
        <f>VLOOKUP(Charms!J3177,Values!$A$11:$S$59,19,0)&gt;=Charms!L3177</f>
        <v>#N/A</v>
      </c>
      <c r="E3177" t="e">
        <f>OR(ISBLANK(Charms!I3177),(VLOOKUP(Values!$S$6,Castes!$B$2:$F$25,4,0)=Charms!I3177))</f>
        <v>#N/A</v>
      </c>
      <c r="J3177" t="e">
        <f t="shared" ca="1" si="246"/>
        <v>#N/A</v>
      </c>
      <c r="K3177" s="18" t="e">
        <f t="shared" ca="1" si="245"/>
        <v>#N/A</v>
      </c>
      <c r="L3177" t="e">
        <f ca="1">IF(J3177,Charms!B3177,"")</f>
        <v>#N/A</v>
      </c>
      <c r="M3177" t="str">
        <f t="shared" ca="1" si="247"/>
        <v>-</v>
      </c>
      <c r="N3177" s="18" t="str">
        <f t="shared" si="248"/>
        <v>K1622:L5000</v>
      </c>
      <c r="O3177" t="str">
        <f t="shared" si="249"/>
        <v>A1622:A3177</v>
      </c>
    </row>
    <row r="3178" spans="1:15">
      <c r="A3178" s="18">
        <f>Charms!K3178</f>
        <v>0</v>
      </c>
      <c r="B3178">
        <f>Charms!B3178</f>
        <v>0</v>
      </c>
      <c r="C3178" t="b">
        <f ca="1">OR(Values!$S$98&gt;=Charms!M3178,IFERROR(Charms!J3178=OFFSET(Values!$A$24,MATCH("S",Values!$T$25:$T$50,0),0),FALSE))</f>
        <v>1</v>
      </c>
      <c r="D3178" t="e">
        <f>VLOOKUP(Charms!J3178,Values!$A$11:$S$59,19,0)&gt;=Charms!L3178</f>
        <v>#N/A</v>
      </c>
      <c r="E3178" t="e">
        <f>OR(ISBLANK(Charms!I3178),(VLOOKUP(Values!$S$6,Castes!$B$2:$F$25,4,0)=Charms!I3178))</f>
        <v>#N/A</v>
      </c>
      <c r="J3178" t="e">
        <f t="shared" ca="1" si="246"/>
        <v>#N/A</v>
      </c>
      <c r="K3178" s="18" t="e">
        <f t="shared" ca="1" si="245"/>
        <v>#N/A</v>
      </c>
      <c r="L3178" t="e">
        <f ca="1">IF(J3178,Charms!B3178,"")</f>
        <v>#N/A</v>
      </c>
      <c r="M3178" t="str">
        <f t="shared" ca="1" si="247"/>
        <v>-</v>
      </c>
      <c r="N3178" s="18" t="str">
        <f t="shared" si="248"/>
        <v>K1622:L5000</v>
      </c>
      <c r="O3178" t="str">
        <f t="shared" si="249"/>
        <v>A1622:A3178</v>
      </c>
    </row>
    <row r="3179" spans="1:15">
      <c r="A3179" s="18">
        <f>Charms!K3179</f>
        <v>0</v>
      </c>
      <c r="B3179">
        <f>Charms!B3179</f>
        <v>0</v>
      </c>
      <c r="C3179" t="b">
        <f ca="1">OR(Values!$S$98&gt;=Charms!M3179,IFERROR(Charms!J3179=OFFSET(Values!$A$24,MATCH("S",Values!$T$25:$T$50,0),0),FALSE))</f>
        <v>1</v>
      </c>
      <c r="D3179" t="e">
        <f>VLOOKUP(Charms!J3179,Values!$A$11:$S$59,19,0)&gt;=Charms!L3179</f>
        <v>#N/A</v>
      </c>
      <c r="E3179" t="e">
        <f>OR(ISBLANK(Charms!I3179),(VLOOKUP(Values!$S$6,Castes!$B$2:$F$25,4,0)=Charms!I3179))</f>
        <v>#N/A</v>
      </c>
      <c r="J3179" t="e">
        <f t="shared" ca="1" si="246"/>
        <v>#N/A</v>
      </c>
      <c r="K3179" s="18" t="e">
        <f t="shared" ca="1" si="245"/>
        <v>#N/A</v>
      </c>
      <c r="L3179" t="e">
        <f ca="1">IF(J3179,Charms!B3179,"")</f>
        <v>#N/A</v>
      </c>
      <c r="M3179" t="str">
        <f t="shared" ca="1" si="247"/>
        <v>-</v>
      </c>
      <c r="N3179" s="18" t="str">
        <f t="shared" si="248"/>
        <v>K1622:L5000</v>
      </c>
      <c r="O3179" t="str">
        <f t="shared" si="249"/>
        <v>A1622:A3179</v>
      </c>
    </row>
    <row r="3180" spans="1:15">
      <c r="A3180" s="18">
        <f>Charms!K3180</f>
        <v>0</v>
      </c>
      <c r="B3180">
        <f>Charms!B3180</f>
        <v>0</v>
      </c>
      <c r="C3180" t="b">
        <f ca="1">OR(Values!$S$98&gt;=Charms!M3180,IFERROR(Charms!J3180=OFFSET(Values!$A$24,MATCH("S",Values!$T$25:$T$50,0),0),FALSE))</f>
        <v>1</v>
      </c>
      <c r="D3180" t="e">
        <f>VLOOKUP(Charms!J3180,Values!$A$11:$S$59,19,0)&gt;=Charms!L3180</f>
        <v>#N/A</v>
      </c>
      <c r="E3180" t="e">
        <f>OR(ISBLANK(Charms!I3180),(VLOOKUP(Values!$S$6,Castes!$B$2:$F$25,4,0)=Charms!I3180))</f>
        <v>#N/A</v>
      </c>
      <c r="J3180" t="e">
        <f t="shared" ca="1" si="246"/>
        <v>#N/A</v>
      </c>
      <c r="K3180" s="18" t="e">
        <f t="shared" ca="1" si="245"/>
        <v>#N/A</v>
      </c>
      <c r="L3180" t="e">
        <f ca="1">IF(J3180,Charms!B3180,"")</f>
        <v>#N/A</v>
      </c>
      <c r="M3180" t="str">
        <f t="shared" ca="1" si="247"/>
        <v>-</v>
      </c>
      <c r="N3180" s="18" t="str">
        <f t="shared" si="248"/>
        <v>K1622:L5000</v>
      </c>
      <c r="O3180" t="str">
        <f t="shared" si="249"/>
        <v>A1622:A3180</v>
      </c>
    </row>
    <row r="3181" spans="1:15">
      <c r="A3181" s="18">
        <f>Charms!K3181</f>
        <v>0</v>
      </c>
      <c r="B3181">
        <f>Charms!B3181</f>
        <v>0</v>
      </c>
      <c r="C3181" t="b">
        <f ca="1">OR(Values!$S$98&gt;=Charms!M3181,IFERROR(Charms!J3181=OFFSET(Values!$A$24,MATCH("S",Values!$T$25:$T$50,0),0),FALSE))</f>
        <v>1</v>
      </c>
      <c r="D3181" t="e">
        <f>VLOOKUP(Charms!J3181,Values!$A$11:$S$59,19,0)&gt;=Charms!L3181</f>
        <v>#N/A</v>
      </c>
      <c r="E3181" t="e">
        <f>OR(ISBLANK(Charms!I3181),(VLOOKUP(Values!$S$6,Castes!$B$2:$F$25,4,0)=Charms!I3181))</f>
        <v>#N/A</v>
      </c>
      <c r="J3181" t="e">
        <f t="shared" ca="1" si="246"/>
        <v>#N/A</v>
      </c>
      <c r="K3181" s="18" t="e">
        <f t="shared" ca="1" si="245"/>
        <v>#N/A</v>
      </c>
      <c r="L3181" t="e">
        <f ca="1">IF(J3181,Charms!B3181,"")</f>
        <v>#N/A</v>
      </c>
      <c r="M3181" t="str">
        <f t="shared" ca="1" si="247"/>
        <v>-</v>
      </c>
      <c r="N3181" s="18" t="str">
        <f t="shared" si="248"/>
        <v>K1622:L5000</v>
      </c>
      <c r="O3181" t="str">
        <f t="shared" si="249"/>
        <v>A1622:A3181</v>
      </c>
    </row>
    <row r="3182" spans="1:15">
      <c r="A3182" s="18">
        <f>Charms!K3182</f>
        <v>0</v>
      </c>
      <c r="B3182">
        <f>Charms!B3182</f>
        <v>0</v>
      </c>
      <c r="C3182" t="b">
        <f ca="1">OR(Values!$S$98&gt;=Charms!M3182,IFERROR(Charms!J3182=OFFSET(Values!$A$24,MATCH("S",Values!$T$25:$T$50,0),0),FALSE))</f>
        <v>1</v>
      </c>
      <c r="D3182" t="e">
        <f>VLOOKUP(Charms!J3182,Values!$A$11:$S$59,19,0)&gt;=Charms!L3182</f>
        <v>#N/A</v>
      </c>
      <c r="E3182" t="e">
        <f>OR(ISBLANK(Charms!I3182),(VLOOKUP(Values!$S$6,Castes!$B$2:$F$25,4,0)=Charms!I3182))</f>
        <v>#N/A</v>
      </c>
      <c r="J3182" t="e">
        <f t="shared" ca="1" si="246"/>
        <v>#N/A</v>
      </c>
      <c r="K3182" s="18" t="e">
        <f t="shared" ca="1" si="245"/>
        <v>#N/A</v>
      </c>
      <c r="L3182" t="e">
        <f ca="1">IF(J3182,Charms!B3182,"")</f>
        <v>#N/A</v>
      </c>
      <c r="M3182" t="str">
        <f t="shared" ca="1" si="247"/>
        <v>-</v>
      </c>
      <c r="N3182" s="18" t="str">
        <f t="shared" si="248"/>
        <v>K1622:L5000</v>
      </c>
      <c r="O3182" t="str">
        <f t="shared" si="249"/>
        <v>A1622:A3182</v>
      </c>
    </row>
    <row r="3183" spans="1:15">
      <c r="A3183" s="18">
        <f>Charms!K3183</f>
        <v>0</v>
      </c>
      <c r="B3183">
        <f>Charms!B3183</f>
        <v>0</v>
      </c>
      <c r="C3183" t="b">
        <f ca="1">OR(Values!$S$98&gt;=Charms!M3183,IFERROR(Charms!J3183=OFFSET(Values!$A$24,MATCH("S",Values!$T$25:$T$50,0),0),FALSE))</f>
        <v>1</v>
      </c>
      <c r="D3183" t="e">
        <f>VLOOKUP(Charms!J3183,Values!$A$11:$S$59,19,0)&gt;=Charms!L3183</f>
        <v>#N/A</v>
      </c>
      <c r="E3183" t="e">
        <f>OR(ISBLANK(Charms!I3183),(VLOOKUP(Values!$S$6,Castes!$B$2:$F$25,4,0)=Charms!I3183))</f>
        <v>#N/A</v>
      </c>
      <c r="J3183" t="e">
        <f t="shared" ca="1" si="246"/>
        <v>#N/A</v>
      </c>
      <c r="K3183" s="18" t="e">
        <f t="shared" ca="1" si="245"/>
        <v>#N/A</v>
      </c>
      <c r="L3183" t="e">
        <f ca="1">IF(J3183,Charms!B3183,"")</f>
        <v>#N/A</v>
      </c>
      <c r="M3183" t="str">
        <f t="shared" ca="1" si="247"/>
        <v>-</v>
      </c>
      <c r="N3183" s="18" t="str">
        <f t="shared" si="248"/>
        <v>K1622:L5000</v>
      </c>
      <c r="O3183" t="str">
        <f t="shared" si="249"/>
        <v>A1622:A3183</v>
      </c>
    </row>
    <row r="3184" spans="1:15">
      <c r="A3184" s="18">
        <f>Charms!K3184</f>
        <v>0</v>
      </c>
      <c r="B3184">
        <f>Charms!B3184</f>
        <v>0</v>
      </c>
      <c r="C3184" t="b">
        <f ca="1">OR(Values!$S$98&gt;=Charms!M3184,IFERROR(Charms!J3184=OFFSET(Values!$A$24,MATCH("S",Values!$T$25:$T$50,0),0),FALSE))</f>
        <v>1</v>
      </c>
      <c r="D3184" t="e">
        <f>VLOOKUP(Charms!J3184,Values!$A$11:$S$59,19,0)&gt;=Charms!L3184</f>
        <v>#N/A</v>
      </c>
      <c r="E3184" t="e">
        <f>OR(ISBLANK(Charms!I3184),(VLOOKUP(Values!$S$6,Castes!$B$2:$F$25,4,0)=Charms!I3184))</f>
        <v>#N/A</v>
      </c>
      <c r="J3184" t="e">
        <f t="shared" ca="1" si="246"/>
        <v>#N/A</v>
      </c>
      <c r="K3184" s="18" t="e">
        <f t="shared" ca="1" si="245"/>
        <v>#N/A</v>
      </c>
      <c r="L3184" t="e">
        <f ca="1">IF(J3184,Charms!B3184,"")</f>
        <v>#N/A</v>
      </c>
      <c r="M3184" t="str">
        <f t="shared" ca="1" si="247"/>
        <v>-</v>
      </c>
      <c r="N3184" s="18" t="str">
        <f t="shared" si="248"/>
        <v>K1622:L5000</v>
      </c>
      <c r="O3184" t="str">
        <f t="shared" si="249"/>
        <v>A1622:A3184</v>
      </c>
    </row>
    <row r="3185" spans="1:15">
      <c r="A3185" s="18">
        <f>Charms!K3185</f>
        <v>0</v>
      </c>
      <c r="B3185">
        <f>Charms!B3185</f>
        <v>0</v>
      </c>
      <c r="C3185" t="b">
        <f ca="1">OR(Values!$S$98&gt;=Charms!M3185,IFERROR(Charms!J3185=OFFSET(Values!$A$24,MATCH("S",Values!$T$25:$T$50,0),0),FALSE))</f>
        <v>1</v>
      </c>
      <c r="D3185" t="e">
        <f>VLOOKUP(Charms!J3185,Values!$A$11:$S$59,19,0)&gt;=Charms!L3185</f>
        <v>#N/A</v>
      </c>
      <c r="E3185" t="e">
        <f>OR(ISBLANK(Charms!I3185),(VLOOKUP(Values!$S$6,Castes!$B$2:$F$25,4,0)=Charms!I3185))</f>
        <v>#N/A</v>
      </c>
      <c r="J3185" t="e">
        <f t="shared" ca="1" si="246"/>
        <v>#N/A</v>
      </c>
      <c r="K3185" s="18" t="e">
        <f t="shared" ca="1" si="245"/>
        <v>#N/A</v>
      </c>
      <c r="L3185" t="e">
        <f ca="1">IF(J3185,Charms!B3185,"")</f>
        <v>#N/A</v>
      </c>
      <c r="M3185" t="str">
        <f t="shared" ca="1" si="247"/>
        <v>-</v>
      </c>
      <c r="N3185" s="18" t="str">
        <f t="shared" si="248"/>
        <v>K1622:L5000</v>
      </c>
      <c r="O3185" t="str">
        <f t="shared" si="249"/>
        <v>A1622:A3185</v>
      </c>
    </row>
    <row r="3186" spans="1:15">
      <c r="A3186" s="18">
        <f>Charms!K3186</f>
        <v>0</v>
      </c>
      <c r="B3186">
        <f>Charms!B3186</f>
        <v>0</v>
      </c>
      <c r="C3186" t="b">
        <f ca="1">OR(Values!$S$98&gt;=Charms!M3186,IFERROR(Charms!J3186=OFFSET(Values!$A$24,MATCH("S",Values!$T$25:$T$50,0),0),FALSE))</f>
        <v>1</v>
      </c>
      <c r="D3186" t="e">
        <f>VLOOKUP(Charms!J3186,Values!$A$11:$S$59,19,0)&gt;=Charms!L3186</f>
        <v>#N/A</v>
      </c>
      <c r="E3186" t="e">
        <f>OR(ISBLANK(Charms!I3186),(VLOOKUP(Values!$S$6,Castes!$B$2:$F$25,4,0)=Charms!I3186))</f>
        <v>#N/A</v>
      </c>
      <c r="J3186" t="e">
        <f t="shared" ca="1" si="246"/>
        <v>#N/A</v>
      </c>
      <c r="K3186" s="18" t="e">
        <f t="shared" ca="1" si="245"/>
        <v>#N/A</v>
      </c>
      <c r="L3186" t="e">
        <f ca="1">IF(J3186,Charms!B3186,"")</f>
        <v>#N/A</v>
      </c>
      <c r="M3186" t="str">
        <f t="shared" ca="1" si="247"/>
        <v>-</v>
      </c>
      <c r="N3186" s="18" t="str">
        <f t="shared" si="248"/>
        <v>K1622:L5000</v>
      </c>
      <c r="O3186" t="str">
        <f t="shared" si="249"/>
        <v>A1622:A3186</v>
      </c>
    </row>
    <row r="3187" spans="1:15">
      <c r="A3187" s="18">
        <f>Charms!K3187</f>
        <v>0</v>
      </c>
      <c r="B3187">
        <f>Charms!B3187</f>
        <v>0</v>
      </c>
      <c r="C3187" t="b">
        <f ca="1">OR(Values!$S$98&gt;=Charms!M3187,IFERROR(Charms!J3187=OFFSET(Values!$A$24,MATCH("S",Values!$T$25:$T$50,0),0),FALSE))</f>
        <v>1</v>
      </c>
      <c r="D3187" t="e">
        <f>VLOOKUP(Charms!J3187,Values!$A$11:$S$59,19,0)&gt;=Charms!L3187</f>
        <v>#N/A</v>
      </c>
      <c r="E3187" t="e">
        <f>OR(ISBLANK(Charms!I3187),(VLOOKUP(Values!$S$6,Castes!$B$2:$F$25,4,0)=Charms!I3187))</f>
        <v>#N/A</v>
      </c>
      <c r="J3187" t="e">
        <f t="shared" ca="1" si="246"/>
        <v>#N/A</v>
      </c>
      <c r="K3187" s="18" t="e">
        <f t="shared" ca="1" si="245"/>
        <v>#N/A</v>
      </c>
      <c r="L3187" t="e">
        <f ca="1">IF(J3187,Charms!B3187,"")</f>
        <v>#N/A</v>
      </c>
      <c r="M3187" t="str">
        <f t="shared" ca="1" si="247"/>
        <v>-</v>
      </c>
      <c r="N3187" s="18" t="str">
        <f t="shared" si="248"/>
        <v>K1622:L5000</v>
      </c>
      <c r="O3187" t="str">
        <f t="shared" si="249"/>
        <v>A1622:A3187</v>
      </c>
    </row>
    <row r="3188" spans="1:15">
      <c r="A3188" s="18">
        <f>Charms!K3188</f>
        <v>0</v>
      </c>
      <c r="B3188">
        <f>Charms!B3188</f>
        <v>0</v>
      </c>
      <c r="C3188" t="b">
        <f ca="1">OR(Values!$S$98&gt;=Charms!M3188,IFERROR(Charms!J3188=OFFSET(Values!$A$24,MATCH("S",Values!$T$25:$T$50,0),0),FALSE))</f>
        <v>1</v>
      </c>
      <c r="D3188" t="e">
        <f>VLOOKUP(Charms!J3188,Values!$A$11:$S$59,19,0)&gt;=Charms!L3188</f>
        <v>#N/A</v>
      </c>
      <c r="E3188" t="e">
        <f>OR(ISBLANK(Charms!I3188),(VLOOKUP(Values!$S$6,Castes!$B$2:$F$25,4,0)=Charms!I3188))</f>
        <v>#N/A</v>
      </c>
      <c r="J3188" t="e">
        <f t="shared" ca="1" si="246"/>
        <v>#N/A</v>
      </c>
      <c r="K3188" s="18" t="e">
        <f t="shared" ca="1" si="245"/>
        <v>#N/A</v>
      </c>
      <c r="L3188" t="e">
        <f ca="1">IF(J3188,Charms!B3188,"")</f>
        <v>#N/A</v>
      </c>
      <c r="M3188" t="str">
        <f t="shared" ca="1" si="247"/>
        <v>-</v>
      </c>
      <c r="N3188" s="18" t="str">
        <f t="shared" si="248"/>
        <v>K1622:L5000</v>
      </c>
      <c r="O3188" t="str">
        <f t="shared" si="249"/>
        <v>A1622:A3188</v>
      </c>
    </row>
    <row r="3189" spans="1:15">
      <c r="A3189" s="18">
        <f>Charms!K3189</f>
        <v>0</v>
      </c>
      <c r="B3189">
        <f>Charms!B3189</f>
        <v>0</v>
      </c>
      <c r="C3189" t="b">
        <f ca="1">OR(Values!$S$98&gt;=Charms!M3189,IFERROR(Charms!J3189=OFFSET(Values!$A$24,MATCH("S",Values!$T$25:$T$50,0),0),FALSE))</f>
        <v>1</v>
      </c>
      <c r="D3189" t="e">
        <f>VLOOKUP(Charms!J3189,Values!$A$11:$S$59,19,0)&gt;=Charms!L3189</f>
        <v>#N/A</v>
      </c>
      <c r="E3189" t="e">
        <f>OR(ISBLANK(Charms!I3189),(VLOOKUP(Values!$S$6,Castes!$B$2:$F$25,4,0)=Charms!I3189))</f>
        <v>#N/A</v>
      </c>
      <c r="J3189" t="e">
        <f t="shared" ca="1" si="246"/>
        <v>#N/A</v>
      </c>
      <c r="K3189" s="18" t="e">
        <f t="shared" ca="1" si="245"/>
        <v>#N/A</v>
      </c>
      <c r="L3189" t="e">
        <f ca="1">IF(J3189,Charms!B3189,"")</f>
        <v>#N/A</v>
      </c>
      <c r="M3189" t="str">
        <f t="shared" ca="1" si="247"/>
        <v>-</v>
      </c>
      <c r="N3189" s="18" t="str">
        <f t="shared" si="248"/>
        <v>K1622:L5000</v>
      </c>
      <c r="O3189" t="str">
        <f t="shared" si="249"/>
        <v>A1622:A3189</v>
      </c>
    </row>
    <row r="3190" spans="1:15">
      <c r="A3190" s="18">
        <f>Charms!K3190</f>
        <v>0</v>
      </c>
      <c r="B3190">
        <f>Charms!B3190</f>
        <v>0</v>
      </c>
      <c r="C3190" t="b">
        <f ca="1">OR(Values!$S$98&gt;=Charms!M3190,IFERROR(Charms!J3190=OFFSET(Values!$A$24,MATCH("S",Values!$T$25:$T$50,0),0),FALSE))</f>
        <v>1</v>
      </c>
      <c r="D3190" t="e">
        <f>VLOOKUP(Charms!J3190,Values!$A$11:$S$59,19,0)&gt;=Charms!L3190</f>
        <v>#N/A</v>
      </c>
      <c r="E3190" t="e">
        <f>OR(ISBLANK(Charms!I3190),(VLOOKUP(Values!$S$6,Castes!$B$2:$F$25,4,0)=Charms!I3190))</f>
        <v>#N/A</v>
      </c>
      <c r="J3190" t="e">
        <f t="shared" ca="1" si="246"/>
        <v>#N/A</v>
      </c>
      <c r="K3190" s="18" t="e">
        <f t="shared" ca="1" si="245"/>
        <v>#N/A</v>
      </c>
      <c r="L3190" t="e">
        <f ca="1">IF(J3190,Charms!B3190,"")</f>
        <v>#N/A</v>
      </c>
      <c r="M3190" t="str">
        <f t="shared" ca="1" si="247"/>
        <v>-</v>
      </c>
      <c r="N3190" s="18" t="str">
        <f t="shared" si="248"/>
        <v>K1622:L5000</v>
      </c>
      <c r="O3190" t="str">
        <f t="shared" si="249"/>
        <v>A1622:A3190</v>
      </c>
    </row>
    <row r="3191" spans="1:15">
      <c r="A3191" s="18">
        <f>Charms!K3191</f>
        <v>0</v>
      </c>
      <c r="B3191">
        <f>Charms!B3191</f>
        <v>0</v>
      </c>
      <c r="C3191" t="b">
        <f ca="1">OR(Values!$S$98&gt;=Charms!M3191,IFERROR(Charms!J3191=OFFSET(Values!$A$24,MATCH("S",Values!$T$25:$T$50,0),0),FALSE))</f>
        <v>1</v>
      </c>
      <c r="D3191" t="e">
        <f>VLOOKUP(Charms!J3191,Values!$A$11:$S$59,19,0)&gt;=Charms!L3191</f>
        <v>#N/A</v>
      </c>
      <c r="E3191" t="e">
        <f>OR(ISBLANK(Charms!I3191),(VLOOKUP(Values!$S$6,Castes!$B$2:$F$25,4,0)=Charms!I3191))</f>
        <v>#N/A</v>
      </c>
      <c r="J3191" t="e">
        <f t="shared" ca="1" si="246"/>
        <v>#N/A</v>
      </c>
      <c r="K3191" s="18" t="e">
        <f t="shared" ca="1" si="245"/>
        <v>#N/A</v>
      </c>
      <c r="L3191" t="e">
        <f ca="1">IF(J3191,Charms!B3191,"")</f>
        <v>#N/A</v>
      </c>
      <c r="M3191" t="str">
        <f t="shared" ca="1" si="247"/>
        <v>-</v>
      </c>
      <c r="N3191" s="18" t="str">
        <f t="shared" si="248"/>
        <v>K1622:L5000</v>
      </c>
      <c r="O3191" t="str">
        <f t="shared" si="249"/>
        <v>A1622:A3191</v>
      </c>
    </row>
    <row r="3192" spans="1:15">
      <c r="A3192" s="18">
        <f>Charms!K3192</f>
        <v>0</v>
      </c>
      <c r="B3192">
        <f>Charms!B3192</f>
        <v>0</v>
      </c>
      <c r="C3192" t="b">
        <f ca="1">OR(Values!$S$98&gt;=Charms!M3192,IFERROR(Charms!J3192=OFFSET(Values!$A$24,MATCH("S",Values!$T$25:$T$50,0),0),FALSE))</f>
        <v>1</v>
      </c>
      <c r="D3192" t="e">
        <f>VLOOKUP(Charms!J3192,Values!$A$11:$S$59,19,0)&gt;=Charms!L3192</f>
        <v>#N/A</v>
      </c>
      <c r="E3192" t="e">
        <f>OR(ISBLANK(Charms!I3192),(VLOOKUP(Values!$S$6,Castes!$B$2:$F$25,4,0)=Charms!I3192))</f>
        <v>#N/A</v>
      </c>
      <c r="J3192" t="e">
        <f t="shared" ca="1" si="246"/>
        <v>#N/A</v>
      </c>
      <c r="K3192" s="18" t="e">
        <f t="shared" ca="1" si="245"/>
        <v>#N/A</v>
      </c>
      <c r="L3192" t="e">
        <f ca="1">IF(J3192,Charms!B3192,"")</f>
        <v>#N/A</v>
      </c>
      <c r="M3192" t="str">
        <f t="shared" ca="1" si="247"/>
        <v>-</v>
      </c>
      <c r="N3192" s="18" t="str">
        <f t="shared" si="248"/>
        <v>K1622:L5000</v>
      </c>
      <c r="O3192" t="str">
        <f t="shared" si="249"/>
        <v>A1622:A3192</v>
      </c>
    </row>
    <row r="3193" spans="1:15">
      <c r="A3193" s="18">
        <f>Charms!K3193</f>
        <v>0</v>
      </c>
      <c r="B3193">
        <f>Charms!B3193</f>
        <v>0</v>
      </c>
      <c r="C3193" t="b">
        <f ca="1">OR(Values!$S$98&gt;=Charms!M3193,IFERROR(Charms!J3193=OFFSET(Values!$A$24,MATCH("S",Values!$T$25:$T$50,0),0),FALSE))</f>
        <v>1</v>
      </c>
      <c r="D3193" t="e">
        <f>VLOOKUP(Charms!J3193,Values!$A$11:$S$59,19,0)&gt;=Charms!L3193</f>
        <v>#N/A</v>
      </c>
      <c r="E3193" t="e">
        <f>OR(ISBLANK(Charms!I3193),(VLOOKUP(Values!$S$6,Castes!$B$2:$F$25,4,0)=Charms!I3193))</f>
        <v>#N/A</v>
      </c>
      <c r="J3193" t="e">
        <f t="shared" ca="1" si="246"/>
        <v>#N/A</v>
      </c>
      <c r="K3193" s="18" t="e">
        <f t="shared" ca="1" si="245"/>
        <v>#N/A</v>
      </c>
      <c r="L3193" t="e">
        <f ca="1">IF(J3193,Charms!B3193,"")</f>
        <v>#N/A</v>
      </c>
      <c r="M3193" t="str">
        <f t="shared" ca="1" si="247"/>
        <v>-</v>
      </c>
      <c r="N3193" s="18" t="str">
        <f t="shared" si="248"/>
        <v>K1622:L5000</v>
      </c>
      <c r="O3193" t="str">
        <f t="shared" si="249"/>
        <v>A1622:A3193</v>
      </c>
    </row>
    <row r="3194" spans="1:15">
      <c r="A3194" s="18">
        <f>Charms!K3194</f>
        <v>0</v>
      </c>
      <c r="B3194">
        <f>Charms!B3194</f>
        <v>0</v>
      </c>
      <c r="C3194" t="b">
        <f ca="1">OR(Values!$S$98&gt;=Charms!M3194,IFERROR(Charms!J3194=OFFSET(Values!$A$24,MATCH("S",Values!$T$25:$T$50,0),0),FALSE))</f>
        <v>1</v>
      </c>
      <c r="D3194" t="e">
        <f>VLOOKUP(Charms!J3194,Values!$A$11:$S$59,19,0)&gt;=Charms!L3194</f>
        <v>#N/A</v>
      </c>
      <c r="E3194" t="e">
        <f>OR(ISBLANK(Charms!I3194),(VLOOKUP(Values!$S$6,Castes!$B$2:$F$25,4,0)=Charms!I3194))</f>
        <v>#N/A</v>
      </c>
      <c r="J3194" t="e">
        <f t="shared" ca="1" si="246"/>
        <v>#N/A</v>
      </c>
      <c r="K3194" s="18" t="e">
        <f t="shared" ca="1" si="245"/>
        <v>#N/A</v>
      </c>
      <c r="L3194" t="e">
        <f ca="1">IF(J3194,Charms!B3194,"")</f>
        <v>#N/A</v>
      </c>
      <c r="M3194" t="str">
        <f t="shared" ca="1" si="247"/>
        <v>-</v>
      </c>
      <c r="N3194" s="18" t="str">
        <f t="shared" si="248"/>
        <v>K1622:L5000</v>
      </c>
      <c r="O3194" t="str">
        <f t="shared" si="249"/>
        <v>A1622:A3194</v>
      </c>
    </row>
    <row r="3195" spans="1:15">
      <c r="A3195" s="18">
        <f>Charms!K3195</f>
        <v>0</v>
      </c>
      <c r="B3195">
        <f>Charms!B3195</f>
        <v>0</v>
      </c>
      <c r="C3195" t="b">
        <f ca="1">OR(Values!$S$98&gt;=Charms!M3195,IFERROR(Charms!J3195=OFFSET(Values!$A$24,MATCH("S",Values!$T$25:$T$50,0),0),FALSE))</f>
        <v>1</v>
      </c>
      <c r="D3195" t="e">
        <f>VLOOKUP(Charms!J3195,Values!$A$11:$S$59,19,0)&gt;=Charms!L3195</f>
        <v>#N/A</v>
      </c>
      <c r="E3195" t="e">
        <f>OR(ISBLANK(Charms!I3195),(VLOOKUP(Values!$S$6,Castes!$B$2:$F$25,4,0)=Charms!I3195))</f>
        <v>#N/A</v>
      </c>
      <c r="J3195" t="e">
        <f t="shared" ca="1" si="246"/>
        <v>#N/A</v>
      </c>
      <c r="K3195" s="18" t="e">
        <f t="shared" ca="1" si="245"/>
        <v>#N/A</v>
      </c>
      <c r="L3195" t="e">
        <f ca="1">IF(J3195,Charms!B3195,"")</f>
        <v>#N/A</v>
      </c>
      <c r="M3195" t="str">
        <f t="shared" ca="1" si="247"/>
        <v>-</v>
      </c>
      <c r="N3195" s="18" t="str">
        <f t="shared" si="248"/>
        <v>K1622:L5000</v>
      </c>
      <c r="O3195" t="str">
        <f t="shared" si="249"/>
        <v>A1622:A3195</v>
      </c>
    </row>
    <row r="3196" spans="1:15">
      <c r="A3196" s="18">
        <f>Charms!K3196</f>
        <v>0</v>
      </c>
      <c r="B3196">
        <f>Charms!B3196</f>
        <v>0</v>
      </c>
      <c r="C3196" t="b">
        <f ca="1">OR(Values!$S$98&gt;=Charms!M3196,IFERROR(Charms!J3196=OFFSET(Values!$A$24,MATCH("S",Values!$T$25:$T$50,0),0),FALSE))</f>
        <v>1</v>
      </c>
      <c r="D3196" t="e">
        <f>VLOOKUP(Charms!J3196,Values!$A$11:$S$59,19,0)&gt;=Charms!L3196</f>
        <v>#N/A</v>
      </c>
      <c r="E3196" t="e">
        <f>OR(ISBLANK(Charms!I3196),(VLOOKUP(Values!$S$6,Castes!$B$2:$F$25,4,0)=Charms!I3196))</f>
        <v>#N/A</v>
      </c>
      <c r="J3196" t="e">
        <f t="shared" ca="1" si="246"/>
        <v>#N/A</v>
      </c>
      <c r="K3196" s="18" t="e">
        <f t="shared" ca="1" si="245"/>
        <v>#N/A</v>
      </c>
      <c r="L3196" t="e">
        <f ca="1">IF(J3196,Charms!B3196,"")</f>
        <v>#N/A</v>
      </c>
      <c r="M3196" t="str">
        <f t="shared" ca="1" si="247"/>
        <v>-</v>
      </c>
      <c r="N3196" s="18" t="str">
        <f t="shared" si="248"/>
        <v>K1622:L5000</v>
      </c>
      <c r="O3196" t="str">
        <f t="shared" si="249"/>
        <v>A1622:A3196</v>
      </c>
    </row>
    <row r="3197" spans="1:15">
      <c r="A3197" s="18">
        <f>Charms!K3197</f>
        <v>0</v>
      </c>
      <c r="B3197">
        <f>Charms!B3197</f>
        <v>0</v>
      </c>
      <c r="C3197" t="b">
        <f ca="1">OR(Values!$S$98&gt;=Charms!M3197,IFERROR(Charms!J3197=OFFSET(Values!$A$24,MATCH("S",Values!$T$25:$T$50,0),0),FALSE))</f>
        <v>1</v>
      </c>
      <c r="D3197" t="e">
        <f>VLOOKUP(Charms!J3197,Values!$A$11:$S$59,19,0)&gt;=Charms!L3197</f>
        <v>#N/A</v>
      </c>
      <c r="E3197" t="e">
        <f>OR(ISBLANK(Charms!I3197),(VLOOKUP(Values!$S$6,Castes!$B$2:$F$25,4,0)=Charms!I3197))</f>
        <v>#N/A</v>
      </c>
      <c r="J3197" t="e">
        <f t="shared" ca="1" si="246"/>
        <v>#N/A</v>
      </c>
      <c r="K3197" s="18" t="e">
        <f t="shared" ca="1" si="245"/>
        <v>#N/A</v>
      </c>
      <c r="L3197" t="e">
        <f ca="1">IF(J3197,Charms!B3197,"")</f>
        <v>#N/A</v>
      </c>
      <c r="M3197" t="str">
        <f t="shared" ca="1" si="247"/>
        <v>-</v>
      </c>
      <c r="N3197" s="18" t="str">
        <f t="shared" si="248"/>
        <v>K1622:L5000</v>
      </c>
      <c r="O3197" t="str">
        <f t="shared" si="249"/>
        <v>A1622:A3197</v>
      </c>
    </row>
    <row r="3198" spans="1:15">
      <c r="A3198" s="18">
        <f>Charms!K3198</f>
        <v>0</v>
      </c>
      <c r="B3198">
        <f>Charms!B3198</f>
        <v>0</v>
      </c>
      <c r="C3198" t="b">
        <f ca="1">OR(Values!$S$98&gt;=Charms!M3198,IFERROR(Charms!J3198=OFFSET(Values!$A$24,MATCH("S",Values!$T$25:$T$50,0),0),FALSE))</f>
        <v>1</v>
      </c>
      <c r="D3198" t="e">
        <f>VLOOKUP(Charms!J3198,Values!$A$11:$S$59,19,0)&gt;=Charms!L3198</f>
        <v>#N/A</v>
      </c>
      <c r="E3198" t="e">
        <f>OR(ISBLANK(Charms!I3198),(VLOOKUP(Values!$S$6,Castes!$B$2:$F$25,4,0)=Charms!I3198))</f>
        <v>#N/A</v>
      </c>
      <c r="J3198" t="e">
        <f t="shared" ca="1" si="246"/>
        <v>#N/A</v>
      </c>
      <c r="K3198" s="18" t="e">
        <f t="shared" ca="1" si="245"/>
        <v>#N/A</v>
      </c>
      <c r="L3198" t="e">
        <f ca="1">IF(J3198,Charms!B3198,"")</f>
        <v>#N/A</v>
      </c>
      <c r="M3198" t="str">
        <f t="shared" ca="1" si="247"/>
        <v>-</v>
      </c>
      <c r="N3198" s="18" t="str">
        <f t="shared" si="248"/>
        <v>K1622:L5000</v>
      </c>
      <c r="O3198" t="str">
        <f t="shared" si="249"/>
        <v>A1622:A3198</v>
      </c>
    </row>
    <row r="3199" spans="1:15">
      <c r="A3199" s="18">
        <f>Charms!K3199</f>
        <v>0</v>
      </c>
      <c r="B3199">
        <f>Charms!B3199</f>
        <v>0</v>
      </c>
      <c r="C3199" t="b">
        <f ca="1">OR(Values!$S$98&gt;=Charms!M3199,IFERROR(Charms!J3199=OFFSET(Values!$A$24,MATCH("S",Values!$T$25:$T$50,0),0),FALSE))</f>
        <v>1</v>
      </c>
      <c r="D3199" t="e">
        <f>VLOOKUP(Charms!J3199,Values!$A$11:$S$59,19,0)&gt;=Charms!L3199</f>
        <v>#N/A</v>
      </c>
      <c r="E3199" t="e">
        <f>OR(ISBLANK(Charms!I3199),(VLOOKUP(Values!$S$6,Castes!$B$2:$F$25,4,0)=Charms!I3199))</f>
        <v>#N/A</v>
      </c>
      <c r="J3199" t="e">
        <f t="shared" ca="1" si="246"/>
        <v>#N/A</v>
      </c>
      <c r="K3199" s="18" t="e">
        <f t="shared" ca="1" si="245"/>
        <v>#N/A</v>
      </c>
      <c r="L3199" t="e">
        <f ca="1">IF(J3199,Charms!B3199,"")</f>
        <v>#N/A</v>
      </c>
      <c r="M3199" t="str">
        <f t="shared" ca="1" si="247"/>
        <v>-</v>
      </c>
      <c r="N3199" s="18" t="str">
        <f t="shared" si="248"/>
        <v>K1622:L5000</v>
      </c>
      <c r="O3199" t="str">
        <f t="shared" si="249"/>
        <v>A1622:A3199</v>
      </c>
    </row>
    <row r="3200" spans="1:15">
      <c r="A3200" s="18">
        <f>Charms!K3200</f>
        <v>0</v>
      </c>
      <c r="B3200">
        <f>Charms!B3200</f>
        <v>0</v>
      </c>
      <c r="C3200" t="b">
        <f ca="1">OR(Values!$S$98&gt;=Charms!M3200,IFERROR(Charms!J3200=OFFSET(Values!$A$24,MATCH("S",Values!$T$25:$T$50,0),0),FALSE))</f>
        <v>1</v>
      </c>
      <c r="D3200" t="e">
        <f>VLOOKUP(Charms!J3200,Values!$A$11:$S$59,19,0)&gt;=Charms!L3200</f>
        <v>#N/A</v>
      </c>
      <c r="E3200" t="e">
        <f>OR(ISBLANK(Charms!I3200),(VLOOKUP(Values!$S$6,Castes!$B$2:$F$25,4,0)=Charms!I3200))</f>
        <v>#N/A</v>
      </c>
      <c r="J3200" t="e">
        <f t="shared" ca="1" si="246"/>
        <v>#N/A</v>
      </c>
      <c r="K3200" s="18" t="e">
        <f t="shared" ca="1" si="245"/>
        <v>#N/A</v>
      </c>
      <c r="L3200" t="e">
        <f ca="1">IF(J3200,Charms!B3200,"")</f>
        <v>#N/A</v>
      </c>
      <c r="M3200" t="str">
        <f t="shared" ca="1" si="247"/>
        <v>-</v>
      </c>
      <c r="N3200" s="18" t="str">
        <f t="shared" si="248"/>
        <v>K1622:L5000</v>
      </c>
      <c r="O3200" t="str">
        <f t="shared" si="249"/>
        <v>A1622:A3200</v>
      </c>
    </row>
    <row r="3201" spans="1:15">
      <c r="A3201" s="18">
        <f>Charms!K3201</f>
        <v>0</v>
      </c>
      <c r="B3201">
        <f>Charms!B3201</f>
        <v>0</v>
      </c>
      <c r="C3201" t="b">
        <f ca="1">OR(Values!$S$98&gt;=Charms!M3201,IFERROR(Charms!J3201=OFFSET(Values!$A$24,MATCH("S",Values!$T$25:$T$50,0),0),FALSE))</f>
        <v>1</v>
      </c>
      <c r="D3201" t="e">
        <f>VLOOKUP(Charms!J3201,Values!$A$11:$S$59,19,0)&gt;=Charms!L3201</f>
        <v>#N/A</v>
      </c>
      <c r="E3201" t="e">
        <f>OR(ISBLANK(Charms!I3201),(VLOOKUP(Values!$S$6,Castes!$B$2:$F$25,4,0)=Charms!I3201))</f>
        <v>#N/A</v>
      </c>
      <c r="J3201" t="e">
        <f t="shared" ca="1" si="246"/>
        <v>#N/A</v>
      </c>
      <c r="K3201" s="18" t="e">
        <f t="shared" ca="1" si="245"/>
        <v>#N/A</v>
      </c>
      <c r="L3201" t="e">
        <f ca="1">IF(J3201,Charms!B3201,"")</f>
        <v>#N/A</v>
      </c>
      <c r="M3201" t="str">
        <f t="shared" ca="1" si="247"/>
        <v>-</v>
      </c>
      <c r="N3201" s="18" t="str">
        <f t="shared" si="248"/>
        <v>K1622:L5000</v>
      </c>
      <c r="O3201" t="str">
        <f t="shared" si="249"/>
        <v>A1622:A3201</v>
      </c>
    </row>
    <row r="3202" spans="1:15">
      <c r="A3202" s="18">
        <f>Charms!K3202</f>
        <v>0</v>
      </c>
      <c r="B3202">
        <f>Charms!B3202</f>
        <v>0</v>
      </c>
      <c r="C3202" t="b">
        <f ca="1">OR(Values!$S$98&gt;=Charms!M3202,IFERROR(Charms!J3202=OFFSET(Values!$A$24,MATCH("S",Values!$T$25:$T$50,0),0),FALSE))</f>
        <v>1</v>
      </c>
      <c r="D3202" t="e">
        <f>VLOOKUP(Charms!J3202,Values!$A$11:$S$59,19,0)&gt;=Charms!L3202</f>
        <v>#N/A</v>
      </c>
      <c r="E3202" t="e">
        <f>OR(ISBLANK(Charms!I3202),(VLOOKUP(Values!$S$6,Castes!$B$2:$F$25,4,0)=Charms!I3202))</f>
        <v>#N/A</v>
      </c>
      <c r="J3202" t="e">
        <f t="shared" ca="1" si="246"/>
        <v>#N/A</v>
      </c>
      <c r="K3202" s="18" t="e">
        <f t="shared" ref="K3202:K3265" ca="1" si="250">IF(L3202="","",COUNTIF(INDIRECT("J"&amp;MATCH(A3202,A:A,0)&amp;":J"&amp;ROW()),J3202))</f>
        <v>#N/A</v>
      </c>
      <c r="L3202" t="e">
        <f ca="1">IF(J3202,Charms!B3202,"")</f>
        <v>#N/A</v>
      </c>
      <c r="M3202" t="str">
        <f t="shared" ca="1" si="247"/>
        <v>-</v>
      </c>
      <c r="N3202" s="18" t="str">
        <f t="shared" si="248"/>
        <v>K1622:L5000</v>
      </c>
      <c r="O3202" t="str">
        <f t="shared" si="249"/>
        <v>A1622:A3202</v>
      </c>
    </row>
    <row r="3203" spans="1:15">
      <c r="A3203" s="18">
        <f>Charms!K3203</f>
        <v>0</v>
      </c>
      <c r="B3203">
        <f>Charms!B3203</f>
        <v>0</v>
      </c>
      <c r="C3203" t="b">
        <f ca="1">OR(Values!$S$98&gt;=Charms!M3203,IFERROR(Charms!J3203=OFFSET(Values!$A$24,MATCH("S",Values!$T$25:$T$50,0),0),FALSE))</f>
        <v>1</v>
      </c>
      <c r="D3203" t="e">
        <f>VLOOKUP(Charms!J3203,Values!$A$11:$S$59,19,0)&gt;=Charms!L3203</f>
        <v>#N/A</v>
      </c>
      <c r="E3203" t="e">
        <f>OR(ISBLANK(Charms!I3203),(VLOOKUP(Values!$S$6,Castes!$B$2:$F$25,4,0)=Charms!I3203))</f>
        <v>#N/A</v>
      </c>
      <c r="J3203" t="e">
        <f t="shared" ref="J3203:J3266" ca="1" si="251">(C3203+D3203+E3203+F3203+G3203+H3203+I3203)=3</f>
        <v>#N/A</v>
      </c>
      <c r="K3203" s="18" t="e">
        <f t="shared" ca="1" si="250"/>
        <v>#N/A</v>
      </c>
      <c r="L3203" t="e">
        <f ca="1">IF(J3203,Charms!B3203,"")</f>
        <v>#N/A</v>
      </c>
      <c r="M3203" t="str">
        <f t="shared" ref="M3203:M3266" ca="1" si="252">IFERROR(VLOOKUP(COUNTIF(INDIRECT(O3203),A3203),INDIRECT(N3203),2,0),"-")</f>
        <v>-</v>
      </c>
      <c r="N3203" s="18" t="str">
        <f t="shared" ref="N3203:N3266" si="253">"K"&amp;MATCH(A3203,A:A,0)&amp;":L"&amp;(MATCH(A3203,A:A,0)+COUNTIF(A:A,A3203)-1)</f>
        <v>K1622:L5000</v>
      </c>
      <c r="O3203" t="str">
        <f t="shared" ref="O3203:O3266" si="254">"A"&amp;MATCH(A3203,A:A,0)&amp;":A"&amp;ROW()</f>
        <v>A1622:A3203</v>
      </c>
    </row>
    <row r="3204" spans="1:15">
      <c r="A3204" s="18">
        <f>Charms!K3204</f>
        <v>0</v>
      </c>
      <c r="B3204">
        <f>Charms!B3204</f>
        <v>0</v>
      </c>
      <c r="C3204" t="b">
        <f ca="1">OR(Values!$S$98&gt;=Charms!M3204,IFERROR(Charms!J3204=OFFSET(Values!$A$24,MATCH("S",Values!$T$25:$T$50,0),0),FALSE))</f>
        <v>1</v>
      </c>
      <c r="D3204" t="e">
        <f>VLOOKUP(Charms!J3204,Values!$A$11:$S$59,19,0)&gt;=Charms!L3204</f>
        <v>#N/A</v>
      </c>
      <c r="E3204" t="e">
        <f>OR(ISBLANK(Charms!I3204),(VLOOKUP(Values!$S$6,Castes!$B$2:$F$25,4,0)=Charms!I3204))</f>
        <v>#N/A</v>
      </c>
      <c r="J3204" t="e">
        <f t="shared" ca="1" si="251"/>
        <v>#N/A</v>
      </c>
      <c r="K3204" s="18" t="e">
        <f t="shared" ca="1" si="250"/>
        <v>#N/A</v>
      </c>
      <c r="L3204" t="e">
        <f ca="1">IF(J3204,Charms!B3204,"")</f>
        <v>#N/A</v>
      </c>
      <c r="M3204" t="str">
        <f t="shared" ca="1" si="252"/>
        <v>-</v>
      </c>
      <c r="N3204" s="18" t="str">
        <f t="shared" si="253"/>
        <v>K1622:L5000</v>
      </c>
      <c r="O3204" t="str">
        <f t="shared" si="254"/>
        <v>A1622:A3204</v>
      </c>
    </row>
    <row r="3205" spans="1:15">
      <c r="A3205" s="18">
        <f>Charms!K3205</f>
        <v>0</v>
      </c>
      <c r="B3205">
        <f>Charms!B3205</f>
        <v>0</v>
      </c>
      <c r="C3205" t="b">
        <f ca="1">OR(Values!$S$98&gt;=Charms!M3205,IFERROR(Charms!J3205=OFFSET(Values!$A$24,MATCH("S",Values!$T$25:$T$50,0),0),FALSE))</f>
        <v>1</v>
      </c>
      <c r="D3205" t="e">
        <f>VLOOKUP(Charms!J3205,Values!$A$11:$S$59,19,0)&gt;=Charms!L3205</f>
        <v>#N/A</v>
      </c>
      <c r="E3205" t="e">
        <f>OR(ISBLANK(Charms!I3205),(VLOOKUP(Values!$S$6,Castes!$B$2:$F$25,4,0)=Charms!I3205))</f>
        <v>#N/A</v>
      </c>
      <c r="J3205" t="e">
        <f t="shared" ca="1" si="251"/>
        <v>#N/A</v>
      </c>
      <c r="K3205" s="18" t="e">
        <f t="shared" ca="1" si="250"/>
        <v>#N/A</v>
      </c>
      <c r="L3205" t="e">
        <f ca="1">IF(J3205,Charms!B3205,"")</f>
        <v>#N/A</v>
      </c>
      <c r="M3205" t="str">
        <f t="shared" ca="1" si="252"/>
        <v>-</v>
      </c>
      <c r="N3205" s="18" t="str">
        <f t="shared" si="253"/>
        <v>K1622:L5000</v>
      </c>
      <c r="O3205" t="str">
        <f t="shared" si="254"/>
        <v>A1622:A3205</v>
      </c>
    </row>
    <row r="3206" spans="1:15">
      <c r="A3206" s="18">
        <f>Charms!K3206</f>
        <v>0</v>
      </c>
      <c r="B3206">
        <f>Charms!B3206</f>
        <v>0</v>
      </c>
      <c r="C3206" t="b">
        <f ca="1">OR(Values!$S$98&gt;=Charms!M3206,IFERROR(Charms!J3206=OFFSET(Values!$A$24,MATCH("S",Values!$T$25:$T$50,0),0),FALSE))</f>
        <v>1</v>
      </c>
      <c r="D3206" t="e">
        <f>VLOOKUP(Charms!J3206,Values!$A$11:$S$59,19,0)&gt;=Charms!L3206</f>
        <v>#N/A</v>
      </c>
      <c r="E3206" t="e">
        <f>OR(ISBLANK(Charms!I3206),(VLOOKUP(Values!$S$6,Castes!$B$2:$F$25,4,0)=Charms!I3206))</f>
        <v>#N/A</v>
      </c>
      <c r="J3206" t="e">
        <f t="shared" ca="1" si="251"/>
        <v>#N/A</v>
      </c>
      <c r="K3206" s="18" t="e">
        <f t="shared" ca="1" si="250"/>
        <v>#N/A</v>
      </c>
      <c r="L3206" t="e">
        <f ca="1">IF(J3206,Charms!B3206,"")</f>
        <v>#N/A</v>
      </c>
      <c r="M3206" t="str">
        <f t="shared" ca="1" si="252"/>
        <v>-</v>
      </c>
      <c r="N3206" s="18" t="str">
        <f t="shared" si="253"/>
        <v>K1622:L5000</v>
      </c>
      <c r="O3206" t="str">
        <f t="shared" si="254"/>
        <v>A1622:A3206</v>
      </c>
    </row>
    <row r="3207" spans="1:15">
      <c r="A3207" s="18">
        <f>Charms!K3207</f>
        <v>0</v>
      </c>
      <c r="B3207">
        <f>Charms!B3207</f>
        <v>0</v>
      </c>
      <c r="C3207" t="b">
        <f ca="1">OR(Values!$S$98&gt;=Charms!M3207,IFERROR(Charms!J3207=OFFSET(Values!$A$24,MATCH("S",Values!$T$25:$T$50,0),0),FALSE))</f>
        <v>1</v>
      </c>
      <c r="D3207" t="e">
        <f>VLOOKUP(Charms!J3207,Values!$A$11:$S$59,19,0)&gt;=Charms!L3207</f>
        <v>#N/A</v>
      </c>
      <c r="E3207" t="e">
        <f>OR(ISBLANK(Charms!I3207),(VLOOKUP(Values!$S$6,Castes!$B$2:$F$25,4,0)=Charms!I3207))</f>
        <v>#N/A</v>
      </c>
      <c r="J3207" t="e">
        <f t="shared" ca="1" si="251"/>
        <v>#N/A</v>
      </c>
      <c r="K3207" s="18" t="e">
        <f t="shared" ca="1" si="250"/>
        <v>#N/A</v>
      </c>
      <c r="L3207" t="e">
        <f ca="1">IF(J3207,Charms!B3207,"")</f>
        <v>#N/A</v>
      </c>
      <c r="M3207" t="str">
        <f t="shared" ca="1" si="252"/>
        <v>-</v>
      </c>
      <c r="N3207" s="18" t="str">
        <f t="shared" si="253"/>
        <v>K1622:L5000</v>
      </c>
      <c r="O3207" t="str">
        <f t="shared" si="254"/>
        <v>A1622:A3207</v>
      </c>
    </row>
    <row r="3208" spans="1:15">
      <c r="A3208" s="18">
        <f>Charms!K3208</f>
        <v>0</v>
      </c>
      <c r="B3208">
        <f>Charms!B3208</f>
        <v>0</v>
      </c>
      <c r="C3208" t="b">
        <f ca="1">OR(Values!$S$98&gt;=Charms!M3208,IFERROR(Charms!J3208=OFFSET(Values!$A$24,MATCH("S",Values!$T$25:$T$50,0),0),FALSE))</f>
        <v>1</v>
      </c>
      <c r="D3208" t="e">
        <f>VLOOKUP(Charms!J3208,Values!$A$11:$S$59,19,0)&gt;=Charms!L3208</f>
        <v>#N/A</v>
      </c>
      <c r="E3208" t="e">
        <f>OR(ISBLANK(Charms!I3208),(VLOOKUP(Values!$S$6,Castes!$B$2:$F$25,4,0)=Charms!I3208))</f>
        <v>#N/A</v>
      </c>
      <c r="J3208" t="e">
        <f t="shared" ca="1" si="251"/>
        <v>#N/A</v>
      </c>
      <c r="K3208" s="18" t="e">
        <f t="shared" ca="1" si="250"/>
        <v>#N/A</v>
      </c>
      <c r="L3208" t="e">
        <f ca="1">IF(J3208,Charms!B3208,"")</f>
        <v>#N/A</v>
      </c>
      <c r="M3208" t="str">
        <f t="shared" ca="1" si="252"/>
        <v>-</v>
      </c>
      <c r="N3208" s="18" t="str">
        <f t="shared" si="253"/>
        <v>K1622:L5000</v>
      </c>
      <c r="O3208" t="str">
        <f t="shared" si="254"/>
        <v>A1622:A3208</v>
      </c>
    </row>
    <row r="3209" spans="1:15">
      <c r="A3209" s="18">
        <f>Charms!K3209</f>
        <v>0</v>
      </c>
      <c r="B3209">
        <f>Charms!B3209</f>
        <v>0</v>
      </c>
      <c r="C3209" t="b">
        <f ca="1">OR(Values!$S$98&gt;=Charms!M3209,IFERROR(Charms!J3209=OFFSET(Values!$A$24,MATCH("S",Values!$T$25:$T$50,0),0),FALSE))</f>
        <v>1</v>
      </c>
      <c r="D3209" t="e">
        <f>VLOOKUP(Charms!J3209,Values!$A$11:$S$59,19,0)&gt;=Charms!L3209</f>
        <v>#N/A</v>
      </c>
      <c r="E3209" t="e">
        <f>OR(ISBLANK(Charms!I3209),(VLOOKUP(Values!$S$6,Castes!$B$2:$F$25,4,0)=Charms!I3209))</f>
        <v>#N/A</v>
      </c>
      <c r="J3209" t="e">
        <f t="shared" ca="1" si="251"/>
        <v>#N/A</v>
      </c>
      <c r="K3209" s="18" t="e">
        <f t="shared" ca="1" si="250"/>
        <v>#N/A</v>
      </c>
      <c r="L3209" t="e">
        <f ca="1">IF(J3209,Charms!B3209,"")</f>
        <v>#N/A</v>
      </c>
      <c r="M3209" t="str">
        <f t="shared" ca="1" si="252"/>
        <v>-</v>
      </c>
      <c r="N3209" s="18" t="str">
        <f t="shared" si="253"/>
        <v>K1622:L5000</v>
      </c>
      <c r="O3209" t="str">
        <f t="shared" si="254"/>
        <v>A1622:A3209</v>
      </c>
    </row>
    <row r="3210" spans="1:15">
      <c r="A3210" s="18">
        <f>Charms!K3210</f>
        <v>0</v>
      </c>
      <c r="B3210">
        <f>Charms!B3210</f>
        <v>0</v>
      </c>
      <c r="C3210" t="b">
        <f ca="1">OR(Values!$S$98&gt;=Charms!M3210,IFERROR(Charms!J3210=OFFSET(Values!$A$24,MATCH("S",Values!$T$25:$T$50,0),0),FALSE))</f>
        <v>1</v>
      </c>
      <c r="D3210" t="e">
        <f>VLOOKUP(Charms!J3210,Values!$A$11:$S$59,19,0)&gt;=Charms!L3210</f>
        <v>#N/A</v>
      </c>
      <c r="E3210" t="e">
        <f>OR(ISBLANK(Charms!I3210),(VLOOKUP(Values!$S$6,Castes!$B$2:$F$25,4,0)=Charms!I3210))</f>
        <v>#N/A</v>
      </c>
      <c r="J3210" t="e">
        <f t="shared" ca="1" si="251"/>
        <v>#N/A</v>
      </c>
      <c r="K3210" s="18" t="e">
        <f t="shared" ca="1" si="250"/>
        <v>#N/A</v>
      </c>
      <c r="L3210" t="e">
        <f ca="1">IF(J3210,Charms!B3210,"")</f>
        <v>#N/A</v>
      </c>
      <c r="M3210" t="str">
        <f t="shared" ca="1" si="252"/>
        <v>-</v>
      </c>
      <c r="N3210" s="18" t="str">
        <f t="shared" si="253"/>
        <v>K1622:L5000</v>
      </c>
      <c r="O3210" t="str">
        <f t="shared" si="254"/>
        <v>A1622:A3210</v>
      </c>
    </row>
    <row r="3211" spans="1:15">
      <c r="A3211" s="18">
        <f>Charms!K3211</f>
        <v>0</v>
      </c>
      <c r="B3211">
        <f>Charms!B3211</f>
        <v>0</v>
      </c>
      <c r="C3211" t="b">
        <f ca="1">OR(Values!$S$98&gt;=Charms!M3211,IFERROR(Charms!J3211=OFFSET(Values!$A$24,MATCH("S",Values!$T$25:$T$50,0),0),FALSE))</f>
        <v>1</v>
      </c>
      <c r="D3211" t="e">
        <f>VLOOKUP(Charms!J3211,Values!$A$11:$S$59,19,0)&gt;=Charms!L3211</f>
        <v>#N/A</v>
      </c>
      <c r="E3211" t="e">
        <f>OR(ISBLANK(Charms!I3211),(VLOOKUP(Values!$S$6,Castes!$B$2:$F$25,4,0)=Charms!I3211))</f>
        <v>#N/A</v>
      </c>
      <c r="J3211" t="e">
        <f t="shared" ca="1" si="251"/>
        <v>#N/A</v>
      </c>
      <c r="K3211" s="18" t="e">
        <f t="shared" ca="1" si="250"/>
        <v>#N/A</v>
      </c>
      <c r="L3211" t="e">
        <f ca="1">IF(J3211,Charms!B3211,"")</f>
        <v>#N/A</v>
      </c>
      <c r="M3211" t="str">
        <f t="shared" ca="1" si="252"/>
        <v>-</v>
      </c>
      <c r="N3211" s="18" t="str">
        <f t="shared" si="253"/>
        <v>K1622:L5000</v>
      </c>
      <c r="O3211" t="str">
        <f t="shared" si="254"/>
        <v>A1622:A3211</v>
      </c>
    </row>
    <row r="3212" spans="1:15">
      <c r="A3212" s="18">
        <f>Charms!K3212</f>
        <v>0</v>
      </c>
      <c r="B3212">
        <f>Charms!B3212</f>
        <v>0</v>
      </c>
      <c r="C3212" t="b">
        <f ca="1">OR(Values!$S$98&gt;=Charms!M3212,IFERROR(Charms!J3212=OFFSET(Values!$A$24,MATCH("S",Values!$T$25:$T$50,0),0),FALSE))</f>
        <v>1</v>
      </c>
      <c r="D3212" t="e">
        <f>VLOOKUP(Charms!J3212,Values!$A$11:$S$59,19,0)&gt;=Charms!L3212</f>
        <v>#N/A</v>
      </c>
      <c r="E3212" t="e">
        <f>OR(ISBLANK(Charms!I3212),(VLOOKUP(Values!$S$6,Castes!$B$2:$F$25,4,0)=Charms!I3212))</f>
        <v>#N/A</v>
      </c>
      <c r="J3212" t="e">
        <f t="shared" ca="1" si="251"/>
        <v>#N/A</v>
      </c>
      <c r="K3212" s="18" t="e">
        <f t="shared" ca="1" si="250"/>
        <v>#N/A</v>
      </c>
      <c r="L3212" t="e">
        <f ca="1">IF(J3212,Charms!B3212,"")</f>
        <v>#N/A</v>
      </c>
      <c r="M3212" t="str">
        <f t="shared" ca="1" si="252"/>
        <v>-</v>
      </c>
      <c r="N3212" s="18" t="str">
        <f t="shared" si="253"/>
        <v>K1622:L5000</v>
      </c>
      <c r="O3212" t="str">
        <f t="shared" si="254"/>
        <v>A1622:A3212</v>
      </c>
    </row>
    <row r="3213" spans="1:15">
      <c r="A3213" s="18">
        <f>Charms!K3213</f>
        <v>0</v>
      </c>
      <c r="B3213">
        <f>Charms!B3213</f>
        <v>0</v>
      </c>
      <c r="C3213" t="b">
        <f ca="1">OR(Values!$S$98&gt;=Charms!M3213,IFERROR(Charms!J3213=OFFSET(Values!$A$24,MATCH("S",Values!$T$25:$T$50,0),0),FALSE))</f>
        <v>1</v>
      </c>
      <c r="D3213" t="e">
        <f>VLOOKUP(Charms!J3213,Values!$A$11:$S$59,19,0)&gt;=Charms!L3213</f>
        <v>#N/A</v>
      </c>
      <c r="E3213" t="e">
        <f>OR(ISBLANK(Charms!I3213),(VLOOKUP(Values!$S$6,Castes!$B$2:$F$25,4,0)=Charms!I3213))</f>
        <v>#N/A</v>
      </c>
      <c r="J3213" t="e">
        <f t="shared" ca="1" si="251"/>
        <v>#N/A</v>
      </c>
      <c r="K3213" s="18" t="e">
        <f t="shared" ca="1" si="250"/>
        <v>#N/A</v>
      </c>
      <c r="L3213" t="e">
        <f ca="1">IF(J3213,Charms!B3213,"")</f>
        <v>#N/A</v>
      </c>
      <c r="M3213" t="str">
        <f t="shared" ca="1" si="252"/>
        <v>-</v>
      </c>
      <c r="N3213" s="18" t="str">
        <f t="shared" si="253"/>
        <v>K1622:L5000</v>
      </c>
      <c r="O3213" t="str">
        <f t="shared" si="254"/>
        <v>A1622:A3213</v>
      </c>
    </row>
    <row r="3214" spans="1:15">
      <c r="A3214" s="18">
        <f>Charms!K3214</f>
        <v>0</v>
      </c>
      <c r="B3214">
        <f>Charms!B3214</f>
        <v>0</v>
      </c>
      <c r="C3214" t="b">
        <f ca="1">OR(Values!$S$98&gt;=Charms!M3214,IFERROR(Charms!J3214=OFFSET(Values!$A$24,MATCH("S",Values!$T$25:$T$50,0),0),FALSE))</f>
        <v>1</v>
      </c>
      <c r="D3214" t="e">
        <f>VLOOKUP(Charms!J3214,Values!$A$11:$S$59,19,0)&gt;=Charms!L3214</f>
        <v>#N/A</v>
      </c>
      <c r="E3214" t="e">
        <f>OR(ISBLANK(Charms!I3214),(VLOOKUP(Values!$S$6,Castes!$B$2:$F$25,4,0)=Charms!I3214))</f>
        <v>#N/A</v>
      </c>
      <c r="J3214" t="e">
        <f t="shared" ca="1" si="251"/>
        <v>#N/A</v>
      </c>
      <c r="K3214" s="18" t="e">
        <f t="shared" ca="1" si="250"/>
        <v>#N/A</v>
      </c>
      <c r="L3214" t="e">
        <f ca="1">IF(J3214,Charms!B3214,"")</f>
        <v>#N/A</v>
      </c>
      <c r="M3214" t="str">
        <f t="shared" ca="1" si="252"/>
        <v>-</v>
      </c>
      <c r="N3214" s="18" t="str">
        <f t="shared" si="253"/>
        <v>K1622:L5000</v>
      </c>
      <c r="O3214" t="str">
        <f t="shared" si="254"/>
        <v>A1622:A3214</v>
      </c>
    </row>
    <row r="3215" spans="1:15">
      <c r="A3215" s="18">
        <f>Charms!K3215</f>
        <v>0</v>
      </c>
      <c r="B3215">
        <f>Charms!B3215</f>
        <v>0</v>
      </c>
      <c r="C3215" t="b">
        <f ca="1">OR(Values!$S$98&gt;=Charms!M3215,IFERROR(Charms!J3215=OFFSET(Values!$A$24,MATCH("S",Values!$T$25:$T$50,0),0),FALSE))</f>
        <v>1</v>
      </c>
      <c r="D3215" t="e">
        <f>VLOOKUP(Charms!J3215,Values!$A$11:$S$59,19,0)&gt;=Charms!L3215</f>
        <v>#N/A</v>
      </c>
      <c r="E3215" t="e">
        <f>OR(ISBLANK(Charms!I3215),(VLOOKUP(Values!$S$6,Castes!$B$2:$F$25,4,0)=Charms!I3215))</f>
        <v>#N/A</v>
      </c>
      <c r="J3215" t="e">
        <f t="shared" ca="1" si="251"/>
        <v>#N/A</v>
      </c>
      <c r="K3215" s="18" t="e">
        <f t="shared" ca="1" si="250"/>
        <v>#N/A</v>
      </c>
      <c r="L3215" t="e">
        <f ca="1">IF(J3215,Charms!B3215,"")</f>
        <v>#N/A</v>
      </c>
      <c r="M3215" t="str">
        <f t="shared" ca="1" si="252"/>
        <v>-</v>
      </c>
      <c r="N3215" s="18" t="str">
        <f t="shared" si="253"/>
        <v>K1622:L5000</v>
      </c>
      <c r="O3215" t="str">
        <f t="shared" si="254"/>
        <v>A1622:A3215</v>
      </c>
    </row>
    <row r="3216" spans="1:15">
      <c r="A3216" s="18">
        <f>Charms!K3216</f>
        <v>0</v>
      </c>
      <c r="B3216">
        <f>Charms!B3216</f>
        <v>0</v>
      </c>
      <c r="C3216" t="b">
        <f ca="1">OR(Values!$S$98&gt;=Charms!M3216,IFERROR(Charms!J3216=OFFSET(Values!$A$24,MATCH("S",Values!$T$25:$T$50,0),0),FALSE))</f>
        <v>1</v>
      </c>
      <c r="D3216" t="e">
        <f>VLOOKUP(Charms!J3216,Values!$A$11:$S$59,19,0)&gt;=Charms!L3216</f>
        <v>#N/A</v>
      </c>
      <c r="E3216" t="e">
        <f>OR(ISBLANK(Charms!I3216),(VLOOKUP(Values!$S$6,Castes!$B$2:$F$25,4,0)=Charms!I3216))</f>
        <v>#N/A</v>
      </c>
      <c r="J3216" t="e">
        <f t="shared" ca="1" si="251"/>
        <v>#N/A</v>
      </c>
      <c r="K3216" s="18" t="e">
        <f t="shared" ca="1" si="250"/>
        <v>#N/A</v>
      </c>
      <c r="L3216" t="e">
        <f ca="1">IF(J3216,Charms!B3216,"")</f>
        <v>#N/A</v>
      </c>
      <c r="M3216" t="str">
        <f t="shared" ca="1" si="252"/>
        <v>-</v>
      </c>
      <c r="N3216" s="18" t="str">
        <f t="shared" si="253"/>
        <v>K1622:L5000</v>
      </c>
      <c r="O3216" t="str">
        <f t="shared" si="254"/>
        <v>A1622:A3216</v>
      </c>
    </row>
    <row r="3217" spans="1:15">
      <c r="A3217" s="18">
        <f>Charms!K3217</f>
        <v>0</v>
      </c>
      <c r="B3217">
        <f>Charms!B3217</f>
        <v>0</v>
      </c>
      <c r="C3217" t="b">
        <f ca="1">OR(Values!$S$98&gt;=Charms!M3217,IFERROR(Charms!J3217=OFFSET(Values!$A$24,MATCH("S",Values!$T$25:$T$50,0),0),FALSE))</f>
        <v>1</v>
      </c>
      <c r="D3217" t="e">
        <f>VLOOKUP(Charms!J3217,Values!$A$11:$S$59,19,0)&gt;=Charms!L3217</f>
        <v>#N/A</v>
      </c>
      <c r="E3217" t="e">
        <f>OR(ISBLANK(Charms!I3217),(VLOOKUP(Values!$S$6,Castes!$B$2:$F$25,4,0)=Charms!I3217))</f>
        <v>#N/A</v>
      </c>
      <c r="J3217" t="e">
        <f t="shared" ca="1" si="251"/>
        <v>#N/A</v>
      </c>
      <c r="K3217" s="18" t="e">
        <f t="shared" ca="1" si="250"/>
        <v>#N/A</v>
      </c>
      <c r="L3217" t="e">
        <f ca="1">IF(J3217,Charms!B3217,"")</f>
        <v>#N/A</v>
      </c>
      <c r="M3217" t="str">
        <f t="shared" ca="1" si="252"/>
        <v>-</v>
      </c>
      <c r="N3217" s="18" t="str">
        <f t="shared" si="253"/>
        <v>K1622:L5000</v>
      </c>
      <c r="O3217" t="str">
        <f t="shared" si="254"/>
        <v>A1622:A3217</v>
      </c>
    </row>
    <row r="3218" spans="1:15">
      <c r="A3218" s="18">
        <f>Charms!K3218</f>
        <v>0</v>
      </c>
      <c r="B3218">
        <f>Charms!B3218</f>
        <v>0</v>
      </c>
      <c r="C3218" t="b">
        <f ca="1">OR(Values!$S$98&gt;=Charms!M3218,IFERROR(Charms!J3218=OFFSET(Values!$A$24,MATCH("S",Values!$T$25:$T$50,0),0),FALSE))</f>
        <v>1</v>
      </c>
      <c r="D3218" t="e">
        <f>VLOOKUP(Charms!J3218,Values!$A$11:$S$59,19,0)&gt;=Charms!L3218</f>
        <v>#N/A</v>
      </c>
      <c r="E3218" t="e">
        <f>OR(ISBLANK(Charms!I3218),(VLOOKUP(Values!$S$6,Castes!$B$2:$F$25,4,0)=Charms!I3218))</f>
        <v>#N/A</v>
      </c>
      <c r="J3218" t="e">
        <f t="shared" ca="1" si="251"/>
        <v>#N/A</v>
      </c>
      <c r="K3218" s="18" t="e">
        <f t="shared" ca="1" si="250"/>
        <v>#N/A</v>
      </c>
      <c r="L3218" t="e">
        <f ca="1">IF(J3218,Charms!B3218,"")</f>
        <v>#N/A</v>
      </c>
      <c r="M3218" t="str">
        <f t="shared" ca="1" si="252"/>
        <v>-</v>
      </c>
      <c r="N3218" s="18" t="str">
        <f t="shared" si="253"/>
        <v>K1622:L5000</v>
      </c>
      <c r="O3218" t="str">
        <f t="shared" si="254"/>
        <v>A1622:A3218</v>
      </c>
    </row>
    <row r="3219" spans="1:15">
      <c r="A3219" s="18">
        <f>Charms!K3219</f>
        <v>0</v>
      </c>
      <c r="B3219">
        <f>Charms!B3219</f>
        <v>0</v>
      </c>
      <c r="C3219" t="b">
        <f ca="1">OR(Values!$S$98&gt;=Charms!M3219,IFERROR(Charms!J3219=OFFSET(Values!$A$24,MATCH("S",Values!$T$25:$T$50,0),0),FALSE))</f>
        <v>1</v>
      </c>
      <c r="D3219" t="e">
        <f>VLOOKUP(Charms!J3219,Values!$A$11:$S$59,19,0)&gt;=Charms!L3219</f>
        <v>#N/A</v>
      </c>
      <c r="E3219" t="e">
        <f>OR(ISBLANK(Charms!I3219),(VLOOKUP(Values!$S$6,Castes!$B$2:$F$25,4,0)=Charms!I3219))</f>
        <v>#N/A</v>
      </c>
      <c r="J3219" t="e">
        <f t="shared" ca="1" si="251"/>
        <v>#N/A</v>
      </c>
      <c r="K3219" s="18" t="e">
        <f t="shared" ca="1" si="250"/>
        <v>#N/A</v>
      </c>
      <c r="L3219" t="e">
        <f ca="1">IF(J3219,Charms!B3219,"")</f>
        <v>#N/A</v>
      </c>
      <c r="M3219" t="str">
        <f t="shared" ca="1" si="252"/>
        <v>-</v>
      </c>
      <c r="N3219" s="18" t="str">
        <f t="shared" si="253"/>
        <v>K1622:L5000</v>
      </c>
      <c r="O3219" t="str">
        <f t="shared" si="254"/>
        <v>A1622:A3219</v>
      </c>
    </row>
    <row r="3220" spans="1:15">
      <c r="A3220" s="18">
        <f>Charms!K3220</f>
        <v>0</v>
      </c>
      <c r="B3220">
        <f>Charms!B3220</f>
        <v>0</v>
      </c>
      <c r="C3220" t="b">
        <f ca="1">OR(Values!$S$98&gt;=Charms!M3220,IFERROR(Charms!J3220=OFFSET(Values!$A$24,MATCH("S",Values!$T$25:$T$50,0),0),FALSE))</f>
        <v>1</v>
      </c>
      <c r="D3220" t="e">
        <f>VLOOKUP(Charms!J3220,Values!$A$11:$S$59,19,0)&gt;=Charms!L3220</f>
        <v>#N/A</v>
      </c>
      <c r="E3220" t="e">
        <f>OR(ISBLANK(Charms!I3220),(VLOOKUP(Values!$S$6,Castes!$B$2:$F$25,4,0)=Charms!I3220))</f>
        <v>#N/A</v>
      </c>
      <c r="J3220" t="e">
        <f t="shared" ca="1" si="251"/>
        <v>#N/A</v>
      </c>
      <c r="K3220" s="18" t="e">
        <f t="shared" ca="1" si="250"/>
        <v>#N/A</v>
      </c>
      <c r="L3220" t="e">
        <f ca="1">IF(J3220,Charms!B3220,"")</f>
        <v>#N/A</v>
      </c>
      <c r="M3220" t="str">
        <f t="shared" ca="1" si="252"/>
        <v>-</v>
      </c>
      <c r="N3220" s="18" t="str">
        <f t="shared" si="253"/>
        <v>K1622:L5000</v>
      </c>
      <c r="O3220" t="str">
        <f t="shared" si="254"/>
        <v>A1622:A3220</v>
      </c>
    </row>
    <row r="3221" spans="1:15">
      <c r="A3221" s="18">
        <f>Charms!K3221</f>
        <v>0</v>
      </c>
      <c r="B3221">
        <f>Charms!B3221</f>
        <v>0</v>
      </c>
      <c r="C3221" t="b">
        <f ca="1">OR(Values!$S$98&gt;=Charms!M3221,IFERROR(Charms!J3221=OFFSET(Values!$A$24,MATCH("S",Values!$T$25:$T$50,0),0),FALSE))</f>
        <v>1</v>
      </c>
      <c r="D3221" t="e">
        <f>VLOOKUP(Charms!J3221,Values!$A$11:$S$59,19,0)&gt;=Charms!L3221</f>
        <v>#N/A</v>
      </c>
      <c r="E3221" t="e">
        <f>OR(ISBLANK(Charms!I3221),(VLOOKUP(Values!$S$6,Castes!$B$2:$F$25,4,0)=Charms!I3221))</f>
        <v>#N/A</v>
      </c>
      <c r="J3221" t="e">
        <f t="shared" ca="1" si="251"/>
        <v>#N/A</v>
      </c>
      <c r="K3221" s="18" t="e">
        <f t="shared" ca="1" si="250"/>
        <v>#N/A</v>
      </c>
      <c r="L3221" t="e">
        <f ca="1">IF(J3221,Charms!B3221,"")</f>
        <v>#N/A</v>
      </c>
      <c r="M3221" t="str">
        <f t="shared" ca="1" si="252"/>
        <v>-</v>
      </c>
      <c r="N3221" s="18" t="str">
        <f t="shared" si="253"/>
        <v>K1622:L5000</v>
      </c>
      <c r="O3221" t="str">
        <f t="shared" si="254"/>
        <v>A1622:A3221</v>
      </c>
    </row>
    <row r="3222" spans="1:15">
      <c r="A3222" s="18">
        <f>Charms!K3222</f>
        <v>0</v>
      </c>
      <c r="B3222">
        <f>Charms!B3222</f>
        <v>0</v>
      </c>
      <c r="C3222" t="b">
        <f ca="1">OR(Values!$S$98&gt;=Charms!M3222,IFERROR(Charms!J3222=OFFSET(Values!$A$24,MATCH("S",Values!$T$25:$T$50,0),0),FALSE))</f>
        <v>1</v>
      </c>
      <c r="D3222" t="e">
        <f>VLOOKUP(Charms!J3222,Values!$A$11:$S$59,19,0)&gt;=Charms!L3222</f>
        <v>#N/A</v>
      </c>
      <c r="E3222" t="e">
        <f>OR(ISBLANK(Charms!I3222),(VLOOKUP(Values!$S$6,Castes!$B$2:$F$25,4,0)=Charms!I3222))</f>
        <v>#N/A</v>
      </c>
      <c r="J3222" t="e">
        <f t="shared" ca="1" si="251"/>
        <v>#N/A</v>
      </c>
      <c r="K3222" s="18" t="e">
        <f t="shared" ca="1" si="250"/>
        <v>#N/A</v>
      </c>
      <c r="L3222" t="e">
        <f ca="1">IF(J3222,Charms!B3222,"")</f>
        <v>#N/A</v>
      </c>
      <c r="M3222" t="str">
        <f t="shared" ca="1" si="252"/>
        <v>-</v>
      </c>
      <c r="N3222" s="18" t="str">
        <f t="shared" si="253"/>
        <v>K1622:L5000</v>
      </c>
      <c r="O3222" t="str">
        <f t="shared" si="254"/>
        <v>A1622:A3222</v>
      </c>
    </row>
    <row r="3223" spans="1:15">
      <c r="A3223" s="18">
        <f>Charms!K3223</f>
        <v>0</v>
      </c>
      <c r="B3223">
        <f>Charms!B3223</f>
        <v>0</v>
      </c>
      <c r="C3223" t="b">
        <f ca="1">OR(Values!$S$98&gt;=Charms!M3223,IFERROR(Charms!J3223=OFFSET(Values!$A$24,MATCH("S",Values!$T$25:$T$50,0),0),FALSE))</f>
        <v>1</v>
      </c>
      <c r="D3223" t="e">
        <f>VLOOKUP(Charms!J3223,Values!$A$11:$S$59,19,0)&gt;=Charms!L3223</f>
        <v>#N/A</v>
      </c>
      <c r="E3223" t="e">
        <f>OR(ISBLANK(Charms!I3223),(VLOOKUP(Values!$S$6,Castes!$B$2:$F$25,4,0)=Charms!I3223))</f>
        <v>#N/A</v>
      </c>
      <c r="J3223" t="e">
        <f t="shared" ca="1" si="251"/>
        <v>#N/A</v>
      </c>
      <c r="K3223" s="18" t="e">
        <f t="shared" ca="1" si="250"/>
        <v>#N/A</v>
      </c>
      <c r="L3223" t="e">
        <f ca="1">IF(J3223,Charms!B3223,"")</f>
        <v>#N/A</v>
      </c>
      <c r="M3223" t="str">
        <f t="shared" ca="1" si="252"/>
        <v>-</v>
      </c>
      <c r="N3223" s="18" t="str">
        <f t="shared" si="253"/>
        <v>K1622:L5000</v>
      </c>
      <c r="O3223" t="str">
        <f t="shared" si="254"/>
        <v>A1622:A3223</v>
      </c>
    </row>
    <row r="3224" spans="1:15">
      <c r="A3224" s="18">
        <f>Charms!K3224</f>
        <v>0</v>
      </c>
      <c r="B3224">
        <f>Charms!B3224</f>
        <v>0</v>
      </c>
      <c r="C3224" t="b">
        <f ca="1">OR(Values!$S$98&gt;=Charms!M3224,IFERROR(Charms!J3224=OFFSET(Values!$A$24,MATCH("S",Values!$T$25:$T$50,0),0),FALSE))</f>
        <v>1</v>
      </c>
      <c r="D3224" t="e">
        <f>VLOOKUP(Charms!J3224,Values!$A$11:$S$59,19,0)&gt;=Charms!L3224</f>
        <v>#N/A</v>
      </c>
      <c r="E3224" t="e">
        <f>OR(ISBLANK(Charms!I3224),(VLOOKUP(Values!$S$6,Castes!$B$2:$F$25,4,0)=Charms!I3224))</f>
        <v>#N/A</v>
      </c>
      <c r="J3224" t="e">
        <f t="shared" ca="1" si="251"/>
        <v>#N/A</v>
      </c>
      <c r="K3224" s="18" t="e">
        <f t="shared" ca="1" si="250"/>
        <v>#N/A</v>
      </c>
      <c r="L3224" t="e">
        <f ca="1">IF(J3224,Charms!B3224,"")</f>
        <v>#N/A</v>
      </c>
      <c r="M3224" t="str">
        <f t="shared" ca="1" si="252"/>
        <v>-</v>
      </c>
      <c r="N3224" s="18" t="str">
        <f t="shared" si="253"/>
        <v>K1622:L5000</v>
      </c>
      <c r="O3224" t="str">
        <f t="shared" si="254"/>
        <v>A1622:A3224</v>
      </c>
    </row>
    <row r="3225" spans="1:15">
      <c r="A3225" s="18">
        <f>Charms!K3225</f>
        <v>0</v>
      </c>
      <c r="B3225">
        <f>Charms!B3225</f>
        <v>0</v>
      </c>
      <c r="C3225" t="b">
        <f ca="1">OR(Values!$S$98&gt;=Charms!M3225,IFERROR(Charms!J3225=OFFSET(Values!$A$24,MATCH("S",Values!$T$25:$T$50,0),0),FALSE))</f>
        <v>1</v>
      </c>
      <c r="D3225" t="e">
        <f>VLOOKUP(Charms!J3225,Values!$A$11:$S$59,19,0)&gt;=Charms!L3225</f>
        <v>#N/A</v>
      </c>
      <c r="E3225" t="e">
        <f>OR(ISBLANK(Charms!I3225),(VLOOKUP(Values!$S$6,Castes!$B$2:$F$25,4,0)=Charms!I3225))</f>
        <v>#N/A</v>
      </c>
      <c r="J3225" t="e">
        <f t="shared" ca="1" si="251"/>
        <v>#N/A</v>
      </c>
      <c r="K3225" s="18" t="e">
        <f t="shared" ca="1" si="250"/>
        <v>#N/A</v>
      </c>
      <c r="L3225" t="e">
        <f ca="1">IF(J3225,Charms!B3225,"")</f>
        <v>#N/A</v>
      </c>
      <c r="M3225" t="str">
        <f t="shared" ca="1" si="252"/>
        <v>-</v>
      </c>
      <c r="N3225" s="18" t="str">
        <f t="shared" si="253"/>
        <v>K1622:L5000</v>
      </c>
      <c r="O3225" t="str">
        <f t="shared" si="254"/>
        <v>A1622:A3225</v>
      </c>
    </row>
    <row r="3226" spans="1:15">
      <c r="A3226" s="18">
        <f>Charms!K3226</f>
        <v>0</v>
      </c>
      <c r="B3226">
        <f>Charms!B3226</f>
        <v>0</v>
      </c>
      <c r="C3226" t="b">
        <f ca="1">OR(Values!$S$98&gt;=Charms!M3226,IFERROR(Charms!J3226=OFFSET(Values!$A$24,MATCH("S",Values!$T$25:$T$50,0),0),FALSE))</f>
        <v>1</v>
      </c>
      <c r="D3226" t="e">
        <f>VLOOKUP(Charms!J3226,Values!$A$11:$S$59,19,0)&gt;=Charms!L3226</f>
        <v>#N/A</v>
      </c>
      <c r="E3226" t="e">
        <f>OR(ISBLANK(Charms!I3226),(VLOOKUP(Values!$S$6,Castes!$B$2:$F$25,4,0)=Charms!I3226))</f>
        <v>#N/A</v>
      </c>
      <c r="J3226" t="e">
        <f t="shared" ca="1" si="251"/>
        <v>#N/A</v>
      </c>
      <c r="K3226" s="18" t="e">
        <f t="shared" ca="1" si="250"/>
        <v>#N/A</v>
      </c>
      <c r="L3226" t="e">
        <f ca="1">IF(J3226,Charms!B3226,"")</f>
        <v>#N/A</v>
      </c>
      <c r="M3226" t="str">
        <f t="shared" ca="1" si="252"/>
        <v>-</v>
      </c>
      <c r="N3226" s="18" t="str">
        <f t="shared" si="253"/>
        <v>K1622:L5000</v>
      </c>
      <c r="O3226" t="str">
        <f t="shared" si="254"/>
        <v>A1622:A3226</v>
      </c>
    </row>
    <row r="3227" spans="1:15">
      <c r="A3227" s="18">
        <f>Charms!K3227</f>
        <v>0</v>
      </c>
      <c r="B3227">
        <f>Charms!B3227</f>
        <v>0</v>
      </c>
      <c r="C3227" t="b">
        <f ca="1">OR(Values!$S$98&gt;=Charms!M3227,IFERROR(Charms!J3227=OFFSET(Values!$A$24,MATCH("S",Values!$T$25:$T$50,0),0),FALSE))</f>
        <v>1</v>
      </c>
      <c r="D3227" t="e">
        <f>VLOOKUP(Charms!J3227,Values!$A$11:$S$59,19,0)&gt;=Charms!L3227</f>
        <v>#N/A</v>
      </c>
      <c r="E3227" t="e">
        <f>OR(ISBLANK(Charms!I3227),(VLOOKUP(Values!$S$6,Castes!$B$2:$F$25,4,0)=Charms!I3227))</f>
        <v>#N/A</v>
      </c>
      <c r="J3227" t="e">
        <f t="shared" ca="1" si="251"/>
        <v>#N/A</v>
      </c>
      <c r="K3227" s="18" t="e">
        <f t="shared" ca="1" si="250"/>
        <v>#N/A</v>
      </c>
      <c r="L3227" t="e">
        <f ca="1">IF(J3227,Charms!B3227,"")</f>
        <v>#N/A</v>
      </c>
      <c r="M3227" t="str">
        <f t="shared" ca="1" si="252"/>
        <v>-</v>
      </c>
      <c r="N3227" s="18" t="str">
        <f t="shared" si="253"/>
        <v>K1622:L5000</v>
      </c>
      <c r="O3227" t="str">
        <f t="shared" si="254"/>
        <v>A1622:A3227</v>
      </c>
    </row>
    <row r="3228" spans="1:15">
      <c r="A3228" s="18">
        <f>Charms!K3228</f>
        <v>0</v>
      </c>
      <c r="B3228">
        <f>Charms!B3228</f>
        <v>0</v>
      </c>
      <c r="C3228" t="b">
        <f ca="1">OR(Values!$S$98&gt;=Charms!M3228,IFERROR(Charms!J3228=OFFSET(Values!$A$24,MATCH("S",Values!$T$25:$T$50,0),0),FALSE))</f>
        <v>1</v>
      </c>
      <c r="D3228" t="e">
        <f>VLOOKUP(Charms!J3228,Values!$A$11:$S$59,19,0)&gt;=Charms!L3228</f>
        <v>#N/A</v>
      </c>
      <c r="E3228" t="e">
        <f>OR(ISBLANK(Charms!I3228),(VLOOKUP(Values!$S$6,Castes!$B$2:$F$25,4,0)=Charms!I3228))</f>
        <v>#N/A</v>
      </c>
      <c r="J3228" t="e">
        <f t="shared" ca="1" si="251"/>
        <v>#N/A</v>
      </c>
      <c r="K3228" s="18" t="e">
        <f t="shared" ca="1" si="250"/>
        <v>#N/A</v>
      </c>
      <c r="L3228" t="e">
        <f ca="1">IF(J3228,Charms!B3228,"")</f>
        <v>#N/A</v>
      </c>
      <c r="M3228" t="str">
        <f t="shared" ca="1" si="252"/>
        <v>-</v>
      </c>
      <c r="N3228" s="18" t="str">
        <f t="shared" si="253"/>
        <v>K1622:L5000</v>
      </c>
      <c r="O3228" t="str">
        <f t="shared" si="254"/>
        <v>A1622:A3228</v>
      </c>
    </row>
    <row r="3229" spans="1:15">
      <c r="A3229" s="18">
        <f>Charms!K3229</f>
        <v>0</v>
      </c>
      <c r="B3229">
        <f>Charms!B3229</f>
        <v>0</v>
      </c>
      <c r="C3229" t="b">
        <f ca="1">OR(Values!$S$98&gt;=Charms!M3229,IFERROR(Charms!J3229=OFFSET(Values!$A$24,MATCH("S",Values!$T$25:$T$50,0),0),FALSE))</f>
        <v>1</v>
      </c>
      <c r="D3229" t="e">
        <f>VLOOKUP(Charms!J3229,Values!$A$11:$S$59,19,0)&gt;=Charms!L3229</f>
        <v>#N/A</v>
      </c>
      <c r="E3229" t="e">
        <f>OR(ISBLANK(Charms!I3229),(VLOOKUP(Values!$S$6,Castes!$B$2:$F$25,4,0)=Charms!I3229))</f>
        <v>#N/A</v>
      </c>
      <c r="J3229" t="e">
        <f t="shared" ca="1" si="251"/>
        <v>#N/A</v>
      </c>
      <c r="K3229" s="18" t="e">
        <f t="shared" ca="1" si="250"/>
        <v>#N/A</v>
      </c>
      <c r="L3229" t="e">
        <f ca="1">IF(J3229,Charms!B3229,"")</f>
        <v>#N/A</v>
      </c>
      <c r="M3229" t="str">
        <f t="shared" ca="1" si="252"/>
        <v>-</v>
      </c>
      <c r="N3229" s="18" t="str">
        <f t="shared" si="253"/>
        <v>K1622:L5000</v>
      </c>
      <c r="O3229" t="str">
        <f t="shared" si="254"/>
        <v>A1622:A3229</v>
      </c>
    </row>
    <row r="3230" spans="1:15">
      <c r="A3230" s="18">
        <f>Charms!K3230</f>
        <v>0</v>
      </c>
      <c r="B3230">
        <f>Charms!B3230</f>
        <v>0</v>
      </c>
      <c r="C3230" t="b">
        <f ca="1">OR(Values!$S$98&gt;=Charms!M3230,IFERROR(Charms!J3230=OFFSET(Values!$A$24,MATCH("S",Values!$T$25:$T$50,0),0),FALSE))</f>
        <v>1</v>
      </c>
      <c r="D3230" t="e">
        <f>VLOOKUP(Charms!J3230,Values!$A$11:$S$59,19,0)&gt;=Charms!L3230</f>
        <v>#N/A</v>
      </c>
      <c r="E3230" t="e">
        <f>OR(ISBLANK(Charms!I3230),(VLOOKUP(Values!$S$6,Castes!$B$2:$F$25,4,0)=Charms!I3230))</f>
        <v>#N/A</v>
      </c>
      <c r="J3230" t="e">
        <f t="shared" ca="1" si="251"/>
        <v>#N/A</v>
      </c>
      <c r="K3230" s="18" t="e">
        <f t="shared" ca="1" si="250"/>
        <v>#N/A</v>
      </c>
      <c r="L3230" t="e">
        <f ca="1">IF(J3230,Charms!B3230,"")</f>
        <v>#N/A</v>
      </c>
      <c r="M3230" t="str">
        <f t="shared" ca="1" si="252"/>
        <v>-</v>
      </c>
      <c r="N3230" s="18" t="str">
        <f t="shared" si="253"/>
        <v>K1622:L5000</v>
      </c>
      <c r="O3230" t="str">
        <f t="shared" si="254"/>
        <v>A1622:A3230</v>
      </c>
    </row>
    <row r="3231" spans="1:15">
      <c r="A3231" s="18">
        <f>Charms!K3231</f>
        <v>0</v>
      </c>
      <c r="B3231">
        <f>Charms!B3231</f>
        <v>0</v>
      </c>
      <c r="C3231" t="b">
        <f ca="1">OR(Values!$S$98&gt;=Charms!M3231,IFERROR(Charms!J3231=OFFSET(Values!$A$24,MATCH("S",Values!$T$25:$T$50,0),0),FALSE))</f>
        <v>1</v>
      </c>
      <c r="D3231" t="e">
        <f>VLOOKUP(Charms!J3231,Values!$A$11:$S$59,19,0)&gt;=Charms!L3231</f>
        <v>#N/A</v>
      </c>
      <c r="E3231" t="e">
        <f>OR(ISBLANK(Charms!I3231),(VLOOKUP(Values!$S$6,Castes!$B$2:$F$25,4,0)=Charms!I3231))</f>
        <v>#N/A</v>
      </c>
      <c r="J3231" t="e">
        <f t="shared" ca="1" si="251"/>
        <v>#N/A</v>
      </c>
      <c r="K3231" s="18" t="e">
        <f t="shared" ca="1" si="250"/>
        <v>#N/A</v>
      </c>
      <c r="L3231" t="e">
        <f ca="1">IF(J3231,Charms!B3231,"")</f>
        <v>#N/A</v>
      </c>
      <c r="M3231" t="str">
        <f t="shared" ca="1" si="252"/>
        <v>-</v>
      </c>
      <c r="N3231" s="18" t="str">
        <f t="shared" si="253"/>
        <v>K1622:L5000</v>
      </c>
      <c r="O3231" t="str">
        <f t="shared" si="254"/>
        <v>A1622:A3231</v>
      </c>
    </row>
    <row r="3232" spans="1:15">
      <c r="A3232" s="18">
        <f>Charms!K3232</f>
        <v>0</v>
      </c>
      <c r="B3232">
        <f>Charms!B3232</f>
        <v>0</v>
      </c>
      <c r="C3232" t="b">
        <f ca="1">OR(Values!$S$98&gt;=Charms!M3232,IFERROR(Charms!J3232=OFFSET(Values!$A$24,MATCH("S",Values!$T$25:$T$50,0),0),FALSE))</f>
        <v>1</v>
      </c>
      <c r="D3232" t="e">
        <f>VLOOKUP(Charms!J3232,Values!$A$11:$S$59,19,0)&gt;=Charms!L3232</f>
        <v>#N/A</v>
      </c>
      <c r="E3232" t="e">
        <f>OR(ISBLANK(Charms!I3232),(VLOOKUP(Values!$S$6,Castes!$B$2:$F$25,4,0)=Charms!I3232))</f>
        <v>#N/A</v>
      </c>
      <c r="J3232" t="e">
        <f t="shared" ca="1" si="251"/>
        <v>#N/A</v>
      </c>
      <c r="K3232" s="18" t="e">
        <f t="shared" ca="1" si="250"/>
        <v>#N/A</v>
      </c>
      <c r="L3232" t="e">
        <f ca="1">IF(J3232,Charms!B3232,"")</f>
        <v>#N/A</v>
      </c>
      <c r="M3232" t="str">
        <f t="shared" ca="1" si="252"/>
        <v>-</v>
      </c>
      <c r="N3232" s="18" t="str">
        <f t="shared" si="253"/>
        <v>K1622:L5000</v>
      </c>
      <c r="O3232" t="str">
        <f t="shared" si="254"/>
        <v>A1622:A3232</v>
      </c>
    </row>
    <row r="3233" spans="1:15">
      <c r="A3233" s="18">
        <f>Charms!K3233</f>
        <v>0</v>
      </c>
      <c r="B3233">
        <f>Charms!B3233</f>
        <v>0</v>
      </c>
      <c r="C3233" t="b">
        <f ca="1">OR(Values!$S$98&gt;=Charms!M3233,IFERROR(Charms!J3233=OFFSET(Values!$A$24,MATCH("S",Values!$T$25:$T$50,0),0),FALSE))</f>
        <v>1</v>
      </c>
      <c r="D3233" t="e">
        <f>VLOOKUP(Charms!J3233,Values!$A$11:$S$59,19,0)&gt;=Charms!L3233</f>
        <v>#N/A</v>
      </c>
      <c r="E3233" t="e">
        <f>OR(ISBLANK(Charms!I3233),(VLOOKUP(Values!$S$6,Castes!$B$2:$F$25,4,0)=Charms!I3233))</f>
        <v>#N/A</v>
      </c>
      <c r="J3233" t="e">
        <f t="shared" ca="1" si="251"/>
        <v>#N/A</v>
      </c>
      <c r="K3233" s="18" t="e">
        <f t="shared" ca="1" si="250"/>
        <v>#N/A</v>
      </c>
      <c r="L3233" t="e">
        <f ca="1">IF(J3233,Charms!B3233,"")</f>
        <v>#N/A</v>
      </c>
      <c r="M3233" t="str">
        <f t="shared" ca="1" si="252"/>
        <v>-</v>
      </c>
      <c r="N3233" s="18" t="str">
        <f t="shared" si="253"/>
        <v>K1622:L5000</v>
      </c>
      <c r="O3233" t="str">
        <f t="shared" si="254"/>
        <v>A1622:A3233</v>
      </c>
    </row>
    <row r="3234" spans="1:15">
      <c r="A3234" s="18">
        <f>Charms!K3234</f>
        <v>0</v>
      </c>
      <c r="B3234">
        <f>Charms!B3234</f>
        <v>0</v>
      </c>
      <c r="C3234" t="b">
        <f ca="1">OR(Values!$S$98&gt;=Charms!M3234,IFERROR(Charms!J3234=OFFSET(Values!$A$24,MATCH("S",Values!$T$25:$T$50,0),0),FALSE))</f>
        <v>1</v>
      </c>
      <c r="D3234" t="e">
        <f>VLOOKUP(Charms!J3234,Values!$A$11:$S$59,19,0)&gt;=Charms!L3234</f>
        <v>#N/A</v>
      </c>
      <c r="E3234" t="e">
        <f>OR(ISBLANK(Charms!I3234),(VLOOKUP(Values!$S$6,Castes!$B$2:$F$25,4,0)=Charms!I3234))</f>
        <v>#N/A</v>
      </c>
      <c r="J3234" t="e">
        <f t="shared" ca="1" si="251"/>
        <v>#N/A</v>
      </c>
      <c r="K3234" s="18" t="e">
        <f t="shared" ca="1" si="250"/>
        <v>#N/A</v>
      </c>
      <c r="L3234" t="e">
        <f ca="1">IF(J3234,Charms!B3234,"")</f>
        <v>#N/A</v>
      </c>
      <c r="M3234" t="str">
        <f t="shared" ca="1" si="252"/>
        <v>-</v>
      </c>
      <c r="N3234" s="18" t="str">
        <f t="shared" si="253"/>
        <v>K1622:L5000</v>
      </c>
      <c r="O3234" t="str">
        <f t="shared" si="254"/>
        <v>A1622:A3234</v>
      </c>
    </row>
    <row r="3235" spans="1:15">
      <c r="A3235" s="18">
        <f>Charms!K3235</f>
        <v>0</v>
      </c>
      <c r="B3235">
        <f>Charms!B3235</f>
        <v>0</v>
      </c>
      <c r="C3235" t="b">
        <f ca="1">OR(Values!$S$98&gt;=Charms!M3235,IFERROR(Charms!J3235=OFFSET(Values!$A$24,MATCH("S",Values!$T$25:$T$50,0),0),FALSE))</f>
        <v>1</v>
      </c>
      <c r="D3235" t="e">
        <f>VLOOKUP(Charms!J3235,Values!$A$11:$S$59,19,0)&gt;=Charms!L3235</f>
        <v>#N/A</v>
      </c>
      <c r="E3235" t="e">
        <f>OR(ISBLANK(Charms!I3235),(VLOOKUP(Values!$S$6,Castes!$B$2:$F$25,4,0)=Charms!I3235))</f>
        <v>#N/A</v>
      </c>
      <c r="J3235" t="e">
        <f t="shared" ca="1" si="251"/>
        <v>#N/A</v>
      </c>
      <c r="K3235" s="18" t="e">
        <f t="shared" ca="1" si="250"/>
        <v>#N/A</v>
      </c>
      <c r="L3235" t="e">
        <f ca="1">IF(J3235,Charms!B3235,"")</f>
        <v>#N/A</v>
      </c>
      <c r="M3235" t="str">
        <f t="shared" ca="1" si="252"/>
        <v>-</v>
      </c>
      <c r="N3235" s="18" t="str">
        <f t="shared" si="253"/>
        <v>K1622:L5000</v>
      </c>
      <c r="O3235" t="str">
        <f t="shared" si="254"/>
        <v>A1622:A3235</v>
      </c>
    </row>
    <row r="3236" spans="1:15">
      <c r="A3236" s="18">
        <f>Charms!K3236</f>
        <v>0</v>
      </c>
      <c r="B3236">
        <f>Charms!B3236</f>
        <v>0</v>
      </c>
      <c r="C3236" t="b">
        <f ca="1">OR(Values!$S$98&gt;=Charms!M3236,IFERROR(Charms!J3236=OFFSET(Values!$A$24,MATCH("S",Values!$T$25:$T$50,0),0),FALSE))</f>
        <v>1</v>
      </c>
      <c r="D3236" t="e">
        <f>VLOOKUP(Charms!J3236,Values!$A$11:$S$59,19,0)&gt;=Charms!L3236</f>
        <v>#N/A</v>
      </c>
      <c r="E3236" t="e">
        <f>OR(ISBLANK(Charms!I3236),(VLOOKUP(Values!$S$6,Castes!$B$2:$F$25,4,0)=Charms!I3236))</f>
        <v>#N/A</v>
      </c>
      <c r="J3236" t="e">
        <f t="shared" ca="1" si="251"/>
        <v>#N/A</v>
      </c>
      <c r="K3236" s="18" t="e">
        <f t="shared" ca="1" si="250"/>
        <v>#N/A</v>
      </c>
      <c r="L3236" t="e">
        <f ca="1">IF(J3236,Charms!B3236,"")</f>
        <v>#N/A</v>
      </c>
      <c r="M3236" t="str">
        <f t="shared" ca="1" si="252"/>
        <v>-</v>
      </c>
      <c r="N3236" s="18" t="str">
        <f t="shared" si="253"/>
        <v>K1622:L5000</v>
      </c>
      <c r="O3236" t="str">
        <f t="shared" si="254"/>
        <v>A1622:A3236</v>
      </c>
    </row>
    <row r="3237" spans="1:15">
      <c r="A3237" s="18">
        <f>Charms!K3237</f>
        <v>0</v>
      </c>
      <c r="B3237">
        <f>Charms!B3237</f>
        <v>0</v>
      </c>
      <c r="C3237" t="b">
        <f ca="1">OR(Values!$S$98&gt;=Charms!M3237,IFERROR(Charms!J3237=OFFSET(Values!$A$24,MATCH("S",Values!$T$25:$T$50,0),0),FALSE))</f>
        <v>1</v>
      </c>
      <c r="D3237" t="e">
        <f>VLOOKUP(Charms!J3237,Values!$A$11:$S$59,19,0)&gt;=Charms!L3237</f>
        <v>#N/A</v>
      </c>
      <c r="E3237" t="e">
        <f>OR(ISBLANK(Charms!I3237),(VLOOKUP(Values!$S$6,Castes!$B$2:$F$25,4,0)=Charms!I3237))</f>
        <v>#N/A</v>
      </c>
      <c r="J3237" t="e">
        <f t="shared" ca="1" si="251"/>
        <v>#N/A</v>
      </c>
      <c r="K3237" s="18" t="e">
        <f t="shared" ca="1" si="250"/>
        <v>#N/A</v>
      </c>
      <c r="L3237" t="e">
        <f ca="1">IF(J3237,Charms!B3237,"")</f>
        <v>#N/A</v>
      </c>
      <c r="M3237" t="str">
        <f t="shared" ca="1" si="252"/>
        <v>-</v>
      </c>
      <c r="N3237" s="18" t="str">
        <f t="shared" si="253"/>
        <v>K1622:L5000</v>
      </c>
      <c r="O3237" t="str">
        <f t="shared" si="254"/>
        <v>A1622:A3237</v>
      </c>
    </row>
    <row r="3238" spans="1:15">
      <c r="A3238" s="18">
        <f>Charms!K3238</f>
        <v>0</v>
      </c>
      <c r="B3238">
        <f>Charms!B3238</f>
        <v>0</v>
      </c>
      <c r="C3238" t="b">
        <f ca="1">OR(Values!$S$98&gt;=Charms!M3238,IFERROR(Charms!J3238=OFFSET(Values!$A$24,MATCH("S",Values!$T$25:$T$50,0),0),FALSE))</f>
        <v>1</v>
      </c>
      <c r="D3238" t="e">
        <f>VLOOKUP(Charms!J3238,Values!$A$11:$S$59,19,0)&gt;=Charms!L3238</f>
        <v>#N/A</v>
      </c>
      <c r="E3238" t="e">
        <f>OR(ISBLANK(Charms!I3238),(VLOOKUP(Values!$S$6,Castes!$B$2:$F$25,4,0)=Charms!I3238))</f>
        <v>#N/A</v>
      </c>
      <c r="J3238" t="e">
        <f t="shared" ca="1" si="251"/>
        <v>#N/A</v>
      </c>
      <c r="K3238" s="18" t="e">
        <f t="shared" ca="1" si="250"/>
        <v>#N/A</v>
      </c>
      <c r="L3238" t="e">
        <f ca="1">IF(J3238,Charms!B3238,"")</f>
        <v>#N/A</v>
      </c>
      <c r="M3238" t="str">
        <f t="shared" ca="1" si="252"/>
        <v>-</v>
      </c>
      <c r="N3238" s="18" t="str">
        <f t="shared" si="253"/>
        <v>K1622:L5000</v>
      </c>
      <c r="O3238" t="str">
        <f t="shared" si="254"/>
        <v>A1622:A3238</v>
      </c>
    </row>
    <row r="3239" spans="1:15">
      <c r="A3239" s="18">
        <f>Charms!K3239</f>
        <v>0</v>
      </c>
      <c r="B3239">
        <f>Charms!B3239</f>
        <v>0</v>
      </c>
      <c r="C3239" t="b">
        <f ca="1">OR(Values!$S$98&gt;=Charms!M3239,IFERROR(Charms!J3239=OFFSET(Values!$A$24,MATCH("S",Values!$T$25:$T$50,0),0),FALSE))</f>
        <v>1</v>
      </c>
      <c r="D3239" t="e">
        <f>VLOOKUP(Charms!J3239,Values!$A$11:$S$59,19,0)&gt;=Charms!L3239</f>
        <v>#N/A</v>
      </c>
      <c r="E3239" t="e">
        <f>OR(ISBLANK(Charms!I3239),(VLOOKUP(Values!$S$6,Castes!$B$2:$F$25,4,0)=Charms!I3239))</f>
        <v>#N/A</v>
      </c>
      <c r="J3239" t="e">
        <f t="shared" ca="1" si="251"/>
        <v>#N/A</v>
      </c>
      <c r="K3239" s="18" t="e">
        <f t="shared" ca="1" si="250"/>
        <v>#N/A</v>
      </c>
      <c r="L3239" t="e">
        <f ca="1">IF(J3239,Charms!B3239,"")</f>
        <v>#N/A</v>
      </c>
      <c r="M3239" t="str">
        <f t="shared" ca="1" si="252"/>
        <v>-</v>
      </c>
      <c r="N3239" s="18" t="str">
        <f t="shared" si="253"/>
        <v>K1622:L5000</v>
      </c>
      <c r="O3239" t="str">
        <f t="shared" si="254"/>
        <v>A1622:A3239</v>
      </c>
    </row>
    <row r="3240" spans="1:15">
      <c r="A3240" s="18">
        <f>Charms!K3240</f>
        <v>0</v>
      </c>
      <c r="B3240">
        <f>Charms!B3240</f>
        <v>0</v>
      </c>
      <c r="C3240" t="b">
        <f ca="1">OR(Values!$S$98&gt;=Charms!M3240,IFERROR(Charms!J3240=OFFSET(Values!$A$24,MATCH("S",Values!$T$25:$T$50,0),0),FALSE))</f>
        <v>1</v>
      </c>
      <c r="D3240" t="e">
        <f>VLOOKUP(Charms!J3240,Values!$A$11:$S$59,19,0)&gt;=Charms!L3240</f>
        <v>#N/A</v>
      </c>
      <c r="E3240" t="e">
        <f>OR(ISBLANK(Charms!I3240),(VLOOKUP(Values!$S$6,Castes!$B$2:$F$25,4,0)=Charms!I3240))</f>
        <v>#N/A</v>
      </c>
      <c r="J3240" t="e">
        <f t="shared" ca="1" si="251"/>
        <v>#N/A</v>
      </c>
      <c r="K3240" s="18" t="e">
        <f t="shared" ca="1" si="250"/>
        <v>#N/A</v>
      </c>
      <c r="L3240" t="e">
        <f ca="1">IF(J3240,Charms!B3240,"")</f>
        <v>#N/A</v>
      </c>
      <c r="M3240" t="str">
        <f t="shared" ca="1" si="252"/>
        <v>-</v>
      </c>
      <c r="N3240" s="18" t="str">
        <f t="shared" si="253"/>
        <v>K1622:L5000</v>
      </c>
      <c r="O3240" t="str">
        <f t="shared" si="254"/>
        <v>A1622:A3240</v>
      </c>
    </row>
    <row r="3241" spans="1:15">
      <c r="A3241" s="18">
        <f>Charms!K3241</f>
        <v>0</v>
      </c>
      <c r="B3241">
        <f>Charms!B3241</f>
        <v>0</v>
      </c>
      <c r="C3241" t="b">
        <f ca="1">OR(Values!$S$98&gt;=Charms!M3241,IFERROR(Charms!J3241=OFFSET(Values!$A$24,MATCH("S",Values!$T$25:$T$50,0),0),FALSE))</f>
        <v>1</v>
      </c>
      <c r="D3241" t="e">
        <f>VLOOKUP(Charms!J3241,Values!$A$11:$S$59,19,0)&gt;=Charms!L3241</f>
        <v>#N/A</v>
      </c>
      <c r="E3241" t="e">
        <f>OR(ISBLANK(Charms!I3241),(VLOOKUP(Values!$S$6,Castes!$B$2:$F$25,4,0)=Charms!I3241))</f>
        <v>#N/A</v>
      </c>
      <c r="J3241" t="e">
        <f t="shared" ca="1" si="251"/>
        <v>#N/A</v>
      </c>
      <c r="K3241" s="18" t="e">
        <f t="shared" ca="1" si="250"/>
        <v>#N/A</v>
      </c>
      <c r="L3241" t="e">
        <f ca="1">IF(J3241,Charms!B3241,"")</f>
        <v>#N/A</v>
      </c>
      <c r="M3241" t="str">
        <f t="shared" ca="1" si="252"/>
        <v>-</v>
      </c>
      <c r="N3241" s="18" t="str">
        <f t="shared" si="253"/>
        <v>K1622:L5000</v>
      </c>
      <c r="O3241" t="str">
        <f t="shared" si="254"/>
        <v>A1622:A3241</v>
      </c>
    </row>
    <row r="3242" spans="1:15">
      <c r="A3242" s="18">
        <f>Charms!K3242</f>
        <v>0</v>
      </c>
      <c r="B3242">
        <f>Charms!B3242</f>
        <v>0</v>
      </c>
      <c r="C3242" t="b">
        <f ca="1">OR(Values!$S$98&gt;=Charms!M3242,IFERROR(Charms!J3242=OFFSET(Values!$A$24,MATCH("S",Values!$T$25:$T$50,0),0),FALSE))</f>
        <v>1</v>
      </c>
      <c r="D3242" t="e">
        <f>VLOOKUP(Charms!J3242,Values!$A$11:$S$59,19,0)&gt;=Charms!L3242</f>
        <v>#N/A</v>
      </c>
      <c r="E3242" t="e">
        <f>OR(ISBLANK(Charms!I3242),(VLOOKUP(Values!$S$6,Castes!$B$2:$F$25,4,0)=Charms!I3242))</f>
        <v>#N/A</v>
      </c>
      <c r="J3242" t="e">
        <f t="shared" ca="1" si="251"/>
        <v>#N/A</v>
      </c>
      <c r="K3242" s="18" t="e">
        <f t="shared" ca="1" si="250"/>
        <v>#N/A</v>
      </c>
      <c r="L3242" t="e">
        <f ca="1">IF(J3242,Charms!B3242,"")</f>
        <v>#N/A</v>
      </c>
      <c r="M3242" t="str">
        <f t="shared" ca="1" si="252"/>
        <v>-</v>
      </c>
      <c r="N3242" s="18" t="str">
        <f t="shared" si="253"/>
        <v>K1622:L5000</v>
      </c>
      <c r="O3242" t="str">
        <f t="shared" si="254"/>
        <v>A1622:A3242</v>
      </c>
    </row>
    <row r="3243" spans="1:15">
      <c r="A3243" s="18">
        <f>Charms!K3243</f>
        <v>0</v>
      </c>
      <c r="B3243">
        <f>Charms!B3243</f>
        <v>0</v>
      </c>
      <c r="C3243" t="b">
        <f ca="1">OR(Values!$S$98&gt;=Charms!M3243,IFERROR(Charms!J3243=OFFSET(Values!$A$24,MATCH("S",Values!$T$25:$T$50,0),0),FALSE))</f>
        <v>1</v>
      </c>
      <c r="D3243" t="e">
        <f>VLOOKUP(Charms!J3243,Values!$A$11:$S$59,19,0)&gt;=Charms!L3243</f>
        <v>#N/A</v>
      </c>
      <c r="E3243" t="e">
        <f>OR(ISBLANK(Charms!I3243),(VLOOKUP(Values!$S$6,Castes!$B$2:$F$25,4,0)=Charms!I3243))</f>
        <v>#N/A</v>
      </c>
      <c r="J3243" t="e">
        <f t="shared" ca="1" si="251"/>
        <v>#N/A</v>
      </c>
      <c r="K3243" s="18" t="e">
        <f t="shared" ca="1" si="250"/>
        <v>#N/A</v>
      </c>
      <c r="L3243" t="e">
        <f ca="1">IF(J3243,Charms!B3243,"")</f>
        <v>#N/A</v>
      </c>
      <c r="M3243" t="str">
        <f t="shared" ca="1" si="252"/>
        <v>-</v>
      </c>
      <c r="N3243" s="18" t="str">
        <f t="shared" si="253"/>
        <v>K1622:L5000</v>
      </c>
      <c r="O3243" t="str">
        <f t="shared" si="254"/>
        <v>A1622:A3243</v>
      </c>
    </row>
    <row r="3244" spans="1:15">
      <c r="A3244" s="18">
        <f>Charms!K3244</f>
        <v>0</v>
      </c>
      <c r="B3244">
        <f>Charms!B3244</f>
        <v>0</v>
      </c>
      <c r="C3244" t="b">
        <f ca="1">OR(Values!$S$98&gt;=Charms!M3244,IFERROR(Charms!J3244=OFFSET(Values!$A$24,MATCH("S",Values!$T$25:$T$50,0),0),FALSE))</f>
        <v>1</v>
      </c>
      <c r="D3244" t="e">
        <f>VLOOKUP(Charms!J3244,Values!$A$11:$S$59,19,0)&gt;=Charms!L3244</f>
        <v>#N/A</v>
      </c>
      <c r="E3244" t="e">
        <f>OR(ISBLANK(Charms!I3244),(VLOOKUP(Values!$S$6,Castes!$B$2:$F$25,4,0)=Charms!I3244))</f>
        <v>#N/A</v>
      </c>
      <c r="J3244" t="e">
        <f t="shared" ca="1" si="251"/>
        <v>#N/A</v>
      </c>
      <c r="K3244" s="18" t="e">
        <f t="shared" ca="1" si="250"/>
        <v>#N/A</v>
      </c>
      <c r="L3244" t="e">
        <f ca="1">IF(J3244,Charms!B3244,"")</f>
        <v>#N/A</v>
      </c>
      <c r="M3244" t="str">
        <f t="shared" ca="1" si="252"/>
        <v>-</v>
      </c>
      <c r="N3244" s="18" t="str">
        <f t="shared" si="253"/>
        <v>K1622:L5000</v>
      </c>
      <c r="O3244" t="str">
        <f t="shared" si="254"/>
        <v>A1622:A3244</v>
      </c>
    </row>
    <row r="3245" spans="1:15">
      <c r="A3245" s="18">
        <f>Charms!K3245</f>
        <v>0</v>
      </c>
      <c r="B3245">
        <f>Charms!B3245</f>
        <v>0</v>
      </c>
      <c r="C3245" t="b">
        <f ca="1">OR(Values!$S$98&gt;=Charms!M3245,IFERROR(Charms!J3245=OFFSET(Values!$A$24,MATCH("S",Values!$T$25:$T$50,0),0),FALSE))</f>
        <v>1</v>
      </c>
      <c r="D3245" t="e">
        <f>VLOOKUP(Charms!J3245,Values!$A$11:$S$59,19,0)&gt;=Charms!L3245</f>
        <v>#N/A</v>
      </c>
      <c r="E3245" t="e">
        <f>OR(ISBLANK(Charms!I3245),(VLOOKUP(Values!$S$6,Castes!$B$2:$F$25,4,0)=Charms!I3245))</f>
        <v>#N/A</v>
      </c>
      <c r="J3245" t="e">
        <f t="shared" ca="1" si="251"/>
        <v>#N/A</v>
      </c>
      <c r="K3245" s="18" t="e">
        <f t="shared" ca="1" si="250"/>
        <v>#N/A</v>
      </c>
      <c r="L3245" t="e">
        <f ca="1">IF(J3245,Charms!B3245,"")</f>
        <v>#N/A</v>
      </c>
      <c r="M3245" t="str">
        <f t="shared" ca="1" si="252"/>
        <v>-</v>
      </c>
      <c r="N3245" s="18" t="str">
        <f t="shared" si="253"/>
        <v>K1622:L5000</v>
      </c>
      <c r="O3245" t="str">
        <f t="shared" si="254"/>
        <v>A1622:A3245</v>
      </c>
    </row>
    <row r="3246" spans="1:15">
      <c r="A3246" s="18">
        <f>Charms!K3246</f>
        <v>0</v>
      </c>
      <c r="B3246">
        <f>Charms!B3246</f>
        <v>0</v>
      </c>
      <c r="C3246" t="b">
        <f ca="1">OR(Values!$S$98&gt;=Charms!M3246,IFERROR(Charms!J3246=OFFSET(Values!$A$24,MATCH("S",Values!$T$25:$T$50,0),0),FALSE))</f>
        <v>1</v>
      </c>
      <c r="D3246" t="e">
        <f>VLOOKUP(Charms!J3246,Values!$A$11:$S$59,19,0)&gt;=Charms!L3246</f>
        <v>#N/A</v>
      </c>
      <c r="E3246" t="e">
        <f>OR(ISBLANK(Charms!I3246),(VLOOKUP(Values!$S$6,Castes!$B$2:$F$25,4,0)=Charms!I3246))</f>
        <v>#N/A</v>
      </c>
      <c r="J3246" t="e">
        <f t="shared" ca="1" si="251"/>
        <v>#N/A</v>
      </c>
      <c r="K3246" s="18" t="e">
        <f t="shared" ca="1" si="250"/>
        <v>#N/A</v>
      </c>
      <c r="L3246" t="e">
        <f ca="1">IF(J3246,Charms!B3246,"")</f>
        <v>#N/A</v>
      </c>
      <c r="M3246" t="str">
        <f t="shared" ca="1" si="252"/>
        <v>-</v>
      </c>
      <c r="N3246" s="18" t="str">
        <f t="shared" si="253"/>
        <v>K1622:L5000</v>
      </c>
      <c r="O3246" t="str">
        <f t="shared" si="254"/>
        <v>A1622:A3246</v>
      </c>
    </row>
    <row r="3247" spans="1:15">
      <c r="A3247" s="18">
        <f>Charms!K3247</f>
        <v>0</v>
      </c>
      <c r="B3247">
        <f>Charms!B3247</f>
        <v>0</v>
      </c>
      <c r="C3247" t="b">
        <f ca="1">OR(Values!$S$98&gt;=Charms!M3247,IFERROR(Charms!J3247=OFFSET(Values!$A$24,MATCH("S",Values!$T$25:$T$50,0),0),FALSE))</f>
        <v>1</v>
      </c>
      <c r="D3247" t="e">
        <f>VLOOKUP(Charms!J3247,Values!$A$11:$S$59,19,0)&gt;=Charms!L3247</f>
        <v>#N/A</v>
      </c>
      <c r="E3247" t="e">
        <f>OR(ISBLANK(Charms!I3247),(VLOOKUP(Values!$S$6,Castes!$B$2:$F$25,4,0)=Charms!I3247))</f>
        <v>#N/A</v>
      </c>
      <c r="J3247" t="e">
        <f t="shared" ca="1" si="251"/>
        <v>#N/A</v>
      </c>
      <c r="K3247" s="18" t="e">
        <f t="shared" ca="1" si="250"/>
        <v>#N/A</v>
      </c>
      <c r="L3247" t="e">
        <f ca="1">IF(J3247,Charms!B3247,"")</f>
        <v>#N/A</v>
      </c>
      <c r="M3247" t="str">
        <f t="shared" ca="1" si="252"/>
        <v>-</v>
      </c>
      <c r="N3247" s="18" t="str">
        <f t="shared" si="253"/>
        <v>K1622:L5000</v>
      </c>
      <c r="O3247" t="str">
        <f t="shared" si="254"/>
        <v>A1622:A3247</v>
      </c>
    </row>
    <row r="3248" spans="1:15">
      <c r="A3248" s="18">
        <f>Charms!K3248</f>
        <v>0</v>
      </c>
      <c r="B3248">
        <f>Charms!B3248</f>
        <v>0</v>
      </c>
      <c r="C3248" t="b">
        <f ca="1">OR(Values!$S$98&gt;=Charms!M3248,IFERROR(Charms!J3248=OFFSET(Values!$A$24,MATCH("S",Values!$T$25:$T$50,0),0),FALSE))</f>
        <v>1</v>
      </c>
      <c r="D3248" t="e">
        <f>VLOOKUP(Charms!J3248,Values!$A$11:$S$59,19,0)&gt;=Charms!L3248</f>
        <v>#N/A</v>
      </c>
      <c r="E3248" t="e">
        <f>OR(ISBLANK(Charms!I3248),(VLOOKUP(Values!$S$6,Castes!$B$2:$F$25,4,0)=Charms!I3248))</f>
        <v>#N/A</v>
      </c>
      <c r="J3248" t="e">
        <f t="shared" ca="1" si="251"/>
        <v>#N/A</v>
      </c>
      <c r="K3248" s="18" t="e">
        <f t="shared" ca="1" si="250"/>
        <v>#N/A</v>
      </c>
      <c r="L3248" t="e">
        <f ca="1">IF(J3248,Charms!B3248,"")</f>
        <v>#N/A</v>
      </c>
      <c r="M3248" t="str">
        <f t="shared" ca="1" si="252"/>
        <v>-</v>
      </c>
      <c r="N3248" s="18" t="str">
        <f t="shared" si="253"/>
        <v>K1622:L5000</v>
      </c>
      <c r="O3248" t="str">
        <f t="shared" si="254"/>
        <v>A1622:A3248</v>
      </c>
    </row>
    <row r="3249" spans="1:15">
      <c r="A3249" s="18">
        <f>Charms!K3249</f>
        <v>0</v>
      </c>
      <c r="B3249">
        <f>Charms!B3249</f>
        <v>0</v>
      </c>
      <c r="C3249" t="b">
        <f ca="1">OR(Values!$S$98&gt;=Charms!M3249,IFERROR(Charms!J3249=OFFSET(Values!$A$24,MATCH("S",Values!$T$25:$T$50,0),0),FALSE))</f>
        <v>1</v>
      </c>
      <c r="D3249" t="e">
        <f>VLOOKUP(Charms!J3249,Values!$A$11:$S$59,19,0)&gt;=Charms!L3249</f>
        <v>#N/A</v>
      </c>
      <c r="E3249" t="e">
        <f>OR(ISBLANK(Charms!I3249),(VLOOKUP(Values!$S$6,Castes!$B$2:$F$25,4,0)=Charms!I3249))</f>
        <v>#N/A</v>
      </c>
      <c r="J3249" t="e">
        <f t="shared" ca="1" si="251"/>
        <v>#N/A</v>
      </c>
      <c r="K3249" s="18" t="e">
        <f t="shared" ca="1" si="250"/>
        <v>#N/A</v>
      </c>
      <c r="L3249" t="e">
        <f ca="1">IF(J3249,Charms!B3249,"")</f>
        <v>#N/A</v>
      </c>
      <c r="M3249" t="str">
        <f t="shared" ca="1" si="252"/>
        <v>-</v>
      </c>
      <c r="N3249" s="18" t="str">
        <f t="shared" si="253"/>
        <v>K1622:L5000</v>
      </c>
      <c r="O3249" t="str">
        <f t="shared" si="254"/>
        <v>A1622:A3249</v>
      </c>
    </row>
    <row r="3250" spans="1:15">
      <c r="A3250" s="18">
        <f>Charms!K3250</f>
        <v>0</v>
      </c>
      <c r="B3250">
        <f>Charms!B3250</f>
        <v>0</v>
      </c>
      <c r="C3250" t="b">
        <f ca="1">OR(Values!$S$98&gt;=Charms!M3250,IFERROR(Charms!J3250=OFFSET(Values!$A$24,MATCH("S",Values!$T$25:$T$50,0),0),FALSE))</f>
        <v>1</v>
      </c>
      <c r="D3250" t="e">
        <f>VLOOKUP(Charms!J3250,Values!$A$11:$S$59,19,0)&gt;=Charms!L3250</f>
        <v>#N/A</v>
      </c>
      <c r="E3250" t="e">
        <f>OR(ISBLANK(Charms!I3250),(VLOOKUP(Values!$S$6,Castes!$B$2:$F$25,4,0)=Charms!I3250))</f>
        <v>#N/A</v>
      </c>
      <c r="J3250" t="e">
        <f t="shared" ca="1" si="251"/>
        <v>#N/A</v>
      </c>
      <c r="K3250" s="18" t="e">
        <f t="shared" ca="1" si="250"/>
        <v>#N/A</v>
      </c>
      <c r="L3250" t="e">
        <f ca="1">IF(J3250,Charms!B3250,"")</f>
        <v>#N/A</v>
      </c>
      <c r="M3250" t="str">
        <f t="shared" ca="1" si="252"/>
        <v>-</v>
      </c>
      <c r="N3250" s="18" t="str">
        <f t="shared" si="253"/>
        <v>K1622:L5000</v>
      </c>
      <c r="O3250" t="str">
        <f t="shared" si="254"/>
        <v>A1622:A3250</v>
      </c>
    </row>
    <row r="3251" spans="1:15">
      <c r="A3251" s="18">
        <f>Charms!K3251</f>
        <v>0</v>
      </c>
      <c r="B3251">
        <f>Charms!B3251</f>
        <v>0</v>
      </c>
      <c r="C3251" t="b">
        <f ca="1">OR(Values!$S$98&gt;=Charms!M3251,IFERROR(Charms!J3251=OFFSET(Values!$A$24,MATCH("S",Values!$T$25:$T$50,0),0),FALSE))</f>
        <v>1</v>
      </c>
      <c r="D3251" t="e">
        <f>VLOOKUP(Charms!J3251,Values!$A$11:$S$59,19,0)&gt;=Charms!L3251</f>
        <v>#N/A</v>
      </c>
      <c r="E3251" t="e">
        <f>OR(ISBLANK(Charms!I3251),(VLOOKUP(Values!$S$6,Castes!$B$2:$F$25,4,0)=Charms!I3251))</f>
        <v>#N/A</v>
      </c>
      <c r="J3251" t="e">
        <f t="shared" ca="1" si="251"/>
        <v>#N/A</v>
      </c>
      <c r="K3251" s="18" t="e">
        <f t="shared" ca="1" si="250"/>
        <v>#N/A</v>
      </c>
      <c r="L3251" t="e">
        <f ca="1">IF(J3251,Charms!B3251,"")</f>
        <v>#N/A</v>
      </c>
      <c r="M3251" t="str">
        <f t="shared" ca="1" si="252"/>
        <v>-</v>
      </c>
      <c r="N3251" s="18" t="str">
        <f t="shared" si="253"/>
        <v>K1622:L5000</v>
      </c>
      <c r="O3251" t="str">
        <f t="shared" si="254"/>
        <v>A1622:A3251</v>
      </c>
    </row>
    <row r="3252" spans="1:15">
      <c r="A3252" s="18">
        <f>Charms!K3252</f>
        <v>0</v>
      </c>
      <c r="B3252">
        <f>Charms!B3252</f>
        <v>0</v>
      </c>
      <c r="C3252" t="b">
        <f ca="1">OR(Values!$S$98&gt;=Charms!M3252,IFERROR(Charms!J3252=OFFSET(Values!$A$24,MATCH("S",Values!$T$25:$T$50,0),0),FALSE))</f>
        <v>1</v>
      </c>
      <c r="D3252" t="e">
        <f>VLOOKUP(Charms!J3252,Values!$A$11:$S$59,19,0)&gt;=Charms!L3252</f>
        <v>#N/A</v>
      </c>
      <c r="E3252" t="e">
        <f>OR(ISBLANK(Charms!I3252),(VLOOKUP(Values!$S$6,Castes!$B$2:$F$25,4,0)=Charms!I3252))</f>
        <v>#N/A</v>
      </c>
      <c r="J3252" t="e">
        <f t="shared" ca="1" si="251"/>
        <v>#N/A</v>
      </c>
      <c r="K3252" s="18" t="e">
        <f t="shared" ca="1" si="250"/>
        <v>#N/A</v>
      </c>
      <c r="L3252" t="e">
        <f ca="1">IF(J3252,Charms!B3252,"")</f>
        <v>#N/A</v>
      </c>
      <c r="M3252" t="str">
        <f t="shared" ca="1" si="252"/>
        <v>-</v>
      </c>
      <c r="N3252" s="18" t="str">
        <f t="shared" si="253"/>
        <v>K1622:L5000</v>
      </c>
      <c r="O3252" t="str">
        <f t="shared" si="254"/>
        <v>A1622:A3252</v>
      </c>
    </row>
    <row r="3253" spans="1:15">
      <c r="A3253" s="18">
        <f>Charms!K3253</f>
        <v>0</v>
      </c>
      <c r="B3253">
        <f>Charms!B3253</f>
        <v>0</v>
      </c>
      <c r="C3253" t="b">
        <f ca="1">OR(Values!$S$98&gt;=Charms!M3253,IFERROR(Charms!J3253=OFFSET(Values!$A$24,MATCH("S",Values!$T$25:$T$50,0),0),FALSE))</f>
        <v>1</v>
      </c>
      <c r="D3253" t="e">
        <f>VLOOKUP(Charms!J3253,Values!$A$11:$S$59,19,0)&gt;=Charms!L3253</f>
        <v>#N/A</v>
      </c>
      <c r="E3253" t="e">
        <f>OR(ISBLANK(Charms!I3253),(VLOOKUP(Values!$S$6,Castes!$B$2:$F$25,4,0)=Charms!I3253))</f>
        <v>#N/A</v>
      </c>
      <c r="J3253" t="e">
        <f t="shared" ca="1" si="251"/>
        <v>#N/A</v>
      </c>
      <c r="K3253" s="18" t="e">
        <f t="shared" ca="1" si="250"/>
        <v>#N/A</v>
      </c>
      <c r="L3253" t="e">
        <f ca="1">IF(J3253,Charms!B3253,"")</f>
        <v>#N/A</v>
      </c>
      <c r="M3253" t="str">
        <f t="shared" ca="1" si="252"/>
        <v>-</v>
      </c>
      <c r="N3253" s="18" t="str">
        <f t="shared" si="253"/>
        <v>K1622:L5000</v>
      </c>
      <c r="O3253" t="str">
        <f t="shared" si="254"/>
        <v>A1622:A3253</v>
      </c>
    </row>
    <row r="3254" spans="1:15">
      <c r="A3254" s="18">
        <f>Charms!K3254</f>
        <v>0</v>
      </c>
      <c r="B3254">
        <f>Charms!B3254</f>
        <v>0</v>
      </c>
      <c r="C3254" t="b">
        <f ca="1">OR(Values!$S$98&gt;=Charms!M3254,IFERROR(Charms!J3254=OFFSET(Values!$A$24,MATCH("S",Values!$T$25:$T$50,0),0),FALSE))</f>
        <v>1</v>
      </c>
      <c r="D3254" t="e">
        <f>VLOOKUP(Charms!J3254,Values!$A$11:$S$59,19,0)&gt;=Charms!L3254</f>
        <v>#N/A</v>
      </c>
      <c r="E3254" t="e">
        <f>OR(ISBLANK(Charms!I3254),(VLOOKUP(Values!$S$6,Castes!$B$2:$F$25,4,0)=Charms!I3254))</f>
        <v>#N/A</v>
      </c>
      <c r="J3254" t="e">
        <f t="shared" ca="1" si="251"/>
        <v>#N/A</v>
      </c>
      <c r="K3254" s="18" t="e">
        <f t="shared" ca="1" si="250"/>
        <v>#N/A</v>
      </c>
      <c r="L3254" t="e">
        <f ca="1">IF(J3254,Charms!B3254,"")</f>
        <v>#N/A</v>
      </c>
      <c r="M3254" t="str">
        <f t="shared" ca="1" si="252"/>
        <v>-</v>
      </c>
      <c r="N3254" s="18" t="str">
        <f t="shared" si="253"/>
        <v>K1622:L5000</v>
      </c>
      <c r="O3254" t="str">
        <f t="shared" si="254"/>
        <v>A1622:A3254</v>
      </c>
    </row>
    <row r="3255" spans="1:15">
      <c r="A3255" s="18">
        <f>Charms!K3255</f>
        <v>0</v>
      </c>
      <c r="B3255">
        <f>Charms!B3255</f>
        <v>0</v>
      </c>
      <c r="C3255" t="b">
        <f ca="1">OR(Values!$S$98&gt;=Charms!M3255,IFERROR(Charms!J3255=OFFSET(Values!$A$24,MATCH("S",Values!$T$25:$T$50,0),0),FALSE))</f>
        <v>1</v>
      </c>
      <c r="D3255" t="e">
        <f>VLOOKUP(Charms!J3255,Values!$A$11:$S$59,19,0)&gt;=Charms!L3255</f>
        <v>#N/A</v>
      </c>
      <c r="E3255" t="e">
        <f>OR(ISBLANK(Charms!I3255),(VLOOKUP(Values!$S$6,Castes!$B$2:$F$25,4,0)=Charms!I3255))</f>
        <v>#N/A</v>
      </c>
      <c r="J3255" t="e">
        <f t="shared" ca="1" si="251"/>
        <v>#N/A</v>
      </c>
      <c r="K3255" s="18" t="e">
        <f t="shared" ca="1" si="250"/>
        <v>#N/A</v>
      </c>
      <c r="L3255" t="e">
        <f ca="1">IF(J3255,Charms!B3255,"")</f>
        <v>#N/A</v>
      </c>
      <c r="M3255" t="str">
        <f t="shared" ca="1" si="252"/>
        <v>-</v>
      </c>
      <c r="N3255" s="18" t="str">
        <f t="shared" si="253"/>
        <v>K1622:L5000</v>
      </c>
      <c r="O3255" t="str">
        <f t="shared" si="254"/>
        <v>A1622:A3255</v>
      </c>
    </row>
    <row r="3256" spans="1:15">
      <c r="A3256" s="18">
        <f>Charms!K3256</f>
        <v>0</v>
      </c>
      <c r="B3256">
        <f>Charms!B3256</f>
        <v>0</v>
      </c>
      <c r="C3256" t="b">
        <f ca="1">OR(Values!$S$98&gt;=Charms!M3256,IFERROR(Charms!J3256=OFFSET(Values!$A$24,MATCH("S",Values!$T$25:$T$50,0),0),FALSE))</f>
        <v>1</v>
      </c>
      <c r="D3256" t="e">
        <f>VLOOKUP(Charms!J3256,Values!$A$11:$S$59,19,0)&gt;=Charms!L3256</f>
        <v>#N/A</v>
      </c>
      <c r="E3256" t="e">
        <f>OR(ISBLANK(Charms!I3256),(VLOOKUP(Values!$S$6,Castes!$B$2:$F$25,4,0)=Charms!I3256))</f>
        <v>#N/A</v>
      </c>
      <c r="J3256" t="e">
        <f t="shared" ca="1" si="251"/>
        <v>#N/A</v>
      </c>
      <c r="K3256" s="18" t="e">
        <f t="shared" ca="1" si="250"/>
        <v>#N/A</v>
      </c>
      <c r="L3256" t="e">
        <f ca="1">IF(J3256,Charms!B3256,"")</f>
        <v>#N/A</v>
      </c>
      <c r="M3256" t="str">
        <f t="shared" ca="1" si="252"/>
        <v>-</v>
      </c>
      <c r="N3256" s="18" t="str">
        <f t="shared" si="253"/>
        <v>K1622:L5000</v>
      </c>
      <c r="O3256" t="str">
        <f t="shared" si="254"/>
        <v>A1622:A3256</v>
      </c>
    </row>
    <row r="3257" spans="1:15">
      <c r="A3257" s="18">
        <f>Charms!K3257</f>
        <v>0</v>
      </c>
      <c r="B3257">
        <f>Charms!B3257</f>
        <v>0</v>
      </c>
      <c r="C3257" t="b">
        <f ca="1">OR(Values!$S$98&gt;=Charms!M3257,IFERROR(Charms!J3257=OFFSET(Values!$A$24,MATCH("S",Values!$T$25:$T$50,0),0),FALSE))</f>
        <v>1</v>
      </c>
      <c r="D3257" t="e">
        <f>VLOOKUP(Charms!J3257,Values!$A$11:$S$59,19,0)&gt;=Charms!L3257</f>
        <v>#N/A</v>
      </c>
      <c r="E3257" t="e">
        <f>OR(ISBLANK(Charms!I3257),(VLOOKUP(Values!$S$6,Castes!$B$2:$F$25,4,0)=Charms!I3257))</f>
        <v>#N/A</v>
      </c>
      <c r="J3257" t="e">
        <f t="shared" ca="1" si="251"/>
        <v>#N/A</v>
      </c>
      <c r="K3257" s="18" t="e">
        <f t="shared" ca="1" si="250"/>
        <v>#N/A</v>
      </c>
      <c r="L3257" t="e">
        <f ca="1">IF(J3257,Charms!B3257,"")</f>
        <v>#N/A</v>
      </c>
      <c r="M3257" t="str">
        <f t="shared" ca="1" si="252"/>
        <v>-</v>
      </c>
      <c r="N3257" s="18" t="str">
        <f t="shared" si="253"/>
        <v>K1622:L5000</v>
      </c>
      <c r="O3257" t="str">
        <f t="shared" si="254"/>
        <v>A1622:A3257</v>
      </c>
    </row>
    <row r="3258" spans="1:15">
      <c r="A3258" s="18">
        <f>Charms!K3258</f>
        <v>0</v>
      </c>
      <c r="B3258">
        <f>Charms!B3258</f>
        <v>0</v>
      </c>
      <c r="C3258" t="b">
        <f ca="1">OR(Values!$S$98&gt;=Charms!M3258,IFERROR(Charms!J3258=OFFSET(Values!$A$24,MATCH("S",Values!$T$25:$T$50,0),0),FALSE))</f>
        <v>1</v>
      </c>
      <c r="D3258" t="e">
        <f>VLOOKUP(Charms!J3258,Values!$A$11:$S$59,19,0)&gt;=Charms!L3258</f>
        <v>#N/A</v>
      </c>
      <c r="E3258" t="e">
        <f>OR(ISBLANK(Charms!I3258),(VLOOKUP(Values!$S$6,Castes!$B$2:$F$25,4,0)=Charms!I3258))</f>
        <v>#N/A</v>
      </c>
      <c r="J3258" t="e">
        <f t="shared" ca="1" si="251"/>
        <v>#N/A</v>
      </c>
      <c r="K3258" s="18" t="e">
        <f t="shared" ca="1" si="250"/>
        <v>#N/A</v>
      </c>
      <c r="L3258" t="e">
        <f ca="1">IF(J3258,Charms!B3258,"")</f>
        <v>#N/A</v>
      </c>
      <c r="M3258" t="str">
        <f t="shared" ca="1" si="252"/>
        <v>-</v>
      </c>
      <c r="N3258" s="18" t="str">
        <f t="shared" si="253"/>
        <v>K1622:L5000</v>
      </c>
      <c r="O3258" t="str">
        <f t="shared" si="254"/>
        <v>A1622:A3258</v>
      </c>
    </row>
    <row r="3259" spans="1:15">
      <c r="A3259" s="18">
        <f>Charms!K3259</f>
        <v>0</v>
      </c>
      <c r="B3259">
        <f>Charms!B3259</f>
        <v>0</v>
      </c>
      <c r="C3259" t="b">
        <f ca="1">OR(Values!$S$98&gt;=Charms!M3259,IFERROR(Charms!J3259=OFFSET(Values!$A$24,MATCH("S",Values!$T$25:$T$50,0),0),FALSE))</f>
        <v>1</v>
      </c>
      <c r="D3259" t="e">
        <f>VLOOKUP(Charms!J3259,Values!$A$11:$S$59,19,0)&gt;=Charms!L3259</f>
        <v>#N/A</v>
      </c>
      <c r="E3259" t="e">
        <f>OR(ISBLANK(Charms!I3259),(VLOOKUP(Values!$S$6,Castes!$B$2:$F$25,4,0)=Charms!I3259))</f>
        <v>#N/A</v>
      </c>
      <c r="J3259" t="e">
        <f t="shared" ca="1" si="251"/>
        <v>#N/A</v>
      </c>
      <c r="K3259" s="18" t="e">
        <f t="shared" ca="1" si="250"/>
        <v>#N/A</v>
      </c>
      <c r="L3259" t="e">
        <f ca="1">IF(J3259,Charms!B3259,"")</f>
        <v>#N/A</v>
      </c>
      <c r="M3259" t="str">
        <f t="shared" ca="1" si="252"/>
        <v>-</v>
      </c>
      <c r="N3259" s="18" t="str">
        <f t="shared" si="253"/>
        <v>K1622:L5000</v>
      </c>
      <c r="O3259" t="str">
        <f t="shared" si="254"/>
        <v>A1622:A3259</v>
      </c>
    </row>
    <row r="3260" spans="1:15">
      <c r="A3260" s="18">
        <f>Charms!K3260</f>
        <v>0</v>
      </c>
      <c r="B3260">
        <f>Charms!B3260</f>
        <v>0</v>
      </c>
      <c r="C3260" t="b">
        <f ca="1">OR(Values!$S$98&gt;=Charms!M3260,IFERROR(Charms!J3260=OFFSET(Values!$A$24,MATCH("S",Values!$T$25:$T$50,0),0),FALSE))</f>
        <v>1</v>
      </c>
      <c r="D3260" t="e">
        <f>VLOOKUP(Charms!J3260,Values!$A$11:$S$59,19,0)&gt;=Charms!L3260</f>
        <v>#N/A</v>
      </c>
      <c r="E3260" t="e">
        <f>OR(ISBLANK(Charms!I3260),(VLOOKUP(Values!$S$6,Castes!$B$2:$F$25,4,0)=Charms!I3260))</f>
        <v>#N/A</v>
      </c>
      <c r="J3260" t="e">
        <f t="shared" ca="1" si="251"/>
        <v>#N/A</v>
      </c>
      <c r="K3260" s="18" t="e">
        <f t="shared" ca="1" si="250"/>
        <v>#N/A</v>
      </c>
      <c r="L3260" t="e">
        <f ca="1">IF(J3260,Charms!B3260,"")</f>
        <v>#N/A</v>
      </c>
      <c r="M3260" t="str">
        <f t="shared" ca="1" si="252"/>
        <v>-</v>
      </c>
      <c r="N3260" s="18" t="str">
        <f t="shared" si="253"/>
        <v>K1622:L5000</v>
      </c>
      <c r="O3260" t="str">
        <f t="shared" si="254"/>
        <v>A1622:A3260</v>
      </c>
    </row>
    <row r="3261" spans="1:15">
      <c r="A3261" s="18">
        <f>Charms!K3261</f>
        <v>0</v>
      </c>
      <c r="B3261">
        <f>Charms!B3261</f>
        <v>0</v>
      </c>
      <c r="C3261" t="b">
        <f ca="1">OR(Values!$S$98&gt;=Charms!M3261,IFERROR(Charms!J3261=OFFSET(Values!$A$24,MATCH("S",Values!$T$25:$T$50,0),0),FALSE))</f>
        <v>1</v>
      </c>
      <c r="D3261" t="e">
        <f>VLOOKUP(Charms!J3261,Values!$A$11:$S$59,19,0)&gt;=Charms!L3261</f>
        <v>#N/A</v>
      </c>
      <c r="E3261" t="e">
        <f>OR(ISBLANK(Charms!I3261),(VLOOKUP(Values!$S$6,Castes!$B$2:$F$25,4,0)=Charms!I3261))</f>
        <v>#N/A</v>
      </c>
      <c r="J3261" t="e">
        <f t="shared" ca="1" si="251"/>
        <v>#N/A</v>
      </c>
      <c r="K3261" s="18" t="e">
        <f t="shared" ca="1" si="250"/>
        <v>#N/A</v>
      </c>
      <c r="L3261" t="e">
        <f ca="1">IF(J3261,Charms!B3261,"")</f>
        <v>#N/A</v>
      </c>
      <c r="M3261" t="str">
        <f t="shared" ca="1" si="252"/>
        <v>-</v>
      </c>
      <c r="N3261" s="18" t="str">
        <f t="shared" si="253"/>
        <v>K1622:L5000</v>
      </c>
      <c r="O3261" t="str">
        <f t="shared" si="254"/>
        <v>A1622:A3261</v>
      </c>
    </row>
    <row r="3262" spans="1:15">
      <c r="A3262" s="18">
        <f>Charms!K3262</f>
        <v>0</v>
      </c>
      <c r="B3262">
        <f>Charms!B3262</f>
        <v>0</v>
      </c>
      <c r="C3262" t="b">
        <f ca="1">OR(Values!$S$98&gt;=Charms!M3262,IFERROR(Charms!J3262=OFFSET(Values!$A$24,MATCH("S",Values!$T$25:$T$50,0),0),FALSE))</f>
        <v>1</v>
      </c>
      <c r="D3262" t="e">
        <f>VLOOKUP(Charms!J3262,Values!$A$11:$S$59,19,0)&gt;=Charms!L3262</f>
        <v>#N/A</v>
      </c>
      <c r="E3262" t="e">
        <f>OR(ISBLANK(Charms!I3262),(VLOOKUP(Values!$S$6,Castes!$B$2:$F$25,4,0)=Charms!I3262))</f>
        <v>#N/A</v>
      </c>
      <c r="J3262" t="e">
        <f t="shared" ca="1" si="251"/>
        <v>#N/A</v>
      </c>
      <c r="K3262" s="18" t="e">
        <f t="shared" ca="1" si="250"/>
        <v>#N/A</v>
      </c>
      <c r="L3262" t="e">
        <f ca="1">IF(J3262,Charms!B3262,"")</f>
        <v>#N/A</v>
      </c>
      <c r="M3262" t="str">
        <f t="shared" ca="1" si="252"/>
        <v>-</v>
      </c>
      <c r="N3262" s="18" t="str">
        <f t="shared" si="253"/>
        <v>K1622:L5000</v>
      </c>
      <c r="O3262" t="str">
        <f t="shared" si="254"/>
        <v>A1622:A3262</v>
      </c>
    </row>
    <row r="3263" spans="1:15">
      <c r="A3263" s="18">
        <f>Charms!K3263</f>
        <v>0</v>
      </c>
      <c r="B3263">
        <f>Charms!B3263</f>
        <v>0</v>
      </c>
      <c r="C3263" t="b">
        <f ca="1">OR(Values!$S$98&gt;=Charms!M3263,IFERROR(Charms!J3263=OFFSET(Values!$A$24,MATCH("S",Values!$T$25:$T$50,0),0),FALSE))</f>
        <v>1</v>
      </c>
      <c r="D3263" t="e">
        <f>VLOOKUP(Charms!J3263,Values!$A$11:$S$59,19,0)&gt;=Charms!L3263</f>
        <v>#N/A</v>
      </c>
      <c r="E3263" t="e">
        <f>OR(ISBLANK(Charms!I3263),(VLOOKUP(Values!$S$6,Castes!$B$2:$F$25,4,0)=Charms!I3263))</f>
        <v>#N/A</v>
      </c>
      <c r="J3263" t="e">
        <f t="shared" ca="1" si="251"/>
        <v>#N/A</v>
      </c>
      <c r="K3263" s="18" t="e">
        <f t="shared" ca="1" si="250"/>
        <v>#N/A</v>
      </c>
      <c r="L3263" t="e">
        <f ca="1">IF(J3263,Charms!B3263,"")</f>
        <v>#N/A</v>
      </c>
      <c r="M3263" t="str">
        <f t="shared" ca="1" si="252"/>
        <v>-</v>
      </c>
      <c r="N3263" s="18" t="str">
        <f t="shared" si="253"/>
        <v>K1622:L5000</v>
      </c>
      <c r="O3263" t="str">
        <f t="shared" si="254"/>
        <v>A1622:A3263</v>
      </c>
    </row>
    <row r="3264" spans="1:15">
      <c r="A3264" s="18">
        <f>Charms!K3264</f>
        <v>0</v>
      </c>
      <c r="B3264">
        <f>Charms!B3264</f>
        <v>0</v>
      </c>
      <c r="C3264" t="b">
        <f ca="1">OR(Values!$S$98&gt;=Charms!M3264,IFERROR(Charms!J3264=OFFSET(Values!$A$24,MATCH("S",Values!$T$25:$T$50,0),0),FALSE))</f>
        <v>1</v>
      </c>
      <c r="D3264" t="e">
        <f>VLOOKUP(Charms!J3264,Values!$A$11:$S$59,19,0)&gt;=Charms!L3264</f>
        <v>#N/A</v>
      </c>
      <c r="E3264" t="e">
        <f>OR(ISBLANK(Charms!I3264),(VLOOKUP(Values!$S$6,Castes!$B$2:$F$25,4,0)=Charms!I3264))</f>
        <v>#N/A</v>
      </c>
      <c r="J3264" t="e">
        <f t="shared" ca="1" si="251"/>
        <v>#N/A</v>
      </c>
      <c r="K3264" s="18" t="e">
        <f t="shared" ca="1" si="250"/>
        <v>#N/A</v>
      </c>
      <c r="L3264" t="e">
        <f ca="1">IF(J3264,Charms!B3264,"")</f>
        <v>#N/A</v>
      </c>
      <c r="M3264" t="str">
        <f t="shared" ca="1" si="252"/>
        <v>-</v>
      </c>
      <c r="N3264" s="18" t="str">
        <f t="shared" si="253"/>
        <v>K1622:L5000</v>
      </c>
      <c r="O3264" t="str">
        <f t="shared" si="254"/>
        <v>A1622:A3264</v>
      </c>
    </row>
    <row r="3265" spans="1:15">
      <c r="A3265" s="18">
        <f>Charms!K3265</f>
        <v>0</v>
      </c>
      <c r="B3265">
        <f>Charms!B3265</f>
        <v>0</v>
      </c>
      <c r="C3265" t="b">
        <f ca="1">OR(Values!$S$98&gt;=Charms!M3265,IFERROR(Charms!J3265=OFFSET(Values!$A$24,MATCH("S",Values!$T$25:$T$50,0),0),FALSE))</f>
        <v>1</v>
      </c>
      <c r="D3265" t="e">
        <f>VLOOKUP(Charms!J3265,Values!$A$11:$S$59,19,0)&gt;=Charms!L3265</f>
        <v>#N/A</v>
      </c>
      <c r="E3265" t="e">
        <f>OR(ISBLANK(Charms!I3265),(VLOOKUP(Values!$S$6,Castes!$B$2:$F$25,4,0)=Charms!I3265))</f>
        <v>#N/A</v>
      </c>
      <c r="J3265" t="e">
        <f t="shared" ca="1" si="251"/>
        <v>#N/A</v>
      </c>
      <c r="K3265" s="18" t="e">
        <f t="shared" ca="1" si="250"/>
        <v>#N/A</v>
      </c>
      <c r="L3265" t="e">
        <f ca="1">IF(J3265,Charms!B3265,"")</f>
        <v>#N/A</v>
      </c>
      <c r="M3265" t="str">
        <f t="shared" ca="1" si="252"/>
        <v>-</v>
      </c>
      <c r="N3265" s="18" t="str">
        <f t="shared" si="253"/>
        <v>K1622:L5000</v>
      </c>
      <c r="O3265" t="str">
        <f t="shared" si="254"/>
        <v>A1622:A3265</v>
      </c>
    </row>
    <row r="3266" spans="1:15">
      <c r="A3266" s="18">
        <f>Charms!K3266</f>
        <v>0</v>
      </c>
      <c r="B3266">
        <f>Charms!B3266</f>
        <v>0</v>
      </c>
      <c r="C3266" t="b">
        <f ca="1">OR(Values!$S$98&gt;=Charms!M3266,IFERROR(Charms!J3266=OFFSET(Values!$A$24,MATCH("S",Values!$T$25:$T$50,0),0),FALSE))</f>
        <v>1</v>
      </c>
      <c r="D3266" t="e">
        <f>VLOOKUP(Charms!J3266,Values!$A$11:$S$59,19,0)&gt;=Charms!L3266</f>
        <v>#N/A</v>
      </c>
      <c r="E3266" t="e">
        <f>OR(ISBLANK(Charms!I3266),(VLOOKUP(Values!$S$6,Castes!$B$2:$F$25,4,0)=Charms!I3266))</f>
        <v>#N/A</v>
      </c>
      <c r="J3266" t="e">
        <f t="shared" ca="1" si="251"/>
        <v>#N/A</v>
      </c>
      <c r="K3266" s="18" t="e">
        <f t="shared" ref="K3266:K3329" ca="1" si="255">IF(L3266="","",COUNTIF(INDIRECT("J"&amp;MATCH(A3266,A:A,0)&amp;":J"&amp;ROW()),J3266))</f>
        <v>#N/A</v>
      </c>
      <c r="L3266" t="e">
        <f ca="1">IF(J3266,Charms!B3266,"")</f>
        <v>#N/A</v>
      </c>
      <c r="M3266" t="str">
        <f t="shared" ca="1" si="252"/>
        <v>-</v>
      </c>
      <c r="N3266" s="18" t="str">
        <f t="shared" si="253"/>
        <v>K1622:L5000</v>
      </c>
      <c r="O3266" t="str">
        <f t="shared" si="254"/>
        <v>A1622:A3266</v>
      </c>
    </row>
    <row r="3267" spans="1:15">
      <c r="A3267" s="18">
        <f>Charms!K3267</f>
        <v>0</v>
      </c>
      <c r="B3267">
        <f>Charms!B3267</f>
        <v>0</v>
      </c>
      <c r="C3267" t="b">
        <f ca="1">OR(Values!$S$98&gt;=Charms!M3267,IFERROR(Charms!J3267=OFFSET(Values!$A$24,MATCH("S",Values!$T$25:$T$50,0),0),FALSE))</f>
        <v>1</v>
      </c>
      <c r="D3267" t="e">
        <f>VLOOKUP(Charms!J3267,Values!$A$11:$S$59,19,0)&gt;=Charms!L3267</f>
        <v>#N/A</v>
      </c>
      <c r="E3267" t="e">
        <f>OR(ISBLANK(Charms!I3267),(VLOOKUP(Values!$S$6,Castes!$B$2:$F$25,4,0)=Charms!I3267))</f>
        <v>#N/A</v>
      </c>
      <c r="J3267" t="e">
        <f t="shared" ref="J3267:J3330" ca="1" si="256">(C3267+D3267+E3267+F3267+G3267+H3267+I3267)=3</f>
        <v>#N/A</v>
      </c>
      <c r="K3267" s="18" t="e">
        <f t="shared" ca="1" si="255"/>
        <v>#N/A</v>
      </c>
      <c r="L3267" t="e">
        <f ca="1">IF(J3267,Charms!B3267,"")</f>
        <v>#N/A</v>
      </c>
      <c r="M3267" t="str">
        <f t="shared" ref="M3267:M3330" ca="1" si="257">IFERROR(VLOOKUP(COUNTIF(INDIRECT(O3267),A3267),INDIRECT(N3267),2,0),"-")</f>
        <v>-</v>
      </c>
      <c r="N3267" s="18" t="str">
        <f t="shared" ref="N3267:N3330" si="258">"K"&amp;MATCH(A3267,A:A,0)&amp;":L"&amp;(MATCH(A3267,A:A,0)+COUNTIF(A:A,A3267)-1)</f>
        <v>K1622:L5000</v>
      </c>
      <c r="O3267" t="str">
        <f t="shared" ref="O3267:O3330" si="259">"A"&amp;MATCH(A3267,A:A,0)&amp;":A"&amp;ROW()</f>
        <v>A1622:A3267</v>
      </c>
    </row>
    <row r="3268" spans="1:15">
      <c r="A3268" s="18">
        <f>Charms!K3268</f>
        <v>0</v>
      </c>
      <c r="B3268">
        <f>Charms!B3268</f>
        <v>0</v>
      </c>
      <c r="C3268" t="b">
        <f ca="1">OR(Values!$S$98&gt;=Charms!M3268,IFERROR(Charms!J3268=OFFSET(Values!$A$24,MATCH("S",Values!$T$25:$T$50,0),0),FALSE))</f>
        <v>1</v>
      </c>
      <c r="D3268" t="e">
        <f>VLOOKUP(Charms!J3268,Values!$A$11:$S$59,19,0)&gt;=Charms!L3268</f>
        <v>#N/A</v>
      </c>
      <c r="E3268" t="e">
        <f>OR(ISBLANK(Charms!I3268),(VLOOKUP(Values!$S$6,Castes!$B$2:$F$25,4,0)=Charms!I3268))</f>
        <v>#N/A</v>
      </c>
      <c r="J3268" t="e">
        <f t="shared" ca="1" si="256"/>
        <v>#N/A</v>
      </c>
      <c r="K3268" s="18" t="e">
        <f t="shared" ca="1" si="255"/>
        <v>#N/A</v>
      </c>
      <c r="L3268" t="e">
        <f ca="1">IF(J3268,Charms!B3268,"")</f>
        <v>#N/A</v>
      </c>
      <c r="M3268" t="str">
        <f t="shared" ca="1" si="257"/>
        <v>-</v>
      </c>
      <c r="N3268" s="18" t="str">
        <f t="shared" si="258"/>
        <v>K1622:L5000</v>
      </c>
      <c r="O3268" t="str">
        <f t="shared" si="259"/>
        <v>A1622:A3268</v>
      </c>
    </row>
    <row r="3269" spans="1:15">
      <c r="A3269" s="18">
        <f>Charms!K3269</f>
        <v>0</v>
      </c>
      <c r="B3269">
        <f>Charms!B3269</f>
        <v>0</v>
      </c>
      <c r="C3269" t="b">
        <f ca="1">OR(Values!$S$98&gt;=Charms!M3269,IFERROR(Charms!J3269=OFFSET(Values!$A$24,MATCH("S",Values!$T$25:$T$50,0),0),FALSE))</f>
        <v>1</v>
      </c>
      <c r="D3269" t="e">
        <f>VLOOKUP(Charms!J3269,Values!$A$11:$S$59,19,0)&gt;=Charms!L3269</f>
        <v>#N/A</v>
      </c>
      <c r="E3269" t="e">
        <f>OR(ISBLANK(Charms!I3269),(VLOOKUP(Values!$S$6,Castes!$B$2:$F$25,4,0)=Charms!I3269))</f>
        <v>#N/A</v>
      </c>
      <c r="J3269" t="e">
        <f t="shared" ca="1" si="256"/>
        <v>#N/A</v>
      </c>
      <c r="K3269" s="18" t="e">
        <f t="shared" ca="1" si="255"/>
        <v>#N/A</v>
      </c>
      <c r="L3269" t="e">
        <f ca="1">IF(J3269,Charms!B3269,"")</f>
        <v>#N/A</v>
      </c>
      <c r="M3269" t="str">
        <f t="shared" ca="1" si="257"/>
        <v>-</v>
      </c>
      <c r="N3269" s="18" t="str">
        <f t="shared" si="258"/>
        <v>K1622:L5000</v>
      </c>
      <c r="O3269" t="str">
        <f t="shared" si="259"/>
        <v>A1622:A3269</v>
      </c>
    </row>
    <row r="3270" spans="1:15">
      <c r="A3270" s="18">
        <f>Charms!K3270</f>
        <v>0</v>
      </c>
      <c r="B3270">
        <f>Charms!B3270</f>
        <v>0</v>
      </c>
      <c r="C3270" t="b">
        <f ca="1">OR(Values!$S$98&gt;=Charms!M3270,IFERROR(Charms!J3270=OFFSET(Values!$A$24,MATCH("S",Values!$T$25:$T$50,0),0),FALSE))</f>
        <v>1</v>
      </c>
      <c r="D3270" t="e">
        <f>VLOOKUP(Charms!J3270,Values!$A$11:$S$59,19,0)&gt;=Charms!L3270</f>
        <v>#N/A</v>
      </c>
      <c r="E3270" t="e">
        <f>OR(ISBLANK(Charms!I3270),(VLOOKUP(Values!$S$6,Castes!$B$2:$F$25,4,0)=Charms!I3270))</f>
        <v>#N/A</v>
      </c>
      <c r="J3270" t="e">
        <f t="shared" ca="1" si="256"/>
        <v>#N/A</v>
      </c>
      <c r="K3270" s="18" t="e">
        <f t="shared" ca="1" si="255"/>
        <v>#N/A</v>
      </c>
      <c r="L3270" t="e">
        <f ca="1">IF(J3270,Charms!B3270,"")</f>
        <v>#N/A</v>
      </c>
      <c r="M3270" t="str">
        <f t="shared" ca="1" si="257"/>
        <v>-</v>
      </c>
      <c r="N3270" s="18" t="str">
        <f t="shared" si="258"/>
        <v>K1622:L5000</v>
      </c>
      <c r="O3270" t="str">
        <f t="shared" si="259"/>
        <v>A1622:A3270</v>
      </c>
    </row>
    <row r="3271" spans="1:15">
      <c r="A3271" s="18">
        <f>Charms!K3271</f>
        <v>0</v>
      </c>
      <c r="B3271">
        <f>Charms!B3271</f>
        <v>0</v>
      </c>
      <c r="C3271" t="b">
        <f ca="1">OR(Values!$S$98&gt;=Charms!M3271,IFERROR(Charms!J3271=OFFSET(Values!$A$24,MATCH("S",Values!$T$25:$T$50,0),0),FALSE))</f>
        <v>1</v>
      </c>
      <c r="D3271" t="e">
        <f>VLOOKUP(Charms!J3271,Values!$A$11:$S$59,19,0)&gt;=Charms!L3271</f>
        <v>#N/A</v>
      </c>
      <c r="E3271" t="e">
        <f>OR(ISBLANK(Charms!I3271),(VLOOKUP(Values!$S$6,Castes!$B$2:$F$25,4,0)=Charms!I3271))</f>
        <v>#N/A</v>
      </c>
      <c r="J3271" t="e">
        <f t="shared" ca="1" si="256"/>
        <v>#N/A</v>
      </c>
      <c r="K3271" s="18" t="e">
        <f t="shared" ca="1" si="255"/>
        <v>#N/A</v>
      </c>
      <c r="L3271" t="e">
        <f ca="1">IF(J3271,Charms!B3271,"")</f>
        <v>#N/A</v>
      </c>
      <c r="M3271" t="str">
        <f t="shared" ca="1" si="257"/>
        <v>-</v>
      </c>
      <c r="N3271" s="18" t="str">
        <f t="shared" si="258"/>
        <v>K1622:L5000</v>
      </c>
      <c r="O3271" t="str">
        <f t="shared" si="259"/>
        <v>A1622:A3271</v>
      </c>
    </row>
    <row r="3272" spans="1:15">
      <c r="A3272" s="18">
        <f>Charms!K3272</f>
        <v>0</v>
      </c>
      <c r="B3272">
        <f>Charms!B3272</f>
        <v>0</v>
      </c>
      <c r="C3272" t="b">
        <f ca="1">OR(Values!$S$98&gt;=Charms!M3272,IFERROR(Charms!J3272=OFFSET(Values!$A$24,MATCH("S",Values!$T$25:$T$50,0),0),FALSE))</f>
        <v>1</v>
      </c>
      <c r="D3272" t="e">
        <f>VLOOKUP(Charms!J3272,Values!$A$11:$S$59,19,0)&gt;=Charms!L3272</f>
        <v>#N/A</v>
      </c>
      <c r="E3272" t="e">
        <f>OR(ISBLANK(Charms!I3272),(VLOOKUP(Values!$S$6,Castes!$B$2:$F$25,4,0)=Charms!I3272))</f>
        <v>#N/A</v>
      </c>
      <c r="J3272" t="e">
        <f t="shared" ca="1" si="256"/>
        <v>#N/A</v>
      </c>
      <c r="K3272" s="18" t="e">
        <f t="shared" ca="1" si="255"/>
        <v>#N/A</v>
      </c>
      <c r="L3272" t="e">
        <f ca="1">IF(J3272,Charms!B3272,"")</f>
        <v>#N/A</v>
      </c>
      <c r="M3272" t="str">
        <f t="shared" ca="1" si="257"/>
        <v>-</v>
      </c>
      <c r="N3272" s="18" t="str">
        <f t="shared" si="258"/>
        <v>K1622:L5000</v>
      </c>
      <c r="O3272" t="str">
        <f t="shared" si="259"/>
        <v>A1622:A3272</v>
      </c>
    </row>
    <row r="3273" spans="1:15">
      <c r="A3273" s="18">
        <f>Charms!K3273</f>
        <v>0</v>
      </c>
      <c r="B3273">
        <f>Charms!B3273</f>
        <v>0</v>
      </c>
      <c r="C3273" t="b">
        <f ca="1">OR(Values!$S$98&gt;=Charms!M3273,IFERROR(Charms!J3273=OFFSET(Values!$A$24,MATCH("S",Values!$T$25:$T$50,0),0),FALSE))</f>
        <v>1</v>
      </c>
      <c r="D3273" t="e">
        <f>VLOOKUP(Charms!J3273,Values!$A$11:$S$59,19,0)&gt;=Charms!L3273</f>
        <v>#N/A</v>
      </c>
      <c r="E3273" t="e">
        <f>OR(ISBLANK(Charms!I3273),(VLOOKUP(Values!$S$6,Castes!$B$2:$F$25,4,0)=Charms!I3273))</f>
        <v>#N/A</v>
      </c>
      <c r="J3273" t="e">
        <f t="shared" ca="1" si="256"/>
        <v>#N/A</v>
      </c>
      <c r="K3273" s="18" t="e">
        <f t="shared" ca="1" si="255"/>
        <v>#N/A</v>
      </c>
      <c r="L3273" t="e">
        <f ca="1">IF(J3273,Charms!B3273,"")</f>
        <v>#N/A</v>
      </c>
      <c r="M3273" t="str">
        <f t="shared" ca="1" si="257"/>
        <v>-</v>
      </c>
      <c r="N3273" s="18" t="str">
        <f t="shared" si="258"/>
        <v>K1622:L5000</v>
      </c>
      <c r="O3273" t="str">
        <f t="shared" si="259"/>
        <v>A1622:A3273</v>
      </c>
    </row>
    <row r="3274" spans="1:15">
      <c r="A3274" s="18">
        <f>Charms!K3274</f>
        <v>0</v>
      </c>
      <c r="B3274">
        <f>Charms!B3274</f>
        <v>0</v>
      </c>
      <c r="C3274" t="b">
        <f ca="1">OR(Values!$S$98&gt;=Charms!M3274,IFERROR(Charms!J3274=OFFSET(Values!$A$24,MATCH("S",Values!$T$25:$T$50,0),0),FALSE))</f>
        <v>1</v>
      </c>
      <c r="D3274" t="e">
        <f>VLOOKUP(Charms!J3274,Values!$A$11:$S$59,19,0)&gt;=Charms!L3274</f>
        <v>#N/A</v>
      </c>
      <c r="E3274" t="e">
        <f>OR(ISBLANK(Charms!I3274),(VLOOKUP(Values!$S$6,Castes!$B$2:$F$25,4,0)=Charms!I3274))</f>
        <v>#N/A</v>
      </c>
      <c r="J3274" t="e">
        <f t="shared" ca="1" si="256"/>
        <v>#N/A</v>
      </c>
      <c r="K3274" s="18" t="e">
        <f t="shared" ca="1" si="255"/>
        <v>#N/A</v>
      </c>
      <c r="L3274" t="e">
        <f ca="1">IF(J3274,Charms!B3274,"")</f>
        <v>#N/A</v>
      </c>
      <c r="M3274" t="str">
        <f t="shared" ca="1" si="257"/>
        <v>-</v>
      </c>
      <c r="N3274" s="18" t="str">
        <f t="shared" si="258"/>
        <v>K1622:L5000</v>
      </c>
      <c r="O3274" t="str">
        <f t="shared" si="259"/>
        <v>A1622:A3274</v>
      </c>
    </row>
    <row r="3275" spans="1:15">
      <c r="A3275" s="18">
        <f>Charms!K3275</f>
        <v>0</v>
      </c>
      <c r="B3275">
        <f>Charms!B3275</f>
        <v>0</v>
      </c>
      <c r="C3275" t="b">
        <f ca="1">OR(Values!$S$98&gt;=Charms!M3275,IFERROR(Charms!J3275=OFFSET(Values!$A$24,MATCH("S",Values!$T$25:$T$50,0),0),FALSE))</f>
        <v>1</v>
      </c>
      <c r="D3275" t="e">
        <f>VLOOKUP(Charms!J3275,Values!$A$11:$S$59,19,0)&gt;=Charms!L3275</f>
        <v>#N/A</v>
      </c>
      <c r="E3275" t="e">
        <f>OR(ISBLANK(Charms!I3275),(VLOOKUP(Values!$S$6,Castes!$B$2:$F$25,4,0)=Charms!I3275))</f>
        <v>#N/A</v>
      </c>
      <c r="J3275" t="e">
        <f t="shared" ca="1" si="256"/>
        <v>#N/A</v>
      </c>
      <c r="K3275" s="18" t="e">
        <f t="shared" ca="1" si="255"/>
        <v>#N/A</v>
      </c>
      <c r="L3275" t="e">
        <f ca="1">IF(J3275,Charms!B3275,"")</f>
        <v>#N/A</v>
      </c>
      <c r="M3275" t="str">
        <f t="shared" ca="1" si="257"/>
        <v>-</v>
      </c>
      <c r="N3275" s="18" t="str">
        <f t="shared" si="258"/>
        <v>K1622:L5000</v>
      </c>
      <c r="O3275" t="str">
        <f t="shared" si="259"/>
        <v>A1622:A3275</v>
      </c>
    </row>
    <row r="3276" spans="1:15">
      <c r="A3276" s="18">
        <f>Charms!K3276</f>
        <v>0</v>
      </c>
      <c r="B3276">
        <f>Charms!B3276</f>
        <v>0</v>
      </c>
      <c r="C3276" t="b">
        <f ca="1">OR(Values!$S$98&gt;=Charms!M3276,IFERROR(Charms!J3276=OFFSET(Values!$A$24,MATCH("S",Values!$T$25:$T$50,0),0),FALSE))</f>
        <v>1</v>
      </c>
      <c r="D3276" t="e">
        <f>VLOOKUP(Charms!J3276,Values!$A$11:$S$59,19,0)&gt;=Charms!L3276</f>
        <v>#N/A</v>
      </c>
      <c r="E3276" t="e">
        <f>OR(ISBLANK(Charms!I3276),(VLOOKUP(Values!$S$6,Castes!$B$2:$F$25,4,0)=Charms!I3276))</f>
        <v>#N/A</v>
      </c>
      <c r="J3276" t="e">
        <f t="shared" ca="1" si="256"/>
        <v>#N/A</v>
      </c>
      <c r="K3276" s="18" t="e">
        <f t="shared" ca="1" si="255"/>
        <v>#N/A</v>
      </c>
      <c r="L3276" t="e">
        <f ca="1">IF(J3276,Charms!B3276,"")</f>
        <v>#N/A</v>
      </c>
      <c r="M3276" t="str">
        <f t="shared" ca="1" si="257"/>
        <v>-</v>
      </c>
      <c r="N3276" s="18" t="str">
        <f t="shared" si="258"/>
        <v>K1622:L5000</v>
      </c>
      <c r="O3276" t="str">
        <f t="shared" si="259"/>
        <v>A1622:A3276</v>
      </c>
    </row>
    <row r="3277" spans="1:15">
      <c r="A3277" s="18">
        <f>Charms!K3277</f>
        <v>0</v>
      </c>
      <c r="B3277">
        <f>Charms!B3277</f>
        <v>0</v>
      </c>
      <c r="C3277" t="b">
        <f ca="1">OR(Values!$S$98&gt;=Charms!M3277,IFERROR(Charms!J3277=OFFSET(Values!$A$24,MATCH("S",Values!$T$25:$T$50,0),0),FALSE))</f>
        <v>1</v>
      </c>
      <c r="D3277" t="e">
        <f>VLOOKUP(Charms!J3277,Values!$A$11:$S$59,19,0)&gt;=Charms!L3277</f>
        <v>#N/A</v>
      </c>
      <c r="E3277" t="e">
        <f>OR(ISBLANK(Charms!I3277),(VLOOKUP(Values!$S$6,Castes!$B$2:$F$25,4,0)=Charms!I3277))</f>
        <v>#N/A</v>
      </c>
      <c r="J3277" t="e">
        <f t="shared" ca="1" si="256"/>
        <v>#N/A</v>
      </c>
      <c r="K3277" s="18" t="e">
        <f t="shared" ca="1" si="255"/>
        <v>#N/A</v>
      </c>
      <c r="L3277" t="e">
        <f ca="1">IF(J3277,Charms!B3277,"")</f>
        <v>#N/A</v>
      </c>
      <c r="M3277" t="str">
        <f t="shared" ca="1" si="257"/>
        <v>-</v>
      </c>
      <c r="N3277" s="18" t="str">
        <f t="shared" si="258"/>
        <v>K1622:L5000</v>
      </c>
      <c r="O3277" t="str">
        <f t="shared" si="259"/>
        <v>A1622:A3277</v>
      </c>
    </row>
    <row r="3278" spans="1:15">
      <c r="A3278" s="18">
        <f>Charms!K3278</f>
        <v>0</v>
      </c>
      <c r="B3278">
        <f>Charms!B3278</f>
        <v>0</v>
      </c>
      <c r="C3278" t="b">
        <f ca="1">OR(Values!$S$98&gt;=Charms!M3278,IFERROR(Charms!J3278=OFFSET(Values!$A$24,MATCH("S",Values!$T$25:$T$50,0),0),FALSE))</f>
        <v>1</v>
      </c>
      <c r="D3278" t="e">
        <f>VLOOKUP(Charms!J3278,Values!$A$11:$S$59,19,0)&gt;=Charms!L3278</f>
        <v>#N/A</v>
      </c>
      <c r="E3278" t="e">
        <f>OR(ISBLANK(Charms!I3278),(VLOOKUP(Values!$S$6,Castes!$B$2:$F$25,4,0)=Charms!I3278))</f>
        <v>#N/A</v>
      </c>
      <c r="J3278" t="e">
        <f t="shared" ca="1" si="256"/>
        <v>#N/A</v>
      </c>
      <c r="K3278" s="18" t="e">
        <f t="shared" ca="1" si="255"/>
        <v>#N/A</v>
      </c>
      <c r="L3278" t="e">
        <f ca="1">IF(J3278,Charms!B3278,"")</f>
        <v>#N/A</v>
      </c>
      <c r="M3278" t="str">
        <f t="shared" ca="1" si="257"/>
        <v>-</v>
      </c>
      <c r="N3278" s="18" t="str">
        <f t="shared" si="258"/>
        <v>K1622:L5000</v>
      </c>
      <c r="O3278" t="str">
        <f t="shared" si="259"/>
        <v>A1622:A3278</v>
      </c>
    </row>
    <row r="3279" spans="1:15">
      <c r="A3279" s="18">
        <f>Charms!K3279</f>
        <v>0</v>
      </c>
      <c r="B3279">
        <f>Charms!B3279</f>
        <v>0</v>
      </c>
      <c r="C3279" t="b">
        <f ca="1">OR(Values!$S$98&gt;=Charms!M3279,IFERROR(Charms!J3279=OFFSET(Values!$A$24,MATCH("S",Values!$T$25:$T$50,0),0),FALSE))</f>
        <v>1</v>
      </c>
      <c r="D3279" t="e">
        <f>VLOOKUP(Charms!J3279,Values!$A$11:$S$59,19,0)&gt;=Charms!L3279</f>
        <v>#N/A</v>
      </c>
      <c r="E3279" t="e">
        <f>OR(ISBLANK(Charms!I3279),(VLOOKUP(Values!$S$6,Castes!$B$2:$F$25,4,0)=Charms!I3279))</f>
        <v>#N/A</v>
      </c>
      <c r="J3279" t="e">
        <f t="shared" ca="1" si="256"/>
        <v>#N/A</v>
      </c>
      <c r="K3279" s="18" t="e">
        <f t="shared" ca="1" si="255"/>
        <v>#N/A</v>
      </c>
      <c r="L3279" t="e">
        <f ca="1">IF(J3279,Charms!B3279,"")</f>
        <v>#N/A</v>
      </c>
      <c r="M3279" t="str">
        <f t="shared" ca="1" si="257"/>
        <v>-</v>
      </c>
      <c r="N3279" s="18" t="str">
        <f t="shared" si="258"/>
        <v>K1622:L5000</v>
      </c>
      <c r="O3279" t="str">
        <f t="shared" si="259"/>
        <v>A1622:A3279</v>
      </c>
    </row>
    <row r="3280" spans="1:15">
      <c r="A3280" s="18">
        <f>Charms!K3280</f>
        <v>0</v>
      </c>
      <c r="B3280">
        <f>Charms!B3280</f>
        <v>0</v>
      </c>
      <c r="C3280" t="b">
        <f ca="1">OR(Values!$S$98&gt;=Charms!M3280,IFERROR(Charms!J3280=OFFSET(Values!$A$24,MATCH("S",Values!$T$25:$T$50,0),0),FALSE))</f>
        <v>1</v>
      </c>
      <c r="D3280" t="e">
        <f>VLOOKUP(Charms!J3280,Values!$A$11:$S$59,19,0)&gt;=Charms!L3280</f>
        <v>#N/A</v>
      </c>
      <c r="E3280" t="e">
        <f>OR(ISBLANK(Charms!I3280),(VLOOKUP(Values!$S$6,Castes!$B$2:$F$25,4,0)=Charms!I3280))</f>
        <v>#N/A</v>
      </c>
      <c r="J3280" t="e">
        <f t="shared" ca="1" si="256"/>
        <v>#N/A</v>
      </c>
      <c r="K3280" s="18" t="e">
        <f t="shared" ca="1" si="255"/>
        <v>#N/A</v>
      </c>
      <c r="L3280" t="e">
        <f ca="1">IF(J3280,Charms!B3280,"")</f>
        <v>#N/A</v>
      </c>
      <c r="M3280" t="str">
        <f t="shared" ca="1" si="257"/>
        <v>-</v>
      </c>
      <c r="N3280" s="18" t="str">
        <f t="shared" si="258"/>
        <v>K1622:L5000</v>
      </c>
      <c r="O3280" t="str">
        <f t="shared" si="259"/>
        <v>A1622:A3280</v>
      </c>
    </row>
    <row r="3281" spans="1:15">
      <c r="A3281" s="18">
        <f>Charms!K3281</f>
        <v>0</v>
      </c>
      <c r="B3281">
        <f>Charms!B3281</f>
        <v>0</v>
      </c>
      <c r="C3281" t="b">
        <f ca="1">OR(Values!$S$98&gt;=Charms!M3281,IFERROR(Charms!J3281=OFFSET(Values!$A$24,MATCH("S",Values!$T$25:$T$50,0),0),FALSE))</f>
        <v>1</v>
      </c>
      <c r="D3281" t="e">
        <f>VLOOKUP(Charms!J3281,Values!$A$11:$S$59,19,0)&gt;=Charms!L3281</f>
        <v>#N/A</v>
      </c>
      <c r="E3281" t="e">
        <f>OR(ISBLANK(Charms!I3281),(VLOOKUP(Values!$S$6,Castes!$B$2:$F$25,4,0)=Charms!I3281))</f>
        <v>#N/A</v>
      </c>
      <c r="J3281" t="e">
        <f t="shared" ca="1" si="256"/>
        <v>#N/A</v>
      </c>
      <c r="K3281" s="18" t="e">
        <f t="shared" ca="1" si="255"/>
        <v>#N/A</v>
      </c>
      <c r="L3281" t="e">
        <f ca="1">IF(J3281,Charms!B3281,"")</f>
        <v>#N/A</v>
      </c>
      <c r="M3281" t="str">
        <f t="shared" ca="1" si="257"/>
        <v>-</v>
      </c>
      <c r="N3281" s="18" t="str">
        <f t="shared" si="258"/>
        <v>K1622:L5000</v>
      </c>
      <c r="O3281" t="str">
        <f t="shared" si="259"/>
        <v>A1622:A3281</v>
      </c>
    </row>
    <row r="3282" spans="1:15">
      <c r="A3282" s="18">
        <f>Charms!K3282</f>
        <v>0</v>
      </c>
      <c r="B3282">
        <f>Charms!B3282</f>
        <v>0</v>
      </c>
      <c r="C3282" t="b">
        <f ca="1">OR(Values!$S$98&gt;=Charms!M3282,IFERROR(Charms!J3282=OFFSET(Values!$A$24,MATCH("S",Values!$T$25:$T$50,0),0),FALSE))</f>
        <v>1</v>
      </c>
      <c r="D3282" t="e">
        <f>VLOOKUP(Charms!J3282,Values!$A$11:$S$59,19,0)&gt;=Charms!L3282</f>
        <v>#N/A</v>
      </c>
      <c r="E3282" t="e">
        <f>OR(ISBLANK(Charms!I3282),(VLOOKUP(Values!$S$6,Castes!$B$2:$F$25,4,0)=Charms!I3282))</f>
        <v>#N/A</v>
      </c>
      <c r="J3282" t="e">
        <f t="shared" ca="1" si="256"/>
        <v>#N/A</v>
      </c>
      <c r="K3282" s="18" t="e">
        <f t="shared" ca="1" si="255"/>
        <v>#N/A</v>
      </c>
      <c r="L3282" t="e">
        <f ca="1">IF(J3282,Charms!B3282,"")</f>
        <v>#N/A</v>
      </c>
      <c r="M3282" t="str">
        <f t="shared" ca="1" si="257"/>
        <v>-</v>
      </c>
      <c r="N3282" s="18" t="str">
        <f t="shared" si="258"/>
        <v>K1622:L5000</v>
      </c>
      <c r="O3282" t="str">
        <f t="shared" si="259"/>
        <v>A1622:A3282</v>
      </c>
    </row>
    <row r="3283" spans="1:15">
      <c r="A3283" s="18">
        <f>Charms!K3283</f>
        <v>0</v>
      </c>
      <c r="B3283">
        <f>Charms!B3283</f>
        <v>0</v>
      </c>
      <c r="C3283" t="b">
        <f ca="1">OR(Values!$S$98&gt;=Charms!M3283,IFERROR(Charms!J3283=OFFSET(Values!$A$24,MATCH("S",Values!$T$25:$T$50,0),0),FALSE))</f>
        <v>1</v>
      </c>
      <c r="D3283" t="e">
        <f>VLOOKUP(Charms!J3283,Values!$A$11:$S$59,19,0)&gt;=Charms!L3283</f>
        <v>#N/A</v>
      </c>
      <c r="E3283" t="e">
        <f>OR(ISBLANK(Charms!I3283),(VLOOKUP(Values!$S$6,Castes!$B$2:$F$25,4,0)=Charms!I3283))</f>
        <v>#N/A</v>
      </c>
      <c r="J3283" t="e">
        <f t="shared" ca="1" si="256"/>
        <v>#N/A</v>
      </c>
      <c r="K3283" s="18" t="e">
        <f t="shared" ca="1" si="255"/>
        <v>#N/A</v>
      </c>
      <c r="L3283" t="e">
        <f ca="1">IF(J3283,Charms!B3283,"")</f>
        <v>#N/A</v>
      </c>
      <c r="M3283" t="str">
        <f t="shared" ca="1" si="257"/>
        <v>-</v>
      </c>
      <c r="N3283" s="18" t="str">
        <f t="shared" si="258"/>
        <v>K1622:L5000</v>
      </c>
      <c r="O3283" t="str">
        <f t="shared" si="259"/>
        <v>A1622:A3283</v>
      </c>
    </row>
    <row r="3284" spans="1:15">
      <c r="A3284" s="18">
        <f>Charms!K3284</f>
        <v>0</v>
      </c>
      <c r="B3284">
        <f>Charms!B3284</f>
        <v>0</v>
      </c>
      <c r="C3284" t="b">
        <f ca="1">OR(Values!$S$98&gt;=Charms!M3284,IFERROR(Charms!J3284=OFFSET(Values!$A$24,MATCH("S",Values!$T$25:$T$50,0),0),FALSE))</f>
        <v>1</v>
      </c>
      <c r="D3284" t="e">
        <f>VLOOKUP(Charms!J3284,Values!$A$11:$S$59,19,0)&gt;=Charms!L3284</f>
        <v>#N/A</v>
      </c>
      <c r="E3284" t="e">
        <f>OR(ISBLANK(Charms!I3284),(VLOOKUP(Values!$S$6,Castes!$B$2:$F$25,4,0)=Charms!I3284))</f>
        <v>#N/A</v>
      </c>
      <c r="J3284" t="e">
        <f t="shared" ca="1" si="256"/>
        <v>#N/A</v>
      </c>
      <c r="K3284" s="18" t="e">
        <f t="shared" ca="1" si="255"/>
        <v>#N/A</v>
      </c>
      <c r="L3284" t="e">
        <f ca="1">IF(J3284,Charms!B3284,"")</f>
        <v>#N/A</v>
      </c>
      <c r="M3284" t="str">
        <f t="shared" ca="1" si="257"/>
        <v>-</v>
      </c>
      <c r="N3284" s="18" t="str">
        <f t="shared" si="258"/>
        <v>K1622:L5000</v>
      </c>
      <c r="O3284" t="str">
        <f t="shared" si="259"/>
        <v>A1622:A3284</v>
      </c>
    </row>
    <row r="3285" spans="1:15">
      <c r="A3285" s="18">
        <f>Charms!K3285</f>
        <v>0</v>
      </c>
      <c r="B3285">
        <f>Charms!B3285</f>
        <v>0</v>
      </c>
      <c r="C3285" t="b">
        <f ca="1">OR(Values!$S$98&gt;=Charms!M3285,IFERROR(Charms!J3285=OFFSET(Values!$A$24,MATCH("S",Values!$T$25:$T$50,0),0),FALSE))</f>
        <v>1</v>
      </c>
      <c r="D3285" t="e">
        <f>VLOOKUP(Charms!J3285,Values!$A$11:$S$59,19,0)&gt;=Charms!L3285</f>
        <v>#N/A</v>
      </c>
      <c r="E3285" t="e">
        <f>OR(ISBLANK(Charms!I3285),(VLOOKUP(Values!$S$6,Castes!$B$2:$F$25,4,0)=Charms!I3285))</f>
        <v>#N/A</v>
      </c>
      <c r="J3285" t="e">
        <f t="shared" ca="1" si="256"/>
        <v>#N/A</v>
      </c>
      <c r="K3285" s="18" t="e">
        <f t="shared" ca="1" si="255"/>
        <v>#N/A</v>
      </c>
      <c r="L3285" t="e">
        <f ca="1">IF(J3285,Charms!B3285,"")</f>
        <v>#N/A</v>
      </c>
      <c r="M3285" t="str">
        <f t="shared" ca="1" si="257"/>
        <v>-</v>
      </c>
      <c r="N3285" s="18" t="str">
        <f t="shared" si="258"/>
        <v>K1622:L5000</v>
      </c>
      <c r="O3285" t="str">
        <f t="shared" si="259"/>
        <v>A1622:A3285</v>
      </c>
    </row>
    <row r="3286" spans="1:15">
      <c r="A3286" s="18">
        <f>Charms!K3286</f>
        <v>0</v>
      </c>
      <c r="B3286">
        <f>Charms!B3286</f>
        <v>0</v>
      </c>
      <c r="C3286" t="b">
        <f ca="1">OR(Values!$S$98&gt;=Charms!M3286,IFERROR(Charms!J3286=OFFSET(Values!$A$24,MATCH("S",Values!$T$25:$T$50,0),0),FALSE))</f>
        <v>1</v>
      </c>
      <c r="D3286" t="e">
        <f>VLOOKUP(Charms!J3286,Values!$A$11:$S$59,19,0)&gt;=Charms!L3286</f>
        <v>#N/A</v>
      </c>
      <c r="E3286" t="e">
        <f>OR(ISBLANK(Charms!I3286),(VLOOKUP(Values!$S$6,Castes!$B$2:$F$25,4,0)=Charms!I3286))</f>
        <v>#N/A</v>
      </c>
      <c r="J3286" t="e">
        <f t="shared" ca="1" si="256"/>
        <v>#N/A</v>
      </c>
      <c r="K3286" s="18" t="e">
        <f t="shared" ca="1" si="255"/>
        <v>#N/A</v>
      </c>
      <c r="L3286" t="e">
        <f ca="1">IF(J3286,Charms!B3286,"")</f>
        <v>#N/A</v>
      </c>
      <c r="M3286" t="str">
        <f t="shared" ca="1" si="257"/>
        <v>-</v>
      </c>
      <c r="N3286" s="18" t="str">
        <f t="shared" si="258"/>
        <v>K1622:L5000</v>
      </c>
      <c r="O3286" t="str">
        <f t="shared" si="259"/>
        <v>A1622:A3286</v>
      </c>
    </row>
    <row r="3287" spans="1:15">
      <c r="A3287" s="18">
        <f>Charms!K3287</f>
        <v>0</v>
      </c>
      <c r="B3287">
        <f>Charms!B3287</f>
        <v>0</v>
      </c>
      <c r="C3287" t="b">
        <f ca="1">OR(Values!$S$98&gt;=Charms!M3287,IFERROR(Charms!J3287=OFFSET(Values!$A$24,MATCH("S",Values!$T$25:$T$50,0),0),FALSE))</f>
        <v>1</v>
      </c>
      <c r="D3287" t="e">
        <f>VLOOKUP(Charms!J3287,Values!$A$11:$S$59,19,0)&gt;=Charms!L3287</f>
        <v>#N/A</v>
      </c>
      <c r="E3287" t="e">
        <f>OR(ISBLANK(Charms!I3287),(VLOOKUP(Values!$S$6,Castes!$B$2:$F$25,4,0)=Charms!I3287))</f>
        <v>#N/A</v>
      </c>
      <c r="J3287" t="e">
        <f t="shared" ca="1" si="256"/>
        <v>#N/A</v>
      </c>
      <c r="K3287" s="18" t="e">
        <f t="shared" ca="1" si="255"/>
        <v>#N/A</v>
      </c>
      <c r="L3287" t="e">
        <f ca="1">IF(J3287,Charms!B3287,"")</f>
        <v>#N/A</v>
      </c>
      <c r="M3287" t="str">
        <f t="shared" ca="1" si="257"/>
        <v>-</v>
      </c>
      <c r="N3287" s="18" t="str">
        <f t="shared" si="258"/>
        <v>K1622:L5000</v>
      </c>
      <c r="O3287" t="str">
        <f t="shared" si="259"/>
        <v>A1622:A3287</v>
      </c>
    </row>
    <row r="3288" spans="1:15">
      <c r="A3288" s="18">
        <f>Charms!K3288</f>
        <v>0</v>
      </c>
      <c r="B3288">
        <f>Charms!B3288</f>
        <v>0</v>
      </c>
      <c r="C3288" t="b">
        <f ca="1">OR(Values!$S$98&gt;=Charms!M3288,IFERROR(Charms!J3288=OFFSET(Values!$A$24,MATCH("S",Values!$T$25:$T$50,0),0),FALSE))</f>
        <v>1</v>
      </c>
      <c r="D3288" t="e">
        <f>VLOOKUP(Charms!J3288,Values!$A$11:$S$59,19,0)&gt;=Charms!L3288</f>
        <v>#N/A</v>
      </c>
      <c r="E3288" t="e">
        <f>OR(ISBLANK(Charms!I3288),(VLOOKUP(Values!$S$6,Castes!$B$2:$F$25,4,0)=Charms!I3288))</f>
        <v>#N/A</v>
      </c>
      <c r="J3288" t="e">
        <f t="shared" ca="1" si="256"/>
        <v>#N/A</v>
      </c>
      <c r="K3288" s="18" t="e">
        <f t="shared" ca="1" si="255"/>
        <v>#N/A</v>
      </c>
      <c r="L3288" t="e">
        <f ca="1">IF(J3288,Charms!B3288,"")</f>
        <v>#N/A</v>
      </c>
      <c r="M3288" t="str">
        <f t="shared" ca="1" si="257"/>
        <v>-</v>
      </c>
      <c r="N3288" s="18" t="str">
        <f t="shared" si="258"/>
        <v>K1622:L5000</v>
      </c>
      <c r="O3288" t="str">
        <f t="shared" si="259"/>
        <v>A1622:A3288</v>
      </c>
    </row>
    <row r="3289" spans="1:15">
      <c r="A3289" s="18">
        <f>Charms!K3289</f>
        <v>0</v>
      </c>
      <c r="B3289">
        <f>Charms!B3289</f>
        <v>0</v>
      </c>
      <c r="C3289" t="b">
        <f ca="1">OR(Values!$S$98&gt;=Charms!M3289,IFERROR(Charms!J3289=OFFSET(Values!$A$24,MATCH("S",Values!$T$25:$T$50,0),0),FALSE))</f>
        <v>1</v>
      </c>
      <c r="D3289" t="e">
        <f>VLOOKUP(Charms!J3289,Values!$A$11:$S$59,19,0)&gt;=Charms!L3289</f>
        <v>#N/A</v>
      </c>
      <c r="E3289" t="e">
        <f>OR(ISBLANK(Charms!I3289),(VLOOKUP(Values!$S$6,Castes!$B$2:$F$25,4,0)=Charms!I3289))</f>
        <v>#N/A</v>
      </c>
      <c r="J3289" t="e">
        <f t="shared" ca="1" si="256"/>
        <v>#N/A</v>
      </c>
      <c r="K3289" s="18" t="e">
        <f t="shared" ca="1" si="255"/>
        <v>#N/A</v>
      </c>
      <c r="L3289" t="e">
        <f ca="1">IF(J3289,Charms!B3289,"")</f>
        <v>#N/A</v>
      </c>
      <c r="M3289" t="str">
        <f t="shared" ca="1" si="257"/>
        <v>-</v>
      </c>
      <c r="N3289" s="18" t="str">
        <f t="shared" si="258"/>
        <v>K1622:L5000</v>
      </c>
      <c r="O3289" t="str">
        <f t="shared" si="259"/>
        <v>A1622:A3289</v>
      </c>
    </row>
    <row r="3290" spans="1:15">
      <c r="A3290" s="18">
        <f>Charms!K3290</f>
        <v>0</v>
      </c>
      <c r="B3290">
        <f>Charms!B3290</f>
        <v>0</v>
      </c>
      <c r="C3290" t="b">
        <f ca="1">OR(Values!$S$98&gt;=Charms!M3290,IFERROR(Charms!J3290=OFFSET(Values!$A$24,MATCH("S",Values!$T$25:$T$50,0),0),FALSE))</f>
        <v>1</v>
      </c>
      <c r="D3290" t="e">
        <f>VLOOKUP(Charms!J3290,Values!$A$11:$S$59,19,0)&gt;=Charms!L3290</f>
        <v>#N/A</v>
      </c>
      <c r="E3290" t="e">
        <f>OR(ISBLANK(Charms!I3290),(VLOOKUP(Values!$S$6,Castes!$B$2:$F$25,4,0)=Charms!I3290))</f>
        <v>#N/A</v>
      </c>
      <c r="J3290" t="e">
        <f t="shared" ca="1" si="256"/>
        <v>#N/A</v>
      </c>
      <c r="K3290" s="18" t="e">
        <f t="shared" ca="1" si="255"/>
        <v>#N/A</v>
      </c>
      <c r="L3290" t="e">
        <f ca="1">IF(J3290,Charms!B3290,"")</f>
        <v>#N/A</v>
      </c>
      <c r="M3290" t="str">
        <f t="shared" ca="1" si="257"/>
        <v>-</v>
      </c>
      <c r="N3290" s="18" t="str">
        <f t="shared" si="258"/>
        <v>K1622:L5000</v>
      </c>
      <c r="O3290" t="str">
        <f t="shared" si="259"/>
        <v>A1622:A3290</v>
      </c>
    </row>
    <row r="3291" spans="1:15">
      <c r="A3291" s="18">
        <f>Charms!K3291</f>
        <v>0</v>
      </c>
      <c r="B3291">
        <f>Charms!B3291</f>
        <v>0</v>
      </c>
      <c r="C3291" t="b">
        <f ca="1">OR(Values!$S$98&gt;=Charms!M3291,IFERROR(Charms!J3291=OFFSET(Values!$A$24,MATCH("S",Values!$T$25:$T$50,0),0),FALSE))</f>
        <v>1</v>
      </c>
      <c r="D3291" t="e">
        <f>VLOOKUP(Charms!J3291,Values!$A$11:$S$59,19,0)&gt;=Charms!L3291</f>
        <v>#N/A</v>
      </c>
      <c r="E3291" t="e">
        <f>OR(ISBLANK(Charms!I3291),(VLOOKUP(Values!$S$6,Castes!$B$2:$F$25,4,0)=Charms!I3291))</f>
        <v>#N/A</v>
      </c>
      <c r="J3291" t="e">
        <f t="shared" ca="1" si="256"/>
        <v>#N/A</v>
      </c>
      <c r="K3291" s="18" t="e">
        <f t="shared" ca="1" si="255"/>
        <v>#N/A</v>
      </c>
      <c r="L3291" t="e">
        <f ca="1">IF(J3291,Charms!B3291,"")</f>
        <v>#N/A</v>
      </c>
      <c r="M3291" t="str">
        <f t="shared" ca="1" si="257"/>
        <v>-</v>
      </c>
      <c r="N3291" s="18" t="str">
        <f t="shared" si="258"/>
        <v>K1622:L5000</v>
      </c>
      <c r="O3291" t="str">
        <f t="shared" si="259"/>
        <v>A1622:A3291</v>
      </c>
    </row>
    <row r="3292" spans="1:15">
      <c r="A3292" s="18">
        <f>Charms!K3292</f>
        <v>0</v>
      </c>
      <c r="B3292">
        <f>Charms!B3292</f>
        <v>0</v>
      </c>
      <c r="C3292" t="b">
        <f ca="1">OR(Values!$S$98&gt;=Charms!M3292,IFERROR(Charms!J3292=OFFSET(Values!$A$24,MATCH("S",Values!$T$25:$T$50,0),0),FALSE))</f>
        <v>1</v>
      </c>
      <c r="D3292" t="e">
        <f>VLOOKUP(Charms!J3292,Values!$A$11:$S$59,19,0)&gt;=Charms!L3292</f>
        <v>#N/A</v>
      </c>
      <c r="E3292" t="e">
        <f>OR(ISBLANK(Charms!I3292),(VLOOKUP(Values!$S$6,Castes!$B$2:$F$25,4,0)=Charms!I3292))</f>
        <v>#N/A</v>
      </c>
      <c r="J3292" t="e">
        <f t="shared" ca="1" si="256"/>
        <v>#N/A</v>
      </c>
      <c r="K3292" s="18" t="e">
        <f t="shared" ca="1" si="255"/>
        <v>#N/A</v>
      </c>
      <c r="L3292" t="e">
        <f ca="1">IF(J3292,Charms!B3292,"")</f>
        <v>#N/A</v>
      </c>
      <c r="M3292" t="str">
        <f t="shared" ca="1" si="257"/>
        <v>-</v>
      </c>
      <c r="N3292" s="18" t="str">
        <f t="shared" si="258"/>
        <v>K1622:L5000</v>
      </c>
      <c r="O3292" t="str">
        <f t="shared" si="259"/>
        <v>A1622:A3292</v>
      </c>
    </row>
    <row r="3293" spans="1:15">
      <c r="A3293" s="18">
        <f>Charms!K3293</f>
        <v>0</v>
      </c>
      <c r="B3293">
        <f>Charms!B3293</f>
        <v>0</v>
      </c>
      <c r="C3293" t="b">
        <f ca="1">OR(Values!$S$98&gt;=Charms!M3293,IFERROR(Charms!J3293=OFFSET(Values!$A$24,MATCH("S",Values!$T$25:$T$50,0),0),FALSE))</f>
        <v>1</v>
      </c>
      <c r="D3293" t="e">
        <f>VLOOKUP(Charms!J3293,Values!$A$11:$S$59,19,0)&gt;=Charms!L3293</f>
        <v>#N/A</v>
      </c>
      <c r="E3293" t="e">
        <f>OR(ISBLANK(Charms!I3293),(VLOOKUP(Values!$S$6,Castes!$B$2:$F$25,4,0)=Charms!I3293))</f>
        <v>#N/A</v>
      </c>
      <c r="J3293" t="e">
        <f t="shared" ca="1" si="256"/>
        <v>#N/A</v>
      </c>
      <c r="K3293" s="18" t="e">
        <f t="shared" ca="1" si="255"/>
        <v>#N/A</v>
      </c>
      <c r="L3293" t="e">
        <f ca="1">IF(J3293,Charms!B3293,"")</f>
        <v>#N/A</v>
      </c>
      <c r="M3293" t="str">
        <f t="shared" ca="1" si="257"/>
        <v>-</v>
      </c>
      <c r="N3293" s="18" t="str">
        <f t="shared" si="258"/>
        <v>K1622:L5000</v>
      </c>
      <c r="O3293" t="str">
        <f t="shared" si="259"/>
        <v>A1622:A3293</v>
      </c>
    </row>
    <row r="3294" spans="1:15">
      <c r="A3294" s="18">
        <f>Charms!K3294</f>
        <v>0</v>
      </c>
      <c r="B3294">
        <f>Charms!B3294</f>
        <v>0</v>
      </c>
      <c r="C3294" t="b">
        <f ca="1">OR(Values!$S$98&gt;=Charms!M3294,IFERROR(Charms!J3294=OFFSET(Values!$A$24,MATCH("S",Values!$T$25:$T$50,0),0),FALSE))</f>
        <v>1</v>
      </c>
      <c r="D3294" t="e">
        <f>VLOOKUP(Charms!J3294,Values!$A$11:$S$59,19,0)&gt;=Charms!L3294</f>
        <v>#N/A</v>
      </c>
      <c r="E3294" t="e">
        <f>OR(ISBLANK(Charms!I3294),(VLOOKUP(Values!$S$6,Castes!$B$2:$F$25,4,0)=Charms!I3294))</f>
        <v>#N/A</v>
      </c>
      <c r="J3294" t="e">
        <f t="shared" ca="1" si="256"/>
        <v>#N/A</v>
      </c>
      <c r="K3294" s="18" t="e">
        <f t="shared" ca="1" si="255"/>
        <v>#N/A</v>
      </c>
      <c r="L3294" t="e">
        <f ca="1">IF(J3294,Charms!B3294,"")</f>
        <v>#N/A</v>
      </c>
      <c r="M3294" t="str">
        <f t="shared" ca="1" si="257"/>
        <v>-</v>
      </c>
      <c r="N3294" s="18" t="str">
        <f t="shared" si="258"/>
        <v>K1622:L5000</v>
      </c>
      <c r="O3294" t="str">
        <f t="shared" si="259"/>
        <v>A1622:A3294</v>
      </c>
    </row>
    <row r="3295" spans="1:15">
      <c r="A3295" s="18">
        <f>Charms!K3295</f>
        <v>0</v>
      </c>
      <c r="B3295">
        <f>Charms!B3295</f>
        <v>0</v>
      </c>
      <c r="C3295" t="b">
        <f ca="1">OR(Values!$S$98&gt;=Charms!M3295,IFERROR(Charms!J3295=OFFSET(Values!$A$24,MATCH("S",Values!$T$25:$T$50,0),0),FALSE))</f>
        <v>1</v>
      </c>
      <c r="D3295" t="e">
        <f>VLOOKUP(Charms!J3295,Values!$A$11:$S$59,19,0)&gt;=Charms!L3295</f>
        <v>#N/A</v>
      </c>
      <c r="E3295" t="e">
        <f>OR(ISBLANK(Charms!I3295),(VLOOKUP(Values!$S$6,Castes!$B$2:$F$25,4,0)=Charms!I3295))</f>
        <v>#N/A</v>
      </c>
      <c r="J3295" t="e">
        <f t="shared" ca="1" si="256"/>
        <v>#N/A</v>
      </c>
      <c r="K3295" s="18" t="e">
        <f t="shared" ca="1" si="255"/>
        <v>#N/A</v>
      </c>
      <c r="L3295" t="e">
        <f ca="1">IF(J3295,Charms!B3295,"")</f>
        <v>#N/A</v>
      </c>
      <c r="M3295" t="str">
        <f t="shared" ca="1" si="257"/>
        <v>-</v>
      </c>
      <c r="N3295" s="18" t="str">
        <f t="shared" si="258"/>
        <v>K1622:L5000</v>
      </c>
      <c r="O3295" t="str">
        <f t="shared" si="259"/>
        <v>A1622:A3295</v>
      </c>
    </row>
    <row r="3296" spans="1:15">
      <c r="A3296" s="18">
        <f>Charms!K3296</f>
        <v>0</v>
      </c>
      <c r="B3296">
        <f>Charms!B3296</f>
        <v>0</v>
      </c>
      <c r="C3296" t="b">
        <f ca="1">OR(Values!$S$98&gt;=Charms!M3296,IFERROR(Charms!J3296=OFFSET(Values!$A$24,MATCH("S",Values!$T$25:$T$50,0),0),FALSE))</f>
        <v>1</v>
      </c>
      <c r="D3296" t="e">
        <f>VLOOKUP(Charms!J3296,Values!$A$11:$S$59,19,0)&gt;=Charms!L3296</f>
        <v>#N/A</v>
      </c>
      <c r="E3296" t="e">
        <f>OR(ISBLANK(Charms!I3296),(VLOOKUP(Values!$S$6,Castes!$B$2:$F$25,4,0)=Charms!I3296))</f>
        <v>#N/A</v>
      </c>
      <c r="J3296" t="e">
        <f t="shared" ca="1" si="256"/>
        <v>#N/A</v>
      </c>
      <c r="K3296" s="18" t="e">
        <f t="shared" ca="1" si="255"/>
        <v>#N/A</v>
      </c>
      <c r="L3296" t="e">
        <f ca="1">IF(J3296,Charms!B3296,"")</f>
        <v>#N/A</v>
      </c>
      <c r="M3296" t="str">
        <f t="shared" ca="1" si="257"/>
        <v>-</v>
      </c>
      <c r="N3296" s="18" t="str">
        <f t="shared" si="258"/>
        <v>K1622:L5000</v>
      </c>
      <c r="O3296" t="str">
        <f t="shared" si="259"/>
        <v>A1622:A3296</v>
      </c>
    </row>
    <row r="3297" spans="1:15">
      <c r="A3297" s="18">
        <f>Charms!K3297</f>
        <v>0</v>
      </c>
      <c r="B3297">
        <f>Charms!B3297</f>
        <v>0</v>
      </c>
      <c r="C3297" t="b">
        <f ca="1">OR(Values!$S$98&gt;=Charms!M3297,IFERROR(Charms!J3297=OFFSET(Values!$A$24,MATCH("S",Values!$T$25:$T$50,0),0),FALSE))</f>
        <v>1</v>
      </c>
      <c r="D3297" t="e">
        <f>VLOOKUP(Charms!J3297,Values!$A$11:$S$59,19,0)&gt;=Charms!L3297</f>
        <v>#N/A</v>
      </c>
      <c r="E3297" t="e">
        <f>OR(ISBLANK(Charms!I3297),(VLOOKUP(Values!$S$6,Castes!$B$2:$F$25,4,0)=Charms!I3297))</f>
        <v>#N/A</v>
      </c>
      <c r="J3297" t="e">
        <f t="shared" ca="1" si="256"/>
        <v>#N/A</v>
      </c>
      <c r="K3297" s="18" t="e">
        <f t="shared" ca="1" si="255"/>
        <v>#N/A</v>
      </c>
      <c r="L3297" t="e">
        <f ca="1">IF(J3297,Charms!B3297,"")</f>
        <v>#N/A</v>
      </c>
      <c r="M3297" t="str">
        <f t="shared" ca="1" si="257"/>
        <v>-</v>
      </c>
      <c r="N3297" s="18" t="str">
        <f t="shared" si="258"/>
        <v>K1622:L5000</v>
      </c>
      <c r="O3297" t="str">
        <f t="shared" si="259"/>
        <v>A1622:A3297</v>
      </c>
    </row>
    <row r="3298" spans="1:15">
      <c r="A3298" s="18">
        <f>Charms!K3298</f>
        <v>0</v>
      </c>
      <c r="B3298">
        <f>Charms!B3298</f>
        <v>0</v>
      </c>
      <c r="C3298" t="b">
        <f ca="1">OR(Values!$S$98&gt;=Charms!M3298,IFERROR(Charms!J3298=OFFSET(Values!$A$24,MATCH("S",Values!$T$25:$T$50,0),0),FALSE))</f>
        <v>1</v>
      </c>
      <c r="D3298" t="e">
        <f>VLOOKUP(Charms!J3298,Values!$A$11:$S$59,19,0)&gt;=Charms!L3298</f>
        <v>#N/A</v>
      </c>
      <c r="E3298" t="e">
        <f>OR(ISBLANK(Charms!I3298),(VLOOKUP(Values!$S$6,Castes!$B$2:$F$25,4,0)=Charms!I3298))</f>
        <v>#N/A</v>
      </c>
      <c r="J3298" t="e">
        <f t="shared" ca="1" si="256"/>
        <v>#N/A</v>
      </c>
      <c r="K3298" s="18" t="e">
        <f t="shared" ca="1" si="255"/>
        <v>#N/A</v>
      </c>
      <c r="L3298" t="e">
        <f ca="1">IF(J3298,Charms!B3298,"")</f>
        <v>#N/A</v>
      </c>
      <c r="M3298" t="str">
        <f t="shared" ca="1" si="257"/>
        <v>-</v>
      </c>
      <c r="N3298" s="18" t="str">
        <f t="shared" si="258"/>
        <v>K1622:L5000</v>
      </c>
      <c r="O3298" t="str">
        <f t="shared" si="259"/>
        <v>A1622:A3298</v>
      </c>
    </row>
    <row r="3299" spans="1:15">
      <c r="A3299" s="18">
        <f>Charms!K3299</f>
        <v>0</v>
      </c>
      <c r="B3299">
        <f>Charms!B3299</f>
        <v>0</v>
      </c>
      <c r="C3299" t="b">
        <f ca="1">OR(Values!$S$98&gt;=Charms!M3299,IFERROR(Charms!J3299=OFFSET(Values!$A$24,MATCH("S",Values!$T$25:$T$50,0),0),FALSE))</f>
        <v>1</v>
      </c>
      <c r="D3299" t="e">
        <f>VLOOKUP(Charms!J3299,Values!$A$11:$S$59,19,0)&gt;=Charms!L3299</f>
        <v>#N/A</v>
      </c>
      <c r="E3299" t="e">
        <f>OR(ISBLANK(Charms!I3299),(VLOOKUP(Values!$S$6,Castes!$B$2:$F$25,4,0)=Charms!I3299))</f>
        <v>#N/A</v>
      </c>
      <c r="J3299" t="e">
        <f t="shared" ca="1" si="256"/>
        <v>#N/A</v>
      </c>
      <c r="K3299" s="18" t="e">
        <f t="shared" ca="1" si="255"/>
        <v>#N/A</v>
      </c>
      <c r="L3299" t="e">
        <f ca="1">IF(J3299,Charms!B3299,"")</f>
        <v>#N/A</v>
      </c>
      <c r="M3299" t="str">
        <f t="shared" ca="1" si="257"/>
        <v>-</v>
      </c>
      <c r="N3299" s="18" t="str">
        <f t="shared" si="258"/>
        <v>K1622:L5000</v>
      </c>
      <c r="O3299" t="str">
        <f t="shared" si="259"/>
        <v>A1622:A3299</v>
      </c>
    </row>
    <row r="3300" spans="1:15">
      <c r="A3300" s="18">
        <f>Charms!K3300</f>
        <v>0</v>
      </c>
      <c r="B3300">
        <f>Charms!B3300</f>
        <v>0</v>
      </c>
      <c r="C3300" t="b">
        <f ca="1">OR(Values!$S$98&gt;=Charms!M3300,IFERROR(Charms!J3300=OFFSET(Values!$A$24,MATCH("S",Values!$T$25:$T$50,0),0),FALSE))</f>
        <v>1</v>
      </c>
      <c r="D3300" t="e">
        <f>VLOOKUP(Charms!J3300,Values!$A$11:$S$59,19,0)&gt;=Charms!L3300</f>
        <v>#N/A</v>
      </c>
      <c r="E3300" t="e">
        <f>OR(ISBLANK(Charms!I3300),(VLOOKUP(Values!$S$6,Castes!$B$2:$F$25,4,0)=Charms!I3300))</f>
        <v>#N/A</v>
      </c>
      <c r="J3300" t="e">
        <f t="shared" ca="1" si="256"/>
        <v>#N/A</v>
      </c>
      <c r="K3300" s="18" t="e">
        <f t="shared" ca="1" si="255"/>
        <v>#N/A</v>
      </c>
      <c r="L3300" t="e">
        <f ca="1">IF(J3300,Charms!B3300,"")</f>
        <v>#N/A</v>
      </c>
      <c r="M3300" t="str">
        <f t="shared" ca="1" si="257"/>
        <v>-</v>
      </c>
      <c r="N3300" s="18" t="str">
        <f t="shared" si="258"/>
        <v>K1622:L5000</v>
      </c>
      <c r="O3300" t="str">
        <f t="shared" si="259"/>
        <v>A1622:A3300</v>
      </c>
    </row>
    <row r="3301" spans="1:15">
      <c r="A3301" s="18">
        <f>Charms!K3301</f>
        <v>0</v>
      </c>
      <c r="B3301">
        <f>Charms!B3301</f>
        <v>0</v>
      </c>
      <c r="C3301" t="b">
        <f ca="1">OR(Values!$S$98&gt;=Charms!M3301,IFERROR(Charms!J3301=OFFSET(Values!$A$24,MATCH("S",Values!$T$25:$T$50,0),0),FALSE))</f>
        <v>1</v>
      </c>
      <c r="D3301" t="e">
        <f>VLOOKUP(Charms!J3301,Values!$A$11:$S$59,19,0)&gt;=Charms!L3301</f>
        <v>#N/A</v>
      </c>
      <c r="E3301" t="e">
        <f>OR(ISBLANK(Charms!I3301),(VLOOKUP(Values!$S$6,Castes!$B$2:$F$25,4,0)=Charms!I3301))</f>
        <v>#N/A</v>
      </c>
      <c r="J3301" t="e">
        <f t="shared" ca="1" si="256"/>
        <v>#N/A</v>
      </c>
      <c r="K3301" s="18" t="e">
        <f t="shared" ca="1" si="255"/>
        <v>#N/A</v>
      </c>
      <c r="L3301" t="e">
        <f ca="1">IF(J3301,Charms!B3301,"")</f>
        <v>#N/A</v>
      </c>
      <c r="M3301" t="str">
        <f t="shared" ca="1" si="257"/>
        <v>-</v>
      </c>
      <c r="N3301" s="18" t="str">
        <f t="shared" si="258"/>
        <v>K1622:L5000</v>
      </c>
      <c r="O3301" t="str">
        <f t="shared" si="259"/>
        <v>A1622:A3301</v>
      </c>
    </row>
    <row r="3302" spans="1:15">
      <c r="A3302" s="18">
        <f>Charms!K3302</f>
        <v>0</v>
      </c>
      <c r="B3302">
        <f>Charms!B3302</f>
        <v>0</v>
      </c>
      <c r="C3302" t="b">
        <f ca="1">OR(Values!$S$98&gt;=Charms!M3302,IFERROR(Charms!J3302=OFFSET(Values!$A$24,MATCH("S",Values!$T$25:$T$50,0),0),FALSE))</f>
        <v>1</v>
      </c>
      <c r="D3302" t="e">
        <f>VLOOKUP(Charms!J3302,Values!$A$11:$S$59,19,0)&gt;=Charms!L3302</f>
        <v>#N/A</v>
      </c>
      <c r="E3302" t="e">
        <f>OR(ISBLANK(Charms!I3302),(VLOOKUP(Values!$S$6,Castes!$B$2:$F$25,4,0)=Charms!I3302))</f>
        <v>#N/A</v>
      </c>
      <c r="J3302" t="e">
        <f t="shared" ca="1" si="256"/>
        <v>#N/A</v>
      </c>
      <c r="K3302" s="18" t="e">
        <f t="shared" ca="1" si="255"/>
        <v>#N/A</v>
      </c>
      <c r="L3302" t="e">
        <f ca="1">IF(J3302,Charms!B3302,"")</f>
        <v>#N/A</v>
      </c>
      <c r="M3302" t="str">
        <f t="shared" ca="1" si="257"/>
        <v>-</v>
      </c>
      <c r="N3302" s="18" t="str">
        <f t="shared" si="258"/>
        <v>K1622:L5000</v>
      </c>
      <c r="O3302" t="str">
        <f t="shared" si="259"/>
        <v>A1622:A3302</v>
      </c>
    </row>
    <row r="3303" spans="1:15">
      <c r="A3303" s="18">
        <f>Charms!K3303</f>
        <v>0</v>
      </c>
      <c r="B3303">
        <f>Charms!B3303</f>
        <v>0</v>
      </c>
      <c r="C3303" t="b">
        <f ca="1">OR(Values!$S$98&gt;=Charms!M3303,IFERROR(Charms!J3303=OFFSET(Values!$A$24,MATCH("S",Values!$T$25:$T$50,0),0),FALSE))</f>
        <v>1</v>
      </c>
      <c r="D3303" t="e">
        <f>VLOOKUP(Charms!J3303,Values!$A$11:$S$59,19,0)&gt;=Charms!L3303</f>
        <v>#N/A</v>
      </c>
      <c r="E3303" t="e">
        <f>OR(ISBLANK(Charms!I3303),(VLOOKUP(Values!$S$6,Castes!$B$2:$F$25,4,0)=Charms!I3303))</f>
        <v>#N/A</v>
      </c>
      <c r="J3303" t="e">
        <f t="shared" ca="1" si="256"/>
        <v>#N/A</v>
      </c>
      <c r="K3303" s="18" t="e">
        <f t="shared" ca="1" si="255"/>
        <v>#N/A</v>
      </c>
      <c r="L3303" t="e">
        <f ca="1">IF(J3303,Charms!B3303,"")</f>
        <v>#N/A</v>
      </c>
      <c r="M3303" t="str">
        <f t="shared" ca="1" si="257"/>
        <v>-</v>
      </c>
      <c r="N3303" s="18" t="str">
        <f t="shared" si="258"/>
        <v>K1622:L5000</v>
      </c>
      <c r="O3303" t="str">
        <f t="shared" si="259"/>
        <v>A1622:A3303</v>
      </c>
    </row>
    <row r="3304" spans="1:15">
      <c r="A3304" s="18">
        <f>Charms!K3304</f>
        <v>0</v>
      </c>
      <c r="B3304">
        <f>Charms!B3304</f>
        <v>0</v>
      </c>
      <c r="C3304" t="b">
        <f ca="1">OR(Values!$S$98&gt;=Charms!M3304,IFERROR(Charms!J3304=OFFSET(Values!$A$24,MATCH("S",Values!$T$25:$T$50,0),0),FALSE))</f>
        <v>1</v>
      </c>
      <c r="D3304" t="e">
        <f>VLOOKUP(Charms!J3304,Values!$A$11:$S$59,19,0)&gt;=Charms!L3304</f>
        <v>#N/A</v>
      </c>
      <c r="E3304" t="e">
        <f>OR(ISBLANK(Charms!I3304),(VLOOKUP(Values!$S$6,Castes!$B$2:$F$25,4,0)=Charms!I3304))</f>
        <v>#N/A</v>
      </c>
      <c r="J3304" t="e">
        <f t="shared" ca="1" si="256"/>
        <v>#N/A</v>
      </c>
      <c r="K3304" s="18" t="e">
        <f t="shared" ca="1" si="255"/>
        <v>#N/A</v>
      </c>
      <c r="L3304" t="e">
        <f ca="1">IF(J3304,Charms!B3304,"")</f>
        <v>#N/A</v>
      </c>
      <c r="M3304" t="str">
        <f t="shared" ca="1" si="257"/>
        <v>-</v>
      </c>
      <c r="N3304" s="18" t="str">
        <f t="shared" si="258"/>
        <v>K1622:L5000</v>
      </c>
      <c r="O3304" t="str">
        <f t="shared" si="259"/>
        <v>A1622:A3304</v>
      </c>
    </row>
    <row r="3305" spans="1:15">
      <c r="A3305" s="18">
        <f>Charms!K3305</f>
        <v>0</v>
      </c>
      <c r="B3305">
        <f>Charms!B3305</f>
        <v>0</v>
      </c>
      <c r="C3305" t="b">
        <f ca="1">OR(Values!$S$98&gt;=Charms!M3305,IFERROR(Charms!J3305=OFFSET(Values!$A$24,MATCH("S",Values!$T$25:$T$50,0),0),FALSE))</f>
        <v>1</v>
      </c>
      <c r="D3305" t="e">
        <f>VLOOKUP(Charms!J3305,Values!$A$11:$S$59,19,0)&gt;=Charms!L3305</f>
        <v>#N/A</v>
      </c>
      <c r="E3305" t="e">
        <f>OR(ISBLANK(Charms!I3305),(VLOOKUP(Values!$S$6,Castes!$B$2:$F$25,4,0)=Charms!I3305))</f>
        <v>#N/A</v>
      </c>
      <c r="J3305" t="e">
        <f t="shared" ca="1" si="256"/>
        <v>#N/A</v>
      </c>
      <c r="K3305" s="18" t="e">
        <f t="shared" ca="1" si="255"/>
        <v>#N/A</v>
      </c>
      <c r="L3305" t="e">
        <f ca="1">IF(J3305,Charms!B3305,"")</f>
        <v>#N/A</v>
      </c>
      <c r="M3305" t="str">
        <f t="shared" ca="1" si="257"/>
        <v>-</v>
      </c>
      <c r="N3305" s="18" t="str">
        <f t="shared" si="258"/>
        <v>K1622:L5000</v>
      </c>
      <c r="O3305" t="str">
        <f t="shared" si="259"/>
        <v>A1622:A3305</v>
      </c>
    </row>
    <row r="3306" spans="1:15">
      <c r="A3306" s="18">
        <f>Charms!K3306</f>
        <v>0</v>
      </c>
      <c r="B3306">
        <f>Charms!B3306</f>
        <v>0</v>
      </c>
      <c r="C3306" t="b">
        <f ca="1">OR(Values!$S$98&gt;=Charms!M3306,IFERROR(Charms!J3306=OFFSET(Values!$A$24,MATCH("S",Values!$T$25:$T$50,0),0),FALSE))</f>
        <v>1</v>
      </c>
      <c r="D3306" t="e">
        <f>VLOOKUP(Charms!J3306,Values!$A$11:$S$59,19,0)&gt;=Charms!L3306</f>
        <v>#N/A</v>
      </c>
      <c r="E3306" t="e">
        <f>OR(ISBLANK(Charms!I3306),(VLOOKUP(Values!$S$6,Castes!$B$2:$F$25,4,0)=Charms!I3306))</f>
        <v>#N/A</v>
      </c>
      <c r="J3306" t="e">
        <f t="shared" ca="1" si="256"/>
        <v>#N/A</v>
      </c>
      <c r="K3306" s="18" t="e">
        <f t="shared" ca="1" si="255"/>
        <v>#N/A</v>
      </c>
      <c r="L3306" t="e">
        <f ca="1">IF(J3306,Charms!B3306,"")</f>
        <v>#N/A</v>
      </c>
      <c r="M3306" t="str">
        <f t="shared" ca="1" si="257"/>
        <v>-</v>
      </c>
      <c r="N3306" s="18" t="str">
        <f t="shared" si="258"/>
        <v>K1622:L5000</v>
      </c>
      <c r="O3306" t="str">
        <f t="shared" si="259"/>
        <v>A1622:A3306</v>
      </c>
    </row>
    <row r="3307" spans="1:15">
      <c r="A3307" s="18">
        <f>Charms!K3307</f>
        <v>0</v>
      </c>
      <c r="B3307">
        <f>Charms!B3307</f>
        <v>0</v>
      </c>
      <c r="C3307" t="b">
        <f ca="1">OR(Values!$S$98&gt;=Charms!M3307,IFERROR(Charms!J3307=OFFSET(Values!$A$24,MATCH("S",Values!$T$25:$T$50,0),0),FALSE))</f>
        <v>1</v>
      </c>
      <c r="D3307" t="e">
        <f>VLOOKUP(Charms!J3307,Values!$A$11:$S$59,19,0)&gt;=Charms!L3307</f>
        <v>#N/A</v>
      </c>
      <c r="E3307" t="e">
        <f>OR(ISBLANK(Charms!I3307),(VLOOKUP(Values!$S$6,Castes!$B$2:$F$25,4,0)=Charms!I3307))</f>
        <v>#N/A</v>
      </c>
      <c r="J3307" t="e">
        <f t="shared" ca="1" si="256"/>
        <v>#N/A</v>
      </c>
      <c r="K3307" s="18" t="e">
        <f t="shared" ca="1" si="255"/>
        <v>#N/A</v>
      </c>
      <c r="L3307" t="e">
        <f ca="1">IF(J3307,Charms!B3307,"")</f>
        <v>#N/A</v>
      </c>
      <c r="M3307" t="str">
        <f t="shared" ca="1" si="257"/>
        <v>-</v>
      </c>
      <c r="N3307" s="18" t="str">
        <f t="shared" si="258"/>
        <v>K1622:L5000</v>
      </c>
      <c r="O3307" t="str">
        <f t="shared" si="259"/>
        <v>A1622:A3307</v>
      </c>
    </row>
    <row r="3308" spans="1:15">
      <c r="A3308" s="18">
        <f>Charms!K3308</f>
        <v>0</v>
      </c>
      <c r="B3308">
        <f>Charms!B3308</f>
        <v>0</v>
      </c>
      <c r="C3308" t="b">
        <f ca="1">OR(Values!$S$98&gt;=Charms!M3308,IFERROR(Charms!J3308=OFFSET(Values!$A$24,MATCH("S",Values!$T$25:$T$50,0),0),FALSE))</f>
        <v>1</v>
      </c>
      <c r="D3308" t="e">
        <f>VLOOKUP(Charms!J3308,Values!$A$11:$S$59,19,0)&gt;=Charms!L3308</f>
        <v>#N/A</v>
      </c>
      <c r="E3308" t="e">
        <f>OR(ISBLANK(Charms!I3308),(VLOOKUP(Values!$S$6,Castes!$B$2:$F$25,4,0)=Charms!I3308))</f>
        <v>#N/A</v>
      </c>
      <c r="J3308" t="e">
        <f t="shared" ca="1" si="256"/>
        <v>#N/A</v>
      </c>
      <c r="K3308" s="18" t="e">
        <f t="shared" ca="1" si="255"/>
        <v>#N/A</v>
      </c>
      <c r="L3308" t="e">
        <f ca="1">IF(J3308,Charms!B3308,"")</f>
        <v>#N/A</v>
      </c>
      <c r="M3308" t="str">
        <f t="shared" ca="1" si="257"/>
        <v>-</v>
      </c>
      <c r="N3308" s="18" t="str">
        <f t="shared" si="258"/>
        <v>K1622:L5000</v>
      </c>
      <c r="O3308" t="str">
        <f t="shared" si="259"/>
        <v>A1622:A3308</v>
      </c>
    </row>
    <row r="3309" spans="1:15">
      <c r="A3309" s="18">
        <f>Charms!K3309</f>
        <v>0</v>
      </c>
      <c r="B3309">
        <f>Charms!B3309</f>
        <v>0</v>
      </c>
      <c r="C3309" t="b">
        <f ca="1">OR(Values!$S$98&gt;=Charms!M3309,IFERROR(Charms!J3309=OFFSET(Values!$A$24,MATCH("S",Values!$T$25:$T$50,0),0),FALSE))</f>
        <v>1</v>
      </c>
      <c r="D3309" t="e">
        <f>VLOOKUP(Charms!J3309,Values!$A$11:$S$59,19,0)&gt;=Charms!L3309</f>
        <v>#N/A</v>
      </c>
      <c r="E3309" t="e">
        <f>OR(ISBLANK(Charms!I3309),(VLOOKUP(Values!$S$6,Castes!$B$2:$F$25,4,0)=Charms!I3309))</f>
        <v>#N/A</v>
      </c>
      <c r="J3309" t="e">
        <f t="shared" ca="1" si="256"/>
        <v>#N/A</v>
      </c>
      <c r="K3309" s="18" t="e">
        <f t="shared" ca="1" si="255"/>
        <v>#N/A</v>
      </c>
      <c r="L3309" t="e">
        <f ca="1">IF(J3309,Charms!B3309,"")</f>
        <v>#N/A</v>
      </c>
      <c r="M3309" t="str">
        <f t="shared" ca="1" si="257"/>
        <v>-</v>
      </c>
      <c r="N3309" s="18" t="str">
        <f t="shared" si="258"/>
        <v>K1622:L5000</v>
      </c>
      <c r="O3309" t="str">
        <f t="shared" si="259"/>
        <v>A1622:A3309</v>
      </c>
    </row>
    <row r="3310" spans="1:15">
      <c r="A3310" s="18">
        <f>Charms!K3310</f>
        <v>0</v>
      </c>
      <c r="B3310">
        <f>Charms!B3310</f>
        <v>0</v>
      </c>
      <c r="C3310" t="b">
        <f ca="1">OR(Values!$S$98&gt;=Charms!M3310,IFERROR(Charms!J3310=OFFSET(Values!$A$24,MATCH("S",Values!$T$25:$T$50,0),0),FALSE))</f>
        <v>1</v>
      </c>
      <c r="D3310" t="e">
        <f>VLOOKUP(Charms!J3310,Values!$A$11:$S$59,19,0)&gt;=Charms!L3310</f>
        <v>#N/A</v>
      </c>
      <c r="E3310" t="e">
        <f>OR(ISBLANK(Charms!I3310),(VLOOKUP(Values!$S$6,Castes!$B$2:$F$25,4,0)=Charms!I3310))</f>
        <v>#N/A</v>
      </c>
      <c r="J3310" t="e">
        <f t="shared" ca="1" si="256"/>
        <v>#N/A</v>
      </c>
      <c r="K3310" s="18" t="e">
        <f t="shared" ca="1" si="255"/>
        <v>#N/A</v>
      </c>
      <c r="L3310" t="e">
        <f ca="1">IF(J3310,Charms!B3310,"")</f>
        <v>#N/A</v>
      </c>
      <c r="M3310" t="str">
        <f t="shared" ca="1" si="257"/>
        <v>-</v>
      </c>
      <c r="N3310" s="18" t="str">
        <f t="shared" si="258"/>
        <v>K1622:L5000</v>
      </c>
      <c r="O3310" t="str">
        <f t="shared" si="259"/>
        <v>A1622:A3310</v>
      </c>
    </row>
    <row r="3311" spans="1:15">
      <c r="A3311" s="18">
        <f>Charms!K3311</f>
        <v>0</v>
      </c>
      <c r="B3311">
        <f>Charms!B3311</f>
        <v>0</v>
      </c>
      <c r="C3311" t="b">
        <f ca="1">OR(Values!$S$98&gt;=Charms!M3311,IFERROR(Charms!J3311=OFFSET(Values!$A$24,MATCH("S",Values!$T$25:$T$50,0),0),FALSE))</f>
        <v>1</v>
      </c>
      <c r="D3311" t="e">
        <f>VLOOKUP(Charms!J3311,Values!$A$11:$S$59,19,0)&gt;=Charms!L3311</f>
        <v>#N/A</v>
      </c>
      <c r="E3311" t="e">
        <f>OR(ISBLANK(Charms!I3311),(VLOOKUP(Values!$S$6,Castes!$B$2:$F$25,4,0)=Charms!I3311))</f>
        <v>#N/A</v>
      </c>
      <c r="J3311" t="e">
        <f t="shared" ca="1" si="256"/>
        <v>#N/A</v>
      </c>
      <c r="K3311" s="18" t="e">
        <f t="shared" ca="1" si="255"/>
        <v>#N/A</v>
      </c>
      <c r="L3311" t="e">
        <f ca="1">IF(J3311,Charms!B3311,"")</f>
        <v>#N/A</v>
      </c>
      <c r="M3311" t="str">
        <f t="shared" ca="1" si="257"/>
        <v>-</v>
      </c>
      <c r="N3311" s="18" t="str">
        <f t="shared" si="258"/>
        <v>K1622:L5000</v>
      </c>
      <c r="O3311" t="str">
        <f t="shared" si="259"/>
        <v>A1622:A3311</v>
      </c>
    </row>
    <row r="3312" spans="1:15">
      <c r="A3312" s="18">
        <f>Charms!K3312</f>
        <v>0</v>
      </c>
      <c r="B3312">
        <f>Charms!B3312</f>
        <v>0</v>
      </c>
      <c r="C3312" t="b">
        <f ca="1">OR(Values!$S$98&gt;=Charms!M3312,IFERROR(Charms!J3312=OFFSET(Values!$A$24,MATCH("S",Values!$T$25:$T$50,0),0),FALSE))</f>
        <v>1</v>
      </c>
      <c r="D3312" t="e">
        <f>VLOOKUP(Charms!J3312,Values!$A$11:$S$59,19,0)&gt;=Charms!L3312</f>
        <v>#N/A</v>
      </c>
      <c r="E3312" t="e">
        <f>OR(ISBLANK(Charms!I3312),(VLOOKUP(Values!$S$6,Castes!$B$2:$F$25,4,0)=Charms!I3312))</f>
        <v>#N/A</v>
      </c>
      <c r="J3312" t="e">
        <f t="shared" ca="1" si="256"/>
        <v>#N/A</v>
      </c>
      <c r="K3312" s="18" t="e">
        <f t="shared" ca="1" si="255"/>
        <v>#N/A</v>
      </c>
      <c r="L3312" t="e">
        <f ca="1">IF(J3312,Charms!B3312,"")</f>
        <v>#N/A</v>
      </c>
      <c r="M3312" t="str">
        <f t="shared" ca="1" si="257"/>
        <v>-</v>
      </c>
      <c r="N3312" s="18" t="str">
        <f t="shared" si="258"/>
        <v>K1622:L5000</v>
      </c>
      <c r="O3312" t="str">
        <f t="shared" si="259"/>
        <v>A1622:A3312</v>
      </c>
    </row>
    <row r="3313" spans="1:15">
      <c r="A3313" s="18">
        <f>Charms!K3313</f>
        <v>0</v>
      </c>
      <c r="B3313">
        <f>Charms!B3313</f>
        <v>0</v>
      </c>
      <c r="C3313" t="b">
        <f ca="1">OR(Values!$S$98&gt;=Charms!M3313,IFERROR(Charms!J3313=OFFSET(Values!$A$24,MATCH("S",Values!$T$25:$T$50,0),0),FALSE))</f>
        <v>1</v>
      </c>
      <c r="D3313" t="e">
        <f>VLOOKUP(Charms!J3313,Values!$A$11:$S$59,19,0)&gt;=Charms!L3313</f>
        <v>#N/A</v>
      </c>
      <c r="E3313" t="e">
        <f>OR(ISBLANK(Charms!I3313),(VLOOKUP(Values!$S$6,Castes!$B$2:$F$25,4,0)=Charms!I3313))</f>
        <v>#N/A</v>
      </c>
      <c r="J3313" t="e">
        <f t="shared" ca="1" si="256"/>
        <v>#N/A</v>
      </c>
      <c r="K3313" s="18" t="e">
        <f t="shared" ca="1" si="255"/>
        <v>#N/A</v>
      </c>
      <c r="L3313" t="e">
        <f ca="1">IF(J3313,Charms!B3313,"")</f>
        <v>#N/A</v>
      </c>
      <c r="M3313" t="str">
        <f t="shared" ca="1" si="257"/>
        <v>-</v>
      </c>
      <c r="N3313" s="18" t="str">
        <f t="shared" si="258"/>
        <v>K1622:L5000</v>
      </c>
      <c r="O3313" t="str">
        <f t="shared" si="259"/>
        <v>A1622:A3313</v>
      </c>
    </row>
    <row r="3314" spans="1:15">
      <c r="A3314" s="18">
        <f>Charms!K3314</f>
        <v>0</v>
      </c>
      <c r="B3314">
        <f>Charms!B3314</f>
        <v>0</v>
      </c>
      <c r="C3314" t="b">
        <f ca="1">OR(Values!$S$98&gt;=Charms!M3314,IFERROR(Charms!J3314=OFFSET(Values!$A$24,MATCH("S",Values!$T$25:$T$50,0),0),FALSE))</f>
        <v>1</v>
      </c>
      <c r="D3314" t="e">
        <f>VLOOKUP(Charms!J3314,Values!$A$11:$S$59,19,0)&gt;=Charms!L3314</f>
        <v>#N/A</v>
      </c>
      <c r="E3314" t="e">
        <f>OR(ISBLANK(Charms!I3314),(VLOOKUP(Values!$S$6,Castes!$B$2:$F$25,4,0)=Charms!I3314))</f>
        <v>#N/A</v>
      </c>
      <c r="J3314" t="e">
        <f t="shared" ca="1" si="256"/>
        <v>#N/A</v>
      </c>
      <c r="K3314" s="18" t="e">
        <f t="shared" ca="1" si="255"/>
        <v>#N/A</v>
      </c>
      <c r="L3314" t="e">
        <f ca="1">IF(J3314,Charms!B3314,"")</f>
        <v>#N/A</v>
      </c>
      <c r="M3314" t="str">
        <f t="shared" ca="1" si="257"/>
        <v>-</v>
      </c>
      <c r="N3314" s="18" t="str">
        <f t="shared" si="258"/>
        <v>K1622:L5000</v>
      </c>
      <c r="O3314" t="str">
        <f t="shared" si="259"/>
        <v>A1622:A3314</v>
      </c>
    </row>
    <row r="3315" spans="1:15">
      <c r="A3315" s="18">
        <f>Charms!K3315</f>
        <v>0</v>
      </c>
      <c r="B3315">
        <f>Charms!B3315</f>
        <v>0</v>
      </c>
      <c r="C3315" t="b">
        <f ca="1">OR(Values!$S$98&gt;=Charms!M3315,IFERROR(Charms!J3315=OFFSET(Values!$A$24,MATCH("S",Values!$T$25:$T$50,0),0),FALSE))</f>
        <v>1</v>
      </c>
      <c r="D3315" t="e">
        <f>VLOOKUP(Charms!J3315,Values!$A$11:$S$59,19,0)&gt;=Charms!L3315</f>
        <v>#N/A</v>
      </c>
      <c r="E3315" t="e">
        <f>OR(ISBLANK(Charms!I3315),(VLOOKUP(Values!$S$6,Castes!$B$2:$F$25,4,0)=Charms!I3315))</f>
        <v>#N/A</v>
      </c>
      <c r="J3315" t="e">
        <f t="shared" ca="1" si="256"/>
        <v>#N/A</v>
      </c>
      <c r="K3315" s="18" t="e">
        <f t="shared" ca="1" si="255"/>
        <v>#N/A</v>
      </c>
      <c r="L3315" t="e">
        <f ca="1">IF(J3315,Charms!B3315,"")</f>
        <v>#N/A</v>
      </c>
      <c r="M3315" t="str">
        <f t="shared" ca="1" si="257"/>
        <v>-</v>
      </c>
      <c r="N3315" s="18" t="str">
        <f t="shared" si="258"/>
        <v>K1622:L5000</v>
      </c>
      <c r="O3315" t="str">
        <f t="shared" si="259"/>
        <v>A1622:A3315</v>
      </c>
    </row>
    <row r="3316" spans="1:15">
      <c r="A3316" s="18">
        <f>Charms!K3316</f>
        <v>0</v>
      </c>
      <c r="B3316">
        <f>Charms!B3316</f>
        <v>0</v>
      </c>
      <c r="C3316" t="b">
        <f ca="1">OR(Values!$S$98&gt;=Charms!M3316,IFERROR(Charms!J3316=OFFSET(Values!$A$24,MATCH("S",Values!$T$25:$T$50,0),0),FALSE))</f>
        <v>1</v>
      </c>
      <c r="D3316" t="e">
        <f>VLOOKUP(Charms!J3316,Values!$A$11:$S$59,19,0)&gt;=Charms!L3316</f>
        <v>#N/A</v>
      </c>
      <c r="E3316" t="e">
        <f>OR(ISBLANK(Charms!I3316),(VLOOKUP(Values!$S$6,Castes!$B$2:$F$25,4,0)=Charms!I3316))</f>
        <v>#N/A</v>
      </c>
      <c r="J3316" t="e">
        <f t="shared" ca="1" si="256"/>
        <v>#N/A</v>
      </c>
      <c r="K3316" s="18" t="e">
        <f t="shared" ca="1" si="255"/>
        <v>#N/A</v>
      </c>
      <c r="L3316" t="e">
        <f ca="1">IF(J3316,Charms!B3316,"")</f>
        <v>#N/A</v>
      </c>
      <c r="M3316" t="str">
        <f t="shared" ca="1" si="257"/>
        <v>-</v>
      </c>
      <c r="N3316" s="18" t="str">
        <f t="shared" si="258"/>
        <v>K1622:L5000</v>
      </c>
      <c r="O3316" t="str">
        <f t="shared" si="259"/>
        <v>A1622:A3316</v>
      </c>
    </row>
    <row r="3317" spans="1:15">
      <c r="A3317" s="18">
        <f>Charms!K3317</f>
        <v>0</v>
      </c>
      <c r="B3317">
        <f>Charms!B3317</f>
        <v>0</v>
      </c>
      <c r="C3317" t="b">
        <f ca="1">OR(Values!$S$98&gt;=Charms!M3317,IFERROR(Charms!J3317=OFFSET(Values!$A$24,MATCH("S",Values!$T$25:$T$50,0),0),FALSE))</f>
        <v>1</v>
      </c>
      <c r="D3317" t="e">
        <f>VLOOKUP(Charms!J3317,Values!$A$11:$S$59,19,0)&gt;=Charms!L3317</f>
        <v>#N/A</v>
      </c>
      <c r="E3317" t="e">
        <f>OR(ISBLANK(Charms!I3317),(VLOOKUP(Values!$S$6,Castes!$B$2:$F$25,4,0)=Charms!I3317))</f>
        <v>#N/A</v>
      </c>
      <c r="J3317" t="e">
        <f t="shared" ca="1" si="256"/>
        <v>#N/A</v>
      </c>
      <c r="K3317" s="18" t="e">
        <f t="shared" ca="1" si="255"/>
        <v>#N/A</v>
      </c>
      <c r="L3317" t="e">
        <f ca="1">IF(J3317,Charms!B3317,"")</f>
        <v>#N/A</v>
      </c>
      <c r="M3317" t="str">
        <f t="shared" ca="1" si="257"/>
        <v>-</v>
      </c>
      <c r="N3317" s="18" t="str">
        <f t="shared" si="258"/>
        <v>K1622:L5000</v>
      </c>
      <c r="O3317" t="str">
        <f t="shared" si="259"/>
        <v>A1622:A3317</v>
      </c>
    </row>
    <row r="3318" spans="1:15">
      <c r="A3318" s="18">
        <f>Charms!K3318</f>
        <v>0</v>
      </c>
      <c r="B3318">
        <f>Charms!B3318</f>
        <v>0</v>
      </c>
      <c r="C3318" t="b">
        <f ca="1">OR(Values!$S$98&gt;=Charms!M3318,IFERROR(Charms!J3318=OFFSET(Values!$A$24,MATCH("S",Values!$T$25:$T$50,0),0),FALSE))</f>
        <v>1</v>
      </c>
      <c r="D3318" t="e">
        <f>VLOOKUP(Charms!J3318,Values!$A$11:$S$59,19,0)&gt;=Charms!L3318</f>
        <v>#N/A</v>
      </c>
      <c r="E3318" t="e">
        <f>OR(ISBLANK(Charms!I3318),(VLOOKUP(Values!$S$6,Castes!$B$2:$F$25,4,0)=Charms!I3318))</f>
        <v>#N/A</v>
      </c>
      <c r="J3318" t="e">
        <f t="shared" ca="1" si="256"/>
        <v>#N/A</v>
      </c>
      <c r="K3318" s="18" t="e">
        <f t="shared" ca="1" si="255"/>
        <v>#N/A</v>
      </c>
      <c r="L3318" t="e">
        <f ca="1">IF(J3318,Charms!B3318,"")</f>
        <v>#N/A</v>
      </c>
      <c r="M3318" t="str">
        <f t="shared" ca="1" si="257"/>
        <v>-</v>
      </c>
      <c r="N3318" s="18" t="str">
        <f t="shared" si="258"/>
        <v>K1622:L5000</v>
      </c>
      <c r="O3318" t="str">
        <f t="shared" si="259"/>
        <v>A1622:A3318</v>
      </c>
    </row>
    <row r="3319" spans="1:15">
      <c r="A3319" s="18">
        <f>Charms!K3319</f>
        <v>0</v>
      </c>
      <c r="B3319">
        <f>Charms!B3319</f>
        <v>0</v>
      </c>
      <c r="C3319" t="b">
        <f ca="1">OR(Values!$S$98&gt;=Charms!M3319,IFERROR(Charms!J3319=OFFSET(Values!$A$24,MATCH("S",Values!$T$25:$T$50,0),0),FALSE))</f>
        <v>1</v>
      </c>
      <c r="D3319" t="e">
        <f>VLOOKUP(Charms!J3319,Values!$A$11:$S$59,19,0)&gt;=Charms!L3319</f>
        <v>#N/A</v>
      </c>
      <c r="E3319" t="e">
        <f>OR(ISBLANK(Charms!I3319),(VLOOKUP(Values!$S$6,Castes!$B$2:$F$25,4,0)=Charms!I3319))</f>
        <v>#N/A</v>
      </c>
      <c r="J3319" t="e">
        <f t="shared" ca="1" si="256"/>
        <v>#N/A</v>
      </c>
      <c r="K3319" s="18" t="e">
        <f t="shared" ca="1" si="255"/>
        <v>#N/A</v>
      </c>
      <c r="L3319" t="e">
        <f ca="1">IF(J3319,Charms!B3319,"")</f>
        <v>#N/A</v>
      </c>
      <c r="M3319" t="str">
        <f t="shared" ca="1" si="257"/>
        <v>-</v>
      </c>
      <c r="N3319" s="18" t="str">
        <f t="shared" si="258"/>
        <v>K1622:L5000</v>
      </c>
      <c r="O3319" t="str">
        <f t="shared" si="259"/>
        <v>A1622:A3319</v>
      </c>
    </row>
    <row r="3320" spans="1:15">
      <c r="A3320" s="18">
        <f>Charms!K3320</f>
        <v>0</v>
      </c>
      <c r="B3320">
        <f>Charms!B3320</f>
        <v>0</v>
      </c>
      <c r="C3320" t="b">
        <f ca="1">OR(Values!$S$98&gt;=Charms!M3320,IFERROR(Charms!J3320=OFFSET(Values!$A$24,MATCH("S",Values!$T$25:$T$50,0),0),FALSE))</f>
        <v>1</v>
      </c>
      <c r="D3320" t="e">
        <f>VLOOKUP(Charms!J3320,Values!$A$11:$S$59,19,0)&gt;=Charms!L3320</f>
        <v>#N/A</v>
      </c>
      <c r="E3320" t="e">
        <f>OR(ISBLANK(Charms!I3320),(VLOOKUP(Values!$S$6,Castes!$B$2:$F$25,4,0)=Charms!I3320))</f>
        <v>#N/A</v>
      </c>
      <c r="J3320" t="e">
        <f t="shared" ca="1" si="256"/>
        <v>#N/A</v>
      </c>
      <c r="K3320" s="18" t="e">
        <f t="shared" ca="1" si="255"/>
        <v>#N/A</v>
      </c>
      <c r="L3320" t="e">
        <f ca="1">IF(J3320,Charms!B3320,"")</f>
        <v>#N/A</v>
      </c>
      <c r="M3320" t="str">
        <f t="shared" ca="1" si="257"/>
        <v>-</v>
      </c>
      <c r="N3320" s="18" t="str">
        <f t="shared" si="258"/>
        <v>K1622:L5000</v>
      </c>
      <c r="O3320" t="str">
        <f t="shared" si="259"/>
        <v>A1622:A3320</v>
      </c>
    </row>
    <row r="3321" spans="1:15">
      <c r="A3321" s="18">
        <f>Charms!K3321</f>
        <v>0</v>
      </c>
      <c r="B3321">
        <f>Charms!B3321</f>
        <v>0</v>
      </c>
      <c r="C3321" t="b">
        <f ca="1">OR(Values!$S$98&gt;=Charms!M3321,IFERROR(Charms!J3321=OFFSET(Values!$A$24,MATCH("S",Values!$T$25:$T$50,0),0),FALSE))</f>
        <v>1</v>
      </c>
      <c r="D3321" t="e">
        <f>VLOOKUP(Charms!J3321,Values!$A$11:$S$59,19,0)&gt;=Charms!L3321</f>
        <v>#N/A</v>
      </c>
      <c r="E3321" t="e">
        <f>OR(ISBLANK(Charms!I3321),(VLOOKUP(Values!$S$6,Castes!$B$2:$F$25,4,0)=Charms!I3321))</f>
        <v>#N/A</v>
      </c>
      <c r="J3321" t="e">
        <f t="shared" ca="1" si="256"/>
        <v>#N/A</v>
      </c>
      <c r="K3321" s="18" t="e">
        <f t="shared" ca="1" si="255"/>
        <v>#N/A</v>
      </c>
      <c r="L3321" t="e">
        <f ca="1">IF(J3321,Charms!B3321,"")</f>
        <v>#N/A</v>
      </c>
      <c r="M3321" t="str">
        <f t="shared" ca="1" si="257"/>
        <v>-</v>
      </c>
      <c r="N3321" s="18" t="str">
        <f t="shared" si="258"/>
        <v>K1622:L5000</v>
      </c>
      <c r="O3321" t="str">
        <f t="shared" si="259"/>
        <v>A1622:A3321</v>
      </c>
    </row>
    <row r="3322" spans="1:15">
      <c r="A3322" s="18">
        <f>Charms!K3322</f>
        <v>0</v>
      </c>
      <c r="B3322">
        <f>Charms!B3322</f>
        <v>0</v>
      </c>
      <c r="C3322" t="b">
        <f ca="1">OR(Values!$S$98&gt;=Charms!M3322,IFERROR(Charms!J3322=OFFSET(Values!$A$24,MATCH("S",Values!$T$25:$T$50,0),0),FALSE))</f>
        <v>1</v>
      </c>
      <c r="D3322" t="e">
        <f>VLOOKUP(Charms!J3322,Values!$A$11:$S$59,19,0)&gt;=Charms!L3322</f>
        <v>#N/A</v>
      </c>
      <c r="E3322" t="e">
        <f>OR(ISBLANK(Charms!I3322),(VLOOKUP(Values!$S$6,Castes!$B$2:$F$25,4,0)=Charms!I3322))</f>
        <v>#N/A</v>
      </c>
      <c r="J3322" t="e">
        <f t="shared" ca="1" si="256"/>
        <v>#N/A</v>
      </c>
      <c r="K3322" s="18" t="e">
        <f t="shared" ca="1" si="255"/>
        <v>#N/A</v>
      </c>
      <c r="L3322" t="e">
        <f ca="1">IF(J3322,Charms!B3322,"")</f>
        <v>#N/A</v>
      </c>
      <c r="M3322" t="str">
        <f t="shared" ca="1" si="257"/>
        <v>-</v>
      </c>
      <c r="N3322" s="18" t="str">
        <f t="shared" si="258"/>
        <v>K1622:L5000</v>
      </c>
      <c r="O3322" t="str">
        <f t="shared" si="259"/>
        <v>A1622:A3322</v>
      </c>
    </row>
    <row r="3323" spans="1:15">
      <c r="A3323" s="18">
        <f>Charms!K3323</f>
        <v>0</v>
      </c>
      <c r="B3323">
        <f>Charms!B3323</f>
        <v>0</v>
      </c>
      <c r="C3323" t="b">
        <f ca="1">OR(Values!$S$98&gt;=Charms!M3323,IFERROR(Charms!J3323=OFFSET(Values!$A$24,MATCH("S",Values!$T$25:$T$50,0),0),FALSE))</f>
        <v>1</v>
      </c>
      <c r="D3323" t="e">
        <f>VLOOKUP(Charms!J3323,Values!$A$11:$S$59,19,0)&gt;=Charms!L3323</f>
        <v>#N/A</v>
      </c>
      <c r="E3323" t="e">
        <f>OR(ISBLANK(Charms!I3323),(VLOOKUP(Values!$S$6,Castes!$B$2:$F$25,4,0)=Charms!I3323))</f>
        <v>#N/A</v>
      </c>
      <c r="J3323" t="e">
        <f t="shared" ca="1" si="256"/>
        <v>#N/A</v>
      </c>
      <c r="K3323" s="18" t="e">
        <f t="shared" ca="1" si="255"/>
        <v>#N/A</v>
      </c>
      <c r="L3323" t="e">
        <f ca="1">IF(J3323,Charms!B3323,"")</f>
        <v>#N/A</v>
      </c>
      <c r="M3323" t="str">
        <f t="shared" ca="1" si="257"/>
        <v>-</v>
      </c>
      <c r="N3323" s="18" t="str">
        <f t="shared" si="258"/>
        <v>K1622:L5000</v>
      </c>
      <c r="O3323" t="str">
        <f t="shared" si="259"/>
        <v>A1622:A3323</v>
      </c>
    </row>
    <row r="3324" spans="1:15">
      <c r="A3324" s="18">
        <f>Charms!K3324</f>
        <v>0</v>
      </c>
      <c r="B3324">
        <f>Charms!B3324</f>
        <v>0</v>
      </c>
      <c r="C3324" t="b">
        <f ca="1">OR(Values!$S$98&gt;=Charms!M3324,IFERROR(Charms!J3324=OFFSET(Values!$A$24,MATCH("S",Values!$T$25:$T$50,0),0),FALSE))</f>
        <v>1</v>
      </c>
      <c r="D3324" t="e">
        <f>VLOOKUP(Charms!J3324,Values!$A$11:$S$59,19,0)&gt;=Charms!L3324</f>
        <v>#N/A</v>
      </c>
      <c r="E3324" t="e">
        <f>OR(ISBLANK(Charms!I3324),(VLOOKUP(Values!$S$6,Castes!$B$2:$F$25,4,0)=Charms!I3324))</f>
        <v>#N/A</v>
      </c>
      <c r="J3324" t="e">
        <f t="shared" ca="1" si="256"/>
        <v>#N/A</v>
      </c>
      <c r="K3324" s="18" t="e">
        <f t="shared" ca="1" si="255"/>
        <v>#N/A</v>
      </c>
      <c r="L3324" t="e">
        <f ca="1">IF(J3324,Charms!B3324,"")</f>
        <v>#N/A</v>
      </c>
      <c r="M3324" t="str">
        <f t="shared" ca="1" si="257"/>
        <v>-</v>
      </c>
      <c r="N3324" s="18" t="str">
        <f t="shared" si="258"/>
        <v>K1622:L5000</v>
      </c>
      <c r="O3324" t="str">
        <f t="shared" si="259"/>
        <v>A1622:A3324</v>
      </c>
    </row>
    <row r="3325" spans="1:15">
      <c r="A3325" s="18">
        <f>Charms!K3325</f>
        <v>0</v>
      </c>
      <c r="B3325">
        <f>Charms!B3325</f>
        <v>0</v>
      </c>
      <c r="C3325" t="b">
        <f ca="1">OR(Values!$S$98&gt;=Charms!M3325,IFERROR(Charms!J3325=OFFSET(Values!$A$24,MATCH("S",Values!$T$25:$T$50,0),0),FALSE))</f>
        <v>1</v>
      </c>
      <c r="D3325" t="e">
        <f>VLOOKUP(Charms!J3325,Values!$A$11:$S$59,19,0)&gt;=Charms!L3325</f>
        <v>#N/A</v>
      </c>
      <c r="E3325" t="e">
        <f>OR(ISBLANK(Charms!I3325),(VLOOKUP(Values!$S$6,Castes!$B$2:$F$25,4,0)=Charms!I3325))</f>
        <v>#N/A</v>
      </c>
      <c r="J3325" t="e">
        <f t="shared" ca="1" si="256"/>
        <v>#N/A</v>
      </c>
      <c r="K3325" s="18" t="e">
        <f t="shared" ca="1" si="255"/>
        <v>#N/A</v>
      </c>
      <c r="L3325" t="e">
        <f ca="1">IF(J3325,Charms!B3325,"")</f>
        <v>#N/A</v>
      </c>
      <c r="M3325" t="str">
        <f t="shared" ca="1" si="257"/>
        <v>-</v>
      </c>
      <c r="N3325" s="18" t="str">
        <f t="shared" si="258"/>
        <v>K1622:L5000</v>
      </c>
      <c r="O3325" t="str">
        <f t="shared" si="259"/>
        <v>A1622:A3325</v>
      </c>
    </row>
    <row r="3326" spans="1:15">
      <c r="A3326" s="18">
        <f>Charms!K3326</f>
        <v>0</v>
      </c>
      <c r="B3326">
        <f>Charms!B3326</f>
        <v>0</v>
      </c>
      <c r="C3326" t="b">
        <f ca="1">OR(Values!$S$98&gt;=Charms!M3326,IFERROR(Charms!J3326=OFFSET(Values!$A$24,MATCH("S",Values!$T$25:$T$50,0),0),FALSE))</f>
        <v>1</v>
      </c>
      <c r="D3326" t="e">
        <f>VLOOKUP(Charms!J3326,Values!$A$11:$S$59,19,0)&gt;=Charms!L3326</f>
        <v>#N/A</v>
      </c>
      <c r="E3326" t="e">
        <f>OR(ISBLANK(Charms!I3326),(VLOOKUP(Values!$S$6,Castes!$B$2:$F$25,4,0)=Charms!I3326))</f>
        <v>#N/A</v>
      </c>
      <c r="J3326" t="e">
        <f t="shared" ca="1" si="256"/>
        <v>#N/A</v>
      </c>
      <c r="K3326" s="18" t="e">
        <f t="shared" ca="1" si="255"/>
        <v>#N/A</v>
      </c>
      <c r="L3326" t="e">
        <f ca="1">IF(J3326,Charms!B3326,"")</f>
        <v>#N/A</v>
      </c>
      <c r="M3326" t="str">
        <f t="shared" ca="1" si="257"/>
        <v>-</v>
      </c>
      <c r="N3326" s="18" t="str">
        <f t="shared" si="258"/>
        <v>K1622:L5000</v>
      </c>
      <c r="O3326" t="str">
        <f t="shared" si="259"/>
        <v>A1622:A3326</v>
      </c>
    </row>
    <row r="3327" spans="1:15">
      <c r="A3327" s="18">
        <f>Charms!K3327</f>
        <v>0</v>
      </c>
      <c r="B3327">
        <f>Charms!B3327</f>
        <v>0</v>
      </c>
      <c r="C3327" t="b">
        <f ca="1">OR(Values!$S$98&gt;=Charms!M3327,IFERROR(Charms!J3327=OFFSET(Values!$A$24,MATCH("S",Values!$T$25:$T$50,0),0),FALSE))</f>
        <v>1</v>
      </c>
      <c r="D3327" t="e">
        <f>VLOOKUP(Charms!J3327,Values!$A$11:$S$59,19,0)&gt;=Charms!L3327</f>
        <v>#N/A</v>
      </c>
      <c r="E3327" t="e">
        <f>OR(ISBLANK(Charms!I3327),(VLOOKUP(Values!$S$6,Castes!$B$2:$F$25,4,0)=Charms!I3327))</f>
        <v>#N/A</v>
      </c>
      <c r="J3327" t="e">
        <f t="shared" ca="1" si="256"/>
        <v>#N/A</v>
      </c>
      <c r="K3327" s="18" t="e">
        <f t="shared" ca="1" si="255"/>
        <v>#N/A</v>
      </c>
      <c r="L3327" t="e">
        <f ca="1">IF(J3327,Charms!B3327,"")</f>
        <v>#N/A</v>
      </c>
      <c r="M3327" t="str">
        <f t="shared" ca="1" si="257"/>
        <v>-</v>
      </c>
      <c r="N3327" s="18" t="str">
        <f t="shared" si="258"/>
        <v>K1622:L5000</v>
      </c>
      <c r="O3327" t="str">
        <f t="shared" si="259"/>
        <v>A1622:A3327</v>
      </c>
    </row>
    <row r="3328" spans="1:15">
      <c r="A3328" s="18">
        <f>Charms!K3328</f>
        <v>0</v>
      </c>
      <c r="B3328">
        <f>Charms!B3328</f>
        <v>0</v>
      </c>
      <c r="C3328" t="b">
        <f ca="1">OR(Values!$S$98&gt;=Charms!M3328,IFERROR(Charms!J3328=OFFSET(Values!$A$24,MATCH("S",Values!$T$25:$T$50,0),0),FALSE))</f>
        <v>1</v>
      </c>
      <c r="D3328" t="e">
        <f>VLOOKUP(Charms!J3328,Values!$A$11:$S$59,19,0)&gt;=Charms!L3328</f>
        <v>#N/A</v>
      </c>
      <c r="E3328" t="e">
        <f>OR(ISBLANK(Charms!I3328),(VLOOKUP(Values!$S$6,Castes!$B$2:$F$25,4,0)=Charms!I3328))</f>
        <v>#N/A</v>
      </c>
      <c r="J3328" t="e">
        <f t="shared" ca="1" si="256"/>
        <v>#N/A</v>
      </c>
      <c r="K3328" s="18" t="e">
        <f t="shared" ca="1" si="255"/>
        <v>#N/A</v>
      </c>
      <c r="L3328" t="e">
        <f ca="1">IF(J3328,Charms!B3328,"")</f>
        <v>#N/A</v>
      </c>
      <c r="M3328" t="str">
        <f t="shared" ca="1" si="257"/>
        <v>-</v>
      </c>
      <c r="N3328" s="18" t="str">
        <f t="shared" si="258"/>
        <v>K1622:L5000</v>
      </c>
      <c r="O3328" t="str">
        <f t="shared" si="259"/>
        <v>A1622:A3328</v>
      </c>
    </row>
    <row r="3329" spans="1:15">
      <c r="A3329" s="18">
        <f>Charms!K3329</f>
        <v>0</v>
      </c>
      <c r="B3329">
        <f>Charms!B3329</f>
        <v>0</v>
      </c>
      <c r="C3329" t="b">
        <f ca="1">OR(Values!$S$98&gt;=Charms!M3329,IFERROR(Charms!J3329=OFFSET(Values!$A$24,MATCH("S",Values!$T$25:$T$50,0),0),FALSE))</f>
        <v>1</v>
      </c>
      <c r="D3329" t="e">
        <f>VLOOKUP(Charms!J3329,Values!$A$11:$S$59,19,0)&gt;=Charms!L3329</f>
        <v>#N/A</v>
      </c>
      <c r="E3329" t="e">
        <f>OR(ISBLANK(Charms!I3329),(VLOOKUP(Values!$S$6,Castes!$B$2:$F$25,4,0)=Charms!I3329))</f>
        <v>#N/A</v>
      </c>
      <c r="J3329" t="e">
        <f t="shared" ca="1" si="256"/>
        <v>#N/A</v>
      </c>
      <c r="K3329" s="18" t="e">
        <f t="shared" ca="1" si="255"/>
        <v>#N/A</v>
      </c>
      <c r="L3329" t="e">
        <f ca="1">IF(J3329,Charms!B3329,"")</f>
        <v>#N/A</v>
      </c>
      <c r="M3329" t="str">
        <f t="shared" ca="1" si="257"/>
        <v>-</v>
      </c>
      <c r="N3329" s="18" t="str">
        <f t="shared" si="258"/>
        <v>K1622:L5000</v>
      </c>
      <c r="O3329" t="str">
        <f t="shared" si="259"/>
        <v>A1622:A3329</v>
      </c>
    </row>
    <row r="3330" spans="1:15">
      <c r="A3330" s="18">
        <f>Charms!K3330</f>
        <v>0</v>
      </c>
      <c r="B3330">
        <f>Charms!B3330</f>
        <v>0</v>
      </c>
      <c r="C3330" t="b">
        <f ca="1">OR(Values!$S$98&gt;=Charms!M3330,IFERROR(Charms!J3330=OFFSET(Values!$A$24,MATCH("S",Values!$T$25:$T$50,0),0),FALSE))</f>
        <v>1</v>
      </c>
      <c r="D3330" t="e">
        <f>VLOOKUP(Charms!J3330,Values!$A$11:$S$59,19,0)&gt;=Charms!L3330</f>
        <v>#N/A</v>
      </c>
      <c r="E3330" t="e">
        <f>OR(ISBLANK(Charms!I3330),(VLOOKUP(Values!$S$6,Castes!$B$2:$F$25,4,0)=Charms!I3330))</f>
        <v>#N/A</v>
      </c>
      <c r="J3330" t="e">
        <f t="shared" ca="1" si="256"/>
        <v>#N/A</v>
      </c>
      <c r="K3330" s="18" t="e">
        <f t="shared" ref="K3330:K3393" ca="1" si="260">IF(L3330="","",COUNTIF(INDIRECT("J"&amp;MATCH(A3330,A:A,0)&amp;":J"&amp;ROW()),J3330))</f>
        <v>#N/A</v>
      </c>
      <c r="L3330" t="e">
        <f ca="1">IF(J3330,Charms!B3330,"")</f>
        <v>#N/A</v>
      </c>
      <c r="M3330" t="str">
        <f t="shared" ca="1" si="257"/>
        <v>-</v>
      </c>
      <c r="N3330" s="18" t="str">
        <f t="shared" si="258"/>
        <v>K1622:L5000</v>
      </c>
      <c r="O3330" t="str">
        <f t="shared" si="259"/>
        <v>A1622:A3330</v>
      </c>
    </row>
    <row r="3331" spans="1:15">
      <c r="A3331" s="18">
        <f>Charms!K3331</f>
        <v>0</v>
      </c>
      <c r="B3331">
        <f>Charms!B3331</f>
        <v>0</v>
      </c>
      <c r="C3331" t="b">
        <f ca="1">OR(Values!$S$98&gt;=Charms!M3331,IFERROR(Charms!J3331=OFFSET(Values!$A$24,MATCH("S",Values!$T$25:$T$50,0),0),FALSE))</f>
        <v>1</v>
      </c>
      <c r="D3331" t="e">
        <f>VLOOKUP(Charms!J3331,Values!$A$11:$S$59,19,0)&gt;=Charms!L3331</f>
        <v>#N/A</v>
      </c>
      <c r="E3331" t="e">
        <f>OR(ISBLANK(Charms!I3331),(VLOOKUP(Values!$S$6,Castes!$B$2:$F$25,4,0)=Charms!I3331))</f>
        <v>#N/A</v>
      </c>
      <c r="J3331" t="e">
        <f t="shared" ref="J3331:J3394" ca="1" si="261">(C3331+D3331+E3331+F3331+G3331+H3331+I3331)=3</f>
        <v>#N/A</v>
      </c>
      <c r="K3331" s="18" t="e">
        <f t="shared" ca="1" si="260"/>
        <v>#N/A</v>
      </c>
      <c r="L3331" t="e">
        <f ca="1">IF(J3331,Charms!B3331,"")</f>
        <v>#N/A</v>
      </c>
      <c r="M3331" t="str">
        <f t="shared" ref="M3331:M3394" ca="1" si="262">IFERROR(VLOOKUP(COUNTIF(INDIRECT(O3331),A3331),INDIRECT(N3331),2,0),"-")</f>
        <v>-</v>
      </c>
      <c r="N3331" s="18" t="str">
        <f t="shared" ref="N3331:N3394" si="263">"K"&amp;MATCH(A3331,A:A,0)&amp;":L"&amp;(MATCH(A3331,A:A,0)+COUNTIF(A:A,A3331)-1)</f>
        <v>K1622:L5000</v>
      </c>
      <c r="O3331" t="str">
        <f t="shared" ref="O3331:O3394" si="264">"A"&amp;MATCH(A3331,A:A,0)&amp;":A"&amp;ROW()</f>
        <v>A1622:A3331</v>
      </c>
    </row>
    <row r="3332" spans="1:15">
      <c r="A3332" s="18">
        <f>Charms!K3332</f>
        <v>0</v>
      </c>
      <c r="B3332">
        <f>Charms!B3332</f>
        <v>0</v>
      </c>
      <c r="C3332" t="b">
        <f ca="1">OR(Values!$S$98&gt;=Charms!M3332,IFERROR(Charms!J3332=OFFSET(Values!$A$24,MATCH("S",Values!$T$25:$T$50,0),0),FALSE))</f>
        <v>1</v>
      </c>
      <c r="D3332" t="e">
        <f>VLOOKUP(Charms!J3332,Values!$A$11:$S$59,19,0)&gt;=Charms!L3332</f>
        <v>#N/A</v>
      </c>
      <c r="E3332" t="e">
        <f>OR(ISBLANK(Charms!I3332),(VLOOKUP(Values!$S$6,Castes!$B$2:$F$25,4,0)=Charms!I3332))</f>
        <v>#N/A</v>
      </c>
      <c r="J3332" t="e">
        <f t="shared" ca="1" si="261"/>
        <v>#N/A</v>
      </c>
      <c r="K3332" s="18" t="e">
        <f t="shared" ca="1" si="260"/>
        <v>#N/A</v>
      </c>
      <c r="L3332" t="e">
        <f ca="1">IF(J3332,Charms!B3332,"")</f>
        <v>#N/A</v>
      </c>
      <c r="M3332" t="str">
        <f t="shared" ca="1" si="262"/>
        <v>-</v>
      </c>
      <c r="N3332" s="18" t="str">
        <f t="shared" si="263"/>
        <v>K1622:L5000</v>
      </c>
      <c r="O3332" t="str">
        <f t="shared" si="264"/>
        <v>A1622:A3332</v>
      </c>
    </row>
    <row r="3333" spans="1:15">
      <c r="A3333" s="18">
        <f>Charms!K3333</f>
        <v>0</v>
      </c>
      <c r="B3333">
        <f>Charms!B3333</f>
        <v>0</v>
      </c>
      <c r="C3333" t="b">
        <f ca="1">OR(Values!$S$98&gt;=Charms!M3333,IFERROR(Charms!J3333=OFFSET(Values!$A$24,MATCH("S",Values!$T$25:$T$50,0),0),FALSE))</f>
        <v>1</v>
      </c>
      <c r="D3333" t="e">
        <f>VLOOKUP(Charms!J3333,Values!$A$11:$S$59,19,0)&gt;=Charms!L3333</f>
        <v>#N/A</v>
      </c>
      <c r="E3333" t="e">
        <f>OR(ISBLANK(Charms!I3333),(VLOOKUP(Values!$S$6,Castes!$B$2:$F$25,4,0)=Charms!I3333))</f>
        <v>#N/A</v>
      </c>
      <c r="J3333" t="e">
        <f t="shared" ca="1" si="261"/>
        <v>#N/A</v>
      </c>
      <c r="K3333" s="18" t="e">
        <f t="shared" ca="1" si="260"/>
        <v>#N/A</v>
      </c>
      <c r="L3333" t="e">
        <f ca="1">IF(J3333,Charms!B3333,"")</f>
        <v>#N/A</v>
      </c>
      <c r="M3333" t="str">
        <f t="shared" ca="1" si="262"/>
        <v>-</v>
      </c>
      <c r="N3333" s="18" t="str">
        <f t="shared" si="263"/>
        <v>K1622:L5000</v>
      </c>
      <c r="O3333" t="str">
        <f t="shared" si="264"/>
        <v>A1622:A3333</v>
      </c>
    </row>
    <row r="3334" spans="1:15">
      <c r="A3334" s="18">
        <f>Charms!K3334</f>
        <v>0</v>
      </c>
      <c r="B3334">
        <f>Charms!B3334</f>
        <v>0</v>
      </c>
      <c r="C3334" t="b">
        <f ca="1">OR(Values!$S$98&gt;=Charms!M3334,IFERROR(Charms!J3334=OFFSET(Values!$A$24,MATCH("S",Values!$T$25:$T$50,0),0),FALSE))</f>
        <v>1</v>
      </c>
      <c r="D3334" t="e">
        <f>VLOOKUP(Charms!J3334,Values!$A$11:$S$59,19,0)&gt;=Charms!L3334</f>
        <v>#N/A</v>
      </c>
      <c r="E3334" t="e">
        <f>OR(ISBLANK(Charms!I3334),(VLOOKUP(Values!$S$6,Castes!$B$2:$F$25,4,0)=Charms!I3334))</f>
        <v>#N/A</v>
      </c>
      <c r="J3334" t="e">
        <f t="shared" ca="1" si="261"/>
        <v>#N/A</v>
      </c>
      <c r="K3334" s="18" t="e">
        <f t="shared" ca="1" si="260"/>
        <v>#N/A</v>
      </c>
      <c r="L3334" t="e">
        <f ca="1">IF(J3334,Charms!B3334,"")</f>
        <v>#N/A</v>
      </c>
      <c r="M3334" t="str">
        <f t="shared" ca="1" si="262"/>
        <v>-</v>
      </c>
      <c r="N3334" s="18" t="str">
        <f t="shared" si="263"/>
        <v>K1622:L5000</v>
      </c>
      <c r="O3334" t="str">
        <f t="shared" si="264"/>
        <v>A1622:A3334</v>
      </c>
    </row>
    <row r="3335" spans="1:15">
      <c r="A3335" s="18">
        <f>Charms!K3335</f>
        <v>0</v>
      </c>
      <c r="B3335">
        <f>Charms!B3335</f>
        <v>0</v>
      </c>
      <c r="C3335" t="b">
        <f ca="1">OR(Values!$S$98&gt;=Charms!M3335,IFERROR(Charms!J3335=OFFSET(Values!$A$24,MATCH("S",Values!$T$25:$T$50,0),0),FALSE))</f>
        <v>1</v>
      </c>
      <c r="D3335" t="e">
        <f>VLOOKUP(Charms!J3335,Values!$A$11:$S$59,19,0)&gt;=Charms!L3335</f>
        <v>#N/A</v>
      </c>
      <c r="E3335" t="e">
        <f>OR(ISBLANK(Charms!I3335),(VLOOKUP(Values!$S$6,Castes!$B$2:$F$25,4,0)=Charms!I3335))</f>
        <v>#N/A</v>
      </c>
      <c r="J3335" t="e">
        <f t="shared" ca="1" si="261"/>
        <v>#N/A</v>
      </c>
      <c r="K3335" s="18" t="e">
        <f t="shared" ca="1" si="260"/>
        <v>#N/A</v>
      </c>
      <c r="L3335" t="e">
        <f ca="1">IF(J3335,Charms!B3335,"")</f>
        <v>#N/A</v>
      </c>
      <c r="M3335" t="str">
        <f t="shared" ca="1" si="262"/>
        <v>-</v>
      </c>
      <c r="N3335" s="18" t="str">
        <f t="shared" si="263"/>
        <v>K1622:L5000</v>
      </c>
      <c r="O3335" t="str">
        <f t="shared" si="264"/>
        <v>A1622:A3335</v>
      </c>
    </row>
    <row r="3336" spans="1:15">
      <c r="A3336" s="18">
        <f>Charms!K3336</f>
        <v>0</v>
      </c>
      <c r="B3336">
        <f>Charms!B3336</f>
        <v>0</v>
      </c>
      <c r="C3336" t="b">
        <f ca="1">OR(Values!$S$98&gt;=Charms!M3336,IFERROR(Charms!J3336=OFFSET(Values!$A$24,MATCH("S",Values!$T$25:$T$50,0),0),FALSE))</f>
        <v>1</v>
      </c>
      <c r="D3336" t="e">
        <f>VLOOKUP(Charms!J3336,Values!$A$11:$S$59,19,0)&gt;=Charms!L3336</f>
        <v>#N/A</v>
      </c>
      <c r="E3336" t="e">
        <f>OR(ISBLANK(Charms!I3336),(VLOOKUP(Values!$S$6,Castes!$B$2:$F$25,4,0)=Charms!I3336))</f>
        <v>#N/A</v>
      </c>
      <c r="J3336" t="e">
        <f t="shared" ca="1" si="261"/>
        <v>#N/A</v>
      </c>
      <c r="K3336" s="18" t="e">
        <f t="shared" ca="1" si="260"/>
        <v>#N/A</v>
      </c>
      <c r="L3336" t="e">
        <f ca="1">IF(J3336,Charms!B3336,"")</f>
        <v>#N/A</v>
      </c>
      <c r="M3336" t="str">
        <f t="shared" ca="1" si="262"/>
        <v>-</v>
      </c>
      <c r="N3336" s="18" t="str">
        <f t="shared" si="263"/>
        <v>K1622:L5000</v>
      </c>
      <c r="O3336" t="str">
        <f t="shared" si="264"/>
        <v>A1622:A3336</v>
      </c>
    </row>
    <row r="3337" spans="1:15">
      <c r="A3337" s="18">
        <f>Charms!K3337</f>
        <v>0</v>
      </c>
      <c r="B3337">
        <f>Charms!B3337</f>
        <v>0</v>
      </c>
      <c r="C3337" t="b">
        <f ca="1">OR(Values!$S$98&gt;=Charms!M3337,IFERROR(Charms!J3337=OFFSET(Values!$A$24,MATCH("S",Values!$T$25:$T$50,0),0),FALSE))</f>
        <v>1</v>
      </c>
      <c r="D3337" t="e">
        <f>VLOOKUP(Charms!J3337,Values!$A$11:$S$59,19,0)&gt;=Charms!L3337</f>
        <v>#N/A</v>
      </c>
      <c r="E3337" t="e">
        <f>OR(ISBLANK(Charms!I3337),(VLOOKUP(Values!$S$6,Castes!$B$2:$F$25,4,0)=Charms!I3337))</f>
        <v>#N/A</v>
      </c>
      <c r="J3337" t="e">
        <f t="shared" ca="1" si="261"/>
        <v>#N/A</v>
      </c>
      <c r="K3337" s="18" t="e">
        <f t="shared" ca="1" si="260"/>
        <v>#N/A</v>
      </c>
      <c r="L3337" t="e">
        <f ca="1">IF(J3337,Charms!B3337,"")</f>
        <v>#N/A</v>
      </c>
      <c r="M3337" t="str">
        <f t="shared" ca="1" si="262"/>
        <v>-</v>
      </c>
      <c r="N3337" s="18" t="str">
        <f t="shared" si="263"/>
        <v>K1622:L5000</v>
      </c>
      <c r="O3337" t="str">
        <f t="shared" si="264"/>
        <v>A1622:A3337</v>
      </c>
    </row>
    <row r="3338" spans="1:15">
      <c r="A3338" s="18">
        <f>Charms!K3338</f>
        <v>0</v>
      </c>
      <c r="B3338">
        <f>Charms!B3338</f>
        <v>0</v>
      </c>
      <c r="C3338" t="b">
        <f ca="1">OR(Values!$S$98&gt;=Charms!M3338,IFERROR(Charms!J3338=OFFSET(Values!$A$24,MATCH("S",Values!$T$25:$T$50,0),0),FALSE))</f>
        <v>1</v>
      </c>
      <c r="D3338" t="e">
        <f>VLOOKUP(Charms!J3338,Values!$A$11:$S$59,19,0)&gt;=Charms!L3338</f>
        <v>#N/A</v>
      </c>
      <c r="E3338" t="e">
        <f>OR(ISBLANK(Charms!I3338),(VLOOKUP(Values!$S$6,Castes!$B$2:$F$25,4,0)=Charms!I3338))</f>
        <v>#N/A</v>
      </c>
      <c r="J3338" t="e">
        <f t="shared" ca="1" si="261"/>
        <v>#N/A</v>
      </c>
      <c r="K3338" s="18" t="e">
        <f t="shared" ca="1" si="260"/>
        <v>#N/A</v>
      </c>
      <c r="L3338" t="e">
        <f ca="1">IF(J3338,Charms!B3338,"")</f>
        <v>#N/A</v>
      </c>
      <c r="M3338" t="str">
        <f t="shared" ca="1" si="262"/>
        <v>-</v>
      </c>
      <c r="N3338" s="18" t="str">
        <f t="shared" si="263"/>
        <v>K1622:L5000</v>
      </c>
      <c r="O3338" t="str">
        <f t="shared" si="264"/>
        <v>A1622:A3338</v>
      </c>
    </row>
    <row r="3339" spans="1:15">
      <c r="A3339" s="18">
        <f>Charms!K3339</f>
        <v>0</v>
      </c>
      <c r="B3339">
        <f>Charms!B3339</f>
        <v>0</v>
      </c>
      <c r="C3339" t="b">
        <f ca="1">OR(Values!$S$98&gt;=Charms!M3339,IFERROR(Charms!J3339=OFFSET(Values!$A$24,MATCH("S",Values!$T$25:$T$50,0),0),FALSE))</f>
        <v>1</v>
      </c>
      <c r="D3339" t="e">
        <f>VLOOKUP(Charms!J3339,Values!$A$11:$S$59,19,0)&gt;=Charms!L3339</f>
        <v>#N/A</v>
      </c>
      <c r="E3339" t="e">
        <f>OR(ISBLANK(Charms!I3339),(VLOOKUP(Values!$S$6,Castes!$B$2:$F$25,4,0)=Charms!I3339))</f>
        <v>#N/A</v>
      </c>
      <c r="J3339" t="e">
        <f t="shared" ca="1" si="261"/>
        <v>#N/A</v>
      </c>
      <c r="K3339" s="18" t="e">
        <f t="shared" ca="1" si="260"/>
        <v>#N/A</v>
      </c>
      <c r="L3339" t="e">
        <f ca="1">IF(J3339,Charms!B3339,"")</f>
        <v>#N/A</v>
      </c>
      <c r="M3339" t="str">
        <f t="shared" ca="1" si="262"/>
        <v>-</v>
      </c>
      <c r="N3339" s="18" t="str">
        <f t="shared" si="263"/>
        <v>K1622:L5000</v>
      </c>
      <c r="O3339" t="str">
        <f t="shared" si="264"/>
        <v>A1622:A3339</v>
      </c>
    </row>
    <row r="3340" spans="1:15">
      <c r="A3340" s="18">
        <f>Charms!K3340</f>
        <v>0</v>
      </c>
      <c r="B3340">
        <f>Charms!B3340</f>
        <v>0</v>
      </c>
      <c r="C3340" t="b">
        <f ca="1">OR(Values!$S$98&gt;=Charms!M3340,IFERROR(Charms!J3340=OFFSET(Values!$A$24,MATCH("S",Values!$T$25:$T$50,0),0),FALSE))</f>
        <v>1</v>
      </c>
      <c r="D3340" t="e">
        <f>VLOOKUP(Charms!J3340,Values!$A$11:$S$59,19,0)&gt;=Charms!L3340</f>
        <v>#N/A</v>
      </c>
      <c r="E3340" t="e">
        <f>OR(ISBLANK(Charms!I3340),(VLOOKUP(Values!$S$6,Castes!$B$2:$F$25,4,0)=Charms!I3340))</f>
        <v>#N/A</v>
      </c>
      <c r="J3340" t="e">
        <f t="shared" ca="1" si="261"/>
        <v>#N/A</v>
      </c>
      <c r="K3340" s="18" t="e">
        <f t="shared" ca="1" si="260"/>
        <v>#N/A</v>
      </c>
      <c r="L3340" t="e">
        <f ca="1">IF(J3340,Charms!B3340,"")</f>
        <v>#N/A</v>
      </c>
      <c r="M3340" t="str">
        <f t="shared" ca="1" si="262"/>
        <v>-</v>
      </c>
      <c r="N3340" s="18" t="str">
        <f t="shared" si="263"/>
        <v>K1622:L5000</v>
      </c>
      <c r="O3340" t="str">
        <f t="shared" si="264"/>
        <v>A1622:A3340</v>
      </c>
    </row>
    <row r="3341" spans="1:15">
      <c r="A3341" s="18">
        <f>Charms!K3341</f>
        <v>0</v>
      </c>
      <c r="B3341">
        <f>Charms!B3341</f>
        <v>0</v>
      </c>
      <c r="C3341" t="b">
        <f ca="1">OR(Values!$S$98&gt;=Charms!M3341,IFERROR(Charms!J3341=OFFSET(Values!$A$24,MATCH("S",Values!$T$25:$T$50,0),0),FALSE))</f>
        <v>1</v>
      </c>
      <c r="D3341" t="e">
        <f>VLOOKUP(Charms!J3341,Values!$A$11:$S$59,19,0)&gt;=Charms!L3341</f>
        <v>#N/A</v>
      </c>
      <c r="E3341" t="e">
        <f>OR(ISBLANK(Charms!I3341),(VLOOKUP(Values!$S$6,Castes!$B$2:$F$25,4,0)=Charms!I3341))</f>
        <v>#N/A</v>
      </c>
      <c r="J3341" t="e">
        <f t="shared" ca="1" si="261"/>
        <v>#N/A</v>
      </c>
      <c r="K3341" s="18" t="e">
        <f t="shared" ca="1" si="260"/>
        <v>#N/A</v>
      </c>
      <c r="L3341" t="e">
        <f ca="1">IF(J3341,Charms!B3341,"")</f>
        <v>#N/A</v>
      </c>
      <c r="M3341" t="str">
        <f t="shared" ca="1" si="262"/>
        <v>-</v>
      </c>
      <c r="N3341" s="18" t="str">
        <f t="shared" si="263"/>
        <v>K1622:L5000</v>
      </c>
      <c r="O3341" t="str">
        <f t="shared" si="264"/>
        <v>A1622:A3341</v>
      </c>
    </row>
    <row r="3342" spans="1:15">
      <c r="A3342" s="18">
        <f>Charms!K3342</f>
        <v>0</v>
      </c>
      <c r="B3342">
        <f>Charms!B3342</f>
        <v>0</v>
      </c>
      <c r="C3342" t="b">
        <f ca="1">OR(Values!$S$98&gt;=Charms!M3342,IFERROR(Charms!J3342=OFFSET(Values!$A$24,MATCH("S",Values!$T$25:$T$50,0),0),FALSE))</f>
        <v>1</v>
      </c>
      <c r="D3342" t="e">
        <f>VLOOKUP(Charms!J3342,Values!$A$11:$S$59,19,0)&gt;=Charms!L3342</f>
        <v>#N/A</v>
      </c>
      <c r="E3342" t="e">
        <f>OR(ISBLANK(Charms!I3342),(VLOOKUP(Values!$S$6,Castes!$B$2:$F$25,4,0)=Charms!I3342))</f>
        <v>#N/A</v>
      </c>
      <c r="J3342" t="e">
        <f t="shared" ca="1" si="261"/>
        <v>#N/A</v>
      </c>
      <c r="K3342" s="18" t="e">
        <f t="shared" ca="1" si="260"/>
        <v>#N/A</v>
      </c>
      <c r="L3342" t="e">
        <f ca="1">IF(J3342,Charms!B3342,"")</f>
        <v>#N/A</v>
      </c>
      <c r="M3342" t="str">
        <f t="shared" ca="1" si="262"/>
        <v>-</v>
      </c>
      <c r="N3342" s="18" t="str">
        <f t="shared" si="263"/>
        <v>K1622:L5000</v>
      </c>
      <c r="O3342" t="str">
        <f t="shared" si="264"/>
        <v>A1622:A3342</v>
      </c>
    </row>
    <row r="3343" spans="1:15">
      <c r="A3343" s="18">
        <f>Charms!K3343</f>
        <v>0</v>
      </c>
      <c r="B3343">
        <f>Charms!B3343</f>
        <v>0</v>
      </c>
      <c r="C3343" t="b">
        <f ca="1">OR(Values!$S$98&gt;=Charms!M3343,IFERROR(Charms!J3343=OFFSET(Values!$A$24,MATCH("S",Values!$T$25:$T$50,0),0),FALSE))</f>
        <v>1</v>
      </c>
      <c r="D3343" t="e">
        <f>VLOOKUP(Charms!J3343,Values!$A$11:$S$59,19,0)&gt;=Charms!L3343</f>
        <v>#N/A</v>
      </c>
      <c r="E3343" t="e">
        <f>OR(ISBLANK(Charms!I3343),(VLOOKUP(Values!$S$6,Castes!$B$2:$F$25,4,0)=Charms!I3343))</f>
        <v>#N/A</v>
      </c>
      <c r="J3343" t="e">
        <f t="shared" ca="1" si="261"/>
        <v>#N/A</v>
      </c>
      <c r="K3343" s="18" t="e">
        <f t="shared" ca="1" si="260"/>
        <v>#N/A</v>
      </c>
      <c r="L3343" t="e">
        <f ca="1">IF(J3343,Charms!B3343,"")</f>
        <v>#N/A</v>
      </c>
      <c r="M3343" t="str">
        <f t="shared" ca="1" si="262"/>
        <v>-</v>
      </c>
      <c r="N3343" s="18" t="str">
        <f t="shared" si="263"/>
        <v>K1622:L5000</v>
      </c>
      <c r="O3343" t="str">
        <f t="shared" si="264"/>
        <v>A1622:A3343</v>
      </c>
    </row>
    <row r="3344" spans="1:15">
      <c r="A3344" s="18">
        <f>Charms!K3344</f>
        <v>0</v>
      </c>
      <c r="B3344">
        <f>Charms!B3344</f>
        <v>0</v>
      </c>
      <c r="C3344" t="b">
        <f ca="1">OR(Values!$S$98&gt;=Charms!M3344,IFERROR(Charms!J3344=OFFSET(Values!$A$24,MATCH("S",Values!$T$25:$T$50,0),0),FALSE))</f>
        <v>1</v>
      </c>
      <c r="D3344" t="e">
        <f>VLOOKUP(Charms!J3344,Values!$A$11:$S$59,19,0)&gt;=Charms!L3344</f>
        <v>#N/A</v>
      </c>
      <c r="E3344" t="e">
        <f>OR(ISBLANK(Charms!I3344),(VLOOKUP(Values!$S$6,Castes!$B$2:$F$25,4,0)=Charms!I3344))</f>
        <v>#N/A</v>
      </c>
      <c r="J3344" t="e">
        <f t="shared" ca="1" si="261"/>
        <v>#N/A</v>
      </c>
      <c r="K3344" s="18" t="e">
        <f t="shared" ca="1" si="260"/>
        <v>#N/A</v>
      </c>
      <c r="L3344" t="e">
        <f ca="1">IF(J3344,Charms!B3344,"")</f>
        <v>#N/A</v>
      </c>
      <c r="M3344" t="str">
        <f t="shared" ca="1" si="262"/>
        <v>-</v>
      </c>
      <c r="N3344" s="18" t="str">
        <f t="shared" si="263"/>
        <v>K1622:L5000</v>
      </c>
      <c r="O3344" t="str">
        <f t="shared" si="264"/>
        <v>A1622:A3344</v>
      </c>
    </row>
    <row r="3345" spans="1:15">
      <c r="A3345" s="18">
        <f>Charms!K3345</f>
        <v>0</v>
      </c>
      <c r="B3345">
        <f>Charms!B3345</f>
        <v>0</v>
      </c>
      <c r="C3345" t="b">
        <f ca="1">OR(Values!$S$98&gt;=Charms!M3345,IFERROR(Charms!J3345=OFFSET(Values!$A$24,MATCH("S",Values!$T$25:$T$50,0),0),FALSE))</f>
        <v>1</v>
      </c>
      <c r="D3345" t="e">
        <f>VLOOKUP(Charms!J3345,Values!$A$11:$S$59,19,0)&gt;=Charms!L3345</f>
        <v>#N/A</v>
      </c>
      <c r="E3345" t="e">
        <f>OR(ISBLANK(Charms!I3345),(VLOOKUP(Values!$S$6,Castes!$B$2:$F$25,4,0)=Charms!I3345))</f>
        <v>#N/A</v>
      </c>
      <c r="J3345" t="e">
        <f t="shared" ca="1" si="261"/>
        <v>#N/A</v>
      </c>
      <c r="K3345" s="18" t="e">
        <f t="shared" ca="1" si="260"/>
        <v>#N/A</v>
      </c>
      <c r="L3345" t="e">
        <f ca="1">IF(J3345,Charms!B3345,"")</f>
        <v>#N/A</v>
      </c>
      <c r="M3345" t="str">
        <f t="shared" ca="1" si="262"/>
        <v>-</v>
      </c>
      <c r="N3345" s="18" t="str">
        <f t="shared" si="263"/>
        <v>K1622:L5000</v>
      </c>
      <c r="O3345" t="str">
        <f t="shared" si="264"/>
        <v>A1622:A3345</v>
      </c>
    </row>
    <row r="3346" spans="1:15">
      <c r="A3346" s="18">
        <f>Charms!K3346</f>
        <v>0</v>
      </c>
      <c r="B3346">
        <f>Charms!B3346</f>
        <v>0</v>
      </c>
      <c r="C3346" t="b">
        <f ca="1">OR(Values!$S$98&gt;=Charms!M3346,IFERROR(Charms!J3346=OFFSET(Values!$A$24,MATCH("S",Values!$T$25:$T$50,0),0),FALSE))</f>
        <v>1</v>
      </c>
      <c r="D3346" t="e">
        <f>VLOOKUP(Charms!J3346,Values!$A$11:$S$59,19,0)&gt;=Charms!L3346</f>
        <v>#N/A</v>
      </c>
      <c r="E3346" t="e">
        <f>OR(ISBLANK(Charms!I3346),(VLOOKUP(Values!$S$6,Castes!$B$2:$F$25,4,0)=Charms!I3346))</f>
        <v>#N/A</v>
      </c>
      <c r="J3346" t="e">
        <f t="shared" ca="1" si="261"/>
        <v>#N/A</v>
      </c>
      <c r="K3346" s="18" t="e">
        <f t="shared" ca="1" si="260"/>
        <v>#N/A</v>
      </c>
      <c r="L3346" t="e">
        <f ca="1">IF(J3346,Charms!B3346,"")</f>
        <v>#N/A</v>
      </c>
      <c r="M3346" t="str">
        <f t="shared" ca="1" si="262"/>
        <v>-</v>
      </c>
      <c r="N3346" s="18" t="str">
        <f t="shared" si="263"/>
        <v>K1622:L5000</v>
      </c>
      <c r="O3346" t="str">
        <f t="shared" si="264"/>
        <v>A1622:A3346</v>
      </c>
    </row>
    <row r="3347" spans="1:15">
      <c r="A3347" s="18">
        <f>Charms!K3347</f>
        <v>0</v>
      </c>
      <c r="B3347">
        <f>Charms!B3347</f>
        <v>0</v>
      </c>
      <c r="C3347" t="b">
        <f ca="1">OR(Values!$S$98&gt;=Charms!M3347,IFERROR(Charms!J3347=OFFSET(Values!$A$24,MATCH("S",Values!$T$25:$T$50,0),0),FALSE))</f>
        <v>1</v>
      </c>
      <c r="D3347" t="e">
        <f>VLOOKUP(Charms!J3347,Values!$A$11:$S$59,19,0)&gt;=Charms!L3347</f>
        <v>#N/A</v>
      </c>
      <c r="E3347" t="e">
        <f>OR(ISBLANK(Charms!I3347),(VLOOKUP(Values!$S$6,Castes!$B$2:$F$25,4,0)=Charms!I3347))</f>
        <v>#N/A</v>
      </c>
      <c r="J3347" t="e">
        <f t="shared" ca="1" si="261"/>
        <v>#N/A</v>
      </c>
      <c r="K3347" s="18" t="e">
        <f t="shared" ca="1" si="260"/>
        <v>#N/A</v>
      </c>
      <c r="L3347" t="e">
        <f ca="1">IF(J3347,Charms!B3347,"")</f>
        <v>#N/A</v>
      </c>
      <c r="M3347" t="str">
        <f t="shared" ca="1" si="262"/>
        <v>-</v>
      </c>
      <c r="N3347" s="18" t="str">
        <f t="shared" si="263"/>
        <v>K1622:L5000</v>
      </c>
      <c r="O3347" t="str">
        <f t="shared" si="264"/>
        <v>A1622:A3347</v>
      </c>
    </row>
    <row r="3348" spans="1:15">
      <c r="A3348" s="18">
        <f>Charms!K3348</f>
        <v>0</v>
      </c>
      <c r="B3348">
        <f>Charms!B3348</f>
        <v>0</v>
      </c>
      <c r="C3348" t="b">
        <f ca="1">OR(Values!$S$98&gt;=Charms!M3348,IFERROR(Charms!J3348=OFFSET(Values!$A$24,MATCH("S",Values!$T$25:$T$50,0),0),FALSE))</f>
        <v>1</v>
      </c>
      <c r="D3348" t="e">
        <f>VLOOKUP(Charms!J3348,Values!$A$11:$S$59,19,0)&gt;=Charms!L3348</f>
        <v>#N/A</v>
      </c>
      <c r="E3348" t="e">
        <f>OR(ISBLANK(Charms!I3348),(VLOOKUP(Values!$S$6,Castes!$B$2:$F$25,4,0)=Charms!I3348))</f>
        <v>#N/A</v>
      </c>
      <c r="J3348" t="e">
        <f t="shared" ca="1" si="261"/>
        <v>#N/A</v>
      </c>
      <c r="K3348" s="18" t="e">
        <f t="shared" ca="1" si="260"/>
        <v>#N/A</v>
      </c>
      <c r="L3348" t="e">
        <f ca="1">IF(J3348,Charms!B3348,"")</f>
        <v>#N/A</v>
      </c>
      <c r="M3348" t="str">
        <f t="shared" ca="1" si="262"/>
        <v>-</v>
      </c>
      <c r="N3348" s="18" t="str">
        <f t="shared" si="263"/>
        <v>K1622:L5000</v>
      </c>
      <c r="O3348" t="str">
        <f t="shared" si="264"/>
        <v>A1622:A3348</v>
      </c>
    </row>
    <row r="3349" spans="1:15">
      <c r="A3349" s="18">
        <f>Charms!K3349</f>
        <v>0</v>
      </c>
      <c r="B3349">
        <f>Charms!B3349</f>
        <v>0</v>
      </c>
      <c r="C3349" t="b">
        <f ca="1">OR(Values!$S$98&gt;=Charms!M3349,IFERROR(Charms!J3349=OFFSET(Values!$A$24,MATCH("S",Values!$T$25:$T$50,0),0),FALSE))</f>
        <v>1</v>
      </c>
      <c r="D3349" t="e">
        <f>VLOOKUP(Charms!J3349,Values!$A$11:$S$59,19,0)&gt;=Charms!L3349</f>
        <v>#N/A</v>
      </c>
      <c r="E3349" t="e">
        <f>OR(ISBLANK(Charms!I3349),(VLOOKUP(Values!$S$6,Castes!$B$2:$F$25,4,0)=Charms!I3349))</f>
        <v>#N/A</v>
      </c>
      <c r="J3349" t="e">
        <f t="shared" ca="1" si="261"/>
        <v>#N/A</v>
      </c>
      <c r="K3349" s="18" t="e">
        <f t="shared" ca="1" si="260"/>
        <v>#N/A</v>
      </c>
      <c r="L3349" t="e">
        <f ca="1">IF(J3349,Charms!B3349,"")</f>
        <v>#N/A</v>
      </c>
      <c r="M3349" t="str">
        <f t="shared" ca="1" si="262"/>
        <v>-</v>
      </c>
      <c r="N3349" s="18" t="str">
        <f t="shared" si="263"/>
        <v>K1622:L5000</v>
      </c>
      <c r="O3349" t="str">
        <f t="shared" si="264"/>
        <v>A1622:A3349</v>
      </c>
    </row>
    <row r="3350" spans="1:15">
      <c r="A3350" s="18">
        <f>Charms!K3350</f>
        <v>0</v>
      </c>
      <c r="B3350">
        <f>Charms!B3350</f>
        <v>0</v>
      </c>
      <c r="C3350" t="b">
        <f ca="1">OR(Values!$S$98&gt;=Charms!M3350,IFERROR(Charms!J3350=OFFSET(Values!$A$24,MATCH("S",Values!$T$25:$T$50,0),0),FALSE))</f>
        <v>1</v>
      </c>
      <c r="D3350" t="e">
        <f>VLOOKUP(Charms!J3350,Values!$A$11:$S$59,19,0)&gt;=Charms!L3350</f>
        <v>#N/A</v>
      </c>
      <c r="E3350" t="e">
        <f>OR(ISBLANK(Charms!I3350),(VLOOKUP(Values!$S$6,Castes!$B$2:$F$25,4,0)=Charms!I3350))</f>
        <v>#N/A</v>
      </c>
      <c r="J3350" t="e">
        <f t="shared" ca="1" si="261"/>
        <v>#N/A</v>
      </c>
      <c r="K3350" s="18" t="e">
        <f t="shared" ca="1" si="260"/>
        <v>#N/A</v>
      </c>
      <c r="L3350" t="e">
        <f ca="1">IF(J3350,Charms!B3350,"")</f>
        <v>#N/A</v>
      </c>
      <c r="M3350" t="str">
        <f t="shared" ca="1" si="262"/>
        <v>-</v>
      </c>
      <c r="N3350" s="18" t="str">
        <f t="shared" si="263"/>
        <v>K1622:L5000</v>
      </c>
      <c r="O3350" t="str">
        <f t="shared" si="264"/>
        <v>A1622:A3350</v>
      </c>
    </row>
    <row r="3351" spans="1:15">
      <c r="A3351" s="18">
        <f>Charms!K3351</f>
        <v>0</v>
      </c>
      <c r="B3351">
        <f>Charms!B3351</f>
        <v>0</v>
      </c>
      <c r="C3351" t="b">
        <f ca="1">OR(Values!$S$98&gt;=Charms!M3351,IFERROR(Charms!J3351=OFFSET(Values!$A$24,MATCH("S",Values!$T$25:$T$50,0),0),FALSE))</f>
        <v>1</v>
      </c>
      <c r="D3351" t="e">
        <f>VLOOKUP(Charms!J3351,Values!$A$11:$S$59,19,0)&gt;=Charms!L3351</f>
        <v>#N/A</v>
      </c>
      <c r="E3351" t="e">
        <f>OR(ISBLANK(Charms!I3351),(VLOOKUP(Values!$S$6,Castes!$B$2:$F$25,4,0)=Charms!I3351))</f>
        <v>#N/A</v>
      </c>
      <c r="J3351" t="e">
        <f t="shared" ca="1" si="261"/>
        <v>#N/A</v>
      </c>
      <c r="K3351" s="18" t="e">
        <f t="shared" ca="1" si="260"/>
        <v>#N/A</v>
      </c>
      <c r="L3351" t="e">
        <f ca="1">IF(J3351,Charms!B3351,"")</f>
        <v>#N/A</v>
      </c>
      <c r="M3351" t="str">
        <f t="shared" ca="1" si="262"/>
        <v>-</v>
      </c>
      <c r="N3351" s="18" t="str">
        <f t="shared" si="263"/>
        <v>K1622:L5000</v>
      </c>
      <c r="O3351" t="str">
        <f t="shared" si="264"/>
        <v>A1622:A3351</v>
      </c>
    </row>
    <row r="3352" spans="1:15">
      <c r="A3352" s="18">
        <f>Charms!K3352</f>
        <v>0</v>
      </c>
      <c r="B3352">
        <f>Charms!B3352</f>
        <v>0</v>
      </c>
      <c r="C3352" t="b">
        <f ca="1">OR(Values!$S$98&gt;=Charms!M3352,IFERROR(Charms!J3352=OFFSET(Values!$A$24,MATCH("S",Values!$T$25:$T$50,0),0),FALSE))</f>
        <v>1</v>
      </c>
      <c r="D3352" t="e">
        <f>VLOOKUP(Charms!J3352,Values!$A$11:$S$59,19,0)&gt;=Charms!L3352</f>
        <v>#N/A</v>
      </c>
      <c r="E3352" t="e">
        <f>OR(ISBLANK(Charms!I3352),(VLOOKUP(Values!$S$6,Castes!$B$2:$F$25,4,0)=Charms!I3352))</f>
        <v>#N/A</v>
      </c>
      <c r="J3352" t="e">
        <f t="shared" ca="1" si="261"/>
        <v>#N/A</v>
      </c>
      <c r="K3352" s="18" t="e">
        <f t="shared" ca="1" si="260"/>
        <v>#N/A</v>
      </c>
      <c r="L3352" t="e">
        <f ca="1">IF(J3352,Charms!B3352,"")</f>
        <v>#N/A</v>
      </c>
      <c r="M3352" t="str">
        <f t="shared" ca="1" si="262"/>
        <v>-</v>
      </c>
      <c r="N3352" s="18" t="str">
        <f t="shared" si="263"/>
        <v>K1622:L5000</v>
      </c>
      <c r="O3352" t="str">
        <f t="shared" si="264"/>
        <v>A1622:A3352</v>
      </c>
    </row>
    <row r="3353" spans="1:15">
      <c r="A3353" s="18">
        <f>Charms!K3353</f>
        <v>0</v>
      </c>
      <c r="B3353">
        <f>Charms!B3353</f>
        <v>0</v>
      </c>
      <c r="C3353" t="b">
        <f ca="1">OR(Values!$S$98&gt;=Charms!M3353,IFERROR(Charms!J3353=OFFSET(Values!$A$24,MATCH("S",Values!$T$25:$T$50,0),0),FALSE))</f>
        <v>1</v>
      </c>
      <c r="D3353" t="e">
        <f>VLOOKUP(Charms!J3353,Values!$A$11:$S$59,19,0)&gt;=Charms!L3353</f>
        <v>#N/A</v>
      </c>
      <c r="E3353" t="e">
        <f>OR(ISBLANK(Charms!I3353),(VLOOKUP(Values!$S$6,Castes!$B$2:$F$25,4,0)=Charms!I3353))</f>
        <v>#N/A</v>
      </c>
      <c r="J3353" t="e">
        <f t="shared" ca="1" si="261"/>
        <v>#N/A</v>
      </c>
      <c r="K3353" s="18" t="e">
        <f t="shared" ca="1" si="260"/>
        <v>#N/A</v>
      </c>
      <c r="L3353" t="e">
        <f ca="1">IF(J3353,Charms!B3353,"")</f>
        <v>#N/A</v>
      </c>
      <c r="M3353" t="str">
        <f t="shared" ca="1" si="262"/>
        <v>-</v>
      </c>
      <c r="N3353" s="18" t="str">
        <f t="shared" si="263"/>
        <v>K1622:L5000</v>
      </c>
      <c r="O3353" t="str">
        <f t="shared" si="264"/>
        <v>A1622:A3353</v>
      </c>
    </row>
    <row r="3354" spans="1:15">
      <c r="A3354" s="18">
        <f>Charms!K3354</f>
        <v>0</v>
      </c>
      <c r="B3354">
        <f>Charms!B3354</f>
        <v>0</v>
      </c>
      <c r="C3354" t="b">
        <f ca="1">OR(Values!$S$98&gt;=Charms!M3354,IFERROR(Charms!J3354=OFFSET(Values!$A$24,MATCH("S",Values!$T$25:$T$50,0),0),FALSE))</f>
        <v>1</v>
      </c>
      <c r="D3354" t="e">
        <f>VLOOKUP(Charms!J3354,Values!$A$11:$S$59,19,0)&gt;=Charms!L3354</f>
        <v>#N/A</v>
      </c>
      <c r="E3354" t="e">
        <f>OR(ISBLANK(Charms!I3354),(VLOOKUP(Values!$S$6,Castes!$B$2:$F$25,4,0)=Charms!I3354))</f>
        <v>#N/A</v>
      </c>
      <c r="J3354" t="e">
        <f t="shared" ca="1" si="261"/>
        <v>#N/A</v>
      </c>
      <c r="K3354" s="18" t="e">
        <f t="shared" ca="1" si="260"/>
        <v>#N/A</v>
      </c>
      <c r="L3354" t="e">
        <f ca="1">IF(J3354,Charms!B3354,"")</f>
        <v>#N/A</v>
      </c>
      <c r="M3354" t="str">
        <f t="shared" ca="1" si="262"/>
        <v>-</v>
      </c>
      <c r="N3354" s="18" t="str">
        <f t="shared" si="263"/>
        <v>K1622:L5000</v>
      </c>
      <c r="O3354" t="str">
        <f t="shared" si="264"/>
        <v>A1622:A3354</v>
      </c>
    </row>
    <row r="3355" spans="1:15">
      <c r="A3355" s="18">
        <f>Charms!K3355</f>
        <v>0</v>
      </c>
      <c r="B3355">
        <f>Charms!B3355</f>
        <v>0</v>
      </c>
      <c r="C3355" t="b">
        <f ca="1">OR(Values!$S$98&gt;=Charms!M3355,IFERROR(Charms!J3355=OFFSET(Values!$A$24,MATCH("S",Values!$T$25:$T$50,0),0),FALSE))</f>
        <v>1</v>
      </c>
      <c r="D3355" t="e">
        <f>VLOOKUP(Charms!J3355,Values!$A$11:$S$59,19,0)&gt;=Charms!L3355</f>
        <v>#N/A</v>
      </c>
      <c r="E3355" t="e">
        <f>OR(ISBLANK(Charms!I3355),(VLOOKUP(Values!$S$6,Castes!$B$2:$F$25,4,0)=Charms!I3355))</f>
        <v>#N/A</v>
      </c>
      <c r="J3355" t="e">
        <f t="shared" ca="1" si="261"/>
        <v>#N/A</v>
      </c>
      <c r="K3355" s="18" t="e">
        <f t="shared" ca="1" si="260"/>
        <v>#N/A</v>
      </c>
      <c r="L3355" t="e">
        <f ca="1">IF(J3355,Charms!B3355,"")</f>
        <v>#N/A</v>
      </c>
      <c r="M3355" t="str">
        <f t="shared" ca="1" si="262"/>
        <v>-</v>
      </c>
      <c r="N3355" s="18" t="str">
        <f t="shared" si="263"/>
        <v>K1622:L5000</v>
      </c>
      <c r="O3355" t="str">
        <f t="shared" si="264"/>
        <v>A1622:A3355</v>
      </c>
    </row>
    <row r="3356" spans="1:15">
      <c r="A3356" s="18">
        <f>Charms!K3356</f>
        <v>0</v>
      </c>
      <c r="B3356">
        <f>Charms!B3356</f>
        <v>0</v>
      </c>
      <c r="C3356" t="b">
        <f ca="1">OR(Values!$S$98&gt;=Charms!M3356,IFERROR(Charms!J3356=OFFSET(Values!$A$24,MATCH("S",Values!$T$25:$T$50,0),0),FALSE))</f>
        <v>1</v>
      </c>
      <c r="D3356" t="e">
        <f>VLOOKUP(Charms!J3356,Values!$A$11:$S$59,19,0)&gt;=Charms!L3356</f>
        <v>#N/A</v>
      </c>
      <c r="E3356" t="e">
        <f>OR(ISBLANK(Charms!I3356),(VLOOKUP(Values!$S$6,Castes!$B$2:$F$25,4,0)=Charms!I3356))</f>
        <v>#N/A</v>
      </c>
      <c r="J3356" t="e">
        <f t="shared" ca="1" si="261"/>
        <v>#N/A</v>
      </c>
      <c r="K3356" s="18" t="e">
        <f t="shared" ca="1" si="260"/>
        <v>#N/A</v>
      </c>
      <c r="L3356" t="e">
        <f ca="1">IF(J3356,Charms!B3356,"")</f>
        <v>#N/A</v>
      </c>
      <c r="M3356" t="str">
        <f t="shared" ca="1" si="262"/>
        <v>-</v>
      </c>
      <c r="N3356" s="18" t="str">
        <f t="shared" si="263"/>
        <v>K1622:L5000</v>
      </c>
      <c r="O3356" t="str">
        <f t="shared" si="264"/>
        <v>A1622:A3356</v>
      </c>
    </row>
    <row r="3357" spans="1:15">
      <c r="A3357" s="18">
        <f>Charms!K3357</f>
        <v>0</v>
      </c>
      <c r="B3357">
        <f>Charms!B3357</f>
        <v>0</v>
      </c>
      <c r="C3357" t="b">
        <f ca="1">OR(Values!$S$98&gt;=Charms!M3357,IFERROR(Charms!J3357=OFFSET(Values!$A$24,MATCH("S",Values!$T$25:$T$50,0),0),FALSE))</f>
        <v>1</v>
      </c>
      <c r="D3357" t="e">
        <f>VLOOKUP(Charms!J3357,Values!$A$11:$S$59,19,0)&gt;=Charms!L3357</f>
        <v>#N/A</v>
      </c>
      <c r="E3357" t="e">
        <f>OR(ISBLANK(Charms!I3357),(VLOOKUP(Values!$S$6,Castes!$B$2:$F$25,4,0)=Charms!I3357))</f>
        <v>#N/A</v>
      </c>
      <c r="J3357" t="e">
        <f t="shared" ca="1" si="261"/>
        <v>#N/A</v>
      </c>
      <c r="K3357" s="18" t="e">
        <f t="shared" ca="1" si="260"/>
        <v>#N/A</v>
      </c>
      <c r="L3357" t="e">
        <f ca="1">IF(J3357,Charms!B3357,"")</f>
        <v>#N/A</v>
      </c>
      <c r="M3357" t="str">
        <f t="shared" ca="1" si="262"/>
        <v>-</v>
      </c>
      <c r="N3357" s="18" t="str">
        <f t="shared" si="263"/>
        <v>K1622:L5000</v>
      </c>
      <c r="O3357" t="str">
        <f t="shared" si="264"/>
        <v>A1622:A3357</v>
      </c>
    </row>
    <row r="3358" spans="1:15">
      <c r="A3358" s="18">
        <f>Charms!K3358</f>
        <v>0</v>
      </c>
      <c r="B3358">
        <f>Charms!B3358</f>
        <v>0</v>
      </c>
      <c r="C3358" t="b">
        <f ca="1">OR(Values!$S$98&gt;=Charms!M3358,IFERROR(Charms!J3358=OFFSET(Values!$A$24,MATCH("S",Values!$T$25:$T$50,0),0),FALSE))</f>
        <v>1</v>
      </c>
      <c r="D3358" t="e">
        <f>VLOOKUP(Charms!J3358,Values!$A$11:$S$59,19,0)&gt;=Charms!L3358</f>
        <v>#N/A</v>
      </c>
      <c r="E3358" t="e">
        <f>OR(ISBLANK(Charms!I3358),(VLOOKUP(Values!$S$6,Castes!$B$2:$F$25,4,0)=Charms!I3358))</f>
        <v>#N/A</v>
      </c>
      <c r="J3358" t="e">
        <f t="shared" ca="1" si="261"/>
        <v>#N/A</v>
      </c>
      <c r="K3358" s="18" t="e">
        <f t="shared" ca="1" si="260"/>
        <v>#N/A</v>
      </c>
      <c r="L3358" t="e">
        <f ca="1">IF(J3358,Charms!B3358,"")</f>
        <v>#N/A</v>
      </c>
      <c r="M3358" t="str">
        <f t="shared" ca="1" si="262"/>
        <v>-</v>
      </c>
      <c r="N3358" s="18" t="str">
        <f t="shared" si="263"/>
        <v>K1622:L5000</v>
      </c>
      <c r="O3358" t="str">
        <f t="shared" si="264"/>
        <v>A1622:A3358</v>
      </c>
    </row>
    <row r="3359" spans="1:15">
      <c r="A3359" s="18">
        <f>Charms!K3359</f>
        <v>0</v>
      </c>
      <c r="B3359">
        <f>Charms!B3359</f>
        <v>0</v>
      </c>
      <c r="C3359" t="b">
        <f ca="1">OR(Values!$S$98&gt;=Charms!M3359,IFERROR(Charms!J3359=OFFSET(Values!$A$24,MATCH("S",Values!$T$25:$T$50,0),0),FALSE))</f>
        <v>1</v>
      </c>
      <c r="D3359" t="e">
        <f>VLOOKUP(Charms!J3359,Values!$A$11:$S$59,19,0)&gt;=Charms!L3359</f>
        <v>#N/A</v>
      </c>
      <c r="E3359" t="e">
        <f>OR(ISBLANK(Charms!I3359),(VLOOKUP(Values!$S$6,Castes!$B$2:$F$25,4,0)=Charms!I3359))</f>
        <v>#N/A</v>
      </c>
      <c r="J3359" t="e">
        <f t="shared" ca="1" si="261"/>
        <v>#N/A</v>
      </c>
      <c r="K3359" s="18" t="e">
        <f t="shared" ca="1" si="260"/>
        <v>#N/A</v>
      </c>
      <c r="L3359" t="e">
        <f ca="1">IF(J3359,Charms!B3359,"")</f>
        <v>#N/A</v>
      </c>
      <c r="M3359" t="str">
        <f t="shared" ca="1" si="262"/>
        <v>-</v>
      </c>
      <c r="N3359" s="18" t="str">
        <f t="shared" si="263"/>
        <v>K1622:L5000</v>
      </c>
      <c r="O3359" t="str">
        <f t="shared" si="264"/>
        <v>A1622:A3359</v>
      </c>
    </row>
    <row r="3360" spans="1:15">
      <c r="A3360" s="18">
        <f>Charms!K3360</f>
        <v>0</v>
      </c>
      <c r="B3360">
        <f>Charms!B3360</f>
        <v>0</v>
      </c>
      <c r="C3360" t="b">
        <f ca="1">OR(Values!$S$98&gt;=Charms!M3360,IFERROR(Charms!J3360=OFFSET(Values!$A$24,MATCH("S",Values!$T$25:$T$50,0),0),FALSE))</f>
        <v>1</v>
      </c>
      <c r="D3360" t="e">
        <f>VLOOKUP(Charms!J3360,Values!$A$11:$S$59,19,0)&gt;=Charms!L3360</f>
        <v>#N/A</v>
      </c>
      <c r="E3360" t="e">
        <f>OR(ISBLANK(Charms!I3360),(VLOOKUP(Values!$S$6,Castes!$B$2:$F$25,4,0)=Charms!I3360))</f>
        <v>#N/A</v>
      </c>
      <c r="J3360" t="e">
        <f t="shared" ca="1" si="261"/>
        <v>#N/A</v>
      </c>
      <c r="K3360" s="18" t="e">
        <f t="shared" ca="1" si="260"/>
        <v>#N/A</v>
      </c>
      <c r="L3360" t="e">
        <f ca="1">IF(J3360,Charms!B3360,"")</f>
        <v>#N/A</v>
      </c>
      <c r="M3360" t="str">
        <f t="shared" ca="1" si="262"/>
        <v>-</v>
      </c>
      <c r="N3360" s="18" t="str">
        <f t="shared" si="263"/>
        <v>K1622:L5000</v>
      </c>
      <c r="O3360" t="str">
        <f t="shared" si="264"/>
        <v>A1622:A3360</v>
      </c>
    </row>
    <row r="3361" spans="1:15">
      <c r="A3361" s="18">
        <f>Charms!K3361</f>
        <v>0</v>
      </c>
      <c r="B3361">
        <f>Charms!B3361</f>
        <v>0</v>
      </c>
      <c r="C3361" t="b">
        <f ca="1">OR(Values!$S$98&gt;=Charms!M3361,IFERROR(Charms!J3361=OFFSET(Values!$A$24,MATCH("S",Values!$T$25:$T$50,0),0),FALSE))</f>
        <v>1</v>
      </c>
      <c r="D3361" t="e">
        <f>VLOOKUP(Charms!J3361,Values!$A$11:$S$59,19,0)&gt;=Charms!L3361</f>
        <v>#N/A</v>
      </c>
      <c r="E3361" t="e">
        <f>OR(ISBLANK(Charms!I3361),(VLOOKUP(Values!$S$6,Castes!$B$2:$F$25,4,0)=Charms!I3361))</f>
        <v>#N/A</v>
      </c>
      <c r="J3361" t="e">
        <f t="shared" ca="1" si="261"/>
        <v>#N/A</v>
      </c>
      <c r="K3361" s="18" t="e">
        <f t="shared" ca="1" si="260"/>
        <v>#N/A</v>
      </c>
      <c r="L3361" t="e">
        <f ca="1">IF(J3361,Charms!B3361,"")</f>
        <v>#N/A</v>
      </c>
      <c r="M3361" t="str">
        <f t="shared" ca="1" si="262"/>
        <v>-</v>
      </c>
      <c r="N3361" s="18" t="str">
        <f t="shared" si="263"/>
        <v>K1622:L5000</v>
      </c>
      <c r="O3361" t="str">
        <f t="shared" si="264"/>
        <v>A1622:A3361</v>
      </c>
    </row>
    <row r="3362" spans="1:15">
      <c r="A3362" s="18">
        <f>Charms!K3362</f>
        <v>0</v>
      </c>
      <c r="B3362">
        <f>Charms!B3362</f>
        <v>0</v>
      </c>
      <c r="C3362" t="b">
        <f ca="1">OR(Values!$S$98&gt;=Charms!M3362,IFERROR(Charms!J3362=OFFSET(Values!$A$24,MATCH("S",Values!$T$25:$T$50,0),0),FALSE))</f>
        <v>1</v>
      </c>
      <c r="D3362" t="e">
        <f>VLOOKUP(Charms!J3362,Values!$A$11:$S$59,19,0)&gt;=Charms!L3362</f>
        <v>#N/A</v>
      </c>
      <c r="E3362" t="e">
        <f>OR(ISBLANK(Charms!I3362),(VLOOKUP(Values!$S$6,Castes!$B$2:$F$25,4,0)=Charms!I3362))</f>
        <v>#N/A</v>
      </c>
      <c r="J3362" t="e">
        <f t="shared" ca="1" si="261"/>
        <v>#N/A</v>
      </c>
      <c r="K3362" s="18" t="e">
        <f t="shared" ca="1" si="260"/>
        <v>#N/A</v>
      </c>
      <c r="L3362" t="e">
        <f ca="1">IF(J3362,Charms!B3362,"")</f>
        <v>#N/A</v>
      </c>
      <c r="M3362" t="str">
        <f t="shared" ca="1" si="262"/>
        <v>-</v>
      </c>
      <c r="N3362" s="18" t="str">
        <f t="shared" si="263"/>
        <v>K1622:L5000</v>
      </c>
      <c r="O3362" t="str">
        <f t="shared" si="264"/>
        <v>A1622:A3362</v>
      </c>
    </row>
    <row r="3363" spans="1:15">
      <c r="A3363" s="18">
        <f>Charms!K3363</f>
        <v>0</v>
      </c>
      <c r="B3363">
        <f>Charms!B3363</f>
        <v>0</v>
      </c>
      <c r="C3363" t="b">
        <f ca="1">OR(Values!$S$98&gt;=Charms!M3363,IFERROR(Charms!J3363=OFFSET(Values!$A$24,MATCH("S",Values!$T$25:$T$50,0),0),FALSE))</f>
        <v>1</v>
      </c>
      <c r="D3363" t="e">
        <f>VLOOKUP(Charms!J3363,Values!$A$11:$S$59,19,0)&gt;=Charms!L3363</f>
        <v>#N/A</v>
      </c>
      <c r="E3363" t="e">
        <f>OR(ISBLANK(Charms!I3363),(VLOOKUP(Values!$S$6,Castes!$B$2:$F$25,4,0)=Charms!I3363))</f>
        <v>#N/A</v>
      </c>
      <c r="J3363" t="e">
        <f t="shared" ca="1" si="261"/>
        <v>#N/A</v>
      </c>
      <c r="K3363" s="18" t="e">
        <f t="shared" ca="1" si="260"/>
        <v>#N/A</v>
      </c>
      <c r="L3363" t="e">
        <f ca="1">IF(J3363,Charms!B3363,"")</f>
        <v>#N/A</v>
      </c>
      <c r="M3363" t="str">
        <f t="shared" ca="1" si="262"/>
        <v>-</v>
      </c>
      <c r="N3363" s="18" t="str">
        <f t="shared" si="263"/>
        <v>K1622:L5000</v>
      </c>
      <c r="O3363" t="str">
        <f t="shared" si="264"/>
        <v>A1622:A3363</v>
      </c>
    </row>
    <row r="3364" spans="1:15">
      <c r="A3364" s="18">
        <f>Charms!K3364</f>
        <v>0</v>
      </c>
      <c r="B3364">
        <f>Charms!B3364</f>
        <v>0</v>
      </c>
      <c r="C3364" t="b">
        <f ca="1">OR(Values!$S$98&gt;=Charms!M3364,IFERROR(Charms!J3364=OFFSET(Values!$A$24,MATCH("S",Values!$T$25:$T$50,0),0),FALSE))</f>
        <v>1</v>
      </c>
      <c r="D3364" t="e">
        <f>VLOOKUP(Charms!J3364,Values!$A$11:$S$59,19,0)&gt;=Charms!L3364</f>
        <v>#N/A</v>
      </c>
      <c r="E3364" t="e">
        <f>OR(ISBLANK(Charms!I3364),(VLOOKUP(Values!$S$6,Castes!$B$2:$F$25,4,0)=Charms!I3364))</f>
        <v>#N/A</v>
      </c>
      <c r="J3364" t="e">
        <f t="shared" ca="1" si="261"/>
        <v>#N/A</v>
      </c>
      <c r="K3364" s="18" t="e">
        <f t="shared" ca="1" si="260"/>
        <v>#N/A</v>
      </c>
      <c r="L3364" t="e">
        <f ca="1">IF(J3364,Charms!B3364,"")</f>
        <v>#N/A</v>
      </c>
      <c r="M3364" t="str">
        <f t="shared" ca="1" si="262"/>
        <v>-</v>
      </c>
      <c r="N3364" s="18" t="str">
        <f t="shared" si="263"/>
        <v>K1622:L5000</v>
      </c>
      <c r="O3364" t="str">
        <f t="shared" si="264"/>
        <v>A1622:A3364</v>
      </c>
    </row>
    <row r="3365" spans="1:15">
      <c r="A3365" s="18">
        <f>Charms!K3365</f>
        <v>0</v>
      </c>
      <c r="B3365">
        <f>Charms!B3365</f>
        <v>0</v>
      </c>
      <c r="C3365" t="b">
        <f ca="1">OR(Values!$S$98&gt;=Charms!M3365,IFERROR(Charms!J3365=OFFSET(Values!$A$24,MATCH("S",Values!$T$25:$T$50,0),0),FALSE))</f>
        <v>1</v>
      </c>
      <c r="D3365" t="e">
        <f>VLOOKUP(Charms!J3365,Values!$A$11:$S$59,19,0)&gt;=Charms!L3365</f>
        <v>#N/A</v>
      </c>
      <c r="E3365" t="e">
        <f>OR(ISBLANK(Charms!I3365),(VLOOKUP(Values!$S$6,Castes!$B$2:$F$25,4,0)=Charms!I3365))</f>
        <v>#N/A</v>
      </c>
      <c r="J3365" t="e">
        <f t="shared" ca="1" si="261"/>
        <v>#N/A</v>
      </c>
      <c r="K3365" s="18" t="e">
        <f t="shared" ca="1" si="260"/>
        <v>#N/A</v>
      </c>
      <c r="L3365" t="e">
        <f ca="1">IF(J3365,Charms!B3365,"")</f>
        <v>#N/A</v>
      </c>
      <c r="M3365" t="str">
        <f t="shared" ca="1" si="262"/>
        <v>-</v>
      </c>
      <c r="N3365" s="18" t="str">
        <f t="shared" si="263"/>
        <v>K1622:L5000</v>
      </c>
      <c r="O3365" t="str">
        <f t="shared" si="264"/>
        <v>A1622:A3365</v>
      </c>
    </row>
    <row r="3366" spans="1:15">
      <c r="A3366" s="18">
        <f>Charms!K3366</f>
        <v>0</v>
      </c>
      <c r="B3366">
        <f>Charms!B3366</f>
        <v>0</v>
      </c>
      <c r="C3366" t="b">
        <f ca="1">OR(Values!$S$98&gt;=Charms!M3366,IFERROR(Charms!J3366=OFFSET(Values!$A$24,MATCH("S",Values!$T$25:$T$50,0),0),FALSE))</f>
        <v>1</v>
      </c>
      <c r="D3366" t="e">
        <f>VLOOKUP(Charms!J3366,Values!$A$11:$S$59,19,0)&gt;=Charms!L3366</f>
        <v>#N/A</v>
      </c>
      <c r="E3366" t="e">
        <f>OR(ISBLANK(Charms!I3366),(VLOOKUP(Values!$S$6,Castes!$B$2:$F$25,4,0)=Charms!I3366))</f>
        <v>#N/A</v>
      </c>
      <c r="J3366" t="e">
        <f t="shared" ca="1" si="261"/>
        <v>#N/A</v>
      </c>
      <c r="K3366" s="18" t="e">
        <f t="shared" ca="1" si="260"/>
        <v>#N/A</v>
      </c>
      <c r="L3366" t="e">
        <f ca="1">IF(J3366,Charms!B3366,"")</f>
        <v>#N/A</v>
      </c>
      <c r="M3366" t="str">
        <f t="shared" ca="1" si="262"/>
        <v>-</v>
      </c>
      <c r="N3366" s="18" t="str">
        <f t="shared" si="263"/>
        <v>K1622:L5000</v>
      </c>
      <c r="O3366" t="str">
        <f t="shared" si="264"/>
        <v>A1622:A3366</v>
      </c>
    </row>
    <row r="3367" spans="1:15">
      <c r="A3367" s="18">
        <f>Charms!K3367</f>
        <v>0</v>
      </c>
      <c r="B3367">
        <f>Charms!B3367</f>
        <v>0</v>
      </c>
      <c r="C3367" t="b">
        <f ca="1">OR(Values!$S$98&gt;=Charms!M3367,IFERROR(Charms!J3367=OFFSET(Values!$A$24,MATCH("S",Values!$T$25:$T$50,0),0),FALSE))</f>
        <v>1</v>
      </c>
      <c r="D3367" t="e">
        <f>VLOOKUP(Charms!J3367,Values!$A$11:$S$59,19,0)&gt;=Charms!L3367</f>
        <v>#N/A</v>
      </c>
      <c r="E3367" t="e">
        <f>OR(ISBLANK(Charms!I3367),(VLOOKUP(Values!$S$6,Castes!$B$2:$F$25,4,0)=Charms!I3367))</f>
        <v>#N/A</v>
      </c>
      <c r="J3367" t="e">
        <f t="shared" ca="1" si="261"/>
        <v>#N/A</v>
      </c>
      <c r="K3367" s="18" t="e">
        <f t="shared" ca="1" si="260"/>
        <v>#N/A</v>
      </c>
      <c r="L3367" t="e">
        <f ca="1">IF(J3367,Charms!B3367,"")</f>
        <v>#N/A</v>
      </c>
      <c r="M3367" t="str">
        <f t="shared" ca="1" si="262"/>
        <v>-</v>
      </c>
      <c r="N3367" s="18" t="str">
        <f t="shared" si="263"/>
        <v>K1622:L5000</v>
      </c>
      <c r="O3367" t="str">
        <f t="shared" si="264"/>
        <v>A1622:A3367</v>
      </c>
    </row>
    <row r="3368" spans="1:15">
      <c r="A3368" s="18">
        <f>Charms!K3368</f>
        <v>0</v>
      </c>
      <c r="B3368">
        <f>Charms!B3368</f>
        <v>0</v>
      </c>
      <c r="C3368" t="b">
        <f ca="1">OR(Values!$S$98&gt;=Charms!M3368,IFERROR(Charms!J3368=OFFSET(Values!$A$24,MATCH("S",Values!$T$25:$T$50,0),0),FALSE))</f>
        <v>1</v>
      </c>
      <c r="D3368" t="e">
        <f>VLOOKUP(Charms!J3368,Values!$A$11:$S$59,19,0)&gt;=Charms!L3368</f>
        <v>#N/A</v>
      </c>
      <c r="E3368" t="e">
        <f>OR(ISBLANK(Charms!I3368),(VLOOKUP(Values!$S$6,Castes!$B$2:$F$25,4,0)=Charms!I3368))</f>
        <v>#N/A</v>
      </c>
      <c r="J3368" t="e">
        <f t="shared" ca="1" si="261"/>
        <v>#N/A</v>
      </c>
      <c r="K3368" s="18" t="e">
        <f t="shared" ca="1" si="260"/>
        <v>#N/A</v>
      </c>
      <c r="L3368" t="e">
        <f ca="1">IF(J3368,Charms!B3368,"")</f>
        <v>#N/A</v>
      </c>
      <c r="M3368" t="str">
        <f t="shared" ca="1" si="262"/>
        <v>-</v>
      </c>
      <c r="N3368" s="18" t="str">
        <f t="shared" si="263"/>
        <v>K1622:L5000</v>
      </c>
      <c r="O3368" t="str">
        <f t="shared" si="264"/>
        <v>A1622:A3368</v>
      </c>
    </row>
    <row r="3369" spans="1:15">
      <c r="A3369" s="18">
        <f>Charms!K3369</f>
        <v>0</v>
      </c>
      <c r="B3369">
        <f>Charms!B3369</f>
        <v>0</v>
      </c>
      <c r="C3369" t="b">
        <f ca="1">OR(Values!$S$98&gt;=Charms!M3369,IFERROR(Charms!J3369=OFFSET(Values!$A$24,MATCH("S",Values!$T$25:$T$50,0),0),FALSE))</f>
        <v>1</v>
      </c>
      <c r="D3369" t="e">
        <f>VLOOKUP(Charms!J3369,Values!$A$11:$S$59,19,0)&gt;=Charms!L3369</f>
        <v>#N/A</v>
      </c>
      <c r="E3369" t="e">
        <f>OR(ISBLANK(Charms!I3369),(VLOOKUP(Values!$S$6,Castes!$B$2:$F$25,4,0)=Charms!I3369))</f>
        <v>#N/A</v>
      </c>
      <c r="J3369" t="e">
        <f t="shared" ca="1" si="261"/>
        <v>#N/A</v>
      </c>
      <c r="K3369" s="18" t="e">
        <f t="shared" ca="1" si="260"/>
        <v>#N/A</v>
      </c>
      <c r="L3369" t="e">
        <f ca="1">IF(J3369,Charms!B3369,"")</f>
        <v>#N/A</v>
      </c>
      <c r="M3369" t="str">
        <f t="shared" ca="1" si="262"/>
        <v>-</v>
      </c>
      <c r="N3369" s="18" t="str">
        <f t="shared" si="263"/>
        <v>K1622:L5000</v>
      </c>
      <c r="O3369" t="str">
        <f t="shared" si="264"/>
        <v>A1622:A3369</v>
      </c>
    </row>
    <row r="3370" spans="1:15">
      <c r="A3370" s="18">
        <f>Charms!K3370</f>
        <v>0</v>
      </c>
      <c r="B3370">
        <f>Charms!B3370</f>
        <v>0</v>
      </c>
      <c r="C3370" t="b">
        <f ca="1">OR(Values!$S$98&gt;=Charms!M3370,IFERROR(Charms!J3370=OFFSET(Values!$A$24,MATCH("S",Values!$T$25:$T$50,0),0),FALSE))</f>
        <v>1</v>
      </c>
      <c r="D3370" t="e">
        <f>VLOOKUP(Charms!J3370,Values!$A$11:$S$59,19,0)&gt;=Charms!L3370</f>
        <v>#N/A</v>
      </c>
      <c r="E3370" t="e">
        <f>OR(ISBLANK(Charms!I3370),(VLOOKUP(Values!$S$6,Castes!$B$2:$F$25,4,0)=Charms!I3370))</f>
        <v>#N/A</v>
      </c>
      <c r="J3370" t="e">
        <f t="shared" ca="1" si="261"/>
        <v>#N/A</v>
      </c>
      <c r="K3370" s="18" t="e">
        <f t="shared" ca="1" si="260"/>
        <v>#N/A</v>
      </c>
      <c r="L3370" t="e">
        <f ca="1">IF(J3370,Charms!B3370,"")</f>
        <v>#N/A</v>
      </c>
      <c r="M3370" t="str">
        <f t="shared" ca="1" si="262"/>
        <v>-</v>
      </c>
      <c r="N3370" s="18" t="str">
        <f t="shared" si="263"/>
        <v>K1622:L5000</v>
      </c>
      <c r="O3370" t="str">
        <f t="shared" si="264"/>
        <v>A1622:A3370</v>
      </c>
    </row>
    <row r="3371" spans="1:15">
      <c r="A3371" s="18">
        <f>Charms!K3371</f>
        <v>0</v>
      </c>
      <c r="B3371">
        <f>Charms!B3371</f>
        <v>0</v>
      </c>
      <c r="C3371" t="b">
        <f ca="1">OR(Values!$S$98&gt;=Charms!M3371,IFERROR(Charms!J3371=OFFSET(Values!$A$24,MATCH("S",Values!$T$25:$T$50,0),0),FALSE))</f>
        <v>1</v>
      </c>
      <c r="D3371" t="e">
        <f>VLOOKUP(Charms!J3371,Values!$A$11:$S$59,19,0)&gt;=Charms!L3371</f>
        <v>#N/A</v>
      </c>
      <c r="E3371" t="e">
        <f>OR(ISBLANK(Charms!I3371),(VLOOKUP(Values!$S$6,Castes!$B$2:$F$25,4,0)=Charms!I3371))</f>
        <v>#N/A</v>
      </c>
      <c r="J3371" t="e">
        <f t="shared" ca="1" si="261"/>
        <v>#N/A</v>
      </c>
      <c r="K3371" s="18" t="e">
        <f t="shared" ca="1" si="260"/>
        <v>#N/A</v>
      </c>
      <c r="L3371" t="e">
        <f ca="1">IF(J3371,Charms!B3371,"")</f>
        <v>#N/A</v>
      </c>
      <c r="M3371" t="str">
        <f t="shared" ca="1" si="262"/>
        <v>-</v>
      </c>
      <c r="N3371" s="18" t="str">
        <f t="shared" si="263"/>
        <v>K1622:L5000</v>
      </c>
      <c r="O3371" t="str">
        <f t="shared" si="264"/>
        <v>A1622:A3371</v>
      </c>
    </row>
    <row r="3372" spans="1:15">
      <c r="A3372" s="18">
        <f>Charms!K3372</f>
        <v>0</v>
      </c>
      <c r="B3372">
        <f>Charms!B3372</f>
        <v>0</v>
      </c>
      <c r="C3372" t="b">
        <f ca="1">OR(Values!$S$98&gt;=Charms!M3372,IFERROR(Charms!J3372=OFFSET(Values!$A$24,MATCH("S",Values!$T$25:$T$50,0),0),FALSE))</f>
        <v>1</v>
      </c>
      <c r="D3372" t="e">
        <f>VLOOKUP(Charms!J3372,Values!$A$11:$S$59,19,0)&gt;=Charms!L3372</f>
        <v>#N/A</v>
      </c>
      <c r="E3372" t="e">
        <f>OR(ISBLANK(Charms!I3372),(VLOOKUP(Values!$S$6,Castes!$B$2:$F$25,4,0)=Charms!I3372))</f>
        <v>#N/A</v>
      </c>
      <c r="J3372" t="e">
        <f t="shared" ca="1" si="261"/>
        <v>#N/A</v>
      </c>
      <c r="K3372" s="18" t="e">
        <f t="shared" ca="1" si="260"/>
        <v>#N/A</v>
      </c>
      <c r="L3372" t="e">
        <f ca="1">IF(J3372,Charms!B3372,"")</f>
        <v>#N/A</v>
      </c>
      <c r="M3372" t="str">
        <f t="shared" ca="1" si="262"/>
        <v>-</v>
      </c>
      <c r="N3372" s="18" t="str">
        <f t="shared" si="263"/>
        <v>K1622:L5000</v>
      </c>
      <c r="O3372" t="str">
        <f t="shared" si="264"/>
        <v>A1622:A3372</v>
      </c>
    </row>
    <row r="3373" spans="1:15">
      <c r="A3373" s="18">
        <f>Charms!K3373</f>
        <v>0</v>
      </c>
      <c r="B3373">
        <f>Charms!B3373</f>
        <v>0</v>
      </c>
      <c r="C3373" t="b">
        <f ca="1">OR(Values!$S$98&gt;=Charms!M3373,IFERROR(Charms!J3373=OFFSET(Values!$A$24,MATCH("S",Values!$T$25:$T$50,0),0),FALSE))</f>
        <v>1</v>
      </c>
      <c r="D3373" t="e">
        <f>VLOOKUP(Charms!J3373,Values!$A$11:$S$59,19,0)&gt;=Charms!L3373</f>
        <v>#N/A</v>
      </c>
      <c r="E3373" t="e">
        <f>OR(ISBLANK(Charms!I3373),(VLOOKUP(Values!$S$6,Castes!$B$2:$F$25,4,0)=Charms!I3373))</f>
        <v>#N/A</v>
      </c>
      <c r="J3373" t="e">
        <f t="shared" ca="1" si="261"/>
        <v>#N/A</v>
      </c>
      <c r="K3373" s="18" t="e">
        <f t="shared" ca="1" si="260"/>
        <v>#N/A</v>
      </c>
      <c r="L3373" t="e">
        <f ca="1">IF(J3373,Charms!B3373,"")</f>
        <v>#N/A</v>
      </c>
      <c r="M3373" t="str">
        <f t="shared" ca="1" si="262"/>
        <v>-</v>
      </c>
      <c r="N3373" s="18" t="str">
        <f t="shared" si="263"/>
        <v>K1622:L5000</v>
      </c>
      <c r="O3373" t="str">
        <f t="shared" si="264"/>
        <v>A1622:A3373</v>
      </c>
    </row>
    <row r="3374" spans="1:15">
      <c r="A3374" s="18">
        <f>Charms!K3374</f>
        <v>0</v>
      </c>
      <c r="B3374">
        <f>Charms!B3374</f>
        <v>0</v>
      </c>
      <c r="C3374" t="b">
        <f ca="1">OR(Values!$S$98&gt;=Charms!M3374,IFERROR(Charms!J3374=OFFSET(Values!$A$24,MATCH("S",Values!$T$25:$T$50,0),0),FALSE))</f>
        <v>1</v>
      </c>
      <c r="D3374" t="e">
        <f>VLOOKUP(Charms!J3374,Values!$A$11:$S$59,19,0)&gt;=Charms!L3374</f>
        <v>#N/A</v>
      </c>
      <c r="E3374" t="e">
        <f>OR(ISBLANK(Charms!I3374),(VLOOKUP(Values!$S$6,Castes!$B$2:$F$25,4,0)=Charms!I3374))</f>
        <v>#N/A</v>
      </c>
      <c r="J3374" t="e">
        <f t="shared" ca="1" si="261"/>
        <v>#N/A</v>
      </c>
      <c r="K3374" s="18" t="e">
        <f t="shared" ca="1" si="260"/>
        <v>#N/A</v>
      </c>
      <c r="L3374" t="e">
        <f ca="1">IF(J3374,Charms!B3374,"")</f>
        <v>#N/A</v>
      </c>
      <c r="M3374" t="str">
        <f t="shared" ca="1" si="262"/>
        <v>-</v>
      </c>
      <c r="N3374" s="18" t="str">
        <f t="shared" si="263"/>
        <v>K1622:L5000</v>
      </c>
      <c r="O3374" t="str">
        <f t="shared" si="264"/>
        <v>A1622:A3374</v>
      </c>
    </row>
    <row r="3375" spans="1:15">
      <c r="A3375" s="18">
        <f>Charms!K3375</f>
        <v>0</v>
      </c>
      <c r="B3375">
        <f>Charms!B3375</f>
        <v>0</v>
      </c>
      <c r="C3375" t="b">
        <f ca="1">OR(Values!$S$98&gt;=Charms!M3375,IFERROR(Charms!J3375=OFFSET(Values!$A$24,MATCH("S",Values!$T$25:$T$50,0),0),FALSE))</f>
        <v>1</v>
      </c>
      <c r="D3375" t="e">
        <f>VLOOKUP(Charms!J3375,Values!$A$11:$S$59,19,0)&gt;=Charms!L3375</f>
        <v>#N/A</v>
      </c>
      <c r="E3375" t="e">
        <f>OR(ISBLANK(Charms!I3375),(VLOOKUP(Values!$S$6,Castes!$B$2:$F$25,4,0)=Charms!I3375))</f>
        <v>#N/A</v>
      </c>
      <c r="J3375" t="e">
        <f t="shared" ca="1" si="261"/>
        <v>#N/A</v>
      </c>
      <c r="K3375" s="18" t="e">
        <f t="shared" ca="1" si="260"/>
        <v>#N/A</v>
      </c>
      <c r="L3375" t="e">
        <f ca="1">IF(J3375,Charms!B3375,"")</f>
        <v>#N/A</v>
      </c>
      <c r="M3375" t="str">
        <f t="shared" ca="1" si="262"/>
        <v>-</v>
      </c>
      <c r="N3375" s="18" t="str">
        <f t="shared" si="263"/>
        <v>K1622:L5000</v>
      </c>
      <c r="O3375" t="str">
        <f t="shared" si="264"/>
        <v>A1622:A3375</v>
      </c>
    </row>
    <row r="3376" spans="1:15">
      <c r="A3376" s="18">
        <f>Charms!K3376</f>
        <v>0</v>
      </c>
      <c r="B3376">
        <f>Charms!B3376</f>
        <v>0</v>
      </c>
      <c r="C3376" t="b">
        <f ca="1">OR(Values!$S$98&gt;=Charms!M3376,IFERROR(Charms!J3376=OFFSET(Values!$A$24,MATCH("S",Values!$T$25:$T$50,0),0),FALSE))</f>
        <v>1</v>
      </c>
      <c r="D3376" t="e">
        <f>VLOOKUP(Charms!J3376,Values!$A$11:$S$59,19,0)&gt;=Charms!L3376</f>
        <v>#N/A</v>
      </c>
      <c r="E3376" t="e">
        <f>OR(ISBLANK(Charms!I3376),(VLOOKUP(Values!$S$6,Castes!$B$2:$F$25,4,0)=Charms!I3376))</f>
        <v>#N/A</v>
      </c>
      <c r="J3376" t="e">
        <f t="shared" ca="1" si="261"/>
        <v>#N/A</v>
      </c>
      <c r="K3376" s="18" t="e">
        <f t="shared" ca="1" si="260"/>
        <v>#N/A</v>
      </c>
      <c r="L3376" t="e">
        <f ca="1">IF(J3376,Charms!B3376,"")</f>
        <v>#N/A</v>
      </c>
      <c r="M3376" t="str">
        <f t="shared" ca="1" si="262"/>
        <v>-</v>
      </c>
      <c r="N3376" s="18" t="str">
        <f t="shared" si="263"/>
        <v>K1622:L5000</v>
      </c>
      <c r="O3376" t="str">
        <f t="shared" si="264"/>
        <v>A1622:A3376</v>
      </c>
    </row>
    <row r="3377" spans="1:15">
      <c r="A3377" s="18">
        <f>Charms!K3377</f>
        <v>0</v>
      </c>
      <c r="B3377">
        <f>Charms!B3377</f>
        <v>0</v>
      </c>
      <c r="C3377" t="b">
        <f ca="1">OR(Values!$S$98&gt;=Charms!M3377,IFERROR(Charms!J3377=OFFSET(Values!$A$24,MATCH("S",Values!$T$25:$T$50,0),0),FALSE))</f>
        <v>1</v>
      </c>
      <c r="D3377" t="e">
        <f>VLOOKUP(Charms!J3377,Values!$A$11:$S$59,19,0)&gt;=Charms!L3377</f>
        <v>#N/A</v>
      </c>
      <c r="E3377" t="e">
        <f>OR(ISBLANK(Charms!I3377),(VLOOKUP(Values!$S$6,Castes!$B$2:$F$25,4,0)=Charms!I3377))</f>
        <v>#N/A</v>
      </c>
      <c r="J3377" t="e">
        <f t="shared" ca="1" si="261"/>
        <v>#N/A</v>
      </c>
      <c r="K3377" s="18" t="e">
        <f t="shared" ca="1" si="260"/>
        <v>#N/A</v>
      </c>
      <c r="L3377" t="e">
        <f ca="1">IF(J3377,Charms!B3377,"")</f>
        <v>#N/A</v>
      </c>
      <c r="M3377" t="str">
        <f t="shared" ca="1" si="262"/>
        <v>-</v>
      </c>
      <c r="N3377" s="18" t="str">
        <f t="shared" si="263"/>
        <v>K1622:L5000</v>
      </c>
      <c r="O3377" t="str">
        <f t="shared" si="264"/>
        <v>A1622:A3377</v>
      </c>
    </row>
    <row r="3378" spans="1:15">
      <c r="A3378" s="18">
        <f>Charms!K3378</f>
        <v>0</v>
      </c>
      <c r="B3378">
        <f>Charms!B3378</f>
        <v>0</v>
      </c>
      <c r="C3378" t="b">
        <f ca="1">OR(Values!$S$98&gt;=Charms!M3378,IFERROR(Charms!J3378=OFFSET(Values!$A$24,MATCH("S",Values!$T$25:$T$50,0),0),FALSE))</f>
        <v>1</v>
      </c>
      <c r="D3378" t="e">
        <f>VLOOKUP(Charms!J3378,Values!$A$11:$S$59,19,0)&gt;=Charms!L3378</f>
        <v>#N/A</v>
      </c>
      <c r="E3378" t="e">
        <f>OR(ISBLANK(Charms!I3378),(VLOOKUP(Values!$S$6,Castes!$B$2:$F$25,4,0)=Charms!I3378))</f>
        <v>#N/A</v>
      </c>
      <c r="J3378" t="e">
        <f t="shared" ca="1" si="261"/>
        <v>#N/A</v>
      </c>
      <c r="K3378" s="18" t="e">
        <f t="shared" ca="1" si="260"/>
        <v>#N/A</v>
      </c>
      <c r="L3378" t="e">
        <f ca="1">IF(J3378,Charms!B3378,"")</f>
        <v>#N/A</v>
      </c>
      <c r="M3378" t="str">
        <f t="shared" ca="1" si="262"/>
        <v>-</v>
      </c>
      <c r="N3378" s="18" t="str">
        <f t="shared" si="263"/>
        <v>K1622:L5000</v>
      </c>
      <c r="O3378" t="str">
        <f t="shared" si="264"/>
        <v>A1622:A3378</v>
      </c>
    </row>
    <row r="3379" spans="1:15">
      <c r="A3379" s="18">
        <f>Charms!K3379</f>
        <v>0</v>
      </c>
      <c r="B3379">
        <f>Charms!B3379</f>
        <v>0</v>
      </c>
      <c r="C3379" t="b">
        <f ca="1">OR(Values!$S$98&gt;=Charms!M3379,IFERROR(Charms!J3379=OFFSET(Values!$A$24,MATCH("S",Values!$T$25:$T$50,0),0),FALSE))</f>
        <v>1</v>
      </c>
      <c r="D3379" t="e">
        <f>VLOOKUP(Charms!J3379,Values!$A$11:$S$59,19,0)&gt;=Charms!L3379</f>
        <v>#N/A</v>
      </c>
      <c r="E3379" t="e">
        <f>OR(ISBLANK(Charms!I3379),(VLOOKUP(Values!$S$6,Castes!$B$2:$F$25,4,0)=Charms!I3379))</f>
        <v>#N/A</v>
      </c>
      <c r="J3379" t="e">
        <f t="shared" ca="1" si="261"/>
        <v>#N/A</v>
      </c>
      <c r="K3379" s="18" t="e">
        <f t="shared" ca="1" si="260"/>
        <v>#N/A</v>
      </c>
      <c r="L3379" t="e">
        <f ca="1">IF(J3379,Charms!B3379,"")</f>
        <v>#N/A</v>
      </c>
      <c r="M3379" t="str">
        <f t="shared" ca="1" si="262"/>
        <v>-</v>
      </c>
      <c r="N3379" s="18" t="str">
        <f t="shared" si="263"/>
        <v>K1622:L5000</v>
      </c>
      <c r="O3379" t="str">
        <f t="shared" si="264"/>
        <v>A1622:A3379</v>
      </c>
    </row>
    <row r="3380" spans="1:15">
      <c r="A3380" s="18">
        <f>Charms!K3380</f>
        <v>0</v>
      </c>
      <c r="B3380">
        <f>Charms!B3380</f>
        <v>0</v>
      </c>
      <c r="C3380" t="b">
        <f ca="1">OR(Values!$S$98&gt;=Charms!M3380,IFERROR(Charms!J3380=OFFSET(Values!$A$24,MATCH("S",Values!$T$25:$T$50,0),0),FALSE))</f>
        <v>1</v>
      </c>
      <c r="D3380" t="e">
        <f>VLOOKUP(Charms!J3380,Values!$A$11:$S$59,19,0)&gt;=Charms!L3380</f>
        <v>#N/A</v>
      </c>
      <c r="E3380" t="e">
        <f>OR(ISBLANK(Charms!I3380),(VLOOKUP(Values!$S$6,Castes!$B$2:$F$25,4,0)=Charms!I3380))</f>
        <v>#N/A</v>
      </c>
      <c r="J3380" t="e">
        <f t="shared" ca="1" si="261"/>
        <v>#N/A</v>
      </c>
      <c r="K3380" s="18" t="e">
        <f t="shared" ca="1" si="260"/>
        <v>#N/A</v>
      </c>
      <c r="L3380" t="e">
        <f ca="1">IF(J3380,Charms!B3380,"")</f>
        <v>#N/A</v>
      </c>
      <c r="M3380" t="str">
        <f t="shared" ca="1" si="262"/>
        <v>-</v>
      </c>
      <c r="N3380" s="18" t="str">
        <f t="shared" si="263"/>
        <v>K1622:L5000</v>
      </c>
      <c r="O3380" t="str">
        <f t="shared" si="264"/>
        <v>A1622:A3380</v>
      </c>
    </row>
    <row r="3381" spans="1:15">
      <c r="A3381" s="18">
        <f>Charms!K3381</f>
        <v>0</v>
      </c>
      <c r="B3381">
        <f>Charms!B3381</f>
        <v>0</v>
      </c>
      <c r="C3381" t="b">
        <f ca="1">OR(Values!$S$98&gt;=Charms!M3381,IFERROR(Charms!J3381=OFFSET(Values!$A$24,MATCH("S",Values!$T$25:$T$50,0),0),FALSE))</f>
        <v>1</v>
      </c>
      <c r="D3381" t="e">
        <f>VLOOKUP(Charms!J3381,Values!$A$11:$S$59,19,0)&gt;=Charms!L3381</f>
        <v>#N/A</v>
      </c>
      <c r="E3381" t="e">
        <f>OR(ISBLANK(Charms!I3381),(VLOOKUP(Values!$S$6,Castes!$B$2:$F$25,4,0)=Charms!I3381))</f>
        <v>#N/A</v>
      </c>
      <c r="J3381" t="e">
        <f t="shared" ca="1" si="261"/>
        <v>#N/A</v>
      </c>
      <c r="K3381" s="18" t="e">
        <f t="shared" ca="1" si="260"/>
        <v>#N/A</v>
      </c>
      <c r="L3381" t="e">
        <f ca="1">IF(J3381,Charms!B3381,"")</f>
        <v>#N/A</v>
      </c>
      <c r="M3381" t="str">
        <f t="shared" ca="1" si="262"/>
        <v>-</v>
      </c>
      <c r="N3381" s="18" t="str">
        <f t="shared" si="263"/>
        <v>K1622:L5000</v>
      </c>
      <c r="O3381" t="str">
        <f t="shared" si="264"/>
        <v>A1622:A3381</v>
      </c>
    </row>
    <row r="3382" spans="1:15">
      <c r="A3382" s="18">
        <f>Charms!K3382</f>
        <v>0</v>
      </c>
      <c r="B3382">
        <f>Charms!B3382</f>
        <v>0</v>
      </c>
      <c r="C3382" t="b">
        <f ca="1">OR(Values!$S$98&gt;=Charms!M3382,IFERROR(Charms!J3382=OFFSET(Values!$A$24,MATCH("S",Values!$T$25:$T$50,0),0),FALSE))</f>
        <v>1</v>
      </c>
      <c r="D3382" t="e">
        <f>VLOOKUP(Charms!J3382,Values!$A$11:$S$59,19,0)&gt;=Charms!L3382</f>
        <v>#N/A</v>
      </c>
      <c r="E3382" t="e">
        <f>OR(ISBLANK(Charms!I3382),(VLOOKUP(Values!$S$6,Castes!$B$2:$F$25,4,0)=Charms!I3382))</f>
        <v>#N/A</v>
      </c>
      <c r="J3382" t="e">
        <f t="shared" ca="1" si="261"/>
        <v>#N/A</v>
      </c>
      <c r="K3382" s="18" t="e">
        <f t="shared" ca="1" si="260"/>
        <v>#N/A</v>
      </c>
      <c r="L3382" t="e">
        <f ca="1">IF(J3382,Charms!B3382,"")</f>
        <v>#N/A</v>
      </c>
      <c r="M3382" t="str">
        <f t="shared" ca="1" si="262"/>
        <v>-</v>
      </c>
      <c r="N3382" s="18" t="str">
        <f t="shared" si="263"/>
        <v>K1622:L5000</v>
      </c>
      <c r="O3382" t="str">
        <f t="shared" si="264"/>
        <v>A1622:A3382</v>
      </c>
    </row>
    <row r="3383" spans="1:15">
      <c r="A3383" s="18">
        <f>Charms!K3383</f>
        <v>0</v>
      </c>
      <c r="B3383">
        <f>Charms!B3383</f>
        <v>0</v>
      </c>
      <c r="C3383" t="b">
        <f ca="1">OR(Values!$S$98&gt;=Charms!M3383,IFERROR(Charms!J3383=OFFSET(Values!$A$24,MATCH("S",Values!$T$25:$T$50,0),0),FALSE))</f>
        <v>1</v>
      </c>
      <c r="D3383" t="e">
        <f>VLOOKUP(Charms!J3383,Values!$A$11:$S$59,19,0)&gt;=Charms!L3383</f>
        <v>#N/A</v>
      </c>
      <c r="E3383" t="e">
        <f>OR(ISBLANK(Charms!I3383),(VLOOKUP(Values!$S$6,Castes!$B$2:$F$25,4,0)=Charms!I3383))</f>
        <v>#N/A</v>
      </c>
      <c r="J3383" t="e">
        <f t="shared" ca="1" si="261"/>
        <v>#N/A</v>
      </c>
      <c r="K3383" s="18" t="e">
        <f t="shared" ca="1" si="260"/>
        <v>#N/A</v>
      </c>
      <c r="L3383" t="e">
        <f ca="1">IF(J3383,Charms!B3383,"")</f>
        <v>#N/A</v>
      </c>
      <c r="M3383" t="str">
        <f t="shared" ca="1" si="262"/>
        <v>-</v>
      </c>
      <c r="N3383" s="18" t="str">
        <f t="shared" si="263"/>
        <v>K1622:L5000</v>
      </c>
      <c r="O3383" t="str">
        <f t="shared" si="264"/>
        <v>A1622:A3383</v>
      </c>
    </row>
    <row r="3384" spans="1:15">
      <c r="A3384" s="18">
        <f>Charms!K3384</f>
        <v>0</v>
      </c>
      <c r="B3384">
        <f>Charms!B3384</f>
        <v>0</v>
      </c>
      <c r="C3384" t="b">
        <f ca="1">OR(Values!$S$98&gt;=Charms!M3384,IFERROR(Charms!J3384=OFFSET(Values!$A$24,MATCH("S",Values!$T$25:$T$50,0),0),FALSE))</f>
        <v>1</v>
      </c>
      <c r="D3384" t="e">
        <f>VLOOKUP(Charms!J3384,Values!$A$11:$S$59,19,0)&gt;=Charms!L3384</f>
        <v>#N/A</v>
      </c>
      <c r="E3384" t="e">
        <f>OR(ISBLANK(Charms!I3384),(VLOOKUP(Values!$S$6,Castes!$B$2:$F$25,4,0)=Charms!I3384))</f>
        <v>#N/A</v>
      </c>
      <c r="J3384" t="e">
        <f t="shared" ca="1" si="261"/>
        <v>#N/A</v>
      </c>
      <c r="K3384" s="18" t="e">
        <f t="shared" ca="1" si="260"/>
        <v>#N/A</v>
      </c>
      <c r="L3384" t="e">
        <f ca="1">IF(J3384,Charms!B3384,"")</f>
        <v>#N/A</v>
      </c>
      <c r="M3384" t="str">
        <f t="shared" ca="1" si="262"/>
        <v>-</v>
      </c>
      <c r="N3384" s="18" t="str">
        <f t="shared" si="263"/>
        <v>K1622:L5000</v>
      </c>
      <c r="O3384" t="str">
        <f t="shared" si="264"/>
        <v>A1622:A3384</v>
      </c>
    </row>
    <row r="3385" spans="1:15">
      <c r="A3385" s="18">
        <f>Charms!K3385</f>
        <v>0</v>
      </c>
      <c r="B3385">
        <f>Charms!B3385</f>
        <v>0</v>
      </c>
      <c r="C3385" t="b">
        <f ca="1">OR(Values!$S$98&gt;=Charms!M3385,IFERROR(Charms!J3385=OFFSET(Values!$A$24,MATCH("S",Values!$T$25:$T$50,0),0),FALSE))</f>
        <v>1</v>
      </c>
      <c r="D3385" t="e">
        <f>VLOOKUP(Charms!J3385,Values!$A$11:$S$59,19,0)&gt;=Charms!L3385</f>
        <v>#N/A</v>
      </c>
      <c r="E3385" t="e">
        <f>OR(ISBLANK(Charms!I3385),(VLOOKUP(Values!$S$6,Castes!$B$2:$F$25,4,0)=Charms!I3385))</f>
        <v>#N/A</v>
      </c>
      <c r="J3385" t="e">
        <f t="shared" ca="1" si="261"/>
        <v>#N/A</v>
      </c>
      <c r="K3385" s="18" t="e">
        <f t="shared" ca="1" si="260"/>
        <v>#N/A</v>
      </c>
      <c r="L3385" t="e">
        <f ca="1">IF(J3385,Charms!B3385,"")</f>
        <v>#N/A</v>
      </c>
      <c r="M3385" t="str">
        <f t="shared" ca="1" si="262"/>
        <v>-</v>
      </c>
      <c r="N3385" s="18" t="str">
        <f t="shared" si="263"/>
        <v>K1622:L5000</v>
      </c>
      <c r="O3385" t="str">
        <f t="shared" si="264"/>
        <v>A1622:A3385</v>
      </c>
    </row>
    <row r="3386" spans="1:15">
      <c r="A3386" s="18">
        <f>Charms!K3386</f>
        <v>0</v>
      </c>
      <c r="B3386">
        <f>Charms!B3386</f>
        <v>0</v>
      </c>
      <c r="C3386" t="b">
        <f ca="1">OR(Values!$S$98&gt;=Charms!M3386,IFERROR(Charms!J3386=OFFSET(Values!$A$24,MATCH("S",Values!$T$25:$T$50,0),0),FALSE))</f>
        <v>1</v>
      </c>
      <c r="D3386" t="e">
        <f>VLOOKUP(Charms!J3386,Values!$A$11:$S$59,19,0)&gt;=Charms!L3386</f>
        <v>#N/A</v>
      </c>
      <c r="E3386" t="e">
        <f>OR(ISBLANK(Charms!I3386),(VLOOKUP(Values!$S$6,Castes!$B$2:$F$25,4,0)=Charms!I3386))</f>
        <v>#N/A</v>
      </c>
      <c r="J3386" t="e">
        <f t="shared" ca="1" si="261"/>
        <v>#N/A</v>
      </c>
      <c r="K3386" s="18" t="e">
        <f t="shared" ca="1" si="260"/>
        <v>#N/A</v>
      </c>
      <c r="L3386" t="e">
        <f ca="1">IF(J3386,Charms!B3386,"")</f>
        <v>#N/A</v>
      </c>
      <c r="M3386" t="str">
        <f t="shared" ca="1" si="262"/>
        <v>-</v>
      </c>
      <c r="N3386" s="18" t="str">
        <f t="shared" si="263"/>
        <v>K1622:L5000</v>
      </c>
      <c r="O3386" t="str">
        <f t="shared" si="264"/>
        <v>A1622:A3386</v>
      </c>
    </row>
    <row r="3387" spans="1:15">
      <c r="A3387" s="18">
        <f>Charms!K3387</f>
        <v>0</v>
      </c>
      <c r="B3387">
        <f>Charms!B3387</f>
        <v>0</v>
      </c>
      <c r="C3387" t="b">
        <f ca="1">OR(Values!$S$98&gt;=Charms!M3387,IFERROR(Charms!J3387=OFFSET(Values!$A$24,MATCH("S",Values!$T$25:$T$50,0),0),FALSE))</f>
        <v>1</v>
      </c>
      <c r="D3387" t="e">
        <f>VLOOKUP(Charms!J3387,Values!$A$11:$S$59,19,0)&gt;=Charms!L3387</f>
        <v>#N/A</v>
      </c>
      <c r="E3387" t="e">
        <f>OR(ISBLANK(Charms!I3387),(VLOOKUP(Values!$S$6,Castes!$B$2:$F$25,4,0)=Charms!I3387))</f>
        <v>#N/A</v>
      </c>
      <c r="J3387" t="e">
        <f t="shared" ca="1" si="261"/>
        <v>#N/A</v>
      </c>
      <c r="K3387" s="18" t="e">
        <f t="shared" ca="1" si="260"/>
        <v>#N/A</v>
      </c>
      <c r="L3387" t="e">
        <f ca="1">IF(J3387,Charms!B3387,"")</f>
        <v>#N/A</v>
      </c>
      <c r="M3387" t="str">
        <f t="shared" ca="1" si="262"/>
        <v>-</v>
      </c>
      <c r="N3387" s="18" t="str">
        <f t="shared" si="263"/>
        <v>K1622:L5000</v>
      </c>
      <c r="O3387" t="str">
        <f t="shared" si="264"/>
        <v>A1622:A3387</v>
      </c>
    </row>
    <row r="3388" spans="1:15">
      <c r="A3388" s="18">
        <f>Charms!K3388</f>
        <v>0</v>
      </c>
      <c r="B3388">
        <f>Charms!B3388</f>
        <v>0</v>
      </c>
      <c r="C3388" t="b">
        <f ca="1">OR(Values!$S$98&gt;=Charms!M3388,IFERROR(Charms!J3388=OFFSET(Values!$A$24,MATCH("S",Values!$T$25:$T$50,0),0),FALSE))</f>
        <v>1</v>
      </c>
      <c r="D3388" t="e">
        <f>VLOOKUP(Charms!J3388,Values!$A$11:$S$59,19,0)&gt;=Charms!L3388</f>
        <v>#N/A</v>
      </c>
      <c r="E3388" t="e">
        <f>OR(ISBLANK(Charms!I3388),(VLOOKUP(Values!$S$6,Castes!$B$2:$F$25,4,0)=Charms!I3388))</f>
        <v>#N/A</v>
      </c>
      <c r="J3388" t="e">
        <f t="shared" ca="1" si="261"/>
        <v>#N/A</v>
      </c>
      <c r="K3388" s="18" t="e">
        <f t="shared" ca="1" si="260"/>
        <v>#N/A</v>
      </c>
      <c r="L3388" t="e">
        <f ca="1">IF(J3388,Charms!B3388,"")</f>
        <v>#N/A</v>
      </c>
      <c r="M3388" t="str">
        <f t="shared" ca="1" si="262"/>
        <v>-</v>
      </c>
      <c r="N3388" s="18" t="str">
        <f t="shared" si="263"/>
        <v>K1622:L5000</v>
      </c>
      <c r="O3388" t="str">
        <f t="shared" si="264"/>
        <v>A1622:A3388</v>
      </c>
    </row>
    <row r="3389" spans="1:15">
      <c r="A3389" s="18">
        <f>Charms!K3389</f>
        <v>0</v>
      </c>
      <c r="B3389">
        <f>Charms!B3389</f>
        <v>0</v>
      </c>
      <c r="C3389" t="b">
        <f ca="1">OR(Values!$S$98&gt;=Charms!M3389,IFERROR(Charms!J3389=OFFSET(Values!$A$24,MATCH("S",Values!$T$25:$T$50,0),0),FALSE))</f>
        <v>1</v>
      </c>
      <c r="D3389" t="e">
        <f>VLOOKUP(Charms!J3389,Values!$A$11:$S$59,19,0)&gt;=Charms!L3389</f>
        <v>#N/A</v>
      </c>
      <c r="E3389" t="e">
        <f>OR(ISBLANK(Charms!I3389),(VLOOKUP(Values!$S$6,Castes!$B$2:$F$25,4,0)=Charms!I3389))</f>
        <v>#N/A</v>
      </c>
      <c r="J3389" t="e">
        <f t="shared" ca="1" si="261"/>
        <v>#N/A</v>
      </c>
      <c r="K3389" s="18" t="e">
        <f t="shared" ca="1" si="260"/>
        <v>#N/A</v>
      </c>
      <c r="L3389" t="e">
        <f ca="1">IF(J3389,Charms!B3389,"")</f>
        <v>#N/A</v>
      </c>
      <c r="M3389" t="str">
        <f t="shared" ca="1" si="262"/>
        <v>-</v>
      </c>
      <c r="N3389" s="18" t="str">
        <f t="shared" si="263"/>
        <v>K1622:L5000</v>
      </c>
      <c r="O3389" t="str">
        <f t="shared" si="264"/>
        <v>A1622:A3389</v>
      </c>
    </row>
    <row r="3390" spans="1:15">
      <c r="A3390" s="18">
        <f>Charms!K3390</f>
        <v>0</v>
      </c>
      <c r="B3390">
        <f>Charms!B3390</f>
        <v>0</v>
      </c>
      <c r="C3390" t="b">
        <f ca="1">OR(Values!$S$98&gt;=Charms!M3390,IFERROR(Charms!J3390=OFFSET(Values!$A$24,MATCH("S",Values!$T$25:$T$50,0),0),FALSE))</f>
        <v>1</v>
      </c>
      <c r="D3390" t="e">
        <f>VLOOKUP(Charms!J3390,Values!$A$11:$S$59,19,0)&gt;=Charms!L3390</f>
        <v>#N/A</v>
      </c>
      <c r="E3390" t="e">
        <f>OR(ISBLANK(Charms!I3390),(VLOOKUP(Values!$S$6,Castes!$B$2:$F$25,4,0)=Charms!I3390))</f>
        <v>#N/A</v>
      </c>
      <c r="J3390" t="e">
        <f t="shared" ca="1" si="261"/>
        <v>#N/A</v>
      </c>
      <c r="K3390" s="18" t="e">
        <f t="shared" ca="1" si="260"/>
        <v>#N/A</v>
      </c>
      <c r="L3390" t="e">
        <f ca="1">IF(J3390,Charms!B3390,"")</f>
        <v>#N/A</v>
      </c>
      <c r="M3390" t="str">
        <f t="shared" ca="1" si="262"/>
        <v>-</v>
      </c>
      <c r="N3390" s="18" t="str">
        <f t="shared" si="263"/>
        <v>K1622:L5000</v>
      </c>
      <c r="O3390" t="str">
        <f t="shared" si="264"/>
        <v>A1622:A3390</v>
      </c>
    </row>
    <row r="3391" spans="1:15">
      <c r="A3391" s="18">
        <f>Charms!K3391</f>
        <v>0</v>
      </c>
      <c r="B3391">
        <f>Charms!B3391</f>
        <v>0</v>
      </c>
      <c r="C3391" t="b">
        <f ca="1">OR(Values!$S$98&gt;=Charms!M3391,IFERROR(Charms!J3391=OFFSET(Values!$A$24,MATCH("S",Values!$T$25:$T$50,0),0),FALSE))</f>
        <v>1</v>
      </c>
      <c r="D3391" t="e">
        <f>VLOOKUP(Charms!J3391,Values!$A$11:$S$59,19,0)&gt;=Charms!L3391</f>
        <v>#N/A</v>
      </c>
      <c r="E3391" t="e">
        <f>OR(ISBLANK(Charms!I3391),(VLOOKUP(Values!$S$6,Castes!$B$2:$F$25,4,0)=Charms!I3391))</f>
        <v>#N/A</v>
      </c>
      <c r="J3391" t="e">
        <f t="shared" ca="1" si="261"/>
        <v>#N/A</v>
      </c>
      <c r="K3391" s="18" t="e">
        <f t="shared" ca="1" si="260"/>
        <v>#N/A</v>
      </c>
      <c r="L3391" t="e">
        <f ca="1">IF(J3391,Charms!B3391,"")</f>
        <v>#N/A</v>
      </c>
      <c r="M3391" t="str">
        <f t="shared" ca="1" si="262"/>
        <v>-</v>
      </c>
      <c r="N3391" s="18" t="str">
        <f t="shared" si="263"/>
        <v>K1622:L5000</v>
      </c>
      <c r="O3391" t="str">
        <f t="shared" si="264"/>
        <v>A1622:A3391</v>
      </c>
    </row>
    <row r="3392" spans="1:15">
      <c r="A3392" s="18">
        <f>Charms!K3392</f>
        <v>0</v>
      </c>
      <c r="B3392">
        <f>Charms!B3392</f>
        <v>0</v>
      </c>
      <c r="C3392" t="b">
        <f ca="1">OR(Values!$S$98&gt;=Charms!M3392,IFERROR(Charms!J3392=OFFSET(Values!$A$24,MATCH("S",Values!$T$25:$T$50,0),0),FALSE))</f>
        <v>1</v>
      </c>
      <c r="D3392" t="e">
        <f>VLOOKUP(Charms!J3392,Values!$A$11:$S$59,19,0)&gt;=Charms!L3392</f>
        <v>#N/A</v>
      </c>
      <c r="E3392" t="e">
        <f>OR(ISBLANK(Charms!I3392),(VLOOKUP(Values!$S$6,Castes!$B$2:$F$25,4,0)=Charms!I3392))</f>
        <v>#N/A</v>
      </c>
      <c r="J3392" t="e">
        <f t="shared" ca="1" si="261"/>
        <v>#N/A</v>
      </c>
      <c r="K3392" s="18" t="e">
        <f t="shared" ca="1" si="260"/>
        <v>#N/A</v>
      </c>
      <c r="L3392" t="e">
        <f ca="1">IF(J3392,Charms!B3392,"")</f>
        <v>#N/A</v>
      </c>
      <c r="M3392" t="str">
        <f t="shared" ca="1" si="262"/>
        <v>-</v>
      </c>
      <c r="N3392" s="18" t="str">
        <f t="shared" si="263"/>
        <v>K1622:L5000</v>
      </c>
      <c r="O3392" t="str">
        <f t="shared" si="264"/>
        <v>A1622:A3392</v>
      </c>
    </row>
    <row r="3393" spans="1:15">
      <c r="A3393" s="18">
        <f>Charms!K3393</f>
        <v>0</v>
      </c>
      <c r="B3393">
        <f>Charms!B3393</f>
        <v>0</v>
      </c>
      <c r="C3393" t="b">
        <f ca="1">OR(Values!$S$98&gt;=Charms!M3393,IFERROR(Charms!J3393=OFFSET(Values!$A$24,MATCH("S",Values!$T$25:$T$50,0),0),FALSE))</f>
        <v>1</v>
      </c>
      <c r="D3393" t="e">
        <f>VLOOKUP(Charms!J3393,Values!$A$11:$S$59,19,0)&gt;=Charms!L3393</f>
        <v>#N/A</v>
      </c>
      <c r="E3393" t="e">
        <f>OR(ISBLANK(Charms!I3393),(VLOOKUP(Values!$S$6,Castes!$B$2:$F$25,4,0)=Charms!I3393))</f>
        <v>#N/A</v>
      </c>
      <c r="J3393" t="e">
        <f t="shared" ca="1" si="261"/>
        <v>#N/A</v>
      </c>
      <c r="K3393" s="18" t="e">
        <f t="shared" ca="1" si="260"/>
        <v>#N/A</v>
      </c>
      <c r="L3393" t="e">
        <f ca="1">IF(J3393,Charms!B3393,"")</f>
        <v>#N/A</v>
      </c>
      <c r="M3393" t="str">
        <f t="shared" ca="1" si="262"/>
        <v>-</v>
      </c>
      <c r="N3393" s="18" t="str">
        <f t="shared" si="263"/>
        <v>K1622:L5000</v>
      </c>
      <c r="O3393" t="str">
        <f t="shared" si="264"/>
        <v>A1622:A3393</v>
      </c>
    </row>
    <row r="3394" spans="1:15">
      <c r="A3394" s="18">
        <f>Charms!K3394</f>
        <v>0</v>
      </c>
      <c r="B3394">
        <f>Charms!B3394</f>
        <v>0</v>
      </c>
      <c r="C3394" t="b">
        <f ca="1">OR(Values!$S$98&gt;=Charms!M3394,IFERROR(Charms!J3394=OFFSET(Values!$A$24,MATCH("S",Values!$T$25:$T$50,0),0),FALSE))</f>
        <v>1</v>
      </c>
      <c r="D3394" t="e">
        <f>VLOOKUP(Charms!J3394,Values!$A$11:$S$59,19,0)&gt;=Charms!L3394</f>
        <v>#N/A</v>
      </c>
      <c r="E3394" t="e">
        <f>OR(ISBLANK(Charms!I3394),(VLOOKUP(Values!$S$6,Castes!$B$2:$F$25,4,0)=Charms!I3394))</f>
        <v>#N/A</v>
      </c>
      <c r="J3394" t="e">
        <f t="shared" ca="1" si="261"/>
        <v>#N/A</v>
      </c>
      <c r="K3394" s="18" t="e">
        <f t="shared" ref="K3394:K3457" ca="1" si="265">IF(L3394="","",COUNTIF(INDIRECT("J"&amp;MATCH(A3394,A:A,0)&amp;":J"&amp;ROW()),J3394))</f>
        <v>#N/A</v>
      </c>
      <c r="L3394" t="e">
        <f ca="1">IF(J3394,Charms!B3394,"")</f>
        <v>#N/A</v>
      </c>
      <c r="M3394" t="str">
        <f t="shared" ca="1" si="262"/>
        <v>-</v>
      </c>
      <c r="N3394" s="18" t="str">
        <f t="shared" si="263"/>
        <v>K1622:L5000</v>
      </c>
      <c r="O3394" t="str">
        <f t="shared" si="264"/>
        <v>A1622:A3394</v>
      </c>
    </row>
    <row r="3395" spans="1:15">
      <c r="A3395" s="18">
        <f>Charms!K3395</f>
        <v>0</v>
      </c>
      <c r="B3395">
        <f>Charms!B3395</f>
        <v>0</v>
      </c>
      <c r="C3395" t="b">
        <f ca="1">OR(Values!$S$98&gt;=Charms!M3395,IFERROR(Charms!J3395=OFFSET(Values!$A$24,MATCH("S",Values!$T$25:$T$50,0),0),FALSE))</f>
        <v>1</v>
      </c>
      <c r="D3395" t="e">
        <f>VLOOKUP(Charms!J3395,Values!$A$11:$S$59,19,0)&gt;=Charms!L3395</f>
        <v>#N/A</v>
      </c>
      <c r="E3395" t="e">
        <f>OR(ISBLANK(Charms!I3395),(VLOOKUP(Values!$S$6,Castes!$B$2:$F$25,4,0)=Charms!I3395))</f>
        <v>#N/A</v>
      </c>
      <c r="J3395" t="e">
        <f t="shared" ref="J3395:J3458" ca="1" si="266">(C3395+D3395+E3395+F3395+G3395+H3395+I3395)=3</f>
        <v>#N/A</v>
      </c>
      <c r="K3395" s="18" t="e">
        <f t="shared" ca="1" si="265"/>
        <v>#N/A</v>
      </c>
      <c r="L3395" t="e">
        <f ca="1">IF(J3395,Charms!B3395,"")</f>
        <v>#N/A</v>
      </c>
      <c r="M3395" t="str">
        <f t="shared" ref="M3395:M3458" ca="1" si="267">IFERROR(VLOOKUP(COUNTIF(INDIRECT(O3395),A3395),INDIRECT(N3395),2,0),"-")</f>
        <v>-</v>
      </c>
      <c r="N3395" s="18" t="str">
        <f t="shared" ref="N3395:N3458" si="268">"K"&amp;MATCH(A3395,A:A,0)&amp;":L"&amp;(MATCH(A3395,A:A,0)+COUNTIF(A:A,A3395)-1)</f>
        <v>K1622:L5000</v>
      </c>
      <c r="O3395" t="str">
        <f t="shared" ref="O3395:O3458" si="269">"A"&amp;MATCH(A3395,A:A,0)&amp;":A"&amp;ROW()</f>
        <v>A1622:A3395</v>
      </c>
    </row>
    <row r="3396" spans="1:15">
      <c r="A3396" s="18">
        <f>Charms!K3396</f>
        <v>0</v>
      </c>
      <c r="B3396">
        <f>Charms!B3396</f>
        <v>0</v>
      </c>
      <c r="C3396" t="b">
        <f ca="1">OR(Values!$S$98&gt;=Charms!M3396,IFERROR(Charms!J3396=OFFSET(Values!$A$24,MATCH("S",Values!$T$25:$T$50,0),0),FALSE))</f>
        <v>1</v>
      </c>
      <c r="D3396" t="e">
        <f>VLOOKUP(Charms!J3396,Values!$A$11:$S$59,19,0)&gt;=Charms!L3396</f>
        <v>#N/A</v>
      </c>
      <c r="E3396" t="e">
        <f>OR(ISBLANK(Charms!I3396),(VLOOKUP(Values!$S$6,Castes!$B$2:$F$25,4,0)=Charms!I3396))</f>
        <v>#N/A</v>
      </c>
      <c r="J3396" t="e">
        <f t="shared" ca="1" si="266"/>
        <v>#N/A</v>
      </c>
      <c r="K3396" s="18" t="e">
        <f t="shared" ca="1" si="265"/>
        <v>#N/A</v>
      </c>
      <c r="L3396" t="e">
        <f ca="1">IF(J3396,Charms!B3396,"")</f>
        <v>#N/A</v>
      </c>
      <c r="M3396" t="str">
        <f t="shared" ca="1" si="267"/>
        <v>-</v>
      </c>
      <c r="N3396" s="18" t="str">
        <f t="shared" si="268"/>
        <v>K1622:L5000</v>
      </c>
      <c r="O3396" t="str">
        <f t="shared" si="269"/>
        <v>A1622:A3396</v>
      </c>
    </row>
    <row r="3397" spans="1:15">
      <c r="A3397" s="18">
        <f>Charms!K3397</f>
        <v>0</v>
      </c>
      <c r="B3397">
        <f>Charms!B3397</f>
        <v>0</v>
      </c>
      <c r="C3397" t="b">
        <f ca="1">OR(Values!$S$98&gt;=Charms!M3397,IFERROR(Charms!J3397=OFFSET(Values!$A$24,MATCH("S",Values!$T$25:$T$50,0),0),FALSE))</f>
        <v>1</v>
      </c>
      <c r="D3397" t="e">
        <f>VLOOKUP(Charms!J3397,Values!$A$11:$S$59,19,0)&gt;=Charms!L3397</f>
        <v>#N/A</v>
      </c>
      <c r="E3397" t="e">
        <f>OR(ISBLANK(Charms!I3397),(VLOOKUP(Values!$S$6,Castes!$B$2:$F$25,4,0)=Charms!I3397))</f>
        <v>#N/A</v>
      </c>
      <c r="J3397" t="e">
        <f t="shared" ca="1" si="266"/>
        <v>#N/A</v>
      </c>
      <c r="K3397" s="18" t="e">
        <f t="shared" ca="1" si="265"/>
        <v>#N/A</v>
      </c>
      <c r="L3397" t="e">
        <f ca="1">IF(J3397,Charms!B3397,"")</f>
        <v>#N/A</v>
      </c>
      <c r="M3397" t="str">
        <f t="shared" ca="1" si="267"/>
        <v>-</v>
      </c>
      <c r="N3397" s="18" t="str">
        <f t="shared" si="268"/>
        <v>K1622:L5000</v>
      </c>
      <c r="O3397" t="str">
        <f t="shared" si="269"/>
        <v>A1622:A3397</v>
      </c>
    </row>
    <row r="3398" spans="1:15">
      <c r="A3398" s="18">
        <f>Charms!K3398</f>
        <v>0</v>
      </c>
      <c r="B3398">
        <f>Charms!B3398</f>
        <v>0</v>
      </c>
      <c r="C3398" t="b">
        <f ca="1">OR(Values!$S$98&gt;=Charms!M3398,IFERROR(Charms!J3398=OFFSET(Values!$A$24,MATCH("S",Values!$T$25:$T$50,0),0),FALSE))</f>
        <v>1</v>
      </c>
      <c r="D3398" t="e">
        <f>VLOOKUP(Charms!J3398,Values!$A$11:$S$59,19,0)&gt;=Charms!L3398</f>
        <v>#N/A</v>
      </c>
      <c r="E3398" t="e">
        <f>OR(ISBLANK(Charms!I3398),(VLOOKUP(Values!$S$6,Castes!$B$2:$F$25,4,0)=Charms!I3398))</f>
        <v>#N/A</v>
      </c>
      <c r="J3398" t="e">
        <f t="shared" ca="1" si="266"/>
        <v>#N/A</v>
      </c>
      <c r="K3398" s="18" t="e">
        <f t="shared" ca="1" si="265"/>
        <v>#N/A</v>
      </c>
      <c r="L3398" t="e">
        <f ca="1">IF(J3398,Charms!B3398,"")</f>
        <v>#N/A</v>
      </c>
      <c r="M3398" t="str">
        <f t="shared" ca="1" si="267"/>
        <v>-</v>
      </c>
      <c r="N3398" s="18" t="str">
        <f t="shared" si="268"/>
        <v>K1622:L5000</v>
      </c>
      <c r="O3398" t="str">
        <f t="shared" si="269"/>
        <v>A1622:A3398</v>
      </c>
    </row>
    <row r="3399" spans="1:15">
      <c r="A3399" s="18">
        <f>Charms!K3399</f>
        <v>0</v>
      </c>
      <c r="B3399">
        <f>Charms!B3399</f>
        <v>0</v>
      </c>
      <c r="C3399" t="b">
        <f ca="1">OR(Values!$S$98&gt;=Charms!M3399,IFERROR(Charms!J3399=OFFSET(Values!$A$24,MATCH("S",Values!$T$25:$T$50,0),0),FALSE))</f>
        <v>1</v>
      </c>
      <c r="D3399" t="e">
        <f>VLOOKUP(Charms!J3399,Values!$A$11:$S$59,19,0)&gt;=Charms!L3399</f>
        <v>#N/A</v>
      </c>
      <c r="E3399" t="e">
        <f>OR(ISBLANK(Charms!I3399),(VLOOKUP(Values!$S$6,Castes!$B$2:$F$25,4,0)=Charms!I3399))</f>
        <v>#N/A</v>
      </c>
      <c r="J3399" t="e">
        <f t="shared" ca="1" si="266"/>
        <v>#N/A</v>
      </c>
      <c r="K3399" s="18" t="e">
        <f t="shared" ca="1" si="265"/>
        <v>#N/A</v>
      </c>
      <c r="L3399" t="e">
        <f ca="1">IF(J3399,Charms!B3399,"")</f>
        <v>#N/A</v>
      </c>
      <c r="M3399" t="str">
        <f t="shared" ca="1" si="267"/>
        <v>-</v>
      </c>
      <c r="N3399" s="18" t="str">
        <f t="shared" si="268"/>
        <v>K1622:L5000</v>
      </c>
      <c r="O3399" t="str">
        <f t="shared" si="269"/>
        <v>A1622:A3399</v>
      </c>
    </row>
    <row r="3400" spans="1:15">
      <c r="A3400" s="18">
        <f>Charms!K3400</f>
        <v>0</v>
      </c>
      <c r="B3400">
        <f>Charms!B3400</f>
        <v>0</v>
      </c>
      <c r="C3400" t="b">
        <f ca="1">OR(Values!$S$98&gt;=Charms!M3400,IFERROR(Charms!J3400=OFFSET(Values!$A$24,MATCH("S",Values!$T$25:$T$50,0),0),FALSE))</f>
        <v>1</v>
      </c>
      <c r="D3400" t="e">
        <f>VLOOKUP(Charms!J3400,Values!$A$11:$S$59,19,0)&gt;=Charms!L3400</f>
        <v>#N/A</v>
      </c>
      <c r="E3400" t="e">
        <f>OR(ISBLANK(Charms!I3400),(VLOOKUP(Values!$S$6,Castes!$B$2:$F$25,4,0)=Charms!I3400))</f>
        <v>#N/A</v>
      </c>
      <c r="J3400" t="e">
        <f t="shared" ca="1" si="266"/>
        <v>#N/A</v>
      </c>
      <c r="K3400" s="18" t="e">
        <f t="shared" ca="1" si="265"/>
        <v>#N/A</v>
      </c>
      <c r="L3400" t="e">
        <f ca="1">IF(J3400,Charms!B3400,"")</f>
        <v>#N/A</v>
      </c>
      <c r="M3400" t="str">
        <f t="shared" ca="1" si="267"/>
        <v>-</v>
      </c>
      <c r="N3400" s="18" t="str">
        <f t="shared" si="268"/>
        <v>K1622:L5000</v>
      </c>
      <c r="O3400" t="str">
        <f t="shared" si="269"/>
        <v>A1622:A3400</v>
      </c>
    </row>
    <row r="3401" spans="1:15">
      <c r="A3401" s="18">
        <f>Charms!K3401</f>
        <v>0</v>
      </c>
      <c r="B3401">
        <f>Charms!B3401</f>
        <v>0</v>
      </c>
      <c r="C3401" t="b">
        <f ca="1">OR(Values!$S$98&gt;=Charms!M3401,IFERROR(Charms!J3401=OFFSET(Values!$A$24,MATCH("S",Values!$T$25:$T$50,0),0),FALSE))</f>
        <v>1</v>
      </c>
      <c r="D3401" t="e">
        <f>VLOOKUP(Charms!J3401,Values!$A$11:$S$59,19,0)&gt;=Charms!L3401</f>
        <v>#N/A</v>
      </c>
      <c r="E3401" t="e">
        <f>OR(ISBLANK(Charms!I3401),(VLOOKUP(Values!$S$6,Castes!$B$2:$F$25,4,0)=Charms!I3401))</f>
        <v>#N/A</v>
      </c>
      <c r="J3401" t="e">
        <f t="shared" ca="1" si="266"/>
        <v>#N/A</v>
      </c>
      <c r="K3401" s="18" t="e">
        <f t="shared" ca="1" si="265"/>
        <v>#N/A</v>
      </c>
      <c r="L3401" t="e">
        <f ca="1">IF(J3401,Charms!B3401,"")</f>
        <v>#N/A</v>
      </c>
      <c r="M3401" t="str">
        <f t="shared" ca="1" si="267"/>
        <v>-</v>
      </c>
      <c r="N3401" s="18" t="str">
        <f t="shared" si="268"/>
        <v>K1622:L5000</v>
      </c>
      <c r="O3401" t="str">
        <f t="shared" si="269"/>
        <v>A1622:A3401</v>
      </c>
    </row>
    <row r="3402" spans="1:15">
      <c r="A3402" s="18">
        <f>Charms!K3402</f>
        <v>0</v>
      </c>
      <c r="B3402">
        <f>Charms!B3402</f>
        <v>0</v>
      </c>
      <c r="C3402" t="b">
        <f ca="1">OR(Values!$S$98&gt;=Charms!M3402,IFERROR(Charms!J3402=OFFSET(Values!$A$24,MATCH("S",Values!$T$25:$T$50,0),0),FALSE))</f>
        <v>1</v>
      </c>
      <c r="D3402" t="e">
        <f>VLOOKUP(Charms!J3402,Values!$A$11:$S$59,19,0)&gt;=Charms!L3402</f>
        <v>#N/A</v>
      </c>
      <c r="E3402" t="e">
        <f>OR(ISBLANK(Charms!I3402),(VLOOKUP(Values!$S$6,Castes!$B$2:$F$25,4,0)=Charms!I3402))</f>
        <v>#N/A</v>
      </c>
      <c r="J3402" t="e">
        <f t="shared" ca="1" si="266"/>
        <v>#N/A</v>
      </c>
      <c r="K3402" s="18" t="e">
        <f t="shared" ca="1" si="265"/>
        <v>#N/A</v>
      </c>
      <c r="L3402" t="e">
        <f ca="1">IF(J3402,Charms!B3402,"")</f>
        <v>#N/A</v>
      </c>
      <c r="M3402" t="str">
        <f t="shared" ca="1" si="267"/>
        <v>-</v>
      </c>
      <c r="N3402" s="18" t="str">
        <f t="shared" si="268"/>
        <v>K1622:L5000</v>
      </c>
      <c r="O3402" t="str">
        <f t="shared" si="269"/>
        <v>A1622:A3402</v>
      </c>
    </row>
    <row r="3403" spans="1:15">
      <c r="A3403" s="18">
        <f>Charms!K3403</f>
        <v>0</v>
      </c>
      <c r="B3403">
        <f>Charms!B3403</f>
        <v>0</v>
      </c>
      <c r="C3403" t="b">
        <f ca="1">OR(Values!$S$98&gt;=Charms!M3403,IFERROR(Charms!J3403=OFFSET(Values!$A$24,MATCH("S",Values!$T$25:$T$50,0),0),FALSE))</f>
        <v>1</v>
      </c>
      <c r="D3403" t="e">
        <f>VLOOKUP(Charms!J3403,Values!$A$11:$S$59,19,0)&gt;=Charms!L3403</f>
        <v>#N/A</v>
      </c>
      <c r="E3403" t="e">
        <f>OR(ISBLANK(Charms!I3403),(VLOOKUP(Values!$S$6,Castes!$B$2:$F$25,4,0)=Charms!I3403))</f>
        <v>#N/A</v>
      </c>
      <c r="J3403" t="e">
        <f t="shared" ca="1" si="266"/>
        <v>#N/A</v>
      </c>
      <c r="K3403" s="18" t="e">
        <f t="shared" ca="1" si="265"/>
        <v>#N/A</v>
      </c>
      <c r="L3403" t="e">
        <f ca="1">IF(J3403,Charms!B3403,"")</f>
        <v>#N/A</v>
      </c>
      <c r="M3403" t="str">
        <f t="shared" ca="1" si="267"/>
        <v>-</v>
      </c>
      <c r="N3403" s="18" t="str">
        <f t="shared" si="268"/>
        <v>K1622:L5000</v>
      </c>
      <c r="O3403" t="str">
        <f t="shared" si="269"/>
        <v>A1622:A3403</v>
      </c>
    </row>
    <row r="3404" spans="1:15">
      <c r="A3404" s="18">
        <f>Charms!K3404</f>
        <v>0</v>
      </c>
      <c r="B3404">
        <f>Charms!B3404</f>
        <v>0</v>
      </c>
      <c r="C3404" t="b">
        <f ca="1">OR(Values!$S$98&gt;=Charms!M3404,IFERROR(Charms!J3404=OFFSET(Values!$A$24,MATCH("S",Values!$T$25:$T$50,0),0),FALSE))</f>
        <v>1</v>
      </c>
      <c r="D3404" t="e">
        <f>VLOOKUP(Charms!J3404,Values!$A$11:$S$59,19,0)&gt;=Charms!L3404</f>
        <v>#N/A</v>
      </c>
      <c r="E3404" t="e">
        <f>OR(ISBLANK(Charms!I3404),(VLOOKUP(Values!$S$6,Castes!$B$2:$F$25,4,0)=Charms!I3404))</f>
        <v>#N/A</v>
      </c>
      <c r="J3404" t="e">
        <f t="shared" ca="1" si="266"/>
        <v>#N/A</v>
      </c>
      <c r="K3404" s="18" t="e">
        <f t="shared" ca="1" si="265"/>
        <v>#N/A</v>
      </c>
      <c r="L3404" t="e">
        <f ca="1">IF(J3404,Charms!B3404,"")</f>
        <v>#N/A</v>
      </c>
      <c r="M3404" t="str">
        <f t="shared" ca="1" si="267"/>
        <v>-</v>
      </c>
      <c r="N3404" s="18" t="str">
        <f t="shared" si="268"/>
        <v>K1622:L5000</v>
      </c>
      <c r="O3404" t="str">
        <f t="shared" si="269"/>
        <v>A1622:A3404</v>
      </c>
    </row>
    <row r="3405" spans="1:15">
      <c r="A3405" s="18">
        <f>Charms!K3405</f>
        <v>0</v>
      </c>
      <c r="B3405">
        <f>Charms!B3405</f>
        <v>0</v>
      </c>
      <c r="C3405" t="b">
        <f ca="1">OR(Values!$S$98&gt;=Charms!M3405,IFERROR(Charms!J3405=OFFSET(Values!$A$24,MATCH("S",Values!$T$25:$T$50,0),0),FALSE))</f>
        <v>1</v>
      </c>
      <c r="D3405" t="e">
        <f>VLOOKUP(Charms!J3405,Values!$A$11:$S$59,19,0)&gt;=Charms!L3405</f>
        <v>#N/A</v>
      </c>
      <c r="E3405" t="e">
        <f>OR(ISBLANK(Charms!I3405),(VLOOKUP(Values!$S$6,Castes!$B$2:$F$25,4,0)=Charms!I3405))</f>
        <v>#N/A</v>
      </c>
      <c r="J3405" t="e">
        <f t="shared" ca="1" si="266"/>
        <v>#N/A</v>
      </c>
      <c r="K3405" s="18" t="e">
        <f t="shared" ca="1" si="265"/>
        <v>#N/A</v>
      </c>
      <c r="L3405" t="e">
        <f ca="1">IF(J3405,Charms!B3405,"")</f>
        <v>#N/A</v>
      </c>
      <c r="M3405" t="str">
        <f t="shared" ca="1" si="267"/>
        <v>-</v>
      </c>
      <c r="N3405" s="18" t="str">
        <f t="shared" si="268"/>
        <v>K1622:L5000</v>
      </c>
      <c r="O3405" t="str">
        <f t="shared" si="269"/>
        <v>A1622:A3405</v>
      </c>
    </row>
    <row r="3406" spans="1:15">
      <c r="A3406" s="18">
        <f>Charms!K3406</f>
        <v>0</v>
      </c>
      <c r="B3406">
        <f>Charms!B3406</f>
        <v>0</v>
      </c>
      <c r="C3406" t="b">
        <f ca="1">OR(Values!$S$98&gt;=Charms!M3406,IFERROR(Charms!J3406=OFFSET(Values!$A$24,MATCH("S",Values!$T$25:$T$50,0),0),FALSE))</f>
        <v>1</v>
      </c>
      <c r="D3406" t="e">
        <f>VLOOKUP(Charms!J3406,Values!$A$11:$S$59,19,0)&gt;=Charms!L3406</f>
        <v>#N/A</v>
      </c>
      <c r="E3406" t="e">
        <f>OR(ISBLANK(Charms!I3406),(VLOOKUP(Values!$S$6,Castes!$B$2:$F$25,4,0)=Charms!I3406))</f>
        <v>#N/A</v>
      </c>
      <c r="J3406" t="e">
        <f t="shared" ca="1" si="266"/>
        <v>#N/A</v>
      </c>
      <c r="K3406" s="18" t="e">
        <f t="shared" ca="1" si="265"/>
        <v>#N/A</v>
      </c>
      <c r="L3406" t="e">
        <f ca="1">IF(J3406,Charms!B3406,"")</f>
        <v>#N/A</v>
      </c>
      <c r="M3406" t="str">
        <f t="shared" ca="1" si="267"/>
        <v>-</v>
      </c>
      <c r="N3406" s="18" t="str">
        <f t="shared" si="268"/>
        <v>K1622:L5000</v>
      </c>
      <c r="O3406" t="str">
        <f t="shared" si="269"/>
        <v>A1622:A3406</v>
      </c>
    </row>
    <row r="3407" spans="1:15">
      <c r="A3407" s="18">
        <f>Charms!K3407</f>
        <v>0</v>
      </c>
      <c r="B3407">
        <f>Charms!B3407</f>
        <v>0</v>
      </c>
      <c r="C3407" t="b">
        <f ca="1">OR(Values!$S$98&gt;=Charms!M3407,IFERROR(Charms!J3407=OFFSET(Values!$A$24,MATCH("S",Values!$T$25:$T$50,0),0),FALSE))</f>
        <v>1</v>
      </c>
      <c r="D3407" t="e">
        <f>VLOOKUP(Charms!J3407,Values!$A$11:$S$59,19,0)&gt;=Charms!L3407</f>
        <v>#N/A</v>
      </c>
      <c r="E3407" t="e">
        <f>OR(ISBLANK(Charms!I3407),(VLOOKUP(Values!$S$6,Castes!$B$2:$F$25,4,0)=Charms!I3407))</f>
        <v>#N/A</v>
      </c>
      <c r="J3407" t="e">
        <f t="shared" ca="1" si="266"/>
        <v>#N/A</v>
      </c>
      <c r="K3407" s="18" t="e">
        <f t="shared" ca="1" si="265"/>
        <v>#N/A</v>
      </c>
      <c r="L3407" t="e">
        <f ca="1">IF(J3407,Charms!B3407,"")</f>
        <v>#N/A</v>
      </c>
      <c r="M3407" t="str">
        <f t="shared" ca="1" si="267"/>
        <v>-</v>
      </c>
      <c r="N3407" s="18" t="str">
        <f t="shared" si="268"/>
        <v>K1622:L5000</v>
      </c>
      <c r="O3407" t="str">
        <f t="shared" si="269"/>
        <v>A1622:A3407</v>
      </c>
    </row>
    <row r="3408" spans="1:15">
      <c r="A3408" s="18">
        <f>Charms!K3408</f>
        <v>0</v>
      </c>
      <c r="B3408">
        <f>Charms!B3408</f>
        <v>0</v>
      </c>
      <c r="C3408" t="b">
        <f ca="1">OR(Values!$S$98&gt;=Charms!M3408,IFERROR(Charms!J3408=OFFSET(Values!$A$24,MATCH("S",Values!$T$25:$T$50,0),0),FALSE))</f>
        <v>1</v>
      </c>
      <c r="D3408" t="e">
        <f>VLOOKUP(Charms!J3408,Values!$A$11:$S$59,19,0)&gt;=Charms!L3408</f>
        <v>#N/A</v>
      </c>
      <c r="E3408" t="e">
        <f>OR(ISBLANK(Charms!I3408),(VLOOKUP(Values!$S$6,Castes!$B$2:$F$25,4,0)=Charms!I3408))</f>
        <v>#N/A</v>
      </c>
      <c r="J3408" t="e">
        <f t="shared" ca="1" si="266"/>
        <v>#N/A</v>
      </c>
      <c r="K3408" s="18" t="e">
        <f t="shared" ca="1" si="265"/>
        <v>#N/A</v>
      </c>
      <c r="L3408" t="e">
        <f ca="1">IF(J3408,Charms!B3408,"")</f>
        <v>#N/A</v>
      </c>
      <c r="M3408" t="str">
        <f t="shared" ca="1" si="267"/>
        <v>-</v>
      </c>
      <c r="N3408" s="18" t="str">
        <f t="shared" si="268"/>
        <v>K1622:L5000</v>
      </c>
      <c r="O3408" t="str">
        <f t="shared" si="269"/>
        <v>A1622:A3408</v>
      </c>
    </row>
    <row r="3409" spans="1:15">
      <c r="A3409" s="18">
        <f>Charms!K3409</f>
        <v>0</v>
      </c>
      <c r="B3409">
        <f>Charms!B3409</f>
        <v>0</v>
      </c>
      <c r="C3409" t="b">
        <f ca="1">OR(Values!$S$98&gt;=Charms!M3409,IFERROR(Charms!J3409=OFFSET(Values!$A$24,MATCH("S",Values!$T$25:$T$50,0),0),FALSE))</f>
        <v>1</v>
      </c>
      <c r="D3409" t="e">
        <f>VLOOKUP(Charms!J3409,Values!$A$11:$S$59,19,0)&gt;=Charms!L3409</f>
        <v>#N/A</v>
      </c>
      <c r="E3409" t="e">
        <f>OR(ISBLANK(Charms!I3409),(VLOOKUP(Values!$S$6,Castes!$B$2:$F$25,4,0)=Charms!I3409))</f>
        <v>#N/A</v>
      </c>
      <c r="J3409" t="e">
        <f t="shared" ca="1" si="266"/>
        <v>#N/A</v>
      </c>
      <c r="K3409" s="18" t="e">
        <f t="shared" ca="1" si="265"/>
        <v>#N/A</v>
      </c>
      <c r="L3409" t="e">
        <f ca="1">IF(J3409,Charms!B3409,"")</f>
        <v>#N/A</v>
      </c>
      <c r="M3409" t="str">
        <f t="shared" ca="1" si="267"/>
        <v>-</v>
      </c>
      <c r="N3409" s="18" t="str">
        <f t="shared" si="268"/>
        <v>K1622:L5000</v>
      </c>
      <c r="O3409" t="str">
        <f t="shared" si="269"/>
        <v>A1622:A3409</v>
      </c>
    </row>
    <row r="3410" spans="1:15">
      <c r="A3410" s="18">
        <f>Charms!K3410</f>
        <v>0</v>
      </c>
      <c r="B3410">
        <f>Charms!B3410</f>
        <v>0</v>
      </c>
      <c r="C3410" t="b">
        <f ca="1">OR(Values!$S$98&gt;=Charms!M3410,IFERROR(Charms!J3410=OFFSET(Values!$A$24,MATCH("S",Values!$T$25:$T$50,0),0),FALSE))</f>
        <v>1</v>
      </c>
      <c r="D3410" t="e">
        <f>VLOOKUP(Charms!J3410,Values!$A$11:$S$59,19,0)&gt;=Charms!L3410</f>
        <v>#N/A</v>
      </c>
      <c r="E3410" t="e">
        <f>OR(ISBLANK(Charms!I3410),(VLOOKUP(Values!$S$6,Castes!$B$2:$F$25,4,0)=Charms!I3410))</f>
        <v>#N/A</v>
      </c>
      <c r="J3410" t="e">
        <f t="shared" ca="1" si="266"/>
        <v>#N/A</v>
      </c>
      <c r="K3410" s="18" t="e">
        <f t="shared" ca="1" si="265"/>
        <v>#N/A</v>
      </c>
      <c r="L3410" t="e">
        <f ca="1">IF(J3410,Charms!B3410,"")</f>
        <v>#N/A</v>
      </c>
      <c r="M3410" t="str">
        <f t="shared" ca="1" si="267"/>
        <v>-</v>
      </c>
      <c r="N3410" s="18" t="str">
        <f t="shared" si="268"/>
        <v>K1622:L5000</v>
      </c>
      <c r="O3410" t="str">
        <f t="shared" si="269"/>
        <v>A1622:A3410</v>
      </c>
    </row>
    <row r="3411" spans="1:15">
      <c r="A3411" s="18">
        <f>Charms!K3411</f>
        <v>0</v>
      </c>
      <c r="B3411">
        <f>Charms!B3411</f>
        <v>0</v>
      </c>
      <c r="C3411" t="b">
        <f ca="1">OR(Values!$S$98&gt;=Charms!M3411,IFERROR(Charms!J3411=OFFSET(Values!$A$24,MATCH("S",Values!$T$25:$T$50,0),0),FALSE))</f>
        <v>1</v>
      </c>
      <c r="D3411" t="e">
        <f>VLOOKUP(Charms!J3411,Values!$A$11:$S$59,19,0)&gt;=Charms!L3411</f>
        <v>#N/A</v>
      </c>
      <c r="E3411" t="e">
        <f>OR(ISBLANK(Charms!I3411),(VLOOKUP(Values!$S$6,Castes!$B$2:$F$25,4,0)=Charms!I3411))</f>
        <v>#N/A</v>
      </c>
      <c r="J3411" t="e">
        <f t="shared" ca="1" si="266"/>
        <v>#N/A</v>
      </c>
      <c r="K3411" s="18" t="e">
        <f t="shared" ca="1" si="265"/>
        <v>#N/A</v>
      </c>
      <c r="L3411" t="e">
        <f ca="1">IF(J3411,Charms!B3411,"")</f>
        <v>#N/A</v>
      </c>
      <c r="M3411" t="str">
        <f t="shared" ca="1" si="267"/>
        <v>-</v>
      </c>
      <c r="N3411" s="18" t="str">
        <f t="shared" si="268"/>
        <v>K1622:L5000</v>
      </c>
      <c r="O3411" t="str">
        <f t="shared" si="269"/>
        <v>A1622:A3411</v>
      </c>
    </row>
    <row r="3412" spans="1:15">
      <c r="A3412" s="18">
        <f>Charms!K3412</f>
        <v>0</v>
      </c>
      <c r="B3412">
        <f>Charms!B3412</f>
        <v>0</v>
      </c>
      <c r="C3412" t="b">
        <f ca="1">OR(Values!$S$98&gt;=Charms!M3412,IFERROR(Charms!J3412=OFFSET(Values!$A$24,MATCH("S",Values!$T$25:$T$50,0),0),FALSE))</f>
        <v>1</v>
      </c>
      <c r="D3412" t="e">
        <f>VLOOKUP(Charms!J3412,Values!$A$11:$S$59,19,0)&gt;=Charms!L3412</f>
        <v>#N/A</v>
      </c>
      <c r="E3412" t="e">
        <f>OR(ISBLANK(Charms!I3412),(VLOOKUP(Values!$S$6,Castes!$B$2:$F$25,4,0)=Charms!I3412))</f>
        <v>#N/A</v>
      </c>
      <c r="J3412" t="e">
        <f t="shared" ca="1" si="266"/>
        <v>#N/A</v>
      </c>
      <c r="K3412" s="18" t="e">
        <f t="shared" ca="1" si="265"/>
        <v>#N/A</v>
      </c>
      <c r="L3412" t="e">
        <f ca="1">IF(J3412,Charms!B3412,"")</f>
        <v>#N/A</v>
      </c>
      <c r="M3412" t="str">
        <f t="shared" ca="1" si="267"/>
        <v>-</v>
      </c>
      <c r="N3412" s="18" t="str">
        <f t="shared" si="268"/>
        <v>K1622:L5000</v>
      </c>
      <c r="O3412" t="str">
        <f t="shared" si="269"/>
        <v>A1622:A3412</v>
      </c>
    </row>
    <row r="3413" spans="1:15">
      <c r="A3413" s="18">
        <f>Charms!K3413</f>
        <v>0</v>
      </c>
      <c r="B3413">
        <f>Charms!B3413</f>
        <v>0</v>
      </c>
      <c r="C3413" t="b">
        <f ca="1">OR(Values!$S$98&gt;=Charms!M3413,IFERROR(Charms!J3413=OFFSET(Values!$A$24,MATCH("S",Values!$T$25:$T$50,0),0),FALSE))</f>
        <v>1</v>
      </c>
      <c r="D3413" t="e">
        <f>VLOOKUP(Charms!J3413,Values!$A$11:$S$59,19,0)&gt;=Charms!L3413</f>
        <v>#N/A</v>
      </c>
      <c r="E3413" t="e">
        <f>OR(ISBLANK(Charms!I3413),(VLOOKUP(Values!$S$6,Castes!$B$2:$F$25,4,0)=Charms!I3413))</f>
        <v>#N/A</v>
      </c>
      <c r="J3413" t="e">
        <f t="shared" ca="1" si="266"/>
        <v>#N/A</v>
      </c>
      <c r="K3413" s="18" t="e">
        <f t="shared" ca="1" si="265"/>
        <v>#N/A</v>
      </c>
      <c r="L3413" t="e">
        <f ca="1">IF(J3413,Charms!B3413,"")</f>
        <v>#N/A</v>
      </c>
      <c r="M3413" t="str">
        <f t="shared" ca="1" si="267"/>
        <v>-</v>
      </c>
      <c r="N3413" s="18" t="str">
        <f t="shared" si="268"/>
        <v>K1622:L5000</v>
      </c>
      <c r="O3413" t="str">
        <f t="shared" si="269"/>
        <v>A1622:A3413</v>
      </c>
    </row>
    <row r="3414" spans="1:15">
      <c r="A3414" s="18">
        <f>Charms!K3414</f>
        <v>0</v>
      </c>
      <c r="B3414">
        <f>Charms!B3414</f>
        <v>0</v>
      </c>
      <c r="C3414" t="b">
        <f ca="1">OR(Values!$S$98&gt;=Charms!M3414,IFERROR(Charms!J3414=OFFSET(Values!$A$24,MATCH("S",Values!$T$25:$T$50,0),0),FALSE))</f>
        <v>1</v>
      </c>
      <c r="D3414" t="e">
        <f>VLOOKUP(Charms!J3414,Values!$A$11:$S$59,19,0)&gt;=Charms!L3414</f>
        <v>#N/A</v>
      </c>
      <c r="E3414" t="e">
        <f>OR(ISBLANK(Charms!I3414),(VLOOKUP(Values!$S$6,Castes!$B$2:$F$25,4,0)=Charms!I3414))</f>
        <v>#N/A</v>
      </c>
      <c r="J3414" t="e">
        <f t="shared" ca="1" si="266"/>
        <v>#N/A</v>
      </c>
      <c r="K3414" s="18" t="e">
        <f t="shared" ca="1" si="265"/>
        <v>#N/A</v>
      </c>
      <c r="L3414" t="e">
        <f ca="1">IF(J3414,Charms!B3414,"")</f>
        <v>#N/A</v>
      </c>
      <c r="M3414" t="str">
        <f t="shared" ca="1" si="267"/>
        <v>-</v>
      </c>
      <c r="N3414" s="18" t="str">
        <f t="shared" si="268"/>
        <v>K1622:L5000</v>
      </c>
      <c r="O3414" t="str">
        <f t="shared" si="269"/>
        <v>A1622:A3414</v>
      </c>
    </row>
    <row r="3415" spans="1:15">
      <c r="A3415" s="18">
        <f>Charms!K3415</f>
        <v>0</v>
      </c>
      <c r="B3415">
        <f>Charms!B3415</f>
        <v>0</v>
      </c>
      <c r="C3415" t="b">
        <f ca="1">OR(Values!$S$98&gt;=Charms!M3415,IFERROR(Charms!J3415=OFFSET(Values!$A$24,MATCH("S",Values!$T$25:$T$50,0),0),FALSE))</f>
        <v>1</v>
      </c>
      <c r="D3415" t="e">
        <f>VLOOKUP(Charms!J3415,Values!$A$11:$S$59,19,0)&gt;=Charms!L3415</f>
        <v>#N/A</v>
      </c>
      <c r="E3415" t="e">
        <f>OR(ISBLANK(Charms!I3415),(VLOOKUP(Values!$S$6,Castes!$B$2:$F$25,4,0)=Charms!I3415))</f>
        <v>#N/A</v>
      </c>
      <c r="J3415" t="e">
        <f t="shared" ca="1" si="266"/>
        <v>#N/A</v>
      </c>
      <c r="K3415" s="18" t="e">
        <f t="shared" ca="1" si="265"/>
        <v>#N/A</v>
      </c>
      <c r="L3415" t="e">
        <f ca="1">IF(J3415,Charms!B3415,"")</f>
        <v>#N/A</v>
      </c>
      <c r="M3415" t="str">
        <f t="shared" ca="1" si="267"/>
        <v>-</v>
      </c>
      <c r="N3415" s="18" t="str">
        <f t="shared" si="268"/>
        <v>K1622:L5000</v>
      </c>
      <c r="O3415" t="str">
        <f t="shared" si="269"/>
        <v>A1622:A3415</v>
      </c>
    </row>
    <row r="3416" spans="1:15">
      <c r="A3416" s="18">
        <f>Charms!K3416</f>
        <v>0</v>
      </c>
      <c r="B3416">
        <f>Charms!B3416</f>
        <v>0</v>
      </c>
      <c r="C3416" t="b">
        <f ca="1">OR(Values!$S$98&gt;=Charms!M3416,IFERROR(Charms!J3416=OFFSET(Values!$A$24,MATCH("S",Values!$T$25:$T$50,0),0),FALSE))</f>
        <v>1</v>
      </c>
      <c r="D3416" t="e">
        <f>VLOOKUP(Charms!J3416,Values!$A$11:$S$59,19,0)&gt;=Charms!L3416</f>
        <v>#N/A</v>
      </c>
      <c r="E3416" t="e">
        <f>OR(ISBLANK(Charms!I3416),(VLOOKUP(Values!$S$6,Castes!$B$2:$F$25,4,0)=Charms!I3416))</f>
        <v>#N/A</v>
      </c>
      <c r="J3416" t="e">
        <f t="shared" ca="1" si="266"/>
        <v>#N/A</v>
      </c>
      <c r="K3416" s="18" t="e">
        <f t="shared" ca="1" si="265"/>
        <v>#N/A</v>
      </c>
      <c r="L3416" t="e">
        <f ca="1">IF(J3416,Charms!B3416,"")</f>
        <v>#N/A</v>
      </c>
      <c r="M3416" t="str">
        <f t="shared" ca="1" si="267"/>
        <v>-</v>
      </c>
      <c r="N3416" s="18" t="str">
        <f t="shared" si="268"/>
        <v>K1622:L5000</v>
      </c>
      <c r="O3416" t="str">
        <f t="shared" si="269"/>
        <v>A1622:A3416</v>
      </c>
    </row>
    <row r="3417" spans="1:15">
      <c r="A3417" s="18">
        <f>Charms!K3417</f>
        <v>0</v>
      </c>
      <c r="B3417">
        <f>Charms!B3417</f>
        <v>0</v>
      </c>
      <c r="C3417" t="b">
        <f ca="1">OR(Values!$S$98&gt;=Charms!M3417,IFERROR(Charms!J3417=OFFSET(Values!$A$24,MATCH("S",Values!$T$25:$T$50,0),0),FALSE))</f>
        <v>1</v>
      </c>
      <c r="D3417" t="e">
        <f>VLOOKUP(Charms!J3417,Values!$A$11:$S$59,19,0)&gt;=Charms!L3417</f>
        <v>#N/A</v>
      </c>
      <c r="E3417" t="e">
        <f>OR(ISBLANK(Charms!I3417),(VLOOKUP(Values!$S$6,Castes!$B$2:$F$25,4,0)=Charms!I3417))</f>
        <v>#N/A</v>
      </c>
      <c r="J3417" t="e">
        <f t="shared" ca="1" si="266"/>
        <v>#N/A</v>
      </c>
      <c r="K3417" s="18" t="e">
        <f t="shared" ca="1" si="265"/>
        <v>#N/A</v>
      </c>
      <c r="L3417" t="e">
        <f ca="1">IF(J3417,Charms!B3417,"")</f>
        <v>#N/A</v>
      </c>
      <c r="M3417" t="str">
        <f t="shared" ca="1" si="267"/>
        <v>-</v>
      </c>
      <c r="N3417" s="18" t="str">
        <f t="shared" si="268"/>
        <v>K1622:L5000</v>
      </c>
      <c r="O3417" t="str">
        <f t="shared" si="269"/>
        <v>A1622:A3417</v>
      </c>
    </row>
    <row r="3418" spans="1:15">
      <c r="A3418" s="18">
        <f>Charms!K3418</f>
        <v>0</v>
      </c>
      <c r="B3418">
        <f>Charms!B3418</f>
        <v>0</v>
      </c>
      <c r="C3418" t="b">
        <f ca="1">OR(Values!$S$98&gt;=Charms!M3418,IFERROR(Charms!J3418=OFFSET(Values!$A$24,MATCH("S",Values!$T$25:$T$50,0),0),FALSE))</f>
        <v>1</v>
      </c>
      <c r="D3418" t="e">
        <f>VLOOKUP(Charms!J3418,Values!$A$11:$S$59,19,0)&gt;=Charms!L3418</f>
        <v>#N/A</v>
      </c>
      <c r="E3418" t="e">
        <f>OR(ISBLANK(Charms!I3418),(VLOOKUP(Values!$S$6,Castes!$B$2:$F$25,4,0)=Charms!I3418))</f>
        <v>#N/A</v>
      </c>
      <c r="J3418" t="e">
        <f t="shared" ca="1" si="266"/>
        <v>#N/A</v>
      </c>
      <c r="K3418" s="18" t="e">
        <f t="shared" ca="1" si="265"/>
        <v>#N/A</v>
      </c>
      <c r="L3418" t="e">
        <f ca="1">IF(J3418,Charms!B3418,"")</f>
        <v>#N/A</v>
      </c>
      <c r="M3418" t="str">
        <f t="shared" ca="1" si="267"/>
        <v>-</v>
      </c>
      <c r="N3418" s="18" t="str">
        <f t="shared" si="268"/>
        <v>K1622:L5000</v>
      </c>
      <c r="O3418" t="str">
        <f t="shared" si="269"/>
        <v>A1622:A3418</v>
      </c>
    </row>
    <row r="3419" spans="1:15">
      <c r="A3419" s="18">
        <f>Charms!K3419</f>
        <v>0</v>
      </c>
      <c r="B3419">
        <f>Charms!B3419</f>
        <v>0</v>
      </c>
      <c r="C3419" t="b">
        <f ca="1">OR(Values!$S$98&gt;=Charms!M3419,IFERROR(Charms!J3419=OFFSET(Values!$A$24,MATCH("S",Values!$T$25:$T$50,0),0),FALSE))</f>
        <v>1</v>
      </c>
      <c r="D3419" t="e">
        <f>VLOOKUP(Charms!J3419,Values!$A$11:$S$59,19,0)&gt;=Charms!L3419</f>
        <v>#N/A</v>
      </c>
      <c r="E3419" t="e">
        <f>OR(ISBLANK(Charms!I3419),(VLOOKUP(Values!$S$6,Castes!$B$2:$F$25,4,0)=Charms!I3419))</f>
        <v>#N/A</v>
      </c>
      <c r="J3419" t="e">
        <f t="shared" ca="1" si="266"/>
        <v>#N/A</v>
      </c>
      <c r="K3419" s="18" t="e">
        <f t="shared" ca="1" si="265"/>
        <v>#N/A</v>
      </c>
      <c r="L3419" t="e">
        <f ca="1">IF(J3419,Charms!B3419,"")</f>
        <v>#N/A</v>
      </c>
      <c r="M3419" t="str">
        <f t="shared" ca="1" si="267"/>
        <v>-</v>
      </c>
      <c r="N3419" s="18" t="str">
        <f t="shared" si="268"/>
        <v>K1622:L5000</v>
      </c>
      <c r="O3419" t="str">
        <f t="shared" si="269"/>
        <v>A1622:A3419</v>
      </c>
    </row>
    <row r="3420" spans="1:15">
      <c r="A3420" s="18">
        <f>Charms!K3420</f>
        <v>0</v>
      </c>
      <c r="B3420">
        <f>Charms!B3420</f>
        <v>0</v>
      </c>
      <c r="C3420" t="b">
        <f ca="1">OR(Values!$S$98&gt;=Charms!M3420,IFERROR(Charms!J3420=OFFSET(Values!$A$24,MATCH("S",Values!$T$25:$T$50,0),0),FALSE))</f>
        <v>1</v>
      </c>
      <c r="D3420" t="e">
        <f>VLOOKUP(Charms!J3420,Values!$A$11:$S$59,19,0)&gt;=Charms!L3420</f>
        <v>#N/A</v>
      </c>
      <c r="E3420" t="e">
        <f>OR(ISBLANK(Charms!I3420),(VLOOKUP(Values!$S$6,Castes!$B$2:$F$25,4,0)=Charms!I3420))</f>
        <v>#N/A</v>
      </c>
      <c r="J3420" t="e">
        <f t="shared" ca="1" si="266"/>
        <v>#N/A</v>
      </c>
      <c r="K3420" s="18" t="e">
        <f t="shared" ca="1" si="265"/>
        <v>#N/A</v>
      </c>
      <c r="L3420" t="e">
        <f ca="1">IF(J3420,Charms!B3420,"")</f>
        <v>#N/A</v>
      </c>
      <c r="M3420" t="str">
        <f t="shared" ca="1" si="267"/>
        <v>-</v>
      </c>
      <c r="N3420" s="18" t="str">
        <f t="shared" si="268"/>
        <v>K1622:L5000</v>
      </c>
      <c r="O3420" t="str">
        <f t="shared" si="269"/>
        <v>A1622:A3420</v>
      </c>
    </row>
    <row r="3421" spans="1:15">
      <c r="A3421" s="18">
        <f>Charms!K3421</f>
        <v>0</v>
      </c>
      <c r="B3421">
        <f>Charms!B3421</f>
        <v>0</v>
      </c>
      <c r="C3421" t="b">
        <f ca="1">OR(Values!$S$98&gt;=Charms!M3421,IFERROR(Charms!J3421=OFFSET(Values!$A$24,MATCH("S",Values!$T$25:$T$50,0),0),FALSE))</f>
        <v>1</v>
      </c>
      <c r="D3421" t="e">
        <f>VLOOKUP(Charms!J3421,Values!$A$11:$S$59,19,0)&gt;=Charms!L3421</f>
        <v>#N/A</v>
      </c>
      <c r="E3421" t="e">
        <f>OR(ISBLANK(Charms!I3421),(VLOOKUP(Values!$S$6,Castes!$B$2:$F$25,4,0)=Charms!I3421))</f>
        <v>#N/A</v>
      </c>
      <c r="J3421" t="e">
        <f t="shared" ca="1" si="266"/>
        <v>#N/A</v>
      </c>
      <c r="K3421" s="18" t="e">
        <f t="shared" ca="1" si="265"/>
        <v>#N/A</v>
      </c>
      <c r="L3421" t="e">
        <f ca="1">IF(J3421,Charms!B3421,"")</f>
        <v>#N/A</v>
      </c>
      <c r="M3421" t="str">
        <f t="shared" ca="1" si="267"/>
        <v>-</v>
      </c>
      <c r="N3421" s="18" t="str">
        <f t="shared" si="268"/>
        <v>K1622:L5000</v>
      </c>
      <c r="O3421" t="str">
        <f t="shared" si="269"/>
        <v>A1622:A3421</v>
      </c>
    </row>
    <row r="3422" spans="1:15">
      <c r="A3422" s="18">
        <f>Charms!K3422</f>
        <v>0</v>
      </c>
      <c r="B3422">
        <f>Charms!B3422</f>
        <v>0</v>
      </c>
      <c r="C3422" t="b">
        <f ca="1">OR(Values!$S$98&gt;=Charms!M3422,IFERROR(Charms!J3422=OFFSET(Values!$A$24,MATCH("S",Values!$T$25:$T$50,0),0),FALSE))</f>
        <v>1</v>
      </c>
      <c r="D3422" t="e">
        <f>VLOOKUP(Charms!J3422,Values!$A$11:$S$59,19,0)&gt;=Charms!L3422</f>
        <v>#N/A</v>
      </c>
      <c r="E3422" t="e">
        <f>OR(ISBLANK(Charms!I3422),(VLOOKUP(Values!$S$6,Castes!$B$2:$F$25,4,0)=Charms!I3422))</f>
        <v>#N/A</v>
      </c>
      <c r="J3422" t="e">
        <f t="shared" ca="1" si="266"/>
        <v>#N/A</v>
      </c>
      <c r="K3422" s="18" t="e">
        <f t="shared" ca="1" si="265"/>
        <v>#N/A</v>
      </c>
      <c r="L3422" t="e">
        <f ca="1">IF(J3422,Charms!B3422,"")</f>
        <v>#N/A</v>
      </c>
      <c r="M3422" t="str">
        <f t="shared" ca="1" si="267"/>
        <v>-</v>
      </c>
      <c r="N3422" s="18" t="str">
        <f t="shared" si="268"/>
        <v>K1622:L5000</v>
      </c>
      <c r="O3422" t="str">
        <f t="shared" si="269"/>
        <v>A1622:A3422</v>
      </c>
    </row>
    <row r="3423" spans="1:15">
      <c r="A3423" s="18">
        <f>Charms!K3423</f>
        <v>0</v>
      </c>
      <c r="B3423">
        <f>Charms!B3423</f>
        <v>0</v>
      </c>
      <c r="C3423" t="b">
        <f ca="1">OR(Values!$S$98&gt;=Charms!M3423,IFERROR(Charms!J3423=OFFSET(Values!$A$24,MATCH("S",Values!$T$25:$T$50,0),0),FALSE))</f>
        <v>1</v>
      </c>
      <c r="D3423" t="e">
        <f>VLOOKUP(Charms!J3423,Values!$A$11:$S$59,19,0)&gt;=Charms!L3423</f>
        <v>#N/A</v>
      </c>
      <c r="E3423" t="e">
        <f>OR(ISBLANK(Charms!I3423),(VLOOKUP(Values!$S$6,Castes!$B$2:$F$25,4,0)=Charms!I3423))</f>
        <v>#N/A</v>
      </c>
      <c r="J3423" t="e">
        <f t="shared" ca="1" si="266"/>
        <v>#N/A</v>
      </c>
      <c r="K3423" s="18" t="e">
        <f t="shared" ca="1" si="265"/>
        <v>#N/A</v>
      </c>
      <c r="L3423" t="e">
        <f ca="1">IF(J3423,Charms!B3423,"")</f>
        <v>#N/A</v>
      </c>
      <c r="M3423" t="str">
        <f t="shared" ca="1" si="267"/>
        <v>-</v>
      </c>
      <c r="N3423" s="18" t="str">
        <f t="shared" si="268"/>
        <v>K1622:L5000</v>
      </c>
      <c r="O3423" t="str">
        <f t="shared" si="269"/>
        <v>A1622:A3423</v>
      </c>
    </row>
    <row r="3424" spans="1:15">
      <c r="A3424" s="18">
        <f>Charms!K3424</f>
        <v>0</v>
      </c>
      <c r="B3424">
        <f>Charms!B3424</f>
        <v>0</v>
      </c>
      <c r="C3424" t="b">
        <f ca="1">OR(Values!$S$98&gt;=Charms!M3424,IFERROR(Charms!J3424=OFFSET(Values!$A$24,MATCH("S",Values!$T$25:$T$50,0),0),FALSE))</f>
        <v>1</v>
      </c>
      <c r="D3424" t="e">
        <f>VLOOKUP(Charms!J3424,Values!$A$11:$S$59,19,0)&gt;=Charms!L3424</f>
        <v>#N/A</v>
      </c>
      <c r="E3424" t="e">
        <f>OR(ISBLANK(Charms!I3424),(VLOOKUP(Values!$S$6,Castes!$B$2:$F$25,4,0)=Charms!I3424))</f>
        <v>#N/A</v>
      </c>
      <c r="J3424" t="e">
        <f t="shared" ca="1" si="266"/>
        <v>#N/A</v>
      </c>
      <c r="K3424" s="18" t="e">
        <f t="shared" ca="1" si="265"/>
        <v>#N/A</v>
      </c>
      <c r="L3424" t="e">
        <f ca="1">IF(J3424,Charms!B3424,"")</f>
        <v>#N/A</v>
      </c>
      <c r="M3424" t="str">
        <f t="shared" ca="1" si="267"/>
        <v>-</v>
      </c>
      <c r="N3424" s="18" t="str">
        <f t="shared" si="268"/>
        <v>K1622:L5000</v>
      </c>
      <c r="O3424" t="str">
        <f t="shared" si="269"/>
        <v>A1622:A3424</v>
      </c>
    </row>
    <row r="3425" spans="1:15">
      <c r="A3425" s="18">
        <f>Charms!K3425</f>
        <v>0</v>
      </c>
      <c r="B3425">
        <f>Charms!B3425</f>
        <v>0</v>
      </c>
      <c r="C3425" t="b">
        <f ca="1">OR(Values!$S$98&gt;=Charms!M3425,IFERROR(Charms!J3425=OFFSET(Values!$A$24,MATCH("S",Values!$T$25:$T$50,0),0),FALSE))</f>
        <v>1</v>
      </c>
      <c r="D3425" t="e">
        <f>VLOOKUP(Charms!J3425,Values!$A$11:$S$59,19,0)&gt;=Charms!L3425</f>
        <v>#N/A</v>
      </c>
      <c r="E3425" t="e">
        <f>OR(ISBLANK(Charms!I3425),(VLOOKUP(Values!$S$6,Castes!$B$2:$F$25,4,0)=Charms!I3425))</f>
        <v>#N/A</v>
      </c>
      <c r="J3425" t="e">
        <f t="shared" ca="1" si="266"/>
        <v>#N/A</v>
      </c>
      <c r="K3425" s="18" t="e">
        <f t="shared" ca="1" si="265"/>
        <v>#N/A</v>
      </c>
      <c r="L3425" t="e">
        <f ca="1">IF(J3425,Charms!B3425,"")</f>
        <v>#N/A</v>
      </c>
      <c r="M3425" t="str">
        <f t="shared" ca="1" si="267"/>
        <v>-</v>
      </c>
      <c r="N3425" s="18" t="str">
        <f t="shared" si="268"/>
        <v>K1622:L5000</v>
      </c>
      <c r="O3425" t="str">
        <f t="shared" si="269"/>
        <v>A1622:A3425</v>
      </c>
    </row>
    <row r="3426" spans="1:15">
      <c r="A3426" s="18">
        <f>Charms!K3426</f>
        <v>0</v>
      </c>
      <c r="B3426">
        <f>Charms!B3426</f>
        <v>0</v>
      </c>
      <c r="C3426" t="b">
        <f ca="1">OR(Values!$S$98&gt;=Charms!M3426,IFERROR(Charms!J3426=OFFSET(Values!$A$24,MATCH("S",Values!$T$25:$T$50,0),0),FALSE))</f>
        <v>1</v>
      </c>
      <c r="D3426" t="e">
        <f>VLOOKUP(Charms!J3426,Values!$A$11:$S$59,19,0)&gt;=Charms!L3426</f>
        <v>#N/A</v>
      </c>
      <c r="E3426" t="e">
        <f>OR(ISBLANK(Charms!I3426),(VLOOKUP(Values!$S$6,Castes!$B$2:$F$25,4,0)=Charms!I3426))</f>
        <v>#N/A</v>
      </c>
      <c r="J3426" t="e">
        <f t="shared" ca="1" si="266"/>
        <v>#N/A</v>
      </c>
      <c r="K3426" s="18" t="e">
        <f t="shared" ca="1" si="265"/>
        <v>#N/A</v>
      </c>
      <c r="L3426" t="e">
        <f ca="1">IF(J3426,Charms!B3426,"")</f>
        <v>#N/A</v>
      </c>
      <c r="M3426" t="str">
        <f t="shared" ca="1" si="267"/>
        <v>-</v>
      </c>
      <c r="N3426" s="18" t="str">
        <f t="shared" si="268"/>
        <v>K1622:L5000</v>
      </c>
      <c r="O3426" t="str">
        <f t="shared" si="269"/>
        <v>A1622:A3426</v>
      </c>
    </row>
    <row r="3427" spans="1:15">
      <c r="A3427" s="18">
        <f>Charms!K3427</f>
        <v>0</v>
      </c>
      <c r="B3427">
        <f>Charms!B3427</f>
        <v>0</v>
      </c>
      <c r="C3427" t="b">
        <f ca="1">OR(Values!$S$98&gt;=Charms!M3427,IFERROR(Charms!J3427=OFFSET(Values!$A$24,MATCH("S",Values!$T$25:$T$50,0),0),FALSE))</f>
        <v>1</v>
      </c>
      <c r="D3427" t="e">
        <f>VLOOKUP(Charms!J3427,Values!$A$11:$S$59,19,0)&gt;=Charms!L3427</f>
        <v>#N/A</v>
      </c>
      <c r="E3427" t="e">
        <f>OR(ISBLANK(Charms!I3427),(VLOOKUP(Values!$S$6,Castes!$B$2:$F$25,4,0)=Charms!I3427))</f>
        <v>#N/A</v>
      </c>
      <c r="J3427" t="e">
        <f t="shared" ca="1" si="266"/>
        <v>#N/A</v>
      </c>
      <c r="K3427" s="18" t="e">
        <f t="shared" ca="1" si="265"/>
        <v>#N/A</v>
      </c>
      <c r="L3427" t="e">
        <f ca="1">IF(J3427,Charms!B3427,"")</f>
        <v>#N/A</v>
      </c>
      <c r="M3427" t="str">
        <f t="shared" ca="1" si="267"/>
        <v>-</v>
      </c>
      <c r="N3427" s="18" t="str">
        <f t="shared" si="268"/>
        <v>K1622:L5000</v>
      </c>
      <c r="O3427" t="str">
        <f t="shared" si="269"/>
        <v>A1622:A3427</v>
      </c>
    </row>
    <row r="3428" spans="1:15">
      <c r="A3428" s="18">
        <f>Charms!K3428</f>
        <v>0</v>
      </c>
      <c r="B3428">
        <f>Charms!B3428</f>
        <v>0</v>
      </c>
      <c r="C3428" t="b">
        <f ca="1">OR(Values!$S$98&gt;=Charms!M3428,IFERROR(Charms!J3428=OFFSET(Values!$A$24,MATCH("S",Values!$T$25:$T$50,0),0),FALSE))</f>
        <v>1</v>
      </c>
      <c r="D3428" t="e">
        <f>VLOOKUP(Charms!J3428,Values!$A$11:$S$59,19,0)&gt;=Charms!L3428</f>
        <v>#N/A</v>
      </c>
      <c r="E3428" t="e">
        <f>OR(ISBLANK(Charms!I3428),(VLOOKUP(Values!$S$6,Castes!$B$2:$F$25,4,0)=Charms!I3428))</f>
        <v>#N/A</v>
      </c>
      <c r="J3428" t="e">
        <f t="shared" ca="1" si="266"/>
        <v>#N/A</v>
      </c>
      <c r="K3428" s="18" t="e">
        <f t="shared" ca="1" si="265"/>
        <v>#N/A</v>
      </c>
      <c r="L3428" t="e">
        <f ca="1">IF(J3428,Charms!B3428,"")</f>
        <v>#N/A</v>
      </c>
      <c r="M3428" t="str">
        <f t="shared" ca="1" si="267"/>
        <v>-</v>
      </c>
      <c r="N3428" s="18" t="str">
        <f t="shared" si="268"/>
        <v>K1622:L5000</v>
      </c>
      <c r="O3428" t="str">
        <f t="shared" si="269"/>
        <v>A1622:A3428</v>
      </c>
    </row>
    <row r="3429" spans="1:15">
      <c r="A3429" s="18">
        <f>Charms!K3429</f>
        <v>0</v>
      </c>
      <c r="B3429">
        <f>Charms!B3429</f>
        <v>0</v>
      </c>
      <c r="C3429" t="b">
        <f ca="1">OR(Values!$S$98&gt;=Charms!M3429,IFERROR(Charms!J3429=OFFSET(Values!$A$24,MATCH("S",Values!$T$25:$T$50,0),0),FALSE))</f>
        <v>1</v>
      </c>
      <c r="D3429" t="e">
        <f>VLOOKUP(Charms!J3429,Values!$A$11:$S$59,19,0)&gt;=Charms!L3429</f>
        <v>#N/A</v>
      </c>
      <c r="E3429" t="e">
        <f>OR(ISBLANK(Charms!I3429),(VLOOKUP(Values!$S$6,Castes!$B$2:$F$25,4,0)=Charms!I3429))</f>
        <v>#N/A</v>
      </c>
      <c r="J3429" t="e">
        <f t="shared" ca="1" si="266"/>
        <v>#N/A</v>
      </c>
      <c r="K3429" s="18" t="e">
        <f t="shared" ca="1" si="265"/>
        <v>#N/A</v>
      </c>
      <c r="L3429" t="e">
        <f ca="1">IF(J3429,Charms!B3429,"")</f>
        <v>#N/A</v>
      </c>
      <c r="M3429" t="str">
        <f t="shared" ca="1" si="267"/>
        <v>-</v>
      </c>
      <c r="N3429" s="18" t="str">
        <f t="shared" si="268"/>
        <v>K1622:L5000</v>
      </c>
      <c r="O3429" t="str">
        <f t="shared" si="269"/>
        <v>A1622:A3429</v>
      </c>
    </row>
    <row r="3430" spans="1:15">
      <c r="A3430" s="18">
        <f>Charms!K3430</f>
        <v>0</v>
      </c>
      <c r="B3430">
        <f>Charms!B3430</f>
        <v>0</v>
      </c>
      <c r="C3430" t="b">
        <f ca="1">OR(Values!$S$98&gt;=Charms!M3430,IFERROR(Charms!J3430=OFFSET(Values!$A$24,MATCH("S",Values!$T$25:$T$50,0),0),FALSE))</f>
        <v>1</v>
      </c>
      <c r="D3430" t="e">
        <f>VLOOKUP(Charms!J3430,Values!$A$11:$S$59,19,0)&gt;=Charms!L3430</f>
        <v>#N/A</v>
      </c>
      <c r="E3430" t="e">
        <f>OR(ISBLANK(Charms!I3430),(VLOOKUP(Values!$S$6,Castes!$B$2:$F$25,4,0)=Charms!I3430))</f>
        <v>#N/A</v>
      </c>
      <c r="J3430" t="e">
        <f t="shared" ca="1" si="266"/>
        <v>#N/A</v>
      </c>
      <c r="K3430" s="18" t="e">
        <f t="shared" ca="1" si="265"/>
        <v>#N/A</v>
      </c>
      <c r="L3430" t="e">
        <f ca="1">IF(J3430,Charms!B3430,"")</f>
        <v>#N/A</v>
      </c>
      <c r="M3430" t="str">
        <f t="shared" ca="1" si="267"/>
        <v>-</v>
      </c>
      <c r="N3430" s="18" t="str">
        <f t="shared" si="268"/>
        <v>K1622:L5000</v>
      </c>
      <c r="O3430" t="str">
        <f t="shared" si="269"/>
        <v>A1622:A3430</v>
      </c>
    </row>
    <row r="3431" spans="1:15">
      <c r="A3431" s="18">
        <f>Charms!K3431</f>
        <v>0</v>
      </c>
      <c r="B3431">
        <f>Charms!B3431</f>
        <v>0</v>
      </c>
      <c r="C3431" t="b">
        <f ca="1">OR(Values!$S$98&gt;=Charms!M3431,IFERROR(Charms!J3431=OFFSET(Values!$A$24,MATCH("S",Values!$T$25:$T$50,0),0),FALSE))</f>
        <v>1</v>
      </c>
      <c r="D3431" t="e">
        <f>VLOOKUP(Charms!J3431,Values!$A$11:$S$59,19,0)&gt;=Charms!L3431</f>
        <v>#N/A</v>
      </c>
      <c r="E3431" t="e">
        <f>OR(ISBLANK(Charms!I3431),(VLOOKUP(Values!$S$6,Castes!$B$2:$F$25,4,0)=Charms!I3431))</f>
        <v>#N/A</v>
      </c>
      <c r="J3431" t="e">
        <f t="shared" ca="1" si="266"/>
        <v>#N/A</v>
      </c>
      <c r="K3431" s="18" t="e">
        <f t="shared" ca="1" si="265"/>
        <v>#N/A</v>
      </c>
      <c r="L3431" t="e">
        <f ca="1">IF(J3431,Charms!B3431,"")</f>
        <v>#N/A</v>
      </c>
      <c r="M3431" t="str">
        <f t="shared" ca="1" si="267"/>
        <v>-</v>
      </c>
      <c r="N3431" s="18" t="str">
        <f t="shared" si="268"/>
        <v>K1622:L5000</v>
      </c>
      <c r="O3431" t="str">
        <f t="shared" si="269"/>
        <v>A1622:A3431</v>
      </c>
    </row>
    <row r="3432" spans="1:15">
      <c r="A3432" s="18">
        <f>Charms!K3432</f>
        <v>0</v>
      </c>
      <c r="B3432">
        <f>Charms!B3432</f>
        <v>0</v>
      </c>
      <c r="C3432" t="b">
        <f ca="1">OR(Values!$S$98&gt;=Charms!M3432,IFERROR(Charms!J3432=OFFSET(Values!$A$24,MATCH("S",Values!$T$25:$T$50,0),0),FALSE))</f>
        <v>1</v>
      </c>
      <c r="D3432" t="e">
        <f>VLOOKUP(Charms!J3432,Values!$A$11:$S$59,19,0)&gt;=Charms!L3432</f>
        <v>#N/A</v>
      </c>
      <c r="E3432" t="e">
        <f>OR(ISBLANK(Charms!I3432),(VLOOKUP(Values!$S$6,Castes!$B$2:$F$25,4,0)=Charms!I3432))</f>
        <v>#N/A</v>
      </c>
      <c r="J3432" t="e">
        <f t="shared" ca="1" si="266"/>
        <v>#N/A</v>
      </c>
      <c r="K3432" s="18" t="e">
        <f t="shared" ca="1" si="265"/>
        <v>#N/A</v>
      </c>
      <c r="L3432" t="e">
        <f ca="1">IF(J3432,Charms!B3432,"")</f>
        <v>#N/A</v>
      </c>
      <c r="M3432" t="str">
        <f t="shared" ca="1" si="267"/>
        <v>-</v>
      </c>
      <c r="N3432" s="18" t="str">
        <f t="shared" si="268"/>
        <v>K1622:L5000</v>
      </c>
      <c r="O3432" t="str">
        <f t="shared" si="269"/>
        <v>A1622:A3432</v>
      </c>
    </row>
    <row r="3433" spans="1:15">
      <c r="A3433" s="18">
        <f>Charms!K3433</f>
        <v>0</v>
      </c>
      <c r="B3433">
        <f>Charms!B3433</f>
        <v>0</v>
      </c>
      <c r="C3433" t="b">
        <f ca="1">OR(Values!$S$98&gt;=Charms!M3433,IFERROR(Charms!J3433=OFFSET(Values!$A$24,MATCH("S",Values!$T$25:$T$50,0),0),FALSE))</f>
        <v>1</v>
      </c>
      <c r="D3433" t="e">
        <f>VLOOKUP(Charms!J3433,Values!$A$11:$S$59,19,0)&gt;=Charms!L3433</f>
        <v>#N/A</v>
      </c>
      <c r="E3433" t="e">
        <f>OR(ISBLANK(Charms!I3433),(VLOOKUP(Values!$S$6,Castes!$B$2:$F$25,4,0)=Charms!I3433))</f>
        <v>#N/A</v>
      </c>
      <c r="J3433" t="e">
        <f t="shared" ca="1" si="266"/>
        <v>#N/A</v>
      </c>
      <c r="K3433" s="18" t="e">
        <f t="shared" ca="1" si="265"/>
        <v>#N/A</v>
      </c>
      <c r="L3433" t="e">
        <f ca="1">IF(J3433,Charms!B3433,"")</f>
        <v>#N/A</v>
      </c>
      <c r="M3433" t="str">
        <f t="shared" ca="1" si="267"/>
        <v>-</v>
      </c>
      <c r="N3433" s="18" t="str">
        <f t="shared" si="268"/>
        <v>K1622:L5000</v>
      </c>
      <c r="O3433" t="str">
        <f t="shared" si="269"/>
        <v>A1622:A3433</v>
      </c>
    </row>
    <row r="3434" spans="1:15">
      <c r="A3434" s="18">
        <f>Charms!K3434</f>
        <v>0</v>
      </c>
      <c r="B3434">
        <f>Charms!B3434</f>
        <v>0</v>
      </c>
      <c r="C3434" t="b">
        <f ca="1">OR(Values!$S$98&gt;=Charms!M3434,IFERROR(Charms!J3434=OFFSET(Values!$A$24,MATCH("S",Values!$T$25:$T$50,0),0),FALSE))</f>
        <v>1</v>
      </c>
      <c r="D3434" t="e">
        <f>VLOOKUP(Charms!J3434,Values!$A$11:$S$59,19,0)&gt;=Charms!L3434</f>
        <v>#N/A</v>
      </c>
      <c r="E3434" t="e">
        <f>OR(ISBLANK(Charms!I3434),(VLOOKUP(Values!$S$6,Castes!$B$2:$F$25,4,0)=Charms!I3434))</f>
        <v>#N/A</v>
      </c>
      <c r="J3434" t="e">
        <f t="shared" ca="1" si="266"/>
        <v>#N/A</v>
      </c>
      <c r="K3434" s="18" t="e">
        <f t="shared" ca="1" si="265"/>
        <v>#N/A</v>
      </c>
      <c r="L3434" t="e">
        <f ca="1">IF(J3434,Charms!B3434,"")</f>
        <v>#N/A</v>
      </c>
      <c r="M3434" t="str">
        <f t="shared" ca="1" si="267"/>
        <v>-</v>
      </c>
      <c r="N3434" s="18" t="str">
        <f t="shared" si="268"/>
        <v>K1622:L5000</v>
      </c>
      <c r="O3434" t="str">
        <f t="shared" si="269"/>
        <v>A1622:A3434</v>
      </c>
    </row>
    <row r="3435" spans="1:15">
      <c r="A3435" s="18">
        <f>Charms!K3435</f>
        <v>0</v>
      </c>
      <c r="B3435">
        <f>Charms!B3435</f>
        <v>0</v>
      </c>
      <c r="C3435" t="b">
        <f ca="1">OR(Values!$S$98&gt;=Charms!M3435,IFERROR(Charms!J3435=OFFSET(Values!$A$24,MATCH("S",Values!$T$25:$T$50,0),0),FALSE))</f>
        <v>1</v>
      </c>
      <c r="D3435" t="e">
        <f>VLOOKUP(Charms!J3435,Values!$A$11:$S$59,19,0)&gt;=Charms!L3435</f>
        <v>#N/A</v>
      </c>
      <c r="E3435" t="e">
        <f>OR(ISBLANK(Charms!I3435),(VLOOKUP(Values!$S$6,Castes!$B$2:$F$25,4,0)=Charms!I3435))</f>
        <v>#N/A</v>
      </c>
      <c r="J3435" t="e">
        <f t="shared" ca="1" si="266"/>
        <v>#N/A</v>
      </c>
      <c r="K3435" s="18" t="e">
        <f t="shared" ca="1" si="265"/>
        <v>#N/A</v>
      </c>
      <c r="L3435" t="e">
        <f ca="1">IF(J3435,Charms!B3435,"")</f>
        <v>#N/A</v>
      </c>
      <c r="M3435" t="str">
        <f t="shared" ca="1" si="267"/>
        <v>-</v>
      </c>
      <c r="N3435" s="18" t="str">
        <f t="shared" si="268"/>
        <v>K1622:L5000</v>
      </c>
      <c r="O3435" t="str">
        <f t="shared" si="269"/>
        <v>A1622:A3435</v>
      </c>
    </row>
    <row r="3436" spans="1:15">
      <c r="A3436" s="18">
        <f>Charms!K3436</f>
        <v>0</v>
      </c>
      <c r="B3436">
        <f>Charms!B3436</f>
        <v>0</v>
      </c>
      <c r="C3436" t="b">
        <f ca="1">OR(Values!$S$98&gt;=Charms!M3436,IFERROR(Charms!J3436=OFFSET(Values!$A$24,MATCH("S",Values!$T$25:$T$50,0),0),FALSE))</f>
        <v>1</v>
      </c>
      <c r="D3436" t="e">
        <f>VLOOKUP(Charms!J3436,Values!$A$11:$S$59,19,0)&gt;=Charms!L3436</f>
        <v>#N/A</v>
      </c>
      <c r="E3436" t="e">
        <f>OR(ISBLANK(Charms!I3436),(VLOOKUP(Values!$S$6,Castes!$B$2:$F$25,4,0)=Charms!I3436))</f>
        <v>#N/A</v>
      </c>
      <c r="J3436" t="e">
        <f t="shared" ca="1" si="266"/>
        <v>#N/A</v>
      </c>
      <c r="K3436" s="18" t="e">
        <f t="shared" ca="1" si="265"/>
        <v>#N/A</v>
      </c>
      <c r="L3436" t="e">
        <f ca="1">IF(J3436,Charms!B3436,"")</f>
        <v>#N/A</v>
      </c>
      <c r="M3436" t="str">
        <f t="shared" ca="1" si="267"/>
        <v>-</v>
      </c>
      <c r="N3436" s="18" t="str">
        <f t="shared" si="268"/>
        <v>K1622:L5000</v>
      </c>
      <c r="O3436" t="str">
        <f t="shared" si="269"/>
        <v>A1622:A3436</v>
      </c>
    </row>
    <row r="3437" spans="1:15">
      <c r="A3437" s="18">
        <f>Charms!K3437</f>
        <v>0</v>
      </c>
      <c r="B3437">
        <f>Charms!B3437</f>
        <v>0</v>
      </c>
      <c r="C3437" t="b">
        <f ca="1">OR(Values!$S$98&gt;=Charms!M3437,IFERROR(Charms!J3437=OFFSET(Values!$A$24,MATCH("S",Values!$T$25:$T$50,0),0),FALSE))</f>
        <v>1</v>
      </c>
      <c r="D3437" t="e">
        <f>VLOOKUP(Charms!J3437,Values!$A$11:$S$59,19,0)&gt;=Charms!L3437</f>
        <v>#N/A</v>
      </c>
      <c r="E3437" t="e">
        <f>OR(ISBLANK(Charms!I3437),(VLOOKUP(Values!$S$6,Castes!$B$2:$F$25,4,0)=Charms!I3437))</f>
        <v>#N/A</v>
      </c>
      <c r="J3437" t="e">
        <f t="shared" ca="1" si="266"/>
        <v>#N/A</v>
      </c>
      <c r="K3437" s="18" t="e">
        <f t="shared" ca="1" si="265"/>
        <v>#N/A</v>
      </c>
      <c r="L3437" t="e">
        <f ca="1">IF(J3437,Charms!B3437,"")</f>
        <v>#N/A</v>
      </c>
      <c r="M3437" t="str">
        <f t="shared" ca="1" si="267"/>
        <v>-</v>
      </c>
      <c r="N3437" s="18" t="str">
        <f t="shared" si="268"/>
        <v>K1622:L5000</v>
      </c>
      <c r="O3437" t="str">
        <f t="shared" si="269"/>
        <v>A1622:A3437</v>
      </c>
    </row>
    <row r="3438" spans="1:15">
      <c r="A3438" s="18">
        <f>Charms!K3438</f>
        <v>0</v>
      </c>
      <c r="B3438">
        <f>Charms!B3438</f>
        <v>0</v>
      </c>
      <c r="C3438" t="b">
        <f ca="1">OR(Values!$S$98&gt;=Charms!M3438,IFERROR(Charms!J3438=OFFSET(Values!$A$24,MATCH("S",Values!$T$25:$T$50,0),0),FALSE))</f>
        <v>1</v>
      </c>
      <c r="D3438" t="e">
        <f>VLOOKUP(Charms!J3438,Values!$A$11:$S$59,19,0)&gt;=Charms!L3438</f>
        <v>#N/A</v>
      </c>
      <c r="E3438" t="e">
        <f>OR(ISBLANK(Charms!I3438),(VLOOKUP(Values!$S$6,Castes!$B$2:$F$25,4,0)=Charms!I3438))</f>
        <v>#N/A</v>
      </c>
      <c r="J3438" t="e">
        <f t="shared" ca="1" si="266"/>
        <v>#N/A</v>
      </c>
      <c r="K3438" s="18" t="e">
        <f t="shared" ca="1" si="265"/>
        <v>#N/A</v>
      </c>
      <c r="L3438" t="e">
        <f ca="1">IF(J3438,Charms!B3438,"")</f>
        <v>#N/A</v>
      </c>
      <c r="M3438" t="str">
        <f t="shared" ca="1" si="267"/>
        <v>-</v>
      </c>
      <c r="N3438" s="18" t="str">
        <f t="shared" si="268"/>
        <v>K1622:L5000</v>
      </c>
      <c r="O3438" t="str">
        <f t="shared" si="269"/>
        <v>A1622:A3438</v>
      </c>
    </row>
    <row r="3439" spans="1:15">
      <c r="A3439" s="18">
        <f>Charms!K3439</f>
        <v>0</v>
      </c>
      <c r="B3439">
        <f>Charms!B3439</f>
        <v>0</v>
      </c>
      <c r="C3439" t="b">
        <f ca="1">OR(Values!$S$98&gt;=Charms!M3439,IFERROR(Charms!J3439=OFFSET(Values!$A$24,MATCH("S",Values!$T$25:$T$50,0),0),FALSE))</f>
        <v>1</v>
      </c>
      <c r="D3439" t="e">
        <f>VLOOKUP(Charms!J3439,Values!$A$11:$S$59,19,0)&gt;=Charms!L3439</f>
        <v>#N/A</v>
      </c>
      <c r="E3439" t="e">
        <f>OR(ISBLANK(Charms!I3439),(VLOOKUP(Values!$S$6,Castes!$B$2:$F$25,4,0)=Charms!I3439))</f>
        <v>#N/A</v>
      </c>
      <c r="J3439" t="e">
        <f t="shared" ca="1" si="266"/>
        <v>#N/A</v>
      </c>
      <c r="K3439" s="18" t="e">
        <f t="shared" ca="1" si="265"/>
        <v>#N/A</v>
      </c>
      <c r="L3439" t="e">
        <f ca="1">IF(J3439,Charms!B3439,"")</f>
        <v>#N/A</v>
      </c>
      <c r="M3439" t="str">
        <f t="shared" ca="1" si="267"/>
        <v>-</v>
      </c>
      <c r="N3439" s="18" t="str">
        <f t="shared" si="268"/>
        <v>K1622:L5000</v>
      </c>
      <c r="O3439" t="str">
        <f t="shared" si="269"/>
        <v>A1622:A3439</v>
      </c>
    </row>
    <row r="3440" spans="1:15">
      <c r="A3440" s="18">
        <f>Charms!K3440</f>
        <v>0</v>
      </c>
      <c r="B3440">
        <f>Charms!B3440</f>
        <v>0</v>
      </c>
      <c r="C3440" t="b">
        <f ca="1">OR(Values!$S$98&gt;=Charms!M3440,IFERROR(Charms!J3440=OFFSET(Values!$A$24,MATCH("S",Values!$T$25:$T$50,0),0),FALSE))</f>
        <v>1</v>
      </c>
      <c r="D3440" t="e">
        <f>VLOOKUP(Charms!J3440,Values!$A$11:$S$59,19,0)&gt;=Charms!L3440</f>
        <v>#N/A</v>
      </c>
      <c r="E3440" t="e">
        <f>OR(ISBLANK(Charms!I3440),(VLOOKUP(Values!$S$6,Castes!$B$2:$F$25,4,0)=Charms!I3440))</f>
        <v>#N/A</v>
      </c>
      <c r="J3440" t="e">
        <f t="shared" ca="1" si="266"/>
        <v>#N/A</v>
      </c>
      <c r="K3440" s="18" t="e">
        <f t="shared" ca="1" si="265"/>
        <v>#N/A</v>
      </c>
      <c r="L3440" t="e">
        <f ca="1">IF(J3440,Charms!B3440,"")</f>
        <v>#N/A</v>
      </c>
      <c r="M3440" t="str">
        <f t="shared" ca="1" si="267"/>
        <v>-</v>
      </c>
      <c r="N3440" s="18" t="str">
        <f t="shared" si="268"/>
        <v>K1622:L5000</v>
      </c>
      <c r="O3440" t="str">
        <f t="shared" si="269"/>
        <v>A1622:A3440</v>
      </c>
    </row>
    <row r="3441" spans="1:15">
      <c r="A3441" s="18">
        <f>Charms!K3441</f>
        <v>0</v>
      </c>
      <c r="B3441">
        <f>Charms!B3441</f>
        <v>0</v>
      </c>
      <c r="C3441" t="b">
        <f ca="1">OR(Values!$S$98&gt;=Charms!M3441,IFERROR(Charms!J3441=OFFSET(Values!$A$24,MATCH("S",Values!$T$25:$T$50,0),0),FALSE))</f>
        <v>1</v>
      </c>
      <c r="D3441" t="e">
        <f>VLOOKUP(Charms!J3441,Values!$A$11:$S$59,19,0)&gt;=Charms!L3441</f>
        <v>#N/A</v>
      </c>
      <c r="E3441" t="e">
        <f>OR(ISBLANK(Charms!I3441),(VLOOKUP(Values!$S$6,Castes!$B$2:$F$25,4,0)=Charms!I3441))</f>
        <v>#N/A</v>
      </c>
      <c r="J3441" t="e">
        <f t="shared" ca="1" si="266"/>
        <v>#N/A</v>
      </c>
      <c r="K3441" s="18" t="e">
        <f t="shared" ca="1" si="265"/>
        <v>#N/A</v>
      </c>
      <c r="L3441" t="e">
        <f ca="1">IF(J3441,Charms!B3441,"")</f>
        <v>#N/A</v>
      </c>
      <c r="M3441" t="str">
        <f t="shared" ca="1" si="267"/>
        <v>-</v>
      </c>
      <c r="N3441" s="18" t="str">
        <f t="shared" si="268"/>
        <v>K1622:L5000</v>
      </c>
      <c r="O3441" t="str">
        <f t="shared" si="269"/>
        <v>A1622:A3441</v>
      </c>
    </row>
    <row r="3442" spans="1:15">
      <c r="A3442" s="18">
        <f>Charms!K3442</f>
        <v>0</v>
      </c>
      <c r="B3442">
        <f>Charms!B3442</f>
        <v>0</v>
      </c>
      <c r="C3442" t="b">
        <f ca="1">OR(Values!$S$98&gt;=Charms!M3442,IFERROR(Charms!J3442=OFFSET(Values!$A$24,MATCH("S",Values!$T$25:$T$50,0),0),FALSE))</f>
        <v>1</v>
      </c>
      <c r="D3442" t="e">
        <f>VLOOKUP(Charms!J3442,Values!$A$11:$S$59,19,0)&gt;=Charms!L3442</f>
        <v>#N/A</v>
      </c>
      <c r="E3442" t="e">
        <f>OR(ISBLANK(Charms!I3442),(VLOOKUP(Values!$S$6,Castes!$B$2:$F$25,4,0)=Charms!I3442))</f>
        <v>#N/A</v>
      </c>
      <c r="J3442" t="e">
        <f t="shared" ca="1" si="266"/>
        <v>#N/A</v>
      </c>
      <c r="K3442" s="18" t="e">
        <f t="shared" ca="1" si="265"/>
        <v>#N/A</v>
      </c>
      <c r="L3442" t="e">
        <f ca="1">IF(J3442,Charms!B3442,"")</f>
        <v>#N/A</v>
      </c>
      <c r="M3442" t="str">
        <f t="shared" ca="1" si="267"/>
        <v>-</v>
      </c>
      <c r="N3442" s="18" t="str">
        <f t="shared" si="268"/>
        <v>K1622:L5000</v>
      </c>
      <c r="O3442" t="str">
        <f t="shared" si="269"/>
        <v>A1622:A3442</v>
      </c>
    </row>
    <row r="3443" spans="1:15">
      <c r="A3443" s="18">
        <f>Charms!K3443</f>
        <v>0</v>
      </c>
      <c r="B3443">
        <f>Charms!B3443</f>
        <v>0</v>
      </c>
      <c r="C3443" t="b">
        <f ca="1">OR(Values!$S$98&gt;=Charms!M3443,IFERROR(Charms!J3443=OFFSET(Values!$A$24,MATCH("S",Values!$T$25:$T$50,0),0),FALSE))</f>
        <v>1</v>
      </c>
      <c r="D3443" t="e">
        <f>VLOOKUP(Charms!J3443,Values!$A$11:$S$59,19,0)&gt;=Charms!L3443</f>
        <v>#N/A</v>
      </c>
      <c r="E3443" t="e">
        <f>OR(ISBLANK(Charms!I3443),(VLOOKUP(Values!$S$6,Castes!$B$2:$F$25,4,0)=Charms!I3443))</f>
        <v>#N/A</v>
      </c>
      <c r="J3443" t="e">
        <f t="shared" ca="1" si="266"/>
        <v>#N/A</v>
      </c>
      <c r="K3443" s="18" t="e">
        <f t="shared" ca="1" si="265"/>
        <v>#N/A</v>
      </c>
      <c r="L3443" t="e">
        <f ca="1">IF(J3443,Charms!B3443,"")</f>
        <v>#N/A</v>
      </c>
      <c r="M3443" t="str">
        <f t="shared" ca="1" si="267"/>
        <v>-</v>
      </c>
      <c r="N3443" s="18" t="str">
        <f t="shared" si="268"/>
        <v>K1622:L5000</v>
      </c>
      <c r="O3443" t="str">
        <f t="shared" si="269"/>
        <v>A1622:A3443</v>
      </c>
    </row>
    <row r="3444" spans="1:15">
      <c r="A3444" s="18">
        <f>Charms!K3444</f>
        <v>0</v>
      </c>
      <c r="B3444">
        <f>Charms!B3444</f>
        <v>0</v>
      </c>
      <c r="C3444" t="b">
        <f ca="1">OR(Values!$S$98&gt;=Charms!M3444,IFERROR(Charms!J3444=OFFSET(Values!$A$24,MATCH("S",Values!$T$25:$T$50,0),0),FALSE))</f>
        <v>1</v>
      </c>
      <c r="D3444" t="e">
        <f>VLOOKUP(Charms!J3444,Values!$A$11:$S$59,19,0)&gt;=Charms!L3444</f>
        <v>#N/A</v>
      </c>
      <c r="E3444" t="e">
        <f>OR(ISBLANK(Charms!I3444),(VLOOKUP(Values!$S$6,Castes!$B$2:$F$25,4,0)=Charms!I3444))</f>
        <v>#N/A</v>
      </c>
      <c r="J3444" t="e">
        <f t="shared" ca="1" si="266"/>
        <v>#N/A</v>
      </c>
      <c r="K3444" s="18" t="e">
        <f t="shared" ca="1" si="265"/>
        <v>#N/A</v>
      </c>
      <c r="L3444" t="e">
        <f ca="1">IF(J3444,Charms!B3444,"")</f>
        <v>#N/A</v>
      </c>
      <c r="M3444" t="str">
        <f t="shared" ca="1" si="267"/>
        <v>-</v>
      </c>
      <c r="N3444" s="18" t="str">
        <f t="shared" si="268"/>
        <v>K1622:L5000</v>
      </c>
      <c r="O3444" t="str">
        <f t="shared" si="269"/>
        <v>A1622:A3444</v>
      </c>
    </row>
    <row r="3445" spans="1:15">
      <c r="A3445" s="18">
        <f>Charms!K3445</f>
        <v>0</v>
      </c>
      <c r="B3445">
        <f>Charms!B3445</f>
        <v>0</v>
      </c>
      <c r="C3445" t="b">
        <f ca="1">OR(Values!$S$98&gt;=Charms!M3445,IFERROR(Charms!J3445=OFFSET(Values!$A$24,MATCH("S",Values!$T$25:$T$50,0),0),FALSE))</f>
        <v>1</v>
      </c>
      <c r="D3445" t="e">
        <f>VLOOKUP(Charms!J3445,Values!$A$11:$S$59,19,0)&gt;=Charms!L3445</f>
        <v>#N/A</v>
      </c>
      <c r="E3445" t="e">
        <f>OR(ISBLANK(Charms!I3445),(VLOOKUP(Values!$S$6,Castes!$B$2:$F$25,4,0)=Charms!I3445))</f>
        <v>#N/A</v>
      </c>
      <c r="J3445" t="e">
        <f t="shared" ca="1" si="266"/>
        <v>#N/A</v>
      </c>
      <c r="K3445" s="18" t="e">
        <f t="shared" ca="1" si="265"/>
        <v>#N/A</v>
      </c>
      <c r="L3445" t="e">
        <f ca="1">IF(J3445,Charms!B3445,"")</f>
        <v>#N/A</v>
      </c>
      <c r="M3445" t="str">
        <f t="shared" ca="1" si="267"/>
        <v>-</v>
      </c>
      <c r="N3445" s="18" t="str">
        <f t="shared" si="268"/>
        <v>K1622:L5000</v>
      </c>
      <c r="O3445" t="str">
        <f t="shared" si="269"/>
        <v>A1622:A3445</v>
      </c>
    </row>
    <row r="3446" spans="1:15">
      <c r="A3446" s="18">
        <f>Charms!K3446</f>
        <v>0</v>
      </c>
      <c r="B3446">
        <f>Charms!B3446</f>
        <v>0</v>
      </c>
      <c r="C3446" t="b">
        <f ca="1">OR(Values!$S$98&gt;=Charms!M3446,IFERROR(Charms!J3446=OFFSET(Values!$A$24,MATCH("S",Values!$T$25:$T$50,0),0),FALSE))</f>
        <v>1</v>
      </c>
      <c r="D3446" t="e">
        <f>VLOOKUP(Charms!J3446,Values!$A$11:$S$59,19,0)&gt;=Charms!L3446</f>
        <v>#N/A</v>
      </c>
      <c r="E3446" t="e">
        <f>OR(ISBLANK(Charms!I3446),(VLOOKUP(Values!$S$6,Castes!$B$2:$F$25,4,0)=Charms!I3446))</f>
        <v>#N/A</v>
      </c>
      <c r="J3446" t="e">
        <f t="shared" ca="1" si="266"/>
        <v>#N/A</v>
      </c>
      <c r="K3446" s="18" t="e">
        <f t="shared" ca="1" si="265"/>
        <v>#N/A</v>
      </c>
      <c r="L3446" t="e">
        <f ca="1">IF(J3446,Charms!B3446,"")</f>
        <v>#N/A</v>
      </c>
      <c r="M3446" t="str">
        <f t="shared" ca="1" si="267"/>
        <v>-</v>
      </c>
      <c r="N3446" s="18" t="str">
        <f t="shared" si="268"/>
        <v>K1622:L5000</v>
      </c>
      <c r="O3446" t="str">
        <f t="shared" si="269"/>
        <v>A1622:A3446</v>
      </c>
    </row>
    <row r="3447" spans="1:15">
      <c r="A3447" s="18">
        <f>Charms!K3447</f>
        <v>0</v>
      </c>
      <c r="B3447">
        <f>Charms!B3447</f>
        <v>0</v>
      </c>
      <c r="C3447" t="b">
        <f ca="1">OR(Values!$S$98&gt;=Charms!M3447,IFERROR(Charms!J3447=OFFSET(Values!$A$24,MATCH("S",Values!$T$25:$T$50,0),0),FALSE))</f>
        <v>1</v>
      </c>
      <c r="D3447" t="e">
        <f>VLOOKUP(Charms!J3447,Values!$A$11:$S$59,19,0)&gt;=Charms!L3447</f>
        <v>#N/A</v>
      </c>
      <c r="E3447" t="e">
        <f>OR(ISBLANK(Charms!I3447),(VLOOKUP(Values!$S$6,Castes!$B$2:$F$25,4,0)=Charms!I3447))</f>
        <v>#N/A</v>
      </c>
      <c r="J3447" t="e">
        <f t="shared" ca="1" si="266"/>
        <v>#N/A</v>
      </c>
      <c r="K3447" s="18" t="e">
        <f t="shared" ca="1" si="265"/>
        <v>#N/A</v>
      </c>
      <c r="L3447" t="e">
        <f ca="1">IF(J3447,Charms!B3447,"")</f>
        <v>#N/A</v>
      </c>
      <c r="M3447" t="str">
        <f t="shared" ca="1" si="267"/>
        <v>-</v>
      </c>
      <c r="N3447" s="18" t="str">
        <f t="shared" si="268"/>
        <v>K1622:L5000</v>
      </c>
      <c r="O3447" t="str">
        <f t="shared" si="269"/>
        <v>A1622:A3447</v>
      </c>
    </row>
    <row r="3448" spans="1:15">
      <c r="A3448" s="18">
        <f>Charms!K3448</f>
        <v>0</v>
      </c>
      <c r="B3448">
        <f>Charms!B3448</f>
        <v>0</v>
      </c>
      <c r="C3448" t="b">
        <f ca="1">OR(Values!$S$98&gt;=Charms!M3448,IFERROR(Charms!J3448=OFFSET(Values!$A$24,MATCH("S",Values!$T$25:$T$50,0),0),FALSE))</f>
        <v>1</v>
      </c>
      <c r="D3448" t="e">
        <f>VLOOKUP(Charms!J3448,Values!$A$11:$S$59,19,0)&gt;=Charms!L3448</f>
        <v>#N/A</v>
      </c>
      <c r="E3448" t="e">
        <f>OR(ISBLANK(Charms!I3448),(VLOOKUP(Values!$S$6,Castes!$B$2:$F$25,4,0)=Charms!I3448))</f>
        <v>#N/A</v>
      </c>
      <c r="J3448" t="e">
        <f t="shared" ca="1" si="266"/>
        <v>#N/A</v>
      </c>
      <c r="K3448" s="18" t="e">
        <f t="shared" ca="1" si="265"/>
        <v>#N/A</v>
      </c>
      <c r="L3448" t="e">
        <f ca="1">IF(J3448,Charms!B3448,"")</f>
        <v>#N/A</v>
      </c>
      <c r="M3448" t="str">
        <f t="shared" ca="1" si="267"/>
        <v>-</v>
      </c>
      <c r="N3448" s="18" t="str">
        <f t="shared" si="268"/>
        <v>K1622:L5000</v>
      </c>
      <c r="O3448" t="str">
        <f t="shared" si="269"/>
        <v>A1622:A3448</v>
      </c>
    </row>
    <row r="3449" spans="1:15">
      <c r="A3449" s="18">
        <f>Charms!K3449</f>
        <v>0</v>
      </c>
      <c r="B3449">
        <f>Charms!B3449</f>
        <v>0</v>
      </c>
      <c r="C3449" t="b">
        <f ca="1">OR(Values!$S$98&gt;=Charms!M3449,IFERROR(Charms!J3449=OFFSET(Values!$A$24,MATCH("S",Values!$T$25:$T$50,0),0),FALSE))</f>
        <v>1</v>
      </c>
      <c r="D3449" t="e">
        <f>VLOOKUP(Charms!J3449,Values!$A$11:$S$59,19,0)&gt;=Charms!L3449</f>
        <v>#N/A</v>
      </c>
      <c r="E3449" t="e">
        <f>OR(ISBLANK(Charms!I3449),(VLOOKUP(Values!$S$6,Castes!$B$2:$F$25,4,0)=Charms!I3449))</f>
        <v>#N/A</v>
      </c>
      <c r="J3449" t="e">
        <f t="shared" ca="1" si="266"/>
        <v>#N/A</v>
      </c>
      <c r="K3449" s="18" t="e">
        <f t="shared" ca="1" si="265"/>
        <v>#N/A</v>
      </c>
      <c r="L3449" t="e">
        <f ca="1">IF(J3449,Charms!B3449,"")</f>
        <v>#N/A</v>
      </c>
      <c r="M3449" t="str">
        <f t="shared" ca="1" si="267"/>
        <v>-</v>
      </c>
      <c r="N3449" s="18" t="str">
        <f t="shared" si="268"/>
        <v>K1622:L5000</v>
      </c>
      <c r="O3449" t="str">
        <f t="shared" si="269"/>
        <v>A1622:A3449</v>
      </c>
    </row>
    <row r="3450" spans="1:15">
      <c r="A3450" s="18">
        <f>Charms!K3450</f>
        <v>0</v>
      </c>
      <c r="B3450">
        <f>Charms!B3450</f>
        <v>0</v>
      </c>
      <c r="C3450" t="b">
        <f ca="1">OR(Values!$S$98&gt;=Charms!M3450,IFERROR(Charms!J3450=OFFSET(Values!$A$24,MATCH("S",Values!$T$25:$T$50,0),0),FALSE))</f>
        <v>1</v>
      </c>
      <c r="D3450" t="e">
        <f>VLOOKUP(Charms!J3450,Values!$A$11:$S$59,19,0)&gt;=Charms!L3450</f>
        <v>#N/A</v>
      </c>
      <c r="E3450" t="e">
        <f>OR(ISBLANK(Charms!I3450),(VLOOKUP(Values!$S$6,Castes!$B$2:$F$25,4,0)=Charms!I3450))</f>
        <v>#N/A</v>
      </c>
      <c r="J3450" t="e">
        <f t="shared" ca="1" si="266"/>
        <v>#N/A</v>
      </c>
      <c r="K3450" s="18" t="e">
        <f t="shared" ca="1" si="265"/>
        <v>#N/A</v>
      </c>
      <c r="L3450" t="e">
        <f ca="1">IF(J3450,Charms!B3450,"")</f>
        <v>#N/A</v>
      </c>
      <c r="M3450" t="str">
        <f t="shared" ca="1" si="267"/>
        <v>-</v>
      </c>
      <c r="N3450" s="18" t="str">
        <f t="shared" si="268"/>
        <v>K1622:L5000</v>
      </c>
      <c r="O3450" t="str">
        <f t="shared" si="269"/>
        <v>A1622:A3450</v>
      </c>
    </row>
    <row r="3451" spans="1:15">
      <c r="A3451" s="18">
        <f>Charms!K3451</f>
        <v>0</v>
      </c>
      <c r="B3451">
        <f>Charms!B3451</f>
        <v>0</v>
      </c>
      <c r="C3451" t="b">
        <f ca="1">OR(Values!$S$98&gt;=Charms!M3451,IFERROR(Charms!J3451=OFFSET(Values!$A$24,MATCH("S",Values!$T$25:$T$50,0),0),FALSE))</f>
        <v>1</v>
      </c>
      <c r="D3451" t="e">
        <f>VLOOKUP(Charms!J3451,Values!$A$11:$S$59,19,0)&gt;=Charms!L3451</f>
        <v>#N/A</v>
      </c>
      <c r="E3451" t="e">
        <f>OR(ISBLANK(Charms!I3451),(VLOOKUP(Values!$S$6,Castes!$B$2:$F$25,4,0)=Charms!I3451))</f>
        <v>#N/A</v>
      </c>
      <c r="J3451" t="e">
        <f t="shared" ca="1" si="266"/>
        <v>#N/A</v>
      </c>
      <c r="K3451" s="18" t="e">
        <f t="shared" ca="1" si="265"/>
        <v>#N/A</v>
      </c>
      <c r="L3451" t="e">
        <f ca="1">IF(J3451,Charms!B3451,"")</f>
        <v>#N/A</v>
      </c>
      <c r="M3451" t="str">
        <f t="shared" ca="1" si="267"/>
        <v>-</v>
      </c>
      <c r="N3451" s="18" t="str">
        <f t="shared" si="268"/>
        <v>K1622:L5000</v>
      </c>
      <c r="O3451" t="str">
        <f t="shared" si="269"/>
        <v>A1622:A3451</v>
      </c>
    </row>
    <row r="3452" spans="1:15">
      <c r="A3452" s="18">
        <f>Charms!K3452</f>
        <v>0</v>
      </c>
      <c r="B3452">
        <f>Charms!B3452</f>
        <v>0</v>
      </c>
      <c r="C3452" t="b">
        <f ca="1">OR(Values!$S$98&gt;=Charms!M3452,IFERROR(Charms!J3452=OFFSET(Values!$A$24,MATCH("S",Values!$T$25:$T$50,0),0),FALSE))</f>
        <v>1</v>
      </c>
      <c r="D3452" t="e">
        <f>VLOOKUP(Charms!J3452,Values!$A$11:$S$59,19,0)&gt;=Charms!L3452</f>
        <v>#N/A</v>
      </c>
      <c r="E3452" t="e">
        <f>OR(ISBLANK(Charms!I3452),(VLOOKUP(Values!$S$6,Castes!$B$2:$F$25,4,0)=Charms!I3452))</f>
        <v>#N/A</v>
      </c>
      <c r="J3452" t="e">
        <f t="shared" ca="1" si="266"/>
        <v>#N/A</v>
      </c>
      <c r="K3452" s="18" t="e">
        <f t="shared" ca="1" si="265"/>
        <v>#N/A</v>
      </c>
      <c r="L3452" t="e">
        <f ca="1">IF(J3452,Charms!B3452,"")</f>
        <v>#N/A</v>
      </c>
      <c r="M3452" t="str">
        <f t="shared" ca="1" si="267"/>
        <v>-</v>
      </c>
      <c r="N3452" s="18" t="str">
        <f t="shared" si="268"/>
        <v>K1622:L5000</v>
      </c>
      <c r="O3452" t="str">
        <f t="shared" si="269"/>
        <v>A1622:A3452</v>
      </c>
    </row>
    <row r="3453" spans="1:15">
      <c r="A3453" s="18">
        <f>Charms!K3453</f>
        <v>0</v>
      </c>
      <c r="B3453">
        <f>Charms!B3453</f>
        <v>0</v>
      </c>
      <c r="C3453" t="b">
        <f ca="1">OR(Values!$S$98&gt;=Charms!M3453,IFERROR(Charms!J3453=OFFSET(Values!$A$24,MATCH("S",Values!$T$25:$T$50,0),0),FALSE))</f>
        <v>1</v>
      </c>
      <c r="D3453" t="e">
        <f>VLOOKUP(Charms!J3453,Values!$A$11:$S$59,19,0)&gt;=Charms!L3453</f>
        <v>#N/A</v>
      </c>
      <c r="E3453" t="e">
        <f>OR(ISBLANK(Charms!I3453),(VLOOKUP(Values!$S$6,Castes!$B$2:$F$25,4,0)=Charms!I3453))</f>
        <v>#N/A</v>
      </c>
      <c r="J3453" t="e">
        <f t="shared" ca="1" si="266"/>
        <v>#N/A</v>
      </c>
      <c r="K3453" s="18" t="e">
        <f t="shared" ca="1" si="265"/>
        <v>#N/A</v>
      </c>
      <c r="L3453" t="e">
        <f ca="1">IF(J3453,Charms!B3453,"")</f>
        <v>#N/A</v>
      </c>
      <c r="M3453" t="str">
        <f t="shared" ca="1" si="267"/>
        <v>-</v>
      </c>
      <c r="N3453" s="18" t="str">
        <f t="shared" si="268"/>
        <v>K1622:L5000</v>
      </c>
      <c r="O3453" t="str">
        <f t="shared" si="269"/>
        <v>A1622:A3453</v>
      </c>
    </row>
    <row r="3454" spans="1:15">
      <c r="A3454" s="18">
        <f>Charms!K3454</f>
        <v>0</v>
      </c>
      <c r="B3454">
        <f>Charms!B3454</f>
        <v>0</v>
      </c>
      <c r="C3454" t="b">
        <f ca="1">OR(Values!$S$98&gt;=Charms!M3454,IFERROR(Charms!J3454=OFFSET(Values!$A$24,MATCH("S",Values!$T$25:$T$50,0),0),FALSE))</f>
        <v>1</v>
      </c>
      <c r="D3454" t="e">
        <f>VLOOKUP(Charms!J3454,Values!$A$11:$S$59,19,0)&gt;=Charms!L3454</f>
        <v>#N/A</v>
      </c>
      <c r="E3454" t="e">
        <f>OR(ISBLANK(Charms!I3454),(VLOOKUP(Values!$S$6,Castes!$B$2:$F$25,4,0)=Charms!I3454))</f>
        <v>#N/A</v>
      </c>
      <c r="J3454" t="e">
        <f t="shared" ca="1" si="266"/>
        <v>#N/A</v>
      </c>
      <c r="K3454" s="18" t="e">
        <f t="shared" ca="1" si="265"/>
        <v>#N/A</v>
      </c>
      <c r="L3454" t="e">
        <f ca="1">IF(J3454,Charms!B3454,"")</f>
        <v>#N/A</v>
      </c>
      <c r="M3454" t="str">
        <f t="shared" ca="1" si="267"/>
        <v>-</v>
      </c>
      <c r="N3454" s="18" t="str">
        <f t="shared" si="268"/>
        <v>K1622:L5000</v>
      </c>
      <c r="O3454" t="str">
        <f t="shared" si="269"/>
        <v>A1622:A3454</v>
      </c>
    </row>
    <row r="3455" spans="1:15">
      <c r="A3455" s="18">
        <f>Charms!K3455</f>
        <v>0</v>
      </c>
      <c r="B3455">
        <f>Charms!B3455</f>
        <v>0</v>
      </c>
      <c r="C3455" t="b">
        <f ca="1">OR(Values!$S$98&gt;=Charms!M3455,IFERROR(Charms!J3455=OFFSET(Values!$A$24,MATCH("S",Values!$T$25:$T$50,0),0),FALSE))</f>
        <v>1</v>
      </c>
      <c r="D3455" t="e">
        <f>VLOOKUP(Charms!J3455,Values!$A$11:$S$59,19,0)&gt;=Charms!L3455</f>
        <v>#N/A</v>
      </c>
      <c r="E3455" t="e">
        <f>OR(ISBLANK(Charms!I3455),(VLOOKUP(Values!$S$6,Castes!$B$2:$F$25,4,0)=Charms!I3455))</f>
        <v>#N/A</v>
      </c>
      <c r="J3455" t="e">
        <f t="shared" ca="1" si="266"/>
        <v>#N/A</v>
      </c>
      <c r="K3455" s="18" t="e">
        <f t="shared" ca="1" si="265"/>
        <v>#N/A</v>
      </c>
      <c r="L3455" t="e">
        <f ca="1">IF(J3455,Charms!B3455,"")</f>
        <v>#N/A</v>
      </c>
      <c r="M3455" t="str">
        <f t="shared" ca="1" si="267"/>
        <v>-</v>
      </c>
      <c r="N3455" s="18" t="str">
        <f t="shared" si="268"/>
        <v>K1622:L5000</v>
      </c>
      <c r="O3455" t="str">
        <f t="shared" si="269"/>
        <v>A1622:A3455</v>
      </c>
    </row>
    <row r="3456" spans="1:15">
      <c r="A3456" s="18">
        <f>Charms!K3456</f>
        <v>0</v>
      </c>
      <c r="B3456">
        <f>Charms!B3456</f>
        <v>0</v>
      </c>
      <c r="C3456" t="b">
        <f ca="1">OR(Values!$S$98&gt;=Charms!M3456,IFERROR(Charms!J3456=OFFSET(Values!$A$24,MATCH("S",Values!$T$25:$T$50,0),0),FALSE))</f>
        <v>1</v>
      </c>
      <c r="D3456" t="e">
        <f>VLOOKUP(Charms!J3456,Values!$A$11:$S$59,19,0)&gt;=Charms!L3456</f>
        <v>#N/A</v>
      </c>
      <c r="E3456" t="e">
        <f>OR(ISBLANK(Charms!I3456),(VLOOKUP(Values!$S$6,Castes!$B$2:$F$25,4,0)=Charms!I3456))</f>
        <v>#N/A</v>
      </c>
      <c r="J3456" t="e">
        <f t="shared" ca="1" si="266"/>
        <v>#N/A</v>
      </c>
      <c r="K3456" s="18" t="e">
        <f t="shared" ca="1" si="265"/>
        <v>#N/A</v>
      </c>
      <c r="L3456" t="e">
        <f ca="1">IF(J3456,Charms!B3456,"")</f>
        <v>#N/A</v>
      </c>
      <c r="M3456" t="str">
        <f t="shared" ca="1" si="267"/>
        <v>-</v>
      </c>
      <c r="N3456" s="18" t="str">
        <f t="shared" si="268"/>
        <v>K1622:L5000</v>
      </c>
      <c r="O3456" t="str">
        <f t="shared" si="269"/>
        <v>A1622:A3456</v>
      </c>
    </row>
    <row r="3457" spans="1:15">
      <c r="A3457" s="18">
        <f>Charms!K3457</f>
        <v>0</v>
      </c>
      <c r="B3457">
        <f>Charms!B3457</f>
        <v>0</v>
      </c>
      <c r="C3457" t="b">
        <f ca="1">OR(Values!$S$98&gt;=Charms!M3457,IFERROR(Charms!J3457=OFFSET(Values!$A$24,MATCH("S",Values!$T$25:$T$50,0),0),FALSE))</f>
        <v>1</v>
      </c>
      <c r="D3457" t="e">
        <f>VLOOKUP(Charms!J3457,Values!$A$11:$S$59,19,0)&gt;=Charms!L3457</f>
        <v>#N/A</v>
      </c>
      <c r="E3457" t="e">
        <f>OR(ISBLANK(Charms!I3457),(VLOOKUP(Values!$S$6,Castes!$B$2:$F$25,4,0)=Charms!I3457))</f>
        <v>#N/A</v>
      </c>
      <c r="J3457" t="e">
        <f t="shared" ca="1" si="266"/>
        <v>#N/A</v>
      </c>
      <c r="K3457" s="18" t="e">
        <f t="shared" ca="1" si="265"/>
        <v>#N/A</v>
      </c>
      <c r="L3457" t="e">
        <f ca="1">IF(J3457,Charms!B3457,"")</f>
        <v>#N/A</v>
      </c>
      <c r="M3457" t="str">
        <f t="shared" ca="1" si="267"/>
        <v>-</v>
      </c>
      <c r="N3457" s="18" t="str">
        <f t="shared" si="268"/>
        <v>K1622:L5000</v>
      </c>
      <c r="O3457" t="str">
        <f t="shared" si="269"/>
        <v>A1622:A3457</v>
      </c>
    </row>
    <row r="3458" spans="1:15">
      <c r="A3458" s="18">
        <f>Charms!K3458</f>
        <v>0</v>
      </c>
      <c r="B3458">
        <f>Charms!B3458</f>
        <v>0</v>
      </c>
      <c r="C3458" t="b">
        <f ca="1">OR(Values!$S$98&gt;=Charms!M3458,IFERROR(Charms!J3458=OFFSET(Values!$A$24,MATCH("S",Values!$T$25:$T$50,0),0),FALSE))</f>
        <v>1</v>
      </c>
      <c r="D3458" t="e">
        <f>VLOOKUP(Charms!J3458,Values!$A$11:$S$59,19,0)&gt;=Charms!L3458</f>
        <v>#N/A</v>
      </c>
      <c r="E3458" t="e">
        <f>OR(ISBLANK(Charms!I3458),(VLOOKUP(Values!$S$6,Castes!$B$2:$F$25,4,0)=Charms!I3458))</f>
        <v>#N/A</v>
      </c>
      <c r="J3458" t="e">
        <f t="shared" ca="1" si="266"/>
        <v>#N/A</v>
      </c>
      <c r="K3458" s="18" t="e">
        <f t="shared" ref="K3458:K3521" ca="1" si="270">IF(L3458="","",COUNTIF(INDIRECT("J"&amp;MATCH(A3458,A:A,0)&amp;":J"&amp;ROW()),J3458))</f>
        <v>#N/A</v>
      </c>
      <c r="L3458" t="e">
        <f ca="1">IF(J3458,Charms!B3458,"")</f>
        <v>#N/A</v>
      </c>
      <c r="M3458" t="str">
        <f t="shared" ca="1" si="267"/>
        <v>-</v>
      </c>
      <c r="N3458" s="18" t="str">
        <f t="shared" si="268"/>
        <v>K1622:L5000</v>
      </c>
      <c r="O3458" t="str">
        <f t="shared" si="269"/>
        <v>A1622:A3458</v>
      </c>
    </row>
    <row r="3459" spans="1:15">
      <c r="A3459" s="18">
        <f>Charms!K3459</f>
        <v>0</v>
      </c>
      <c r="B3459">
        <f>Charms!B3459</f>
        <v>0</v>
      </c>
      <c r="C3459" t="b">
        <f ca="1">OR(Values!$S$98&gt;=Charms!M3459,IFERROR(Charms!J3459=OFFSET(Values!$A$24,MATCH("S",Values!$T$25:$T$50,0),0),FALSE))</f>
        <v>1</v>
      </c>
      <c r="D3459" t="e">
        <f>VLOOKUP(Charms!J3459,Values!$A$11:$S$59,19,0)&gt;=Charms!L3459</f>
        <v>#N/A</v>
      </c>
      <c r="E3459" t="e">
        <f>OR(ISBLANK(Charms!I3459),(VLOOKUP(Values!$S$6,Castes!$B$2:$F$25,4,0)=Charms!I3459))</f>
        <v>#N/A</v>
      </c>
      <c r="J3459" t="e">
        <f t="shared" ref="J3459:J3522" ca="1" si="271">(C3459+D3459+E3459+F3459+G3459+H3459+I3459)=3</f>
        <v>#N/A</v>
      </c>
      <c r="K3459" s="18" t="e">
        <f t="shared" ca="1" si="270"/>
        <v>#N/A</v>
      </c>
      <c r="L3459" t="e">
        <f ca="1">IF(J3459,Charms!B3459,"")</f>
        <v>#N/A</v>
      </c>
      <c r="M3459" t="str">
        <f t="shared" ref="M3459:M3522" ca="1" si="272">IFERROR(VLOOKUP(COUNTIF(INDIRECT(O3459),A3459),INDIRECT(N3459),2,0),"-")</f>
        <v>-</v>
      </c>
      <c r="N3459" s="18" t="str">
        <f t="shared" ref="N3459:N3522" si="273">"K"&amp;MATCH(A3459,A:A,0)&amp;":L"&amp;(MATCH(A3459,A:A,0)+COUNTIF(A:A,A3459)-1)</f>
        <v>K1622:L5000</v>
      </c>
      <c r="O3459" t="str">
        <f t="shared" ref="O3459:O3522" si="274">"A"&amp;MATCH(A3459,A:A,0)&amp;":A"&amp;ROW()</f>
        <v>A1622:A3459</v>
      </c>
    </row>
    <row r="3460" spans="1:15">
      <c r="A3460" s="18">
        <f>Charms!K3460</f>
        <v>0</v>
      </c>
      <c r="B3460">
        <f>Charms!B3460</f>
        <v>0</v>
      </c>
      <c r="C3460" t="b">
        <f ca="1">OR(Values!$S$98&gt;=Charms!M3460,IFERROR(Charms!J3460=OFFSET(Values!$A$24,MATCH("S",Values!$T$25:$T$50,0),0),FALSE))</f>
        <v>1</v>
      </c>
      <c r="D3460" t="e">
        <f>VLOOKUP(Charms!J3460,Values!$A$11:$S$59,19,0)&gt;=Charms!L3460</f>
        <v>#N/A</v>
      </c>
      <c r="E3460" t="e">
        <f>OR(ISBLANK(Charms!I3460),(VLOOKUP(Values!$S$6,Castes!$B$2:$F$25,4,0)=Charms!I3460))</f>
        <v>#N/A</v>
      </c>
      <c r="J3460" t="e">
        <f t="shared" ca="1" si="271"/>
        <v>#N/A</v>
      </c>
      <c r="K3460" s="18" t="e">
        <f t="shared" ca="1" si="270"/>
        <v>#N/A</v>
      </c>
      <c r="L3460" t="e">
        <f ca="1">IF(J3460,Charms!B3460,"")</f>
        <v>#N/A</v>
      </c>
      <c r="M3460" t="str">
        <f t="shared" ca="1" si="272"/>
        <v>-</v>
      </c>
      <c r="N3460" s="18" t="str">
        <f t="shared" si="273"/>
        <v>K1622:L5000</v>
      </c>
      <c r="O3460" t="str">
        <f t="shared" si="274"/>
        <v>A1622:A3460</v>
      </c>
    </row>
    <row r="3461" spans="1:15">
      <c r="A3461" s="18">
        <f>Charms!K3461</f>
        <v>0</v>
      </c>
      <c r="B3461">
        <f>Charms!B3461</f>
        <v>0</v>
      </c>
      <c r="C3461" t="b">
        <f ca="1">OR(Values!$S$98&gt;=Charms!M3461,IFERROR(Charms!J3461=OFFSET(Values!$A$24,MATCH("S",Values!$T$25:$T$50,0),0),FALSE))</f>
        <v>1</v>
      </c>
      <c r="D3461" t="e">
        <f>VLOOKUP(Charms!J3461,Values!$A$11:$S$59,19,0)&gt;=Charms!L3461</f>
        <v>#N/A</v>
      </c>
      <c r="E3461" t="e">
        <f>OR(ISBLANK(Charms!I3461),(VLOOKUP(Values!$S$6,Castes!$B$2:$F$25,4,0)=Charms!I3461))</f>
        <v>#N/A</v>
      </c>
      <c r="J3461" t="e">
        <f t="shared" ca="1" si="271"/>
        <v>#N/A</v>
      </c>
      <c r="K3461" s="18" t="e">
        <f t="shared" ca="1" si="270"/>
        <v>#N/A</v>
      </c>
      <c r="L3461" t="e">
        <f ca="1">IF(J3461,Charms!B3461,"")</f>
        <v>#N/A</v>
      </c>
      <c r="M3461" t="str">
        <f t="shared" ca="1" si="272"/>
        <v>-</v>
      </c>
      <c r="N3461" s="18" t="str">
        <f t="shared" si="273"/>
        <v>K1622:L5000</v>
      </c>
      <c r="O3461" t="str">
        <f t="shared" si="274"/>
        <v>A1622:A3461</v>
      </c>
    </row>
    <row r="3462" spans="1:15">
      <c r="A3462" s="18">
        <f>Charms!K3462</f>
        <v>0</v>
      </c>
      <c r="B3462">
        <f>Charms!B3462</f>
        <v>0</v>
      </c>
      <c r="C3462" t="b">
        <f ca="1">OR(Values!$S$98&gt;=Charms!M3462,IFERROR(Charms!J3462=OFFSET(Values!$A$24,MATCH("S",Values!$T$25:$T$50,0),0),FALSE))</f>
        <v>1</v>
      </c>
      <c r="D3462" t="e">
        <f>VLOOKUP(Charms!J3462,Values!$A$11:$S$59,19,0)&gt;=Charms!L3462</f>
        <v>#N/A</v>
      </c>
      <c r="E3462" t="e">
        <f>OR(ISBLANK(Charms!I3462),(VLOOKUP(Values!$S$6,Castes!$B$2:$F$25,4,0)=Charms!I3462))</f>
        <v>#N/A</v>
      </c>
      <c r="J3462" t="e">
        <f t="shared" ca="1" si="271"/>
        <v>#N/A</v>
      </c>
      <c r="K3462" s="18" t="e">
        <f t="shared" ca="1" si="270"/>
        <v>#N/A</v>
      </c>
      <c r="L3462" t="e">
        <f ca="1">IF(J3462,Charms!B3462,"")</f>
        <v>#N/A</v>
      </c>
      <c r="M3462" t="str">
        <f t="shared" ca="1" si="272"/>
        <v>-</v>
      </c>
      <c r="N3462" s="18" t="str">
        <f t="shared" si="273"/>
        <v>K1622:L5000</v>
      </c>
      <c r="O3462" t="str">
        <f t="shared" si="274"/>
        <v>A1622:A3462</v>
      </c>
    </row>
    <row r="3463" spans="1:15">
      <c r="A3463" s="18">
        <f>Charms!K3463</f>
        <v>0</v>
      </c>
      <c r="B3463">
        <f>Charms!B3463</f>
        <v>0</v>
      </c>
      <c r="C3463" t="b">
        <f ca="1">OR(Values!$S$98&gt;=Charms!M3463,IFERROR(Charms!J3463=OFFSET(Values!$A$24,MATCH("S",Values!$T$25:$T$50,0),0),FALSE))</f>
        <v>1</v>
      </c>
      <c r="D3463" t="e">
        <f>VLOOKUP(Charms!J3463,Values!$A$11:$S$59,19,0)&gt;=Charms!L3463</f>
        <v>#N/A</v>
      </c>
      <c r="E3463" t="e">
        <f>OR(ISBLANK(Charms!I3463),(VLOOKUP(Values!$S$6,Castes!$B$2:$F$25,4,0)=Charms!I3463))</f>
        <v>#N/A</v>
      </c>
      <c r="J3463" t="e">
        <f t="shared" ca="1" si="271"/>
        <v>#N/A</v>
      </c>
      <c r="K3463" s="18" t="e">
        <f t="shared" ca="1" si="270"/>
        <v>#N/A</v>
      </c>
      <c r="L3463" t="e">
        <f ca="1">IF(J3463,Charms!B3463,"")</f>
        <v>#N/A</v>
      </c>
      <c r="M3463" t="str">
        <f t="shared" ca="1" si="272"/>
        <v>-</v>
      </c>
      <c r="N3463" s="18" t="str">
        <f t="shared" si="273"/>
        <v>K1622:L5000</v>
      </c>
      <c r="O3463" t="str">
        <f t="shared" si="274"/>
        <v>A1622:A3463</v>
      </c>
    </row>
    <row r="3464" spans="1:15">
      <c r="A3464" s="18">
        <f>Charms!K3464</f>
        <v>0</v>
      </c>
      <c r="B3464">
        <f>Charms!B3464</f>
        <v>0</v>
      </c>
      <c r="C3464" t="b">
        <f ca="1">OR(Values!$S$98&gt;=Charms!M3464,IFERROR(Charms!J3464=OFFSET(Values!$A$24,MATCH("S",Values!$T$25:$T$50,0),0),FALSE))</f>
        <v>1</v>
      </c>
      <c r="D3464" t="e">
        <f>VLOOKUP(Charms!J3464,Values!$A$11:$S$59,19,0)&gt;=Charms!L3464</f>
        <v>#N/A</v>
      </c>
      <c r="E3464" t="e">
        <f>OR(ISBLANK(Charms!I3464),(VLOOKUP(Values!$S$6,Castes!$B$2:$F$25,4,0)=Charms!I3464))</f>
        <v>#N/A</v>
      </c>
      <c r="J3464" t="e">
        <f t="shared" ca="1" si="271"/>
        <v>#N/A</v>
      </c>
      <c r="K3464" s="18" t="e">
        <f t="shared" ca="1" si="270"/>
        <v>#N/A</v>
      </c>
      <c r="L3464" t="e">
        <f ca="1">IF(J3464,Charms!B3464,"")</f>
        <v>#N/A</v>
      </c>
      <c r="M3464" t="str">
        <f t="shared" ca="1" si="272"/>
        <v>-</v>
      </c>
      <c r="N3464" s="18" t="str">
        <f t="shared" si="273"/>
        <v>K1622:L5000</v>
      </c>
      <c r="O3464" t="str">
        <f t="shared" si="274"/>
        <v>A1622:A3464</v>
      </c>
    </row>
    <row r="3465" spans="1:15">
      <c r="A3465" s="18">
        <f>Charms!K3465</f>
        <v>0</v>
      </c>
      <c r="B3465">
        <f>Charms!B3465</f>
        <v>0</v>
      </c>
      <c r="C3465" t="b">
        <f ca="1">OR(Values!$S$98&gt;=Charms!M3465,IFERROR(Charms!J3465=OFFSET(Values!$A$24,MATCH("S",Values!$T$25:$T$50,0),0),FALSE))</f>
        <v>1</v>
      </c>
      <c r="D3465" t="e">
        <f>VLOOKUP(Charms!J3465,Values!$A$11:$S$59,19,0)&gt;=Charms!L3465</f>
        <v>#N/A</v>
      </c>
      <c r="E3465" t="e">
        <f>OR(ISBLANK(Charms!I3465),(VLOOKUP(Values!$S$6,Castes!$B$2:$F$25,4,0)=Charms!I3465))</f>
        <v>#N/A</v>
      </c>
      <c r="J3465" t="e">
        <f t="shared" ca="1" si="271"/>
        <v>#N/A</v>
      </c>
      <c r="K3465" s="18" t="e">
        <f t="shared" ca="1" si="270"/>
        <v>#N/A</v>
      </c>
      <c r="L3465" t="e">
        <f ca="1">IF(J3465,Charms!B3465,"")</f>
        <v>#N/A</v>
      </c>
      <c r="M3465" t="str">
        <f t="shared" ca="1" si="272"/>
        <v>-</v>
      </c>
      <c r="N3465" s="18" t="str">
        <f t="shared" si="273"/>
        <v>K1622:L5000</v>
      </c>
      <c r="O3465" t="str">
        <f t="shared" si="274"/>
        <v>A1622:A3465</v>
      </c>
    </row>
    <row r="3466" spans="1:15">
      <c r="A3466" s="18">
        <f>Charms!K3466</f>
        <v>0</v>
      </c>
      <c r="B3466">
        <f>Charms!B3466</f>
        <v>0</v>
      </c>
      <c r="C3466" t="b">
        <f ca="1">OR(Values!$S$98&gt;=Charms!M3466,IFERROR(Charms!J3466=OFFSET(Values!$A$24,MATCH("S",Values!$T$25:$T$50,0),0),FALSE))</f>
        <v>1</v>
      </c>
      <c r="D3466" t="e">
        <f>VLOOKUP(Charms!J3466,Values!$A$11:$S$59,19,0)&gt;=Charms!L3466</f>
        <v>#N/A</v>
      </c>
      <c r="E3466" t="e">
        <f>OR(ISBLANK(Charms!I3466),(VLOOKUP(Values!$S$6,Castes!$B$2:$F$25,4,0)=Charms!I3466))</f>
        <v>#N/A</v>
      </c>
      <c r="J3466" t="e">
        <f t="shared" ca="1" si="271"/>
        <v>#N/A</v>
      </c>
      <c r="K3466" s="18" t="e">
        <f t="shared" ca="1" si="270"/>
        <v>#N/A</v>
      </c>
      <c r="L3466" t="e">
        <f ca="1">IF(J3466,Charms!B3466,"")</f>
        <v>#N/A</v>
      </c>
      <c r="M3466" t="str">
        <f t="shared" ca="1" si="272"/>
        <v>-</v>
      </c>
      <c r="N3466" s="18" t="str">
        <f t="shared" si="273"/>
        <v>K1622:L5000</v>
      </c>
      <c r="O3466" t="str">
        <f t="shared" si="274"/>
        <v>A1622:A3466</v>
      </c>
    </row>
    <row r="3467" spans="1:15">
      <c r="A3467" s="18">
        <f>Charms!K3467</f>
        <v>0</v>
      </c>
      <c r="B3467">
        <f>Charms!B3467</f>
        <v>0</v>
      </c>
      <c r="C3467" t="b">
        <f ca="1">OR(Values!$S$98&gt;=Charms!M3467,IFERROR(Charms!J3467=OFFSET(Values!$A$24,MATCH("S",Values!$T$25:$T$50,0),0),FALSE))</f>
        <v>1</v>
      </c>
      <c r="D3467" t="e">
        <f>VLOOKUP(Charms!J3467,Values!$A$11:$S$59,19,0)&gt;=Charms!L3467</f>
        <v>#N/A</v>
      </c>
      <c r="E3467" t="e">
        <f>OR(ISBLANK(Charms!I3467),(VLOOKUP(Values!$S$6,Castes!$B$2:$F$25,4,0)=Charms!I3467))</f>
        <v>#N/A</v>
      </c>
      <c r="J3467" t="e">
        <f t="shared" ca="1" si="271"/>
        <v>#N/A</v>
      </c>
      <c r="K3467" s="18" t="e">
        <f t="shared" ca="1" si="270"/>
        <v>#N/A</v>
      </c>
      <c r="L3467" t="e">
        <f ca="1">IF(J3467,Charms!B3467,"")</f>
        <v>#N/A</v>
      </c>
      <c r="M3467" t="str">
        <f t="shared" ca="1" si="272"/>
        <v>-</v>
      </c>
      <c r="N3467" s="18" t="str">
        <f t="shared" si="273"/>
        <v>K1622:L5000</v>
      </c>
      <c r="O3467" t="str">
        <f t="shared" si="274"/>
        <v>A1622:A3467</v>
      </c>
    </row>
    <row r="3468" spans="1:15">
      <c r="A3468" s="18">
        <f>Charms!K3468</f>
        <v>0</v>
      </c>
      <c r="B3468">
        <f>Charms!B3468</f>
        <v>0</v>
      </c>
      <c r="C3468" t="b">
        <f ca="1">OR(Values!$S$98&gt;=Charms!M3468,IFERROR(Charms!J3468=OFFSET(Values!$A$24,MATCH("S",Values!$T$25:$T$50,0),0),FALSE))</f>
        <v>1</v>
      </c>
      <c r="D3468" t="e">
        <f>VLOOKUP(Charms!J3468,Values!$A$11:$S$59,19,0)&gt;=Charms!L3468</f>
        <v>#N/A</v>
      </c>
      <c r="E3468" t="e">
        <f>OR(ISBLANK(Charms!I3468),(VLOOKUP(Values!$S$6,Castes!$B$2:$F$25,4,0)=Charms!I3468))</f>
        <v>#N/A</v>
      </c>
      <c r="J3468" t="e">
        <f t="shared" ca="1" si="271"/>
        <v>#N/A</v>
      </c>
      <c r="K3468" s="18" t="e">
        <f t="shared" ca="1" si="270"/>
        <v>#N/A</v>
      </c>
      <c r="L3468" t="e">
        <f ca="1">IF(J3468,Charms!B3468,"")</f>
        <v>#N/A</v>
      </c>
      <c r="M3468" t="str">
        <f t="shared" ca="1" si="272"/>
        <v>-</v>
      </c>
      <c r="N3468" s="18" t="str">
        <f t="shared" si="273"/>
        <v>K1622:L5000</v>
      </c>
      <c r="O3468" t="str">
        <f t="shared" si="274"/>
        <v>A1622:A3468</v>
      </c>
    </row>
    <row r="3469" spans="1:15">
      <c r="A3469" s="18">
        <f>Charms!K3469</f>
        <v>0</v>
      </c>
      <c r="B3469">
        <f>Charms!B3469</f>
        <v>0</v>
      </c>
      <c r="C3469" t="b">
        <f ca="1">OR(Values!$S$98&gt;=Charms!M3469,IFERROR(Charms!J3469=OFFSET(Values!$A$24,MATCH("S",Values!$T$25:$T$50,0),0),FALSE))</f>
        <v>1</v>
      </c>
      <c r="D3469" t="e">
        <f>VLOOKUP(Charms!J3469,Values!$A$11:$S$59,19,0)&gt;=Charms!L3469</f>
        <v>#N/A</v>
      </c>
      <c r="E3469" t="e">
        <f>OR(ISBLANK(Charms!I3469),(VLOOKUP(Values!$S$6,Castes!$B$2:$F$25,4,0)=Charms!I3469))</f>
        <v>#N/A</v>
      </c>
      <c r="J3469" t="e">
        <f t="shared" ca="1" si="271"/>
        <v>#N/A</v>
      </c>
      <c r="K3469" s="18" t="e">
        <f t="shared" ca="1" si="270"/>
        <v>#N/A</v>
      </c>
      <c r="L3469" t="e">
        <f ca="1">IF(J3469,Charms!B3469,"")</f>
        <v>#N/A</v>
      </c>
      <c r="M3469" t="str">
        <f t="shared" ca="1" si="272"/>
        <v>-</v>
      </c>
      <c r="N3469" s="18" t="str">
        <f t="shared" si="273"/>
        <v>K1622:L5000</v>
      </c>
      <c r="O3469" t="str">
        <f t="shared" si="274"/>
        <v>A1622:A3469</v>
      </c>
    </row>
    <row r="3470" spans="1:15">
      <c r="A3470" s="18">
        <f>Charms!K3470</f>
        <v>0</v>
      </c>
      <c r="B3470">
        <f>Charms!B3470</f>
        <v>0</v>
      </c>
      <c r="C3470" t="b">
        <f ca="1">OR(Values!$S$98&gt;=Charms!M3470,IFERROR(Charms!J3470=OFFSET(Values!$A$24,MATCH("S",Values!$T$25:$T$50,0),0),FALSE))</f>
        <v>1</v>
      </c>
      <c r="D3470" t="e">
        <f>VLOOKUP(Charms!J3470,Values!$A$11:$S$59,19,0)&gt;=Charms!L3470</f>
        <v>#N/A</v>
      </c>
      <c r="E3470" t="e">
        <f>OR(ISBLANK(Charms!I3470),(VLOOKUP(Values!$S$6,Castes!$B$2:$F$25,4,0)=Charms!I3470))</f>
        <v>#N/A</v>
      </c>
      <c r="J3470" t="e">
        <f t="shared" ca="1" si="271"/>
        <v>#N/A</v>
      </c>
      <c r="K3470" s="18" t="e">
        <f t="shared" ca="1" si="270"/>
        <v>#N/A</v>
      </c>
      <c r="L3470" t="e">
        <f ca="1">IF(J3470,Charms!B3470,"")</f>
        <v>#N/A</v>
      </c>
      <c r="M3470" t="str">
        <f t="shared" ca="1" si="272"/>
        <v>-</v>
      </c>
      <c r="N3470" s="18" t="str">
        <f t="shared" si="273"/>
        <v>K1622:L5000</v>
      </c>
      <c r="O3470" t="str">
        <f t="shared" si="274"/>
        <v>A1622:A3470</v>
      </c>
    </row>
    <row r="3471" spans="1:15">
      <c r="A3471" s="18">
        <f>Charms!K3471</f>
        <v>0</v>
      </c>
      <c r="B3471">
        <f>Charms!B3471</f>
        <v>0</v>
      </c>
      <c r="C3471" t="b">
        <f ca="1">OR(Values!$S$98&gt;=Charms!M3471,IFERROR(Charms!J3471=OFFSET(Values!$A$24,MATCH("S",Values!$T$25:$T$50,0),0),FALSE))</f>
        <v>1</v>
      </c>
      <c r="D3471" t="e">
        <f>VLOOKUP(Charms!J3471,Values!$A$11:$S$59,19,0)&gt;=Charms!L3471</f>
        <v>#N/A</v>
      </c>
      <c r="E3471" t="e">
        <f>OR(ISBLANK(Charms!I3471),(VLOOKUP(Values!$S$6,Castes!$B$2:$F$25,4,0)=Charms!I3471))</f>
        <v>#N/A</v>
      </c>
      <c r="J3471" t="e">
        <f t="shared" ca="1" si="271"/>
        <v>#N/A</v>
      </c>
      <c r="K3471" s="18" t="e">
        <f t="shared" ca="1" si="270"/>
        <v>#N/A</v>
      </c>
      <c r="L3471" t="e">
        <f ca="1">IF(J3471,Charms!B3471,"")</f>
        <v>#N/A</v>
      </c>
      <c r="M3471" t="str">
        <f t="shared" ca="1" si="272"/>
        <v>-</v>
      </c>
      <c r="N3471" s="18" t="str">
        <f t="shared" si="273"/>
        <v>K1622:L5000</v>
      </c>
      <c r="O3471" t="str">
        <f t="shared" si="274"/>
        <v>A1622:A3471</v>
      </c>
    </row>
    <row r="3472" spans="1:15">
      <c r="A3472" s="18">
        <f>Charms!K3472</f>
        <v>0</v>
      </c>
      <c r="B3472">
        <f>Charms!B3472</f>
        <v>0</v>
      </c>
      <c r="C3472" t="b">
        <f ca="1">OR(Values!$S$98&gt;=Charms!M3472,IFERROR(Charms!J3472=OFFSET(Values!$A$24,MATCH("S",Values!$T$25:$T$50,0),0),FALSE))</f>
        <v>1</v>
      </c>
      <c r="D3472" t="e">
        <f>VLOOKUP(Charms!J3472,Values!$A$11:$S$59,19,0)&gt;=Charms!L3472</f>
        <v>#N/A</v>
      </c>
      <c r="E3472" t="e">
        <f>OR(ISBLANK(Charms!I3472),(VLOOKUP(Values!$S$6,Castes!$B$2:$F$25,4,0)=Charms!I3472))</f>
        <v>#N/A</v>
      </c>
      <c r="J3472" t="e">
        <f t="shared" ca="1" si="271"/>
        <v>#N/A</v>
      </c>
      <c r="K3472" s="18" t="e">
        <f t="shared" ca="1" si="270"/>
        <v>#N/A</v>
      </c>
      <c r="L3472" t="e">
        <f ca="1">IF(J3472,Charms!B3472,"")</f>
        <v>#N/A</v>
      </c>
      <c r="M3472" t="str">
        <f t="shared" ca="1" si="272"/>
        <v>-</v>
      </c>
      <c r="N3472" s="18" t="str">
        <f t="shared" si="273"/>
        <v>K1622:L5000</v>
      </c>
      <c r="O3472" t="str">
        <f t="shared" si="274"/>
        <v>A1622:A3472</v>
      </c>
    </row>
    <row r="3473" spans="1:15">
      <c r="A3473" s="18">
        <f>Charms!K3473</f>
        <v>0</v>
      </c>
      <c r="B3473">
        <f>Charms!B3473</f>
        <v>0</v>
      </c>
      <c r="C3473" t="b">
        <f ca="1">OR(Values!$S$98&gt;=Charms!M3473,IFERROR(Charms!J3473=OFFSET(Values!$A$24,MATCH("S",Values!$T$25:$T$50,0),0),FALSE))</f>
        <v>1</v>
      </c>
      <c r="D3473" t="e">
        <f>VLOOKUP(Charms!J3473,Values!$A$11:$S$59,19,0)&gt;=Charms!L3473</f>
        <v>#N/A</v>
      </c>
      <c r="E3473" t="e">
        <f>OR(ISBLANK(Charms!I3473),(VLOOKUP(Values!$S$6,Castes!$B$2:$F$25,4,0)=Charms!I3473))</f>
        <v>#N/A</v>
      </c>
      <c r="J3473" t="e">
        <f t="shared" ca="1" si="271"/>
        <v>#N/A</v>
      </c>
      <c r="K3473" s="18" t="e">
        <f t="shared" ca="1" si="270"/>
        <v>#N/A</v>
      </c>
      <c r="L3473" t="e">
        <f ca="1">IF(J3473,Charms!B3473,"")</f>
        <v>#N/A</v>
      </c>
      <c r="M3473" t="str">
        <f t="shared" ca="1" si="272"/>
        <v>-</v>
      </c>
      <c r="N3473" s="18" t="str">
        <f t="shared" si="273"/>
        <v>K1622:L5000</v>
      </c>
      <c r="O3473" t="str">
        <f t="shared" si="274"/>
        <v>A1622:A3473</v>
      </c>
    </row>
    <row r="3474" spans="1:15">
      <c r="A3474" s="18">
        <f>Charms!K3474</f>
        <v>0</v>
      </c>
      <c r="B3474">
        <f>Charms!B3474</f>
        <v>0</v>
      </c>
      <c r="C3474" t="b">
        <f ca="1">OR(Values!$S$98&gt;=Charms!M3474,IFERROR(Charms!J3474=OFFSET(Values!$A$24,MATCH("S",Values!$T$25:$T$50,0),0),FALSE))</f>
        <v>1</v>
      </c>
      <c r="D3474" t="e">
        <f>VLOOKUP(Charms!J3474,Values!$A$11:$S$59,19,0)&gt;=Charms!L3474</f>
        <v>#N/A</v>
      </c>
      <c r="E3474" t="e">
        <f>OR(ISBLANK(Charms!I3474),(VLOOKUP(Values!$S$6,Castes!$B$2:$F$25,4,0)=Charms!I3474))</f>
        <v>#N/A</v>
      </c>
      <c r="J3474" t="e">
        <f t="shared" ca="1" si="271"/>
        <v>#N/A</v>
      </c>
      <c r="K3474" s="18" t="e">
        <f t="shared" ca="1" si="270"/>
        <v>#N/A</v>
      </c>
      <c r="L3474" t="e">
        <f ca="1">IF(J3474,Charms!B3474,"")</f>
        <v>#N/A</v>
      </c>
      <c r="M3474" t="str">
        <f t="shared" ca="1" si="272"/>
        <v>-</v>
      </c>
      <c r="N3474" s="18" t="str">
        <f t="shared" si="273"/>
        <v>K1622:L5000</v>
      </c>
      <c r="O3474" t="str">
        <f t="shared" si="274"/>
        <v>A1622:A3474</v>
      </c>
    </row>
    <row r="3475" spans="1:15">
      <c r="A3475" s="18">
        <f>Charms!K3475</f>
        <v>0</v>
      </c>
      <c r="B3475">
        <f>Charms!B3475</f>
        <v>0</v>
      </c>
      <c r="C3475" t="b">
        <f ca="1">OR(Values!$S$98&gt;=Charms!M3475,IFERROR(Charms!J3475=OFFSET(Values!$A$24,MATCH("S",Values!$T$25:$T$50,0),0),FALSE))</f>
        <v>1</v>
      </c>
      <c r="D3475" t="e">
        <f>VLOOKUP(Charms!J3475,Values!$A$11:$S$59,19,0)&gt;=Charms!L3475</f>
        <v>#N/A</v>
      </c>
      <c r="E3475" t="e">
        <f>OR(ISBLANK(Charms!I3475),(VLOOKUP(Values!$S$6,Castes!$B$2:$F$25,4,0)=Charms!I3475))</f>
        <v>#N/A</v>
      </c>
      <c r="J3475" t="e">
        <f t="shared" ca="1" si="271"/>
        <v>#N/A</v>
      </c>
      <c r="K3475" s="18" t="e">
        <f t="shared" ca="1" si="270"/>
        <v>#N/A</v>
      </c>
      <c r="L3475" t="e">
        <f ca="1">IF(J3475,Charms!B3475,"")</f>
        <v>#N/A</v>
      </c>
      <c r="M3475" t="str">
        <f t="shared" ca="1" si="272"/>
        <v>-</v>
      </c>
      <c r="N3475" s="18" t="str">
        <f t="shared" si="273"/>
        <v>K1622:L5000</v>
      </c>
      <c r="O3475" t="str">
        <f t="shared" si="274"/>
        <v>A1622:A3475</v>
      </c>
    </row>
    <row r="3476" spans="1:15">
      <c r="A3476" s="18">
        <f>Charms!K3476</f>
        <v>0</v>
      </c>
      <c r="B3476">
        <f>Charms!B3476</f>
        <v>0</v>
      </c>
      <c r="C3476" t="b">
        <f ca="1">OR(Values!$S$98&gt;=Charms!M3476,IFERROR(Charms!J3476=OFFSET(Values!$A$24,MATCH("S",Values!$T$25:$T$50,0),0),FALSE))</f>
        <v>1</v>
      </c>
      <c r="D3476" t="e">
        <f>VLOOKUP(Charms!J3476,Values!$A$11:$S$59,19,0)&gt;=Charms!L3476</f>
        <v>#N/A</v>
      </c>
      <c r="E3476" t="e">
        <f>OR(ISBLANK(Charms!I3476),(VLOOKUP(Values!$S$6,Castes!$B$2:$F$25,4,0)=Charms!I3476))</f>
        <v>#N/A</v>
      </c>
      <c r="J3476" t="e">
        <f t="shared" ca="1" si="271"/>
        <v>#N/A</v>
      </c>
      <c r="K3476" s="18" t="e">
        <f t="shared" ca="1" si="270"/>
        <v>#N/A</v>
      </c>
      <c r="L3476" t="e">
        <f ca="1">IF(J3476,Charms!B3476,"")</f>
        <v>#N/A</v>
      </c>
      <c r="M3476" t="str">
        <f t="shared" ca="1" si="272"/>
        <v>-</v>
      </c>
      <c r="N3476" s="18" t="str">
        <f t="shared" si="273"/>
        <v>K1622:L5000</v>
      </c>
      <c r="O3476" t="str">
        <f t="shared" si="274"/>
        <v>A1622:A3476</v>
      </c>
    </row>
    <row r="3477" spans="1:15">
      <c r="A3477" s="18">
        <f>Charms!K3477</f>
        <v>0</v>
      </c>
      <c r="B3477">
        <f>Charms!B3477</f>
        <v>0</v>
      </c>
      <c r="C3477" t="b">
        <f ca="1">OR(Values!$S$98&gt;=Charms!M3477,IFERROR(Charms!J3477=OFFSET(Values!$A$24,MATCH("S",Values!$T$25:$T$50,0),0),FALSE))</f>
        <v>1</v>
      </c>
      <c r="D3477" t="e">
        <f>VLOOKUP(Charms!J3477,Values!$A$11:$S$59,19,0)&gt;=Charms!L3477</f>
        <v>#N/A</v>
      </c>
      <c r="E3477" t="e">
        <f>OR(ISBLANK(Charms!I3477),(VLOOKUP(Values!$S$6,Castes!$B$2:$F$25,4,0)=Charms!I3477))</f>
        <v>#N/A</v>
      </c>
      <c r="J3477" t="e">
        <f t="shared" ca="1" si="271"/>
        <v>#N/A</v>
      </c>
      <c r="K3477" s="18" t="e">
        <f t="shared" ca="1" si="270"/>
        <v>#N/A</v>
      </c>
      <c r="L3477" t="e">
        <f ca="1">IF(J3477,Charms!B3477,"")</f>
        <v>#N/A</v>
      </c>
      <c r="M3477" t="str">
        <f t="shared" ca="1" si="272"/>
        <v>-</v>
      </c>
      <c r="N3477" s="18" t="str">
        <f t="shared" si="273"/>
        <v>K1622:L5000</v>
      </c>
      <c r="O3477" t="str">
        <f t="shared" si="274"/>
        <v>A1622:A3477</v>
      </c>
    </row>
    <row r="3478" spans="1:15">
      <c r="A3478" s="18">
        <f>Charms!K3478</f>
        <v>0</v>
      </c>
      <c r="B3478">
        <f>Charms!B3478</f>
        <v>0</v>
      </c>
      <c r="C3478" t="b">
        <f ca="1">OR(Values!$S$98&gt;=Charms!M3478,IFERROR(Charms!J3478=OFFSET(Values!$A$24,MATCH("S",Values!$T$25:$T$50,0),0),FALSE))</f>
        <v>1</v>
      </c>
      <c r="D3478" t="e">
        <f>VLOOKUP(Charms!J3478,Values!$A$11:$S$59,19,0)&gt;=Charms!L3478</f>
        <v>#N/A</v>
      </c>
      <c r="E3478" t="e">
        <f>OR(ISBLANK(Charms!I3478),(VLOOKUP(Values!$S$6,Castes!$B$2:$F$25,4,0)=Charms!I3478))</f>
        <v>#N/A</v>
      </c>
      <c r="J3478" t="e">
        <f t="shared" ca="1" si="271"/>
        <v>#N/A</v>
      </c>
      <c r="K3478" s="18" t="e">
        <f t="shared" ca="1" si="270"/>
        <v>#N/A</v>
      </c>
      <c r="L3478" t="e">
        <f ca="1">IF(J3478,Charms!B3478,"")</f>
        <v>#N/A</v>
      </c>
      <c r="M3478" t="str">
        <f t="shared" ca="1" si="272"/>
        <v>-</v>
      </c>
      <c r="N3478" s="18" t="str">
        <f t="shared" si="273"/>
        <v>K1622:L5000</v>
      </c>
      <c r="O3478" t="str">
        <f t="shared" si="274"/>
        <v>A1622:A3478</v>
      </c>
    </row>
    <row r="3479" spans="1:15">
      <c r="A3479" s="18">
        <f>Charms!K3479</f>
        <v>0</v>
      </c>
      <c r="B3479">
        <f>Charms!B3479</f>
        <v>0</v>
      </c>
      <c r="C3479" t="b">
        <f ca="1">OR(Values!$S$98&gt;=Charms!M3479,IFERROR(Charms!J3479=OFFSET(Values!$A$24,MATCH("S",Values!$T$25:$T$50,0),0),FALSE))</f>
        <v>1</v>
      </c>
      <c r="D3479" t="e">
        <f>VLOOKUP(Charms!J3479,Values!$A$11:$S$59,19,0)&gt;=Charms!L3479</f>
        <v>#N/A</v>
      </c>
      <c r="E3479" t="e">
        <f>OR(ISBLANK(Charms!I3479),(VLOOKUP(Values!$S$6,Castes!$B$2:$F$25,4,0)=Charms!I3479))</f>
        <v>#N/A</v>
      </c>
      <c r="J3479" t="e">
        <f t="shared" ca="1" si="271"/>
        <v>#N/A</v>
      </c>
      <c r="K3479" s="18" t="e">
        <f t="shared" ca="1" si="270"/>
        <v>#N/A</v>
      </c>
      <c r="L3479" t="e">
        <f ca="1">IF(J3479,Charms!B3479,"")</f>
        <v>#N/A</v>
      </c>
      <c r="M3479" t="str">
        <f t="shared" ca="1" si="272"/>
        <v>-</v>
      </c>
      <c r="N3479" s="18" t="str">
        <f t="shared" si="273"/>
        <v>K1622:L5000</v>
      </c>
      <c r="O3479" t="str">
        <f t="shared" si="274"/>
        <v>A1622:A3479</v>
      </c>
    </row>
    <row r="3480" spans="1:15">
      <c r="A3480" s="18">
        <f>Charms!K3480</f>
        <v>0</v>
      </c>
      <c r="B3480">
        <f>Charms!B3480</f>
        <v>0</v>
      </c>
      <c r="C3480" t="b">
        <f ca="1">OR(Values!$S$98&gt;=Charms!M3480,IFERROR(Charms!J3480=OFFSET(Values!$A$24,MATCH("S",Values!$T$25:$T$50,0),0),FALSE))</f>
        <v>1</v>
      </c>
      <c r="D3480" t="e">
        <f>VLOOKUP(Charms!J3480,Values!$A$11:$S$59,19,0)&gt;=Charms!L3480</f>
        <v>#N/A</v>
      </c>
      <c r="E3480" t="e">
        <f>OR(ISBLANK(Charms!I3480),(VLOOKUP(Values!$S$6,Castes!$B$2:$F$25,4,0)=Charms!I3480))</f>
        <v>#N/A</v>
      </c>
      <c r="J3480" t="e">
        <f t="shared" ca="1" si="271"/>
        <v>#N/A</v>
      </c>
      <c r="K3480" s="18" t="e">
        <f t="shared" ca="1" si="270"/>
        <v>#N/A</v>
      </c>
      <c r="L3480" t="e">
        <f ca="1">IF(J3480,Charms!B3480,"")</f>
        <v>#N/A</v>
      </c>
      <c r="M3480" t="str">
        <f t="shared" ca="1" si="272"/>
        <v>-</v>
      </c>
      <c r="N3480" s="18" t="str">
        <f t="shared" si="273"/>
        <v>K1622:L5000</v>
      </c>
      <c r="O3480" t="str">
        <f t="shared" si="274"/>
        <v>A1622:A3480</v>
      </c>
    </row>
    <row r="3481" spans="1:15">
      <c r="A3481" s="18">
        <f>Charms!K3481</f>
        <v>0</v>
      </c>
      <c r="B3481">
        <f>Charms!B3481</f>
        <v>0</v>
      </c>
      <c r="C3481" t="b">
        <f ca="1">OR(Values!$S$98&gt;=Charms!M3481,IFERROR(Charms!J3481=OFFSET(Values!$A$24,MATCH("S",Values!$T$25:$T$50,0),0),FALSE))</f>
        <v>1</v>
      </c>
      <c r="D3481" t="e">
        <f>VLOOKUP(Charms!J3481,Values!$A$11:$S$59,19,0)&gt;=Charms!L3481</f>
        <v>#N/A</v>
      </c>
      <c r="E3481" t="e">
        <f>OR(ISBLANK(Charms!I3481),(VLOOKUP(Values!$S$6,Castes!$B$2:$F$25,4,0)=Charms!I3481))</f>
        <v>#N/A</v>
      </c>
      <c r="J3481" t="e">
        <f t="shared" ca="1" si="271"/>
        <v>#N/A</v>
      </c>
      <c r="K3481" s="18" t="e">
        <f t="shared" ca="1" si="270"/>
        <v>#N/A</v>
      </c>
      <c r="L3481" t="e">
        <f ca="1">IF(J3481,Charms!B3481,"")</f>
        <v>#N/A</v>
      </c>
      <c r="M3481" t="str">
        <f t="shared" ca="1" si="272"/>
        <v>-</v>
      </c>
      <c r="N3481" s="18" t="str">
        <f t="shared" si="273"/>
        <v>K1622:L5000</v>
      </c>
      <c r="O3481" t="str">
        <f t="shared" si="274"/>
        <v>A1622:A3481</v>
      </c>
    </row>
    <row r="3482" spans="1:15">
      <c r="A3482" s="18">
        <f>Charms!K3482</f>
        <v>0</v>
      </c>
      <c r="B3482">
        <f>Charms!B3482</f>
        <v>0</v>
      </c>
      <c r="C3482" t="b">
        <f ca="1">OR(Values!$S$98&gt;=Charms!M3482,IFERROR(Charms!J3482=OFFSET(Values!$A$24,MATCH("S",Values!$T$25:$T$50,0),0),FALSE))</f>
        <v>1</v>
      </c>
      <c r="D3482" t="e">
        <f>VLOOKUP(Charms!J3482,Values!$A$11:$S$59,19,0)&gt;=Charms!L3482</f>
        <v>#N/A</v>
      </c>
      <c r="E3482" t="e">
        <f>OR(ISBLANK(Charms!I3482),(VLOOKUP(Values!$S$6,Castes!$B$2:$F$25,4,0)=Charms!I3482))</f>
        <v>#N/A</v>
      </c>
      <c r="J3482" t="e">
        <f t="shared" ca="1" si="271"/>
        <v>#N/A</v>
      </c>
      <c r="K3482" s="18" t="e">
        <f t="shared" ca="1" si="270"/>
        <v>#N/A</v>
      </c>
      <c r="L3482" t="e">
        <f ca="1">IF(J3482,Charms!B3482,"")</f>
        <v>#N/A</v>
      </c>
      <c r="M3482" t="str">
        <f t="shared" ca="1" si="272"/>
        <v>-</v>
      </c>
      <c r="N3482" s="18" t="str">
        <f t="shared" si="273"/>
        <v>K1622:L5000</v>
      </c>
      <c r="O3482" t="str">
        <f t="shared" si="274"/>
        <v>A1622:A3482</v>
      </c>
    </row>
    <row r="3483" spans="1:15">
      <c r="A3483" s="18">
        <f>Charms!K3483</f>
        <v>0</v>
      </c>
      <c r="B3483">
        <f>Charms!B3483</f>
        <v>0</v>
      </c>
      <c r="C3483" t="b">
        <f ca="1">OR(Values!$S$98&gt;=Charms!M3483,IFERROR(Charms!J3483=OFFSET(Values!$A$24,MATCH("S",Values!$T$25:$T$50,0),0),FALSE))</f>
        <v>1</v>
      </c>
      <c r="D3483" t="e">
        <f>VLOOKUP(Charms!J3483,Values!$A$11:$S$59,19,0)&gt;=Charms!L3483</f>
        <v>#N/A</v>
      </c>
      <c r="E3483" t="e">
        <f>OR(ISBLANK(Charms!I3483),(VLOOKUP(Values!$S$6,Castes!$B$2:$F$25,4,0)=Charms!I3483))</f>
        <v>#N/A</v>
      </c>
      <c r="J3483" t="e">
        <f t="shared" ca="1" si="271"/>
        <v>#N/A</v>
      </c>
      <c r="K3483" s="18" t="e">
        <f t="shared" ca="1" si="270"/>
        <v>#N/A</v>
      </c>
      <c r="L3483" t="e">
        <f ca="1">IF(J3483,Charms!B3483,"")</f>
        <v>#N/A</v>
      </c>
      <c r="M3483" t="str">
        <f t="shared" ca="1" si="272"/>
        <v>-</v>
      </c>
      <c r="N3483" s="18" t="str">
        <f t="shared" si="273"/>
        <v>K1622:L5000</v>
      </c>
      <c r="O3483" t="str">
        <f t="shared" si="274"/>
        <v>A1622:A3483</v>
      </c>
    </row>
    <row r="3484" spans="1:15">
      <c r="A3484" s="18">
        <f>Charms!K3484</f>
        <v>0</v>
      </c>
      <c r="B3484">
        <f>Charms!B3484</f>
        <v>0</v>
      </c>
      <c r="C3484" t="b">
        <f ca="1">OR(Values!$S$98&gt;=Charms!M3484,IFERROR(Charms!J3484=OFFSET(Values!$A$24,MATCH("S",Values!$T$25:$T$50,0),0),FALSE))</f>
        <v>1</v>
      </c>
      <c r="D3484" t="e">
        <f>VLOOKUP(Charms!J3484,Values!$A$11:$S$59,19,0)&gt;=Charms!L3484</f>
        <v>#N/A</v>
      </c>
      <c r="E3484" t="e">
        <f>OR(ISBLANK(Charms!I3484),(VLOOKUP(Values!$S$6,Castes!$B$2:$F$25,4,0)=Charms!I3484))</f>
        <v>#N/A</v>
      </c>
      <c r="J3484" t="e">
        <f t="shared" ca="1" si="271"/>
        <v>#N/A</v>
      </c>
      <c r="K3484" s="18" t="e">
        <f t="shared" ca="1" si="270"/>
        <v>#N/A</v>
      </c>
      <c r="L3484" t="e">
        <f ca="1">IF(J3484,Charms!B3484,"")</f>
        <v>#N/A</v>
      </c>
      <c r="M3484" t="str">
        <f t="shared" ca="1" si="272"/>
        <v>-</v>
      </c>
      <c r="N3484" s="18" t="str">
        <f t="shared" si="273"/>
        <v>K1622:L5000</v>
      </c>
      <c r="O3484" t="str">
        <f t="shared" si="274"/>
        <v>A1622:A3484</v>
      </c>
    </row>
    <row r="3485" spans="1:15">
      <c r="A3485" s="18">
        <f>Charms!K3485</f>
        <v>0</v>
      </c>
      <c r="B3485">
        <f>Charms!B3485</f>
        <v>0</v>
      </c>
      <c r="C3485" t="b">
        <f ca="1">OR(Values!$S$98&gt;=Charms!M3485,IFERROR(Charms!J3485=OFFSET(Values!$A$24,MATCH("S",Values!$T$25:$T$50,0),0),FALSE))</f>
        <v>1</v>
      </c>
      <c r="D3485" t="e">
        <f>VLOOKUP(Charms!J3485,Values!$A$11:$S$59,19,0)&gt;=Charms!L3485</f>
        <v>#N/A</v>
      </c>
      <c r="E3485" t="e">
        <f>OR(ISBLANK(Charms!I3485),(VLOOKUP(Values!$S$6,Castes!$B$2:$F$25,4,0)=Charms!I3485))</f>
        <v>#N/A</v>
      </c>
      <c r="J3485" t="e">
        <f t="shared" ca="1" si="271"/>
        <v>#N/A</v>
      </c>
      <c r="K3485" s="18" t="e">
        <f t="shared" ca="1" si="270"/>
        <v>#N/A</v>
      </c>
      <c r="L3485" t="e">
        <f ca="1">IF(J3485,Charms!B3485,"")</f>
        <v>#N/A</v>
      </c>
      <c r="M3485" t="str">
        <f t="shared" ca="1" si="272"/>
        <v>-</v>
      </c>
      <c r="N3485" s="18" t="str">
        <f t="shared" si="273"/>
        <v>K1622:L5000</v>
      </c>
      <c r="O3485" t="str">
        <f t="shared" si="274"/>
        <v>A1622:A3485</v>
      </c>
    </row>
    <row r="3486" spans="1:15">
      <c r="A3486" s="18">
        <f>Charms!K3486</f>
        <v>0</v>
      </c>
      <c r="B3486">
        <f>Charms!B3486</f>
        <v>0</v>
      </c>
      <c r="C3486" t="b">
        <f ca="1">OR(Values!$S$98&gt;=Charms!M3486,IFERROR(Charms!J3486=OFFSET(Values!$A$24,MATCH("S",Values!$T$25:$T$50,0),0),FALSE))</f>
        <v>1</v>
      </c>
      <c r="D3486" t="e">
        <f>VLOOKUP(Charms!J3486,Values!$A$11:$S$59,19,0)&gt;=Charms!L3486</f>
        <v>#N/A</v>
      </c>
      <c r="E3486" t="e">
        <f>OR(ISBLANK(Charms!I3486),(VLOOKUP(Values!$S$6,Castes!$B$2:$F$25,4,0)=Charms!I3486))</f>
        <v>#N/A</v>
      </c>
      <c r="J3486" t="e">
        <f t="shared" ca="1" si="271"/>
        <v>#N/A</v>
      </c>
      <c r="K3486" s="18" t="e">
        <f t="shared" ca="1" si="270"/>
        <v>#N/A</v>
      </c>
      <c r="L3486" t="e">
        <f ca="1">IF(J3486,Charms!B3486,"")</f>
        <v>#N/A</v>
      </c>
      <c r="M3486" t="str">
        <f t="shared" ca="1" si="272"/>
        <v>-</v>
      </c>
      <c r="N3486" s="18" t="str">
        <f t="shared" si="273"/>
        <v>K1622:L5000</v>
      </c>
      <c r="O3486" t="str">
        <f t="shared" si="274"/>
        <v>A1622:A3486</v>
      </c>
    </row>
    <row r="3487" spans="1:15">
      <c r="A3487" s="18">
        <f>Charms!K3487</f>
        <v>0</v>
      </c>
      <c r="B3487">
        <f>Charms!B3487</f>
        <v>0</v>
      </c>
      <c r="C3487" t="b">
        <f ca="1">OR(Values!$S$98&gt;=Charms!M3487,IFERROR(Charms!J3487=OFFSET(Values!$A$24,MATCH("S",Values!$T$25:$T$50,0),0),FALSE))</f>
        <v>1</v>
      </c>
      <c r="D3487" t="e">
        <f>VLOOKUP(Charms!J3487,Values!$A$11:$S$59,19,0)&gt;=Charms!L3487</f>
        <v>#N/A</v>
      </c>
      <c r="E3487" t="e">
        <f>OR(ISBLANK(Charms!I3487),(VLOOKUP(Values!$S$6,Castes!$B$2:$F$25,4,0)=Charms!I3487))</f>
        <v>#N/A</v>
      </c>
      <c r="J3487" t="e">
        <f t="shared" ca="1" si="271"/>
        <v>#N/A</v>
      </c>
      <c r="K3487" s="18" t="e">
        <f t="shared" ca="1" si="270"/>
        <v>#N/A</v>
      </c>
      <c r="L3487" t="e">
        <f ca="1">IF(J3487,Charms!B3487,"")</f>
        <v>#N/A</v>
      </c>
      <c r="M3487" t="str">
        <f t="shared" ca="1" si="272"/>
        <v>-</v>
      </c>
      <c r="N3487" s="18" t="str">
        <f t="shared" si="273"/>
        <v>K1622:L5000</v>
      </c>
      <c r="O3487" t="str">
        <f t="shared" si="274"/>
        <v>A1622:A3487</v>
      </c>
    </row>
    <row r="3488" spans="1:15">
      <c r="A3488" s="18">
        <f>Charms!K3488</f>
        <v>0</v>
      </c>
      <c r="B3488">
        <f>Charms!B3488</f>
        <v>0</v>
      </c>
      <c r="C3488" t="b">
        <f ca="1">OR(Values!$S$98&gt;=Charms!M3488,IFERROR(Charms!J3488=OFFSET(Values!$A$24,MATCH("S",Values!$T$25:$T$50,0),0),FALSE))</f>
        <v>1</v>
      </c>
      <c r="D3488" t="e">
        <f>VLOOKUP(Charms!J3488,Values!$A$11:$S$59,19,0)&gt;=Charms!L3488</f>
        <v>#N/A</v>
      </c>
      <c r="E3488" t="e">
        <f>OR(ISBLANK(Charms!I3488),(VLOOKUP(Values!$S$6,Castes!$B$2:$F$25,4,0)=Charms!I3488))</f>
        <v>#N/A</v>
      </c>
      <c r="J3488" t="e">
        <f t="shared" ca="1" si="271"/>
        <v>#N/A</v>
      </c>
      <c r="K3488" s="18" t="e">
        <f t="shared" ca="1" si="270"/>
        <v>#N/A</v>
      </c>
      <c r="L3488" t="e">
        <f ca="1">IF(J3488,Charms!B3488,"")</f>
        <v>#N/A</v>
      </c>
      <c r="M3488" t="str">
        <f t="shared" ca="1" si="272"/>
        <v>-</v>
      </c>
      <c r="N3488" s="18" t="str">
        <f t="shared" si="273"/>
        <v>K1622:L5000</v>
      </c>
      <c r="O3488" t="str">
        <f t="shared" si="274"/>
        <v>A1622:A3488</v>
      </c>
    </row>
    <row r="3489" spans="1:15">
      <c r="A3489" s="18">
        <f>Charms!K3489</f>
        <v>0</v>
      </c>
      <c r="B3489">
        <f>Charms!B3489</f>
        <v>0</v>
      </c>
      <c r="C3489" t="b">
        <f ca="1">OR(Values!$S$98&gt;=Charms!M3489,IFERROR(Charms!J3489=OFFSET(Values!$A$24,MATCH("S",Values!$T$25:$T$50,0),0),FALSE))</f>
        <v>1</v>
      </c>
      <c r="D3489" t="e">
        <f>VLOOKUP(Charms!J3489,Values!$A$11:$S$59,19,0)&gt;=Charms!L3489</f>
        <v>#N/A</v>
      </c>
      <c r="E3489" t="e">
        <f>OR(ISBLANK(Charms!I3489),(VLOOKUP(Values!$S$6,Castes!$B$2:$F$25,4,0)=Charms!I3489))</f>
        <v>#N/A</v>
      </c>
      <c r="J3489" t="e">
        <f t="shared" ca="1" si="271"/>
        <v>#N/A</v>
      </c>
      <c r="K3489" s="18" t="e">
        <f t="shared" ca="1" si="270"/>
        <v>#N/A</v>
      </c>
      <c r="L3489" t="e">
        <f ca="1">IF(J3489,Charms!B3489,"")</f>
        <v>#N/A</v>
      </c>
      <c r="M3489" t="str">
        <f t="shared" ca="1" si="272"/>
        <v>-</v>
      </c>
      <c r="N3489" s="18" t="str">
        <f t="shared" si="273"/>
        <v>K1622:L5000</v>
      </c>
      <c r="O3489" t="str">
        <f t="shared" si="274"/>
        <v>A1622:A3489</v>
      </c>
    </row>
    <row r="3490" spans="1:15">
      <c r="A3490" s="18">
        <f>Charms!K3490</f>
        <v>0</v>
      </c>
      <c r="B3490">
        <f>Charms!B3490</f>
        <v>0</v>
      </c>
      <c r="C3490" t="b">
        <f ca="1">OR(Values!$S$98&gt;=Charms!M3490,IFERROR(Charms!J3490=OFFSET(Values!$A$24,MATCH("S",Values!$T$25:$T$50,0),0),FALSE))</f>
        <v>1</v>
      </c>
      <c r="D3490" t="e">
        <f>VLOOKUP(Charms!J3490,Values!$A$11:$S$59,19,0)&gt;=Charms!L3490</f>
        <v>#N/A</v>
      </c>
      <c r="E3490" t="e">
        <f>OR(ISBLANK(Charms!I3490),(VLOOKUP(Values!$S$6,Castes!$B$2:$F$25,4,0)=Charms!I3490))</f>
        <v>#N/A</v>
      </c>
      <c r="J3490" t="e">
        <f t="shared" ca="1" si="271"/>
        <v>#N/A</v>
      </c>
      <c r="K3490" s="18" t="e">
        <f t="shared" ca="1" si="270"/>
        <v>#N/A</v>
      </c>
      <c r="L3490" t="e">
        <f ca="1">IF(J3490,Charms!B3490,"")</f>
        <v>#N/A</v>
      </c>
      <c r="M3490" t="str">
        <f t="shared" ca="1" si="272"/>
        <v>-</v>
      </c>
      <c r="N3490" s="18" t="str">
        <f t="shared" si="273"/>
        <v>K1622:L5000</v>
      </c>
      <c r="O3490" t="str">
        <f t="shared" si="274"/>
        <v>A1622:A3490</v>
      </c>
    </row>
    <row r="3491" spans="1:15">
      <c r="A3491" s="18">
        <f>Charms!K3491</f>
        <v>0</v>
      </c>
      <c r="B3491">
        <f>Charms!B3491</f>
        <v>0</v>
      </c>
      <c r="C3491" t="b">
        <f ca="1">OR(Values!$S$98&gt;=Charms!M3491,IFERROR(Charms!J3491=OFFSET(Values!$A$24,MATCH("S",Values!$T$25:$T$50,0),0),FALSE))</f>
        <v>1</v>
      </c>
      <c r="D3491" t="e">
        <f>VLOOKUP(Charms!J3491,Values!$A$11:$S$59,19,0)&gt;=Charms!L3491</f>
        <v>#N/A</v>
      </c>
      <c r="E3491" t="e">
        <f>OR(ISBLANK(Charms!I3491),(VLOOKUP(Values!$S$6,Castes!$B$2:$F$25,4,0)=Charms!I3491))</f>
        <v>#N/A</v>
      </c>
      <c r="J3491" t="e">
        <f t="shared" ca="1" si="271"/>
        <v>#N/A</v>
      </c>
      <c r="K3491" s="18" t="e">
        <f t="shared" ca="1" si="270"/>
        <v>#N/A</v>
      </c>
      <c r="L3491" t="e">
        <f ca="1">IF(J3491,Charms!B3491,"")</f>
        <v>#N/A</v>
      </c>
      <c r="M3491" t="str">
        <f t="shared" ca="1" si="272"/>
        <v>-</v>
      </c>
      <c r="N3491" s="18" t="str">
        <f t="shared" si="273"/>
        <v>K1622:L5000</v>
      </c>
      <c r="O3491" t="str">
        <f t="shared" si="274"/>
        <v>A1622:A3491</v>
      </c>
    </row>
    <row r="3492" spans="1:15">
      <c r="A3492" s="18">
        <f>Charms!K3492</f>
        <v>0</v>
      </c>
      <c r="B3492">
        <f>Charms!B3492</f>
        <v>0</v>
      </c>
      <c r="C3492" t="b">
        <f ca="1">OR(Values!$S$98&gt;=Charms!M3492,IFERROR(Charms!J3492=OFFSET(Values!$A$24,MATCH("S",Values!$T$25:$T$50,0),0),FALSE))</f>
        <v>1</v>
      </c>
      <c r="D3492" t="e">
        <f>VLOOKUP(Charms!J3492,Values!$A$11:$S$59,19,0)&gt;=Charms!L3492</f>
        <v>#N/A</v>
      </c>
      <c r="E3492" t="e">
        <f>OR(ISBLANK(Charms!I3492),(VLOOKUP(Values!$S$6,Castes!$B$2:$F$25,4,0)=Charms!I3492))</f>
        <v>#N/A</v>
      </c>
      <c r="J3492" t="e">
        <f t="shared" ca="1" si="271"/>
        <v>#N/A</v>
      </c>
      <c r="K3492" s="18" t="e">
        <f t="shared" ca="1" si="270"/>
        <v>#N/A</v>
      </c>
      <c r="L3492" t="e">
        <f ca="1">IF(J3492,Charms!B3492,"")</f>
        <v>#N/A</v>
      </c>
      <c r="M3492" t="str">
        <f t="shared" ca="1" si="272"/>
        <v>-</v>
      </c>
      <c r="N3492" s="18" t="str">
        <f t="shared" si="273"/>
        <v>K1622:L5000</v>
      </c>
      <c r="O3492" t="str">
        <f t="shared" si="274"/>
        <v>A1622:A3492</v>
      </c>
    </row>
    <row r="3493" spans="1:15">
      <c r="A3493" s="18">
        <f>Charms!K3493</f>
        <v>0</v>
      </c>
      <c r="B3493">
        <f>Charms!B3493</f>
        <v>0</v>
      </c>
      <c r="C3493" t="b">
        <f ca="1">OR(Values!$S$98&gt;=Charms!M3493,IFERROR(Charms!J3493=OFFSET(Values!$A$24,MATCH("S",Values!$T$25:$T$50,0),0),FALSE))</f>
        <v>1</v>
      </c>
      <c r="D3493" t="e">
        <f>VLOOKUP(Charms!J3493,Values!$A$11:$S$59,19,0)&gt;=Charms!L3493</f>
        <v>#N/A</v>
      </c>
      <c r="E3493" t="e">
        <f>OR(ISBLANK(Charms!I3493),(VLOOKUP(Values!$S$6,Castes!$B$2:$F$25,4,0)=Charms!I3493))</f>
        <v>#N/A</v>
      </c>
      <c r="J3493" t="e">
        <f t="shared" ca="1" si="271"/>
        <v>#N/A</v>
      </c>
      <c r="K3493" s="18" t="e">
        <f t="shared" ca="1" si="270"/>
        <v>#N/A</v>
      </c>
      <c r="L3493" t="e">
        <f ca="1">IF(J3493,Charms!B3493,"")</f>
        <v>#N/A</v>
      </c>
      <c r="M3493" t="str">
        <f t="shared" ca="1" si="272"/>
        <v>-</v>
      </c>
      <c r="N3493" s="18" t="str">
        <f t="shared" si="273"/>
        <v>K1622:L5000</v>
      </c>
      <c r="O3493" t="str">
        <f t="shared" si="274"/>
        <v>A1622:A3493</v>
      </c>
    </row>
    <row r="3494" spans="1:15">
      <c r="A3494" s="18">
        <f>Charms!K3494</f>
        <v>0</v>
      </c>
      <c r="B3494">
        <f>Charms!B3494</f>
        <v>0</v>
      </c>
      <c r="C3494" t="b">
        <f ca="1">OR(Values!$S$98&gt;=Charms!M3494,IFERROR(Charms!J3494=OFFSET(Values!$A$24,MATCH("S",Values!$T$25:$T$50,0),0),FALSE))</f>
        <v>1</v>
      </c>
      <c r="D3494" t="e">
        <f>VLOOKUP(Charms!J3494,Values!$A$11:$S$59,19,0)&gt;=Charms!L3494</f>
        <v>#N/A</v>
      </c>
      <c r="E3494" t="e">
        <f>OR(ISBLANK(Charms!I3494),(VLOOKUP(Values!$S$6,Castes!$B$2:$F$25,4,0)=Charms!I3494))</f>
        <v>#N/A</v>
      </c>
      <c r="J3494" t="e">
        <f t="shared" ca="1" si="271"/>
        <v>#N/A</v>
      </c>
      <c r="K3494" s="18" t="e">
        <f t="shared" ca="1" si="270"/>
        <v>#N/A</v>
      </c>
      <c r="L3494" t="e">
        <f ca="1">IF(J3494,Charms!B3494,"")</f>
        <v>#N/A</v>
      </c>
      <c r="M3494" t="str">
        <f t="shared" ca="1" si="272"/>
        <v>-</v>
      </c>
      <c r="N3494" s="18" t="str">
        <f t="shared" si="273"/>
        <v>K1622:L5000</v>
      </c>
      <c r="O3494" t="str">
        <f t="shared" si="274"/>
        <v>A1622:A3494</v>
      </c>
    </row>
    <row r="3495" spans="1:15">
      <c r="A3495" s="18">
        <f>Charms!K3495</f>
        <v>0</v>
      </c>
      <c r="B3495">
        <f>Charms!B3495</f>
        <v>0</v>
      </c>
      <c r="C3495" t="b">
        <f ca="1">OR(Values!$S$98&gt;=Charms!M3495,IFERROR(Charms!J3495=OFFSET(Values!$A$24,MATCH("S",Values!$T$25:$T$50,0),0),FALSE))</f>
        <v>1</v>
      </c>
      <c r="D3495" t="e">
        <f>VLOOKUP(Charms!J3495,Values!$A$11:$S$59,19,0)&gt;=Charms!L3495</f>
        <v>#N/A</v>
      </c>
      <c r="E3495" t="e">
        <f>OR(ISBLANK(Charms!I3495),(VLOOKUP(Values!$S$6,Castes!$B$2:$F$25,4,0)=Charms!I3495))</f>
        <v>#N/A</v>
      </c>
      <c r="J3495" t="e">
        <f t="shared" ca="1" si="271"/>
        <v>#N/A</v>
      </c>
      <c r="K3495" s="18" t="e">
        <f t="shared" ca="1" si="270"/>
        <v>#N/A</v>
      </c>
      <c r="L3495" t="e">
        <f ca="1">IF(J3495,Charms!B3495,"")</f>
        <v>#N/A</v>
      </c>
      <c r="M3495" t="str">
        <f t="shared" ca="1" si="272"/>
        <v>-</v>
      </c>
      <c r="N3495" s="18" t="str">
        <f t="shared" si="273"/>
        <v>K1622:L5000</v>
      </c>
      <c r="O3495" t="str">
        <f t="shared" si="274"/>
        <v>A1622:A3495</v>
      </c>
    </row>
    <row r="3496" spans="1:15">
      <c r="A3496" s="18">
        <f>Charms!K3496</f>
        <v>0</v>
      </c>
      <c r="B3496">
        <f>Charms!B3496</f>
        <v>0</v>
      </c>
      <c r="C3496" t="b">
        <f ca="1">OR(Values!$S$98&gt;=Charms!M3496,IFERROR(Charms!J3496=OFFSET(Values!$A$24,MATCH("S",Values!$T$25:$T$50,0),0),FALSE))</f>
        <v>1</v>
      </c>
      <c r="D3496" t="e">
        <f>VLOOKUP(Charms!J3496,Values!$A$11:$S$59,19,0)&gt;=Charms!L3496</f>
        <v>#N/A</v>
      </c>
      <c r="E3496" t="e">
        <f>OR(ISBLANK(Charms!I3496),(VLOOKUP(Values!$S$6,Castes!$B$2:$F$25,4,0)=Charms!I3496))</f>
        <v>#N/A</v>
      </c>
      <c r="J3496" t="e">
        <f t="shared" ca="1" si="271"/>
        <v>#N/A</v>
      </c>
      <c r="K3496" s="18" t="e">
        <f t="shared" ca="1" si="270"/>
        <v>#N/A</v>
      </c>
      <c r="L3496" t="e">
        <f ca="1">IF(J3496,Charms!B3496,"")</f>
        <v>#N/A</v>
      </c>
      <c r="M3496" t="str">
        <f t="shared" ca="1" si="272"/>
        <v>-</v>
      </c>
      <c r="N3496" s="18" t="str">
        <f t="shared" si="273"/>
        <v>K1622:L5000</v>
      </c>
      <c r="O3496" t="str">
        <f t="shared" si="274"/>
        <v>A1622:A3496</v>
      </c>
    </row>
    <row r="3497" spans="1:15">
      <c r="A3497" s="18">
        <f>Charms!K3497</f>
        <v>0</v>
      </c>
      <c r="B3497">
        <f>Charms!B3497</f>
        <v>0</v>
      </c>
      <c r="C3497" t="b">
        <f ca="1">OR(Values!$S$98&gt;=Charms!M3497,IFERROR(Charms!J3497=OFFSET(Values!$A$24,MATCH("S",Values!$T$25:$T$50,0),0),FALSE))</f>
        <v>1</v>
      </c>
      <c r="D3497" t="e">
        <f>VLOOKUP(Charms!J3497,Values!$A$11:$S$59,19,0)&gt;=Charms!L3497</f>
        <v>#N/A</v>
      </c>
      <c r="E3497" t="e">
        <f>OR(ISBLANK(Charms!I3497),(VLOOKUP(Values!$S$6,Castes!$B$2:$F$25,4,0)=Charms!I3497))</f>
        <v>#N/A</v>
      </c>
      <c r="J3497" t="e">
        <f t="shared" ca="1" si="271"/>
        <v>#N/A</v>
      </c>
      <c r="K3497" s="18" t="e">
        <f t="shared" ca="1" si="270"/>
        <v>#N/A</v>
      </c>
      <c r="L3497" t="e">
        <f ca="1">IF(J3497,Charms!B3497,"")</f>
        <v>#N/A</v>
      </c>
      <c r="M3497" t="str">
        <f t="shared" ca="1" si="272"/>
        <v>-</v>
      </c>
      <c r="N3497" s="18" t="str">
        <f t="shared" si="273"/>
        <v>K1622:L5000</v>
      </c>
      <c r="O3497" t="str">
        <f t="shared" si="274"/>
        <v>A1622:A3497</v>
      </c>
    </row>
    <row r="3498" spans="1:15">
      <c r="A3498" s="18">
        <f>Charms!K3498</f>
        <v>0</v>
      </c>
      <c r="B3498">
        <f>Charms!B3498</f>
        <v>0</v>
      </c>
      <c r="C3498" t="b">
        <f ca="1">OR(Values!$S$98&gt;=Charms!M3498,IFERROR(Charms!J3498=OFFSET(Values!$A$24,MATCH("S",Values!$T$25:$T$50,0),0),FALSE))</f>
        <v>1</v>
      </c>
      <c r="D3498" t="e">
        <f>VLOOKUP(Charms!J3498,Values!$A$11:$S$59,19,0)&gt;=Charms!L3498</f>
        <v>#N/A</v>
      </c>
      <c r="E3498" t="e">
        <f>OR(ISBLANK(Charms!I3498),(VLOOKUP(Values!$S$6,Castes!$B$2:$F$25,4,0)=Charms!I3498))</f>
        <v>#N/A</v>
      </c>
      <c r="J3498" t="e">
        <f t="shared" ca="1" si="271"/>
        <v>#N/A</v>
      </c>
      <c r="K3498" s="18" t="e">
        <f t="shared" ca="1" si="270"/>
        <v>#N/A</v>
      </c>
      <c r="L3498" t="e">
        <f ca="1">IF(J3498,Charms!B3498,"")</f>
        <v>#N/A</v>
      </c>
      <c r="M3498" t="str">
        <f t="shared" ca="1" si="272"/>
        <v>-</v>
      </c>
      <c r="N3498" s="18" t="str">
        <f t="shared" si="273"/>
        <v>K1622:L5000</v>
      </c>
      <c r="O3498" t="str">
        <f t="shared" si="274"/>
        <v>A1622:A3498</v>
      </c>
    </row>
    <row r="3499" spans="1:15">
      <c r="A3499" s="18">
        <f>Charms!K3499</f>
        <v>0</v>
      </c>
      <c r="B3499">
        <f>Charms!B3499</f>
        <v>0</v>
      </c>
      <c r="C3499" t="b">
        <f ca="1">OR(Values!$S$98&gt;=Charms!M3499,IFERROR(Charms!J3499=OFFSET(Values!$A$24,MATCH("S",Values!$T$25:$T$50,0),0),FALSE))</f>
        <v>1</v>
      </c>
      <c r="D3499" t="e">
        <f>VLOOKUP(Charms!J3499,Values!$A$11:$S$59,19,0)&gt;=Charms!L3499</f>
        <v>#N/A</v>
      </c>
      <c r="E3499" t="e">
        <f>OR(ISBLANK(Charms!I3499),(VLOOKUP(Values!$S$6,Castes!$B$2:$F$25,4,0)=Charms!I3499))</f>
        <v>#N/A</v>
      </c>
      <c r="J3499" t="e">
        <f t="shared" ca="1" si="271"/>
        <v>#N/A</v>
      </c>
      <c r="K3499" s="18" t="e">
        <f t="shared" ca="1" si="270"/>
        <v>#N/A</v>
      </c>
      <c r="L3499" t="e">
        <f ca="1">IF(J3499,Charms!B3499,"")</f>
        <v>#N/A</v>
      </c>
      <c r="M3499" t="str">
        <f t="shared" ca="1" si="272"/>
        <v>-</v>
      </c>
      <c r="N3499" s="18" t="str">
        <f t="shared" si="273"/>
        <v>K1622:L5000</v>
      </c>
      <c r="O3499" t="str">
        <f t="shared" si="274"/>
        <v>A1622:A3499</v>
      </c>
    </row>
    <row r="3500" spans="1:15">
      <c r="A3500" s="18">
        <f>Charms!K3500</f>
        <v>0</v>
      </c>
      <c r="B3500">
        <f>Charms!B3500</f>
        <v>0</v>
      </c>
      <c r="C3500" t="b">
        <f ca="1">OR(Values!$S$98&gt;=Charms!M3500,IFERROR(Charms!J3500=OFFSET(Values!$A$24,MATCH("S",Values!$T$25:$T$50,0),0),FALSE))</f>
        <v>1</v>
      </c>
      <c r="D3500" t="e">
        <f>VLOOKUP(Charms!J3500,Values!$A$11:$S$59,19,0)&gt;=Charms!L3500</f>
        <v>#N/A</v>
      </c>
      <c r="E3500" t="e">
        <f>OR(ISBLANK(Charms!I3500),(VLOOKUP(Values!$S$6,Castes!$B$2:$F$25,4,0)=Charms!I3500))</f>
        <v>#N/A</v>
      </c>
      <c r="J3500" t="e">
        <f t="shared" ca="1" si="271"/>
        <v>#N/A</v>
      </c>
      <c r="K3500" s="18" t="e">
        <f t="shared" ca="1" si="270"/>
        <v>#N/A</v>
      </c>
      <c r="L3500" t="e">
        <f ca="1">IF(J3500,Charms!B3500,"")</f>
        <v>#N/A</v>
      </c>
      <c r="M3500" t="str">
        <f t="shared" ca="1" si="272"/>
        <v>-</v>
      </c>
      <c r="N3500" s="18" t="str">
        <f t="shared" si="273"/>
        <v>K1622:L5000</v>
      </c>
      <c r="O3500" t="str">
        <f t="shared" si="274"/>
        <v>A1622:A3500</v>
      </c>
    </row>
    <row r="3501" spans="1:15">
      <c r="A3501" s="18">
        <f>Charms!K3501</f>
        <v>0</v>
      </c>
      <c r="B3501">
        <f>Charms!B3501</f>
        <v>0</v>
      </c>
      <c r="C3501" t="b">
        <f ca="1">OR(Values!$S$98&gt;=Charms!M3501,IFERROR(Charms!J3501=OFFSET(Values!$A$24,MATCH("S",Values!$T$25:$T$50,0),0),FALSE))</f>
        <v>1</v>
      </c>
      <c r="D3501" t="e">
        <f>VLOOKUP(Charms!J3501,Values!$A$11:$S$59,19,0)&gt;=Charms!L3501</f>
        <v>#N/A</v>
      </c>
      <c r="E3501" t="e">
        <f>OR(ISBLANK(Charms!I3501),(VLOOKUP(Values!$S$6,Castes!$B$2:$F$25,4,0)=Charms!I3501))</f>
        <v>#N/A</v>
      </c>
      <c r="J3501" t="e">
        <f t="shared" ca="1" si="271"/>
        <v>#N/A</v>
      </c>
      <c r="K3501" s="18" t="e">
        <f t="shared" ca="1" si="270"/>
        <v>#N/A</v>
      </c>
      <c r="L3501" t="e">
        <f ca="1">IF(J3501,Charms!B3501,"")</f>
        <v>#N/A</v>
      </c>
      <c r="M3501" t="str">
        <f t="shared" ca="1" si="272"/>
        <v>-</v>
      </c>
      <c r="N3501" s="18" t="str">
        <f t="shared" si="273"/>
        <v>K1622:L5000</v>
      </c>
      <c r="O3501" t="str">
        <f t="shared" si="274"/>
        <v>A1622:A3501</v>
      </c>
    </row>
    <row r="3502" spans="1:15">
      <c r="A3502" s="18">
        <f>Charms!K3502</f>
        <v>0</v>
      </c>
      <c r="B3502">
        <f>Charms!B3502</f>
        <v>0</v>
      </c>
      <c r="C3502" t="b">
        <f ca="1">OR(Values!$S$98&gt;=Charms!M3502,IFERROR(Charms!J3502=OFFSET(Values!$A$24,MATCH("S",Values!$T$25:$T$50,0),0),FALSE))</f>
        <v>1</v>
      </c>
      <c r="D3502" t="e">
        <f>VLOOKUP(Charms!J3502,Values!$A$11:$S$59,19,0)&gt;=Charms!L3502</f>
        <v>#N/A</v>
      </c>
      <c r="E3502" t="e">
        <f>OR(ISBLANK(Charms!I3502),(VLOOKUP(Values!$S$6,Castes!$B$2:$F$25,4,0)=Charms!I3502))</f>
        <v>#N/A</v>
      </c>
      <c r="J3502" t="e">
        <f t="shared" ca="1" si="271"/>
        <v>#N/A</v>
      </c>
      <c r="K3502" s="18" t="e">
        <f t="shared" ca="1" si="270"/>
        <v>#N/A</v>
      </c>
      <c r="L3502" t="e">
        <f ca="1">IF(J3502,Charms!B3502,"")</f>
        <v>#N/A</v>
      </c>
      <c r="M3502" t="str">
        <f t="shared" ca="1" si="272"/>
        <v>-</v>
      </c>
      <c r="N3502" s="18" t="str">
        <f t="shared" si="273"/>
        <v>K1622:L5000</v>
      </c>
      <c r="O3502" t="str">
        <f t="shared" si="274"/>
        <v>A1622:A3502</v>
      </c>
    </row>
    <row r="3503" spans="1:15">
      <c r="A3503" s="18">
        <f>Charms!K3503</f>
        <v>0</v>
      </c>
      <c r="B3503">
        <f>Charms!B3503</f>
        <v>0</v>
      </c>
      <c r="C3503" t="b">
        <f ca="1">OR(Values!$S$98&gt;=Charms!M3503,IFERROR(Charms!J3503=OFFSET(Values!$A$24,MATCH("S",Values!$T$25:$T$50,0),0),FALSE))</f>
        <v>1</v>
      </c>
      <c r="D3503" t="e">
        <f>VLOOKUP(Charms!J3503,Values!$A$11:$S$59,19,0)&gt;=Charms!L3503</f>
        <v>#N/A</v>
      </c>
      <c r="E3503" t="e">
        <f>OR(ISBLANK(Charms!I3503),(VLOOKUP(Values!$S$6,Castes!$B$2:$F$25,4,0)=Charms!I3503))</f>
        <v>#N/A</v>
      </c>
      <c r="J3503" t="e">
        <f t="shared" ca="1" si="271"/>
        <v>#N/A</v>
      </c>
      <c r="K3503" s="18" t="e">
        <f t="shared" ca="1" si="270"/>
        <v>#N/A</v>
      </c>
      <c r="L3503" t="e">
        <f ca="1">IF(J3503,Charms!B3503,"")</f>
        <v>#N/A</v>
      </c>
      <c r="M3503" t="str">
        <f t="shared" ca="1" si="272"/>
        <v>-</v>
      </c>
      <c r="N3503" s="18" t="str">
        <f t="shared" si="273"/>
        <v>K1622:L5000</v>
      </c>
      <c r="O3503" t="str">
        <f t="shared" si="274"/>
        <v>A1622:A3503</v>
      </c>
    </row>
    <row r="3504" spans="1:15">
      <c r="A3504" s="18">
        <f>Charms!K3504</f>
        <v>0</v>
      </c>
      <c r="B3504">
        <f>Charms!B3504</f>
        <v>0</v>
      </c>
      <c r="C3504" t="b">
        <f ca="1">OR(Values!$S$98&gt;=Charms!M3504,IFERROR(Charms!J3504=OFFSET(Values!$A$24,MATCH("S",Values!$T$25:$T$50,0),0),FALSE))</f>
        <v>1</v>
      </c>
      <c r="D3504" t="e">
        <f>VLOOKUP(Charms!J3504,Values!$A$11:$S$59,19,0)&gt;=Charms!L3504</f>
        <v>#N/A</v>
      </c>
      <c r="E3504" t="e">
        <f>OR(ISBLANK(Charms!I3504),(VLOOKUP(Values!$S$6,Castes!$B$2:$F$25,4,0)=Charms!I3504))</f>
        <v>#N/A</v>
      </c>
      <c r="J3504" t="e">
        <f t="shared" ca="1" si="271"/>
        <v>#N/A</v>
      </c>
      <c r="K3504" s="18" t="e">
        <f t="shared" ca="1" si="270"/>
        <v>#N/A</v>
      </c>
      <c r="L3504" t="e">
        <f ca="1">IF(J3504,Charms!B3504,"")</f>
        <v>#N/A</v>
      </c>
      <c r="M3504" t="str">
        <f t="shared" ca="1" si="272"/>
        <v>-</v>
      </c>
      <c r="N3504" s="18" t="str">
        <f t="shared" si="273"/>
        <v>K1622:L5000</v>
      </c>
      <c r="O3504" t="str">
        <f t="shared" si="274"/>
        <v>A1622:A3504</v>
      </c>
    </row>
    <row r="3505" spans="1:15">
      <c r="A3505" s="18">
        <f>Charms!K3505</f>
        <v>0</v>
      </c>
      <c r="B3505">
        <f>Charms!B3505</f>
        <v>0</v>
      </c>
      <c r="C3505" t="b">
        <f ca="1">OR(Values!$S$98&gt;=Charms!M3505,IFERROR(Charms!J3505=OFFSET(Values!$A$24,MATCH("S",Values!$T$25:$T$50,0),0),FALSE))</f>
        <v>1</v>
      </c>
      <c r="D3505" t="e">
        <f>VLOOKUP(Charms!J3505,Values!$A$11:$S$59,19,0)&gt;=Charms!L3505</f>
        <v>#N/A</v>
      </c>
      <c r="E3505" t="e">
        <f>OR(ISBLANK(Charms!I3505),(VLOOKUP(Values!$S$6,Castes!$B$2:$F$25,4,0)=Charms!I3505))</f>
        <v>#N/A</v>
      </c>
      <c r="J3505" t="e">
        <f t="shared" ca="1" si="271"/>
        <v>#N/A</v>
      </c>
      <c r="K3505" s="18" t="e">
        <f t="shared" ca="1" si="270"/>
        <v>#N/A</v>
      </c>
      <c r="L3505" t="e">
        <f ca="1">IF(J3505,Charms!B3505,"")</f>
        <v>#N/A</v>
      </c>
      <c r="M3505" t="str">
        <f t="shared" ca="1" si="272"/>
        <v>-</v>
      </c>
      <c r="N3505" s="18" t="str">
        <f t="shared" si="273"/>
        <v>K1622:L5000</v>
      </c>
      <c r="O3505" t="str">
        <f t="shared" si="274"/>
        <v>A1622:A3505</v>
      </c>
    </row>
    <row r="3506" spans="1:15">
      <c r="A3506" s="18">
        <f>Charms!K3506</f>
        <v>0</v>
      </c>
      <c r="B3506">
        <f>Charms!B3506</f>
        <v>0</v>
      </c>
      <c r="C3506" t="b">
        <f ca="1">OR(Values!$S$98&gt;=Charms!M3506,IFERROR(Charms!J3506=OFFSET(Values!$A$24,MATCH("S",Values!$T$25:$T$50,0),0),FALSE))</f>
        <v>1</v>
      </c>
      <c r="D3506" t="e">
        <f>VLOOKUP(Charms!J3506,Values!$A$11:$S$59,19,0)&gt;=Charms!L3506</f>
        <v>#N/A</v>
      </c>
      <c r="E3506" t="e">
        <f>OR(ISBLANK(Charms!I3506),(VLOOKUP(Values!$S$6,Castes!$B$2:$F$25,4,0)=Charms!I3506))</f>
        <v>#N/A</v>
      </c>
      <c r="J3506" t="e">
        <f t="shared" ca="1" si="271"/>
        <v>#N/A</v>
      </c>
      <c r="K3506" s="18" t="e">
        <f t="shared" ca="1" si="270"/>
        <v>#N/A</v>
      </c>
      <c r="L3506" t="e">
        <f ca="1">IF(J3506,Charms!B3506,"")</f>
        <v>#N/A</v>
      </c>
      <c r="M3506" t="str">
        <f t="shared" ca="1" si="272"/>
        <v>-</v>
      </c>
      <c r="N3506" s="18" t="str">
        <f t="shared" si="273"/>
        <v>K1622:L5000</v>
      </c>
      <c r="O3506" t="str">
        <f t="shared" si="274"/>
        <v>A1622:A3506</v>
      </c>
    </row>
    <row r="3507" spans="1:15">
      <c r="A3507" s="18">
        <f>Charms!K3507</f>
        <v>0</v>
      </c>
      <c r="B3507">
        <f>Charms!B3507</f>
        <v>0</v>
      </c>
      <c r="C3507" t="b">
        <f ca="1">OR(Values!$S$98&gt;=Charms!M3507,IFERROR(Charms!J3507=OFFSET(Values!$A$24,MATCH("S",Values!$T$25:$T$50,0),0),FALSE))</f>
        <v>1</v>
      </c>
      <c r="D3507" t="e">
        <f>VLOOKUP(Charms!J3507,Values!$A$11:$S$59,19,0)&gt;=Charms!L3507</f>
        <v>#N/A</v>
      </c>
      <c r="E3507" t="e">
        <f>OR(ISBLANK(Charms!I3507),(VLOOKUP(Values!$S$6,Castes!$B$2:$F$25,4,0)=Charms!I3507))</f>
        <v>#N/A</v>
      </c>
      <c r="J3507" t="e">
        <f t="shared" ca="1" si="271"/>
        <v>#N/A</v>
      </c>
      <c r="K3507" s="18" t="e">
        <f t="shared" ca="1" si="270"/>
        <v>#N/A</v>
      </c>
      <c r="L3507" t="e">
        <f ca="1">IF(J3507,Charms!B3507,"")</f>
        <v>#N/A</v>
      </c>
      <c r="M3507" t="str">
        <f t="shared" ca="1" si="272"/>
        <v>-</v>
      </c>
      <c r="N3507" s="18" t="str">
        <f t="shared" si="273"/>
        <v>K1622:L5000</v>
      </c>
      <c r="O3507" t="str">
        <f t="shared" si="274"/>
        <v>A1622:A3507</v>
      </c>
    </row>
    <row r="3508" spans="1:15">
      <c r="A3508" s="18">
        <f>Charms!K3508</f>
        <v>0</v>
      </c>
      <c r="B3508">
        <f>Charms!B3508</f>
        <v>0</v>
      </c>
      <c r="C3508" t="b">
        <f ca="1">OR(Values!$S$98&gt;=Charms!M3508,IFERROR(Charms!J3508=OFFSET(Values!$A$24,MATCH("S",Values!$T$25:$T$50,0),0),FALSE))</f>
        <v>1</v>
      </c>
      <c r="D3508" t="e">
        <f>VLOOKUP(Charms!J3508,Values!$A$11:$S$59,19,0)&gt;=Charms!L3508</f>
        <v>#N/A</v>
      </c>
      <c r="E3508" t="e">
        <f>OR(ISBLANK(Charms!I3508),(VLOOKUP(Values!$S$6,Castes!$B$2:$F$25,4,0)=Charms!I3508))</f>
        <v>#N/A</v>
      </c>
      <c r="J3508" t="e">
        <f t="shared" ca="1" si="271"/>
        <v>#N/A</v>
      </c>
      <c r="K3508" s="18" t="e">
        <f t="shared" ca="1" si="270"/>
        <v>#N/A</v>
      </c>
      <c r="L3508" t="e">
        <f ca="1">IF(J3508,Charms!B3508,"")</f>
        <v>#N/A</v>
      </c>
      <c r="M3508" t="str">
        <f t="shared" ca="1" si="272"/>
        <v>-</v>
      </c>
      <c r="N3508" s="18" t="str">
        <f t="shared" si="273"/>
        <v>K1622:L5000</v>
      </c>
      <c r="O3508" t="str">
        <f t="shared" si="274"/>
        <v>A1622:A3508</v>
      </c>
    </row>
    <row r="3509" spans="1:15">
      <c r="A3509" s="18">
        <f>Charms!K3509</f>
        <v>0</v>
      </c>
      <c r="B3509">
        <f>Charms!B3509</f>
        <v>0</v>
      </c>
      <c r="C3509" t="b">
        <f ca="1">OR(Values!$S$98&gt;=Charms!M3509,IFERROR(Charms!J3509=OFFSET(Values!$A$24,MATCH("S",Values!$T$25:$T$50,0),0),FALSE))</f>
        <v>1</v>
      </c>
      <c r="D3509" t="e">
        <f>VLOOKUP(Charms!J3509,Values!$A$11:$S$59,19,0)&gt;=Charms!L3509</f>
        <v>#N/A</v>
      </c>
      <c r="E3509" t="e">
        <f>OR(ISBLANK(Charms!I3509),(VLOOKUP(Values!$S$6,Castes!$B$2:$F$25,4,0)=Charms!I3509))</f>
        <v>#N/A</v>
      </c>
      <c r="J3509" t="e">
        <f t="shared" ca="1" si="271"/>
        <v>#N/A</v>
      </c>
      <c r="K3509" s="18" t="e">
        <f t="shared" ca="1" si="270"/>
        <v>#N/A</v>
      </c>
      <c r="L3509" t="e">
        <f ca="1">IF(J3509,Charms!B3509,"")</f>
        <v>#N/A</v>
      </c>
      <c r="M3509" t="str">
        <f t="shared" ca="1" si="272"/>
        <v>-</v>
      </c>
      <c r="N3509" s="18" t="str">
        <f t="shared" si="273"/>
        <v>K1622:L5000</v>
      </c>
      <c r="O3509" t="str">
        <f t="shared" si="274"/>
        <v>A1622:A3509</v>
      </c>
    </row>
    <row r="3510" spans="1:15">
      <c r="A3510" s="18">
        <f>Charms!K3510</f>
        <v>0</v>
      </c>
      <c r="B3510">
        <f>Charms!B3510</f>
        <v>0</v>
      </c>
      <c r="C3510" t="b">
        <f ca="1">OR(Values!$S$98&gt;=Charms!M3510,IFERROR(Charms!J3510=OFFSET(Values!$A$24,MATCH("S",Values!$T$25:$T$50,0),0),FALSE))</f>
        <v>1</v>
      </c>
      <c r="D3510" t="e">
        <f>VLOOKUP(Charms!J3510,Values!$A$11:$S$59,19,0)&gt;=Charms!L3510</f>
        <v>#N/A</v>
      </c>
      <c r="E3510" t="e">
        <f>OR(ISBLANK(Charms!I3510),(VLOOKUP(Values!$S$6,Castes!$B$2:$F$25,4,0)=Charms!I3510))</f>
        <v>#N/A</v>
      </c>
      <c r="J3510" t="e">
        <f t="shared" ca="1" si="271"/>
        <v>#N/A</v>
      </c>
      <c r="K3510" s="18" t="e">
        <f t="shared" ca="1" si="270"/>
        <v>#N/A</v>
      </c>
      <c r="L3510" t="e">
        <f ca="1">IF(J3510,Charms!B3510,"")</f>
        <v>#N/A</v>
      </c>
      <c r="M3510" t="str">
        <f t="shared" ca="1" si="272"/>
        <v>-</v>
      </c>
      <c r="N3510" s="18" t="str">
        <f t="shared" si="273"/>
        <v>K1622:L5000</v>
      </c>
      <c r="O3510" t="str">
        <f t="shared" si="274"/>
        <v>A1622:A3510</v>
      </c>
    </row>
    <row r="3511" spans="1:15">
      <c r="A3511" s="18">
        <f>Charms!K3511</f>
        <v>0</v>
      </c>
      <c r="B3511">
        <f>Charms!B3511</f>
        <v>0</v>
      </c>
      <c r="C3511" t="b">
        <f ca="1">OR(Values!$S$98&gt;=Charms!M3511,IFERROR(Charms!J3511=OFFSET(Values!$A$24,MATCH("S",Values!$T$25:$T$50,0),0),FALSE))</f>
        <v>1</v>
      </c>
      <c r="D3511" t="e">
        <f>VLOOKUP(Charms!J3511,Values!$A$11:$S$59,19,0)&gt;=Charms!L3511</f>
        <v>#N/A</v>
      </c>
      <c r="E3511" t="e">
        <f>OR(ISBLANK(Charms!I3511),(VLOOKUP(Values!$S$6,Castes!$B$2:$F$25,4,0)=Charms!I3511))</f>
        <v>#N/A</v>
      </c>
      <c r="J3511" t="e">
        <f t="shared" ca="1" si="271"/>
        <v>#N/A</v>
      </c>
      <c r="K3511" s="18" t="e">
        <f t="shared" ca="1" si="270"/>
        <v>#N/A</v>
      </c>
      <c r="L3511" t="e">
        <f ca="1">IF(J3511,Charms!B3511,"")</f>
        <v>#N/A</v>
      </c>
      <c r="M3511" t="str">
        <f t="shared" ca="1" si="272"/>
        <v>-</v>
      </c>
      <c r="N3511" s="18" t="str">
        <f t="shared" si="273"/>
        <v>K1622:L5000</v>
      </c>
      <c r="O3511" t="str">
        <f t="shared" si="274"/>
        <v>A1622:A3511</v>
      </c>
    </row>
    <row r="3512" spans="1:15">
      <c r="A3512" s="18">
        <f>Charms!K3512</f>
        <v>0</v>
      </c>
      <c r="B3512">
        <f>Charms!B3512</f>
        <v>0</v>
      </c>
      <c r="C3512" t="b">
        <f ca="1">OR(Values!$S$98&gt;=Charms!M3512,IFERROR(Charms!J3512=OFFSET(Values!$A$24,MATCH("S",Values!$T$25:$T$50,0),0),FALSE))</f>
        <v>1</v>
      </c>
      <c r="D3512" t="e">
        <f>VLOOKUP(Charms!J3512,Values!$A$11:$S$59,19,0)&gt;=Charms!L3512</f>
        <v>#N/A</v>
      </c>
      <c r="E3512" t="e">
        <f>OR(ISBLANK(Charms!I3512),(VLOOKUP(Values!$S$6,Castes!$B$2:$F$25,4,0)=Charms!I3512))</f>
        <v>#N/A</v>
      </c>
      <c r="J3512" t="e">
        <f t="shared" ca="1" si="271"/>
        <v>#N/A</v>
      </c>
      <c r="K3512" s="18" t="e">
        <f t="shared" ca="1" si="270"/>
        <v>#N/A</v>
      </c>
      <c r="L3512" t="e">
        <f ca="1">IF(J3512,Charms!B3512,"")</f>
        <v>#N/A</v>
      </c>
      <c r="M3512" t="str">
        <f t="shared" ca="1" si="272"/>
        <v>-</v>
      </c>
      <c r="N3512" s="18" t="str">
        <f t="shared" si="273"/>
        <v>K1622:L5000</v>
      </c>
      <c r="O3512" t="str">
        <f t="shared" si="274"/>
        <v>A1622:A3512</v>
      </c>
    </row>
    <row r="3513" spans="1:15">
      <c r="A3513" s="18">
        <f>Charms!K3513</f>
        <v>0</v>
      </c>
      <c r="B3513">
        <f>Charms!B3513</f>
        <v>0</v>
      </c>
      <c r="C3513" t="b">
        <f ca="1">OR(Values!$S$98&gt;=Charms!M3513,IFERROR(Charms!J3513=OFFSET(Values!$A$24,MATCH("S",Values!$T$25:$T$50,0),0),FALSE))</f>
        <v>1</v>
      </c>
      <c r="D3513" t="e">
        <f>VLOOKUP(Charms!J3513,Values!$A$11:$S$59,19,0)&gt;=Charms!L3513</f>
        <v>#N/A</v>
      </c>
      <c r="E3513" t="e">
        <f>OR(ISBLANK(Charms!I3513),(VLOOKUP(Values!$S$6,Castes!$B$2:$F$25,4,0)=Charms!I3513))</f>
        <v>#N/A</v>
      </c>
      <c r="J3513" t="e">
        <f t="shared" ca="1" si="271"/>
        <v>#N/A</v>
      </c>
      <c r="K3513" s="18" t="e">
        <f t="shared" ca="1" si="270"/>
        <v>#N/A</v>
      </c>
      <c r="L3513" t="e">
        <f ca="1">IF(J3513,Charms!B3513,"")</f>
        <v>#N/A</v>
      </c>
      <c r="M3513" t="str">
        <f t="shared" ca="1" si="272"/>
        <v>-</v>
      </c>
      <c r="N3513" s="18" t="str">
        <f t="shared" si="273"/>
        <v>K1622:L5000</v>
      </c>
      <c r="O3513" t="str">
        <f t="shared" si="274"/>
        <v>A1622:A3513</v>
      </c>
    </row>
    <row r="3514" spans="1:15">
      <c r="A3514" s="18">
        <f>Charms!K3514</f>
        <v>0</v>
      </c>
      <c r="B3514">
        <f>Charms!B3514</f>
        <v>0</v>
      </c>
      <c r="C3514" t="b">
        <f ca="1">OR(Values!$S$98&gt;=Charms!M3514,IFERROR(Charms!J3514=OFFSET(Values!$A$24,MATCH("S",Values!$T$25:$T$50,0),0),FALSE))</f>
        <v>1</v>
      </c>
      <c r="D3514" t="e">
        <f>VLOOKUP(Charms!J3514,Values!$A$11:$S$59,19,0)&gt;=Charms!L3514</f>
        <v>#N/A</v>
      </c>
      <c r="E3514" t="e">
        <f>OR(ISBLANK(Charms!I3514),(VLOOKUP(Values!$S$6,Castes!$B$2:$F$25,4,0)=Charms!I3514))</f>
        <v>#N/A</v>
      </c>
      <c r="J3514" t="e">
        <f t="shared" ca="1" si="271"/>
        <v>#N/A</v>
      </c>
      <c r="K3514" s="18" t="e">
        <f t="shared" ca="1" si="270"/>
        <v>#N/A</v>
      </c>
      <c r="L3514" t="e">
        <f ca="1">IF(J3514,Charms!B3514,"")</f>
        <v>#N/A</v>
      </c>
      <c r="M3514" t="str">
        <f t="shared" ca="1" si="272"/>
        <v>-</v>
      </c>
      <c r="N3514" s="18" t="str">
        <f t="shared" si="273"/>
        <v>K1622:L5000</v>
      </c>
      <c r="O3514" t="str">
        <f t="shared" si="274"/>
        <v>A1622:A3514</v>
      </c>
    </row>
    <row r="3515" spans="1:15">
      <c r="A3515" s="18">
        <f>Charms!K3515</f>
        <v>0</v>
      </c>
      <c r="B3515">
        <f>Charms!B3515</f>
        <v>0</v>
      </c>
      <c r="C3515" t="b">
        <f ca="1">OR(Values!$S$98&gt;=Charms!M3515,IFERROR(Charms!J3515=OFFSET(Values!$A$24,MATCH("S",Values!$T$25:$T$50,0),0),FALSE))</f>
        <v>1</v>
      </c>
      <c r="D3515" t="e">
        <f>VLOOKUP(Charms!J3515,Values!$A$11:$S$59,19,0)&gt;=Charms!L3515</f>
        <v>#N/A</v>
      </c>
      <c r="E3515" t="e">
        <f>OR(ISBLANK(Charms!I3515),(VLOOKUP(Values!$S$6,Castes!$B$2:$F$25,4,0)=Charms!I3515))</f>
        <v>#N/A</v>
      </c>
      <c r="J3515" t="e">
        <f t="shared" ca="1" si="271"/>
        <v>#N/A</v>
      </c>
      <c r="K3515" s="18" t="e">
        <f t="shared" ca="1" si="270"/>
        <v>#N/A</v>
      </c>
      <c r="L3515" t="e">
        <f ca="1">IF(J3515,Charms!B3515,"")</f>
        <v>#N/A</v>
      </c>
      <c r="M3515" t="str">
        <f t="shared" ca="1" si="272"/>
        <v>-</v>
      </c>
      <c r="N3515" s="18" t="str">
        <f t="shared" si="273"/>
        <v>K1622:L5000</v>
      </c>
      <c r="O3515" t="str">
        <f t="shared" si="274"/>
        <v>A1622:A3515</v>
      </c>
    </row>
    <row r="3516" spans="1:15">
      <c r="A3516" s="18">
        <f>Charms!K3516</f>
        <v>0</v>
      </c>
      <c r="B3516">
        <f>Charms!B3516</f>
        <v>0</v>
      </c>
      <c r="C3516" t="b">
        <f ca="1">OR(Values!$S$98&gt;=Charms!M3516,IFERROR(Charms!J3516=OFFSET(Values!$A$24,MATCH("S",Values!$T$25:$T$50,0),0),FALSE))</f>
        <v>1</v>
      </c>
      <c r="D3516" t="e">
        <f>VLOOKUP(Charms!J3516,Values!$A$11:$S$59,19,0)&gt;=Charms!L3516</f>
        <v>#N/A</v>
      </c>
      <c r="E3516" t="e">
        <f>OR(ISBLANK(Charms!I3516),(VLOOKUP(Values!$S$6,Castes!$B$2:$F$25,4,0)=Charms!I3516))</f>
        <v>#N/A</v>
      </c>
      <c r="J3516" t="e">
        <f t="shared" ca="1" si="271"/>
        <v>#N/A</v>
      </c>
      <c r="K3516" s="18" t="e">
        <f t="shared" ca="1" si="270"/>
        <v>#N/A</v>
      </c>
      <c r="L3516" t="e">
        <f ca="1">IF(J3516,Charms!B3516,"")</f>
        <v>#N/A</v>
      </c>
      <c r="M3516" t="str">
        <f t="shared" ca="1" si="272"/>
        <v>-</v>
      </c>
      <c r="N3516" s="18" t="str">
        <f t="shared" si="273"/>
        <v>K1622:L5000</v>
      </c>
      <c r="O3516" t="str">
        <f t="shared" si="274"/>
        <v>A1622:A3516</v>
      </c>
    </row>
    <row r="3517" spans="1:15">
      <c r="A3517" s="18">
        <f>Charms!K3517</f>
        <v>0</v>
      </c>
      <c r="B3517">
        <f>Charms!B3517</f>
        <v>0</v>
      </c>
      <c r="C3517" t="b">
        <f ca="1">OR(Values!$S$98&gt;=Charms!M3517,IFERROR(Charms!J3517=OFFSET(Values!$A$24,MATCH("S",Values!$T$25:$T$50,0),0),FALSE))</f>
        <v>1</v>
      </c>
      <c r="D3517" t="e">
        <f>VLOOKUP(Charms!J3517,Values!$A$11:$S$59,19,0)&gt;=Charms!L3517</f>
        <v>#N/A</v>
      </c>
      <c r="E3517" t="e">
        <f>OR(ISBLANK(Charms!I3517),(VLOOKUP(Values!$S$6,Castes!$B$2:$F$25,4,0)=Charms!I3517))</f>
        <v>#N/A</v>
      </c>
      <c r="J3517" t="e">
        <f t="shared" ca="1" si="271"/>
        <v>#N/A</v>
      </c>
      <c r="K3517" s="18" t="e">
        <f t="shared" ca="1" si="270"/>
        <v>#N/A</v>
      </c>
      <c r="L3517" t="e">
        <f ca="1">IF(J3517,Charms!B3517,"")</f>
        <v>#N/A</v>
      </c>
      <c r="M3517" t="str">
        <f t="shared" ca="1" si="272"/>
        <v>-</v>
      </c>
      <c r="N3517" s="18" t="str">
        <f t="shared" si="273"/>
        <v>K1622:L5000</v>
      </c>
      <c r="O3517" t="str">
        <f t="shared" si="274"/>
        <v>A1622:A3517</v>
      </c>
    </row>
    <row r="3518" spans="1:15">
      <c r="A3518" s="18">
        <f>Charms!K3518</f>
        <v>0</v>
      </c>
      <c r="B3518">
        <f>Charms!B3518</f>
        <v>0</v>
      </c>
      <c r="C3518" t="b">
        <f ca="1">OR(Values!$S$98&gt;=Charms!M3518,IFERROR(Charms!J3518=OFFSET(Values!$A$24,MATCH("S",Values!$T$25:$T$50,0),0),FALSE))</f>
        <v>1</v>
      </c>
      <c r="D3518" t="e">
        <f>VLOOKUP(Charms!J3518,Values!$A$11:$S$59,19,0)&gt;=Charms!L3518</f>
        <v>#N/A</v>
      </c>
      <c r="E3518" t="e">
        <f>OR(ISBLANK(Charms!I3518),(VLOOKUP(Values!$S$6,Castes!$B$2:$F$25,4,0)=Charms!I3518))</f>
        <v>#N/A</v>
      </c>
      <c r="J3518" t="e">
        <f t="shared" ca="1" si="271"/>
        <v>#N/A</v>
      </c>
      <c r="K3518" s="18" t="e">
        <f t="shared" ca="1" si="270"/>
        <v>#N/A</v>
      </c>
      <c r="L3518" t="e">
        <f ca="1">IF(J3518,Charms!B3518,"")</f>
        <v>#N/A</v>
      </c>
      <c r="M3518" t="str">
        <f t="shared" ca="1" si="272"/>
        <v>-</v>
      </c>
      <c r="N3518" s="18" t="str">
        <f t="shared" si="273"/>
        <v>K1622:L5000</v>
      </c>
      <c r="O3518" t="str">
        <f t="shared" si="274"/>
        <v>A1622:A3518</v>
      </c>
    </row>
    <row r="3519" spans="1:15">
      <c r="A3519" s="18">
        <f>Charms!K3519</f>
        <v>0</v>
      </c>
      <c r="B3519">
        <f>Charms!B3519</f>
        <v>0</v>
      </c>
      <c r="C3519" t="b">
        <f ca="1">OR(Values!$S$98&gt;=Charms!M3519,IFERROR(Charms!J3519=OFFSET(Values!$A$24,MATCH("S",Values!$T$25:$T$50,0),0),FALSE))</f>
        <v>1</v>
      </c>
      <c r="D3519" t="e">
        <f>VLOOKUP(Charms!J3519,Values!$A$11:$S$59,19,0)&gt;=Charms!L3519</f>
        <v>#N/A</v>
      </c>
      <c r="E3519" t="e">
        <f>OR(ISBLANK(Charms!I3519),(VLOOKUP(Values!$S$6,Castes!$B$2:$F$25,4,0)=Charms!I3519))</f>
        <v>#N/A</v>
      </c>
      <c r="J3519" t="e">
        <f t="shared" ca="1" si="271"/>
        <v>#N/A</v>
      </c>
      <c r="K3519" s="18" t="e">
        <f t="shared" ca="1" si="270"/>
        <v>#N/A</v>
      </c>
      <c r="L3519" t="e">
        <f ca="1">IF(J3519,Charms!B3519,"")</f>
        <v>#N/A</v>
      </c>
      <c r="M3519" t="str">
        <f t="shared" ca="1" si="272"/>
        <v>-</v>
      </c>
      <c r="N3519" s="18" t="str">
        <f t="shared" si="273"/>
        <v>K1622:L5000</v>
      </c>
      <c r="O3519" t="str">
        <f t="shared" si="274"/>
        <v>A1622:A3519</v>
      </c>
    </row>
    <row r="3520" spans="1:15">
      <c r="A3520" s="18">
        <f>Charms!K3520</f>
        <v>0</v>
      </c>
      <c r="B3520">
        <f>Charms!B3520</f>
        <v>0</v>
      </c>
      <c r="C3520" t="b">
        <f ca="1">OR(Values!$S$98&gt;=Charms!M3520,IFERROR(Charms!J3520=OFFSET(Values!$A$24,MATCH("S",Values!$T$25:$T$50,0),0),FALSE))</f>
        <v>1</v>
      </c>
      <c r="D3520" t="e">
        <f>VLOOKUP(Charms!J3520,Values!$A$11:$S$59,19,0)&gt;=Charms!L3520</f>
        <v>#N/A</v>
      </c>
      <c r="E3520" t="e">
        <f>OR(ISBLANK(Charms!I3520),(VLOOKUP(Values!$S$6,Castes!$B$2:$F$25,4,0)=Charms!I3520))</f>
        <v>#N/A</v>
      </c>
      <c r="J3520" t="e">
        <f t="shared" ca="1" si="271"/>
        <v>#N/A</v>
      </c>
      <c r="K3520" s="18" t="e">
        <f t="shared" ca="1" si="270"/>
        <v>#N/A</v>
      </c>
      <c r="L3520" t="e">
        <f ca="1">IF(J3520,Charms!B3520,"")</f>
        <v>#N/A</v>
      </c>
      <c r="M3520" t="str">
        <f t="shared" ca="1" si="272"/>
        <v>-</v>
      </c>
      <c r="N3520" s="18" t="str">
        <f t="shared" si="273"/>
        <v>K1622:L5000</v>
      </c>
      <c r="O3520" t="str">
        <f t="shared" si="274"/>
        <v>A1622:A3520</v>
      </c>
    </row>
    <row r="3521" spans="1:15">
      <c r="A3521" s="18">
        <f>Charms!K3521</f>
        <v>0</v>
      </c>
      <c r="B3521">
        <f>Charms!B3521</f>
        <v>0</v>
      </c>
      <c r="C3521" t="b">
        <f ca="1">OR(Values!$S$98&gt;=Charms!M3521,IFERROR(Charms!J3521=OFFSET(Values!$A$24,MATCH("S",Values!$T$25:$T$50,0),0),FALSE))</f>
        <v>1</v>
      </c>
      <c r="D3521" t="e">
        <f>VLOOKUP(Charms!J3521,Values!$A$11:$S$59,19,0)&gt;=Charms!L3521</f>
        <v>#N/A</v>
      </c>
      <c r="E3521" t="e">
        <f>OR(ISBLANK(Charms!I3521),(VLOOKUP(Values!$S$6,Castes!$B$2:$F$25,4,0)=Charms!I3521))</f>
        <v>#N/A</v>
      </c>
      <c r="J3521" t="e">
        <f t="shared" ca="1" si="271"/>
        <v>#N/A</v>
      </c>
      <c r="K3521" s="18" t="e">
        <f t="shared" ca="1" si="270"/>
        <v>#N/A</v>
      </c>
      <c r="L3521" t="e">
        <f ca="1">IF(J3521,Charms!B3521,"")</f>
        <v>#N/A</v>
      </c>
      <c r="M3521" t="str">
        <f t="shared" ca="1" si="272"/>
        <v>-</v>
      </c>
      <c r="N3521" s="18" t="str">
        <f t="shared" si="273"/>
        <v>K1622:L5000</v>
      </c>
      <c r="O3521" t="str">
        <f t="shared" si="274"/>
        <v>A1622:A3521</v>
      </c>
    </row>
    <row r="3522" spans="1:15">
      <c r="A3522" s="18">
        <f>Charms!K3522</f>
        <v>0</v>
      </c>
      <c r="B3522">
        <f>Charms!B3522</f>
        <v>0</v>
      </c>
      <c r="C3522" t="b">
        <f ca="1">OR(Values!$S$98&gt;=Charms!M3522,IFERROR(Charms!J3522=OFFSET(Values!$A$24,MATCH("S",Values!$T$25:$T$50,0),0),FALSE))</f>
        <v>1</v>
      </c>
      <c r="D3522" t="e">
        <f>VLOOKUP(Charms!J3522,Values!$A$11:$S$59,19,0)&gt;=Charms!L3522</f>
        <v>#N/A</v>
      </c>
      <c r="E3522" t="e">
        <f>OR(ISBLANK(Charms!I3522),(VLOOKUP(Values!$S$6,Castes!$B$2:$F$25,4,0)=Charms!I3522))</f>
        <v>#N/A</v>
      </c>
      <c r="J3522" t="e">
        <f t="shared" ca="1" si="271"/>
        <v>#N/A</v>
      </c>
      <c r="K3522" s="18" t="e">
        <f t="shared" ref="K3522:K3585" ca="1" si="275">IF(L3522="","",COUNTIF(INDIRECT("J"&amp;MATCH(A3522,A:A,0)&amp;":J"&amp;ROW()),J3522))</f>
        <v>#N/A</v>
      </c>
      <c r="L3522" t="e">
        <f ca="1">IF(J3522,Charms!B3522,"")</f>
        <v>#N/A</v>
      </c>
      <c r="M3522" t="str">
        <f t="shared" ca="1" si="272"/>
        <v>-</v>
      </c>
      <c r="N3522" s="18" t="str">
        <f t="shared" si="273"/>
        <v>K1622:L5000</v>
      </c>
      <c r="O3522" t="str">
        <f t="shared" si="274"/>
        <v>A1622:A3522</v>
      </c>
    </row>
    <row r="3523" spans="1:15">
      <c r="A3523" s="18">
        <f>Charms!K3523</f>
        <v>0</v>
      </c>
      <c r="B3523">
        <f>Charms!B3523</f>
        <v>0</v>
      </c>
      <c r="C3523" t="b">
        <f ca="1">OR(Values!$S$98&gt;=Charms!M3523,IFERROR(Charms!J3523=OFFSET(Values!$A$24,MATCH("S",Values!$T$25:$T$50,0),0),FALSE))</f>
        <v>1</v>
      </c>
      <c r="D3523" t="e">
        <f>VLOOKUP(Charms!J3523,Values!$A$11:$S$59,19,0)&gt;=Charms!L3523</f>
        <v>#N/A</v>
      </c>
      <c r="E3523" t="e">
        <f>OR(ISBLANK(Charms!I3523),(VLOOKUP(Values!$S$6,Castes!$B$2:$F$25,4,0)=Charms!I3523))</f>
        <v>#N/A</v>
      </c>
      <c r="J3523" t="e">
        <f t="shared" ref="J3523:J3586" ca="1" si="276">(C3523+D3523+E3523+F3523+G3523+H3523+I3523)=3</f>
        <v>#N/A</v>
      </c>
      <c r="K3523" s="18" t="e">
        <f t="shared" ca="1" si="275"/>
        <v>#N/A</v>
      </c>
      <c r="L3523" t="e">
        <f ca="1">IF(J3523,Charms!B3523,"")</f>
        <v>#N/A</v>
      </c>
      <c r="M3523" t="str">
        <f t="shared" ref="M3523:M3586" ca="1" si="277">IFERROR(VLOOKUP(COUNTIF(INDIRECT(O3523),A3523),INDIRECT(N3523),2,0),"-")</f>
        <v>-</v>
      </c>
      <c r="N3523" s="18" t="str">
        <f t="shared" ref="N3523:N3586" si="278">"K"&amp;MATCH(A3523,A:A,0)&amp;":L"&amp;(MATCH(A3523,A:A,0)+COUNTIF(A:A,A3523)-1)</f>
        <v>K1622:L5000</v>
      </c>
      <c r="O3523" t="str">
        <f t="shared" ref="O3523:O3586" si="279">"A"&amp;MATCH(A3523,A:A,0)&amp;":A"&amp;ROW()</f>
        <v>A1622:A3523</v>
      </c>
    </row>
    <row r="3524" spans="1:15">
      <c r="A3524" s="18">
        <f>Charms!K3524</f>
        <v>0</v>
      </c>
      <c r="B3524">
        <f>Charms!B3524</f>
        <v>0</v>
      </c>
      <c r="C3524" t="b">
        <f ca="1">OR(Values!$S$98&gt;=Charms!M3524,IFERROR(Charms!J3524=OFFSET(Values!$A$24,MATCH("S",Values!$T$25:$T$50,0),0),FALSE))</f>
        <v>1</v>
      </c>
      <c r="D3524" t="e">
        <f>VLOOKUP(Charms!J3524,Values!$A$11:$S$59,19,0)&gt;=Charms!L3524</f>
        <v>#N/A</v>
      </c>
      <c r="E3524" t="e">
        <f>OR(ISBLANK(Charms!I3524),(VLOOKUP(Values!$S$6,Castes!$B$2:$F$25,4,0)=Charms!I3524))</f>
        <v>#N/A</v>
      </c>
      <c r="J3524" t="e">
        <f t="shared" ca="1" si="276"/>
        <v>#N/A</v>
      </c>
      <c r="K3524" s="18" t="e">
        <f t="shared" ca="1" si="275"/>
        <v>#N/A</v>
      </c>
      <c r="L3524" t="e">
        <f ca="1">IF(J3524,Charms!B3524,"")</f>
        <v>#N/A</v>
      </c>
      <c r="M3524" t="str">
        <f t="shared" ca="1" si="277"/>
        <v>-</v>
      </c>
      <c r="N3524" s="18" t="str">
        <f t="shared" si="278"/>
        <v>K1622:L5000</v>
      </c>
      <c r="O3524" t="str">
        <f t="shared" si="279"/>
        <v>A1622:A3524</v>
      </c>
    </row>
    <row r="3525" spans="1:15">
      <c r="A3525" s="18">
        <f>Charms!K3525</f>
        <v>0</v>
      </c>
      <c r="B3525">
        <f>Charms!B3525</f>
        <v>0</v>
      </c>
      <c r="C3525" t="b">
        <f ca="1">OR(Values!$S$98&gt;=Charms!M3525,IFERROR(Charms!J3525=OFFSET(Values!$A$24,MATCH("S",Values!$T$25:$T$50,0),0),FALSE))</f>
        <v>1</v>
      </c>
      <c r="D3525" t="e">
        <f>VLOOKUP(Charms!J3525,Values!$A$11:$S$59,19,0)&gt;=Charms!L3525</f>
        <v>#N/A</v>
      </c>
      <c r="E3525" t="e">
        <f>OR(ISBLANK(Charms!I3525),(VLOOKUP(Values!$S$6,Castes!$B$2:$F$25,4,0)=Charms!I3525))</f>
        <v>#N/A</v>
      </c>
      <c r="J3525" t="e">
        <f t="shared" ca="1" si="276"/>
        <v>#N/A</v>
      </c>
      <c r="K3525" s="18" t="e">
        <f t="shared" ca="1" si="275"/>
        <v>#N/A</v>
      </c>
      <c r="L3525" t="e">
        <f ca="1">IF(J3525,Charms!B3525,"")</f>
        <v>#N/A</v>
      </c>
      <c r="M3525" t="str">
        <f t="shared" ca="1" si="277"/>
        <v>-</v>
      </c>
      <c r="N3525" s="18" t="str">
        <f t="shared" si="278"/>
        <v>K1622:L5000</v>
      </c>
      <c r="O3525" t="str">
        <f t="shared" si="279"/>
        <v>A1622:A3525</v>
      </c>
    </row>
    <row r="3526" spans="1:15">
      <c r="A3526" s="18">
        <f>Charms!K3526</f>
        <v>0</v>
      </c>
      <c r="B3526">
        <f>Charms!B3526</f>
        <v>0</v>
      </c>
      <c r="C3526" t="b">
        <f ca="1">OR(Values!$S$98&gt;=Charms!M3526,IFERROR(Charms!J3526=OFFSET(Values!$A$24,MATCH("S",Values!$T$25:$T$50,0),0),FALSE))</f>
        <v>1</v>
      </c>
      <c r="D3526" t="e">
        <f>VLOOKUP(Charms!J3526,Values!$A$11:$S$59,19,0)&gt;=Charms!L3526</f>
        <v>#N/A</v>
      </c>
      <c r="E3526" t="e">
        <f>OR(ISBLANK(Charms!I3526),(VLOOKUP(Values!$S$6,Castes!$B$2:$F$25,4,0)=Charms!I3526))</f>
        <v>#N/A</v>
      </c>
      <c r="J3526" t="e">
        <f t="shared" ca="1" si="276"/>
        <v>#N/A</v>
      </c>
      <c r="K3526" s="18" t="e">
        <f t="shared" ca="1" si="275"/>
        <v>#N/A</v>
      </c>
      <c r="L3526" t="e">
        <f ca="1">IF(J3526,Charms!B3526,"")</f>
        <v>#N/A</v>
      </c>
      <c r="M3526" t="str">
        <f t="shared" ca="1" si="277"/>
        <v>-</v>
      </c>
      <c r="N3526" s="18" t="str">
        <f t="shared" si="278"/>
        <v>K1622:L5000</v>
      </c>
      <c r="O3526" t="str">
        <f t="shared" si="279"/>
        <v>A1622:A3526</v>
      </c>
    </row>
    <row r="3527" spans="1:15">
      <c r="A3527" s="18">
        <f>Charms!K3527</f>
        <v>0</v>
      </c>
      <c r="B3527">
        <f>Charms!B3527</f>
        <v>0</v>
      </c>
      <c r="C3527" t="b">
        <f ca="1">OR(Values!$S$98&gt;=Charms!M3527,IFERROR(Charms!J3527=OFFSET(Values!$A$24,MATCH("S",Values!$T$25:$T$50,0),0),FALSE))</f>
        <v>1</v>
      </c>
      <c r="D3527" t="e">
        <f>VLOOKUP(Charms!J3527,Values!$A$11:$S$59,19,0)&gt;=Charms!L3527</f>
        <v>#N/A</v>
      </c>
      <c r="E3527" t="e">
        <f>OR(ISBLANK(Charms!I3527),(VLOOKUP(Values!$S$6,Castes!$B$2:$F$25,4,0)=Charms!I3527))</f>
        <v>#N/A</v>
      </c>
      <c r="J3527" t="e">
        <f t="shared" ca="1" si="276"/>
        <v>#N/A</v>
      </c>
      <c r="K3527" s="18" t="e">
        <f t="shared" ca="1" si="275"/>
        <v>#N/A</v>
      </c>
      <c r="L3527" t="e">
        <f ca="1">IF(J3527,Charms!B3527,"")</f>
        <v>#N/A</v>
      </c>
      <c r="M3527" t="str">
        <f t="shared" ca="1" si="277"/>
        <v>-</v>
      </c>
      <c r="N3527" s="18" t="str">
        <f t="shared" si="278"/>
        <v>K1622:L5000</v>
      </c>
      <c r="O3527" t="str">
        <f t="shared" si="279"/>
        <v>A1622:A3527</v>
      </c>
    </row>
    <row r="3528" spans="1:15">
      <c r="A3528" s="18">
        <f>Charms!K3528</f>
        <v>0</v>
      </c>
      <c r="B3528">
        <f>Charms!B3528</f>
        <v>0</v>
      </c>
      <c r="C3528" t="b">
        <f ca="1">OR(Values!$S$98&gt;=Charms!M3528,IFERROR(Charms!J3528=OFFSET(Values!$A$24,MATCH("S",Values!$T$25:$T$50,0),0),FALSE))</f>
        <v>1</v>
      </c>
      <c r="D3528" t="e">
        <f>VLOOKUP(Charms!J3528,Values!$A$11:$S$59,19,0)&gt;=Charms!L3528</f>
        <v>#N/A</v>
      </c>
      <c r="E3528" t="e">
        <f>OR(ISBLANK(Charms!I3528),(VLOOKUP(Values!$S$6,Castes!$B$2:$F$25,4,0)=Charms!I3528))</f>
        <v>#N/A</v>
      </c>
      <c r="J3528" t="e">
        <f t="shared" ca="1" si="276"/>
        <v>#N/A</v>
      </c>
      <c r="K3528" s="18" t="e">
        <f t="shared" ca="1" si="275"/>
        <v>#N/A</v>
      </c>
      <c r="L3528" t="e">
        <f ca="1">IF(J3528,Charms!B3528,"")</f>
        <v>#N/A</v>
      </c>
      <c r="M3528" t="str">
        <f t="shared" ca="1" si="277"/>
        <v>-</v>
      </c>
      <c r="N3528" s="18" t="str">
        <f t="shared" si="278"/>
        <v>K1622:L5000</v>
      </c>
      <c r="O3528" t="str">
        <f t="shared" si="279"/>
        <v>A1622:A3528</v>
      </c>
    </row>
    <row r="3529" spans="1:15">
      <c r="A3529" s="18">
        <f>Charms!K3529</f>
        <v>0</v>
      </c>
      <c r="B3529">
        <f>Charms!B3529</f>
        <v>0</v>
      </c>
      <c r="C3529" t="b">
        <f ca="1">OR(Values!$S$98&gt;=Charms!M3529,IFERROR(Charms!J3529=OFFSET(Values!$A$24,MATCH("S",Values!$T$25:$T$50,0),0),FALSE))</f>
        <v>1</v>
      </c>
      <c r="D3529" t="e">
        <f>VLOOKUP(Charms!J3529,Values!$A$11:$S$59,19,0)&gt;=Charms!L3529</f>
        <v>#N/A</v>
      </c>
      <c r="E3529" t="e">
        <f>OR(ISBLANK(Charms!I3529),(VLOOKUP(Values!$S$6,Castes!$B$2:$F$25,4,0)=Charms!I3529))</f>
        <v>#N/A</v>
      </c>
      <c r="J3529" t="e">
        <f t="shared" ca="1" si="276"/>
        <v>#N/A</v>
      </c>
      <c r="K3529" s="18" t="e">
        <f t="shared" ca="1" si="275"/>
        <v>#N/A</v>
      </c>
      <c r="L3529" t="e">
        <f ca="1">IF(J3529,Charms!B3529,"")</f>
        <v>#N/A</v>
      </c>
      <c r="M3529" t="str">
        <f t="shared" ca="1" si="277"/>
        <v>-</v>
      </c>
      <c r="N3529" s="18" t="str">
        <f t="shared" si="278"/>
        <v>K1622:L5000</v>
      </c>
      <c r="O3529" t="str">
        <f t="shared" si="279"/>
        <v>A1622:A3529</v>
      </c>
    </row>
    <row r="3530" spans="1:15">
      <c r="A3530" s="18">
        <f>Charms!K3530</f>
        <v>0</v>
      </c>
      <c r="B3530">
        <f>Charms!B3530</f>
        <v>0</v>
      </c>
      <c r="C3530" t="b">
        <f ca="1">OR(Values!$S$98&gt;=Charms!M3530,IFERROR(Charms!J3530=OFFSET(Values!$A$24,MATCH("S",Values!$T$25:$T$50,0),0),FALSE))</f>
        <v>1</v>
      </c>
      <c r="D3530" t="e">
        <f>VLOOKUP(Charms!J3530,Values!$A$11:$S$59,19,0)&gt;=Charms!L3530</f>
        <v>#N/A</v>
      </c>
      <c r="E3530" t="e">
        <f>OR(ISBLANK(Charms!I3530),(VLOOKUP(Values!$S$6,Castes!$B$2:$F$25,4,0)=Charms!I3530))</f>
        <v>#N/A</v>
      </c>
      <c r="J3530" t="e">
        <f t="shared" ca="1" si="276"/>
        <v>#N/A</v>
      </c>
      <c r="K3530" s="18" t="e">
        <f t="shared" ca="1" si="275"/>
        <v>#N/A</v>
      </c>
      <c r="L3530" t="e">
        <f ca="1">IF(J3530,Charms!B3530,"")</f>
        <v>#N/A</v>
      </c>
      <c r="M3530" t="str">
        <f t="shared" ca="1" si="277"/>
        <v>-</v>
      </c>
      <c r="N3530" s="18" t="str">
        <f t="shared" si="278"/>
        <v>K1622:L5000</v>
      </c>
      <c r="O3530" t="str">
        <f t="shared" si="279"/>
        <v>A1622:A3530</v>
      </c>
    </row>
    <row r="3531" spans="1:15">
      <c r="A3531" s="18">
        <f>Charms!K3531</f>
        <v>0</v>
      </c>
      <c r="B3531">
        <f>Charms!B3531</f>
        <v>0</v>
      </c>
      <c r="C3531" t="b">
        <f ca="1">OR(Values!$S$98&gt;=Charms!M3531,IFERROR(Charms!J3531=OFFSET(Values!$A$24,MATCH("S",Values!$T$25:$T$50,0),0),FALSE))</f>
        <v>1</v>
      </c>
      <c r="D3531" t="e">
        <f>VLOOKUP(Charms!J3531,Values!$A$11:$S$59,19,0)&gt;=Charms!L3531</f>
        <v>#N/A</v>
      </c>
      <c r="E3531" t="e">
        <f>OR(ISBLANK(Charms!I3531),(VLOOKUP(Values!$S$6,Castes!$B$2:$F$25,4,0)=Charms!I3531))</f>
        <v>#N/A</v>
      </c>
      <c r="J3531" t="e">
        <f t="shared" ca="1" si="276"/>
        <v>#N/A</v>
      </c>
      <c r="K3531" s="18" t="e">
        <f t="shared" ca="1" si="275"/>
        <v>#N/A</v>
      </c>
      <c r="L3531" t="e">
        <f ca="1">IF(J3531,Charms!B3531,"")</f>
        <v>#N/A</v>
      </c>
      <c r="M3531" t="str">
        <f t="shared" ca="1" si="277"/>
        <v>-</v>
      </c>
      <c r="N3531" s="18" t="str">
        <f t="shared" si="278"/>
        <v>K1622:L5000</v>
      </c>
      <c r="O3531" t="str">
        <f t="shared" si="279"/>
        <v>A1622:A3531</v>
      </c>
    </row>
    <row r="3532" spans="1:15">
      <c r="A3532" s="18">
        <f>Charms!K3532</f>
        <v>0</v>
      </c>
      <c r="B3532">
        <f>Charms!B3532</f>
        <v>0</v>
      </c>
      <c r="C3532" t="b">
        <f ca="1">OR(Values!$S$98&gt;=Charms!M3532,IFERROR(Charms!J3532=OFFSET(Values!$A$24,MATCH("S",Values!$T$25:$T$50,0),0),FALSE))</f>
        <v>1</v>
      </c>
      <c r="D3532" t="e">
        <f>VLOOKUP(Charms!J3532,Values!$A$11:$S$59,19,0)&gt;=Charms!L3532</f>
        <v>#N/A</v>
      </c>
      <c r="E3532" t="e">
        <f>OR(ISBLANK(Charms!I3532),(VLOOKUP(Values!$S$6,Castes!$B$2:$F$25,4,0)=Charms!I3532))</f>
        <v>#N/A</v>
      </c>
      <c r="J3532" t="e">
        <f t="shared" ca="1" si="276"/>
        <v>#N/A</v>
      </c>
      <c r="K3532" s="18" t="e">
        <f t="shared" ca="1" si="275"/>
        <v>#N/A</v>
      </c>
      <c r="L3532" t="e">
        <f ca="1">IF(J3532,Charms!B3532,"")</f>
        <v>#N/A</v>
      </c>
      <c r="M3532" t="str">
        <f t="shared" ca="1" si="277"/>
        <v>-</v>
      </c>
      <c r="N3532" s="18" t="str">
        <f t="shared" si="278"/>
        <v>K1622:L5000</v>
      </c>
      <c r="O3532" t="str">
        <f t="shared" si="279"/>
        <v>A1622:A3532</v>
      </c>
    </row>
    <row r="3533" spans="1:15">
      <c r="A3533" s="18">
        <f>Charms!K3533</f>
        <v>0</v>
      </c>
      <c r="B3533">
        <f>Charms!B3533</f>
        <v>0</v>
      </c>
      <c r="C3533" t="b">
        <f ca="1">OR(Values!$S$98&gt;=Charms!M3533,IFERROR(Charms!J3533=OFFSET(Values!$A$24,MATCH("S",Values!$T$25:$T$50,0),0),FALSE))</f>
        <v>1</v>
      </c>
      <c r="D3533" t="e">
        <f>VLOOKUP(Charms!J3533,Values!$A$11:$S$59,19,0)&gt;=Charms!L3533</f>
        <v>#N/A</v>
      </c>
      <c r="E3533" t="e">
        <f>OR(ISBLANK(Charms!I3533),(VLOOKUP(Values!$S$6,Castes!$B$2:$F$25,4,0)=Charms!I3533))</f>
        <v>#N/A</v>
      </c>
      <c r="J3533" t="e">
        <f t="shared" ca="1" si="276"/>
        <v>#N/A</v>
      </c>
      <c r="K3533" s="18" t="e">
        <f t="shared" ca="1" si="275"/>
        <v>#N/A</v>
      </c>
      <c r="L3533" t="e">
        <f ca="1">IF(J3533,Charms!B3533,"")</f>
        <v>#N/A</v>
      </c>
      <c r="M3533" t="str">
        <f t="shared" ca="1" si="277"/>
        <v>-</v>
      </c>
      <c r="N3533" s="18" t="str">
        <f t="shared" si="278"/>
        <v>K1622:L5000</v>
      </c>
      <c r="O3533" t="str">
        <f t="shared" si="279"/>
        <v>A1622:A3533</v>
      </c>
    </row>
    <row r="3534" spans="1:15">
      <c r="A3534" s="18">
        <f>Charms!K3534</f>
        <v>0</v>
      </c>
      <c r="B3534">
        <f>Charms!B3534</f>
        <v>0</v>
      </c>
      <c r="C3534" t="b">
        <f ca="1">OR(Values!$S$98&gt;=Charms!M3534,IFERROR(Charms!J3534=OFFSET(Values!$A$24,MATCH("S",Values!$T$25:$T$50,0),0),FALSE))</f>
        <v>1</v>
      </c>
      <c r="D3534" t="e">
        <f>VLOOKUP(Charms!J3534,Values!$A$11:$S$59,19,0)&gt;=Charms!L3534</f>
        <v>#N/A</v>
      </c>
      <c r="E3534" t="e">
        <f>OR(ISBLANK(Charms!I3534),(VLOOKUP(Values!$S$6,Castes!$B$2:$F$25,4,0)=Charms!I3534))</f>
        <v>#N/A</v>
      </c>
      <c r="J3534" t="e">
        <f t="shared" ca="1" si="276"/>
        <v>#N/A</v>
      </c>
      <c r="K3534" s="18" t="e">
        <f t="shared" ca="1" si="275"/>
        <v>#N/A</v>
      </c>
      <c r="L3534" t="e">
        <f ca="1">IF(J3534,Charms!B3534,"")</f>
        <v>#N/A</v>
      </c>
      <c r="M3534" t="str">
        <f t="shared" ca="1" si="277"/>
        <v>-</v>
      </c>
      <c r="N3534" s="18" t="str">
        <f t="shared" si="278"/>
        <v>K1622:L5000</v>
      </c>
      <c r="O3534" t="str">
        <f t="shared" si="279"/>
        <v>A1622:A3534</v>
      </c>
    </row>
    <row r="3535" spans="1:15">
      <c r="A3535" s="18">
        <f>Charms!K3535</f>
        <v>0</v>
      </c>
      <c r="B3535">
        <f>Charms!B3535</f>
        <v>0</v>
      </c>
      <c r="C3535" t="b">
        <f ca="1">OR(Values!$S$98&gt;=Charms!M3535,IFERROR(Charms!J3535=OFFSET(Values!$A$24,MATCH("S",Values!$T$25:$T$50,0),0),FALSE))</f>
        <v>1</v>
      </c>
      <c r="D3535" t="e">
        <f>VLOOKUP(Charms!J3535,Values!$A$11:$S$59,19,0)&gt;=Charms!L3535</f>
        <v>#N/A</v>
      </c>
      <c r="E3535" t="e">
        <f>OR(ISBLANK(Charms!I3535),(VLOOKUP(Values!$S$6,Castes!$B$2:$F$25,4,0)=Charms!I3535))</f>
        <v>#N/A</v>
      </c>
      <c r="J3535" t="e">
        <f t="shared" ca="1" si="276"/>
        <v>#N/A</v>
      </c>
      <c r="K3535" s="18" t="e">
        <f t="shared" ca="1" si="275"/>
        <v>#N/A</v>
      </c>
      <c r="L3535" t="e">
        <f ca="1">IF(J3535,Charms!B3535,"")</f>
        <v>#N/A</v>
      </c>
      <c r="M3535" t="str">
        <f t="shared" ca="1" si="277"/>
        <v>-</v>
      </c>
      <c r="N3535" s="18" t="str">
        <f t="shared" si="278"/>
        <v>K1622:L5000</v>
      </c>
      <c r="O3535" t="str">
        <f t="shared" si="279"/>
        <v>A1622:A3535</v>
      </c>
    </row>
    <row r="3536" spans="1:15">
      <c r="A3536" s="18">
        <f>Charms!K3536</f>
        <v>0</v>
      </c>
      <c r="B3536">
        <f>Charms!B3536</f>
        <v>0</v>
      </c>
      <c r="C3536" t="b">
        <f ca="1">OR(Values!$S$98&gt;=Charms!M3536,IFERROR(Charms!J3536=OFFSET(Values!$A$24,MATCH("S",Values!$T$25:$T$50,0),0),FALSE))</f>
        <v>1</v>
      </c>
      <c r="D3536" t="e">
        <f>VLOOKUP(Charms!J3536,Values!$A$11:$S$59,19,0)&gt;=Charms!L3536</f>
        <v>#N/A</v>
      </c>
      <c r="E3536" t="e">
        <f>OR(ISBLANK(Charms!I3536),(VLOOKUP(Values!$S$6,Castes!$B$2:$F$25,4,0)=Charms!I3536))</f>
        <v>#N/A</v>
      </c>
      <c r="J3536" t="e">
        <f t="shared" ca="1" si="276"/>
        <v>#N/A</v>
      </c>
      <c r="K3536" s="18" t="e">
        <f t="shared" ca="1" si="275"/>
        <v>#N/A</v>
      </c>
      <c r="L3536" t="e">
        <f ca="1">IF(J3536,Charms!B3536,"")</f>
        <v>#N/A</v>
      </c>
      <c r="M3536" t="str">
        <f t="shared" ca="1" si="277"/>
        <v>-</v>
      </c>
      <c r="N3536" s="18" t="str">
        <f t="shared" si="278"/>
        <v>K1622:L5000</v>
      </c>
      <c r="O3536" t="str">
        <f t="shared" si="279"/>
        <v>A1622:A3536</v>
      </c>
    </row>
    <row r="3537" spans="1:15">
      <c r="A3537" s="18">
        <f>Charms!K3537</f>
        <v>0</v>
      </c>
      <c r="B3537">
        <f>Charms!B3537</f>
        <v>0</v>
      </c>
      <c r="C3537" t="b">
        <f ca="1">OR(Values!$S$98&gt;=Charms!M3537,IFERROR(Charms!J3537=OFFSET(Values!$A$24,MATCH("S",Values!$T$25:$T$50,0),0),FALSE))</f>
        <v>1</v>
      </c>
      <c r="D3537" t="e">
        <f>VLOOKUP(Charms!J3537,Values!$A$11:$S$59,19,0)&gt;=Charms!L3537</f>
        <v>#N/A</v>
      </c>
      <c r="E3537" t="e">
        <f>OR(ISBLANK(Charms!I3537),(VLOOKUP(Values!$S$6,Castes!$B$2:$F$25,4,0)=Charms!I3537))</f>
        <v>#N/A</v>
      </c>
      <c r="J3537" t="e">
        <f t="shared" ca="1" si="276"/>
        <v>#N/A</v>
      </c>
      <c r="K3537" s="18" t="e">
        <f t="shared" ca="1" si="275"/>
        <v>#N/A</v>
      </c>
      <c r="L3537" t="e">
        <f ca="1">IF(J3537,Charms!B3537,"")</f>
        <v>#N/A</v>
      </c>
      <c r="M3537" t="str">
        <f t="shared" ca="1" si="277"/>
        <v>-</v>
      </c>
      <c r="N3537" s="18" t="str">
        <f t="shared" si="278"/>
        <v>K1622:L5000</v>
      </c>
      <c r="O3537" t="str">
        <f t="shared" si="279"/>
        <v>A1622:A3537</v>
      </c>
    </row>
    <row r="3538" spans="1:15">
      <c r="A3538" s="18">
        <f>Charms!K3538</f>
        <v>0</v>
      </c>
      <c r="B3538">
        <f>Charms!B3538</f>
        <v>0</v>
      </c>
      <c r="C3538" t="b">
        <f ca="1">OR(Values!$S$98&gt;=Charms!M3538,IFERROR(Charms!J3538=OFFSET(Values!$A$24,MATCH("S",Values!$T$25:$T$50,0),0),FALSE))</f>
        <v>1</v>
      </c>
      <c r="D3538" t="e">
        <f>VLOOKUP(Charms!J3538,Values!$A$11:$S$59,19,0)&gt;=Charms!L3538</f>
        <v>#N/A</v>
      </c>
      <c r="E3538" t="e">
        <f>OR(ISBLANK(Charms!I3538),(VLOOKUP(Values!$S$6,Castes!$B$2:$F$25,4,0)=Charms!I3538))</f>
        <v>#N/A</v>
      </c>
      <c r="J3538" t="e">
        <f t="shared" ca="1" si="276"/>
        <v>#N/A</v>
      </c>
      <c r="K3538" s="18" t="e">
        <f t="shared" ca="1" si="275"/>
        <v>#N/A</v>
      </c>
      <c r="L3538" t="e">
        <f ca="1">IF(J3538,Charms!B3538,"")</f>
        <v>#N/A</v>
      </c>
      <c r="M3538" t="str">
        <f t="shared" ca="1" si="277"/>
        <v>-</v>
      </c>
      <c r="N3538" s="18" t="str">
        <f t="shared" si="278"/>
        <v>K1622:L5000</v>
      </c>
      <c r="O3538" t="str">
        <f t="shared" si="279"/>
        <v>A1622:A3538</v>
      </c>
    </row>
    <row r="3539" spans="1:15">
      <c r="A3539" s="18">
        <f>Charms!K3539</f>
        <v>0</v>
      </c>
      <c r="B3539">
        <f>Charms!B3539</f>
        <v>0</v>
      </c>
      <c r="C3539" t="b">
        <f ca="1">OR(Values!$S$98&gt;=Charms!M3539,IFERROR(Charms!J3539=OFFSET(Values!$A$24,MATCH("S",Values!$T$25:$T$50,0),0),FALSE))</f>
        <v>1</v>
      </c>
      <c r="D3539" t="e">
        <f>VLOOKUP(Charms!J3539,Values!$A$11:$S$59,19,0)&gt;=Charms!L3539</f>
        <v>#N/A</v>
      </c>
      <c r="E3539" t="e">
        <f>OR(ISBLANK(Charms!I3539),(VLOOKUP(Values!$S$6,Castes!$B$2:$F$25,4,0)=Charms!I3539))</f>
        <v>#N/A</v>
      </c>
      <c r="J3539" t="e">
        <f t="shared" ca="1" si="276"/>
        <v>#N/A</v>
      </c>
      <c r="K3539" s="18" t="e">
        <f t="shared" ca="1" si="275"/>
        <v>#N/A</v>
      </c>
      <c r="L3539" t="e">
        <f ca="1">IF(J3539,Charms!B3539,"")</f>
        <v>#N/A</v>
      </c>
      <c r="M3539" t="str">
        <f t="shared" ca="1" si="277"/>
        <v>-</v>
      </c>
      <c r="N3539" s="18" t="str">
        <f t="shared" si="278"/>
        <v>K1622:L5000</v>
      </c>
      <c r="O3539" t="str">
        <f t="shared" si="279"/>
        <v>A1622:A3539</v>
      </c>
    </row>
    <row r="3540" spans="1:15">
      <c r="A3540" s="18">
        <f>Charms!K3540</f>
        <v>0</v>
      </c>
      <c r="B3540">
        <f>Charms!B3540</f>
        <v>0</v>
      </c>
      <c r="C3540" t="b">
        <f ca="1">OR(Values!$S$98&gt;=Charms!M3540,IFERROR(Charms!J3540=OFFSET(Values!$A$24,MATCH("S",Values!$T$25:$T$50,0),0),FALSE))</f>
        <v>1</v>
      </c>
      <c r="D3540" t="e">
        <f>VLOOKUP(Charms!J3540,Values!$A$11:$S$59,19,0)&gt;=Charms!L3540</f>
        <v>#N/A</v>
      </c>
      <c r="E3540" t="e">
        <f>OR(ISBLANK(Charms!I3540),(VLOOKUP(Values!$S$6,Castes!$B$2:$F$25,4,0)=Charms!I3540))</f>
        <v>#N/A</v>
      </c>
      <c r="J3540" t="e">
        <f t="shared" ca="1" si="276"/>
        <v>#N/A</v>
      </c>
      <c r="K3540" s="18" t="e">
        <f t="shared" ca="1" si="275"/>
        <v>#N/A</v>
      </c>
      <c r="L3540" t="e">
        <f ca="1">IF(J3540,Charms!B3540,"")</f>
        <v>#N/A</v>
      </c>
      <c r="M3540" t="str">
        <f t="shared" ca="1" si="277"/>
        <v>-</v>
      </c>
      <c r="N3540" s="18" t="str">
        <f t="shared" si="278"/>
        <v>K1622:L5000</v>
      </c>
      <c r="O3540" t="str">
        <f t="shared" si="279"/>
        <v>A1622:A3540</v>
      </c>
    </row>
    <row r="3541" spans="1:15">
      <c r="A3541" s="18">
        <f>Charms!K3541</f>
        <v>0</v>
      </c>
      <c r="B3541">
        <f>Charms!B3541</f>
        <v>0</v>
      </c>
      <c r="C3541" t="b">
        <f ca="1">OR(Values!$S$98&gt;=Charms!M3541,IFERROR(Charms!J3541=OFFSET(Values!$A$24,MATCH("S",Values!$T$25:$T$50,0),0),FALSE))</f>
        <v>1</v>
      </c>
      <c r="D3541" t="e">
        <f>VLOOKUP(Charms!J3541,Values!$A$11:$S$59,19,0)&gt;=Charms!L3541</f>
        <v>#N/A</v>
      </c>
      <c r="E3541" t="e">
        <f>OR(ISBLANK(Charms!I3541),(VLOOKUP(Values!$S$6,Castes!$B$2:$F$25,4,0)=Charms!I3541))</f>
        <v>#N/A</v>
      </c>
      <c r="J3541" t="e">
        <f t="shared" ca="1" si="276"/>
        <v>#N/A</v>
      </c>
      <c r="K3541" s="18" t="e">
        <f t="shared" ca="1" si="275"/>
        <v>#N/A</v>
      </c>
      <c r="L3541" t="e">
        <f ca="1">IF(J3541,Charms!B3541,"")</f>
        <v>#N/A</v>
      </c>
      <c r="M3541" t="str">
        <f t="shared" ca="1" si="277"/>
        <v>-</v>
      </c>
      <c r="N3541" s="18" t="str">
        <f t="shared" si="278"/>
        <v>K1622:L5000</v>
      </c>
      <c r="O3541" t="str">
        <f t="shared" si="279"/>
        <v>A1622:A3541</v>
      </c>
    </row>
    <row r="3542" spans="1:15">
      <c r="A3542" s="18">
        <f>Charms!K3542</f>
        <v>0</v>
      </c>
      <c r="B3542">
        <f>Charms!B3542</f>
        <v>0</v>
      </c>
      <c r="C3542" t="b">
        <f ca="1">OR(Values!$S$98&gt;=Charms!M3542,IFERROR(Charms!J3542=OFFSET(Values!$A$24,MATCH("S",Values!$T$25:$T$50,0),0),FALSE))</f>
        <v>1</v>
      </c>
      <c r="D3542" t="e">
        <f>VLOOKUP(Charms!J3542,Values!$A$11:$S$59,19,0)&gt;=Charms!L3542</f>
        <v>#N/A</v>
      </c>
      <c r="E3542" t="e">
        <f>OR(ISBLANK(Charms!I3542),(VLOOKUP(Values!$S$6,Castes!$B$2:$F$25,4,0)=Charms!I3542))</f>
        <v>#N/A</v>
      </c>
      <c r="J3542" t="e">
        <f t="shared" ca="1" si="276"/>
        <v>#N/A</v>
      </c>
      <c r="K3542" s="18" t="e">
        <f t="shared" ca="1" si="275"/>
        <v>#N/A</v>
      </c>
      <c r="L3542" t="e">
        <f ca="1">IF(J3542,Charms!B3542,"")</f>
        <v>#N/A</v>
      </c>
      <c r="M3542" t="str">
        <f t="shared" ca="1" si="277"/>
        <v>-</v>
      </c>
      <c r="N3542" s="18" t="str">
        <f t="shared" si="278"/>
        <v>K1622:L5000</v>
      </c>
      <c r="O3542" t="str">
        <f t="shared" si="279"/>
        <v>A1622:A3542</v>
      </c>
    </row>
    <row r="3543" spans="1:15">
      <c r="A3543" s="18">
        <f>Charms!K3543</f>
        <v>0</v>
      </c>
      <c r="B3543">
        <f>Charms!B3543</f>
        <v>0</v>
      </c>
      <c r="C3543" t="b">
        <f ca="1">OR(Values!$S$98&gt;=Charms!M3543,IFERROR(Charms!J3543=OFFSET(Values!$A$24,MATCH("S",Values!$T$25:$T$50,0),0),FALSE))</f>
        <v>1</v>
      </c>
      <c r="D3543" t="e">
        <f>VLOOKUP(Charms!J3543,Values!$A$11:$S$59,19,0)&gt;=Charms!L3543</f>
        <v>#N/A</v>
      </c>
      <c r="E3543" t="e">
        <f>OR(ISBLANK(Charms!I3543),(VLOOKUP(Values!$S$6,Castes!$B$2:$F$25,4,0)=Charms!I3543))</f>
        <v>#N/A</v>
      </c>
      <c r="J3543" t="e">
        <f t="shared" ca="1" si="276"/>
        <v>#N/A</v>
      </c>
      <c r="K3543" s="18" t="e">
        <f t="shared" ca="1" si="275"/>
        <v>#N/A</v>
      </c>
      <c r="L3543" t="e">
        <f ca="1">IF(J3543,Charms!B3543,"")</f>
        <v>#N/A</v>
      </c>
      <c r="M3543" t="str">
        <f t="shared" ca="1" si="277"/>
        <v>-</v>
      </c>
      <c r="N3543" s="18" t="str">
        <f t="shared" si="278"/>
        <v>K1622:L5000</v>
      </c>
      <c r="O3543" t="str">
        <f t="shared" si="279"/>
        <v>A1622:A3543</v>
      </c>
    </row>
    <row r="3544" spans="1:15">
      <c r="A3544" s="18">
        <f>Charms!K3544</f>
        <v>0</v>
      </c>
      <c r="B3544">
        <f>Charms!B3544</f>
        <v>0</v>
      </c>
      <c r="C3544" t="b">
        <f ca="1">OR(Values!$S$98&gt;=Charms!M3544,IFERROR(Charms!J3544=OFFSET(Values!$A$24,MATCH("S",Values!$T$25:$T$50,0),0),FALSE))</f>
        <v>1</v>
      </c>
      <c r="D3544" t="e">
        <f>VLOOKUP(Charms!J3544,Values!$A$11:$S$59,19,0)&gt;=Charms!L3544</f>
        <v>#N/A</v>
      </c>
      <c r="E3544" t="e">
        <f>OR(ISBLANK(Charms!I3544),(VLOOKUP(Values!$S$6,Castes!$B$2:$F$25,4,0)=Charms!I3544))</f>
        <v>#N/A</v>
      </c>
      <c r="J3544" t="e">
        <f t="shared" ca="1" si="276"/>
        <v>#N/A</v>
      </c>
      <c r="K3544" s="18" t="e">
        <f t="shared" ca="1" si="275"/>
        <v>#N/A</v>
      </c>
      <c r="L3544" t="e">
        <f ca="1">IF(J3544,Charms!B3544,"")</f>
        <v>#N/A</v>
      </c>
      <c r="M3544" t="str">
        <f t="shared" ca="1" si="277"/>
        <v>-</v>
      </c>
      <c r="N3544" s="18" t="str">
        <f t="shared" si="278"/>
        <v>K1622:L5000</v>
      </c>
      <c r="O3544" t="str">
        <f t="shared" si="279"/>
        <v>A1622:A3544</v>
      </c>
    </row>
    <row r="3545" spans="1:15">
      <c r="A3545" s="18">
        <f>Charms!K3545</f>
        <v>0</v>
      </c>
      <c r="B3545">
        <f>Charms!B3545</f>
        <v>0</v>
      </c>
      <c r="C3545" t="b">
        <f ca="1">OR(Values!$S$98&gt;=Charms!M3545,IFERROR(Charms!J3545=OFFSET(Values!$A$24,MATCH("S",Values!$T$25:$T$50,0),0),FALSE))</f>
        <v>1</v>
      </c>
      <c r="D3545" t="e">
        <f>VLOOKUP(Charms!J3545,Values!$A$11:$S$59,19,0)&gt;=Charms!L3545</f>
        <v>#N/A</v>
      </c>
      <c r="E3545" t="e">
        <f>OR(ISBLANK(Charms!I3545),(VLOOKUP(Values!$S$6,Castes!$B$2:$F$25,4,0)=Charms!I3545))</f>
        <v>#N/A</v>
      </c>
      <c r="J3545" t="e">
        <f t="shared" ca="1" si="276"/>
        <v>#N/A</v>
      </c>
      <c r="K3545" s="18" t="e">
        <f t="shared" ca="1" si="275"/>
        <v>#N/A</v>
      </c>
      <c r="L3545" t="e">
        <f ca="1">IF(J3545,Charms!B3545,"")</f>
        <v>#N/A</v>
      </c>
      <c r="M3545" t="str">
        <f t="shared" ca="1" si="277"/>
        <v>-</v>
      </c>
      <c r="N3545" s="18" t="str">
        <f t="shared" si="278"/>
        <v>K1622:L5000</v>
      </c>
      <c r="O3545" t="str">
        <f t="shared" si="279"/>
        <v>A1622:A3545</v>
      </c>
    </row>
    <row r="3546" spans="1:15">
      <c r="A3546" s="18">
        <f>Charms!K3546</f>
        <v>0</v>
      </c>
      <c r="B3546">
        <f>Charms!B3546</f>
        <v>0</v>
      </c>
      <c r="C3546" t="b">
        <f ca="1">OR(Values!$S$98&gt;=Charms!M3546,IFERROR(Charms!J3546=OFFSET(Values!$A$24,MATCH("S",Values!$T$25:$T$50,0),0),FALSE))</f>
        <v>1</v>
      </c>
      <c r="D3546" t="e">
        <f>VLOOKUP(Charms!J3546,Values!$A$11:$S$59,19,0)&gt;=Charms!L3546</f>
        <v>#N/A</v>
      </c>
      <c r="E3546" t="e">
        <f>OR(ISBLANK(Charms!I3546),(VLOOKUP(Values!$S$6,Castes!$B$2:$F$25,4,0)=Charms!I3546))</f>
        <v>#N/A</v>
      </c>
      <c r="J3546" t="e">
        <f t="shared" ca="1" si="276"/>
        <v>#N/A</v>
      </c>
      <c r="K3546" s="18" t="e">
        <f t="shared" ca="1" si="275"/>
        <v>#N/A</v>
      </c>
      <c r="L3546" t="e">
        <f ca="1">IF(J3546,Charms!B3546,"")</f>
        <v>#N/A</v>
      </c>
      <c r="M3546" t="str">
        <f t="shared" ca="1" si="277"/>
        <v>-</v>
      </c>
      <c r="N3546" s="18" t="str">
        <f t="shared" si="278"/>
        <v>K1622:L5000</v>
      </c>
      <c r="O3546" t="str">
        <f t="shared" si="279"/>
        <v>A1622:A3546</v>
      </c>
    </row>
    <row r="3547" spans="1:15">
      <c r="A3547" s="18">
        <f>Charms!K3547</f>
        <v>0</v>
      </c>
      <c r="B3547">
        <f>Charms!B3547</f>
        <v>0</v>
      </c>
      <c r="C3547" t="b">
        <f ca="1">OR(Values!$S$98&gt;=Charms!M3547,IFERROR(Charms!J3547=OFFSET(Values!$A$24,MATCH("S",Values!$T$25:$T$50,0),0),FALSE))</f>
        <v>1</v>
      </c>
      <c r="D3547" t="e">
        <f>VLOOKUP(Charms!J3547,Values!$A$11:$S$59,19,0)&gt;=Charms!L3547</f>
        <v>#N/A</v>
      </c>
      <c r="E3547" t="e">
        <f>OR(ISBLANK(Charms!I3547),(VLOOKUP(Values!$S$6,Castes!$B$2:$F$25,4,0)=Charms!I3547))</f>
        <v>#N/A</v>
      </c>
      <c r="J3547" t="e">
        <f t="shared" ca="1" si="276"/>
        <v>#N/A</v>
      </c>
      <c r="K3547" s="18" t="e">
        <f t="shared" ca="1" si="275"/>
        <v>#N/A</v>
      </c>
      <c r="L3547" t="e">
        <f ca="1">IF(J3547,Charms!B3547,"")</f>
        <v>#N/A</v>
      </c>
      <c r="M3547" t="str">
        <f t="shared" ca="1" si="277"/>
        <v>-</v>
      </c>
      <c r="N3547" s="18" t="str">
        <f t="shared" si="278"/>
        <v>K1622:L5000</v>
      </c>
      <c r="O3547" t="str">
        <f t="shared" si="279"/>
        <v>A1622:A3547</v>
      </c>
    </row>
    <row r="3548" spans="1:15">
      <c r="A3548" s="18">
        <f>Charms!K3548</f>
        <v>0</v>
      </c>
      <c r="B3548">
        <f>Charms!B3548</f>
        <v>0</v>
      </c>
      <c r="C3548" t="b">
        <f ca="1">OR(Values!$S$98&gt;=Charms!M3548,IFERROR(Charms!J3548=OFFSET(Values!$A$24,MATCH("S",Values!$T$25:$T$50,0),0),FALSE))</f>
        <v>1</v>
      </c>
      <c r="D3548" t="e">
        <f>VLOOKUP(Charms!J3548,Values!$A$11:$S$59,19,0)&gt;=Charms!L3548</f>
        <v>#N/A</v>
      </c>
      <c r="E3548" t="e">
        <f>OR(ISBLANK(Charms!I3548),(VLOOKUP(Values!$S$6,Castes!$B$2:$F$25,4,0)=Charms!I3548))</f>
        <v>#N/A</v>
      </c>
      <c r="J3548" t="e">
        <f t="shared" ca="1" si="276"/>
        <v>#N/A</v>
      </c>
      <c r="K3548" s="18" t="e">
        <f t="shared" ca="1" si="275"/>
        <v>#N/A</v>
      </c>
      <c r="L3548" t="e">
        <f ca="1">IF(J3548,Charms!B3548,"")</f>
        <v>#N/A</v>
      </c>
      <c r="M3548" t="str">
        <f t="shared" ca="1" si="277"/>
        <v>-</v>
      </c>
      <c r="N3548" s="18" t="str">
        <f t="shared" si="278"/>
        <v>K1622:L5000</v>
      </c>
      <c r="O3548" t="str">
        <f t="shared" si="279"/>
        <v>A1622:A3548</v>
      </c>
    </row>
    <row r="3549" spans="1:15">
      <c r="A3549" s="18">
        <f>Charms!K3549</f>
        <v>0</v>
      </c>
      <c r="B3549">
        <f>Charms!B3549</f>
        <v>0</v>
      </c>
      <c r="C3549" t="b">
        <f ca="1">OR(Values!$S$98&gt;=Charms!M3549,IFERROR(Charms!J3549=OFFSET(Values!$A$24,MATCH("S",Values!$T$25:$T$50,0),0),FALSE))</f>
        <v>1</v>
      </c>
      <c r="D3549" t="e">
        <f>VLOOKUP(Charms!J3549,Values!$A$11:$S$59,19,0)&gt;=Charms!L3549</f>
        <v>#N/A</v>
      </c>
      <c r="E3549" t="e">
        <f>OR(ISBLANK(Charms!I3549),(VLOOKUP(Values!$S$6,Castes!$B$2:$F$25,4,0)=Charms!I3549))</f>
        <v>#N/A</v>
      </c>
      <c r="J3549" t="e">
        <f t="shared" ca="1" si="276"/>
        <v>#N/A</v>
      </c>
      <c r="K3549" s="18" t="e">
        <f t="shared" ca="1" si="275"/>
        <v>#N/A</v>
      </c>
      <c r="L3549" t="e">
        <f ca="1">IF(J3549,Charms!B3549,"")</f>
        <v>#N/A</v>
      </c>
      <c r="M3549" t="str">
        <f t="shared" ca="1" si="277"/>
        <v>-</v>
      </c>
      <c r="N3549" s="18" t="str">
        <f t="shared" si="278"/>
        <v>K1622:L5000</v>
      </c>
      <c r="O3549" t="str">
        <f t="shared" si="279"/>
        <v>A1622:A3549</v>
      </c>
    </row>
    <row r="3550" spans="1:15">
      <c r="A3550" s="18">
        <f>Charms!K3550</f>
        <v>0</v>
      </c>
      <c r="B3550">
        <f>Charms!B3550</f>
        <v>0</v>
      </c>
      <c r="C3550" t="b">
        <f ca="1">OR(Values!$S$98&gt;=Charms!M3550,IFERROR(Charms!J3550=OFFSET(Values!$A$24,MATCH("S",Values!$T$25:$T$50,0),0),FALSE))</f>
        <v>1</v>
      </c>
      <c r="D3550" t="e">
        <f>VLOOKUP(Charms!J3550,Values!$A$11:$S$59,19,0)&gt;=Charms!L3550</f>
        <v>#N/A</v>
      </c>
      <c r="E3550" t="e">
        <f>OR(ISBLANK(Charms!I3550),(VLOOKUP(Values!$S$6,Castes!$B$2:$F$25,4,0)=Charms!I3550))</f>
        <v>#N/A</v>
      </c>
      <c r="J3550" t="e">
        <f t="shared" ca="1" si="276"/>
        <v>#N/A</v>
      </c>
      <c r="K3550" s="18" t="e">
        <f t="shared" ca="1" si="275"/>
        <v>#N/A</v>
      </c>
      <c r="L3550" t="e">
        <f ca="1">IF(J3550,Charms!B3550,"")</f>
        <v>#N/A</v>
      </c>
      <c r="M3550" t="str">
        <f t="shared" ca="1" si="277"/>
        <v>-</v>
      </c>
      <c r="N3550" s="18" t="str">
        <f t="shared" si="278"/>
        <v>K1622:L5000</v>
      </c>
      <c r="O3550" t="str">
        <f t="shared" si="279"/>
        <v>A1622:A3550</v>
      </c>
    </row>
    <row r="3551" spans="1:15">
      <c r="A3551" s="18">
        <f>Charms!K3551</f>
        <v>0</v>
      </c>
      <c r="B3551">
        <f>Charms!B3551</f>
        <v>0</v>
      </c>
      <c r="C3551" t="b">
        <f ca="1">OR(Values!$S$98&gt;=Charms!M3551,IFERROR(Charms!J3551=OFFSET(Values!$A$24,MATCH("S",Values!$T$25:$T$50,0),0),FALSE))</f>
        <v>1</v>
      </c>
      <c r="D3551" t="e">
        <f>VLOOKUP(Charms!J3551,Values!$A$11:$S$59,19,0)&gt;=Charms!L3551</f>
        <v>#N/A</v>
      </c>
      <c r="E3551" t="e">
        <f>OR(ISBLANK(Charms!I3551),(VLOOKUP(Values!$S$6,Castes!$B$2:$F$25,4,0)=Charms!I3551))</f>
        <v>#N/A</v>
      </c>
      <c r="J3551" t="e">
        <f t="shared" ca="1" si="276"/>
        <v>#N/A</v>
      </c>
      <c r="K3551" s="18" t="e">
        <f t="shared" ca="1" si="275"/>
        <v>#N/A</v>
      </c>
      <c r="L3551" t="e">
        <f ca="1">IF(J3551,Charms!B3551,"")</f>
        <v>#N/A</v>
      </c>
      <c r="M3551" t="str">
        <f t="shared" ca="1" si="277"/>
        <v>-</v>
      </c>
      <c r="N3551" s="18" t="str">
        <f t="shared" si="278"/>
        <v>K1622:L5000</v>
      </c>
      <c r="O3551" t="str">
        <f t="shared" si="279"/>
        <v>A1622:A3551</v>
      </c>
    </row>
    <row r="3552" spans="1:15">
      <c r="A3552" s="18">
        <f>Charms!K3552</f>
        <v>0</v>
      </c>
      <c r="B3552">
        <f>Charms!B3552</f>
        <v>0</v>
      </c>
      <c r="C3552" t="b">
        <f ca="1">OR(Values!$S$98&gt;=Charms!M3552,IFERROR(Charms!J3552=OFFSET(Values!$A$24,MATCH("S",Values!$T$25:$T$50,0),0),FALSE))</f>
        <v>1</v>
      </c>
      <c r="D3552" t="e">
        <f>VLOOKUP(Charms!J3552,Values!$A$11:$S$59,19,0)&gt;=Charms!L3552</f>
        <v>#N/A</v>
      </c>
      <c r="E3552" t="e">
        <f>OR(ISBLANK(Charms!I3552),(VLOOKUP(Values!$S$6,Castes!$B$2:$F$25,4,0)=Charms!I3552))</f>
        <v>#N/A</v>
      </c>
      <c r="J3552" t="e">
        <f t="shared" ca="1" si="276"/>
        <v>#N/A</v>
      </c>
      <c r="K3552" s="18" t="e">
        <f t="shared" ca="1" si="275"/>
        <v>#N/A</v>
      </c>
      <c r="L3552" t="e">
        <f ca="1">IF(J3552,Charms!B3552,"")</f>
        <v>#N/A</v>
      </c>
      <c r="M3552" t="str">
        <f t="shared" ca="1" si="277"/>
        <v>-</v>
      </c>
      <c r="N3552" s="18" t="str">
        <f t="shared" si="278"/>
        <v>K1622:L5000</v>
      </c>
      <c r="O3552" t="str">
        <f t="shared" si="279"/>
        <v>A1622:A3552</v>
      </c>
    </row>
    <row r="3553" spans="1:15">
      <c r="A3553" s="18">
        <f>Charms!K3553</f>
        <v>0</v>
      </c>
      <c r="B3553">
        <f>Charms!B3553</f>
        <v>0</v>
      </c>
      <c r="C3553" t="b">
        <f ca="1">OR(Values!$S$98&gt;=Charms!M3553,IFERROR(Charms!J3553=OFFSET(Values!$A$24,MATCH("S",Values!$T$25:$T$50,0),0),FALSE))</f>
        <v>1</v>
      </c>
      <c r="D3553" t="e">
        <f>VLOOKUP(Charms!J3553,Values!$A$11:$S$59,19,0)&gt;=Charms!L3553</f>
        <v>#N/A</v>
      </c>
      <c r="E3553" t="e">
        <f>OR(ISBLANK(Charms!I3553),(VLOOKUP(Values!$S$6,Castes!$B$2:$F$25,4,0)=Charms!I3553))</f>
        <v>#N/A</v>
      </c>
      <c r="J3553" t="e">
        <f t="shared" ca="1" si="276"/>
        <v>#N/A</v>
      </c>
      <c r="K3553" s="18" t="e">
        <f t="shared" ca="1" si="275"/>
        <v>#N/A</v>
      </c>
      <c r="L3553" t="e">
        <f ca="1">IF(J3553,Charms!B3553,"")</f>
        <v>#N/A</v>
      </c>
      <c r="M3553" t="str">
        <f t="shared" ca="1" si="277"/>
        <v>-</v>
      </c>
      <c r="N3553" s="18" t="str">
        <f t="shared" si="278"/>
        <v>K1622:L5000</v>
      </c>
      <c r="O3553" t="str">
        <f t="shared" si="279"/>
        <v>A1622:A3553</v>
      </c>
    </row>
    <row r="3554" spans="1:15">
      <c r="A3554" s="18">
        <f>Charms!K3554</f>
        <v>0</v>
      </c>
      <c r="B3554">
        <f>Charms!B3554</f>
        <v>0</v>
      </c>
      <c r="C3554" t="b">
        <f ca="1">OR(Values!$S$98&gt;=Charms!M3554,IFERROR(Charms!J3554=OFFSET(Values!$A$24,MATCH("S",Values!$T$25:$T$50,0),0),FALSE))</f>
        <v>1</v>
      </c>
      <c r="D3554" t="e">
        <f>VLOOKUP(Charms!J3554,Values!$A$11:$S$59,19,0)&gt;=Charms!L3554</f>
        <v>#N/A</v>
      </c>
      <c r="E3554" t="e">
        <f>OR(ISBLANK(Charms!I3554),(VLOOKUP(Values!$S$6,Castes!$B$2:$F$25,4,0)=Charms!I3554))</f>
        <v>#N/A</v>
      </c>
      <c r="J3554" t="e">
        <f t="shared" ca="1" si="276"/>
        <v>#N/A</v>
      </c>
      <c r="K3554" s="18" t="e">
        <f t="shared" ca="1" si="275"/>
        <v>#N/A</v>
      </c>
      <c r="L3554" t="e">
        <f ca="1">IF(J3554,Charms!B3554,"")</f>
        <v>#N/A</v>
      </c>
      <c r="M3554" t="str">
        <f t="shared" ca="1" si="277"/>
        <v>-</v>
      </c>
      <c r="N3554" s="18" t="str">
        <f t="shared" si="278"/>
        <v>K1622:L5000</v>
      </c>
      <c r="O3554" t="str">
        <f t="shared" si="279"/>
        <v>A1622:A3554</v>
      </c>
    </row>
    <row r="3555" spans="1:15">
      <c r="A3555" s="18">
        <f>Charms!K3555</f>
        <v>0</v>
      </c>
      <c r="B3555">
        <f>Charms!B3555</f>
        <v>0</v>
      </c>
      <c r="C3555" t="b">
        <f ca="1">OR(Values!$S$98&gt;=Charms!M3555,IFERROR(Charms!J3555=OFFSET(Values!$A$24,MATCH("S",Values!$T$25:$T$50,0),0),FALSE))</f>
        <v>1</v>
      </c>
      <c r="D3555" t="e">
        <f>VLOOKUP(Charms!J3555,Values!$A$11:$S$59,19,0)&gt;=Charms!L3555</f>
        <v>#N/A</v>
      </c>
      <c r="E3555" t="e">
        <f>OR(ISBLANK(Charms!I3555),(VLOOKUP(Values!$S$6,Castes!$B$2:$F$25,4,0)=Charms!I3555))</f>
        <v>#N/A</v>
      </c>
      <c r="J3555" t="e">
        <f t="shared" ca="1" si="276"/>
        <v>#N/A</v>
      </c>
      <c r="K3555" s="18" t="e">
        <f t="shared" ca="1" si="275"/>
        <v>#N/A</v>
      </c>
      <c r="L3555" t="e">
        <f ca="1">IF(J3555,Charms!B3555,"")</f>
        <v>#N/A</v>
      </c>
      <c r="M3555" t="str">
        <f t="shared" ca="1" si="277"/>
        <v>-</v>
      </c>
      <c r="N3555" s="18" t="str">
        <f t="shared" si="278"/>
        <v>K1622:L5000</v>
      </c>
      <c r="O3555" t="str">
        <f t="shared" si="279"/>
        <v>A1622:A3555</v>
      </c>
    </row>
    <row r="3556" spans="1:15">
      <c r="A3556" s="18">
        <f>Charms!K3556</f>
        <v>0</v>
      </c>
      <c r="B3556">
        <f>Charms!B3556</f>
        <v>0</v>
      </c>
      <c r="C3556" t="b">
        <f ca="1">OR(Values!$S$98&gt;=Charms!M3556,IFERROR(Charms!J3556=OFFSET(Values!$A$24,MATCH("S",Values!$T$25:$T$50,0),0),FALSE))</f>
        <v>1</v>
      </c>
      <c r="D3556" t="e">
        <f>VLOOKUP(Charms!J3556,Values!$A$11:$S$59,19,0)&gt;=Charms!L3556</f>
        <v>#N/A</v>
      </c>
      <c r="E3556" t="e">
        <f>OR(ISBLANK(Charms!I3556),(VLOOKUP(Values!$S$6,Castes!$B$2:$F$25,4,0)=Charms!I3556))</f>
        <v>#N/A</v>
      </c>
      <c r="J3556" t="e">
        <f t="shared" ca="1" si="276"/>
        <v>#N/A</v>
      </c>
      <c r="K3556" s="18" t="e">
        <f t="shared" ca="1" si="275"/>
        <v>#N/A</v>
      </c>
      <c r="L3556" t="e">
        <f ca="1">IF(J3556,Charms!B3556,"")</f>
        <v>#N/A</v>
      </c>
      <c r="M3556" t="str">
        <f t="shared" ca="1" si="277"/>
        <v>-</v>
      </c>
      <c r="N3556" s="18" t="str">
        <f t="shared" si="278"/>
        <v>K1622:L5000</v>
      </c>
      <c r="O3556" t="str">
        <f t="shared" si="279"/>
        <v>A1622:A3556</v>
      </c>
    </row>
    <row r="3557" spans="1:15">
      <c r="A3557" s="18">
        <f>Charms!K3557</f>
        <v>0</v>
      </c>
      <c r="B3557">
        <f>Charms!B3557</f>
        <v>0</v>
      </c>
      <c r="C3557" t="b">
        <f ca="1">OR(Values!$S$98&gt;=Charms!M3557,IFERROR(Charms!J3557=OFFSET(Values!$A$24,MATCH("S",Values!$T$25:$T$50,0),0),FALSE))</f>
        <v>1</v>
      </c>
      <c r="D3557" t="e">
        <f>VLOOKUP(Charms!J3557,Values!$A$11:$S$59,19,0)&gt;=Charms!L3557</f>
        <v>#N/A</v>
      </c>
      <c r="E3557" t="e">
        <f>OR(ISBLANK(Charms!I3557),(VLOOKUP(Values!$S$6,Castes!$B$2:$F$25,4,0)=Charms!I3557))</f>
        <v>#N/A</v>
      </c>
      <c r="J3557" t="e">
        <f t="shared" ca="1" si="276"/>
        <v>#N/A</v>
      </c>
      <c r="K3557" s="18" t="e">
        <f t="shared" ca="1" si="275"/>
        <v>#N/A</v>
      </c>
      <c r="L3557" t="e">
        <f ca="1">IF(J3557,Charms!B3557,"")</f>
        <v>#N/A</v>
      </c>
      <c r="M3557" t="str">
        <f t="shared" ca="1" si="277"/>
        <v>-</v>
      </c>
      <c r="N3557" s="18" t="str">
        <f t="shared" si="278"/>
        <v>K1622:L5000</v>
      </c>
      <c r="O3557" t="str">
        <f t="shared" si="279"/>
        <v>A1622:A3557</v>
      </c>
    </row>
    <row r="3558" spans="1:15">
      <c r="A3558" s="18">
        <f>Charms!K3558</f>
        <v>0</v>
      </c>
      <c r="B3558">
        <f>Charms!B3558</f>
        <v>0</v>
      </c>
      <c r="C3558" t="b">
        <f ca="1">OR(Values!$S$98&gt;=Charms!M3558,IFERROR(Charms!J3558=OFFSET(Values!$A$24,MATCH("S",Values!$T$25:$T$50,0),0),FALSE))</f>
        <v>1</v>
      </c>
      <c r="D3558" t="e">
        <f>VLOOKUP(Charms!J3558,Values!$A$11:$S$59,19,0)&gt;=Charms!L3558</f>
        <v>#N/A</v>
      </c>
      <c r="E3558" t="e">
        <f>OR(ISBLANK(Charms!I3558),(VLOOKUP(Values!$S$6,Castes!$B$2:$F$25,4,0)=Charms!I3558))</f>
        <v>#N/A</v>
      </c>
      <c r="J3558" t="e">
        <f t="shared" ca="1" si="276"/>
        <v>#N/A</v>
      </c>
      <c r="K3558" s="18" t="e">
        <f t="shared" ca="1" si="275"/>
        <v>#N/A</v>
      </c>
      <c r="L3558" t="e">
        <f ca="1">IF(J3558,Charms!B3558,"")</f>
        <v>#N/A</v>
      </c>
      <c r="M3558" t="str">
        <f t="shared" ca="1" si="277"/>
        <v>-</v>
      </c>
      <c r="N3558" s="18" t="str">
        <f t="shared" si="278"/>
        <v>K1622:L5000</v>
      </c>
      <c r="O3558" t="str">
        <f t="shared" si="279"/>
        <v>A1622:A3558</v>
      </c>
    </row>
    <row r="3559" spans="1:15">
      <c r="A3559" s="18">
        <f>Charms!K3559</f>
        <v>0</v>
      </c>
      <c r="B3559">
        <f>Charms!B3559</f>
        <v>0</v>
      </c>
      <c r="C3559" t="b">
        <f ca="1">OR(Values!$S$98&gt;=Charms!M3559,IFERROR(Charms!J3559=OFFSET(Values!$A$24,MATCH("S",Values!$T$25:$T$50,0),0),FALSE))</f>
        <v>1</v>
      </c>
      <c r="D3559" t="e">
        <f>VLOOKUP(Charms!J3559,Values!$A$11:$S$59,19,0)&gt;=Charms!L3559</f>
        <v>#N/A</v>
      </c>
      <c r="E3559" t="e">
        <f>OR(ISBLANK(Charms!I3559),(VLOOKUP(Values!$S$6,Castes!$B$2:$F$25,4,0)=Charms!I3559))</f>
        <v>#N/A</v>
      </c>
      <c r="J3559" t="e">
        <f t="shared" ca="1" si="276"/>
        <v>#N/A</v>
      </c>
      <c r="K3559" s="18" t="e">
        <f t="shared" ca="1" si="275"/>
        <v>#N/A</v>
      </c>
      <c r="L3559" t="e">
        <f ca="1">IF(J3559,Charms!B3559,"")</f>
        <v>#N/A</v>
      </c>
      <c r="M3559" t="str">
        <f t="shared" ca="1" si="277"/>
        <v>-</v>
      </c>
      <c r="N3559" s="18" t="str">
        <f t="shared" si="278"/>
        <v>K1622:L5000</v>
      </c>
      <c r="O3559" t="str">
        <f t="shared" si="279"/>
        <v>A1622:A3559</v>
      </c>
    </row>
    <row r="3560" spans="1:15">
      <c r="A3560" s="18">
        <f>Charms!K3560</f>
        <v>0</v>
      </c>
      <c r="B3560">
        <f>Charms!B3560</f>
        <v>0</v>
      </c>
      <c r="C3560" t="b">
        <f ca="1">OR(Values!$S$98&gt;=Charms!M3560,IFERROR(Charms!J3560=OFFSET(Values!$A$24,MATCH("S",Values!$T$25:$T$50,0),0),FALSE))</f>
        <v>1</v>
      </c>
      <c r="D3560" t="e">
        <f>VLOOKUP(Charms!J3560,Values!$A$11:$S$59,19,0)&gt;=Charms!L3560</f>
        <v>#N/A</v>
      </c>
      <c r="E3560" t="e">
        <f>OR(ISBLANK(Charms!I3560),(VLOOKUP(Values!$S$6,Castes!$B$2:$F$25,4,0)=Charms!I3560))</f>
        <v>#N/A</v>
      </c>
      <c r="J3560" t="e">
        <f t="shared" ca="1" si="276"/>
        <v>#N/A</v>
      </c>
      <c r="K3560" s="18" t="e">
        <f t="shared" ca="1" si="275"/>
        <v>#N/A</v>
      </c>
      <c r="L3560" t="e">
        <f ca="1">IF(J3560,Charms!B3560,"")</f>
        <v>#N/A</v>
      </c>
      <c r="M3560" t="str">
        <f t="shared" ca="1" si="277"/>
        <v>-</v>
      </c>
      <c r="N3560" s="18" t="str">
        <f t="shared" si="278"/>
        <v>K1622:L5000</v>
      </c>
      <c r="O3560" t="str">
        <f t="shared" si="279"/>
        <v>A1622:A3560</v>
      </c>
    </row>
    <row r="3561" spans="1:15">
      <c r="A3561" s="18">
        <f>Charms!K3561</f>
        <v>0</v>
      </c>
      <c r="B3561">
        <f>Charms!B3561</f>
        <v>0</v>
      </c>
      <c r="C3561" t="b">
        <f ca="1">OR(Values!$S$98&gt;=Charms!M3561,IFERROR(Charms!J3561=OFFSET(Values!$A$24,MATCH("S",Values!$T$25:$T$50,0),0),FALSE))</f>
        <v>1</v>
      </c>
      <c r="D3561" t="e">
        <f>VLOOKUP(Charms!J3561,Values!$A$11:$S$59,19,0)&gt;=Charms!L3561</f>
        <v>#N/A</v>
      </c>
      <c r="E3561" t="e">
        <f>OR(ISBLANK(Charms!I3561),(VLOOKUP(Values!$S$6,Castes!$B$2:$F$25,4,0)=Charms!I3561))</f>
        <v>#N/A</v>
      </c>
      <c r="J3561" t="e">
        <f t="shared" ca="1" si="276"/>
        <v>#N/A</v>
      </c>
      <c r="K3561" s="18" t="e">
        <f t="shared" ca="1" si="275"/>
        <v>#N/A</v>
      </c>
      <c r="L3561" t="e">
        <f ca="1">IF(J3561,Charms!B3561,"")</f>
        <v>#N/A</v>
      </c>
      <c r="M3561" t="str">
        <f t="shared" ca="1" si="277"/>
        <v>-</v>
      </c>
      <c r="N3561" s="18" t="str">
        <f t="shared" si="278"/>
        <v>K1622:L5000</v>
      </c>
      <c r="O3561" t="str">
        <f t="shared" si="279"/>
        <v>A1622:A3561</v>
      </c>
    </row>
    <row r="3562" spans="1:15">
      <c r="A3562" s="18">
        <f>Charms!K3562</f>
        <v>0</v>
      </c>
      <c r="B3562">
        <f>Charms!B3562</f>
        <v>0</v>
      </c>
      <c r="C3562" t="b">
        <f ca="1">OR(Values!$S$98&gt;=Charms!M3562,IFERROR(Charms!J3562=OFFSET(Values!$A$24,MATCH("S",Values!$T$25:$T$50,0),0),FALSE))</f>
        <v>1</v>
      </c>
      <c r="D3562" t="e">
        <f>VLOOKUP(Charms!J3562,Values!$A$11:$S$59,19,0)&gt;=Charms!L3562</f>
        <v>#N/A</v>
      </c>
      <c r="E3562" t="e">
        <f>OR(ISBLANK(Charms!I3562),(VLOOKUP(Values!$S$6,Castes!$B$2:$F$25,4,0)=Charms!I3562))</f>
        <v>#N/A</v>
      </c>
      <c r="J3562" t="e">
        <f t="shared" ca="1" si="276"/>
        <v>#N/A</v>
      </c>
      <c r="K3562" s="18" t="e">
        <f t="shared" ca="1" si="275"/>
        <v>#N/A</v>
      </c>
      <c r="L3562" t="e">
        <f ca="1">IF(J3562,Charms!B3562,"")</f>
        <v>#N/A</v>
      </c>
      <c r="M3562" t="str">
        <f t="shared" ca="1" si="277"/>
        <v>-</v>
      </c>
      <c r="N3562" s="18" t="str">
        <f t="shared" si="278"/>
        <v>K1622:L5000</v>
      </c>
      <c r="O3562" t="str">
        <f t="shared" si="279"/>
        <v>A1622:A3562</v>
      </c>
    </row>
    <row r="3563" spans="1:15">
      <c r="A3563" s="18">
        <f>Charms!K3563</f>
        <v>0</v>
      </c>
      <c r="B3563">
        <f>Charms!B3563</f>
        <v>0</v>
      </c>
      <c r="C3563" t="b">
        <f ca="1">OR(Values!$S$98&gt;=Charms!M3563,IFERROR(Charms!J3563=OFFSET(Values!$A$24,MATCH("S",Values!$T$25:$T$50,0),0),FALSE))</f>
        <v>1</v>
      </c>
      <c r="D3563" t="e">
        <f>VLOOKUP(Charms!J3563,Values!$A$11:$S$59,19,0)&gt;=Charms!L3563</f>
        <v>#N/A</v>
      </c>
      <c r="E3563" t="e">
        <f>OR(ISBLANK(Charms!I3563),(VLOOKUP(Values!$S$6,Castes!$B$2:$F$25,4,0)=Charms!I3563))</f>
        <v>#N/A</v>
      </c>
      <c r="J3563" t="e">
        <f t="shared" ca="1" si="276"/>
        <v>#N/A</v>
      </c>
      <c r="K3563" s="18" t="e">
        <f t="shared" ca="1" si="275"/>
        <v>#N/A</v>
      </c>
      <c r="L3563" t="e">
        <f ca="1">IF(J3563,Charms!B3563,"")</f>
        <v>#N/A</v>
      </c>
      <c r="M3563" t="str">
        <f t="shared" ca="1" si="277"/>
        <v>-</v>
      </c>
      <c r="N3563" s="18" t="str">
        <f t="shared" si="278"/>
        <v>K1622:L5000</v>
      </c>
      <c r="O3563" t="str">
        <f t="shared" si="279"/>
        <v>A1622:A3563</v>
      </c>
    </row>
    <row r="3564" spans="1:15">
      <c r="A3564" s="18">
        <f>Charms!K3564</f>
        <v>0</v>
      </c>
      <c r="B3564">
        <f>Charms!B3564</f>
        <v>0</v>
      </c>
      <c r="C3564" t="b">
        <f ca="1">OR(Values!$S$98&gt;=Charms!M3564,IFERROR(Charms!J3564=OFFSET(Values!$A$24,MATCH("S",Values!$T$25:$T$50,0),0),FALSE))</f>
        <v>1</v>
      </c>
      <c r="D3564" t="e">
        <f>VLOOKUP(Charms!J3564,Values!$A$11:$S$59,19,0)&gt;=Charms!L3564</f>
        <v>#N/A</v>
      </c>
      <c r="E3564" t="e">
        <f>OR(ISBLANK(Charms!I3564),(VLOOKUP(Values!$S$6,Castes!$B$2:$F$25,4,0)=Charms!I3564))</f>
        <v>#N/A</v>
      </c>
      <c r="J3564" t="e">
        <f t="shared" ca="1" si="276"/>
        <v>#N/A</v>
      </c>
      <c r="K3564" s="18" t="e">
        <f t="shared" ca="1" si="275"/>
        <v>#N/A</v>
      </c>
      <c r="L3564" t="e">
        <f ca="1">IF(J3564,Charms!B3564,"")</f>
        <v>#N/A</v>
      </c>
      <c r="M3564" t="str">
        <f t="shared" ca="1" si="277"/>
        <v>-</v>
      </c>
      <c r="N3564" s="18" t="str">
        <f t="shared" si="278"/>
        <v>K1622:L5000</v>
      </c>
      <c r="O3564" t="str">
        <f t="shared" si="279"/>
        <v>A1622:A3564</v>
      </c>
    </row>
    <row r="3565" spans="1:15">
      <c r="A3565" s="18">
        <f>Charms!K3565</f>
        <v>0</v>
      </c>
      <c r="B3565">
        <f>Charms!B3565</f>
        <v>0</v>
      </c>
      <c r="C3565" t="b">
        <f ca="1">OR(Values!$S$98&gt;=Charms!M3565,IFERROR(Charms!J3565=OFFSET(Values!$A$24,MATCH("S",Values!$T$25:$T$50,0),0),FALSE))</f>
        <v>1</v>
      </c>
      <c r="D3565" t="e">
        <f>VLOOKUP(Charms!J3565,Values!$A$11:$S$59,19,0)&gt;=Charms!L3565</f>
        <v>#N/A</v>
      </c>
      <c r="E3565" t="e">
        <f>OR(ISBLANK(Charms!I3565),(VLOOKUP(Values!$S$6,Castes!$B$2:$F$25,4,0)=Charms!I3565))</f>
        <v>#N/A</v>
      </c>
      <c r="J3565" t="e">
        <f t="shared" ca="1" si="276"/>
        <v>#N/A</v>
      </c>
      <c r="K3565" s="18" t="e">
        <f t="shared" ca="1" si="275"/>
        <v>#N/A</v>
      </c>
      <c r="L3565" t="e">
        <f ca="1">IF(J3565,Charms!B3565,"")</f>
        <v>#N/A</v>
      </c>
      <c r="M3565" t="str">
        <f t="shared" ca="1" si="277"/>
        <v>-</v>
      </c>
      <c r="N3565" s="18" t="str">
        <f t="shared" si="278"/>
        <v>K1622:L5000</v>
      </c>
      <c r="O3565" t="str">
        <f t="shared" si="279"/>
        <v>A1622:A3565</v>
      </c>
    </row>
    <row r="3566" spans="1:15">
      <c r="A3566" s="18">
        <f>Charms!K3566</f>
        <v>0</v>
      </c>
      <c r="B3566">
        <f>Charms!B3566</f>
        <v>0</v>
      </c>
      <c r="C3566" t="b">
        <f ca="1">OR(Values!$S$98&gt;=Charms!M3566,IFERROR(Charms!J3566=OFFSET(Values!$A$24,MATCH("S",Values!$T$25:$T$50,0),0),FALSE))</f>
        <v>1</v>
      </c>
      <c r="D3566" t="e">
        <f>VLOOKUP(Charms!J3566,Values!$A$11:$S$59,19,0)&gt;=Charms!L3566</f>
        <v>#N/A</v>
      </c>
      <c r="E3566" t="e">
        <f>OR(ISBLANK(Charms!I3566),(VLOOKUP(Values!$S$6,Castes!$B$2:$F$25,4,0)=Charms!I3566))</f>
        <v>#N/A</v>
      </c>
      <c r="J3566" t="e">
        <f t="shared" ca="1" si="276"/>
        <v>#N/A</v>
      </c>
      <c r="K3566" s="18" t="e">
        <f t="shared" ca="1" si="275"/>
        <v>#N/A</v>
      </c>
      <c r="L3566" t="e">
        <f ca="1">IF(J3566,Charms!B3566,"")</f>
        <v>#N/A</v>
      </c>
      <c r="M3566" t="str">
        <f t="shared" ca="1" si="277"/>
        <v>-</v>
      </c>
      <c r="N3566" s="18" t="str">
        <f t="shared" si="278"/>
        <v>K1622:L5000</v>
      </c>
      <c r="O3566" t="str">
        <f t="shared" si="279"/>
        <v>A1622:A3566</v>
      </c>
    </row>
    <row r="3567" spans="1:15">
      <c r="A3567" s="18">
        <f>Charms!K3567</f>
        <v>0</v>
      </c>
      <c r="B3567">
        <f>Charms!B3567</f>
        <v>0</v>
      </c>
      <c r="C3567" t="b">
        <f ca="1">OR(Values!$S$98&gt;=Charms!M3567,IFERROR(Charms!J3567=OFFSET(Values!$A$24,MATCH("S",Values!$T$25:$T$50,0),0),FALSE))</f>
        <v>1</v>
      </c>
      <c r="D3567" t="e">
        <f>VLOOKUP(Charms!J3567,Values!$A$11:$S$59,19,0)&gt;=Charms!L3567</f>
        <v>#N/A</v>
      </c>
      <c r="E3567" t="e">
        <f>OR(ISBLANK(Charms!I3567),(VLOOKUP(Values!$S$6,Castes!$B$2:$F$25,4,0)=Charms!I3567))</f>
        <v>#N/A</v>
      </c>
      <c r="J3567" t="e">
        <f t="shared" ca="1" si="276"/>
        <v>#N/A</v>
      </c>
      <c r="K3567" s="18" t="e">
        <f t="shared" ca="1" si="275"/>
        <v>#N/A</v>
      </c>
      <c r="L3567" t="e">
        <f ca="1">IF(J3567,Charms!B3567,"")</f>
        <v>#N/A</v>
      </c>
      <c r="M3567" t="str">
        <f t="shared" ca="1" si="277"/>
        <v>-</v>
      </c>
      <c r="N3567" s="18" t="str">
        <f t="shared" si="278"/>
        <v>K1622:L5000</v>
      </c>
      <c r="O3567" t="str">
        <f t="shared" si="279"/>
        <v>A1622:A3567</v>
      </c>
    </row>
    <row r="3568" spans="1:15">
      <c r="A3568" s="18">
        <f>Charms!K3568</f>
        <v>0</v>
      </c>
      <c r="B3568">
        <f>Charms!B3568</f>
        <v>0</v>
      </c>
      <c r="C3568" t="b">
        <f ca="1">OR(Values!$S$98&gt;=Charms!M3568,IFERROR(Charms!J3568=OFFSET(Values!$A$24,MATCH("S",Values!$T$25:$T$50,0),0),FALSE))</f>
        <v>1</v>
      </c>
      <c r="D3568" t="e">
        <f>VLOOKUP(Charms!J3568,Values!$A$11:$S$59,19,0)&gt;=Charms!L3568</f>
        <v>#N/A</v>
      </c>
      <c r="E3568" t="e">
        <f>OR(ISBLANK(Charms!I3568),(VLOOKUP(Values!$S$6,Castes!$B$2:$F$25,4,0)=Charms!I3568))</f>
        <v>#N/A</v>
      </c>
      <c r="J3568" t="e">
        <f t="shared" ca="1" si="276"/>
        <v>#N/A</v>
      </c>
      <c r="K3568" s="18" t="e">
        <f t="shared" ca="1" si="275"/>
        <v>#N/A</v>
      </c>
      <c r="L3568" t="e">
        <f ca="1">IF(J3568,Charms!B3568,"")</f>
        <v>#N/A</v>
      </c>
      <c r="M3568" t="str">
        <f t="shared" ca="1" si="277"/>
        <v>-</v>
      </c>
      <c r="N3568" s="18" t="str">
        <f t="shared" si="278"/>
        <v>K1622:L5000</v>
      </c>
      <c r="O3568" t="str">
        <f t="shared" si="279"/>
        <v>A1622:A3568</v>
      </c>
    </row>
    <row r="3569" spans="1:15">
      <c r="A3569" s="18">
        <f>Charms!K3569</f>
        <v>0</v>
      </c>
      <c r="B3569">
        <f>Charms!B3569</f>
        <v>0</v>
      </c>
      <c r="C3569" t="b">
        <f ca="1">OR(Values!$S$98&gt;=Charms!M3569,IFERROR(Charms!J3569=OFFSET(Values!$A$24,MATCH("S",Values!$T$25:$T$50,0),0),FALSE))</f>
        <v>1</v>
      </c>
      <c r="D3569" t="e">
        <f>VLOOKUP(Charms!J3569,Values!$A$11:$S$59,19,0)&gt;=Charms!L3569</f>
        <v>#N/A</v>
      </c>
      <c r="E3569" t="e">
        <f>OR(ISBLANK(Charms!I3569),(VLOOKUP(Values!$S$6,Castes!$B$2:$F$25,4,0)=Charms!I3569))</f>
        <v>#N/A</v>
      </c>
      <c r="J3569" t="e">
        <f t="shared" ca="1" si="276"/>
        <v>#N/A</v>
      </c>
      <c r="K3569" s="18" t="e">
        <f t="shared" ca="1" si="275"/>
        <v>#N/A</v>
      </c>
      <c r="L3569" t="e">
        <f ca="1">IF(J3569,Charms!B3569,"")</f>
        <v>#N/A</v>
      </c>
      <c r="M3569" t="str">
        <f t="shared" ca="1" si="277"/>
        <v>-</v>
      </c>
      <c r="N3569" s="18" t="str">
        <f t="shared" si="278"/>
        <v>K1622:L5000</v>
      </c>
      <c r="O3569" t="str">
        <f t="shared" si="279"/>
        <v>A1622:A3569</v>
      </c>
    </row>
    <row r="3570" spans="1:15">
      <c r="A3570" s="18">
        <f>Charms!K3570</f>
        <v>0</v>
      </c>
      <c r="B3570">
        <f>Charms!B3570</f>
        <v>0</v>
      </c>
      <c r="C3570" t="b">
        <f ca="1">OR(Values!$S$98&gt;=Charms!M3570,IFERROR(Charms!J3570=OFFSET(Values!$A$24,MATCH("S",Values!$T$25:$T$50,0),0),FALSE))</f>
        <v>1</v>
      </c>
      <c r="D3570" t="e">
        <f>VLOOKUP(Charms!J3570,Values!$A$11:$S$59,19,0)&gt;=Charms!L3570</f>
        <v>#N/A</v>
      </c>
      <c r="E3570" t="e">
        <f>OR(ISBLANK(Charms!I3570),(VLOOKUP(Values!$S$6,Castes!$B$2:$F$25,4,0)=Charms!I3570))</f>
        <v>#N/A</v>
      </c>
      <c r="J3570" t="e">
        <f t="shared" ca="1" si="276"/>
        <v>#N/A</v>
      </c>
      <c r="K3570" s="18" t="e">
        <f t="shared" ca="1" si="275"/>
        <v>#N/A</v>
      </c>
      <c r="L3570" t="e">
        <f ca="1">IF(J3570,Charms!B3570,"")</f>
        <v>#N/A</v>
      </c>
      <c r="M3570" t="str">
        <f t="shared" ca="1" si="277"/>
        <v>-</v>
      </c>
      <c r="N3570" s="18" t="str">
        <f t="shared" si="278"/>
        <v>K1622:L5000</v>
      </c>
      <c r="O3570" t="str">
        <f t="shared" si="279"/>
        <v>A1622:A3570</v>
      </c>
    </row>
    <row r="3571" spans="1:15">
      <c r="A3571" s="18">
        <f>Charms!K3571</f>
        <v>0</v>
      </c>
      <c r="B3571">
        <f>Charms!B3571</f>
        <v>0</v>
      </c>
      <c r="C3571" t="b">
        <f ca="1">OR(Values!$S$98&gt;=Charms!M3571,IFERROR(Charms!J3571=OFFSET(Values!$A$24,MATCH("S",Values!$T$25:$T$50,0),0),FALSE))</f>
        <v>1</v>
      </c>
      <c r="D3571" t="e">
        <f>VLOOKUP(Charms!J3571,Values!$A$11:$S$59,19,0)&gt;=Charms!L3571</f>
        <v>#N/A</v>
      </c>
      <c r="E3571" t="e">
        <f>OR(ISBLANK(Charms!I3571),(VLOOKUP(Values!$S$6,Castes!$B$2:$F$25,4,0)=Charms!I3571))</f>
        <v>#N/A</v>
      </c>
      <c r="J3571" t="e">
        <f t="shared" ca="1" si="276"/>
        <v>#N/A</v>
      </c>
      <c r="K3571" s="18" t="e">
        <f t="shared" ca="1" si="275"/>
        <v>#N/A</v>
      </c>
      <c r="L3571" t="e">
        <f ca="1">IF(J3571,Charms!B3571,"")</f>
        <v>#N/A</v>
      </c>
      <c r="M3571" t="str">
        <f t="shared" ca="1" si="277"/>
        <v>-</v>
      </c>
      <c r="N3571" s="18" t="str">
        <f t="shared" si="278"/>
        <v>K1622:L5000</v>
      </c>
      <c r="O3571" t="str">
        <f t="shared" si="279"/>
        <v>A1622:A3571</v>
      </c>
    </row>
    <row r="3572" spans="1:15">
      <c r="A3572" s="18">
        <f>Charms!K3572</f>
        <v>0</v>
      </c>
      <c r="B3572">
        <f>Charms!B3572</f>
        <v>0</v>
      </c>
      <c r="C3572" t="b">
        <f ca="1">OR(Values!$S$98&gt;=Charms!M3572,IFERROR(Charms!J3572=OFFSET(Values!$A$24,MATCH("S",Values!$T$25:$T$50,0),0),FALSE))</f>
        <v>1</v>
      </c>
      <c r="D3572" t="e">
        <f>VLOOKUP(Charms!J3572,Values!$A$11:$S$59,19,0)&gt;=Charms!L3572</f>
        <v>#N/A</v>
      </c>
      <c r="E3572" t="e">
        <f>OR(ISBLANK(Charms!I3572),(VLOOKUP(Values!$S$6,Castes!$B$2:$F$25,4,0)=Charms!I3572))</f>
        <v>#N/A</v>
      </c>
      <c r="J3572" t="e">
        <f t="shared" ca="1" si="276"/>
        <v>#N/A</v>
      </c>
      <c r="K3572" s="18" t="e">
        <f t="shared" ca="1" si="275"/>
        <v>#N/A</v>
      </c>
      <c r="L3572" t="e">
        <f ca="1">IF(J3572,Charms!B3572,"")</f>
        <v>#N/A</v>
      </c>
      <c r="M3572" t="str">
        <f t="shared" ca="1" si="277"/>
        <v>-</v>
      </c>
      <c r="N3572" s="18" t="str">
        <f t="shared" si="278"/>
        <v>K1622:L5000</v>
      </c>
      <c r="O3572" t="str">
        <f t="shared" si="279"/>
        <v>A1622:A3572</v>
      </c>
    </row>
    <row r="3573" spans="1:15">
      <c r="A3573" s="18">
        <f>Charms!K3573</f>
        <v>0</v>
      </c>
      <c r="B3573">
        <f>Charms!B3573</f>
        <v>0</v>
      </c>
      <c r="C3573" t="b">
        <f ca="1">OR(Values!$S$98&gt;=Charms!M3573,IFERROR(Charms!J3573=OFFSET(Values!$A$24,MATCH("S",Values!$T$25:$T$50,0),0),FALSE))</f>
        <v>1</v>
      </c>
      <c r="D3573" t="e">
        <f>VLOOKUP(Charms!J3573,Values!$A$11:$S$59,19,0)&gt;=Charms!L3573</f>
        <v>#N/A</v>
      </c>
      <c r="E3573" t="e">
        <f>OR(ISBLANK(Charms!I3573),(VLOOKUP(Values!$S$6,Castes!$B$2:$F$25,4,0)=Charms!I3573))</f>
        <v>#N/A</v>
      </c>
      <c r="J3573" t="e">
        <f t="shared" ca="1" si="276"/>
        <v>#N/A</v>
      </c>
      <c r="K3573" s="18" t="e">
        <f t="shared" ca="1" si="275"/>
        <v>#N/A</v>
      </c>
      <c r="L3573" t="e">
        <f ca="1">IF(J3573,Charms!B3573,"")</f>
        <v>#N/A</v>
      </c>
      <c r="M3573" t="str">
        <f t="shared" ca="1" si="277"/>
        <v>-</v>
      </c>
      <c r="N3573" s="18" t="str">
        <f t="shared" si="278"/>
        <v>K1622:L5000</v>
      </c>
      <c r="O3573" t="str">
        <f t="shared" si="279"/>
        <v>A1622:A3573</v>
      </c>
    </row>
    <row r="3574" spans="1:15">
      <c r="A3574" s="18">
        <f>Charms!K3574</f>
        <v>0</v>
      </c>
      <c r="B3574">
        <f>Charms!B3574</f>
        <v>0</v>
      </c>
      <c r="C3574" t="b">
        <f ca="1">OR(Values!$S$98&gt;=Charms!M3574,IFERROR(Charms!J3574=OFFSET(Values!$A$24,MATCH("S",Values!$T$25:$T$50,0),0),FALSE))</f>
        <v>1</v>
      </c>
      <c r="D3574" t="e">
        <f>VLOOKUP(Charms!J3574,Values!$A$11:$S$59,19,0)&gt;=Charms!L3574</f>
        <v>#N/A</v>
      </c>
      <c r="E3574" t="e">
        <f>OR(ISBLANK(Charms!I3574),(VLOOKUP(Values!$S$6,Castes!$B$2:$F$25,4,0)=Charms!I3574))</f>
        <v>#N/A</v>
      </c>
      <c r="J3574" t="e">
        <f t="shared" ca="1" si="276"/>
        <v>#N/A</v>
      </c>
      <c r="K3574" s="18" t="e">
        <f t="shared" ca="1" si="275"/>
        <v>#N/A</v>
      </c>
      <c r="L3574" t="e">
        <f ca="1">IF(J3574,Charms!B3574,"")</f>
        <v>#N/A</v>
      </c>
      <c r="M3574" t="str">
        <f t="shared" ca="1" si="277"/>
        <v>-</v>
      </c>
      <c r="N3574" s="18" t="str">
        <f t="shared" si="278"/>
        <v>K1622:L5000</v>
      </c>
      <c r="O3574" t="str">
        <f t="shared" si="279"/>
        <v>A1622:A3574</v>
      </c>
    </row>
    <row r="3575" spans="1:15">
      <c r="A3575" s="18">
        <f>Charms!K3575</f>
        <v>0</v>
      </c>
      <c r="B3575">
        <f>Charms!B3575</f>
        <v>0</v>
      </c>
      <c r="C3575" t="b">
        <f ca="1">OR(Values!$S$98&gt;=Charms!M3575,IFERROR(Charms!J3575=OFFSET(Values!$A$24,MATCH("S",Values!$T$25:$T$50,0),0),FALSE))</f>
        <v>1</v>
      </c>
      <c r="D3575" t="e">
        <f>VLOOKUP(Charms!J3575,Values!$A$11:$S$59,19,0)&gt;=Charms!L3575</f>
        <v>#N/A</v>
      </c>
      <c r="E3575" t="e">
        <f>OR(ISBLANK(Charms!I3575),(VLOOKUP(Values!$S$6,Castes!$B$2:$F$25,4,0)=Charms!I3575))</f>
        <v>#N/A</v>
      </c>
      <c r="J3575" t="e">
        <f t="shared" ca="1" si="276"/>
        <v>#N/A</v>
      </c>
      <c r="K3575" s="18" t="e">
        <f t="shared" ca="1" si="275"/>
        <v>#N/A</v>
      </c>
      <c r="L3575" t="e">
        <f ca="1">IF(J3575,Charms!B3575,"")</f>
        <v>#N/A</v>
      </c>
      <c r="M3575" t="str">
        <f t="shared" ca="1" si="277"/>
        <v>-</v>
      </c>
      <c r="N3575" s="18" t="str">
        <f t="shared" si="278"/>
        <v>K1622:L5000</v>
      </c>
      <c r="O3575" t="str">
        <f t="shared" si="279"/>
        <v>A1622:A3575</v>
      </c>
    </row>
    <row r="3576" spans="1:15">
      <c r="A3576" s="18">
        <f>Charms!K3576</f>
        <v>0</v>
      </c>
      <c r="B3576">
        <f>Charms!B3576</f>
        <v>0</v>
      </c>
      <c r="C3576" t="b">
        <f ca="1">OR(Values!$S$98&gt;=Charms!M3576,IFERROR(Charms!J3576=OFFSET(Values!$A$24,MATCH("S",Values!$T$25:$T$50,0),0),FALSE))</f>
        <v>1</v>
      </c>
      <c r="D3576" t="e">
        <f>VLOOKUP(Charms!J3576,Values!$A$11:$S$59,19,0)&gt;=Charms!L3576</f>
        <v>#N/A</v>
      </c>
      <c r="E3576" t="e">
        <f>OR(ISBLANK(Charms!I3576),(VLOOKUP(Values!$S$6,Castes!$B$2:$F$25,4,0)=Charms!I3576))</f>
        <v>#N/A</v>
      </c>
      <c r="J3576" t="e">
        <f t="shared" ca="1" si="276"/>
        <v>#N/A</v>
      </c>
      <c r="K3576" s="18" t="e">
        <f t="shared" ca="1" si="275"/>
        <v>#N/A</v>
      </c>
      <c r="L3576" t="e">
        <f ca="1">IF(J3576,Charms!B3576,"")</f>
        <v>#N/A</v>
      </c>
      <c r="M3576" t="str">
        <f t="shared" ca="1" si="277"/>
        <v>-</v>
      </c>
      <c r="N3576" s="18" t="str">
        <f t="shared" si="278"/>
        <v>K1622:L5000</v>
      </c>
      <c r="O3576" t="str">
        <f t="shared" si="279"/>
        <v>A1622:A3576</v>
      </c>
    </row>
    <row r="3577" spans="1:15">
      <c r="A3577" s="18">
        <f>Charms!K3577</f>
        <v>0</v>
      </c>
      <c r="B3577">
        <f>Charms!B3577</f>
        <v>0</v>
      </c>
      <c r="C3577" t="b">
        <f ca="1">OR(Values!$S$98&gt;=Charms!M3577,IFERROR(Charms!J3577=OFFSET(Values!$A$24,MATCH("S",Values!$T$25:$T$50,0),0),FALSE))</f>
        <v>1</v>
      </c>
      <c r="D3577" t="e">
        <f>VLOOKUP(Charms!J3577,Values!$A$11:$S$59,19,0)&gt;=Charms!L3577</f>
        <v>#N/A</v>
      </c>
      <c r="E3577" t="e">
        <f>OR(ISBLANK(Charms!I3577),(VLOOKUP(Values!$S$6,Castes!$B$2:$F$25,4,0)=Charms!I3577))</f>
        <v>#N/A</v>
      </c>
      <c r="J3577" t="e">
        <f t="shared" ca="1" si="276"/>
        <v>#N/A</v>
      </c>
      <c r="K3577" s="18" t="e">
        <f t="shared" ca="1" si="275"/>
        <v>#N/A</v>
      </c>
      <c r="L3577" t="e">
        <f ca="1">IF(J3577,Charms!B3577,"")</f>
        <v>#N/A</v>
      </c>
      <c r="M3577" t="str">
        <f t="shared" ca="1" si="277"/>
        <v>-</v>
      </c>
      <c r="N3577" s="18" t="str">
        <f t="shared" si="278"/>
        <v>K1622:L5000</v>
      </c>
      <c r="O3577" t="str">
        <f t="shared" si="279"/>
        <v>A1622:A3577</v>
      </c>
    </row>
    <row r="3578" spans="1:15">
      <c r="A3578" s="18">
        <f>Charms!K3578</f>
        <v>0</v>
      </c>
      <c r="B3578">
        <f>Charms!B3578</f>
        <v>0</v>
      </c>
      <c r="C3578" t="b">
        <f ca="1">OR(Values!$S$98&gt;=Charms!M3578,IFERROR(Charms!J3578=OFFSET(Values!$A$24,MATCH("S",Values!$T$25:$T$50,0),0),FALSE))</f>
        <v>1</v>
      </c>
      <c r="D3578" t="e">
        <f>VLOOKUP(Charms!J3578,Values!$A$11:$S$59,19,0)&gt;=Charms!L3578</f>
        <v>#N/A</v>
      </c>
      <c r="E3578" t="e">
        <f>OR(ISBLANK(Charms!I3578),(VLOOKUP(Values!$S$6,Castes!$B$2:$F$25,4,0)=Charms!I3578))</f>
        <v>#N/A</v>
      </c>
      <c r="J3578" t="e">
        <f t="shared" ca="1" si="276"/>
        <v>#N/A</v>
      </c>
      <c r="K3578" s="18" t="e">
        <f t="shared" ca="1" si="275"/>
        <v>#N/A</v>
      </c>
      <c r="L3578" t="e">
        <f ca="1">IF(J3578,Charms!B3578,"")</f>
        <v>#N/A</v>
      </c>
      <c r="M3578" t="str">
        <f t="shared" ca="1" si="277"/>
        <v>-</v>
      </c>
      <c r="N3578" s="18" t="str">
        <f t="shared" si="278"/>
        <v>K1622:L5000</v>
      </c>
      <c r="O3578" t="str">
        <f t="shared" si="279"/>
        <v>A1622:A3578</v>
      </c>
    </row>
    <row r="3579" spans="1:15">
      <c r="A3579" s="18">
        <f>Charms!K3579</f>
        <v>0</v>
      </c>
      <c r="B3579">
        <f>Charms!B3579</f>
        <v>0</v>
      </c>
      <c r="C3579" t="b">
        <f ca="1">OR(Values!$S$98&gt;=Charms!M3579,IFERROR(Charms!J3579=OFFSET(Values!$A$24,MATCH("S",Values!$T$25:$T$50,0),0),FALSE))</f>
        <v>1</v>
      </c>
      <c r="D3579" t="e">
        <f>VLOOKUP(Charms!J3579,Values!$A$11:$S$59,19,0)&gt;=Charms!L3579</f>
        <v>#N/A</v>
      </c>
      <c r="E3579" t="e">
        <f>OR(ISBLANK(Charms!I3579),(VLOOKUP(Values!$S$6,Castes!$B$2:$F$25,4,0)=Charms!I3579))</f>
        <v>#N/A</v>
      </c>
      <c r="J3579" t="e">
        <f t="shared" ca="1" si="276"/>
        <v>#N/A</v>
      </c>
      <c r="K3579" s="18" t="e">
        <f t="shared" ca="1" si="275"/>
        <v>#N/A</v>
      </c>
      <c r="L3579" t="e">
        <f ca="1">IF(J3579,Charms!B3579,"")</f>
        <v>#N/A</v>
      </c>
      <c r="M3579" t="str">
        <f t="shared" ca="1" si="277"/>
        <v>-</v>
      </c>
      <c r="N3579" s="18" t="str">
        <f t="shared" si="278"/>
        <v>K1622:L5000</v>
      </c>
      <c r="O3579" t="str">
        <f t="shared" si="279"/>
        <v>A1622:A3579</v>
      </c>
    </row>
    <row r="3580" spans="1:15">
      <c r="A3580" s="18">
        <f>Charms!K3580</f>
        <v>0</v>
      </c>
      <c r="B3580">
        <f>Charms!B3580</f>
        <v>0</v>
      </c>
      <c r="C3580" t="b">
        <f ca="1">OR(Values!$S$98&gt;=Charms!M3580,IFERROR(Charms!J3580=OFFSET(Values!$A$24,MATCH("S",Values!$T$25:$T$50,0),0),FALSE))</f>
        <v>1</v>
      </c>
      <c r="D3580" t="e">
        <f>VLOOKUP(Charms!J3580,Values!$A$11:$S$59,19,0)&gt;=Charms!L3580</f>
        <v>#N/A</v>
      </c>
      <c r="E3580" t="e">
        <f>OR(ISBLANK(Charms!I3580),(VLOOKUP(Values!$S$6,Castes!$B$2:$F$25,4,0)=Charms!I3580))</f>
        <v>#N/A</v>
      </c>
      <c r="J3580" t="e">
        <f t="shared" ca="1" si="276"/>
        <v>#N/A</v>
      </c>
      <c r="K3580" s="18" t="e">
        <f t="shared" ca="1" si="275"/>
        <v>#N/A</v>
      </c>
      <c r="L3580" t="e">
        <f ca="1">IF(J3580,Charms!B3580,"")</f>
        <v>#N/A</v>
      </c>
      <c r="M3580" t="str">
        <f t="shared" ca="1" si="277"/>
        <v>-</v>
      </c>
      <c r="N3580" s="18" t="str">
        <f t="shared" si="278"/>
        <v>K1622:L5000</v>
      </c>
      <c r="O3580" t="str">
        <f t="shared" si="279"/>
        <v>A1622:A3580</v>
      </c>
    </row>
    <row r="3581" spans="1:15">
      <c r="A3581" s="18">
        <f>Charms!K3581</f>
        <v>0</v>
      </c>
      <c r="B3581">
        <f>Charms!B3581</f>
        <v>0</v>
      </c>
      <c r="C3581" t="b">
        <f ca="1">OR(Values!$S$98&gt;=Charms!M3581,IFERROR(Charms!J3581=OFFSET(Values!$A$24,MATCH("S",Values!$T$25:$T$50,0),0),FALSE))</f>
        <v>1</v>
      </c>
      <c r="D3581" t="e">
        <f>VLOOKUP(Charms!J3581,Values!$A$11:$S$59,19,0)&gt;=Charms!L3581</f>
        <v>#N/A</v>
      </c>
      <c r="E3581" t="e">
        <f>OR(ISBLANK(Charms!I3581),(VLOOKUP(Values!$S$6,Castes!$B$2:$F$25,4,0)=Charms!I3581))</f>
        <v>#N/A</v>
      </c>
      <c r="J3581" t="e">
        <f t="shared" ca="1" si="276"/>
        <v>#N/A</v>
      </c>
      <c r="K3581" s="18" t="e">
        <f t="shared" ca="1" si="275"/>
        <v>#N/A</v>
      </c>
      <c r="L3581" t="e">
        <f ca="1">IF(J3581,Charms!B3581,"")</f>
        <v>#N/A</v>
      </c>
      <c r="M3581" t="str">
        <f t="shared" ca="1" si="277"/>
        <v>-</v>
      </c>
      <c r="N3581" s="18" t="str">
        <f t="shared" si="278"/>
        <v>K1622:L5000</v>
      </c>
      <c r="O3581" t="str">
        <f t="shared" si="279"/>
        <v>A1622:A3581</v>
      </c>
    </row>
    <row r="3582" spans="1:15">
      <c r="A3582" s="18">
        <f>Charms!K3582</f>
        <v>0</v>
      </c>
      <c r="B3582">
        <f>Charms!B3582</f>
        <v>0</v>
      </c>
      <c r="C3582" t="b">
        <f ca="1">OR(Values!$S$98&gt;=Charms!M3582,IFERROR(Charms!J3582=OFFSET(Values!$A$24,MATCH("S",Values!$T$25:$T$50,0),0),FALSE))</f>
        <v>1</v>
      </c>
      <c r="D3582" t="e">
        <f>VLOOKUP(Charms!J3582,Values!$A$11:$S$59,19,0)&gt;=Charms!L3582</f>
        <v>#N/A</v>
      </c>
      <c r="E3582" t="e">
        <f>OR(ISBLANK(Charms!I3582),(VLOOKUP(Values!$S$6,Castes!$B$2:$F$25,4,0)=Charms!I3582))</f>
        <v>#N/A</v>
      </c>
      <c r="J3582" t="e">
        <f t="shared" ca="1" si="276"/>
        <v>#N/A</v>
      </c>
      <c r="K3582" s="18" t="e">
        <f t="shared" ca="1" si="275"/>
        <v>#N/A</v>
      </c>
      <c r="L3582" t="e">
        <f ca="1">IF(J3582,Charms!B3582,"")</f>
        <v>#N/A</v>
      </c>
      <c r="M3582" t="str">
        <f t="shared" ca="1" si="277"/>
        <v>-</v>
      </c>
      <c r="N3582" s="18" t="str">
        <f t="shared" si="278"/>
        <v>K1622:L5000</v>
      </c>
      <c r="O3582" t="str">
        <f t="shared" si="279"/>
        <v>A1622:A3582</v>
      </c>
    </row>
    <row r="3583" spans="1:15">
      <c r="A3583" s="18">
        <f>Charms!K3583</f>
        <v>0</v>
      </c>
      <c r="B3583">
        <f>Charms!B3583</f>
        <v>0</v>
      </c>
      <c r="C3583" t="b">
        <f ca="1">OR(Values!$S$98&gt;=Charms!M3583,IFERROR(Charms!J3583=OFFSET(Values!$A$24,MATCH("S",Values!$T$25:$T$50,0),0),FALSE))</f>
        <v>1</v>
      </c>
      <c r="D3583" t="e">
        <f>VLOOKUP(Charms!J3583,Values!$A$11:$S$59,19,0)&gt;=Charms!L3583</f>
        <v>#N/A</v>
      </c>
      <c r="E3583" t="e">
        <f>OR(ISBLANK(Charms!I3583),(VLOOKUP(Values!$S$6,Castes!$B$2:$F$25,4,0)=Charms!I3583))</f>
        <v>#N/A</v>
      </c>
      <c r="J3583" t="e">
        <f t="shared" ca="1" si="276"/>
        <v>#N/A</v>
      </c>
      <c r="K3583" s="18" t="e">
        <f t="shared" ca="1" si="275"/>
        <v>#N/A</v>
      </c>
      <c r="L3583" t="e">
        <f ca="1">IF(J3583,Charms!B3583,"")</f>
        <v>#N/A</v>
      </c>
      <c r="M3583" t="str">
        <f t="shared" ca="1" si="277"/>
        <v>-</v>
      </c>
      <c r="N3583" s="18" t="str">
        <f t="shared" si="278"/>
        <v>K1622:L5000</v>
      </c>
      <c r="O3583" t="str">
        <f t="shared" si="279"/>
        <v>A1622:A3583</v>
      </c>
    </row>
    <row r="3584" spans="1:15">
      <c r="A3584" s="18">
        <f>Charms!K3584</f>
        <v>0</v>
      </c>
      <c r="B3584">
        <f>Charms!B3584</f>
        <v>0</v>
      </c>
      <c r="C3584" t="b">
        <f ca="1">OR(Values!$S$98&gt;=Charms!M3584,IFERROR(Charms!J3584=OFFSET(Values!$A$24,MATCH("S",Values!$T$25:$T$50,0),0),FALSE))</f>
        <v>1</v>
      </c>
      <c r="D3584" t="e">
        <f>VLOOKUP(Charms!J3584,Values!$A$11:$S$59,19,0)&gt;=Charms!L3584</f>
        <v>#N/A</v>
      </c>
      <c r="E3584" t="e">
        <f>OR(ISBLANK(Charms!I3584),(VLOOKUP(Values!$S$6,Castes!$B$2:$F$25,4,0)=Charms!I3584))</f>
        <v>#N/A</v>
      </c>
      <c r="J3584" t="e">
        <f t="shared" ca="1" si="276"/>
        <v>#N/A</v>
      </c>
      <c r="K3584" s="18" t="e">
        <f t="shared" ca="1" si="275"/>
        <v>#N/A</v>
      </c>
      <c r="L3584" t="e">
        <f ca="1">IF(J3584,Charms!B3584,"")</f>
        <v>#N/A</v>
      </c>
      <c r="M3584" t="str">
        <f t="shared" ca="1" si="277"/>
        <v>-</v>
      </c>
      <c r="N3584" s="18" t="str">
        <f t="shared" si="278"/>
        <v>K1622:L5000</v>
      </c>
      <c r="O3584" t="str">
        <f t="shared" si="279"/>
        <v>A1622:A3584</v>
      </c>
    </row>
    <row r="3585" spans="1:15">
      <c r="A3585" s="18">
        <f>Charms!K3585</f>
        <v>0</v>
      </c>
      <c r="B3585">
        <f>Charms!B3585</f>
        <v>0</v>
      </c>
      <c r="C3585" t="b">
        <f ca="1">OR(Values!$S$98&gt;=Charms!M3585,IFERROR(Charms!J3585=OFFSET(Values!$A$24,MATCH("S",Values!$T$25:$T$50,0),0),FALSE))</f>
        <v>1</v>
      </c>
      <c r="D3585" t="e">
        <f>VLOOKUP(Charms!J3585,Values!$A$11:$S$59,19,0)&gt;=Charms!L3585</f>
        <v>#N/A</v>
      </c>
      <c r="E3585" t="e">
        <f>OR(ISBLANK(Charms!I3585),(VLOOKUP(Values!$S$6,Castes!$B$2:$F$25,4,0)=Charms!I3585))</f>
        <v>#N/A</v>
      </c>
      <c r="J3585" t="e">
        <f t="shared" ca="1" si="276"/>
        <v>#N/A</v>
      </c>
      <c r="K3585" s="18" t="e">
        <f t="shared" ca="1" si="275"/>
        <v>#N/A</v>
      </c>
      <c r="L3585" t="e">
        <f ca="1">IF(J3585,Charms!B3585,"")</f>
        <v>#N/A</v>
      </c>
      <c r="M3585" t="str">
        <f t="shared" ca="1" si="277"/>
        <v>-</v>
      </c>
      <c r="N3585" s="18" t="str">
        <f t="shared" si="278"/>
        <v>K1622:L5000</v>
      </c>
      <c r="O3585" t="str">
        <f t="shared" si="279"/>
        <v>A1622:A3585</v>
      </c>
    </row>
    <row r="3586" spans="1:15">
      <c r="A3586" s="18">
        <f>Charms!K3586</f>
        <v>0</v>
      </c>
      <c r="B3586">
        <f>Charms!B3586</f>
        <v>0</v>
      </c>
      <c r="C3586" t="b">
        <f ca="1">OR(Values!$S$98&gt;=Charms!M3586,IFERROR(Charms!J3586=OFFSET(Values!$A$24,MATCH("S",Values!$T$25:$T$50,0),0),FALSE))</f>
        <v>1</v>
      </c>
      <c r="D3586" t="e">
        <f>VLOOKUP(Charms!J3586,Values!$A$11:$S$59,19,0)&gt;=Charms!L3586</f>
        <v>#N/A</v>
      </c>
      <c r="E3586" t="e">
        <f>OR(ISBLANK(Charms!I3586),(VLOOKUP(Values!$S$6,Castes!$B$2:$F$25,4,0)=Charms!I3586))</f>
        <v>#N/A</v>
      </c>
      <c r="J3586" t="e">
        <f t="shared" ca="1" si="276"/>
        <v>#N/A</v>
      </c>
      <c r="K3586" s="18" t="e">
        <f t="shared" ref="K3586:K3649" ca="1" si="280">IF(L3586="","",COUNTIF(INDIRECT("J"&amp;MATCH(A3586,A:A,0)&amp;":J"&amp;ROW()),J3586))</f>
        <v>#N/A</v>
      </c>
      <c r="L3586" t="e">
        <f ca="1">IF(J3586,Charms!B3586,"")</f>
        <v>#N/A</v>
      </c>
      <c r="M3586" t="str">
        <f t="shared" ca="1" si="277"/>
        <v>-</v>
      </c>
      <c r="N3586" s="18" t="str">
        <f t="shared" si="278"/>
        <v>K1622:L5000</v>
      </c>
      <c r="O3586" t="str">
        <f t="shared" si="279"/>
        <v>A1622:A3586</v>
      </c>
    </row>
    <row r="3587" spans="1:15">
      <c r="A3587" s="18">
        <f>Charms!K3587</f>
        <v>0</v>
      </c>
      <c r="B3587">
        <f>Charms!B3587</f>
        <v>0</v>
      </c>
      <c r="C3587" t="b">
        <f ca="1">OR(Values!$S$98&gt;=Charms!M3587,IFERROR(Charms!J3587=OFFSET(Values!$A$24,MATCH("S",Values!$T$25:$T$50,0),0),FALSE))</f>
        <v>1</v>
      </c>
      <c r="D3587" t="e">
        <f>VLOOKUP(Charms!J3587,Values!$A$11:$S$59,19,0)&gt;=Charms!L3587</f>
        <v>#N/A</v>
      </c>
      <c r="E3587" t="e">
        <f>OR(ISBLANK(Charms!I3587),(VLOOKUP(Values!$S$6,Castes!$B$2:$F$25,4,0)=Charms!I3587))</f>
        <v>#N/A</v>
      </c>
      <c r="J3587" t="e">
        <f t="shared" ref="J3587:J3650" ca="1" si="281">(C3587+D3587+E3587+F3587+G3587+H3587+I3587)=3</f>
        <v>#N/A</v>
      </c>
      <c r="K3587" s="18" t="e">
        <f t="shared" ca="1" si="280"/>
        <v>#N/A</v>
      </c>
      <c r="L3587" t="e">
        <f ca="1">IF(J3587,Charms!B3587,"")</f>
        <v>#N/A</v>
      </c>
      <c r="M3587" t="str">
        <f t="shared" ref="M3587:M3650" ca="1" si="282">IFERROR(VLOOKUP(COUNTIF(INDIRECT(O3587),A3587),INDIRECT(N3587),2,0),"-")</f>
        <v>-</v>
      </c>
      <c r="N3587" s="18" t="str">
        <f t="shared" ref="N3587:N3650" si="283">"K"&amp;MATCH(A3587,A:A,0)&amp;":L"&amp;(MATCH(A3587,A:A,0)+COUNTIF(A:A,A3587)-1)</f>
        <v>K1622:L5000</v>
      </c>
      <c r="O3587" t="str">
        <f t="shared" ref="O3587:O3650" si="284">"A"&amp;MATCH(A3587,A:A,0)&amp;":A"&amp;ROW()</f>
        <v>A1622:A3587</v>
      </c>
    </row>
    <row r="3588" spans="1:15">
      <c r="A3588" s="18">
        <f>Charms!K3588</f>
        <v>0</v>
      </c>
      <c r="B3588">
        <f>Charms!B3588</f>
        <v>0</v>
      </c>
      <c r="C3588" t="b">
        <f ca="1">OR(Values!$S$98&gt;=Charms!M3588,IFERROR(Charms!J3588=OFFSET(Values!$A$24,MATCH("S",Values!$T$25:$T$50,0),0),FALSE))</f>
        <v>1</v>
      </c>
      <c r="D3588" t="e">
        <f>VLOOKUP(Charms!J3588,Values!$A$11:$S$59,19,0)&gt;=Charms!L3588</f>
        <v>#N/A</v>
      </c>
      <c r="E3588" t="e">
        <f>OR(ISBLANK(Charms!I3588),(VLOOKUP(Values!$S$6,Castes!$B$2:$F$25,4,0)=Charms!I3588))</f>
        <v>#N/A</v>
      </c>
      <c r="J3588" t="e">
        <f t="shared" ca="1" si="281"/>
        <v>#N/A</v>
      </c>
      <c r="K3588" s="18" t="e">
        <f t="shared" ca="1" si="280"/>
        <v>#N/A</v>
      </c>
      <c r="L3588" t="e">
        <f ca="1">IF(J3588,Charms!B3588,"")</f>
        <v>#N/A</v>
      </c>
      <c r="M3588" t="str">
        <f t="shared" ca="1" si="282"/>
        <v>-</v>
      </c>
      <c r="N3588" s="18" t="str">
        <f t="shared" si="283"/>
        <v>K1622:L5000</v>
      </c>
      <c r="O3588" t="str">
        <f t="shared" si="284"/>
        <v>A1622:A3588</v>
      </c>
    </row>
    <row r="3589" spans="1:15">
      <c r="A3589" s="18">
        <f>Charms!K3589</f>
        <v>0</v>
      </c>
      <c r="B3589">
        <f>Charms!B3589</f>
        <v>0</v>
      </c>
      <c r="C3589" t="b">
        <f ca="1">OR(Values!$S$98&gt;=Charms!M3589,IFERROR(Charms!J3589=OFFSET(Values!$A$24,MATCH("S",Values!$T$25:$T$50,0),0),FALSE))</f>
        <v>1</v>
      </c>
      <c r="D3589" t="e">
        <f>VLOOKUP(Charms!J3589,Values!$A$11:$S$59,19,0)&gt;=Charms!L3589</f>
        <v>#N/A</v>
      </c>
      <c r="E3589" t="e">
        <f>OR(ISBLANK(Charms!I3589),(VLOOKUP(Values!$S$6,Castes!$B$2:$F$25,4,0)=Charms!I3589))</f>
        <v>#N/A</v>
      </c>
      <c r="J3589" t="e">
        <f t="shared" ca="1" si="281"/>
        <v>#N/A</v>
      </c>
      <c r="K3589" s="18" t="e">
        <f t="shared" ca="1" si="280"/>
        <v>#N/A</v>
      </c>
      <c r="L3589" t="e">
        <f ca="1">IF(J3589,Charms!B3589,"")</f>
        <v>#N/A</v>
      </c>
      <c r="M3589" t="str">
        <f t="shared" ca="1" si="282"/>
        <v>-</v>
      </c>
      <c r="N3589" s="18" t="str">
        <f t="shared" si="283"/>
        <v>K1622:L5000</v>
      </c>
      <c r="O3589" t="str">
        <f t="shared" si="284"/>
        <v>A1622:A3589</v>
      </c>
    </row>
    <row r="3590" spans="1:15">
      <c r="A3590" s="18">
        <f>Charms!K3590</f>
        <v>0</v>
      </c>
      <c r="B3590">
        <f>Charms!B3590</f>
        <v>0</v>
      </c>
      <c r="C3590" t="b">
        <f ca="1">OR(Values!$S$98&gt;=Charms!M3590,IFERROR(Charms!J3590=OFFSET(Values!$A$24,MATCH("S",Values!$T$25:$T$50,0),0),FALSE))</f>
        <v>1</v>
      </c>
      <c r="D3590" t="e">
        <f>VLOOKUP(Charms!J3590,Values!$A$11:$S$59,19,0)&gt;=Charms!L3590</f>
        <v>#N/A</v>
      </c>
      <c r="E3590" t="e">
        <f>OR(ISBLANK(Charms!I3590),(VLOOKUP(Values!$S$6,Castes!$B$2:$F$25,4,0)=Charms!I3590))</f>
        <v>#N/A</v>
      </c>
      <c r="J3590" t="e">
        <f t="shared" ca="1" si="281"/>
        <v>#N/A</v>
      </c>
      <c r="K3590" s="18" t="e">
        <f t="shared" ca="1" si="280"/>
        <v>#N/A</v>
      </c>
      <c r="L3590" t="e">
        <f ca="1">IF(J3590,Charms!B3590,"")</f>
        <v>#N/A</v>
      </c>
      <c r="M3590" t="str">
        <f t="shared" ca="1" si="282"/>
        <v>-</v>
      </c>
      <c r="N3590" s="18" t="str">
        <f t="shared" si="283"/>
        <v>K1622:L5000</v>
      </c>
      <c r="O3590" t="str">
        <f t="shared" si="284"/>
        <v>A1622:A3590</v>
      </c>
    </row>
    <row r="3591" spans="1:15">
      <c r="A3591" s="18">
        <f>Charms!K3591</f>
        <v>0</v>
      </c>
      <c r="B3591">
        <f>Charms!B3591</f>
        <v>0</v>
      </c>
      <c r="C3591" t="b">
        <f ca="1">OR(Values!$S$98&gt;=Charms!M3591,IFERROR(Charms!J3591=OFFSET(Values!$A$24,MATCH("S",Values!$T$25:$T$50,0),0),FALSE))</f>
        <v>1</v>
      </c>
      <c r="D3591" t="e">
        <f>VLOOKUP(Charms!J3591,Values!$A$11:$S$59,19,0)&gt;=Charms!L3591</f>
        <v>#N/A</v>
      </c>
      <c r="E3591" t="e">
        <f>OR(ISBLANK(Charms!I3591),(VLOOKUP(Values!$S$6,Castes!$B$2:$F$25,4,0)=Charms!I3591))</f>
        <v>#N/A</v>
      </c>
      <c r="J3591" t="e">
        <f t="shared" ca="1" si="281"/>
        <v>#N/A</v>
      </c>
      <c r="K3591" s="18" t="e">
        <f t="shared" ca="1" si="280"/>
        <v>#N/A</v>
      </c>
      <c r="L3591" t="e">
        <f ca="1">IF(J3591,Charms!B3591,"")</f>
        <v>#N/A</v>
      </c>
      <c r="M3591" t="str">
        <f t="shared" ca="1" si="282"/>
        <v>-</v>
      </c>
      <c r="N3591" s="18" t="str">
        <f t="shared" si="283"/>
        <v>K1622:L5000</v>
      </c>
      <c r="O3591" t="str">
        <f t="shared" si="284"/>
        <v>A1622:A3591</v>
      </c>
    </row>
    <row r="3592" spans="1:15">
      <c r="A3592" s="18">
        <f>Charms!K3592</f>
        <v>0</v>
      </c>
      <c r="B3592">
        <f>Charms!B3592</f>
        <v>0</v>
      </c>
      <c r="C3592" t="b">
        <f ca="1">OR(Values!$S$98&gt;=Charms!M3592,IFERROR(Charms!J3592=OFFSET(Values!$A$24,MATCH("S",Values!$T$25:$T$50,0),0),FALSE))</f>
        <v>1</v>
      </c>
      <c r="D3592" t="e">
        <f>VLOOKUP(Charms!J3592,Values!$A$11:$S$59,19,0)&gt;=Charms!L3592</f>
        <v>#N/A</v>
      </c>
      <c r="E3592" t="e">
        <f>OR(ISBLANK(Charms!I3592),(VLOOKUP(Values!$S$6,Castes!$B$2:$F$25,4,0)=Charms!I3592))</f>
        <v>#N/A</v>
      </c>
      <c r="J3592" t="e">
        <f t="shared" ca="1" si="281"/>
        <v>#N/A</v>
      </c>
      <c r="K3592" s="18" t="e">
        <f t="shared" ca="1" si="280"/>
        <v>#N/A</v>
      </c>
      <c r="L3592" t="e">
        <f ca="1">IF(J3592,Charms!B3592,"")</f>
        <v>#N/A</v>
      </c>
      <c r="M3592" t="str">
        <f t="shared" ca="1" si="282"/>
        <v>-</v>
      </c>
      <c r="N3592" s="18" t="str">
        <f t="shared" si="283"/>
        <v>K1622:L5000</v>
      </c>
      <c r="O3592" t="str">
        <f t="shared" si="284"/>
        <v>A1622:A3592</v>
      </c>
    </row>
    <row r="3593" spans="1:15">
      <c r="A3593" s="18">
        <f>Charms!K3593</f>
        <v>0</v>
      </c>
      <c r="B3593">
        <f>Charms!B3593</f>
        <v>0</v>
      </c>
      <c r="C3593" t="b">
        <f ca="1">OR(Values!$S$98&gt;=Charms!M3593,IFERROR(Charms!J3593=OFFSET(Values!$A$24,MATCH("S",Values!$T$25:$T$50,0),0),FALSE))</f>
        <v>1</v>
      </c>
      <c r="D3593" t="e">
        <f>VLOOKUP(Charms!J3593,Values!$A$11:$S$59,19,0)&gt;=Charms!L3593</f>
        <v>#N/A</v>
      </c>
      <c r="E3593" t="e">
        <f>OR(ISBLANK(Charms!I3593),(VLOOKUP(Values!$S$6,Castes!$B$2:$F$25,4,0)=Charms!I3593))</f>
        <v>#N/A</v>
      </c>
      <c r="J3593" t="e">
        <f t="shared" ca="1" si="281"/>
        <v>#N/A</v>
      </c>
      <c r="K3593" s="18" t="e">
        <f t="shared" ca="1" si="280"/>
        <v>#N/A</v>
      </c>
      <c r="L3593" t="e">
        <f ca="1">IF(J3593,Charms!B3593,"")</f>
        <v>#N/A</v>
      </c>
      <c r="M3593" t="str">
        <f t="shared" ca="1" si="282"/>
        <v>-</v>
      </c>
      <c r="N3593" s="18" t="str">
        <f t="shared" si="283"/>
        <v>K1622:L5000</v>
      </c>
      <c r="O3593" t="str">
        <f t="shared" si="284"/>
        <v>A1622:A3593</v>
      </c>
    </row>
    <row r="3594" spans="1:15">
      <c r="A3594" s="18">
        <f>Charms!K3594</f>
        <v>0</v>
      </c>
      <c r="B3594">
        <f>Charms!B3594</f>
        <v>0</v>
      </c>
      <c r="C3594" t="b">
        <f ca="1">OR(Values!$S$98&gt;=Charms!M3594,IFERROR(Charms!J3594=OFFSET(Values!$A$24,MATCH("S",Values!$T$25:$T$50,0),0),FALSE))</f>
        <v>1</v>
      </c>
      <c r="D3594" t="e">
        <f>VLOOKUP(Charms!J3594,Values!$A$11:$S$59,19,0)&gt;=Charms!L3594</f>
        <v>#N/A</v>
      </c>
      <c r="E3594" t="e">
        <f>OR(ISBLANK(Charms!I3594),(VLOOKUP(Values!$S$6,Castes!$B$2:$F$25,4,0)=Charms!I3594))</f>
        <v>#N/A</v>
      </c>
      <c r="J3594" t="e">
        <f t="shared" ca="1" si="281"/>
        <v>#N/A</v>
      </c>
      <c r="K3594" s="18" t="e">
        <f t="shared" ca="1" si="280"/>
        <v>#N/A</v>
      </c>
      <c r="L3594" t="e">
        <f ca="1">IF(J3594,Charms!B3594,"")</f>
        <v>#N/A</v>
      </c>
      <c r="M3594" t="str">
        <f t="shared" ca="1" si="282"/>
        <v>-</v>
      </c>
      <c r="N3594" s="18" t="str">
        <f t="shared" si="283"/>
        <v>K1622:L5000</v>
      </c>
      <c r="O3594" t="str">
        <f t="shared" si="284"/>
        <v>A1622:A3594</v>
      </c>
    </row>
    <row r="3595" spans="1:15">
      <c r="A3595" s="18">
        <f>Charms!K3595</f>
        <v>0</v>
      </c>
      <c r="B3595">
        <f>Charms!B3595</f>
        <v>0</v>
      </c>
      <c r="C3595" t="b">
        <f ca="1">OR(Values!$S$98&gt;=Charms!M3595,IFERROR(Charms!J3595=OFFSET(Values!$A$24,MATCH("S",Values!$T$25:$T$50,0),0),FALSE))</f>
        <v>1</v>
      </c>
      <c r="D3595" t="e">
        <f>VLOOKUP(Charms!J3595,Values!$A$11:$S$59,19,0)&gt;=Charms!L3595</f>
        <v>#N/A</v>
      </c>
      <c r="E3595" t="e">
        <f>OR(ISBLANK(Charms!I3595),(VLOOKUP(Values!$S$6,Castes!$B$2:$F$25,4,0)=Charms!I3595))</f>
        <v>#N/A</v>
      </c>
      <c r="J3595" t="e">
        <f t="shared" ca="1" si="281"/>
        <v>#N/A</v>
      </c>
      <c r="K3595" s="18" t="e">
        <f t="shared" ca="1" si="280"/>
        <v>#N/A</v>
      </c>
      <c r="L3595" t="e">
        <f ca="1">IF(J3595,Charms!B3595,"")</f>
        <v>#N/A</v>
      </c>
      <c r="M3595" t="str">
        <f t="shared" ca="1" si="282"/>
        <v>-</v>
      </c>
      <c r="N3595" s="18" t="str">
        <f t="shared" si="283"/>
        <v>K1622:L5000</v>
      </c>
      <c r="O3595" t="str">
        <f t="shared" si="284"/>
        <v>A1622:A3595</v>
      </c>
    </row>
    <row r="3596" spans="1:15">
      <c r="A3596" s="18">
        <f>Charms!K3596</f>
        <v>0</v>
      </c>
      <c r="B3596">
        <f>Charms!B3596</f>
        <v>0</v>
      </c>
      <c r="C3596" t="b">
        <f ca="1">OR(Values!$S$98&gt;=Charms!M3596,IFERROR(Charms!J3596=OFFSET(Values!$A$24,MATCH("S",Values!$T$25:$T$50,0),0),FALSE))</f>
        <v>1</v>
      </c>
      <c r="D3596" t="e">
        <f>VLOOKUP(Charms!J3596,Values!$A$11:$S$59,19,0)&gt;=Charms!L3596</f>
        <v>#N/A</v>
      </c>
      <c r="E3596" t="e">
        <f>OR(ISBLANK(Charms!I3596),(VLOOKUP(Values!$S$6,Castes!$B$2:$F$25,4,0)=Charms!I3596))</f>
        <v>#N/A</v>
      </c>
      <c r="J3596" t="e">
        <f t="shared" ca="1" si="281"/>
        <v>#N/A</v>
      </c>
      <c r="K3596" s="18" t="e">
        <f t="shared" ca="1" si="280"/>
        <v>#N/A</v>
      </c>
      <c r="L3596" t="e">
        <f ca="1">IF(J3596,Charms!B3596,"")</f>
        <v>#N/A</v>
      </c>
      <c r="M3596" t="str">
        <f t="shared" ca="1" si="282"/>
        <v>-</v>
      </c>
      <c r="N3596" s="18" t="str">
        <f t="shared" si="283"/>
        <v>K1622:L5000</v>
      </c>
      <c r="O3596" t="str">
        <f t="shared" si="284"/>
        <v>A1622:A3596</v>
      </c>
    </row>
    <row r="3597" spans="1:15">
      <c r="A3597" s="18">
        <f>Charms!K3597</f>
        <v>0</v>
      </c>
      <c r="B3597">
        <f>Charms!B3597</f>
        <v>0</v>
      </c>
      <c r="C3597" t="b">
        <f ca="1">OR(Values!$S$98&gt;=Charms!M3597,IFERROR(Charms!J3597=OFFSET(Values!$A$24,MATCH("S",Values!$T$25:$T$50,0),0),FALSE))</f>
        <v>1</v>
      </c>
      <c r="D3597" t="e">
        <f>VLOOKUP(Charms!J3597,Values!$A$11:$S$59,19,0)&gt;=Charms!L3597</f>
        <v>#N/A</v>
      </c>
      <c r="E3597" t="e">
        <f>OR(ISBLANK(Charms!I3597),(VLOOKUP(Values!$S$6,Castes!$B$2:$F$25,4,0)=Charms!I3597))</f>
        <v>#N/A</v>
      </c>
      <c r="J3597" t="e">
        <f t="shared" ca="1" si="281"/>
        <v>#N/A</v>
      </c>
      <c r="K3597" s="18" t="e">
        <f t="shared" ca="1" si="280"/>
        <v>#N/A</v>
      </c>
      <c r="L3597" t="e">
        <f ca="1">IF(J3597,Charms!B3597,"")</f>
        <v>#N/A</v>
      </c>
      <c r="M3597" t="str">
        <f t="shared" ca="1" si="282"/>
        <v>-</v>
      </c>
      <c r="N3597" s="18" t="str">
        <f t="shared" si="283"/>
        <v>K1622:L5000</v>
      </c>
      <c r="O3597" t="str">
        <f t="shared" si="284"/>
        <v>A1622:A3597</v>
      </c>
    </row>
    <row r="3598" spans="1:15">
      <c r="A3598" s="18">
        <f>Charms!K3598</f>
        <v>0</v>
      </c>
      <c r="B3598">
        <f>Charms!B3598</f>
        <v>0</v>
      </c>
      <c r="C3598" t="b">
        <f ca="1">OR(Values!$S$98&gt;=Charms!M3598,IFERROR(Charms!J3598=OFFSET(Values!$A$24,MATCH("S",Values!$T$25:$T$50,0),0),FALSE))</f>
        <v>1</v>
      </c>
      <c r="D3598" t="e">
        <f>VLOOKUP(Charms!J3598,Values!$A$11:$S$59,19,0)&gt;=Charms!L3598</f>
        <v>#N/A</v>
      </c>
      <c r="E3598" t="e">
        <f>OR(ISBLANK(Charms!I3598),(VLOOKUP(Values!$S$6,Castes!$B$2:$F$25,4,0)=Charms!I3598))</f>
        <v>#N/A</v>
      </c>
      <c r="J3598" t="e">
        <f t="shared" ca="1" si="281"/>
        <v>#N/A</v>
      </c>
      <c r="K3598" s="18" t="e">
        <f t="shared" ca="1" si="280"/>
        <v>#N/A</v>
      </c>
      <c r="L3598" t="e">
        <f ca="1">IF(J3598,Charms!B3598,"")</f>
        <v>#N/A</v>
      </c>
      <c r="M3598" t="str">
        <f t="shared" ca="1" si="282"/>
        <v>-</v>
      </c>
      <c r="N3598" s="18" t="str">
        <f t="shared" si="283"/>
        <v>K1622:L5000</v>
      </c>
      <c r="O3598" t="str">
        <f t="shared" si="284"/>
        <v>A1622:A3598</v>
      </c>
    </row>
    <row r="3599" spans="1:15">
      <c r="A3599" s="18">
        <f>Charms!K3599</f>
        <v>0</v>
      </c>
      <c r="B3599">
        <f>Charms!B3599</f>
        <v>0</v>
      </c>
      <c r="C3599" t="b">
        <f ca="1">OR(Values!$S$98&gt;=Charms!M3599,IFERROR(Charms!J3599=OFFSET(Values!$A$24,MATCH("S",Values!$T$25:$T$50,0),0),FALSE))</f>
        <v>1</v>
      </c>
      <c r="D3599" t="e">
        <f>VLOOKUP(Charms!J3599,Values!$A$11:$S$59,19,0)&gt;=Charms!L3599</f>
        <v>#N/A</v>
      </c>
      <c r="E3599" t="e">
        <f>OR(ISBLANK(Charms!I3599),(VLOOKUP(Values!$S$6,Castes!$B$2:$F$25,4,0)=Charms!I3599))</f>
        <v>#N/A</v>
      </c>
      <c r="J3599" t="e">
        <f t="shared" ca="1" si="281"/>
        <v>#N/A</v>
      </c>
      <c r="K3599" s="18" t="e">
        <f t="shared" ca="1" si="280"/>
        <v>#N/A</v>
      </c>
      <c r="L3599" t="e">
        <f ca="1">IF(J3599,Charms!B3599,"")</f>
        <v>#N/A</v>
      </c>
      <c r="M3599" t="str">
        <f t="shared" ca="1" si="282"/>
        <v>-</v>
      </c>
      <c r="N3599" s="18" t="str">
        <f t="shared" si="283"/>
        <v>K1622:L5000</v>
      </c>
      <c r="O3599" t="str">
        <f t="shared" si="284"/>
        <v>A1622:A3599</v>
      </c>
    </row>
    <row r="3600" spans="1:15">
      <c r="A3600" s="18">
        <f>Charms!K3600</f>
        <v>0</v>
      </c>
      <c r="B3600">
        <f>Charms!B3600</f>
        <v>0</v>
      </c>
      <c r="C3600" t="b">
        <f ca="1">OR(Values!$S$98&gt;=Charms!M3600,IFERROR(Charms!J3600=OFFSET(Values!$A$24,MATCH("S",Values!$T$25:$T$50,0),0),FALSE))</f>
        <v>1</v>
      </c>
      <c r="D3600" t="e">
        <f>VLOOKUP(Charms!J3600,Values!$A$11:$S$59,19,0)&gt;=Charms!L3600</f>
        <v>#N/A</v>
      </c>
      <c r="E3600" t="e">
        <f>OR(ISBLANK(Charms!I3600),(VLOOKUP(Values!$S$6,Castes!$B$2:$F$25,4,0)=Charms!I3600))</f>
        <v>#N/A</v>
      </c>
      <c r="J3600" t="e">
        <f t="shared" ca="1" si="281"/>
        <v>#N/A</v>
      </c>
      <c r="K3600" s="18" t="e">
        <f t="shared" ca="1" si="280"/>
        <v>#N/A</v>
      </c>
      <c r="L3600" t="e">
        <f ca="1">IF(J3600,Charms!B3600,"")</f>
        <v>#N/A</v>
      </c>
      <c r="M3600" t="str">
        <f t="shared" ca="1" si="282"/>
        <v>-</v>
      </c>
      <c r="N3600" s="18" t="str">
        <f t="shared" si="283"/>
        <v>K1622:L5000</v>
      </c>
      <c r="O3600" t="str">
        <f t="shared" si="284"/>
        <v>A1622:A3600</v>
      </c>
    </row>
    <row r="3601" spans="1:15">
      <c r="A3601" s="18">
        <f>Charms!K3601</f>
        <v>0</v>
      </c>
      <c r="B3601">
        <f>Charms!B3601</f>
        <v>0</v>
      </c>
      <c r="C3601" t="b">
        <f ca="1">OR(Values!$S$98&gt;=Charms!M3601,IFERROR(Charms!J3601=OFFSET(Values!$A$24,MATCH("S",Values!$T$25:$T$50,0),0),FALSE))</f>
        <v>1</v>
      </c>
      <c r="D3601" t="e">
        <f>VLOOKUP(Charms!J3601,Values!$A$11:$S$59,19,0)&gt;=Charms!L3601</f>
        <v>#N/A</v>
      </c>
      <c r="E3601" t="e">
        <f>OR(ISBLANK(Charms!I3601),(VLOOKUP(Values!$S$6,Castes!$B$2:$F$25,4,0)=Charms!I3601))</f>
        <v>#N/A</v>
      </c>
      <c r="J3601" t="e">
        <f t="shared" ca="1" si="281"/>
        <v>#N/A</v>
      </c>
      <c r="K3601" s="18" t="e">
        <f t="shared" ca="1" si="280"/>
        <v>#N/A</v>
      </c>
      <c r="L3601" t="e">
        <f ca="1">IF(J3601,Charms!B3601,"")</f>
        <v>#N/A</v>
      </c>
      <c r="M3601" t="str">
        <f t="shared" ca="1" si="282"/>
        <v>-</v>
      </c>
      <c r="N3601" s="18" t="str">
        <f t="shared" si="283"/>
        <v>K1622:L5000</v>
      </c>
      <c r="O3601" t="str">
        <f t="shared" si="284"/>
        <v>A1622:A3601</v>
      </c>
    </row>
    <row r="3602" spans="1:15">
      <c r="A3602" s="18">
        <f>Charms!K3602</f>
        <v>0</v>
      </c>
      <c r="B3602">
        <f>Charms!B3602</f>
        <v>0</v>
      </c>
      <c r="C3602" t="b">
        <f ca="1">OR(Values!$S$98&gt;=Charms!M3602,IFERROR(Charms!J3602=OFFSET(Values!$A$24,MATCH("S",Values!$T$25:$T$50,0),0),FALSE))</f>
        <v>1</v>
      </c>
      <c r="D3602" t="e">
        <f>VLOOKUP(Charms!J3602,Values!$A$11:$S$59,19,0)&gt;=Charms!L3602</f>
        <v>#N/A</v>
      </c>
      <c r="E3602" t="e">
        <f>OR(ISBLANK(Charms!I3602),(VLOOKUP(Values!$S$6,Castes!$B$2:$F$25,4,0)=Charms!I3602))</f>
        <v>#N/A</v>
      </c>
      <c r="J3602" t="e">
        <f t="shared" ca="1" si="281"/>
        <v>#N/A</v>
      </c>
      <c r="K3602" s="18" t="e">
        <f t="shared" ca="1" si="280"/>
        <v>#N/A</v>
      </c>
      <c r="L3602" t="e">
        <f ca="1">IF(J3602,Charms!B3602,"")</f>
        <v>#N/A</v>
      </c>
      <c r="M3602" t="str">
        <f t="shared" ca="1" si="282"/>
        <v>-</v>
      </c>
      <c r="N3602" s="18" t="str">
        <f t="shared" si="283"/>
        <v>K1622:L5000</v>
      </c>
      <c r="O3602" t="str">
        <f t="shared" si="284"/>
        <v>A1622:A3602</v>
      </c>
    </row>
    <row r="3603" spans="1:15">
      <c r="A3603" s="18">
        <f>Charms!K3603</f>
        <v>0</v>
      </c>
      <c r="B3603">
        <f>Charms!B3603</f>
        <v>0</v>
      </c>
      <c r="C3603" t="b">
        <f ca="1">OR(Values!$S$98&gt;=Charms!M3603,IFERROR(Charms!J3603=OFFSET(Values!$A$24,MATCH("S",Values!$T$25:$T$50,0),0),FALSE))</f>
        <v>1</v>
      </c>
      <c r="D3603" t="e">
        <f>VLOOKUP(Charms!J3603,Values!$A$11:$S$59,19,0)&gt;=Charms!L3603</f>
        <v>#N/A</v>
      </c>
      <c r="E3603" t="e">
        <f>OR(ISBLANK(Charms!I3603),(VLOOKUP(Values!$S$6,Castes!$B$2:$F$25,4,0)=Charms!I3603))</f>
        <v>#N/A</v>
      </c>
      <c r="J3603" t="e">
        <f t="shared" ca="1" si="281"/>
        <v>#N/A</v>
      </c>
      <c r="K3603" s="18" t="e">
        <f t="shared" ca="1" si="280"/>
        <v>#N/A</v>
      </c>
      <c r="L3603" t="e">
        <f ca="1">IF(J3603,Charms!B3603,"")</f>
        <v>#N/A</v>
      </c>
      <c r="M3603" t="str">
        <f t="shared" ca="1" si="282"/>
        <v>-</v>
      </c>
      <c r="N3603" s="18" t="str">
        <f t="shared" si="283"/>
        <v>K1622:L5000</v>
      </c>
      <c r="O3603" t="str">
        <f t="shared" si="284"/>
        <v>A1622:A3603</v>
      </c>
    </row>
    <row r="3604" spans="1:15">
      <c r="A3604" s="18">
        <f>Charms!K3604</f>
        <v>0</v>
      </c>
      <c r="B3604">
        <f>Charms!B3604</f>
        <v>0</v>
      </c>
      <c r="C3604" t="b">
        <f ca="1">OR(Values!$S$98&gt;=Charms!M3604,IFERROR(Charms!J3604=OFFSET(Values!$A$24,MATCH("S",Values!$T$25:$T$50,0),0),FALSE))</f>
        <v>1</v>
      </c>
      <c r="D3604" t="e">
        <f>VLOOKUP(Charms!J3604,Values!$A$11:$S$59,19,0)&gt;=Charms!L3604</f>
        <v>#N/A</v>
      </c>
      <c r="E3604" t="e">
        <f>OR(ISBLANK(Charms!I3604),(VLOOKUP(Values!$S$6,Castes!$B$2:$F$25,4,0)=Charms!I3604))</f>
        <v>#N/A</v>
      </c>
      <c r="J3604" t="e">
        <f t="shared" ca="1" si="281"/>
        <v>#N/A</v>
      </c>
      <c r="K3604" s="18" t="e">
        <f t="shared" ca="1" si="280"/>
        <v>#N/A</v>
      </c>
      <c r="L3604" t="e">
        <f ca="1">IF(J3604,Charms!B3604,"")</f>
        <v>#N/A</v>
      </c>
      <c r="M3604" t="str">
        <f t="shared" ca="1" si="282"/>
        <v>-</v>
      </c>
      <c r="N3604" s="18" t="str">
        <f t="shared" si="283"/>
        <v>K1622:L5000</v>
      </c>
      <c r="O3604" t="str">
        <f t="shared" si="284"/>
        <v>A1622:A3604</v>
      </c>
    </row>
    <row r="3605" spans="1:15">
      <c r="A3605" s="18">
        <f>Charms!K3605</f>
        <v>0</v>
      </c>
      <c r="B3605">
        <f>Charms!B3605</f>
        <v>0</v>
      </c>
      <c r="C3605" t="b">
        <f ca="1">OR(Values!$S$98&gt;=Charms!M3605,IFERROR(Charms!J3605=OFFSET(Values!$A$24,MATCH("S",Values!$T$25:$T$50,0),0),FALSE))</f>
        <v>1</v>
      </c>
      <c r="D3605" t="e">
        <f>VLOOKUP(Charms!J3605,Values!$A$11:$S$59,19,0)&gt;=Charms!L3605</f>
        <v>#N/A</v>
      </c>
      <c r="E3605" t="e">
        <f>OR(ISBLANK(Charms!I3605),(VLOOKUP(Values!$S$6,Castes!$B$2:$F$25,4,0)=Charms!I3605))</f>
        <v>#N/A</v>
      </c>
      <c r="J3605" t="e">
        <f t="shared" ca="1" si="281"/>
        <v>#N/A</v>
      </c>
      <c r="K3605" s="18" t="e">
        <f t="shared" ca="1" si="280"/>
        <v>#N/A</v>
      </c>
      <c r="L3605" t="e">
        <f ca="1">IF(J3605,Charms!B3605,"")</f>
        <v>#N/A</v>
      </c>
      <c r="M3605" t="str">
        <f t="shared" ca="1" si="282"/>
        <v>-</v>
      </c>
      <c r="N3605" s="18" t="str">
        <f t="shared" si="283"/>
        <v>K1622:L5000</v>
      </c>
      <c r="O3605" t="str">
        <f t="shared" si="284"/>
        <v>A1622:A3605</v>
      </c>
    </row>
    <row r="3606" spans="1:15">
      <c r="A3606" s="18">
        <f>Charms!K3606</f>
        <v>0</v>
      </c>
      <c r="B3606">
        <f>Charms!B3606</f>
        <v>0</v>
      </c>
      <c r="C3606" t="b">
        <f ca="1">OR(Values!$S$98&gt;=Charms!M3606,IFERROR(Charms!J3606=OFFSET(Values!$A$24,MATCH("S",Values!$T$25:$T$50,0),0),FALSE))</f>
        <v>1</v>
      </c>
      <c r="D3606" t="e">
        <f>VLOOKUP(Charms!J3606,Values!$A$11:$S$59,19,0)&gt;=Charms!L3606</f>
        <v>#N/A</v>
      </c>
      <c r="E3606" t="e">
        <f>OR(ISBLANK(Charms!I3606),(VLOOKUP(Values!$S$6,Castes!$B$2:$F$25,4,0)=Charms!I3606))</f>
        <v>#N/A</v>
      </c>
      <c r="J3606" t="e">
        <f t="shared" ca="1" si="281"/>
        <v>#N/A</v>
      </c>
      <c r="K3606" s="18" t="e">
        <f t="shared" ca="1" si="280"/>
        <v>#N/A</v>
      </c>
      <c r="L3606" t="e">
        <f ca="1">IF(J3606,Charms!B3606,"")</f>
        <v>#N/A</v>
      </c>
      <c r="M3606" t="str">
        <f t="shared" ca="1" si="282"/>
        <v>-</v>
      </c>
      <c r="N3606" s="18" t="str">
        <f t="shared" si="283"/>
        <v>K1622:L5000</v>
      </c>
      <c r="O3606" t="str">
        <f t="shared" si="284"/>
        <v>A1622:A3606</v>
      </c>
    </row>
    <row r="3607" spans="1:15">
      <c r="A3607" s="18">
        <f>Charms!K3607</f>
        <v>0</v>
      </c>
      <c r="B3607">
        <f>Charms!B3607</f>
        <v>0</v>
      </c>
      <c r="C3607" t="b">
        <f ca="1">OR(Values!$S$98&gt;=Charms!M3607,IFERROR(Charms!J3607=OFFSET(Values!$A$24,MATCH("S",Values!$T$25:$T$50,0),0),FALSE))</f>
        <v>1</v>
      </c>
      <c r="D3607" t="e">
        <f>VLOOKUP(Charms!J3607,Values!$A$11:$S$59,19,0)&gt;=Charms!L3607</f>
        <v>#N/A</v>
      </c>
      <c r="E3607" t="e">
        <f>OR(ISBLANK(Charms!I3607),(VLOOKUP(Values!$S$6,Castes!$B$2:$F$25,4,0)=Charms!I3607))</f>
        <v>#N/A</v>
      </c>
      <c r="J3607" t="e">
        <f t="shared" ca="1" si="281"/>
        <v>#N/A</v>
      </c>
      <c r="K3607" s="18" t="e">
        <f t="shared" ca="1" si="280"/>
        <v>#N/A</v>
      </c>
      <c r="L3607" t="e">
        <f ca="1">IF(J3607,Charms!B3607,"")</f>
        <v>#N/A</v>
      </c>
      <c r="M3607" t="str">
        <f t="shared" ca="1" si="282"/>
        <v>-</v>
      </c>
      <c r="N3607" s="18" t="str">
        <f t="shared" si="283"/>
        <v>K1622:L5000</v>
      </c>
      <c r="O3607" t="str">
        <f t="shared" si="284"/>
        <v>A1622:A3607</v>
      </c>
    </row>
    <row r="3608" spans="1:15">
      <c r="A3608" s="18">
        <f>Charms!K3608</f>
        <v>0</v>
      </c>
      <c r="B3608">
        <f>Charms!B3608</f>
        <v>0</v>
      </c>
      <c r="C3608" t="b">
        <f ca="1">OR(Values!$S$98&gt;=Charms!M3608,IFERROR(Charms!J3608=OFFSET(Values!$A$24,MATCH("S",Values!$T$25:$T$50,0),0),FALSE))</f>
        <v>1</v>
      </c>
      <c r="D3608" t="e">
        <f>VLOOKUP(Charms!J3608,Values!$A$11:$S$59,19,0)&gt;=Charms!L3608</f>
        <v>#N/A</v>
      </c>
      <c r="E3608" t="e">
        <f>OR(ISBLANK(Charms!I3608),(VLOOKUP(Values!$S$6,Castes!$B$2:$F$25,4,0)=Charms!I3608))</f>
        <v>#N/A</v>
      </c>
      <c r="J3608" t="e">
        <f t="shared" ca="1" si="281"/>
        <v>#N/A</v>
      </c>
      <c r="K3608" s="18" t="e">
        <f t="shared" ca="1" si="280"/>
        <v>#N/A</v>
      </c>
      <c r="L3608" t="e">
        <f ca="1">IF(J3608,Charms!B3608,"")</f>
        <v>#N/A</v>
      </c>
      <c r="M3608" t="str">
        <f t="shared" ca="1" si="282"/>
        <v>-</v>
      </c>
      <c r="N3608" s="18" t="str">
        <f t="shared" si="283"/>
        <v>K1622:L5000</v>
      </c>
      <c r="O3608" t="str">
        <f t="shared" si="284"/>
        <v>A1622:A3608</v>
      </c>
    </row>
    <row r="3609" spans="1:15">
      <c r="A3609" s="18">
        <f>Charms!K3609</f>
        <v>0</v>
      </c>
      <c r="B3609">
        <f>Charms!B3609</f>
        <v>0</v>
      </c>
      <c r="C3609" t="b">
        <f ca="1">OR(Values!$S$98&gt;=Charms!M3609,IFERROR(Charms!J3609=OFFSET(Values!$A$24,MATCH("S",Values!$T$25:$T$50,0),0),FALSE))</f>
        <v>1</v>
      </c>
      <c r="D3609" t="e">
        <f>VLOOKUP(Charms!J3609,Values!$A$11:$S$59,19,0)&gt;=Charms!L3609</f>
        <v>#N/A</v>
      </c>
      <c r="E3609" t="e">
        <f>OR(ISBLANK(Charms!I3609),(VLOOKUP(Values!$S$6,Castes!$B$2:$F$25,4,0)=Charms!I3609))</f>
        <v>#N/A</v>
      </c>
      <c r="J3609" t="e">
        <f t="shared" ca="1" si="281"/>
        <v>#N/A</v>
      </c>
      <c r="K3609" s="18" t="e">
        <f t="shared" ca="1" si="280"/>
        <v>#N/A</v>
      </c>
      <c r="L3609" t="e">
        <f ca="1">IF(J3609,Charms!B3609,"")</f>
        <v>#N/A</v>
      </c>
      <c r="M3609" t="str">
        <f t="shared" ca="1" si="282"/>
        <v>-</v>
      </c>
      <c r="N3609" s="18" t="str">
        <f t="shared" si="283"/>
        <v>K1622:L5000</v>
      </c>
      <c r="O3609" t="str">
        <f t="shared" si="284"/>
        <v>A1622:A3609</v>
      </c>
    </row>
    <row r="3610" spans="1:15">
      <c r="A3610" s="18">
        <f>Charms!K3610</f>
        <v>0</v>
      </c>
      <c r="B3610">
        <f>Charms!B3610</f>
        <v>0</v>
      </c>
      <c r="C3610" t="b">
        <f ca="1">OR(Values!$S$98&gt;=Charms!M3610,IFERROR(Charms!J3610=OFFSET(Values!$A$24,MATCH("S",Values!$T$25:$T$50,0),0),FALSE))</f>
        <v>1</v>
      </c>
      <c r="D3610" t="e">
        <f>VLOOKUP(Charms!J3610,Values!$A$11:$S$59,19,0)&gt;=Charms!L3610</f>
        <v>#N/A</v>
      </c>
      <c r="E3610" t="e">
        <f>OR(ISBLANK(Charms!I3610),(VLOOKUP(Values!$S$6,Castes!$B$2:$F$25,4,0)=Charms!I3610))</f>
        <v>#N/A</v>
      </c>
      <c r="J3610" t="e">
        <f t="shared" ca="1" si="281"/>
        <v>#N/A</v>
      </c>
      <c r="K3610" s="18" t="e">
        <f t="shared" ca="1" si="280"/>
        <v>#N/A</v>
      </c>
      <c r="L3610" t="e">
        <f ca="1">IF(J3610,Charms!B3610,"")</f>
        <v>#N/A</v>
      </c>
      <c r="M3610" t="str">
        <f t="shared" ca="1" si="282"/>
        <v>-</v>
      </c>
      <c r="N3610" s="18" t="str">
        <f t="shared" si="283"/>
        <v>K1622:L5000</v>
      </c>
      <c r="O3610" t="str">
        <f t="shared" si="284"/>
        <v>A1622:A3610</v>
      </c>
    </row>
    <row r="3611" spans="1:15">
      <c r="A3611" s="18">
        <f>Charms!K3611</f>
        <v>0</v>
      </c>
      <c r="B3611">
        <f>Charms!B3611</f>
        <v>0</v>
      </c>
      <c r="C3611" t="b">
        <f ca="1">OR(Values!$S$98&gt;=Charms!M3611,IFERROR(Charms!J3611=OFFSET(Values!$A$24,MATCH("S",Values!$T$25:$T$50,0),0),FALSE))</f>
        <v>1</v>
      </c>
      <c r="D3611" t="e">
        <f>VLOOKUP(Charms!J3611,Values!$A$11:$S$59,19,0)&gt;=Charms!L3611</f>
        <v>#N/A</v>
      </c>
      <c r="E3611" t="e">
        <f>OR(ISBLANK(Charms!I3611),(VLOOKUP(Values!$S$6,Castes!$B$2:$F$25,4,0)=Charms!I3611))</f>
        <v>#N/A</v>
      </c>
      <c r="J3611" t="e">
        <f t="shared" ca="1" si="281"/>
        <v>#N/A</v>
      </c>
      <c r="K3611" s="18" t="e">
        <f t="shared" ca="1" si="280"/>
        <v>#N/A</v>
      </c>
      <c r="L3611" t="e">
        <f ca="1">IF(J3611,Charms!B3611,"")</f>
        <v>#N/A</v>
      </c>
      <c r="M3611" t="str">
        <f t="shared" ca="1" si="282"/>
        <v>-</v>
      </c>
      <c r="N3611" s="18" t="str">
        <f t="shared" si="283"/>
        <v>K1622:L5000</v>
      </c>
      <c r="O3611" t="str">
        <f t="shared" si="284"/>
        <v>A1622:A3611</v>
      </c>
    </row>
    <row r="3612" spans="1:15">
      <c r="A3612" s="18">
        <f>Charms!K3612</f>
        <v>0</v>
      </c>
      <c r="B3612">
        <f>Charms!B3612</f>
        <v>0</v>
      </c>
      <c r="C3612" t="b">
        <f ca="1">OR(Values!$S$98&gt;=Charms!M3612,IFERROR(Charms!J3612=OFFSET(Values!$A$24,MATCH("S",Values!$T$25:$T$50,0),0),FALSE))</f>
        <v>1</v>
      </c>
      <c r="D3612" t="e">
        <f>VLOOKUP(Charms!J3612,Values!$A$11:$S$59,19,0)&gt;=Charms!L3612</f>
        <v>#N/A</v>
      </c>
      <c r="E3612" t="e">
        <f>OR(ISBLANK(Charms!I3612),(VLOOKUP(Values!$S$6,Castes!$B$2:$F$25,4,0)=Charms!I3612))</f>
        <v>#N/A</v>
      </c>
      <c r="J3612" t="e">
        <f t="shared" ca="1" si="281"/>
        <v>#N/A</v>
      </c>
      <c r="K3612" s="18" t="e">
        <f t="shared" ca="1" si="280"/>
        <v>#N/A</v>
      </c>
      <c r="L3612" t="e">
        <f ca="1">IF(J3612,Charms!B3612,"")</f>
        <v>#N/A</v>
      </c>
      <c r="M3612" t="str">
        <f t="shared" ca="1" si="282"/>
        <v>-</v>
      </c>
      <c r="N3612" s="18" t="str">
        <f t="shared" si="283"/>
        <v>K1622:L5000</v>
      </c>
      <c r="O3612" t="str">
        <f t="shared" si="284"/>
        <v>A1622:A3612</v>
      </c>
    </row>
    <row r="3613" spans="1:15">
      <c r="A3613" s="18">
        <f>Charms!K3613</f>
        <v>0</v>
      </c>
      <c r="B3613">
        <f>Charms!B3613</f>
        <v>0</v>
      </c>
      <c r="C3613" t="b">
        <f ca="1">OR(Values!$S$98&gt;=Charms!M3613,IFERROR(Charms!J3613=OFFSET(Values!$A$24,MATCH("S",Values!$T$25:$T$50,0),0),FALSE))</f>
        <v>1</v>
      </c>
      <c r="D3613" t="e">
        <f>VLOOKUP(Charms!J3613,Values!$A$11:$S$59,19,0)&gt;=Charms!L3613</f>
        <v>#N/A</v>
      </c>
      <c r="E3613" t="e">
        <f>OR(ISBLANK(Charms!I3613),(VLOOKUP(Values!$S$6,Castes!$B$2:$F$25,4,0)=Charms!I3613))</f>
        <v>#N/A</v>
      </c>
      <c r="J3613" t="e">
        <f t="shared" ca="1" si="281"/>
        <v>#N/A</v>
      </c>
      <c r="K3613" s="18" t="e">
        <f t="shared" ca="1" si="280"/>
        <v>#N/A</v>
      </c>
      <c r="L3613" t="e">
        <f ca="1">IF(J3613,Charms!B3613,"")</f>
        <v>#N/A</v>
      </c>
      <c r="M3613" t="str">
        <f t="shared" ca="1" si="282"/>
        <v>-</v>
      </c>
      <c r="N3613" s="18" t="str">
        <f t="shared" si="283"/>
        <v>K1622:L5000</v>
      </c>
      <c r="O3613" t="str">
        <f t="shared" si="284"/>
        <v>A1622:A3613</v>
      </c>
    </row>
    <row r="3614" spans="1:15">
      <c r="A3614" s="18">
        <f>Charms!K3614</f>
        <v>0</v>
      </c>
      <c r="B3614">
        <f>Charms!B3614</f>
        <v>0</v>
      </c>
      <c r="C3614" t="b">
        <f ca="1">OR(Values!$S$98&gt;=Charms!M3614,IFERROR(Charms!J3614=OFFSET(Values!$A$24,MATCH("S",Values!$T$25:$T$50,0),0),FALSE))</f>
        <v>1</v>
      </c>
      <c r="D3614" t="e">
        <f>VLOOKUP(Charms!J3614,Values!$A$11:$S$59,19,0)&gt;=Charms!L3614</f>
        <v>#N/A</v>
      </c>
      <c r="E3614" t="e">
        <f>OR(ISBLANK(Charms!I3614),(VLOOKUP(Values!$S$6,Castes!$B$2:$F$25,4,0)=Charms!I3614))</f>
        <v>#N/A</v>
      </c>
      <c r="J3614" t="e">
        <f t="shared" ca="1" si="281"/>
        <v>#N/A</v>
      </c>
      <c r="K3614" s="18" t="e">
        <f t="shared" ca="1" si="280"/>
        <v>#N/A</v>
      </c>
      <c r="L3614" t="e">
        <f ca="1">IF(J3614,Charms!B3614,"")</f>
        <v>#N/A</v>
      </c>
      <c r="M3614" t="str">
        <f t="shared" ca="1" si="282"/>
        <v>-</v>
      </c>
      <c r="N3614" s="18" t="str">
        <f t="shared" si="283"/>
        <v>K1622:L5000</v>
      </c>
      <c r="O3614" t="str">
        <f t="shared" si="284"/>
        <v>A1622:A3614</v>
      </c>
    </row>
    <row r="3615" spans="1:15">
      <c r="A3615" s="18">
        <f>Charms!K3615</f>
        <v>0</v>
      </c>
      <c r="B3615">
        <f>Charms!B3615</f>
        <v>0</v>
      </c>
      <c r="C3615" t="b">
        <f ca="1">OR(Values!$S$98&gt;=Charms!M3615,IFERROR(Charms!J3615=OFFSET(Values!$A$24,MATCH("S",Values!$T$25:$T$50,0),0),FALSE))</f>
        <v>1</v>
      </c>
      <c r="D3615" t="e">
        <f>VLOOKUP(Charms!J3615,Values!$A$11:$S$59,19,0)&gt;=Charms!L3615</f>
        <v>#N/A</v>
      </c>
      <c r="E3615" t="e">
        <f>OR(ISBLANK(Charms!I3615),(VLOOKUP(Values!$S$6,Castes!$B$2:$F$25,4,0)=Charms!I3615))</f>
        <v>#N/A</v>
      </c>
      <c r="J3615" t="e">
        <f t="shared" ca="1" si="281"/>
        <v>#N/A</v>
      </c>
      <c r="K3615" s="18" t="e">
        <f t="shared" ca="1" si="280"/>
        <v>#N/A</v>
      </c>
      <c r="L3615" t="e">
        <f ca="1">IF(J3615,Charms!B3615,"")</f>
        <v>#N/A</v>
      </c>
      <c r="M3615" t="str">
        <f t="shared" ca="1" si="282"/>
        <v>-</v>
      </c>
      <c r="N3615" s="18" t="str">
        <f t="shared" si="283"/>
        <v>K1622:L5000</v>
      </c>
      <c r="O3615" t="str">
        <f t="shared" si="284"/>
        <v>A1622:A3615</v>
      </c>
    </row>
    <row r="3616" spans="1:15">
      <c r="A3616" s="18">
        <f>Charms!K3616</f>
        <v>0</v>
      </c>
      <c r="B3616">
        <f>Charms!B3616</f>
        <v>0</v>
      </c>
      <c r="C3616" t="b">
        <f ca="1">OR(Values!$S$98&gt;=Charms!M3616,IFERROR(Charms!J3616=OFFSET(Values!$A$24,MATCH("S",Values!$T$25:$T$50,0),0),FALSE))</f>
        <v>1</v>
      </c>
      <c r="D3616" t="e">
        <f>VLOOKUP(Charms!J3616,Values!$A$11:$S$59,19,0)&gt;=Charms!L3616</f>
        <v>#N/A</v>
      </c>
      <c r="E3616" t="e">
        <f>OR(ISBLANK(Charms!I3616),(VLOOKUP(Values!$S$6,Castes!$B$2:$F$25,4,0)=Charms!I3616))</f>
        <v>#N/A</v>
      </c>
      <c r="J3616" t="e">
        <f t="shared" ca="1" si="281"/>
        <v>#N/A</v>
      </c>
      <c r="K3616" s="18" t="e">
        <f t="shared" ca="1" si="280"/>
        <v>#N/A</v>
      </c>
      <c r="L3616" t="e">
        <f ca="1">IF(J3616,Charms!B3616,"")</f>
        <v>#N/A</v>
      </c>
      <c r="M3616" t="str">
        <f t="shared" ca="1" si="282"/>
        <v>-</v>
      </c>
      <c r="N3616" s="18" t="str">
        <f t="shared" si="283"/>
        <v>K1622:L5000</v>
      </c>
      <c r="O3616" t="str">
        <f t="shared" si="284"/>
        <v>A1622:A3616</v>
      </c>
    </row>
    <row r="3617" spans="1:15">
      <c r="A3617" s="18">
        <f>Charms!K3617</f>
        <v>0</v>
      </c>
      <c r="B3617">
        <f>Charms!B3617</f>
        <v>0</v>
      </c>
      <c r="C3617" t="b">
        <f ca="1">OR(Values!$S$98&gt;=Charms!M3617,IFERROR(Charms!J3617=OFFSET(Values!$A$24,MATCH("S",Values!$T$25:$T$50,0),0),FALSE))</f>
        <v>1</v>
      </c>
      <c r="D3617" t="e">
        <f>VLOOKUP(Charms!J3617,Values!$A$11:$S$59,19,0)&gt;=Charms!L3617</f>
        <v>#N/A</v>
      </c>
      <c r="E3617" t="e">
        <f>OR(ISBLANK(Charms!I3617),(VLOOKUP(Values!$S$6,Castes!$B$2:$F$25,4,0)=Charms!I3617))</f>
        <v>#N/A</v>
      </c>
      <c r="J3617" t="e">
        <f t="shared" ca="1" si="281"/>
        <v>#N/A</v>
      </c>
      <c r="K3617" s="18" t="e">
        <f t="shared" ca="1" si="280"/>
        <v>#N/A</v>
      </c>
      <c r="L3617" t="e">
        <f ca="1">IF(J3617,Charms!B3617,"")</f>
        <v>#N/A</v>
      </c>
      <c r="M3617" t="str">
        <f t="shared" ca="1" si="282"/>
        <v>-</v>
      </c>
      <c r="N3617" s="18" t="str">
        <f t="shared" si="283"/>
        <v>K1622:L5000</v>
      </c>
      <c r="O3617" t="str">
        <f t="shared" si="284"/>
        <v>A1622:A3617</v>
      </c>
    </row>
    <row r="3618" spans="1:15">
      <c r="A3618" s="18">
        <f>Charms!K3618</f>
        <v>0</v>
      </c>
      <c r="B3618">
        <f>Charms!B3618</f>
        <v>0</v>
      </c>
      <c r="C3618" t="b">
        <f ca="1">OR(Values!$S$98&gt;=Charms!M3618,IFERROR(Charms!J3618=OFFSET(Values!$A$24,MATCH("S",Values!$T$25:$T$50,0),0),FALSE))</f>
        <v>1</v>
      </c>
      <c r="D3618" t="e">
        <f>VLOOKUP(Charms!J3618,Values!$A$11:$S$59,19,0)&gt;=Charms!L3618</f>
        <v>#N/A</v>
      </c>
      <c r="E3618" t="e">
        <f>OR(ISBLANK(Charms!I3618),(VLOOKUP(Values!$S$6,Castes!$B$2:$F$25,4,0)=Charms!I3618))</f>
        <v>#N/A</v>
      </c>
      <c r="J3618" t="e">
        <f t="shared" ca="1" si="281"/>
        <v>#N/A</v>
      </c>
      <c r="K3618" s="18" t="e">
        <f t="shared" ca="1" si="280"/>
        <v>#N/A</v>
      </c>
      <c r="L3618" t="e">
        <f ca="1">IF(J3618,Charms!B3618,"")</f>
        <v>#N/A</v>
      </c>
      <c r="M3618" t="str">
        <f t="shared" ca="1" si="282"/>
        <v>-</v>
      </c>
      <c r="N3618" s="18" t="str">
        <f t="shared" si="283"/>
        <v>K1622:L5000</v>
      </c>
      <c r="O3618" t="str">
        <f t="shared" si="284"/>
        <v>A1622:A3618</v>
      </c>
    </row>
    <row r="3619" spans="1:15">
      <c r="A3619" s="18">
        <f>Charms!K3619</f>
        <v>0</v>
      </c>
      <c r="B3619">
        <f>Charms!B3619</f>
        <v>0</v>
      </c>
      <c r="C3619" t="b">
        <f ca="1">OR(Values!$S$98&gt;=Charms!M3619,IFERROR(Charms!J3619=OFFSET(Values!$A$24,MATCH("S",Values!$T$25:$T$50,0),0),FALSE))</f>
        <v>1</v>
      </c>
      <c r="D3619" t="e">
        <f>VLOOKUP(Charms!J3619,Values!$A$11:$S$59,19,0)&gt;=Charms!L3619</f>
        <v>#N/A</v>
      </c>
      <c r="E3619" t="e">
        <f>OR(ISBLANK(Charms!I3619),(VLOOKUP(Values!$S$6,Castes!$B$2:$F$25,4,0)=Charms!I3619))</f>
        <v>#N/A</v>
      </c>
      <c r="J3619" t="e">
        <f t="shared" ca="1" si="281"/>
        <v>#N/A</v>
      </c>
      <c r="K3619" s="18" t="e">
        <f t="shared" ca="1" si="280"/>
        <v>#N/A</v>
      </c>
      <c r="L3619" t="e">
        <f ca="1">IF(J3619,Charms!B3619,"")</f>
        <v>#N/A</v>
      </c>
      <c r="M3619" t="str">
        <f t="shared" ca="1" si="282"/>
        <v>-</v>
      </c>
      <c r="N3619" s="18" t="str">
        <f t="shared" si="283"/>
        <v>K1622:L5000</v>
      </c>
      <c r="O3619" t="str">
        <f t="shared" si="284"/>
        <v>A1622:A3619</v>
      </c>
    </row>
    <row r="3620" spans="1:15">
      <c r="A3620" s="18">
        <f>Charms!K3620</f>
        <v>0</v>
      </c>
      <c r="B3620">
        <f>Charms!B3620</f>
        <v>0</v>
      </c>
      <c r="C3620" t="b">
        <f ca="1">OR(Values!$S$98&gt;=Charms!M3620,IFERROR(Charms!J3620=OFFSET(Values!$A$24,MATCH("S",Values!$T$25:$T$50,0),0),FALSE))</f>
        <v>1</v>
      </c>
      <c r="D3620" t="e">
        <f>VLOOKUP(Charms!J3620,Values!$A$11:$S$59,19,0)&gt;=Charms!L3620</f>
        <v>#N/A</v>
      </c>
      <c r="E3620" t="e">
        <f>OR(ISBLANK(Charms!I3620),(VLOOKUP(Values!$S$6,Castes!$B$2:$F$25,4,0)=Charms!I3620))</f>
        <v>#N/A</v>
      </c>
      <c r="J3620" t="e">
        <f t="shared" ca="1" si="281"/>
        <v>#N/A</v>
      </c>
      <c r="K3620" s="18" t="e">
        <f t="shared" ca="1" si="280"/>
        <v>#N/A</v>
      </c>
      <c r="L3620" t="e">
        <f ca="1">IF(J3620,Charms!B3620,"")</f>
        <v>#N/A</v>
      </c>
      <c r="M3620" t="str">
        <f t="shared" ca="1" si="282"/>
        <v>-</v>
      </c>
      <c r="N3620" s="18" t="str">
        <f t="shared" si="283"/>
        <v>K1622:L5000</v>
      </c>
      <c r="O3620" t="str">
        <f t="shared" si="284"/>
        <v>A1622:A3620</v>
      </c>
    </row>
    <row r="3621" spans="1:15">
      <c r="A3621" s="18">
        <f>Charms!K3621</f>
        <v>0</v>
      </c>
      <c r="B3621">
        <f>Charms!B3621</f>
        <v>0</v>
      </c>
      <c r="C3621" t="b">
        <f ca="1">OR(Values!$S$98&gt;=Charms!M3621,IFERROR(Charms!J3621=OFFSET(Values!$A$24,MATCH("S",Values!$T$25:$T$50,0),0),FALSE))</f>
        <v>1</v>
      </c>
      <c r="D3621" t="e">
        <f>VLOOKUP(Charms!J3621,Values!$A$11:$S$59,19,0)&gt;=Charms!L3621</f>
        <v>#N/A</v>
      </c>
      <c r="E3621" t="e">
        <f>OR(ISBLANK(Charms!I3621),(VLOOKUP(Values!$S$6,Castes!$B$2:$F$25,4,0)=Charms!I3621))</f>
        <v>#N/A</v>
      </c>
      <c r="J3621" t="e">
        <f t="shared" ca="1" si="281"/>
        <v>#N/A</v>
      </c>
      <c r="K3621" s="18" t="e">
        <f t="shared" ca="1" si="280"/>
        <v>#N/A</v>
      </c>
      <c r="L3621" t="e">
        <f ca="1">IF(J3621,Charms!B3621,"")</f>
        <v>#N/A</v>
      </c>
      <c r="M3621" t="str">
        <f t="shared" ca="1" si="282"/>
        <v>-</v>
      </c>
      <c r="N3621" s="18" t="str">
        <f t="shared" si="283"/>
        <v>K1622:L5000</v>
      </c>
      <c r="O3621" t="str">
        <f t="shared" si="284"/>
        <v>A1622:A3621</v>
      </c>
    </row>
    <row r="3622" spans="1:15">
      <c r="A3622" s="18">
        <f>Charms!K3622</f>
        <v>0</v>
      </c>
      <c r="B3622">
        <f>Charms!B3622</f>
        <v>0</v>
      </c>
      <c r="C3622" t="b">
        <f ca="1">OR(Values!$S$98&gt;=Charms!M3622,IFERROR(Charms!J3622=OFFSET(Values!$A$24,MATCH("S",Values!$T$25:$T$50,0),0),FALSE))</f>
        <v>1</v>
      </c>
      <c r="D3622" t="e">
        <f>VLOOKUP(Charms!J3622,Values!$A$11:$S$59,19,0)&gt;=Charms!L3622</f>
        <v>#N/A</v>
      </c>
      <c r="E3622" t="e">
        <f>OR(ISBLANK(Charms!I3622),(VLOOKUP(Values!$S$6,Castes!$B$2:$F$25,4,0)=Charms!I3622))</f>
        <v>#N/A</v>
      </c>
      <c r="J3622" t="e">
        <f t="shared" ca="1" si="281"/>
        <v>#N/A</v>
      </c>
      <c r="K3622" s="18" t="e">
        <f t="shared" ca="1" si="280"/>
        <v>#N/A</v>
      </c>
      <c r="L3622" t="e">
        <f ca="1">IF(J3622,Charms!B3622,"")</f>
        <v>#N/A</v>
      </c>
      <c r="M3622" t="str">
        <f t="shared" ca="1" si="282"/>
        <v>-</v>
      </c>
      <c r="N3622" s="18" t="str">
        <f t="shared" si="283"/>
        <v>K1622:L5000</v>
      </c>
      <c r="O3622" t="str">
        <f t="shared" si="284"/>
        <v>A1622:A3622</v>
      </c>
    </row>
    <row r="3623" spans="1:15">
      <c r="A3623" s="18">
        <f>Charms!K3623</f>
        <v>0</v>
      </c>
      <c r="B3623">
        <f>Charms!B3623</f>
        <v>0</v>
      </c>
      <c r="C3623" t="b">
        <f ca="1">OR(Values!$S$98&gt;=Charms!M3623,IFERROR(Charms!J3623=OFFSET(Values!$A$24,MATCH("S",Values!$T$25:$T$50,0),0),FALSE))</f>
        <v>1</v>
      </c>
      <c r="D3623" t="e">
        <f>VLOOKUP(Charms!J3623,Values!$A$11:$S$59,19,0)&gt;=Charms!L3623</f>
        <v>#N/A</v>
      </c>
      <c r="E3623" t="e">
        <f>OR(ISBLANK(Charms!I3623),(VLOOKUP(Values!$S$6,Castes!$B$2:$F$25,4,0)=Charms!I3623))</f>
        <v>#N/A</v>
      </c>
      <c r="J3623" t="e">
        <f t="shared" ca="1" si="281"/>
        <v>#N/A</v>
      </c>
      <c r="K3623" s="18" t="e">
        <f t="shared" ca="1" si="280"/>
        <v>#N/A</v>
      </c>
      <c r="L3623" t="e">
        <f ca="1">IF(J3623,Charms!B3623,"")</f>
        <v>#N/A</v>
      </c>
      <c r="M3623" t="str">
        <f t="shared" ca="1" si="282"/>
        <v>-</v>
      </c>
      <c r="N3623" s="18" t="str">
        <f t="shared" si="283"/>
        <v>K1622:L5000</v>
      </c>
      <c r="O3623" t="str">
        <f t="shared" si="284"/>
        <v>A1622:A3623</v>
      </c>
    </row>
    <row r="3624" spans="1:15">
      <c r="A3624" s="18">
        <f>Charms!K3624</f>
        <v>0</v>
      </c>
      <c r="B3624">
        <f>Charms!B3624</f>
        <v>0</v>
      </c>
      <c r="C3624" t="b">
        <f ca="1">OR(Values!$S$98&gt;=Charms!M3624,IFERROR(Charms!J3624=OFFSET(Values!$A$24,MATCH("S",Values!$T$25:$T$50,0),0),FALSE))</f>
        <v>1</v>
      </c>
      <c r="D3624" t="e">
        <f>VLOOKUP(Charms!J3624,Values!$A$11:$S$59,19,0)&gt;=Charms!L3624</f>
        <v>#N/A</v>
      </c>
      <c r="E3624" t="e">
        <f>OR(ISBLANK(Charms!I3624),(VLOOKUP(Values!$S$6,Castes!$B$2:$F$25,4,0)=Charms!I3624))</f>
        <v>#N/A</v>
      </c>
      <c r="J3624" t="e">
        <f t="shared" ca="1" si="281"/>
        <v>#N/A</v>
      </c>
      <c r="K3624" s="18" t="e">
        <f t="shared" ca="1" si="280"/>
        <v>#N/A</v>
      </c>
      <c r="L3624" t="e">
        <f ca="1">IF(J3624,Charms!B3624,"")</f>
        <v>#N/A</v>
      </c>
      <c r="M3624" t="str">
        <f t="shared" ca="1" si="282"/>
        <v>-</v>
      </c>
      <c r="N3624" s="18" t="str">
        <f t="shared" si="283"/>
        <v>K1622:L5000</v>
      </c>
      <c r="O3624" t="str">
        <f t="shared" si="284"/>
        <v>A1622:A3624</v>
      </c>
    </row>
    <row r="3625" spans="1:15">
      <c r="A3625" s="18">
        <f>Charms!K3625</f>
        <v>0</v>
      </c>
      <c r="B3625">
        <f>Charms!B3625</f>
        <v>0</v>
      </c>
      <c r="C3625" t="b">
        <f ca="1">OR(Values!$S$98&gt;=Charms!M3625,IFERROR(Charms!J3625=OFFSET(Values!$A$24,MATCH("S",Values!$T$25:$T$50,0),0),FALSE))</f>
        <v>1</v>
      </c>
      <c r="D3625" t="e">
        <f>VLOOKUP(Charms!J3625,Values!$A$11:$S$59,19,0)&gt;=Charms!L3625</f>
        <v>#N/A</v>
      </c>
      <c r="E3625" t="e">
        <f>OR(ISBLANK(Charms!I3625),(VLOOKUP(Values!$S$6,Castes!$B$2:$F$25,4,0)=Charms!I3625))</f>
        <v>#N/A</v>
      </c>
      <c r="J3625" t="e">
        <f t="shared" ca="1" si="281"/>
        <v>#N/A</v>
      </c>
      <c r="K3625" s="18" t="e">
        <f t="shared" ca="1" si="280"/>
        <v>#N/A</v>
      </c>
      <c r="L3625" t="e">
        <f ca="1">IF(J3625,Charms!B3625,"")</f>
        <v>#N/A</v>
      </c>
      <c r="M3625" t="str">
        <f t="shared" ca="1" si="282"/>
        <v>-</v>
      </c>
      <c r="N3625" s="18" t="str">
        <f t="shared" si="283"/>
        <v>K1622:L5000</v>
      </c>
      <c r="O3625" t="str">
        <f t="shared" si="284"/>
        <v>A1622:A3625</v>
      </c>
    </row>
    <row r="3626" spans="1:15">
      <c r="A3626" s="18">
        <f>Charms!K3626</f>
        <v>0</v>
      </c>
      <c r="B3626">
        <f>Charms!B3626</f>
        <v>0</v>
      </c>
      <c r="C3626" t="b">
        <f ca="1">OR(Values!$S$98&gt;=Charms!M3626,IFERROR(Charms!J3626=OFFSET(Values!$A$24,MATCH("S",Values!$T$25:$T$50,0),0),FALSE))</f>
        <v>1</v>
      </c>
      <c r="D3626" t="e">
        <f>VLOOKUP(Charms!J3626,Values!$A$11:$S$59,19,0)&gt;=Charms!L3626</f>
        <v>#N/A</v>
      </c>
      <c r="E3626" t="e">
        <f>OR(ISBLANK(Charms!I3626),(VLOOKUP(Values!$S$6,Castes!$B$2:$F$25,4,0)=Charms!I3626))</f>
        <v>#N/A</v>
      </c>
      <c r="J3626" t="e">
        <f t="shared" ca="1" si="281"/>
        <v>#N/A</v>
      </c>
      <c r="K3626" s="18" t="e">
        <f t="shared" ca="1" si="280"/>
        <v>#N/A</v>
      </c>
      <c r="L3626" t="e">
        <f ca="1">IF(J3626,Charms!B3626,"")</f>
        <v>#N/A</v>
      </c>
      <c r="M3626" t="str">
        <f t="shared" ca="1" si="282"/>
        <v>-</v>
      </c>
      <c r="N3626" s="18" t="str">
        <f t="shared" si="283"/>
        <v>K1622:L5000</v>
      </c>
      <c r="O3626" t="str">
        <f t="shared" si="284"/>
        <v>A1622:A3626</v>
      </c>
    </row>
    <row r="3627" spans="1:15">
      <c r="A3627" s="18">
        <f>Charms!K3627</f>
        <v>0</v>
      </c>
      <c r="B3627">
        <f>Charms!B3627</f>
        <v>0</v>
      </c>
      <c r="C3627" t="b">
        <f ca="1">OR(Values!$S$98&gt;=Charms!M3627,IFERROR(Charms!J3627=OFFSET(Values!$A$24,MATCH("S",Values!$T$25:$T$50,0),0),FALSE))</f>
        <v>1</v>
      </c>
      <c r="D3627" t="e">
        <f>VLOOKUP(Charms!J3627,Values!$A$11:$S$59,19,0)&gt;=Charms!L3627</f>
        <v>#N/A</v>
      </c>
      <c r="E3627" t="e">
        <f>OR(ISBLANK(Charms!I3627),(VLOOKUP(Values!$S$6,Castes!$B$2:$F$25,4,0)=Charms!I3627))</f>
        <v>#N/A</v>
      </c>
      <c r="J3627" t="e">
        <f t="shared" ca="1" si="281"/>
        <v>#N/A</v>
      </c>
      <c r="K3627" s="18" t="e">
        <f t="shared" ca="1" si="280"/>
        <v>#N/A</v>
      </c>
      <c r="L3627" t="e">
        <f ca="1">IF(J3627,Charms!B3627,"")</f>
        <v>#N/A</v>
      </c>
      <c r="M3627" t="str">
        <f t="shared" ca="1" si="282"/>
        <v>-</v>
      </c>
      <c r="N3627" s="18" t="str">
        <f t="shared" si="283"/>
        <v>K1622:L5000</v>
      </c>
      <c r="O3627" t="str">
        <f t="shared" si="284"/>
        <v>A1622:A3627</v>
      </c>
    </row>
    <row r="3628" spans="1:15">
      <c r="A3628" s="18">
        <f>Charms!K3628</f>
        <v>0</v>
      </c>
      <c r="B3628">
        <f>Charms!B3628</f>
        <v>0</v>
      </c>
      <c r="C3628" t="b">
        <f ca="1">OR(Values!$S$98&gt;=Charms!M3628,IFERROR(Charms!J3628=OFFSET(Values!$A$24,MATCH("S",Values!$T$25:$T$50,0),0),FALSE))</f>
        <v>1</v>
      </c>
      <c r="D3628" t="e">
        <f>VLOOKUP(Charms!J3628,Values!$A$11:$S$59,19,0)&gt;=Charms!L3628</f>
        <v>#N/A</v>
      </c>
      <c r="E3628" t="e">
        <f>OR(ISBLANK(Charms!I3628),(VLOOKUP(Values!$S$6,Castes!$B$2:$F$25,4,0)=Charms!I3628))</f>
        <v>#N/A</v>
      </c>
      <c r="J3628" t="e">
        <f t="shared" ca="1" si="281"/>
        <v>#N/A</v>
      </c>
      <c r="K3628" s="18" t="e">
        <f t="shared" ca="1" si="280"/>
        <v>#N/A</v>
      </c>
      <c r="L3628" t="e">
        <f ca="1">IF(J3628,Charms!B3628,"")</f>
        <v>#N/A</v>
      </c>
      <c r="M3628" t="str">
        <f t="shared" ca="1" si="282"/>
        <v>-</v>
      </c>
      <c r="N3628" s="18" t="str">
        <f t="shared" si="283"/>
        <v>K1622:L5000</v>
      </c>
      <c r="O3628" t="str">
        <f t="shared" si="284"/>
        <v>A1622:A3628</v>
      </c>
    </row>
    <row r="3629" spans="1:15">
      <c r="A3629" s="18">
        <f>Charms!K3629</f>
        <v>0</v>
      </c>
      <c r="B3629">
        <f>Charms!B3629</f>
        <v>0</v>
      </c>
      <c r="C3629" t="b">
        <f ca="1">OR(Values!$S$98&gt;=Charms!M3629,IFERROR(Charms!J3629=OFFSET(Values!$A$24,MATCH("S",Values!$T$25:$T$50,0),0),FALSE))</f>
        <v>1</v>
      </c>
      <c r="D3629" t="e">
        <f>VLOOKUP(Charms!J3629,Values!$A$11:$S$59,19,0)&gt;=Charms!L3629</f>
        <v>#N/A</v>
      </c>
      <c r="E3629" t="e">
        <f>OR(ISBLANK(Charms!I3629),(VLOOKUP(Values!$S$6,Castes!$B$2:$F$25,4,0)=Charms!I3629))</f>
        <v>#N/A</v>
      </c>
      <c r="J3629" t="e">
        <f t="shared" ca="1" si="281"/>
        <v>#N/A</v>
      </c>
      <c r="K3629" s="18" t="e">
        <f t="shared" ca="1" si="280"/>
        <v>#N/A</v>
      </c>
      <c r="L3629" t="e">
        <f ca="1">IF(J3629,Charms!B3629,"")</f>
        <v>#N/A</v>
      </c>
      <c r="M3629" t="str">
        <f t="shared" ca="1" si="282"/>
        <v>-</v>
      </c>
      <c r="N3629" s="18" t="str">
        <f t="shared" si="283"/>
        <v>K1622:L5000</v>
      </c>
      <c r="O3629" t="str">
        <f t="shared" si="284"/>
        <v>A1622:A3629</v>
      </c>
    </row>
    <row r="3630" spans="1:15">
      <c r="A3630" s="18">
        <f>Charms!K3630</f>
        <v>0</v>
      </c>
      <c r="B3630">
        <f>Charms!B3630</f>
        <v>0</v>
      </c>
      <c r="C3630" t="b">
        <f ca="1">OR(Values!$S$98&gt;=Charms!M3630,IFERROR(Charms!J3630=OFFSET(Values!$A$24,MATCH("S",Values!$T$25:$T$50,0),0),FALSE))</f>
        <v>1</v>
      </c>
      <c r="D3630" t="e">
        <f>VLOOKUP(Charms!J3630,Values!$A$11:$S$59,19,0)&gt;=Charms!L3630</f>
        <v>#N/A</v>
      </c>
      <c r="E3630" t="e">
        <f>OR(ISBLANK(Charms!I3630),(VLOOKUP(Values!$S$6,Castes!$B$2:$F$25,4,0)=Charms!I3630))</f>
        <v>#N/A</v>
      </c>
      <c r="J3630" t="e">
        <f t="shared" ca="1" si="281"/>
        <v>#N/A</v>
      </c>
      <c r="K3630" s="18" t="e">
        <f t="shared" ca="1" si="280"/>
        <v>#N/A</v>
      </c>
      <c r="L3630" t="e">
        <f ca="1">IF(J3630,Charms!B3630,"")</f>
        <v>#N/A</v>
      </c>
      <c r="M3630" t="str">
        <f t="shared" ca="1" si="282"/>
        <v>-</v>
      </c>
      <c r="N3630" s="18" t="str">
        <f t="shared" si="283"/>
        <v>K1622:L5000</v>
      </c>
      <c r="O3630" t="str">
        <f t="shared" si="284"/>
        <v>A1622:A3630</v>
      </c>
    </row>
    <row r="3631" spans="1:15">
      <c r="A3631" s="18">
        <f>Charms!K3631</f>
        <v>0</v>
      </c>
      <c r="B3631">
        <f>Charms!B3631</f>
        <v>0</v>
      </c>
      <c r="C3631" t="b">
        <f ca="1">OR(Values!$S$98&gt;=Charms!M3631,IFERROR(Charms!J3631=OFFSET(Values!$A$24,MATCH("S",Values!$T$25:$T$50,0),0),FALSE))</f>
        <v>1</v>
      </c>
      <c r="D3631" t="e">
        <f>VLOOKUP(Charms!J3631,Values!$A$11:$S$59,19,0)&gt;=Charms!L3631</f>
        <v>#N/A</v>
      </c>
      <c r="E3631" t="e">
        <f>OR(ISBLANK(Charms!I3631),(VLOOKUP(Values!$S$6,Castes!$B$2:$F$25,4,0)=Charms!I3631))</f>
        <v>#N/A</v>
      </c>
      <c r="J3631" t="e">
        <f t="shared" ca="1" si="281"/>
        <v>#N/A</v>
      </c>
      <c r="K3631" s="18" t="e">
        <f t="shared" ca="1" si="280"/>
        <v>#N/A</v>
      </c>
      <c r="L3631" t="e">
        <f ca="1">IF(J3631,Charms!B3631,"")</f>
        <v>#N/A</v>
      </c>
      <c r="M3631" t="str">
        <f t="shared" ca="1" si="282"/>
        <v>-</v>
      </c>
      <c r="N3631" s="18" t="str">
        <f t="shared" si="283"/>
        <v>K1622:L5000</v>
      </c>
      <c r="O3631" t="str">
        <f t="shared" si="284"/>
        <v>A1622:A3631</v>
      </c>
    </row>
    <row r="3632" spans="1:15">
      <c r="A3632" s="18">
        <f>Charms!K3632</f>
        <v>0</v>
      </c>
      <c r="B3632">
        <f>Charms!B3632</f>
        <v>0</v>
      </c>
      <c r="C3632" t="b">
        <f ca="1">OR(Values!$S$98&gt;=Charms!M3632,IFERROR(Charms!J3632=OFFSET(Values!$A$24,MATCH("S",Values!$T$25:$T$50,0),0),FALSE))</f>
        <v>1</v>
      </c>
      <c r="D3632" t="e">
        <f>VLOOKUP(Charms!J3632,Values!$A$11:$S$59,19,0)&gt;=Charms!L3632</f>
        <v>#N/A</v>
      </c>
      <c r="E3632" t="e">
        <f>OR(ISBLANK(Charms!I3632),(VLOOKUP(Values!$S$6,Castes!$B$2:$F$25,4,0)=Charms!I3632))</f>
        <v>#N/A</v>
      </c>
      <c r="J3632" t="e">
        <f t="shared" ca="1" si="281"/>
        <v>#N/A</v>
      </c>
      <c r="K3632" s="18" t="e">
        <f t="shared" ca="1" si="280"/>
        <v>#N/A</v>
      </c>
      <c r="L3632" t="e">
        <f ca="1">IF(J3632,Charms!B3632,"")</f>
        <v>#N/A</v>
      </c>
      <c r="M3632" t="str">
        <f t="shared" ca="1" si="282"/>
        <v>-</v>
      </c>
      <c r="N3632" s="18" t="str">
        <f t="shared" si="283"/>
        <v>K1622:L5000</v>
      </c>
      <c r="O3632" t="str">
        <f t="shared" si="284"/>
        <v>A1622:A3632</v>
      </c>
    </row>
    <row r="3633" spans="1:15">
      <c r="A3633" s="18">
        <f>Charms!K3633</f>
        <v>0</v>
      </c>
      <c r="B3633">
        <f>Charms!B3633</f>
        <v>0</v>
      </c>
      <c r="C3633" t="b">
        <f ca="1">OR(Values!$S$98&gt;=Charms!M3633,IFERROR(Charms!J3633=OFFSET(Values!$A$24,MATCH("S",Values!$T$25:$T$50,0),0),FALSE))</f>
        <v>1</v>
      </c>
      <c r="D3633" t="e">
        <f>VLOOKUP(Charms!J3633,Values!$A$11:$S$59,19,0)&gt;=Charms!L3633</f>
        <v>#N/A</v>
      </c>
      <c r="E3633" t="e">
        <f>OR(ISBLANK(Charms!I3633),(VLOOKUP(Values!$S$6,Castes!$B$2:$F$25,4,0)=Charms!I3633))</f>
        <v>#N/A</v>
      </c>
      <c r="J3633" t="e">
        <f t="shared" ca="1" si="281"/>
        <v>#N/A</v>
      </c>
      <c r="K3633" s="18" t="e">
        <f t="shared" ca="1" si="280"/>
        <v>#N/A</v>
      </c>
      <c r="L3633" t="e">
        <f ca="1">IF(J3633,Charms!B3633,"")</f>
        <v>#N/A</v>
      </c>
      <c r="M3633" t="str">
        <f t="shared" ca="1" si="282"/>
        <v>-</v>
      </c>
      <c r="N3633" s="18" t="str">
        <f t="shared" si="283"/>
        <v>K1622:L5000</v>
      </c>
      <c r="O3633" t="str">
        <f t="shared" si="284"/>
        <v>A1622:A3633</v>
      </c>
    </row>
    <row r="3634" spans="1:15">
      <c r="A3634" s="18">
        <f>Charms!K3634</f>
        <v>0</v>
      </c>
      <c r="B3634">
        <f>Charms!B3634</f>
        <v>0</v>
      </c>
      <c r="C3634" t="b">
        <f ca="1">OR(Values!$S$98&gt;=Charms!M3634,IFERROR(Charms!J3634=OFFSET(Values!$A$24,MATCH("S",Values!$T$25:$T$50,0),0),FALSE))</f>
        <v>1</v>
      </c>
      <c r="D3634" t="e">
        <f>VLOOKUP(Charms!J3634,Values!$A$11:$S$59,19,0)&gt;=Charms!L3634</f>
        <v>#N/A</v>
      </c>
      <c r="E3634" t="e">
        <f>OR(ISBLANK(Charms!I3634),(VLOOKUP(Values!$S$6,Castes!$B$2:$F$25,4,0)=Charms!I3634))</f>
        <v>#N/A</v>
      </c>
      <c r="J3634" t="e">
        <f t="shared" ca="1" si="281"/>
        <v>#N/A</v>
      </c>
      <c r="K3634" s="18" t="e">
        <f t="shared" ca="1" si="280"/>
        <v>#N/A</v>
      </c>
      <c r="L3634" t="e">
        <f ca="1">IF(J3634,Charms!B3634,"")</f>
        <v>#N/A</v>
      </c>
      <c r="M3634" t="str">
        <f t="shared" ca="1" si="282"/>
        <v>-</v>
      </c>
      <c r="N3634" s="18" t="str">
        <f t="shared" si="283"/>
        <v>K1622:L5000</v>
      </c>
      <c r="O3634" t="str">
        <f t="shared" si="284"/>
        <v>A1622:A3634</v>
      </c>
    </row>
    <row r="3635" spans="1:15">
      <c r="A3635" s="18">
        <f>Charms!K3635</f>
        <v>0</v>
      </c>
      <c r="B3635">
        <f>Charms!B3635</f>
        <v>0</v>
      </c>
      <c r="C3635" t="b">
        <f ca="1">OR(Values!$S$98&gt;=Charms!M3635,IFERROR(Charms!J3635=OFFSET(Values!$A$24,MATCH("S",Values!$T$25:$T$50,0),0),FALSE))</f>
        <v>1</v>
      </c>
      <c r="D3635" t="e">
        <f>VLOOKUP(Charms!J3635,Values!$A$11:$S$59,19,0)&gt;=Charms!L3635</f>
        <v>#N/A</v>
      </c>
      <c r="E3635" t="e">
        <f>OR(ISBLANK(Charms!I3635),(VLOOKUP(Values!$S$6,Castes!$B$2:$F$25,4,0)=Charms!I3635))</f>
        <v>#N/A</v>
      </c>
      <c r="J3635" t="e">
        <f t="shared" ca="1" si="281"/>
        <v>#N/A</v>
      </c>
      <c r="K3635" s="18" t="e">
        <f t="shared" ca="1" si="280"/>
        <v>#N/A</v>
      </c>
      <c r="L3635" t="e">
        <f ca="1">IF(J3635,Charms!B3635,"")</f>
        <v>#N/A</v>
      </c>
      <c r="M3635" t="str">
        <f t="shared" ca="1" si="282"/>
        <v>-</v>
      </c>
      <c r="N3635" s="18" t="str">
        <f t="shared" si="283"/>
        <v>K1622:L5000</v>
      </c>
      <c r="O3635" t="str">
        <f t="shared" si="284"/>
        <v>A1622:A3635</v>
      </c>
    </row>
    <row r="3636" spans="1:15">
      <c r="A3636" s="18">
        <f>Charms!K3636</f>
        <v>0</v>
      </c>
      <c r="B3636">
        <f>Charms!B3636</f>
        <v>0</v>
      </c>
      <c r="C3636" t="b">
        <f ca="1">OR(Values!$S$98&gt;=Charms!M3636,IFERROR(Charms!J3636=OFFSET(Values!$A$24,MATCH("S",Values!$T$25:$T$50,0),0),FALSE))</f>
        <v>1</v>
      </c>
      <c r="D3636" t="e">
        <f>VLOOKUP(Charms!J3636,Values!$A$11:$S$59,19,0)&gt;=Charms!L3636</f>
        <v>#N/A</v>
      </c>
      <c r="E3636" t="e">
        <f>OR(ISBLANK(Charms!I3636),(VLOOKUP(Values!$S$6,Castes!$B$2:$F$25,4,0)=Charms!I3636))</f>
        <v>#N/A</v>
      </c>
      <c r="J3636" t="e">
        <f t="shared" ca="1" si="281"/>
        <v>#N/A</v>
      </c>
      <c r="K3636" s="18" t="e">
        <f t="shared" ca="1" si="280"/>
        <v>#N/A</v>
      </c>
      <c r="L3636" t="e">
        <f ca="1">IF(J3636,Charms!B3636,"")</f>
        <v>#N/A</v>
      </c>
      <c r="M3636" t="str">
        <f t="shared" ca="1" si="282"/>
        <v>-</v>
      </c>
      <c r="N3636" s="18" t="str">
        <f t="shared" si="283"/>
        <v>K1622:L5000</v>
      </c>
      <c r="O3636" t="str">
        <f t="shared" si="284"/>
        <v>A1622:A3636</v>
      </c>
    </row>
    <row r="3637" spans="1:15">
      <c r="A3637" s="18">
        <f>Charms!K3637</f>
        <v>0</v>
      </c>
      <c r="B3637">
        <f>Charms!B3637</f>
        <v>0</v>
      </c>
      <c r="C3637" t="b">
        <f ca="1">OR(Values!$S$98&gt;=Charms!M3637,IFERROR(Charms!J3637=OFFSET(Values!$A$24,MATCH("S",Values!$T$25:$T$50,0),0),FALSE))</f>
        <v>1</v>
      </c>
      <c r="D3637" t="e">
        <f>VLOOKUP(Charms!J3637,Values!$A$11:$S$59,19,0)&gt;=Charms!L3637</f>
        <v>#N/A</v>
      </c>
      <c r="E3637" t="e">
        <f>OR(ISBLANK(Charms!I3637),(VLOOKUP(Values!$S$6,Castes!$B$2:$F$25,4,0)=Charms!I3637))</f>
        <v>#N/A</v>
      </c>
      <c r="J3637" t="e">
        <f t="shared" ca="1" si="281"/>
        <v>#N/A</v>
      </c>
      <c r="K3637" s="18" t="e">
        <f t="shared" ca="1" si="280"/>
        <v>#N/A</v>
      </c>
      <c r="L3637" t="e">
        <f ca="1">IF(J3637,Charms!B3637,"")</f>
        <v>#N/A</v>
      </c>
      <c r="M3637" t="str">
        <f t="shared" ca="1" si="282"/>
        <v>-</v>
      </c>
      <c r="N3637" s="18" t="str">
        <f t="shared" si="283"/>
        <v>K1622:L5000</v>
      </c>
      <c r="O3637" t="str">
        <f t="shared" si="284"/>
        <v>A1622:A3637</v>
      </c>
    </row>
    <row r="3638" spans="1:15">
      <c r="A3638" s="18">
        <f>Charms!K3638</f>
        <v>0</v>
      </c>
      <c r="B3638">
        <f>Charms!B3638</f>
        <v>0</v>
      </c>
      <c r="C3638" t="b">
        <f ca="1">OR(Values!$S$98&gt;=Charms!M3638,IFERROR(Charms!J3638=OFFSET(Values!$A$24,MATCH("S",Values!$T$25:$T$50,0),0),FALSE))</f>
        <v>1</v>
      </c>
      <c r="D3638" t="e">
        <f>VLOOKUP(Charms!J3638,Values!$A$11:$S$59,19,0)&gt;=Charms!L3638</f>
        <v>#N/A</v>
      </c>
      <c r="E3638" t="e">
        <f>OR(ISBLANK(Charms!I3638),(VLOOKUP(Values!$S$6,Castes!$B$2:$F$25,4,0)=Charms!I3638))</f>
        <v>#N/A</v>
      </c>
      <c r="J3638" t="e">
        <f t="shared" ca="1" si="281"/>
        <v>#N/A</v>
      </c>
      <c r="K3638" s="18" t="e">
        <f t="shared" ca="1" si="280"/>
        <v>#N/A</v>
      </c>
      <c r="L3638" t="e">
        <f ca="1">IF(J3638,Charms!B3638,"")</f>
        <v>#N/A</v>
      </c>
      <c r="M3638" t="str">
        <f t="shared" ca="1" si="282"/>
        <v>-</v>
      </c>
      <c r="N3638" s="18" t="str">
        <f t="shared" si="283"/>
        <v>K1622:L5000</v>
      </c>
      <c r="O3638" t="str">
        <f t="shared" si="284"/>
        <v>A1622:A3638</v>
      </c>
    </row>
    <row r="3639" spans="1:15">
      <c r="A3639" s="18">
        <f>Charms!K3639</f>
        <v>0</v>
      </c>
      <c r="B3639">
        <f>Charms!B3639</f>
        <v>0</v>
      </c>
      <c r="C3639" t="b">
        <f ca="1">OR(Values!$S$98&gt;=Charms!M3639,IFERROR(Charms!J3639=OFFSET(Values!$A$24,MATCH("S",Values!$T$25:$T$50,0),0),FALSE))</f>
        <v>1</v>
      </c>
      <c r="D3639" t="e">
        <f>VLOOKUP(Charms!J3639,Values!$A$11:$S$59,19,0)&gt;=Charms!L3639</f>
        <v>#N/A</v>
      </c>
      <c r="E3639" t="e">
        <f>OR(ISBLANK(Charms!I3639),(VLOOKUP(Values!$S$6,Castes!$B$2:$F$25,4,0)=Charms!I3639))</f>
        <v>#N/A</v>
      </c>
      <c r="J3639" t="e">
        <f t="shared" ca="1" si="281"/>
        <v>#N/A</v>
      </c>
      <c r="K3639" s="18" t="e">
        <f t="shared" ca="1" si="280"/>
        <v>#N/A</v>
      </c>
      <c r="L3639" t="e">
        <f ca="1">IF(J3639,Charms!B3639,"")</f>
        <v>#N/A</v>
      </c>
      <c r="M3639" t="str">
        <f t="shared" ca="1" si="282"/>
        <v>-</v>
      </c>
      <c r="N3639" s="18" t="str">
        <f t="shared" si="283"/>
        <v>K1622:L5000</v>
      </c>
      <c r="O3639" t="str">
        <f t="shared" si="284"/>
        <v>A1622:A3639</v>
      </c>
    </row>
    <row r="3640" spans="1:15">
      <c r="A3640" s="18">
        <f>Charms!K3640</f>
        <v>0</v>
      </c>
      <c r="B3640">
        <f>Charms!B3640</f>
        <v>0</v>
      </c>
      <c r="C3640" t="b">
        <f ca="1">OR(Values!$S$98&gt;=Charms!M3640,IFERROR(Charms!J3640=OFFSET(Values!$A$24,MATCH("S",Values!$T$25:$T$50,0),0),FALSE))</f>
        <v>1</v>
      </c>
      <c r="D3640" t="e">
        <f>VLOOKUP(Charms!J3640,Values!$A$11:$S$59,19,0)&gt;=Charms!L3640</f>
        <v>#N/A</v>
      </c>
      <c r="E3640" t="e">
        <f>OR(ISBLANK(Charms!I3640),(VLOOKUP(Values!$S$6,Castes!$B$2:$F$25,4,0)=Charms!I3640))</f>
        <v>#N/A</v>
      </c>
      <c r="J3640" t="e">
        <f t="shared" ca="1" si="281"/>
        <v>#N/A</v>
      </c>
      <c r="K3640" s="18" t="e">
        <f t="shared" ca="1" si="280"/>
        <v>#N/A</v>
      </c>
      <c r="L3640" t="e">
        <f ca="1">IF(J3640,Charms!B3640,"")</f>
        <v>#N/A</v>
      </c>
      <c r="M3640" t="str">
        <f t="shared" ca="1" si="282"/>
        <v>-</v>
      </c>
      <c r="N3640" s="18" t="str">
        <f t="shared" si="283"/>
        <v>K1622:L5000</v>
      </c>
      <c r="O3640" t="str">
        <f t="shared" si="284"/>
        <v>A1622:A3640</v>
      </c>
    </row>
    <row r="3641" spans="1:15">
      <c r="A3641" s="18">
        <f>Charms!K3641</f>
        <v>0</v>
      </c>
      <c r="B3641">
        <f>Charms!B3641</f>
        <v>0</v>
      </c>
      <c r="C3641" t="b">
        <f ca="1">OR(Values!$S$98&gt;=Charms!M3641,IFERROR(Charms!J3641=OFFSET(Values!$A$24,MATCH("S",Values!$T$25:$T$50,0),0),FALSE))</f>
        <v>1</v>
      </c>
      <c r="D3641" t="e">
        <f>VLOOKUP(Charms!J3641,Values!$A$11:$S$59,19,0)&gt;=Charms!L3641</f>
        <v>#N/A</v>
      </c>
      <c r="E3641" t="e">
        <f>OR(ISBLANK(Charms!I3641),(VLOOKUP(Values!$S$6,Castes!$B$2:$F$25,4,0)=Charms!I3641))</f>
        <v>#N/A</v>
      </c>
      <c r="J3641" t="e">
        <f t="shared" ca="1" si="281"/>
        <v>#N/A</v>
      </c>
      <c r="K3641" s="18" t="e">
        <f t="shared" ca="1" si="280"/>
        <v>#N/A</v>
      </c>
      <c r="L3641" t="e">
        <f ca="1">IF(J3641,Charms!B3641,"")</f>
        <v>#N/A</v>
      </c>
      <c r="M3641" t="str">
        <f t="shared" ca="1" si="282"/>
        <v>-</v>
      </c>
      <c r="N3641" s="18" t="str">
        <f t="shared" si="283"/>
        <v>K1622:L5000</v>
      </c>
      <c r="O3641" t="str">
        <f t="shared" si="284"/>
        <v>A1622:A3641</v>
      </c>
    </row>
    <row r="3642" spans="1:15">
      <c r="A3642" s="18">
        <f>Charms!K3642</f>
        <v>0</v>
      </c>
      <c r="B3642">
        <f>Charms!B3642</f>
        <v>0</v>
      </c>
      <c r="C3642" t="b">
        <f ca="1">OR(Values!$S$98&gt;=Charms!M3642,IFERROR(Charms!J3642=OFFSET(Values!$A$24,MATCH("S",Values!$T$25:$T$50,0),0),FALSE))</f>
        <v>1</v>
      </c>
      <c r="D3642" t="e">
        <f>VLOOKUP(Charms!J3642,Values!$A$11:$S$59,19,0)&gt;=Charms!L3642</f>
        <v>#N/A</v>
      </c>
      <c r="E3642" t="e">
        <f>OR(ISBLANK(Charms!I3642),(VLOOKUP(Values!$S$6,Castes!$B$2:$F$25,4,0)=Charms!I3642))</f>
        <v>#N/A</v>
      </c>
      <c r="J3642" t="e">
        <f t="shared" ca="1" si="281"/>
        <v>#N/A</v>
      </c>
      <c r="K3642" s="18" t="e">
        <f t="shared" ca="1" si="280"/>
        <v>#N/A</v>
      </c>
      <c r="L3642" t="e">
        <f ca="1">IF(J3642,Charms!B3642,"")</f>
        <v>#N/A</v>
      </c>
      <c r="M3642" t="str">
        <f t="shared" ca="1" si="282"/>
        <v>-</v>
      </c>
      <c r="N3642" s="18" t="str">
        <f t="shared" si="283"/>
        <v>K1622:L5000</v>
      </c>
      <c r="O3642" t="str">
        <f t="shared" si="284"/>
        <v>A1622:A3642</v>
      </c>
    </row>
    <row r="3643" spans="1:15">
      <c r="A3643" s="18">
        <f>Charms!K3643</f>
        <v>0</v>
      </c>
      <c r="B3643">
        <f>Charms!B3643</f>
        <v>0</v>
      </c>
      <c r="C3643" t="b">
        <f ca="1">OR(Values!$S$98&gt;=Charms!M3643,IFERROR(Charms!J3643=OFFSET(Values!$A$24,MATCH("S",Values!$T$25:$T$50,0),0),FALSE))</f>
        <v>1</v>
      </c>
      <c r="D3643" t="e">
        <f>VLOOKUP(Charms!J3643,Values!$A$11:$S$59,19,0)&gt;=Charms!L3643</f>
        <v>#N/A</v>
      </c>
      <c r="E3643" t="e">
        <f>OR(ISBLANK(Charms!I3643),(VLOOKUP(Values!$S$6,Castes!$B$2:$F$25,4,0)=Charms!I3643))</f>
        <v>#N/A</v>
      </c>
      <c r="J3643" t="e">
        <f t="shared" ca="1" si="281"/>
        <v>#N/A</v>
      </c>
      <c r="K3643" s="18" t="e">
        <f t="shared" ca="1" si="280"/>
        <v>#N/A</v>
      </c>
      <c r="L3643" t="e">
        <f ca="1">IF(J3643,Charms!B3643,"")</f>
        <v>#N/A</v>
      </c>
      <c r="M3643" t="str">
        <f t="shared" ca="1" si="282"/>
        <v>-</v>
      </c>
      <c r="N3643" s="18" t="str">
        <f t="shared" si="283"/>
        <v>K1622:L5000</v>
      </c>
      <c r="O3643" t="str">
        <f t="shared" si="284"/>
        <v>A1622:A3643</v>
      </c>
    </row>
    <row r="3644" spans="1:15">
      <c r="A3644" s="18">
        <f>Charms!K3644</f>
        <v>0</v>
      </c>
      <c r="B3644">
        <f>Charms!B3644</f>
        <v>0</v>
      </c>
      <c r="C3644" t="b">
        <f ca="1">OR(Values!$S$98&gt;=Charms!M3644,IFERROR(Charms!J3644=OFFSET(Values!$A$24,MATCH("S",Values!$T$25:$T$50,0),0),FALSE))</f>
        <v>1</v>
      </c>
      <c r="D3644" t="e">
        <f>VLOOKUP(Charms!J3644,Values!$A$11:$S$59,19,0)&gt;=Charms!L3644</f>
        <v>#N/A</v>
      </c>
      <c r="E3644" t="e">
        <f>OR(ISBLANK(Charms!I3644),(VLOOKUP(Values!$S$6,Castes!$B$2:$F$25,4,0)=Charms!I3644))</f>
        <v>#N/A</v>
      </c>
      <c r="J3644" t="e">
        <f t="shared" ca="1" si="281"/>
        <v>#N/A</v>
      </c>
      <c r="K3644" s="18" t="e">
        <f t="shared" ca="1" si="280"/>
        <v>#N/A</v>
      </c>
      <c r="L3644" t="e">
        <f ca="1">IF(J3644,Charms!B3644,"")</f>
        <v>#N/A</v>
      </c>
      <c r="M3644" t="str">
        <f t="shared" ca="1" si="282"/>
        <v>-</v>
      </c>
      <c r="N3644" s="18" t="str">
        <f t="shared" si="283"/>
        <v>K1622:L5000</v>
      </c>
      <c r="O3644" t="str">
        <f t="shared" si="284"/>
        <v>A1622:A3644</v>
      </c>
    </row>
    <row r="3645" spans="1:15">
      <c r="A3645" s="18">
        <f>Charms!K3645</f>
        <v>0</v>
      </c>
      <c r="B3645">
        <f>Charms!B3645</f>
        <v>0</v>
      </c>
      <c r="C3645" t="b">
        <f ca="1">OR(Values!$S$98&gt;=Charms!M3645,IFERROR(Charms!J3645=OFFSET(Values!$A$24,MATCH("S",Values!$T$25:$T$50,0),0),FALSE))</f>
        <v>1</v>
      </c>
      <c r="D3645" t="e">
        <f>VLOOKUP(Charms!J3645,Values!$A$11:$S$59,19,0)&gt;=Charms!L3645</f>
        <v>#N/A</v>
      </c>
      <c r="E3645" t="e">
        <f>OR(ISBLANK(Charms!I3645),(VLOOKUP(Values!$S$6,Castes!$B$2:$F$25,4,0)=Charms!I3645))</f>
        <v>#N/A</v>
      </c>
      <c r="J3645" t="e">
        <f t="shared" ca="1" si="281"/>
        <v>#N/A</v>
      </c>
      <c r="K3645" s="18" t="e">
        <f t="shared" ca="1" si="280"/>
        <v>#N/A</v>
      </c>
      <c r="L3645" t="e">
        <f ca="1">IF(J3645,Charms!B3645,"")</f>
        <v>#N/A</v>
      </c>
      <c r="M3645" t="str">
        <f t="shared" ca="1" si="282"/>
        <v>-</v>
      </c>
      <c r="N3645" s="18" t="str">
        <f t="shared" si="283"/>
        <v>K1622:L5000</v>
      </c>
      <c r="O3645" t="str">
        <f t="shared" si="284"/>
        <v>A1622:A3645</v>
      </c>
    </row>
    <row r="3646" spans="1:15">
      <c r="A3646" s="18">
        <f>Charms!K3646</f>
        <v>0</v>
      </c>
      <c r="B3646">
        <f>Charms!B3646</f>
        <v>0</v>
      </c>
      <c r="C3646" t="b">
        <f ca="1">OR(Values!$S$98&gt;=Charms!M3646,IFERROR(Charms!J3646=OFFSET(Values!$A$24,MATCH("S",Values!$T$25:$T$50,0),0),FALSE))</f>
        <v>1</v>
      </c>
      <c r="D3646" t="e">
        <f>VLOOKUP(Charms!J3646,Values!$A$11:$S$59,19,0)&gt;=Charms!L3646</f>
        <v>#N/A</v>
      </c>
      <c r="E3646" t="e">
        <f>OR(ISBLANK(Charms!I3646),(VLOOKUP(Values!$S$6,Castes!$B$2:$F$25,4,0)=Charms!I3646))</f>
        <v>#N/A</v>
      </c>
      <c r="J3646" t="e">
        <f t="shared" ca="1" si="281"/>
        <v>#N/A</v>
      </c>
      <c r="K3646" s="18" t="e">
        <f t="shared" ca="1" si="280"/>
        <v>#N/A</v>
      </c>
      <c r="L3646" t="e">
        <f ca="1">IF(J3646,Charms!B3646,"")</f>
        <v>#N/A</v>
      </c>
      <c r="M3646" t="str">
        <f t="shared" ca="1" si="282"/>
        <v>-</v>
      </c>
      <c r="N3646" s="18" t="str">
        <f t="shared" si="283"/>
        <v>K1622:L5000</v>
      </c>
      <c r="O3646" t="str">
        <f t="shared" si="284"/>
        <v>A1622:A3646</v>
      </c>
    </row>
    <row r="3647" spans="1:15">
      <c r="A3647" s="18">
        <f>Charms!K3647</f>
        <v>0</v>
      </c>
      <c r="B3647">
        <f>Charms!B3647</f>
        <v>0</v>
      </c>
      <c r="C3647" t="b">
        <f ca="1">OR(Values!$S$98&gt;=Charms!M3647,IFERROR(Charms!J3647=OFFSET(Values!$A$24,MATCH("S",Values!$T$25:$T$50,0),0),FALSE))</f>
        <v>1</v>
      </c>
      <c r="D3647" t="e">
        <f>VLOOKUP(Charms!J3647,Values!$A$11:$S$59,19,0)&gt;=Charms!L3647</f>
        <v>#N/A</v>
      </c>
      <c r="E3647" t="e">
        <f>OR(ISBLANK(Charms!I3647),(VLOOKUP(Values!$S$6,Castes!$B$2:$F$25,4,0)=Charms!I3647))</f>
        <v>#N/A</v>
      </c>
      <c r="J3647" t="e">
        <f t="shared" ca="1" si="281"/>
        <v>#N/A</v>
      </c>
      <c r="K3647" s="18" t="e">
        <f t="shared" ca="1" si="280"/>
        <v>#N/A</v>
      </c>
      <c r="L3647" t="e">
        <f ca="1">IF(J3647,Charms!B3647,"")</f>
        <v>#N/A</v>
      </c>
      <c r="M3647" t="str">
        <f t="shared" ca="1" si="282"/>
        <v>-</v>
      </c>
      <c r="N3647" s="18" t="str">
        <f t="shared" si="283"/>
        <v>K1622:L5000</v>
      </c>
      <c r="O3647" t="str">
        <f t="shared" si="284"/>
        <v>A1622:A3647</v>
      </c>
    </row>
    <row r="3648" spans="1:15">
      <c r="A3648" s="18">
        <f>Charms!K3648</f>
        <v>0</v>
      </c>
      <c r="B3648">
        <f>Charms!B3648</f>
        <v>0</v>
      </c>
      <c r="C3648" t="b">
        <f ca="1">OR(Values!$S$98&gt;=Charms!M3648,IFERROR(Charms!J3648=OFFSET(Values!$A$24,MATCH("S",Values!$T$25:$T$50,0),0),FALSE))</f>
        <v>1</v>
      </c>
      <c r="D3648" t="e">
        <f>VLOOKUP(Charms!J3648,Values!$A$11:$S$59,19,0)&gt;=Charms!L3648</f>
        <v>#N/A</v>
      </c>
      <c r="E3648" t="e">
        <f>OR(ISBLANK(Charms!I3648),(VLOOKUP(Values!$S$6,Castes!$B$2:$F$25,4,0)=Charms!I3648))</f>
        <v>#N/A</v>
      </c>
      <c r="J3648" t="e">
        <f t="shared" ca="1" si="281"/>
        <v>#N/A</v>
      </c>
      <c r="K3648" s="18" t="e">
        <f t="shared" ca="1" si="280"/>
        <v>#N/A</v>
      </c>
      <c r="L3648" t="e">
        <f ca="1">IF(J3648,Charms!B3648,"")</f>
        <v>#N/A</v>
      </c>
      <c r="M3648" t="str">
        <f t="shared" ca="1" si="282"/>
        <v>-</v>
      </c>
      <c r="N3648" s="18" t="str">
        <f t="shared" si="283"/>
        <v>K1622:L5000</v>
      </c>
      <c r="O3648" t="str">
        <f t="shared" si="284"/>
        <v>A1622:A3648</v>
      </c>
    </row>
    <row r="3649" spans="1:15">
      <c r="A3649" s="18">
        <f>Charms!K3649</f>
        <v>0</v>
      </c>
      <c r="B3649">
        <f>Charms!B3649</f>
        <v>0</v>
      </c>
      <c r="C3649" t="b">
        <f ca="1">OR(Values!$S$98&gt;=Charms!M3649,IFERROR(Charms!J3649=OFFSET(Values!$A$24,MATCH("S",Values!$T$25:$T$50,0),0),FALSE))</f>
        <v>1</v>
      </c>
      <c r="D3649" t="e">
        <f>VLOOKUP(Charms!J3649,Values!$A$11:$S$59,19,0)&gt;=Charms!L3649</f>
        <v>#N/A</v>
      </c>
      <c r="E3649" t="e">
        <f>OR(ISBLANK(Charms!I3649),(VLOOKUP(Values!$S$6,Castes!$B$2:$F$25,4,0)=Charms!I3649))</f>
        <v>#N/A</v>
      </c>
      <c r="J3649" t="e">
        <f t="shared" ca="1" si="281"/>
        <v>#N/A</v>
      </c>
      <c r="K3649" s="18" t="e">
        <f t="shared" ca="1" si="280"/>
        <v>#N/A</v>
      </c>
      <c r="L3649" t="e">
        <f ca="1">IF(J3649,Charms!B3649,"")</f>
        <v>#N/A</v>
      </c>
      <c r="M3649" t="str">
        <f t="shared" ca="1" si="282"/>
        <v>-</v>
      </c>
      <c r="N3649" s="18" t="str">
        <f t="shared" si="283"/>
        <v>K1622:L5000</v>
      </c>
      <c r="O3649" t="str">
        <f t="shared" si="284"/>
        <v>A1622:A3649</v>
      </c>
    </row>
    <row r="3650" spans="1:15">
      <c r="A3650" s="18">
        <f>Charms!K3650</f>
        <v>0</v>
      </c>
      <c r="B3650">
        <f>Charms!B3650</f>
        <v>0</v>
      </c>
      <c r="C3650" t="b">
        <f ca="1">OR(Values!$S$98&gt;=Charms!M3650,IFERROR(Charms!J3650=OFFSET(Values!$A$24,MATCH("S",Values!$T$25:$T$50,0),0),FALSE))</f>
        <v>1</v>
      </c>
      <c r="D3650" t="e">
        <f>VLOOKUP(Charms!J3650,Values!$A$11:$S$59,19,0)&gt;=Charms!L3650</f>
        <v>#N/A</v>
      </c>
      <c r="E3650" t="e">
        <f>OR(ISBLANK(Charms!I3650),(VLOOKUP(Values!$S$6,Castes!$B$2:$F$25,4,0)=Charms!I3650))</f>
        <v>#N/A</v>
      </c>
      <c r="J3650" t="e">
        <f t="shared" ca="1" si="281"/>
        <v>#N/A</v>
      </c>
      <c r="K3650" s="18" t="e">
        <f t="shared" ref="K3650:K3713" ca="1" si="285">IF(L3650="","",COUNTIF(INDIRECT("J"&amp;MATCH(A3650,A:A,0)&amp;":J"&amp;ROW()),J3650))</f>
        <v>#N/A</v>
      </c>
      <c r="L3650" t="e">
        <f ca="1">IF(J3650,Charms!B3650,"")</f>
        <v>#N/A</v>
      </c>
      <c r="M3650" t="str">
        <f t="shared" ca="1" si="282"/>
        <v>-</v>
      </c>
      <c r="N3650" s="18" t="str">
        <f t="shared" si="283"/>
        <v>K1622:L5000</v>
      </c>
      <c r="O3650" t="str">
        <f t="shared" si="284"/>
        <v>A1622:A3650</v>
      </c>
    </row>
    <row r="3651" spans="1:15">
      <c r="A3651" s="18">
        <f>Charms!K3651</f>
        <v>0</v>
      </c>
      <c r="B3651">
        <f>Charms!B3651</f>
        <v>0</v>
      </c>
      <c r="C3651" t="b">
        <f ca="1">OR(Values!$S$98&gt;=Charms!M3651,IFERROR(Charms!J3651=OFFSET(Values!$A$24,MATCH("S",Values!$T$25:$T$50,0),0),FALSE))</f>
        <v>1</v>
      </c>
      <c r="D3651" t="e">
        <f>VLOOKUP(Charms!J3651,Values!$A$11:$S$59,19,0)&gt;=Charms!L3651</f>
        <v>#N/A</v>
      </c>
      <c r="E3651" t="e">
        <f>OR(ISBLANK(Charms!I3651),(VLOOKUP(Values!$S$6,Castes!$B$2:$F$25,4,0)=Charms!I3651))</f>
        <v>#N/A</v>
      </c>
      <c r="J3651" t="e">
        <f t="shared" ref="J3651:J3714" ca="1" si="286">(C3651+D3651+E3651+F3651+G3651+H3651+I3651)=3</f>
        <v>#N/A</v>
      </c>
      <c r="K3651" s="18" t="e">
        <f t="shared" ca="1" si="285"/>
        <v>#N/A</v>
      </c>
      <c r="L3651" t="e">
        <f ca="1">IF(J3651,Charms!B3651,"")</f>
        <v>#N/A</v>
      </c>
      <c r="M3651" t="str">
        <f t="shared" ref="M3651:M3714" ca="1" si="287">IFERROR(VLOOKUP(COUNTIF(INDIRECT(O3651),A3651),INDIRECT(N3651),2,0),"-")</f>
        <v>-</v>
      </c>
      <c r="N3651" s="18" t="str">
        <f t="shared" ref="N3651:N3714" si="288">"K"&amp;MATCH(A3651,A:A,0)&amp;":L"&amp;(MATCH(A3651,A:A,0)+COUNTIF(A:A,A3651)-1)</f>
        <v>K1622:L5000</v>
      </c>
      <c r="O3651" t="str">
        <f t="shared" ref="O3651:O3714" si="289">"A"&amp;MATCH(A3651,A:A,0)&amp;":A"&amp;ROW()</f>
        <v>A1622:A3651</v>
      </c>
    </row>
    <row r="3652" spans="1:15">
      <c r="A3652" s="18">
        <f>Charms!K3652</f>
        <v>0</v>
      </c>
      <c r="B3652">
        <f>Charms!B3652</f>
        <v>0</v>
      </c>
      <c r="C3652" t="b">
        <f ca="1">OR(Values!$S$98&gt;=Charms!M3652,IFERROR(Charms!J3652=OFFSET(Values!$A$24,MATCH("S",Values!$T$25:$T$50,0),0),FALSE))</f>
        <v>1</v>
      </c>
      <c r="D3652" t="e">
        <f>VLOOKUP(Charms!J3652,Values!$A$11:$S$59,19,0)&gt;=Charms!L3652</f>
        <v>#N/A</v>
      </c>
      <c r="E3652" t="e">
        <f>OR(ISBLANK(Charms!I3652),(VLOOKUP(Values!$S$6,Castes!$B$2:$F$25,4,0)=Charms!I3652))</f>
        <v>#N/A</v>
      </c>
      <c r="J3652" t="e">
        <f t="shared" ca="1" si="286"/>
        <v>#N/A</v>
      </c>
      <c r="K3652" s="18" t="e">
        <f t="shared" ca="1" si="285"/>
        <v>#N/A</v>
      </c>
      <c r="L3652" t="e">
        <f ca="1">IF(J3652,Charms!B3652,"")</f>
        <v>#N/A</v>
      </c>
      <c r="M3652" t="str">
        <f t="shared" ca="1" si="287"/>
        <v>-</v>
      </c>
      <c r="N3652" s="18" t="str">
        <f t="shared" si="288"/>
        <v>K1622:L5000</v>
      </c>
      <c r="O3652" t="str">
        <f t="shared" si="289"/>
        <v>A1622:A3652</v>
      </c>
    </row>
    <row r="3653" spans="1:15">
      <c r="A3653" s="18">
        <f>Charms!K3653</f>
        <v>0</v>
      </c>
      <c r="B3653">
        <f>Charms!B3653</f>
        <v>0</v>
      </c>
      <c r="C3653" t="b">
        <f ca="1">OR(Values!$S$98&gt;=Charms!M3653,IFERROR(Charms!J3653=OFFSET(Values!$A$24,MATCH("S",Values!$T$25:$T$50,0),0),FALSE))</f>
        <v>1</v>
      </c>
      <c r="D3653" t="e">
        <f>VLOOKUP(Charms!J3653,Values!$A$11:$S$59,19,0)&gt;=Charms!L3653</f>
        <v>#N/A</v>
      </c>
      <c r="E3653" t="e">
        <f>OR(ISBLANK(Charms!I3653),(VLOOKUP(Values!$S$6,Castes!$B$2:$F$25,4,0)=Charms!I3653))</f>
        <v>#N/A</v>
      </c>
      <c r="J3653" t="e">
        <f t="shared" ca="1" si="286"/>
        <v>#N/A</v>
      </c>
      <c r="K3653" s="18" t="e">
        <f t="shared" ca="1" si="285"/>
        <v>#N/A</v>
      </c>
      <c r="L3653" t="e">
        <f ca="1">IF(J3653,Charms!B3653,"")</f>
        <v>#N/A</v>
      </c>
      <c r="M3653" t="str">
        <f t="shared" ca="1" si="287"/>
        <v>-</v>
      </c>
      <c r="N3653" s="18" t="str">
        <f t="shared" si="288"/>
        <v>K1622:L5000</v>
      </c>
      <c r="O3653" t="str">
        <f t="shared" si="289"/>
        <v>A1622:A3653</v>
      </c>
    </row>
    <row r="3654" spans="1:15">
      <c r="A3654" s="18">
        <f>Charms!K3654</f>
        <v>0</v>
      </c>
      <c r="B3654">
        <f>Charms!B3654</f>
        <v>0</v>
      </c>
      <c r="C3654" t="b">
        <f ca="1">OR(Values!$S$98&gt;=Charms!M3654,IFERROR(Charms!J3654=OFFSET(Values!$A$24,MATCH("S",Values!$T$25:$T$50,0),0),FALSE))</f>
        <v>1</v>
      </c>
      <c r="D3654" t="e">
        <f>VLOOKUP(Charms!J3654,Values!$A$11:$S$59,19,0)&gt;=Charms!L3654</f>
        <v>#N/A</v>
      </c>
      <c r="E3654" t="e">
        <f>OR(ISBLANK(Charms!I3654),(VLOOKUP(Values!$S$6,Castes!$B$2:$F$25,4,0)=Charms!I3654))</f>
        <v>#N/A</v>
      </c>
      <c r="J3654" t="e">
        <f t="shared" ca="1" si="286"/>
        <v>#N/A</v>
      </c>
      <c r="K3654" s="18" t="e">
        <f t="shared" ca="1" si="285"/>
        <v>#N/A</v>
      </c>
      <c r="L3654" t="e">
        <f ca="1">IF(J3654,Charms!B3654,"")</f>
        <v>#N/A</v>
      </c>
      <c r="M3654" t="str">
        <f t="shared" ca="1" si="287"/>
        <v>-</v>
      </c>
      <c r="N3654" s="18" t="str">
        <f t="shared" si="288"/>
        <v>K1622:L5000</v>
      </c>
      <c r="O3654" t="str">
        <f t="shared" si="289"/>
        <v>A1622:A3654</v>
      </c>
    </row>
    <row r="3655" spans="1:15">
      <c r="A3655" s="18">
        <f>Charms!K3655</f>
        <v>0</v>
      </c>
      <c r="B3655">
        <f>Charms!B3655</f>
        <v>0</v>
      </c>
      <c r="C3655" t="b">
        <f ca="1">OR(Values!$S$98&gt;=Charms!M3655,IFERROR(Charms!J3655=OFFSET(Values!$A$24,MATCH("S",Values!$T$25:$T$50,0),0),FALSE))</f>
        <v>1</v>
      </c>
      <c r="D3655" t="e">
        <f>VLOOKUP(Charms!J3655,Values!$A$11:$S$59,19,0)&gt;=Charms!L3655</f>
        <v>#N/A</v>
      </c>
      <c r="E3655" t="e">
        <f>OR(ISBLANK(Charms!I3655),(VLOOKUP(Values!$S$6,Castes!$B$2:$F$25,4,0)=Charms!I3655))</f>
        <v>#N/A</v>
      </c>
      <c r="J3655" t="e">
        <f t="shared" ca="1" si="286"/>
        <v>#N/A</v>
      </c>
      <c r="K3655" s="18" t="e">
        <f t="shared" ca="1" si="285"/>
        <v>#N/A</v>
      </c>
      <c r="L3655" t="e">
        <f ca="1">IF(J3655,Charms!B3655,"")</f>
        <v>#N/A</v>
      </c>
      <c r="M3655" t="str">
        <f t="shared" ca="1" si="287"/>
        <v>-</v>
      </c>
      <c r="N3655" s="18" t="str">
        <f t="shared" si="288"/>
        <v>K1622:L5000</v>
      </c>
      <c r="O3655" t="str">
        <f t="shared" si="289"/>
        <v>A1622:A3655</v>
      </c>
    </row>
    <row r="3656" spans="1:15">
      <c r="A3656" s="18">
        <f>Charms!K3656</f>
        <v>0</v>
      </c>
      <c r="B3656">
        <f>Charms!B3656</f>
        <v>0</v>
      </c>
      <c r="C3656" t="b">
        <f ca="1">OR(Values!$S$98&gt;=Charms!M3656,IFERROR(Charms!J3656=OFFSET(Values!$A$24,MATCH("S",Values!$T$25:$T$50,0),0),FALSE))</f>
        <v>1</v>
      </c>
      <c r="D3656" t="e">
        <f>VLOOKUP(Charms!J3656,Values!$A$11:$S$59,19,0)&gt;=Charms!L3656</f>
        <v>#N/A</v>
      </c>
      <c r="E3656" t="e">
        <f>OR(ISBLANK(Charms!I3656),(VLOOKUP(Values!$S$6,Castes!$B$2:$F$25,4,0)=Charms!I3656))</f>
        <v>#N/A</v>
      </c>
      <c r="J3656" t="e">
        <f t="shared" ca="1" si="286"/>
        <v>#N/A</v>
      </c>
      <c r="K3656" s="18" t="e">
        <f t="shared" ca="1" si="285"/>
        <v>#N/A</v>
      </c>
      <c r="L3656" t="e">
        <f ca="1">IF(J3656,Charms!B3656,"")</f>
        <v>#N/A</v>
      </c>
      <c r="M3656" t="str">
        <f t="shared" ca="1" si="287"/>
        <v>-</v>
      </c>
      <c r="N3656" s="18" t="str">
        <f t="shared" si="288"/>
        <v>K1622:L5000</v>
      </c>
      <c r="O3656" t="str">
        <f t="shared" si="289"/>
        <v>A1622:A3656</v>
      </c>
    </row>
    <row r="3657" spans="1:15">
      <c r="A3657" s="18">
        <f>Charms!K3657</f>
        <v>0</v>
      </c>
      <c r="B3657">
        <f>Charms!B3657</f>
        <v>0</v>
      </c>
      <c r="C3657" t="b">
        <f ca="1">OR(Values!$S$98&gt;=Charms!M3657,IFERROR(Charms!J3657=OFFSET(Values!$A$24,MATCH("S",Values!$T$25:$T$50,0),0),FALSE))</f>
        <v>1</v>
      </c>
      <c r="D3657" t="e">
        <f>VLOOKUP(Charms!J3657,Values!$A$11:$S$59,19,0)&gt;=Charms!L3657</f>
        <v>#N/A</v>
      </c>
      <c r="E3657" t="e">
        <f>OR(ISBLANK(Charms!I3657),(VLOOKUP(Values!$S$6,Castes!$B$2:$F$25,4,0)=Charms!I3657))</f>
        <v>#N/A</v>
      </c>
      <c r="J3657" t="e">
        <f t="shared" ca="1" si="286"/>
        <v>#N/A</v>
      </c>
      <c r="K3657" s="18" t="e">
        <f t="shared" ca="1" si="285"/>
        <v>#N/A</v>
      </c>
      <c r="L3657" t="e">
        <f ca="1">IF(J3657,Charms!B3657,"")</f>
        <v>#N/A</v>
      </c>
      <c r="M3657" t="str">
        <f t="shared" ca="1" si="287"/>
        <v>-</v>
      </c>
      <c r="N3657" s="18" t="str">
        <f t="shared" si="288"/>
        <v>K1622:L5000</v>
      </c>
      <c r="O3657" t="str">
        <f t="shared" si="289"/>
        <v>A1622:A3657</v>
      </c>
    </row>
    <row r="3658" spans="1:15">
      <c r="A3658" s="18">
        <f>Charms!K3658</f>
        <v>0</v>
      </c>
      <c r="B3658">
        <f>Charms!B3658</f>
        <v>0</v>
      </c>
      <c r="C3658" t="b">
        <f ca="1">OR(Values!$S$98&gt;=Charms!M3658,IFERROR(Charms!J3658=OFFSET(Values!$A$24,MATCH("S",Values!$T$25:$T$50,0),0),FALSE))</f>
        <v>1</v>
      </c>
      <c r="D3658" t="e">
        <f>VLOOKUP(Charms!J3658,Values!$A$11:$S$59,19,0)&gt;=Charms!L3658</f>
        <v>#N/A</v>
      </c>
      <c r="E3658" t="e">
        <f>OR(ISBLANK(Charms!I3658),(VLOOKUP(Values!$S$6,Castes!$B$2:$F$25,4,0)=Charms!I3658))</f>
        <v>#N/A</v>
      </c>
      <c r="J3658" t="e">
        <f t="shared" ca="1" si="286"/>
        <v>#N/A</v>
      </c>
      <c r="K3658" s="18" t="e">
        <f t="shared" ca="1" si="285"/>
        <v>#N/A</v>
      </c>
      <c r="L3658" t="e">
        <f ca="1">IF(J3658,Charms!B3658,"")</f>
        <v>#N/A</v>
      </c>
      <c r="M3658" t="str">
        <f t="shared" ca="1" si="287"/>
        <v>-</v>
      </c>
      <c r="N3658" s="18" t="str">
        <f t="shared" si="288"/>
        <v>K1622:L5000</v>
      </c>
      <c r="O3658" t="str">
        <f t="shared" si="289"/>
        <v>A1622:A3658</v>
      </c>
    </row>
    <row r="3659" spans="1:15">
      <c r="A3659" s="18">
        <f>Charms!K3659</f>
        <v>0</v>
      </c>
      <c r="B3659">
        <f>Charms!B3659</f>
        <v>0</v>
      </c>
      <c r="C3659" t="b">
        <f ca="1">OR(Values!$S$98&gt;=Charms!M3659,IFERROR(Charms!J3659=OFFSET(Values!$A$24,MATCH("S",Values!$T$25:$T$50,0),0),FALSE))</f>
        <v>1</v>
      </c>
      <c r="D3659" t="e">
        <f>VLOOKUP(Charms!J3659,Values!$A$11:$S$59,19,0)&gt;=Charms!L3659</f>
        <v>#N/A</v>
      </c>
      <c r="E3659" t="e">
        <f>OR(ISBLANK(Charms!I3659),(VLOOKUP(Values!$S$6,Castes!$B$2:$F$25,4,0)=Charms!I3659))</f>
        <v>#N/A</v>
      </c>
      <c r="J3659" t="e">
        <f t="shared" ca="1" si="286"/>
        <v>#N/A</v>
      </c>
      <c r="K3659" s="18" t="e">
        <f t="shared" ca="1" si="285"/>
        <v>#N/A</v>
      </c>
      <c r="L3659" t="e">
        <f ca="1">IF(J3659,Charms!B3659,"")</f>
        <v>#N/A</v>
      </c>
      <c r="M3659" t="str">
        <f t="shared" ca="1" si="287"/>
        <v>-</v>
      </c>
      <c r="N3659" s="18" t="str">
        <f t="shared" si="288"/>
        <v>K1622:L5000</v>
      </c>
      <c r="O3659" t="str">
        <f t="shared" si="289"/>
        <v>A1622:A3659</v>
      </c>
    </row>
    <row r="3660" spans="1:15">
      <c r="A3660" s="18">
        <f>Charms!K3660</f>
        <v>0</v>
      </c>
      <c r="B3660">
        <f>Charms!B3660</f>
        <v>0</v>
      </c>
      <c r="C3660" t="b">
        <f ca="1">OR(Values!$S$98&gt;=Charms!M3660,IFERROR(Charms!J3660=OFFSET(Values!$A$24,MATCH("S",Values!$T$25:$T$50,0),0),FALSE))</f>
        <v>1</v>
      </c>
      <c r="D3660" t="e">
        <f>VLOOKUP(Charms!J3660,Values!$A$11:$S$59,19,0)&gt;=Charms!L3660</f>
        <v>#N/A</v>
      </c>
      <c r="E3660" t="e">
        <f>OR(ISBLANK(Charms!I3660),(VLOOKUP(Values!$S$6,Castes!$B$2:$F$25,4,0)=Charms!I3660))</f>
        <v>#N/A</v>
      </c>
      <c r="J3660" t="e">
        <f t="shared" ca="1" si="286"/>
        <v>#N/A</v>
      </c>
      <c r="K3660" s="18" t="e">
        <f t="shared" ca="1" si="285"/>
        <v>#N/A</v>
      </c>
      <c r="L3660" t="e">
        <f ca="1">IF(J3660,Charms!B3660,"")</f>
        <v>#N/A</v>
      </c>
      <c r="M3660" t="str">
        <f t="shared" ca="1" si="287"/>
        <v>-</v>
      </c>
      <c r="N3660" s="18" t="str">
        <f t="shared" si="288"/>
        <v>K1622:L5000</v>
      </c>
      <c r="O3660" t="str">
        <f t="shared" si="289"/>
        <v>A1622:A3660</v>
      </c>
    </row>
    <row r="3661" spans="1:15">
      <c r="A3661" s="18">
        <f>Charms!K3661</f>
        <v>0</v>
      </c>
      <c r="B3661">
        <f>Charms!B3661</f>
        <v>0</v>
      </c>
      <c r="C3661" t="b">
        <f ca="1">OR(Values!$S$98&gt;=Charms!M3661,IFERROR(Charms!J3661=OFFSET(Values!$A$24,MATCH("S",Values!$T$25:$T$50,0),0),FALSE))</f>
        <v>1</v>
      </c>
      <c r="D3661" t="e">
        <f>VLOOKUP(Charms!J3661,Values!$A$11:$S$59,19,0)&gt;=Charms!L3661</f>
        <v>#N/A</v>
      </c>
      <c r="E3661" t="e">
        <f>OR(ISBLANK(Charms!I3661),(VLOOKUP(Values!$S$6,Castes!$B$2:$F$25,4,0)=Charms!I3661))</f>
        <v>#N/A</v>
      </c>
      <c r="J3661" t="e">
        <f t="shared" ca="1" si="286"/>
        <v>#N/A</v>
      </c>
      <c r="K3661" s="18" t="e">
        <f t="shared" ca="1" si="285"/>
        <v>#N/A</v>
      </c>
      <c r="L3661" t="e">
        <f ca="1">IF(J3661,Charms!B3661,"")</f>
        <v>#N/A</v>
      </c>
      <c r="M3661" t="str">
        <f t="shared" ca="1" si="287"/>
        <v>-</v>
      </c>
      <c r="N3661" s="18" t="str">
        <f t="shared" si="288"/>
        <v>K1622:L5000</v>
      </c>
      <c r="O3661" t="str">
        <f t="shared" si="289"/>
        <v>A1622:A3661</v>
      </c>
    </row>
    <row r="3662" spans="1:15">
      <c r="A3662" s="18">
        <f>Charms!K3662</f>
        <v>0</v>
      </c>
      <c r="B3662">
        <f>Charms!B3662</f>
        <v>0</v>
      </c>
      <c r="C3662" t="b">
        <f ca="1">OR(Values!$S$98&gt;=Charms!M3662,IFERROR(Charms!J3662=OFFSET(Values!$A$24,MATCH("S",Values!$T$25:$T$50,0),0),FALSE))</f>
        <v>1</v>
      </c>
      <c r="D3662" t="e">
        <f>VLOOKUP(Charms!J3662,Values!$A$11:$S$59,19,0)&gt;=Charms!L3662</f>
        <v>#N/A</v>
      </c>
      <c r="E3662" t="e">
        <f>OR(ISBLANK(Charms!I3662),(VLOOKUP(Values!$S$6,Castes!$B$2:$F$25,4,0)=Charms!I3662))</f>
        <v>#N/A</v>
      </c>
      <c r="J3662" t="e">
        <f t="shared" ca="1" si="286"/>
        <v>#N/A</v>
      </c>
      <c r="K3662" s="18" t="e">
        <f t="shared" ca="1" si="285"/>
        <v>#N/A</v>
      </c>
      <c r="L3662" t="e">
        <f ca="1">IF(J3662,Charms!B3662,"")</f>
        <v>#N/A</v>
      </c>
      <c r="M3662" t="str">
        <f t="shared" ca="1" si="287"/>
        <v>-</v>
      </c>
      <c r="N3662" s="18" t="str">
        <f t="shared" si="288"/>
        <v>K1622:L5000</v>
      </c>
      <c r="O3662" t="str">
        <f t="shared" si="289"/>
        <v>A1622:A3662</v>
      </c>
    </row>
    <row r="3663" spans="1:15">
      <c r="A3663" s="18">
        <f>Charms!K3663</f>
        <v>0</v>
      </c>
      <c r="B3663">
        <f>Charms!B3663</f>
        <v>0</v>
      </c>
      <c r="C3663" t="b">
        <f ca="1">OR(Values!$S$98&gt;=Charms!M3663,IFERROR(Charms!J3663=OFFSET(Values!$A$24,MATCH("S",Values!$T$25:$T$50,0),0),FALSE))</f>
        <v>1</v>
      </c>
      <c r="D3663" t="e">
        <f>VLOOKUP(Charms!J3663,Values!$A$11:$S$59,19,0)&gt;=Charms!L3663</f>
        <v>#N/A</v>
      </c>
      <c r="E3663" t="e">
        <f>OR(ISBLANK(Charms!I3663),(VLOOKUP(Values!$S$6,Castes!$B$2:$F$25,4,0)=Charms!I3663))</f>
        <v>#N/A</v>
      </c>
      <c r="J3663" t="e">
        <f t="shared" ca="1" si="286"/>
        <v>#N/A</v>
      </c>
      <c r="K3663" s="18" t="e">
        <f t="shared" ca="1" si="285"/>
        <v>#N/A</v>
      </c>
      <c r="L3663" t="e">
        <f ca="1">IF(J3663,Charms!B3663,"")</f>
        <v>#N/A</v>
      </c>
      <c r="M3663" t="str">
        <f t="shared" ca="1" si="287"/>
        <v>-</v>
      </c>
      <c r="N3663" s="18" t="str">
        <f t="shared" si="288"/>
        <v>K1622:L5000</v>
      </c>
      <c r="O3663" t="str">
        <f t="shared" si="289"/>
        <v>A1622:A3663</v>
      </c>
    </row>
    <row r="3664" spans="1:15">
      <c r="A3664" s="18">
        <f>Charms!K3664</f>
        <v>0</v>
      </c>
      <c r="B3664">
        <f>Charms!B3664</f>
        <v>0</v>
      </c>
      <c r="C3664" t="b">
        <f ca="1">OR(Values!$S$98&gt;=Charms!M3664,IFERROR(Charms!J3664=OFFSET(Values!$A$24,MATCH("S",Values!$T$25:$T$50,0),0),FALSE))</f>
        <v>1</v>
      </c>
      <c r="D3664" t="e">
        <f>VLOOKUP(Charms!J3664,Values!$A$11:$S$59,19,0)&gt;=Charms!L3664</f>
        <v>#N/A</v>
      </c>
      <c r="E3664" t="e">
        <f>OR(ISBLANK(Charms!I3664),(VLOOKUP(Values!$S$6,Castes!$B$2:$F$25,4,0)=Charms!I3664))</f>
        <v>#N/A</v>
      </c>
      <c r="J3664" t="e">
        <f t="shared" ca="1" si="286"/>
        <v>#N/A</v>
      </c>
      <c r="K3664" s="18" t="e">
        <f t="shared" ca="1" si="285"/>
        <v>#N/A</v>
      </c>
      <c r="L3664" t="e">
        <f ca="1">IF(J3664,Charms!B3664,"")</f>
        <v>#N/A</v>
      </c>
      <c r="M3664" t="str">
        <f t="shared" ca="1" si="287"/>
        <v>-</v>
      </c>
      <c r="N3664" s="18" t="str">
        <f t="shared" si="288"/>
        <v>K1622:L5000</v>
      </c>
      <c r="O3664" t="str">
        <f t="shared" si="289"/>
        <v>A1622:A3664</v>
      </c>
    </row>
    <row r="3665" spans="1:15">
      <c r="A3665" s="18">
        <f>Charms!K3665</f>
        <v>0</v>
      </c>
      <c r="B3665">
        <f>Charms!B3665</f>
        <v>0</v>
      </c>
      <c r="C3665" t="b">
        <f ca="1">OR(Values!$S$98&gt;=Charms!M3665,IFERROR(Charms!J3665=OFFSET(Values!$A$24,MATCH("S",Values!$T$25:$T$50,0),0),FALSE))</f>
        <v>1</v>
      </c>
      <c r="D3665" t="e">
        <f>VLOOKUP(Charms!J3665,Values!$A$11:$S$59,19,0)&gt;=Charms!L3665</f>
        <v>#N/A</v>
      </c>
      <c r="E3665" t="e">
        <f>OR(ISBLANK(Charms!I3665),(VLOOKUP(Values!$S$6,Castes!$B$2:$F$25,4,0)=Charms!I3665))</f>
        <v>#N/A</v>
      </c>
      <c r="J3665" t="e">
        <f t="shared" ca="1" si="286"/>
        <v>#N/A</v>
      </c>
      <c r="K3665" s="18" t="e">
        <f t="shared" ca="1" si="285"/>
        <v>#N/A</v>
      </c>
      <c r="L3665" t="e">
        <f ca="1">IF(J3665,Charms!B3665,"")</f>
        <v>#N/A</v>
      </c>
      <c r="M3665" t="str">
        <f t="shared" ca="1" si="287"/>
        <v>-</v>
      </c>
      <c r="N3665" s="18" t="str">
        <f t="shared" si="288"/>
        <v>K1622:L5000</v>
      </c>
      <c r="O3665" t="str">
        <f t="shared" si="289"/>
        <v>A1622:A3665</v>
      </c>
    </row>
    <row r="3666" spans="1:15">
      <c r="A3666" s="18">
        <f>Charms!K3666</f>
        <v>0</v>
      </c>
      <c r="B3666">
        <f>Charms!B3666</f>
        <v>0</v>
      </c>
      <c r="C3666" t="b">
        <f ca="1">OR(Values!$S$98&gt;=Charms!M3666,IFERROR(Charms!J3666=OFFSET(Values!$A$24,MATCH("S",Values!$T$25:$T$50,0),0),FALSE))</f>
        <v>1</v>
      </c>
      <c r="D3666" t="e">
        <f>VLOOKUP(Charms!J3666,Values!$A$11:$S$59,19,0)&gt;=Charms!L3666</f>
        <v>#N/A</v>
      </c>
      <c r="E3666" t="e">
        <f>OR(ISBLANK(Charms!I3666),(VLOOKUP(Values!$S$6,Castes!$B$2:$F$25,4,0)=Charms!I3666))</f>
        <v>#N/A</v>
      </c>
      <c r="J3666" t="e">
        <f t="shared" ca="1" si="286"/>
        <v>#N/A</v>
      </c>
      <c r="K3666" s="18" t="e">
        <f t="shared" ca="1" si="285"/>
        <v>#N/A</v>
      </c>
      <c r="L3666" t="e">
        <f ca="1">IF(J3666,Charms!B3666,"")</f>
        <v>#N/A</v>
      </c>
      <c r="M3666" t="str">
        <f t="shared" ca="1" si="287"/>
        <v>-</v>
      </c>
      <c r="N3666" s="18" t="str">
        <f t="shared" si="288"/>
        <v>K1622:L5000</v>
      </c>
      <c r="O3666" t="str">
        <f t="shared" si="289"/>
        <v>A1622:A3666</v>
      </c>
    </row>
    <row r="3667" spans="1:15">
      <c r="A3667" s="18">
        <f>Charms!K3667</f>
        <v>0</v>
      </c>
      <c r="B3667">
        <f>Charms!B3667</f>
        <v>0</v>
      </c>
      <c r="C3667" t="b">
        <f ca="1">OR(Values!$S$98&gt;=Charms!M3667,IFERROR(Charms!J3667=OFFSET(Values!$A$24,MATCH("S",Values!$T$25:$T$50,0),0),FALSE))</f>
        <v>1</v>
      </c>
      <c r="D3667" t="e">
        <f>VLOOKUP(Charms!J3667,Values!$A$11:$S$59,19,0)&gt;=Charms!L3667</f>
        <v>#N/A</v>
      </c>
      <c r="E3667" t="e">
        <f>OR(ISBLANK(Charms!I3667),(VLOOKUP(Values!$S$6,Castes!$B$2:$F$25,4,0)=Charms!I3667))</f>
        <v>#N/A</v>
      </c>
      <c r="J3667" t="e">
        <f t="shared" ca="1" si="286"/>
        <v>#N/A</v>
      </c>
      <c r="K3667" s="18" t="e">
        <f t="shared" ca="1" si="285"/>
        <v>#N/A</v>
      </c>
      <c r="L3667" t="e">
        <f ca="1">IF(J3667,Charms!B3667,"")</f>
        <v>#N/A</v>
      </c>
      <c r="M3667" t="str">
        <f t="shared" ca="1" si="287"/>
        <v>-</v>
      </c>
      <c r="N3667" s="18" t="str">
        <f t="shared" si="288"/>
        <v>K1622:L5000</v>
      </c>
      <c r="O3667" t="str">
        <f t="shared" si="289"/>
        <v>A1622:A3667</v>
      </c>
    </row>
    <row r="3668" spans="1:15">
      <c r="A3668" s="18">
        <f>Charms!K3668</f>
        <v>0</v>
      </c>
      <c r="B3668">
        <f>Charms!B3668</f>
        <v>0</v>
      </c>
      <c r="C3668" t="b">
        <f ca="1">OR(Values!$S$98&gt;=Charms!M3668,IFERROR(Charms!J3668=OFFSET(Values!$A$24,MATCH("S",Values!$T$25:$T$50,0),0),FALSE))</f>
        <v>1</v>
      </c>
      <c r="D3668" t="e">
        <f>VLOOKUP(Charms!J3668,Values!$A$11:$S$59,19,0)&gt;=Charms!L3668</f>
        <v>#N/A</v>
      </c>
      <c r="E3668" t="e">
        <f>OR(ISBLANK(Charms!I3668),(VLOOKUP(Values!$S$6,Castes!$B$2:$F$25,4,0)=Charms!I3668))</f>
        <v>#N/A</v>
      </c>
      <c r="J3668" t="e">
        <f t="shared" ca="1" si="286"/>
        <v>#N/A</v>
      </c>
      <c r="K3668" s="18" t="e">
        <f t="shared" ca="1" si="285"/>
        <v>#N/A</v>
      </c>
      <c r="L3668" t="e">
        <f ca="1">IF(J3668,Charms!B3668,"")</f>
        <v>#N/A</v>
      </c>
      <c r="M3668" t="str">
        <f t="shared" ca="1" si="287"/>
        <v>-</v>
      </c>
      <c r="N3668" s="18" t="str">
        <f t="shared" si="288"/>
        <v>K1622:L5000</v>
      </c>
      <c r="O3668" t="str">
        <f t="shared" si="289"/>
        <v>A1622:A3668</v>
      </c>
    </row>
    <row r="3669" spans="1:15">
      <c r="A3669" s="18">
        <f>Charms!K3669</f>
        <v>0</v>
      </c>
      <c r="B3669">
        <f>Charms!B3669</f>
        <v>0</v>
      </c>
      <c r="C3669" t="b">
        <f ca="1">OR(Values!$S$98&gt;=Charms!M3669,IFERROR(Charms!J3669=OFFSET(Values!$A$24,MATCH("S",Values!$T$25:$T$50,0),0),FALSE))</f>
        <v>1</v>
      </c>
      <c r="D3669" t="e">
        <f>VLOOKUP(Charms!J3669,Values!$A$11:$S$59,19,0)&gt;=Charms!L3669</f>
        <v>#N/A</v>
      </c>
      <c r="E3669" t="e">
        <f>OR(ISBLANK(Charms!I3669),(VLOOKUP(Values!$S$6,Castes!$B$2:$F$25,4,0)=Charms!I3669))</f>
        <v>#N/A</v>
      </c>
      <c r="J3669" t="e">
        <f t="shared" ca="1" si="286"/>
        <v>#N/A</v>
      </c>
      <c r="K3669" s="18" t="e">
        <f t="shared" ca="1" si="285"/>
        <v>#N/A</v>
      </c>
      <c r="L3669" t="e">
        <f ca="1">IF(J3669,Charms!B3669,"")</f>
        <v>#N/A</v>
      </c>
      <c r="M3669" t="str">
        <f t="shared" ca="1" si="287"/>
        <v>-</v>
      </c>
      <c r="N3669" s="18" t="str">
        <f t="shared" si="288"/>
        <v>K1622:L5000</v>
      </c>
      <c r="O3669" t="str">
        <f t="shared" si="289"/>
        <v>A1622:A3669</v>
      </c>
    </row>
    <row r="3670" spans="1:15">
      <c r="A3670" s="18">
        <f>Charms!K3670</f>
        <v>0</v>
      </c>
      <c r="B3670">
        <f>Charms!B3670</f>
        <v>0</v>
      </c>
      <c r="C3670" t="b">
        <f ca="1">OR(Values!$S$98&gt;=Charms!M3670,IFERROR(Charms!J3670=OFFSET(Values!$A$24,MATCH("S",Values!$T$25:$T$50,0),0),FALSE))</f>
        <v>1</v>
      </c>
      <c r="D3670" t="e">
        <f>VLOOKUP(Charms!J3670,Values!$A$11:$S$59,19,0)&gt;=Charms!L3670</f>
        <v>#N/A</v>
      </c>
      <c r="E3670" t="e">
        <f>OR(ISBLANK(Charms!I3670),(VLOOKUP(Values!$S$6,Castes!$B$2:$F$25,4,0)=Charms!I3670))</f>
        <v>#N/A</v>
      </c>
      <c r="J3670" t="e">
        <f t="shared" ca="1" si="286"/>
        <v>#N/A</v>
      </c>
      <c r="K3670" s="18" t="e">
        <f t="shared" ca="1" si="285"/>
        <v>#N/A</v>
      </c>
      <c r="L3670" t="e">
        <f ca="1">IF(J3670,Charms!B3670,"")</f>
        <v>#N/A</v>
      </c>
      <c r="M3670" t="str">
        <f t="shared" ca="1" si="287"/>
        <v>-</v>
      </c>
      <c r="N3670" s="18" t="str">
        <f t="shared" si="288"/>
        <v>K1622:L5000</v>
      </c>
      <c r="O3670" t="str">
        <f t="shared" si="289"/>
        <v>A1622:A3670</v>
      </c>
    </row>
    <row r="3671" spans="1:15">
      <c r="A3671" s="18">
        <f>Charms!K3671</f>
        <v>0</v>
      </c>
      <c r="B3671">
        <f>Charms!B3671</f>
        <v>0</v>
      </c>
      <c r="C3671" t="b">
        <f ca="1">OR(Values!$S$98&gt;=Charms!M3671,IFERROR(Charms!J3671=OFFSET(Values!$A$24,MATCH("S",Values!$T$25:$T$50,0),0),FALSE))</f>
        <v>1</v>
      </c>
      <c r="D3671" t="e">
        <f>VLOOKUP(Charms!J3671,Values!$A$11:$S$59,19,0)&gt;=Charms!L3671</f>
        <v>#N/A</v>
      </c>
      <c r="E3671" t="e">
        <f>OR(ISBLANK(Charms!I3671),(VLOOKUP(Values!$S$6,Castes!$B$2:$F$25,4,0)=Charms!I3671))</f>
        <v>#N/A</v>
      </c>
      <c r="J3671" t="e">
        <f t="shared" ca="1" si="286"/>
        <v>#N/A</v>
      </c>
      <c r="K3671" s="18" t="e">
        <f t="shared" ca="1" si="285"/>
        <v>#N/A</v>
      </c>
      <c r="L3671" t="e">
        <f ca="1">IF(J3671,Charms!B3671,"")</f>
        <v>#N/A</v>
      </c>
      <c r="M3671" t="str">
        <f t="shared" ca="1" si="287"/>
        <v>-</v>
      </c>
      <c r="N3671" s="18" t="str">
        <f t="shared" si="288"/>
        <v>K1622:L5000</v>
      </c>
      <c r="O3671" t="str">
        <f t="shared" si="289"/>
        <v>A1622:A3671</v>
      </c>
    </row>
    <row r="3672" spans="1:15">
      <c r="A3672" s="18">
        <f>Charms!K3672</f>
        <v>0</v>
      </c>
      <c r="B3672">
        <f>Charms!B3672</f>
        <v>0</v>
      </c>
      <c r="C3672" t="b">
        <f ca="1">OR(Values!$S$98&gt;=Charms!M3672,IFERROR(Charms!J3672=OFFSET(Values!$A$24,MATCH("S",Values!$T$25:$T$50,0),0),FALSE))</f>
        <v>1</v>
      </c>
      <c r="D3672" t="e">
        <f>VLOOKUP(Charms!J3672,Values!$A$11:$S$59,19,0)&gt;=Charms!L3672</f>
        <v>#N/A</v>
      </c>
      <c r="E3672" t="e">
        <f>OR(ISBLANK(Charms!I3672),(VLOOKUP(Values!$S$6,Castes!$B$2:$F$25,4,0)=Charms!I3672))</f>
        <v>#N/A</v>
      </c>
      <c r="J3672" t="e">
        <f t="shared" ca="1" si="286"/>
        <v>#N/A</v>
      </c>
      <c r="K3672" s="18" t="e">
        <f t="shared" ca="1" si="285"/>
        <v>#N/A</v>
      </c>
      <c r="L3672" t="e">
        <f ca="1">IF(J3672,Charms!B3672,"")</f>
        <v>#N/A</v>
      </c>
      <c r="M3672" t="str">
        <f t="shared" ca="1" si="287"/>
        <v>-</v>
      </c>
      <c r="N3672" s="18" t="str">
        <f t="shared" si="288"/>
        <v>K1622:L5000</v>
      </c>
      <c r="O3672" t="str">
        <f t="shared" si="289"/>
        <v>A1622:A3672</v>
      </c>
    </row>
    <row r="3673" spans="1:15">
      <c r="A3673" s="18">
        <f>Charms!K3673</f>
        <v>0</v>
      </c>
      <c r="B3673">
        <f>Charms!B3673</f>
        <v>0</v>
      </c>
      <c r="C3673" t="b">
        <f ca="1">OR(Values!$S$98&gt;=Charms!M3673,IFERROR(Charms!J3673=OFFSET(Values!$A$24,MATCH("S",Values!$T$25:$T$50,0),0),FALSE))</f>
        <v>1</v>
      </c>
      <c r="D3673" t="e">
        <f>VLOOKUP(Charms!J3673,Values!$A$11:$S$59,19,0)&gt;=Charms!L3673</f>
        <v>#N/A</v>
      </c>
      <c r="E3673" t="e">
        <f>OR(ISBLANK(Charms!I3673),(VLOOKUP(Values!$S$6,Castes!$B$2:$F$25,4,0)=Charms!I3673))</f>
        <v>#N/A</v>
      </c>
      <c r="J3673" t="e">
        <f t="shared" ca="1" si="286"/>
        <v>#N/A</v>
      </c>
      <c r="K3673" s="18" t="e">
        <f t="shared" ca="1" si="285"/>
        <v>#N/A</v>
      </c>
      <c r="L3673" t="e">
        <f ca="1">IF(J3673,Charms!B3673,"")</f>
        <v>#N/A</v>
      </c>
      <c r="M3673" t="str">
        <f t="shared" ca="1" si="287"/>
        <v>-</v>
      </c>
      <c r="N3673" s="18" t="str">
        <f t="shared" si="288"/>
        <v>K1622:L5000</v>
      </c>
      <c r="O3673" t="str">
        <f t="shared" si="289"/>
        <v>A1622:A3673</v>
      </c>
    </row>
    <row r="3674" spans="1:15">
      <c r="A3674" s="18">
        <f>Charms!K3674</f>
        <v>0</v>
      </c>
      <c r="B3674">
        <f>Charms!B3674</f>
        <v>0</v>
      </c>
      <c r="C3674" t="b">
        <f ca="1">OR(Values!$S$98&gt;=Charms!M3674,IFERROR(Charms!J3674=OFFSET(Values!$A$24,MATCH("S",Values!$T$25:$T$50,0),0),FALSE))</f>
        <v>1</v>
      </c>
      <c r="D3674" t="e">
        <f>VLOOKUP(Charms!J3674,Values!$A$11:$S$59,19,0)&gt;=Charms!L3674</f>
        <v>#N/A</v>
      </c>
      <c r="E3674" t="e">
        <f>OR(ISBLANK(Charms!I3674),(VLOOKUP(Values!$S$6,Castes!$B$2:$F$25,4,0)=Charms!I3674))</f>
        <v>#N/A</v>
      </c>
      <c r="J3674" t="e">
        <f t="shared" ca="1" si="286"/>
        <v>#N/A</v>
      </c>
      <c r="K3674" s="18" t="e">
        <f t="shared" ca="1" si="285"/>
        <v>#N/A</v>
      </c>
      <c r="L3674" t="e">
        <f ca="1">IF(J3674,Charms!B3674,"")</f>
        <v>#N/A</v>
      </c>
      <c r="M3674" t="str">
        <f t="shared" ca="1" si="287"/>
        <v>-</v>
      </c>
      <c r="N3674" s="18" t="str">
        <f t="shared" si="288"/>
        <v>K1622:L5000</v>
      </c>
      <c r="O3674" t="str">
        <f t="shared" si="289"/>
        <v>A1622:A3674</v>
      </c>
    </row>
    <row r="3675" spans="1:15">
      <c r="A3675" s="18">
        <f>Charms!K3675</f>
        <v>0</v>
      </c>
      <c r="B3675">
        <f>Charms!B3675</f>
        <v>0</v>
      </c>
      <c r="C3675" t="b">
        <f ca="1">OR(Values!$S$98&gt;=Charms!M3675,IFERROR(Charms!J3675=OFFSET(Values!$A$24,MATCH("S",Values!$T$25:$T$50,0),0),FALSE))</f>
        <v>1</v>
      </c>
      <c r="D3675" t="e">
        <f>VLOOKUP(Charms!J3675,Values!$A$11:$S$59,19,0)&gt;=Charms!L3675</f>
        <v>#N/A</v>
      </c>
      <c r="E3675" t="e">
        <f>OR(ISBLANK(Charms!I3675),(VLOOKUP(Values!$S$6,Castes!$B$2:$F$25,4,0)=Charms!I3675))</f>
        <v>#N/A</v>
      </c>
      <c r="J3675" t="e">
        <f t="shared" ca="1" si="286"/>
        <v>#N/A</v>
      </c>
      <c r="K3675" s="18" t="e">
        <f t="shared" ca="1" si="285"/>
        <v>#N/A</v>
      </c>
      <c r="L3675" t="e">
        <f ca="1">IF(J3675,Charms!B3675,"")</f>
        <v>#N/A</v>
      </c>
      <c r="M3675" t="str">
        <f t="shared" ca="1" si="287"/>
        <v>-</v>
      </c>
      <c r="N3675" s="18" t="str">
        <f t="shared" si="288"/>
        <v>K1622:L5000</v>
      </c>
      <c r="O3675" t="str">
        <f t="shared" si="289"/>
        <v>A1622:A3675</v>
      </c>
    </row>
    <row r="3676" spans="1:15">
      <c r="A3676" s="18">
        <f>Charms!K3676</f>
        <v>0</v>
      </c>
      <c r="B3676">
        <f>Charms!B3676</f>
        <v>0</v>
      </c>
      <c r="C3676" t="b">
        <f ca="1">OR(Values!$S$98&gt;=Charms!M3676,IFERROR(Charms!J3676=OFFSET(Values!$A$24,MATCH("S",Values!$T$25:$T$50,0),0),FALSE))</f>
        <v>1</v>
      </c>
      <c r="D3676" t="e">
        <f>VLOOKUP(Charms!J3676,Values!$A$11:$S$59,19,0)&gt;=Charms!L3676</f>
        <v>#N/A</v>
      </c>
      <c r="E3676" t="e">
        <f>OR(ISBLANK(Charms!I3676),(VLOOKUP(Values!$S$6,Castes!$B$2:$F$25,4,0)=Charms!I3676))</f>
        <v>#N/A</v>
      </c>
      <c r="J3676" t="e">
        <f t="shared" ca="1" si="286"/>
        <v>#N/A</v>
      </c>
      <c r="K3676" s="18" t="e">
        <f t="shared" ca="1" si="285"/>
        <v>#N/A</v>
      </c>
      <c r="L3676" t="e">
        <f ca="1">IF(J3676,Charms!B3676,"")</f>
        <v>#N/A</v>
      </c>
      <c r="M3676" t="str">
        <f t="shared" ca="1" si="287"/>
        <v>-</v>
      </c>
      <c r="N3676" s="18" t="str">
        <f t="shared" si="288"/>
        <v>K1622:L5000</v>
      </c>
      <c r="O3676" t="str">
        <f t="shared" si="289"/>
        <v>A1622:A3676</v>
      </c>
    </row>
    <row r="3677" spans="1:15">
      <c r="A3677" s="18">
        <f>Charms!K3677</f>
        <v>0</v>
      </c>
      <c r="B3677">
        <f>Charms!B3677</f>
        <v>0</v>
      </c>
      <c r="C3677" t="b">
        <f ca="1">OR(Values!$S$98&gt;=Charms!M3677,IFERROR(Charms!J3677=OFFSET(Values!$A$24,MATCH("S",Values!$T$25:$T$50,0),0),FALSE))</f>
        <v>1</v>
      </c>
      <c r="D3677" t="e">
        <f>VLOOKUP(Charms!J3677,Values!$A$11:$S$59,19,0)&gt;=Charms!L3677</f>
        <v>#N/A</v>
      </c>
      <c r="E3677" t="e">
        <f>OR(ISBLANK(Charms!I3677),(VLOOKUP(Values!$S$6,Castes!$B$2:$F$25,4,0)=Charms!I3677))</f>
        <v>#N/A</v>
      </c>
      <c r="J3677" t="e">
        <f t="shared" ca="1" si="286"/>
        <v>#N/A</v>
      </c>
      <c r="K3677" s="18" t="e">
        <f t="shared" ca="1" si="285"/>
        <v>#N/A</v>
      </c>
      <c r="L3677" t="e">
        <f ca="1">IF(J3677,Charms!B3677,"")</f>
        <v>#N/A</v>
      </c>
      <c r="M3677" t="str">
        <f t="shared" ca="1" si="287"/>
        <v>-</v>
      </c>
      <c r="N3677" s="18" t="str">
        <f t="shared" si="288"/>
        <v>K1622:L5000</v>
      </c>
      <c r="O3677" t="str">
        <f t="shared" si="289"/>
        <v>A1622:A3677</v>
      </c>
    </row>
    <row r="3678" spans="1:15">
      <c r="A3678" s="18">
        <f>Charms!K3678</f>
        <v>0</v>
      </c>
      <c r="B3678">
        <f>Charms!B3678</f>
        <v>0</v>
      </c>
      <c r="C3678" t="b">
        <f ca="1">OR(Values!$S$98&gt;=Charms!M3678,IFERROR(Charms!J3678=OFFSET(Values!$A$24,MATCH("S",Values!$T$25:$T$50,0),0),FALSE))</f>
        <v>1</v>
      </c>
      <c r="D3678" t="e">
        <f>VLOOKUP(Charms!J3678,Values!$A$11:$S$59,19,0)&gt;=Charms!L3678</f>
        <v>#N/A</v>
      </c>
      <c r="E3678" t="e">
        <f>OR(ISBLANK(Charms!I3678),(VLOOKUP(Values!$S$6,Castes!$B$2:$F$25,4,0)=Charms!I3678))</f>
        <v>#N/A</v>
      </c>
      <c r="J3678" t="e">
        <f t="shared" ca="1" si="286"/>
        <v>#N/A</v>
      </c>
      <c r="K3678" s="18" t="e">
        <f t="shared" ca="1" si="285"/>
        <v>#N/A</v>
      </c>
      <c r="L3678" t="e">
        <f ca="1">IF(J3678,Charms!B3678,"")</f>
        <v>#N/A</v>
      </c>
      <c r="M3678" t="str">
        <f t="shared" ca="1" si="287"/>
        <v>-</v>
      </c>
      <c r="N3678" s="18" t="str">
        <f t="shared" si="288"/>
        <v>K1622:L5000</v>
      </c>
      <c r="O3678" t="str">
        <f t="shared" si="289"/>
        <v>A1622:A3678</v>
      </c>
    </row>
    <row r="3679" spans="1:15">
      <c r="A3679" s="18">
        <f>Charms!K3679</f>
        <v>0</v>
      </c>
      <c r="B3679">
        <f>Charms!B3679</f>
        <v>0</v>
      </c>
      <c r="C3679" t="b">
        <f ca="1">OR(Values!$S$98&gt;=Charms!M3679,IFERROR(Charms!J3679=OFFSET(Values!$A$24,MATCH("S",Values!$T$25:$T$50,0),0),FALSE))</f>
        <v>1</v>
      </c>
      <c r="D3679" t="e">
        <f>VLOOKUP(Charms!J3679,Values!$A$11:$S$59,19,0)&gt;=Charms!L3679</f>
        <v>#N/A</v>
      </c>
      <c r="E3679" t="e">
        <f>OR(ISBLANK(Charms!I3679),(VLOOKUP(Values!$S$6,Castes!$B$2:$F$25,4,0)=Charms!I3679))</f>
        <v>#N/A</v>
      </c>
      <c r="J3679" t="e">
        <f t="shared" ca="1" si="286"/>
        <v>#N/A</v>
      </c>
      <c r="K3679" s="18" t="e">
        <f t="shared" ca="1" si="285"/>
        <v>#N/A</v>
      </c>
      <c r="L3679" t="e">
        <f ca="1">IF(J3679,Charms!B3679,"")</f>
        <v>#N/A</v>
      </c>
      <c r="M3679" t="str">
        <f t="shared" ca="1" si="287"/>
        <v>-</v>
      </c>
      <c r="N3679" s="18" t="str">
        <f t="shared" si="288"/>
        <v>K1622:L5000</v>
      </c>
      <c r="O3679" t="str">
        <f t="shared" si="289"/>
        <v>A1622:A3679</v>
      </c>
    </row>
    <row r="3680" spans="1:15">
      <c r="A3680" s="18">
        <f>Charms!K3680</f>
        <v>0</v>
      </c>
      <c r="B3680">
        <f>Charms!B3680</f>
        <v>0</v>
      </c>
      <c r="C3680" t="b">
        <f ca="1">OR(Values!$S$98&gt;=Charms!M3680,IFERROR(Charms!J3680=OFFSET(Values!$A$24,MATCH("S",Values!$T$25:$T$50,0),0),FALSE))</f>
        <v>1</v>
      </c>
      <c r="D3680" t="e">
        <f>VLOOKUP(Charms!J3680,Values!$A$11:$S$59,19,0)&gt;=Charms!L3680</f>
        <v>#N/A</v>
      </c>
      <c r="E3680" t="e">
        <f>OR(ISBLANK(Charms!I3680),(VLOOKUP(Values!$S$6,Castes!$B$2:$F$25,4,0)=Charms!I3680))</f>
        <v>#N/A</v>
      </c>
      <c r="J3680" t="e">
        <f t="shared" ca="1" si="286"/>
        <v>#N/A</v>
      </c>
      <c r="K3680" s="18" t="e">
        <f t="shared" ca="1" si="285"/>
        <v>#N/A</v>
      </c>
      <c r="L3680" t="e">
        <f ca="1">IF(J3680,Charms!B3680,"")</f>
        <v>#N/A</v>
      </c>
      <c r="M3680" t="str">
        <f t="shared" ca="1" si="287"/>
        <v>-</v>
      </c>
      <c r="N3680" s="18" t="str">
        <f t="shared" si="288"/>
        <v>K1622:L5000</v>
      </c>
      <c r="O3680" t="str">
        <f t="shared" si="289"/>
        <v>A1622:A3680</v>
      </c>
    </row>
    <row r="3681" spans="1:15">
      <c r="A3681" s="18">
        <f>Charms!K3681</f>
        <v>0</v>
      </c>
      <c r="B3681">
        <f>Charms!B3681</f>
        <v>0</v>
      </c>
      <c r="C3681" t="b">
        <f ca="1">OR(Values!$S$98&gt;=Charms!M3681,IFERROR(Charms!J3681=OFFSET(Values!$A$24,MATCH("S",Values!$T$25:$T$50,0),0),FALSE))</f>
        <v>1</v>
      </c>
      <c r="D3681" t="e">
        <f>VLOOKUP(Charms!J3681,Values!$A$11:$S$59,19,0)&gt;=Charms!L3681</f>
        <v>#N/A</v>
      </c>
      <c r="E3681" t="e">
        <f>OR(ISBLANK(Charms!I3681),(VLOOKUP(Values!$S$6,Castes!$B$2:$F$25,4,0)=Charms!I3681))</f>
        <v>#N/A</v>
      </c>
      <c r="J3681" t="e">
        <f t="shared" ca="1" si="286"/>
        <v>#N/A</v>
      </c>
      <c r="K3681" s="18" t="e">
        <f t="shared" ca="1" si="285"/>
        <v>#N/A</v>
      </c>
      <c r="L3681" t="e">
        <f ca="1">IF(J3681,Charms!B3681,"")</f>
        <v>#N/A</v>
      </c>
      <c r="M3681" t="str">
        <f t="shared" ca="1" si="287"/>
        <v>-</v>
      </c>
      <c r="N3681" s="18" t="str">
        <f t="shared" si="288"/>
        <v>K1622:L5000</v>
      </c>
      <c r="O3681" t="str">
        <f t="shared" si="289"/>
        <v>A1622:A3681</v>
      </c>
    </row>
    <row r="3682" spans="1:15">
      <c r="A3682" s="18">
        <f>Charms!K3682</f>
        <v>0</v>
      </c>
      <c r="B3682">
        <f>Charms!B3682</f>
        <v>0</v>
      </c>
      <c r="C3682" t="b">
        <f ca="1">OR(Values!$S$98&gt;=Charms!M3682,IFERROR(Charms!J3682=OFFSET(Values!$A$24,MATCH("S",Values!$T$25:$T$50,0),0),FALSE))</f>
        <v>1</v>
      </c>
      <c r="D3682" t="e">
        <f>VLOOKUP(Charms!J3682,Values!$A$11:$S$59,19,0)&gt;=Charms!L3682</f>
        <v>#N/A</v>
      </c>
      <c r="E3682" t="e">
        <f>OR(ISBLANK(Charms!I3682),(VLOOKUP(Values!$S$6,Castes!$B$2:$F$25,4,0)=Charms!I3682))</f>
        <v>#N/A</v>
      </c>
      <c r="J3682" t="e">
        <f t="shared" ca="1" si="286"/>
        <v>#N/A</v>
      </c>
      <c r="K3682" s="18" t="e">
        <f t="shared" ca="1" si="285"/>
        <v>#N/A</v>
      </c>
      <c r="L3682" t="e">
        <f ca="1">IF(J3682,Charms!B3682,"")</f>
        <v>#N/A</v>
      </c>
      <c r="M3682" t="str">
        <f t="shared" ca="1" si="287"/>
        <v>-</v>
      </c>
      <c r="N3682" s="18" t="str">
        <f t="shared" si="288"/>
        <v>K1622:L5000</v>
      </c>
      <c r="O3682" t="str">
        <f t="shared" si="289"/>
        <v>A1622:A3682</v>
      </c>
    </row>
    <row r="3683" spans="1:15">
      <c r="A3683" s="18">
        <f>Charms!K3683</f>
        <v>0</v>
      </c>
      <c r="B3683">
        <f>Charms!B3683</f>
        <v>0</v>
      </c>
      <c r="C3683" t="b">
        <f ca="1">OR(Values!$S$98&gt;=Charms!M3683,IFERROR(Charms!J3683=OFFSET(Values!$A$24,MATCH("S",Values!$T$25:$T$50,0),0),FALSE))</f>
        <v>1</v>
      </c>
      <c r="D3683" t="e">
        <f>VLOOKUP(Charms!J3683,Values!$A$11:$S$59,19,0)&gt;=Charms!L3683</f>
        <v>#N/A</v>
      </c>
      <c r="E3683" t="e">
        <f>OR(ISBLANK(Charms!I3683),(VLOOKUP(Values!$S$6,Castes!$B$2:$F$25,4,0)=Charms!I3683))</f>
        <v>#N/A</v>
      </c>
      <c r="J3683" t="e">
        <f t="shared" ca="1" si="286"/>
        <v>#N/A</v>
      </c>
      <c r="K3683" s="18" t="e">
        <f t="shared" ca="1" si="285"/>
        <v>#N/A</v>
      </c>
      <c r="L3683" t="e">
        <f ca="1">IF(J3683,Charms!B3683,"")</f>
        <v>#N/A</v>
      </c>
      <c r="M3683" t="str">
        <f t="shared" ca="1" si="287"/>
        <v>-</v>
      </c>
      <c r="N3683" s="18" t="str">
        <f t="shared" si="288"/>
        <v>K1622:L5000</v>
      </c>
      <c r="O3683" t="str">
        <f t="shared" si="289"/>
        <v>A1622:A3683</v>
      </c>
    </row>
    <row r="3684" spans="1:15">
      <c r="A3684" s="18">
        <f>Charms!K3684</f>
        <v>0</v>
      </c>
      <c r="B3684">
        <f>Charms!B3684</f>
        <v>0</v>
      </c>
      <c r="C3684" t="b">
        <f ca="1">OR(Values!$S$98&gt;=Charms!M3684,IFERROR(Charms!J3684=OFFSET(Values!$A$24,MATCH("S",Values!$T$25:$T$50,0),0),FALSE))</f>
        <v>1</v>
      </c>
      <c r="D3684" t="e">
        <f>VLOOKUP(Charms!J3684,Values!$A$11:$S$59,19,0)&gt;=Charms!L3684</f>
        <v>#N/A</v>
      </c>
      <c r="E3684" t="e">
        <f>OR(ISBLANK(Charms!I3684),(VLOOKUP(Values!$S$6,Castes!$B$2:$F$25,4,0)=Charms!I3684))</f>
        <v>#N/A</v>
      </c>
      <c r="J3684" t="e">
        <f t="shared" ca="1" si="286"/>
        <v>#N/A</v>
      </c>
      <c r="K3684" s="18" t="e">
        <f t="shared" ca="1" si="285"/>
        <v>#N/A</v>
      </c>
      <c r="L3684" t="e">
        <f ca="1">IF(J3684,Charms!B3684,"")</f>
        <v>#N/A</v>
      </c>
      <c r="M3684" t="str">
        <f t="shared" ca="1" si="287"/>
        <v>-</v>
      </c>
      <c r="N3684" s="18" t="str">
        <f t="shared" si="288"/>
        <v>K1622:L5000</v>
      </c>
      <c r="O3684" t="str">
        <f t="shared" si="289"/>
        <v>A1622:A3684</v>
      </c>
    </row>
    <row r="3685" spans="1:15">
      <c r="A3685" s="18">
        <f>Charms!K3685</f>
        <v>0</v>
      </c>
      <c r="B3685">
        <f>Charms!B3685</f>
        <v>0</v>
      </c>
      <c r="C3685" t="b">
        <f ca="1">OR(Values!$S$98&gt;=Charms!M3685,IFERROR(Charms!J3685=OFFSET(Values!$A$24,MATCH("S",Values!$T$25:$T$50,0),0),FALSE))</f>
        <v>1</v>
      </c>
      <c r="D3685" t="e">
        <f>VLOOKUP(Charms!J3685,Values!$A$11:$S$59,19,0)&gt;=Charms!L3685</f>
        <v>#N/A</v>
      </c>
      <c r="E3685" t="e">
        <f>OR(ISBLANK(Charms!I3685),(VLOOKUP(Values!$S$6,Castes!$B$2:$F$25,4,0)=Charms!I3685))</f>
        <v>#N/A</v>
      </c>
      <c r="J3685" t="e">
        <f t="shared" ca="1" si="286"/>
        <v>#N/A</v>
      </c>
      <c r="K3685" s="18" t="e">
        <f t="shared" ca="1" si="285"/>
        <v>#N/A</v>
      </c>
      <c r="L3685" t="e">
        <f ca="1">IF(J3685,Charms!B3685,"")</f>
        <v>#N/A</v>
      </c>
      <c r="M3685" t="str">
        <f t="shared" ca="1" si="287"/>
        <v>-</v>
      </c>
      <c r="N3685" s="18" t="str">
        <f t="shared" si="288"/>
        <v>K1622:L5000</v>
      </c>
      <c r="O3685" t="str">
        <f t="shared" si="289"/>
        <v>A1622:A3685</v>
      </c>
    </row>
    <row r="3686" spans="1:15">
      <c r="A3686" s="18">
        <f>Charms!K3686</f>
        <v>0</v>
      </c>
      <c r="B3686">
        <f>Charms!B3686</f>
        <v>0</v>
      </c>
      <c r="C3686" t="b">
        <f ca="1">OR(Values!$S$98&gt;=Charms!M3686,IFERROR(Charms!J3686=OFFSET(Values!$A$24,MATCH("S",Values!$T$25:$T$50,0),0),FALSE))</f>
        <v>1</v>
      </c>
      <c r="D3686" t="e">
        <f>VLOOKUP(Charms!J3686,Values!$A$11:$S$59,19,0)&gt;=Charms!L3686</f>
        <v>#N/A</v>
      </c>
      <c r="E3686" t="e">
        <f>OR(ISBLANK(Charms!I3686),(VLOOKUP(Values!$S$6,Castes!$B$2:$F$25,4,0)=Charms!I3686))</f>
        <v>#N/A</v>
      </c>
      <c r="J3686" t="e">
        <f t="shared" ca="1" si="286"/>
        <v>#N/A</v>
      </c>
      <c r="K3686" s="18" t="e">
        <f t="shared" ca="1" si="285"/>
        <v>#N/A</v>
      </c>
      <c r="L3686" t="e">
        <f ca="1">IF(J3686,Charms!B3686,"")</f>
        <v>#N/A</v>
      </c>
      <c r="M3686" t="str">
        <f t="shared" ca="1" si="287"/>
        <v>-</v>
      </c>
      <c r="N3686" s="18" t="str">
        <f t="shared" si="288"/>
        <v>K1622:L5000</v>
      </c>
      <c r="O3686" t="str">
        <f t="shared" si="289"/>
        <v>A1622:A3686</v>
      </c>
    </row>
    <row r="3687" spans="1:15">
      <c r="A3687" s="18">
        <f>Charms!K3687</f>
        <v>0</v>
      </c>
      <c r="B3687">
        <f>Charms!B3687</f>
        <v>0</v>
      </c>
      <c r="C3687" t="b">
        <f ca="1">OR(Values!$S$98&gt;=Charms!M3687,IFERROR(Charms!J3687=OFFSET(Values!$A$24,MATCH("S",Values!$T$25:$T$50,0),0),FALSE))</f>
        <v>1</v>
      </c>
      <c r="D3687" t="e">
        <f>VLOOKUP(Charms!J3687,Values!$A$11:$S$59,19,0)&gt;=Charms!L3687</f>
        <v>#N/A</v>
      </c>
      <c r="E3687" t="e">
        <f>OR(ISBLANK(Charms!I3687),(VLOOKUP(Values!$S$6,Castes!$B$2:$F$25,4,0)=Charms!I3687))</f>
        <v>#N/A</v>
      </c>
      <c r="J3687" t="e">
        <f t="shared" ca="1" si="286"/>
        <v>#N/A</v>
      </c>
      <c r="K3687" s="18" t="e">
        <f t="shared" ca="1" si="285"/>
        <v>#N/A</v>
      </c>
      <c r="L3687" t="e">
        <f ca="1">IF(J3687,Charms!B3687,"")</f>
        <v>#N/A</v>
      </c>
      <c r="M3687" t="str">
        <f t="shared" ca="1" si="287"/>
        <v>-</v>
      </c>
      <c r="N3687" s="18" t="str">
        <f t="shared" si="288"/>
        <v>K1622:L5000</v>
      </c>
      <c r="O3687" t="str">
        <f t="shared" si="289"/>
        <v>A1622:A3687</v>
      </c>
    </row>
    <row r="3688" spans="1:15">
      <c r="A3688" s="18">
        <f>Charms!K3688</f>
        <v>0</v>
      </c>
      <c r="B3688">
        <f>Charms!B3688</f>
        <v>0</v>
      </c>
      <c r="C3688" t="b">
        <f ca="1">OR(Values!$S$98&gt;=Charms!M3688,IFERROR(Charms!J3688=OFFSET(Values!$A$24,MATCH("S",Values!$T$25:$T$50,0),0),FALSE))</f>
        <v>1</v>
      </c>
      <c r="D3688" t="e">
        <f>VLOOKUP(Charms!J3688,Values!$A$11:$S$59,19,0)&gt;=Charms!L3688</f>
        <v>#N/A</v>
      </c>
      <c r="E3688" t="e">
        <f>OR(ISBLANK(Charms!I3688),(VLOOKUP(Values!$S$6,Castes!$B$2:$F$25,4,0)=Charms!I3688))</f>
        <v>#N/A</v>
      </c>
      <c r="J3688" t="e">
        <f t="shared" ca="1" si="286"/>
        <v>#N/A</v>
      </c>
      <c r="K3688" s="18" t="e">
        <f t="shared" ca="1" si="285"/>
        <v>#N/A</v>
      </c>
      <c r="L3688" t="e">
        <f ca="1">IF(J3688,Charms!B3688,"")</f>
        <v>#N/A</v>
      </c>
      <c r="M3688" t="str">
        <f t="shared" ca="1" si="287"/>
        <v>-</v>
      </c>
      <c r="N3688" s="18" t="str">
        <f t="shared" si="288"/>
        <v>K1622:L5000</v>
      </c>
      <c r="O3688" t="str">
        <f t="shared" si="289"/>
        <v>A1622:A3688</v>
      </c>
    </row>
    <row r="3689" spans="1:15">
      <c r="A3689" s="18">
        <f>Charms!K3689</f>
        <v>0</v>
      </c>
      <c r="B3689">
        <f>Charms!B3689</f>
        <v>0</v>
      </c>
      <c r="C3689" t="b">
        <f ca="1">OR(Values!$S$98&gt;=Charms!M3689,IFERROR(Charms!J3689=OFFSET(Values!$A$24,MATCH("S",Values!$T$25:$T$50,0),0),FALSE))</f>
        <v>1</v>
      </c>
      <c r="D3689" t="e">
        <f>VLOOKUP(Charms!J3689,Values!$A$11:$S$59,19,0)&gt;=Charms!L3689</f>
        <v>#N/A</v>
      </c>
      <c r="E3689" t="e">
        <f>OR(ISBLANK(Charms!I3689),(VLOOKUP(Values!$S$6,Castes!$B$2:$F$25,4,0)=Charms!I3689))</f>
        <v>#N/A</v>
      </c>
      <c r="J3689" t="e">
        <f t="shared" ca="1" si="286"/>
        <v>#N/A</v>
      </c>
      <c r="K3689" s="18" t="e">
        <f t="shared" ca="1" si="285"/>
        <v>#N/A</v>
      </c>
      <c r="L3689" t="e">
        <f ca="1">IF(J3689,Charms!B3689,"")</f>
        <v>#N/A</v>
      </c>
      <c r="M3689" t="str">
        <f t="shared" ca="1" si="287"/>
        <v>-</v>
      </c>
      <c r="N3689" s="18" t="str">
        <f t="shared" si="288"/>
        <v>K1622:L5000</v>
      </c>
      <c r="O3689" t="str">
        <f t="shared" si="289"/>
        <v>A1622:A3689</v>
      </c>
    </row>
    <row r="3690" spans="1:15">
      <c r="A3690" s="18">
        <f>Charms!K3690</f>
        <v>0</v>
      </c>
      <c r="B3690">
        <f>Charms!B3690</f>
        <v>0</v>
      </c>
      <c r="C3690" t="b">
        <f ca="1">OR(Values!$S$98&gt;=Charms!M3690,IFERROR(Charms!J3690=OFFSET(Values!$A$24,MATCH("S",Values!$T$25:$T$50,0),0),FALSE))</f>
        <v>1</v>
      </c>
      <c r="D3690" t="e">
        <f>VLOOKUP(Charms!J3690,Values!$A$11:$S$59,19,0)&gt;=Charms!L3690</f>
        <v>#N/A</v>
      </c>
      <c r="E3690" t="e">
        <f>OR(ISBLANK(Charms!I3690),(VLOOKUP(Values!$S$6,Castes!$B$2:$F$25,4,0)=Charms!I3690))</f>
        <v>#N/A</v>
      </c>
      <c r="J3690" t="e">
        <f t="shared" ca="1" si="286"/>
        <v>#N/A</v>
      </c>
      <c r="K3690" s="18" t="e">
        <f t="shared" ca="1" si="285"/>
        <v>#N/A</v>
      </c>
      <c r="L3690" t="e">
        <f ca="1">IF(J3690,Charms!B3690,"")</f>
        <v>#N/A</v>
      </c>
      <c r="M3690" t="str">
        <f t="shared" ca="1" si="287"/>
        <v>-</v>
      </c>
      <c r="N3690" s="18" t="str">
        <f t="shared" si="288"/>
        <v>K1622:L5000</v>
      </c>
      <c r="O3690" t="str">
        <f t="shared" si="289"/>
        <v>A1622:A3690</v>
      </c>
    </row>
    <row r="3691" spans="1:15">
      <c r="A3691" s="18">
        <f>Charms!K3691</f>
        <v>0</v>
      </c>
      <c r="B3691">
        <f>Charms!B3691</f>
        <v>0</v>
      </c>
      <c r="C3691" t="b">
        <f ca="1">OR(Values!$S$98&gt;=Charms!M3691,IFERROR(Charms!J3691=OFFSET(Values!$A$24,MATCH("S",Values!$T$25:$T$50,0),0),FALSE))</f>
        <v>1</v>
      </c>
      <c r="D3691" t="e">
        <f>VLOOKUP(Charms!J3691,Values!$A$11:$S$59,19,0)&gt;=Charms!L3691</f>
        <v>#N/A</v>
      </c>
      <c r="E3691" t="e">
        <f>OR(ISBLANK(Charms!I3691),(VLOOKUP(Values!$S$6,Castes!$B$2:$F$25,4,0)=Charms!I3691))</f>
        <v>#N/A</v>
      </c>
      <c r="J3691" t="e">
        <f t="shared" ca="1" si="286"/>
        <v>#N/A</v>
      </c>
      <c r="K3691" s="18" t="e">
        <f t="shared" ca="1" si="285"/>
        <v>#N/A</v>
      </c>
      <c r="L3691" t="e">
        <f ca="1">IF(J3691,Charms!B3691,"")</f>
        <v>#N/A</v>
      </c>
      <c r="M3691" t="str">
        <f t="shared" ca="1" si="287"/>
        <v>-</v>
      </c>
      <c r="N3691" s="18" t="str">
        <f t="shared" si="288"/>
        <v>K1622:L5000</v>
      </c>
      <c r="O3691" t="str">
        <f t="shared" si="289"/>
        <v>A1622:A3691</v>
      </c>
    </row>
    <row r="3692" spans="1:15">
      <c r="A3692" s="18">
        <f>Charms!K3692</f>
        <v>0</v>
      </c>
      <c r="B3692">
        <f>Charms!B3692</f>
        <v>0</v>
      </c>
      <c r="C3692" t="b">
        <f ca="1">OR(Values!$S$98&gt;=Charms!M3692,IFERROR(Charms!J3692=OFFSET(Values!$A$24,MATCH("S",Values!$T$25:$T$50,0),0),FALSE))</f>
        <v>1</v>
      </c>
      <c r="D3692" t="e">
        <f>VLOOKUP(Charms!J3692,Values!$A$11:$S$59,19,0)&gt;=Charms!L3692</f>
        <v>#N/A</v>
      </c>
      <c r="E3692" t="e">
        <f>OR(ISBLANK(Charms!I3692),(VLOOKUP(Values!$S$6,Castes!$B$2:$F$25,4,0)=Charms!I3692))</f>
        <v>#N/A</v>
      </c>
      <c r="J3692" t="e">
        <f t="shared" ca="1" si="286"/>
        <v>#N/A</v>
      </c>
      <c r="K3692" s="18" t="e">
        <f t="shared" ca="1" si="285"/>
        <v>#N/A</v>
      </c>
      <c r="L3692" t="e">
        <f ca="1">IF(J3692,Charms!B3692,"")</f>
        <v>#N/A</v>
      </c>
      <c r="M3692" t="str">
        <f t="shared" ca="1" si="287"/>
        <v>-</v>
      </c>
      <c r="N3692" s="18" t="str">
        <f t="shared" si="288"/>
        <v>K1622:L5000</v>
      </c>
      <c r="O3692" t="str">
        <f t="shared" si="289"/>
        <v>A1622:A3692</v>
      </c>
    </row>
    <row r="3693" spans="1:15">
      <c r="A3693" s="18">
        <f>Charms!K3693</f>
        <v>0</v>
      </c>
      <c r="B3693">
        <f>Charms!B3693</f>
        <v>0</v>
      </c>
      <c r="C3693" t="b">
        <f ca="1">OR(Values!$S$98&gt;=Charms!M3693,IFERROR(Charms!J3693=OFFSET(Values!$A$24,MATCH("S",Values!$T$25:$T$50,0),0),FALSE))</f>
        <v>1</v>
      </c>
      <c r="D3693" t="e">
        <f>VLOOKUP(Charms!J3693,Values!$A$11:$S$59,19,0)&gt;=Charms!L3693</f>
        <v>#N/A</v>
      </c>
      <c r="E3693" t="e">
        <f>OR(ISBLANK(Charms!I3693),(VLOOKUP(Values!$S$6,Castes!$B$2:$F$25,4,0)=Charms!I3693))</f>
        <v>#N/A</v>
      </c>
      <c r="J3693" t="e">
        <f t="shared" ca="1" si="286"/>
        <v>#N/A</v>
      </c>
      <c r="K3693" s="18" t="e">
        <f t="shared" ca="1" si="285"/>
        <v>#N/A</v>
      </c>
      <c r="L3693" t="e">
        <f ca="1">IF(J3693,Charms!B3693,"")</f>
        <v>#N/A</v>
      </c>
      <c r="M3693" t="str">
        <f t="shared" ca="1" si="287"/>
        <v>-</v>
      </c>
      <c r="N3693" s="18" t="str">
        <f t="shared" si="288"/>
        <v>K1622:L5000</v>
      </c>
      <c r="O3693" t="str">
        <f t="shared" si="289"/>
        <v>A1622:A3693</v>
      </c>
    </row>
    <row r="3694" spans="1:15">
      <c r="A3694" s="18">
        <f>Charms!K3694</f>
        <v>0</v>
      </c>
      <c r="B3694">
        <f>Charms!B3694</f>
        <v>0</v>
      </c>
      <c r="C3694" t="b">
        <f ca="1">OR(Values!$S$98&gt;=Charms!M3694,IFERROR(Charms!J3694=OFFSET(Values!$A$24,MATCH("S",Values!$T$25:$T$50,0),0),FALSE))</f>
        <v>1</v>
      </c>
      <c r="D3694" t="e">
        <f>VLOOKUP(Charms!J3694,Values!$A$11:$S$59,19,0)&gt;=Charms!L3694</f>
        <v>#N/A</v>
      </c>
      <c r="E3694" t="e">
        <f>OR(ISBLANK(Charms!I3694),(VLOOKUP(Values!$S$6,Castes!$B$2:$F$25,4,0)=Charms!I3694))</f>
        <v>#N/A</v>
      </c>
      <c r="J3694" t="e">
        <f t="shared" ca="1" si="286"/>
        <v>#N/A</v>
      </c>
      <c r="K3694" s="18" t="e">
        <f t="shared" ca="1" si="285"/>
        <v>#N/A</v>
      </c>
      <c r="L3694" t="e">
        <f ca="1">IF(J3694,Charms!B3694,"")</f>
        <v>#N/A</v>
      </c>
      <c r="M3694" t="str">
        <f t="shared" ca="1" si="287"/>
        <v>-</v>
      </c>
      <c r="N3694" s="18" t="str">
        <f t="shared" si="288"/>
        <v>K1622:L5000</v>
      </c>
      <c r="O3694" t="str">
        <f t="shared" si="289"/>
        <v>A1622:A3694</v>
      </c>
    </row>
    <row r="3695" spans="1:15">
      <c r="A3695" s="18">
        <f>Charms!K3695</f>
        <v>0</v>
      </c>
      <c r="B3695">
        <f>Charms!B3695</f>
        <v>0</v>
      </c>
      <c r="C3695" t="b">
        <f ca="1">OR(Values!$S$98&gt;=Charms!M3695,IFERROR(Charms!J3695=OFFSET(Values!$A$24,MATCH("S",Values!$T$25:$T$50,0),0),FALSE))</f>
        <v>1</v>
      </c>
      <c r="D3695" t="e">
        <f>VLOOKUP(Charms!J3695,Values!$A$11:$S$59,19,0)&gt;=Charms!L3695</f>
        <v>#N/A</v>
      </c>
      <c r="E3695" t="e">
        <f>OR(ISBLANK(Charms!I3695),(VLOOKUP(Values!$S$6,Castes!$B$2:$F$25,4,0)=Charms!I3695))</f>
        <v>#N/A</v>
      </c>
      <c r="J3695" t="e">
        <f t="shared" ca="1" si="286"/>
        <v>#N/A</v>
      </c>
      <c r="K3695" s="18" t="e">
        <f t="shared" ca="1" si="285"/>
        <v>#N/A</v>
      </c>
      <c r="L3695" t="e">
        <f ca="1">IF(J3695,Charms!B3695,"")</f>
        <v>#N/A</v>
      </c>
      <c r="M3695" t="str">
        <f t="shared" ca="1" si="287"/>
        <v>-</v>
      </c>
      <c r="N3695" s="18" t="str">
        <f t="shared" si="288"/>
        <v>K1622:L5000</v>
      </c>
      <c r="O3695" t="str">
        <f t="shared" si="289"/>
        <v>A1622:A3695</v>
      </c>
    </row>
    <row r="3696" spans="1:15">
      <c r="A3696" s="18">
        <f>Charms!K3696</f>
        <v>0</v>
      </c>
      <c r="B3696">
        <f>Charms!B3696</f>
        <v>0</v>
      </c>
      <c r="C3696" t="b">
        <f ca="1">OR(Values!$S$98&gt;=Charms!M3696,IFERROR(Charms!J3696=OFFSET(Values!$A$24,MATCH("S",Values!$T$25:$T$50,0),0),FALSE))</f>
        <v>1</v>
      </c>
      <c r="D3696" t="e">
        <f>VLOOKUP(Charms!J3696,Values!$A$11:$S$59,19,0)&gt;=Charms!L3696</f>
        <v>#N/A</v>
      </c>
      <c r="E3696" t="e">
        <f>OR(ISBLANK(Charms!I3696),(VLOOKUP(Values!$S$6,Castes!$B$2:$F$25,4,0)=Charms!I3696))</f>
        <v>#N/A</v>
      </c>
      <c r="J3696" t="e">
        <f t="shared" ca="1" si="286"/>
        <v>#N/A</v>
      </c>
      <c r="K3696" s="18" t="e">
        <f t="shared" ca="1" si="285"/>
        <v>#N/A</v>
      </c>
      <c r="L3696" t="e">
        <f ca="1">IF(J3696,Charms!B3696,"")</f>
        <v>#N/A</v>
      </c>
      <c r="M3696" t="str">
        <f t="shared" ca="1" si="287"/>
        <v>-</v>
      </c>
      <c r="N3696" s="18" t="str">
        <f t="shared" si="288"/>
        <v>K1622:L5000</v>
      </c>
      <c r="O3696" t="str">
        <f t="shared" si="289"/>
        <v>A1622:A3696</v>
      </c>
    </row>
    <row r="3697" spans="1:15">
      <c r="A3697" s="18">
        <f>Charms!K3697</f>
        <v>0</v>
      </c>
      <c r="B3697">
        <f>Charms!B3697</f>
        <v>0</v>
      </c>
      <c r="C3697" t="b">
        <f ca="1">OR(Values!$S$98&gt;=Charms!M3697,IFERROR(Charms!J3697=OFFSET(Values!$A$24,MATCH("S",Values!$T$25:$T$50,0),0),FALSE))</f>
        <v>1</v>
      </c>
      <c r="D3697" t="e">
        <f>VLOOKUP(Charms!J3697,Values!$A$11:$S$59,19,0)&gt;=Charms!L3697</f>
        <v>#N/A</v>
      </c>
      <c r="E3697" t="e">
        <f>OR(ISBLANK(Charms!I3697),(VLOOKUP(Values!$S$6,Castes!$B$2:$F$25,4,0)=Charms!I3697))</f>
        <v>#N/A</v>
      </c>
      <c r="J3697" t="e">
        <f t="shared" ca="1" si="286"/>
        <v>#N/A</v>
      </c>
      <c r="K3697" s="18" t="e">
        <f t="shared" ca="1" si="285"/>
        <v>#N/A</v>
      </c>
      <c r="L3697" t="e">
        <f ca="1">IF(J3697,Charms!B3697,"")</f>
        <v>#N/A</v>
      </c>
      <c r="M3697" t="str">
        <f t="shared" ca="1" si="287"/>
        <v>-</v>
      </c>
      <c r="N3697" s="18" t="str">
        <f t="shared" si="288"/>
        <v>K1622:L5000</v>
      </c>
      <c r="O3697" t="str">
        <f t="shared" si="289"/>
        <v>A1622:A3697</v>
      </c>
    </row>
    <row r="3698" spans="1:15">
      <c r="A3698" s="18">
        <f>Charms!K3698</f>
        <v>0</v>
      </c>
      <c r="B3698">
        <f>Charms!B3698</f>
        <v>0</v>
      </c>
      <c r="C3698" t="b">
        <f ca="1">OR(Values!$S$98&gt;=Charms!M3698,IFERROR(Charms!J3698=OFFSET(Values!$A$24,MATCH("S",Values!$T$25:$T$50,0),0),FALSE))</f>
        <v>1</v>
      </c>
      <c r="D3698" t="e">
        <f>VLOOKUP(Charms!J3698,Values!$A$11:$S$59,19,0)&gt;=Charms!L3698</f>
        <v>#N/A</v>
      </c>
      <c r="E3698" t="e">
        <f>OR(ISBLANK(Charms!I3698),(VLOOKUP(Values!$S$6,Castes!$B$2:$F$25,4,0)=Charms!I3698))</f>
        <v>#N/A</v>
      </c>
      <c r="J3698" t="e">
        <f t="shared" ca="1" si="286"/>
        <v>#N/A</v>
      </c>
      <c r="K3698" s="18" t="e">
        <f t="shared" ca="1" si="285"/>
        <v>#N/A</v>
      </c>
      <c r="L3698" t="e">
        <f ca="1">IF(J3698,Charms!B3698,"")</f>
        <v>#N/A</v>
      </c>
      <c r="M3698" t="str">
        <f t="shared" ca="1" si="287"/>
        <v>-</v>
      </c>
      <c r="N3698" s="18" t="str">
        <f t="shared" si="288"/>
        <v>K1622:L5000</v>
      </c>
      <c r="O3698" t="str">
        <f t="shared" si="289"/>
        <v>A1622:A3698</v>
      </c>
    </row>
    <row r="3699" spans="1:15">
      <c r="A3699" s="18">
        <f>Charms!K3699</f>
        <v>0</v>
      </c>
      <c r="B3699">
        <f>Charms!B3699</f>
        <v>0</v>
      </c>
      <c r="C3699" t="b">
        <f ca="1">OR(Values!$S$98&gt;=Charms!M3699,IFERROR(Charms!J3699=OFFSET(Values!$A$24,MATCH("S",Values!$T$25:$T$50,0),0),FALSE))</f>
        <v>1</v>
      </c>
      <c r="D3699" t="e">
        <f>VLOOKUP(Charms!J3699,Values!$A$11:$S$59,19,0)&gt;=Charms!L3699</f>
        <v>#N/A</v>
      </c>
      <c r="E3699" t="e">
        <f>OR(ISBLANK(Charms!I3699),(VLOOKUP(Values!$S$6,Castes!$B$2:$F$25,4,0)=Charms!I3699))</f>
        <v>#N/A</v>
      </c>
      <c r="J3699" t="e">
        <f t="shared" ca="1" si="286"/>
        <v>#N/A</v>
      </c>
      <c r="K3699" s="18" t="e">
        <f t="shared" ca="1" si="285"/>
        <v>#N/A</v>
      </c>
      <c r="L3699" t="e">
        <f ca="1">IF(J3699,Charms!B3699,"")</f>
        <v>#N/A</v>
      </c>
      <c r="M3699" t="str">
        <f t="shared" ca="1" si="287"/>
        <v>-</v>
      </c>
      <c r="N3699" s="18" t="str">
        <f t="shared" si="288"/>
        <v>K1622:L5000</v>
      </c>
      <c r="O3699" t="str">
        <f t="shared" si="289"/>
        <v>A1622:A3699</v>
      </c>
    </row>
    <row r="3700" spans="1:15">
      <c r="A3700" s="18">
        <f>Charms!K3700</f>
        <v>0</v>
      </c>
      <c r="B3700">
        <f>Charms!B3700</f>
        <v>0</v>
      </c>
      <c r="C3700" t="b">
        <f ca="1">OR(Values!$S$98&gt;=Charms!M3700,IFERROR(Charms!J3700=OFFSET(Values!$A$24,MATCH("S",Values!$T$25:$T$50,0),0),FALSE))</f>
        <v>1</v>
      </c>
      <c r="D3700" t="e">
        <f>VLOOKUP(Charms!J3700,Values!$A$11:$S$59,19,0)&gt;=Charms!L3700</f>
        <v>#N/A</v>
      </c>
      <c r="E3700" t="e">
        <f>OR(ISBLANK(Charms!I3700),(VLOOKUP(Values!$S$6,Castes!$B$2:$F$25,4,0)=Charms!I3700))</f>
        <v>#N/A</v>
      </c>
      <c r="J3700" t="e">
        <f t="shared" ca="1" si="286"/>
        <v>#N/A</v>
      </c>
      <c r="K3700" s="18" t="e">
        <f t="shared" ca="1" si="285"/>
        <v>#N/A</v>
      </c>
      <c r="L3700" t="e">
        <f ca="1">IF(J3700,Charms!B3700,"")</f>
        <v>#N/A</v>
      </c>
      <c r="M3700" t="str">
        <f t="shared" ca="1" si="287"/>
        <v>-</v>
      </c>
      <c r="N3700" s="18" t="str">
        <f t="shared" si="288"/>
        <v>K1622:L5000</v>
      </c>
      <c r="O3700" t="str">
        <f t="shared" si="289"/>
        <v>A1622:A3700</v>
      </c>
    </row>
    <row r="3701" spans="1:15">
      <c r="A3701" s="18">
        <f>Charms!K3701</f>
        <v>0</v>
      </c>
      <c r="B3701">
        <f>Charms!B3701</f>
        <v>0</v>
      </c>
      <c r="C3701" t="b">
        <f ca="1">OR(Values!$S$98&gt;=Charms!M3701,IFERROR(Charms!J3701=OFFSET(Values!$A$24,MATCH("S",Values!$T$25:$T$50,0),0),FALSE))</f>
        <v>1</v>
      </c>
      <c r="D3701" t="e">
        <f>VLOOKUP(Charms!J3701,Values!$A$11:$S$59,19,0)&gt;=Charms!L3701</f>
        <v>#N/A</v>
      </c>
      <c r="E3701" t="e">
        <f>OR(ISBLANK(Charms!I3701),(VLOOKUP(Values!$S$6,Castes!$B$2:$F$25,4,0)=Charms!I3701))</f>
        <v>#N/A</v>
      </c>
      <c r="J3701" t="e">
        <f t="shared" ca="1" si="286"/>
        <v>#N/A</v>
      </c>
      <c r="K3701" s="18" t="e">
        <f t="shared" ca="1" si="285"/>
        <v>#N/A</v>
      </c>
      <c r="L3701" t="e">
        <f ca="1">IF(J3701,Charms!B3701,"")</f>
        <v>#N/A</v>
      </c>
      <c r="M3701" t="str">
        <f t="shared" ca="1" si="287"/>
        <v>-</v>
      </c>
      <c r="N3701" s="18" t="str">
        <f t="shared" si="288"/>
        <v>K1622:L5000</v>
      </c>
      <c r="O3701" t="str">
        <f t="shared" si="289"/>
        <v>A1622:A3701</v>
      </c>
    </row>
    <row r="3702" spans="1:15">
      <c r="A3702" s="18">
        <f>Charms!K3702</f>
        <v>0</v>
      </c>
      <c r="B3702">
        <f>Charms!B3702</f>
        <v>0</v>
      </c>
      <c r="C3702" t="b">
        <f ca="1">OR(Values!$S$98&gt;=Charms!M3702,IFERROR(Charms!J3702=OFFSET(Values!$A$24,MATCH("S",Values!$T$25:$T$50,0),0),FALSE))</f>
        <v>1</v>
      </c>
      <c r="D3702" t="e">
        <f>VLOOKUP(Charms!J3702,Values!$A$11:$S$59,19,0)&gt;=Charms!L3702</f>
        <v>#N/A</v>
      </c>
      <c r="E3702" t="e">
        <f>OR(ISBLANK(Charms!I3702),(VLOOKUP(Values!$S$6,Castes!$B$2:$F$25,4,0)=Charms!I3702))</f>
        <v>#N/A</v>
      </c>
      <c r="J3702" t="e">
        <f t="shared" ca="1" si="286"/>
        <v>#N/A</v>
      </c>
      <c r="K3702" s="18" t="e">
        <f t="shared" ca="1" si="285"/>
        <v>#N/A</v>
      </c>
      <c r="L3702" t="e">
        <f ca="1">IF(J3702,Charms!B3702,"")</f>
        <v>#N/A</v>
      </c>
      <c r="M3702" t="str">
        <f t="shared" ca="1" si="287"/>
        <v>-</v>
      </c>
      <c r="N3702" s="18" t="str">
        <f t="shared" si="288"/>
        <v>K1622:L5000</v>
      </c>
      <c r="O3702" t="str">
        <f t="shared" si="289"/>
        <v>A1622:A3702</v>
      </c>
    </row>
    <row r="3703" spans="1:15">
      <c r="A3703" s="18">
        <f>Charms!K3703</f>
        <v>0</v>
      </c>
      <c r="B3703">
        <f>Charms!B3703</f>
        <v>0</v>
      </c>
      <c r="C3703" t="b">
        <f ca="1">OR(Values!$S$98&gt;=Charms!M3703,IFERROR(Charms!J3703=OFFSET(Values!$A$24,MATCH("S",Values!$T$25:$T$50,0),0),FALSE))</f>
        <v>1</v>
      </c>
      <c r="D3703" t="e">
        <f>VLOOKUP(Charms!J3703,Values!$A$11:$S$59,19,0)&gt;=Charms!L3703</f>
        <v>#N/A</v>
      </c>
      <c r="E3703" t="e">
        <f>OR(ISBLANK(Charms!I3703),(VLOOKUP(Values!$S$6,Castes!$B$2:$F$25,4,0)=Charms!I3703))</f>
        <v>#N/A</v>
      </c>
      <c r="J3703" t="e">
        <f t="shared" ca="1" si="286"/>
        <v>#N/A</v>
      </c>
      <c r="K3703" s="18" t="e">
        <f t="shared" ca="1" si="285"/>
        <v>#N/A</v>
      </c>
      <c r="L3703" t="e">
        <f ca="1">IF(J3703,Charms!B3703,"")</f>
        <v>#N/A</v>
      </c>
      <c r="M3703" t="str">
        <f t="shared" ca="1" si="287"/>
        <v>-</v>
      </c>
      <c r="N3703" s="18" t="str">
        <f t="shared" si="288"/>
        <v>K1622:L5000</v>
      </c>
      <c r="O3703" t="str">
        <f t="shared" si="289"/>
        <v>A1622:A3703</v>
      </c>
    </row>
    <row r="3704" spans="1:15">
      <c r="A3704" s="18">
        <f>Charms!K3704</f>
        <v>0</v>
      </c>
      <c r="B3704">
        <f>Charms!B3704</f>
        <v>0</v>
      </c>
      <c r="C3704" t="b">
        <f ca="1">OR(Values!$S$98&gt;=Charms!M3704,IFERROR(Charms!J3704=OFFSET(Values!$A$24,MATCH("S",Values!$T$25:$T$50,0),0),FALSE))</f>
        <v>1</v>
      </c>
      <c r="D3704" t="e">
        <f>VLOOKUP(Charms!J3704,Values!$A$11:$S$59,19,0)&gt;=Charms!L3704</f>
        <v>#N/A</v>
      </c>
      <c r="E3704" t="e">
        <f>OR(ISBLANK(Charms!I3704),(VLOOKUP(Values!$S$6,Castes!$B$2:$F$25,4,0)=Charms!I3704))</f>
        <v>#N/A</v>
      </c>
      <c r="J3704" t="e">
        <f t="shared" ca="1" si="286"/>
        <v>#N/A</v>
      </c>
      <c r="K3704" s="18" t="e">
        <f t="shared" ca="1" si="285"/>
        <v>#N/A</v>
      </c>
      <c r="L3704" t="e">
        <f ca="1">IF(J3704,Charms!B3704,"")</f>
        <v>#N/A</v>
      </c>
      <c r="M3704" t="str">
        <f t="shared" ca="1" si="287"/>
        <v>-</v>
      </c>
      <c r="N3704" s="18" t="str">
        <f t="shared" si="288"/>
        <v>K1622:L5000</v>
      </c>
      <c r="O3704" t="str">
        <f t="shared" si="289"/>
        <v>A1622:A3704</v>
      </c>
    </row>
    <row r="3705" spans="1:15">
      <c r="A3705" s="18">
        <f>Charms!K3705</f>
        <v>0</v>
      </c>
      <c r="B3705">
        <f>Charms!B3705</f>
        <v>0</v>
      </c>
      <c r="C3705" t="b">
        <f ca="1">OR(Values!$S$98&gt;=Charms!M3705,IFERROR(Charms!J3705=OFFSET(Values!$A$24,MATCH("S",Values!$T$25:$T$50,0),0),FALSE))</f>
        <v>1</v>
      </c>
      <c r="D3705" t="e">
        <f>VLOOKUP(Charms!J3705,Values!$A$11:$S$59,19,0)&gt;=Charms!L3705</f>
        <v>#N/A</v>
      </c>
      <c r="E3705" t="e">
        <f>OR(ISBLANK(Charms!I3705),(VLOOKUP(Values!$S$6,Castes!$B$2:$F$25,4,0)=Charms!I3705))</f>
        <v>#N/A</v>
      </c>
      <c r="J3705" t="e">
        <f t="shared" ca="1" si="286"/>
        <v>#N/A</v>
      </c>
      <c r="K3705" s="18" t="e">
        <f t="shared" ca="1" si="285"/>
        <v>#N/A</v>
      </c>
      <c r="L3705" t="e">
        <f ca="1">IF(J3705,Charms!B3705,"")</f>
        <v>#N/A</v>
      </c>
      <c r="M3705" t="str">
        <f t="shared" ca="1" si="287"/>
        <v>-</v>
      </c>
      <c r="N3705" s="18" t="str">
        <f t="shared" si="288"/>
        <v>K1622:L5000</v>
      </c>
      <c r="O3705" t="str">
        <f t="shared" si="289"/>
        <v>A1622:A3705</v>
      </c>
    </row>
    <row r="3706" spans="1:15">
      <c r="A3706" s="18">
        <f>Charms!K3706</f>
        <v>0</v>
      </c>
      <c r="B3706">
        <f>Charms!B3706</f>
        <v>0</v>
      </c>
      <c r="C3706" t="b">
        <f ca="1">OR(Values!$S$98&gt;=Charms!M3706,IFERROR(Charms!J3706=OFFSET(Values!$A$24,MATCH("S",Values!$T$25:$T$50,0),0),FALSE))</f>
        <v>1</v>
      </c>
      <c r="D3706" t="e">
        <f>VLOOKUP(Charms!J3706,Values!$A$11:$S$59,19,0)&gt;=Charms!L3706</f>
        <v>#N/A</v>
      </c>
      <c r="E3706" t="e">
        <f>OR(ISBLANK(Charms!I3706),(VLOOKUP(Values!$S$6,Castes!$B$2:$F$25,4,0)=Charms!I3706))</f>
        <v>#N/A</v>
      </c>
      <c r="J3706" t="e">
        <f t="shared" ca="1" si="286"/>
        <v>#N/A</v>
      </c>
      <c r="K3706" s="18" t="e">
        <f t="shared" ca="1" si="285"/>
        <v>#N/A</v>
      </c>
      <c r="L3706" t="e">
        <f ca="1">IF(J3706,Charms!B3706,"")</f>
        <v>#N/A</v>
      </c>
      <c r="M3706" t="str">
        <f t="shared" ca="1" si="287"/>
        <v>-</v>
      </c>
      <c r="N3706" s="18" t="str">
        <f t="shared" si="288"/>
        <v>K1622:L5000</v>
      </c>
      <c r="O3706" t="str">
        <f t="shared" si="289"/>
        <v>A1622:A3706</v>
      </c>
    </row>
    <row r="3707" spans="1:15">
      <c r="A3707" s="18">
        <f>Charms!K3707</f>
        <v>0</v>
      </c>
      <c r="B3707">
        <f>Charms!B3707</f>
        <v>0</v>
      </c>
      <c r="C3707" t="b">
        <f ca="1">OR(Values!$S$98&gt;=Charms!M3707,IFERROR(Charms!J3707=OFFSET(Values!$A$24,MATCH("S",Values!$T$25:$T$50,0),0),FALSE))</f>
        <v>1</v>
      </c>
      <c r="D3707" t="e">
        <f>VLOOKUP(Charms!J3707,Values!$A$11:$S$59,19,0)&gt;=Charms!L3707</f>
        <v>#N/A</v>
      </c>
      <c r="E3707" t="e">
        <f>OR(ISBLANK(Charms!I3707),(VLOOKUP(Values!$S$6,Castes!$B$2:$F$25,4,0)=Charms!I3707))</f>
        <v>#N/A</v>
      </c>
      <c r="J3707" t="e">
        <f t="shared" ca="1" si="286"/>
        <v>#N/A</v>
      </c>
      <c r="K3707" s="18" t="e">
        <f t="shared" ca="1" si="285"/>
        <v>#N/A</v>
      </c>
      <c r="L3707" t="e">
        <f ca="1">IF(J3707,Charms!B3707,"")</f>
        <v>#N/A</v>
      </c>
      <c r="M3707" t="str">
        <f t="shared" ca="1" si="287"/>
        <v>-</v>
      </c>
      <c r="N3707" s="18" t="str">
        <f t="shared" si="288"/>
        <v>K1622:L5000</v>
      </c>
      <c r="O3707" t="str">
        <f t="shared" si="289"/>
        <v>A1622:A3707</v>
      </c>
    </row>
    <row r="3708" spans="1:15">
      <c r="A3708" s="18">
        <f>Charms!K3708</f>
        <v>0</v>
      </c>
      <c r="B3708">
        <f>Charms!B3708</f>
        <v>0</v>
      </c>
      <c r="C3708" t="b">
        <f ca="1">OR(Values!$S$98&gt;=Charms!M3708,IFERROR(Charms!J3708=OFFSET(Values!$A$24,MATCH("S",Values!$T$25:$T$50,0),0),FALSE))</f>
        <v>1</v>
      </c>
      <c r="D3708" t="e">
        <f>VLOOKUP(Charms!J3708,Values!$A$11:$S$59,19,0)&gt;=Charms!L3708</f>
        <v>#N/A</v>
      </c>
      <c r="E3708" t="e">
        <f>OR(ISBLANK(Charms!I3708),(VLOOKUP(Values!$S$6,Castes!$B$2:$F$25,4,0)=Charms!I3708))</f>
        <v>#N/A</v>
      </c>
      <c r="J3708" t="e">
        <f t="shared" ca="1" si="286"/>
        <v>#N/A</v>
      </c>
      <c r="K3708" s="18" t="e">
        <f t="shared" ca="1" si="285"/>
        <v>#N/A</v>
      </c>
      <c r="L3708" t="e">
        <f ca="1">IF(J3708,Charms!B3708,"")</f>
        <v>#N/A</v>
      </c>
      <c r="M3708" t="str">
        <f t="shared" ca="1" si="287"/>
        <v>-</v>
      </c>
      <c r="N3708" s="18" t="str">
        <f t="shared" si="288"/>
        <v>K1622:L5000</v>
      </c>
      <c r="O3708" t="str">
        <f t="shared" si="289"/>
        <v>A1622:A3708</v>
      </c>
    </row>
    <row r="3709" spans="1:15">
      <c r="A3709" s="18">
        <f>Charms!K3709</f>
        <v>0</v>
      </c>
      <c r="B3709">
        <f>Charms!B3709</f>
        <v>0</v>
      </c>
      <c r="C3709" t="b">
        <f ca="1">OR(Values!$S$98&gt;=Charms!M3709,IFERROR(Charms!J3709=OFFSET(Values!$A$24,MATCH("S",Values!$T$25:$T$50,0),0),FALSE))</f>
        <v>1</v>
      </c>
      <c r="D3709" t="e">
        <f>VLOOKUP(Charms!J3709,Values!$A$11:$S$59,19,0)&gt;=Charms!L3709</f>
        <v>#N/A</v>
      </c>
      <c r="E3709" t="e">
        <f>OR(ISBLANK(Charms!I3709),(VLOOKUP(Values!$S$6,Castes!$B$2:$F$25,4,0)=Charms!I3709))</f>
        <v>#N/A</v>
      </c>
      <c r="J3709" t="e">
        <f t="shared" ca="1" si="286"/>
        <v>#N/A</v>
      </c>
      <c r="K3709" s="18" t="e">
        <f t="shared" ca="1" si="285"/>
        <v>#N/A</v>
      </c>
      <c r="L3709" t="e">
        <f ca="1">IF(J3709,Charms!B3709,"")</f>
        <v>#N/A</v>
      </c>
      <c r="M3709" t="str">
        <f t="shared" ca="1" si="287"/>
        <v>-</v>
      </c>
      <c r="N3709" s="18" t="str">
        <f t="shared" si="288"/>
        <v>K1622:L5000</v>
      </c>
      <c r="O3709" t="str">
        <f t="shared" si="289"/>
        <v>A1622:A3709</v>
      </c>
    </row>
    <row r="3710" spans="1:15">
      <c r="A3710" s="18">
        <f>Charms!K3710</f>
        <v>0</v>
      </c>
      <c r="B3710">
        <f>Charms!B3710</f>
        <v>0</v>
      </c>
      <c r="C3710" t="b">
        <f ca="1">OR(Values!$S$98&gt;=Charms!M3710,IFERROR(Charms!J3710=OFFSET(Values!$A$24,MATCH("S",Values!$T$25:$T$50,0),0),FALSE))</f>
        <v>1</v>
      </c>
      <c r="D3710" t="e">
        <f>VLOOKUP(Charms!J3710,Values!$A$11:$S$59,19,0)&gt;=Charms!L3710</f>
        <v>#N/A</v>
      </c>
      <c r="E3710" t="e">
        <f>OR(ISBLANK(Charms!I3710),(VLOOKUP(Values!$S$6,Castes!$B$2:$F$25,4,0)=Charms!I3710))</f>
        <v>#N/A</v>
      </c>
      <c r="J3710" t="e">
        <f t="shared" ca="1" si="286"/>
        <v>#N/A</v>
      </c>
      <c r="K3710" s="18" t="e">
        <f t="shared" ca="1" si="285"/>
        <v>#N/A</v>
      </c>
      <c r="L3710" t="e">
        <f ca="1">IF(J3710,Charms!B3710,"")</f>
        <v>#N/A</v>
      </c>
      <c r="M3710" t="str">
        <f t="shared" ca="1" si="287"/>
        <v>-</v>
      </c>
      <c r="N3710" s="18" t="str">
        <f t="shared" si="288"/>
        <v>K1622:L5000</v>
      </c>
      <c r="O3710" t="str">
        <f t="shared" si="289"/>
        <v>A1622:A3710</v>
      </c>
    </row>
    <row r="3711" spans="1:15">
      <c r="A3711" s="18">
        <f>Charms!K3711</f>
        <v>0</v>
      </c>
      <c r="B3711">
        <f>Charms!B3711</f>
        <v>0</v>
      </c>
      <c r="C3711" t="b">
        <f ca="1">OR(Values!$S$98&gt;=Charms!M3711,IFERROR(Charms!J3711=OFFSET(Values!$A$24,MATCH("S",Values!$T$25:$T$50,0),0),FALSE))</f>
        <v>1</v>
      </c>
      <c r="D3711" t="e">
        <f>VLOOKUP(Charms!J3711,Values!$A$11:$S$59,19,0)&gt;=Charms!L3711</f>
        <v>#N/A</v>
      </c>
      <c r="E3711" t="e">
        <f>OR(ISBLANK(Charms!I3711),(VLOOKUP(Values!$S$6,Castes!$B$2:$F$25,4,0)=Charms!I3711))</f>
        <v>#N/A</v>
      </c>
      <c r="J3711" t="e">
        <f t="shared" ca="1" si="286"/>
        <v>#N/A</v>
      </c>
      <c r="K3711" s="18" t="e">
        <f t="shared" ca="1" si="285"/>
        <v>#N/A</v>
      </c>
      <c r="L3711" t="e">
        <f ca="1">IF(J3711,Charms!B3711,"")</f>
        <v>#N/A</v>
      </c>
      <c r="M3711" t="str">
        <f t="shared" ca="1" si="287"/>
        <v>-</v>
      </c>
      <c r="N3711" s="18" t="str">
        <f t="shared" si="288"/>
        <v>K1622:L5000</v>
      </c>
      <c r="O3711" t="str">
        <f t="shared" si="289"/>
        <v>A1622:A3711</v>
      </c>
    </row>
    <row r="3712" spans="1:15">
      <c r="A3712" s="18">
        <f>Charms!K3712</f>
        <v>0</v>
      </c>
      <c r="B3712">
        <f>Charms!B3712</f>
        <v>0</v>
      </c>
      <c r="C3712" t="b">
        <f ca="1">OR(Values!$S$98&gt;=Charms!M3712,IFERROR(Charms!J3712=OFFSET(Values!$A$24,MATCH("S",Values!$T$25:$T$50,0),0),FALSE))</f>
        <v>1</v>
      </c>
      <c r="D3712" t="e">
        <f>VLOOKUP(Charms!J3712,Values!$A$11:$S$59,19,0)&gt;=Charms!L3712</f>
        <v>#N/A</v>
      </c>
      <c r="E3712" t="e">
        <f>OR(ISBLANK(Charms!I3712),(VLOOKUP(Values!$S$6,Castes!$B$2:$F$25,4,0)=Charms!I3712))</f>
        <v>#N/A</v>
      </c>
      <c r="J3712" t="e">
        <f t="shared" ca="1" si="286"/>
        <v>#N/A</v>
      </c>
      <c r="K3712" s="18" t="e">
        <f t="shared" ca="1" si="285"/>
        <v>#N/A</v>
      </c>
      <c r="L3712" t="e">
        <f ca="1">IF(J3712,Charms!B3712,"")</f>
        <v>#N/A</v>
      </c>
      <c r="M3712" t="str">
        <f t="shared" ca="1" si="287"/>
        <v>-</v>
      </c>
      <c r="N3712" s="18" t="str">
        <f t="shared" si="288"/>
        <v>K1622:L5000</v>
      </c>
      <c r="O3712" t="str">
        <f t="shared" si="289"/>
        <v>A1622:A3712</v>
      </c>
    </row>
    <row r="3713" spans="1:15">
      <c r="A3713" s="18">
        <f>Charms!K3713</f>
        <v>0</v>
      </c>
      <c r="B3713">
        <f>Charms!B3713</f>
        <v>0</v>
      </c>
      <c r="C3713" t="b">
        <f ca="1">OR(Values!$S$98&gt;=Charms!M3713,IFERROR(Charms!J3713=OFFSET(Values!$A$24,MATCH("S",Values!$T$25:$T$50,0),0),FALSE))</f>
        <v>1</v>
      </c>
      <c r="D3713" t="e">
        <f>VLOOKUP(Charms!J3713,Values!$A$11:$S$59,19,0)&gt;=Charms!L3713</f>
        <v>#N/A</v>
      </c>
      <c r="E3713" t="e">
        <f>OR(ISBLANK(Charms!I3713),(VLOOKUP(Values!$S$6,Castes!$B$2:$F$25,4,0)=Charms!I3713))</f>
        <v>#N/A</v>
      </c>
      <c r="J3713" t="e">
        <f t="shared" ca="1" si="286"/>
        <v>#N/A</v>
      </c>
      <c r="K3713" s="18" t="e">
        <f t="shared" ca="1" si="285"/>
        <v>#N/A</v>
      </c>
      <c r="L3713" t="e">
        <f ca="1">IF(J3713,Charms!B3713,"")</f>
        <v>#N/A</v>
      </c>
      <c r="M3713" t="str">
        <f t="shared" ca="1" si="287"/>
        <v>-</v>
      </c>
      <c r="N3713" s="18" t="str">
        <f t="shared" si="288"/>
        <v>K1622:L5000</v>
      </c>
      <c r="O3713" t="str">
        <f t="shared" si="289"/>
        <v>A1622:A3713</v>
      </c>
    </row>
    <row r="3714" spans="1:15">
      <c r="A3714" s="18">
        <f>Charms!K3714</f>
        <v>0</v>
      </c>
      <c r="B3714">
        <f>Charms!B3714</f>
        <v>0</v>
      </c>
      <c r="C3714" t="b">
        <f ca="1">OR(Values!$S$98&gt;=Charms!M3714,IFERROR(Charms!J3714=OFFSET(Values!$A$24,MATCH("S",Values!$T$25:$T$50,0),0),FALSE))</f>
        <v>1</v>
      </c>
      <c r="D3714" t="e">
        <f>VLOOKUP(Charms!J3714,Values!$A$11:$S$59,19,0)&gt;=Charms!L3714</f>
        <v>#N/A</v>
      </c>
      <c r="E3714" t="e">
        <f>OR(ISBLANK(Charms!I3714),(VLOOKUP(Values!$S$6,Castes!$B$2:$F$25,4,0)=Charms!I3714))</f>
        <v>#N/A</v>
      </c>
      <c r="J3714" t="e">
        <f t="shared" ca="1" si="286"/>
        <v>#N/A</v>
      </c>
      <c r="K3714" s="18" t="e">
        <f t="shared" ref="K3714:K3777" ca="1" si="290">IF(L3714="","",COUNTIF(INDIRECT("J"&amp;MATCH(A3714,A:A,0)&amp;":J"&amp;ROW()),J3714))</f>
        <v>#N/A</v>
      </c>
      <c r="L3714" t="e">
        <f ca="1">IF(J3714,Charms!B3714,"")</f>
        <v>#N/A</v>
      </c>
      <c r="M3714" t="str">
        <f t="shared" ca="1" si="287"/>
        <v>-</v>
      </c>
      <c r="N3714" s="18" t="str">
        <f t="shared" si="288"/>
        <v>K1622:L5000</v>
      </c>
      <c r="O3714" t="str">
        <f t="shared" si="289"/>
        <v>A1622:A3714</v>
      </c>
    </row>
    <row r="3715" spans="1:15">
      <c r="A3715" s="18">
        <f>Charms!K3715</f>
        <v>0</v>
      </c>
      <c r="B3715">
        <f>Charms!B3715</f>
        <v>0</v>
      </c>
      <c r="C3715" t="b">
        <f ca="1">OR(Values!$S$98&gt;=Charms!M3715,IFERROR(Charms!J3715=OFFSET(Values!$A$24,MATCH("S",Values!$T$25:$T$50,0),0),FALSE))</f>
        <v>1</v>
      </c>
      <c r="D3715" t="e">
        <f>VLOOKUP(Charms!J3715,Values!$A$11:$S$59,19,0)&gt;=Charms!L3715</f>
        <v>#N/A</v>
      </c>
      <c r="E3715" t="e">
        <f>OR(ISBLANK(Charms!I3715),(VLOOKUP(Values!$S$6,Castes!$B$2:$F$25,4,0)=Charms!I3715))</f>
        <v>#N/A</v>
      </c>
      <c r="J3715" t="e">
        <f t="shared" ref="J3715:J3778" ca="1" si="291">(C3715+D3715+E3715+F3715+G3715+H3715+I3715)=3</f>
        <v>#N/A</v>
      </c>
      <c r="K3715" s="18" t="e">
        <f t="shared" ca="1" si="290"/>
        <v>#N/A</v>
      </c>
      <c r="L3715" t="e">
        <f ca="1">IF(J3715,Charms!B3715,"")</f>
        <v>#N/A</v>
      </c>
      <c r="M3715" t="str">
        <f t="shared" ref="M3715:M3778" ca="1" si="292">IFERROR(VLOOKUP(COUNTIF(INDIRECT(O3715),A3715),INDIRECT(N3715),2,0),"-")</f>
        <v>-</v>
      </c>
      <c r="N3715" s="18" t="str">
        <f t="shared" ref="N3715:N3778" si="293">"K"&amp;MATCH(A3715,A:A,0)&amp;":L"&amp;(MATCH(A3715,A:A,0)+COUNTIF(A:A,A3715)-1)</f>
        <v>K1622:L5000</v>
      </c>
      <c r="O3715" t="str">
        <f t="shared" ref="O3715:O3778" si="294">"A"&amp;MATCH(A3715,A:A,0)&amp;":A"&amp;ROW()</f>
        <v>A1622:A3715</v>
      </c>
    </row>
    <row r="3716" spans="1:15">
      <c r="A3716" s="18">
        <f>Charms!K3716</f>
        <v>0</v>
      </c>
      <c r="B3716">
        <f>Charms!B3716</f>
        <v>0</v>
      </c>
      <c r="C3716" t="b">
        <f ca="1">OR(Values!$S$98&gt;=Charms!M3716,IFERROR(Charms!J3716=OFFSET(Values!$A$24,MATCH("S",Values!$T$25:$T$50,0),0),FALSE))</f>
        <v>1</v>
      </c>
      <c r="D3716" t="e">
        <f>VLOOKUP(Charms!J3716,Values!$A$11:$S$59,19,0)&gt;=Charms!L3716</f>
        <v>#N/A</v>
      </c>
      <c r="E3716" t="e">
        <f>OR(ISBLANK(Charms!I3716),(VLOOKUP(Values!$S$6,Castes!$B$2:$F$25,4,0)=Charms!I3716))</f>
        <v>#N/A</v>
      </c>
      <c r="J3716" t="e">
        <f t="shared" ca="1" si="291"/>
        <v>#N/A</v>
      </c>
      <c r="K3716" s="18" t="e">
        <f t="shared" ca="1" si="290"/>
        <v>#N/A</v>
      </c>
      <c r="L3716" t="e">
        <f ca="1">IF(J3716,Charms!B3716,"")</f>
        <v>#N/A</v>
      </c>
      <c r="M3716" t="str">
        <f t="shared" ca="1" si="292"/>
        <v>-</v>
      </c>
      <c r="N3716" s="18" t="str">
        <f t="shared" si="293"/>
        <v>K1622:L5000</v>
      </c>
      <c r="O3716" t="str">
        <f t="shared" si="294"/>
        <v>A1622:A3716</v>
      </c>
    </row>
    <row r="3717" spans="1:15">
      <c r="A3717" s="18">
        <f>Charms!K3717</f>
        <v>0</v>
      </c>
      <c r="B3717">
        <f>Charms!B3717</f>
        <v>0</v>
      </c>
      <c r="C3717" t="b">
        <f ca="1">OR(Values!$S$98&gt;=Charms!M3717,IFERROR(Charms!J3717=OFFSET(Values!$A$24,MATCH("S",Values!$T$25:$T$50,0),0),FALSE))</f>
        <v>1</v>
      </c>
      <c r="D3717" t="e">
        <f>VLOOKUP(Charms!J3717,Values!$A$11:$S$59,19,0)&gt;=Charms!L3717</f>
        <v>#N/A</v>
      </c>
      <c r="E3717" t="e">
        <f>OR(ISBLANK(Charms!I3717),(VLOOKUP(Values!$S$6,Castes!$B$2:$F$25,4,0)=Charms!I3717))</f>
        <v>#N/A</v>
      </c>
      <c r="J3717" t="e">
        <f t="shared" ca="1" si="291"/>
        <v>#N/A</v>
      </c>
      <c r="K3717" s="18" t="e">
        <f t="shared" ca="1" si="290"/>
        <v>#N/A</v>
      </c>
      <c r="L3717" t="e">
        <f ca="1">IF(J3717,Charms!B3717,"")</f>
        <v>#N/A</v>
      </c>
      <c r="M3717" t="str">
        <f t="shared" ca="1" si="292"/>
        <v>-</v>
      </c>
      <c r="N3717" s="18" t="str">
        <f t="shared" si="293"/>
        <v>K1622:L5000</v>
      </c>
      <c r="O3717" t="str">
        <f t="shared" si="294"/>
        <v>A1622:A3717</v>
      </c>
    </row>
    <row r="3718" spans="1:15">
      <c r="A3718" s="18">
        <f>Charms!K3718</f>
        <v>0</v>
      </c>
      <c r="B3718">
        <f>Charms!B3718</f>
        <v>0</v>
      </c>
      <c r="C3718" t="b">
        <f ca="1">OR(Values!$S$98&gt;=Charms!M3718,IFERROR(Charms!J3718=OFFSET(Values!$A$24,MATCH("S",Values!$T$25:$T$50,0),0),FALSE))</f>
        <v>1</v>
      </c>
      <c r="D3718" t="e">
        <f>VLOOKUP(Charms!J3718,Values!$A$11:$S$59,19,0)&gt;=Charms!L3718</f>
        <v>#N/A</v>
      </c>
      <c r="E3718" t="e">
        <f>OR(ISBLANK(Charms!I3718),(VLOOKUP(Values!$S$6,Castes!$B$2:$F$25,4,0)=Charms!I3718))</f>
        <v>#N/A</v>
      </c>
      <c r="J3718" t="e">
        <f t="shared" ca="1" si="291"/>
        <v>#N/A</v>
      </c>
      <c r="K3718" s="18" t="e">
        <f t="shared" ca="1" si="290"/>
        <v>#N/A</v>
      </c>
      <c r="L3718" t="e">
        <f ca="1">IF(J3718,Charms!B3718,"")</f>
        <v>#N/A</v>
      </c>
      <c r="M3718" t="str">
        <f t="shared" ca="1" si="292"/>
        <v>-</v>
      </c>
      <c r="N3718" s="18" t="str">
        <f t="shared" si="293"/>
        <v>K1622:L5000</v>
      </c>
      <c r="O3718" t="str">
        <f t="shared" si="294"/>
        <v>A1622:A3718</v>
      </c>
    </row>
    <row r="3719" spans="1:15">
      <c r="A3719" s="18">
        <f>Charms!K3719</f>
        <v>0</v>
      </c>
      <c r="B3719">
        <f>Charms!B3719</f>
        <v>0</v>
      </c>
      <c r="C3719" t="b">
        <f ca="1">OR(Values!$S$98&gt;=Charms!M3719,IFERROR(Charms!J3719=OFFSET(Values!$A$24,MATCH("S",Values!$T$25:$T$50,0),0),FALSE))</f>
        <v>1</v>
      </c>
      <c r="D3719" t="e">
        <f>VLOOKUP(Charms!J3719,Values!$A$11:$S$59,19,0)&gt;=Charms!L3719</f>
        <v>#N/A</v>
      </c>
      <c r="E3719" t="e">
        <f>OR(ISBLANK(Charms!I3719),(VLOOKUP(Values!$S$6,Castes!$B$2:$F$25,4,0)=Charms!I3719))</f>
        <v>#N/A</v>
      </c>
      <c r="J3719" t="e">
        <f t="shared" ca="1" si="291"/>
        <v>#N/A</v>
      </c>
      <c r="K3719" s="18" t="e">
        <f t="shared" ca="1" si="290"/>
        <v>#N/A</v>
      </c>
      <c r="L3719" t="e">
        <f ca="1">IF(J3719,Charms!B3719,"")</f>
        <v>#N/A</v>
      </c>
      <c r="M3719" t="str">
        <f t="shared" ca="1" si="292"/>
        <v>-</v>
      </c>
      <c r="N3719" s="18" t="str">
        <f t="shared" si="293"/>
        <v>K1622:L5000</v>
      </c>
      <c r="O3719" t="str">
        <f t="shared" si="294"/>
        <v>A1622:A3719</v>
      </c>
    </row>
    <row r="3720" spans="1:15">
      <c r="A3720" s="18">
        <f>Charms!K3720</f>
        <v>0</v>
      </c>
      <c r="B3720">
        <f>Charms!B3720</f>
        <v>0</v>
      </c>
      <c r="C3720" t="b">
        <f ca="1">OR(Values!$S$98&gt;=Charms!M3720,IFERROR(Charms!J3720=OFFSET(Values!$A$24,MATCH("S",Values!$T$25:$T$50,0),0),FALSE))</f>
        <v>1</v>
      </c>
      <c r="D3720" t="e">
        <f>VLOOKUP(Charms!J3720,Values!$A$11:$S$59,19,0)&gt;=Charms!L3720</f>
        <v>#N/A</v>
      </c>
      <c r="E3720" t="e">
        <f>OR(ISBLANK(Charms!I3720),(VLOOKUP(Values!$S$6,Castes!$B$2:$F$25,4,0)=Charms!I3720))</f>
        <v>#N/A</v>
      </c>
      <c r="J3720" t="e">
        <f t="shared" ca="1" si="291"/>
        <v>#N/A</v>
      </c>
      <c r="K3720" s="18" t="e">
        <f t="shared" ca="1" si="290"/>
        <v>#N/A</v>
      </c>
      <c r="L3720" t="e">
        <f ca="1">IF(J3720,Charms!B3720,"")</f>
        <v>#N/A</v>
      </c>
      <c r="M3720" t="str">
        <f t="shared" ca="1" si="292"/>
        <v>-</v>
      </c>
      <c r="N3720" s="18" t="str">
        <f t="shared" si="293"/>
        <v>K1622:L5000</v>
      </c>
      <c r="O3720" t="str">
        <f t="shared" si="294"/>
        <v>A1622:A3720</v>
      </c>
    </row>
    <row r="3721" spans="1:15">
      <c r="A3721" s="18">
        <f>Charms!K3721</f>
        <v>0</v>
      </c>
      <c r="B3721">
        <f>Charms!B3721</f>
        <v>0</v>
      </c>
      <c r="C3721" t="b">
        <f ca="1">OR(Values!$S$98&gt;=Charms!M3721,IFERROR(Charms!J3721=OFFSET(Values!$A$24,MATCH("S",Values!$T$25:$T$50,0),0),FALSE))</f>
        <v>1</v>
      </c>
      <c r="D3721" t="e">
        <f>VLOOKUP(Charms!J3721,Values!$A$11:$S$59,19,0)&gt;=Charms!L3721</f>
        <v>#N/A</v>
      </c>
      <c r="E3721" t="e">
        <f>OR(ISBLANK(Charms!I3721),(VLOOKUP(Values!$S$6,Castes!$B$2:$F$25,4,0)=Charms!I3721))</f>
        <v>#N/A</v>
      </c>
      <c r="J3721" t="e">
        <f t="shared" ca="1" si="291"/>
        <v>#N/A</v>
      </c>
      <c r="K3721" s="18" t="e">
        <f t="shared" ca="1" si="290"/>
        <v>#N/A</v>
      </c>
      <c r="L3721" t="e">
        <f ca="1">IF(J3721,Charms!B3721,"")</f>
        <v>#N/A</v>
      </c>
      <c r="M3721" t="str">
        <f t="shared" ca="1" si="292"/>
        <v>-</v>
      </c>
      <c r="N3721" s="18" t="str">
        <f t="shared" si="293"/>
        <v>K1622:L5000</v>
      </c>
      <c r="O3721" t="str">
        <f t="shared" si="294"/>
        <v>A1622:A3721</v>
      </c>
    </row>
    <row r="3722" spans="1:15">
      <c r="A3722" s="18">
        <f>Charms!K3722</f>
        <v>0</v>
      </c>
      <c r="B3722">
        <f>Charms!B3722</f>
        <v>0</v>
      </c>
      <c r="C3722" t="b">
        <f ca="1">OR(Values!$S$98&gt;=Charms!M3722,IFERROR(Charms!J3722=OFFSET(Values!$A$24,MATCH("S",Values!$T$25:$T$50,0),0),FALSE))</f>
        <v>1</v>
      </c>
      <c r="D3722" t="e">
        <f>VLOOKUP(Charms!J3722,Values!$A$11:$S$59,19,0)&gt;=Charms!L3722</f>
        <v>#N/A</v>
      </c>
      <c r="E3722" t="e">
        <f>OR(ISBLANK(Charms!I3722),(VLOOKUP(Values!$S$6,Castes!$B$2:$F$25,4,0)=Charms!I3722))</f>
        <v>#N/A</v>
      </c>
      <c r="J3722" t="e">
        <f t="shared" ca="1" si="291"/>
        <v>#N/A</v>
      </c>
      <c r="K3722" s="18" t="e">
        <f t="shared" ca="1" si="290"/>
        <v>#N/A</v>
      </c>
      <c r="L3722" t="e">
        <f ca="1">IF(J3722,Charms!B3722,"")</f>
        <v>#N/A</v>
      </c>
      <c r="M3722" t="str">
        <f t="shared" ca="1" si="292"/>
        <v>-</v>
      </c>
      <c r="N3722" s="18" t="str">
        <f t="shared" si="293"/>
        <v>K1622:L5000</v>
      </c>
      <c r="O3722" t="str">
        <f t="shared" si="294"/>
        <v>A1622:A3722</v>
      </c>
    </row>
    <row r="3723" spans="1:15">
      <c r="A3723" s="18">
        <f>Charms!K3723</f>
        <v>0</v>
      </c>
      <c r="B3723">
        <f>Charms!B3723</f>
        <v>0</v>
      </c>
      <c r="C3723" t="b">
        <f ca="1">OR(Values!$S$98&gt;=Charms!M3723,IFERROR(Charms!J3723=OFFSET(Values!$A$24,MATCH("S",Values!$T$25:$T$50,0),0),FALSE))</f>
        <v>1</v>
      </c>
      <c r="D3723" t="e">
        <f>VLOOKUP(Charms!J3723,Values!$A$11:$S$59,19,0)&gt;=Charms!L3723</f>
        <v>#N/A</v>
      </c>
      <c r="E3723" t="e">
        <f>OR(ISBLANK(Charms!I3723),(VLOOKUP(Values!$S$6,Castes!$B$2:$F$25,4,0)=Charms!I3723))</f>
        <v>#N/A</v>
      </c>
      <c r="J3723" t="e">
        <f t="shared" ca="1" si="291"/>
        <v>#N/A</v>
      </c>
      <c r="K3723" s="18" t="e">
        <f t="shared" ca="1" si="290"/>
        <v>#N/A</v>
      </c>
      <c r="L3723" t="e">
        <f ca="1">IF(J3723,Charms!B3723,"")</f>
        <v>#N/A</v>
      </c>
      <c r="M3723" t="str">
        <f t="shared" ca="1" si="292"/>
        <v>-</v>
      </c>
      <c r="N3723" s="18" t="str">
        <f t="shared" si="293"/>
        <v>K1622:L5000</v>
      </c>
      <c r="O3723" t="str">
        <f t="shared" si="294"/>
        <v>A1622:A3723</v>
      </c>
    </row>
    <row r="3724" spans="1:15">
      <c r="A3724" s="18">
        <f>Charms!K3724</f>
        <v>0</v>
      </c>
      <c r="B3724">
        <f>Charms!B3724</f>
        <v>0</v>
      </c>
      <c r="C3724" t="b">
        <f ca="1">OR(Values!$S$98&gt;=Charms!M3724,IFERROR(Charms!J3724=OFFSET(Values!$A$24,MATCH("S",Values!$T$25:$T$50,0),0),FALSE))</f>
        <v>1</v>
      </c>
      <c r="D3724" t="e">
        <f>VLOOKUP(Charms!J3724,Values!$A$11:$S$59,19,0)&gt;=Charms!L3724</f>
        <v>#N/A</v>
      </c>
      <c r="E3724" t="e">
        <f>OR(ISBLANK(Charms!I3724),(VLOOKUP(Values!$S$6,Castes!$B$2:$F$25,4,0)=Charms!I3724))</f>
        <v>#N/A</v>
      </c>
      <c r="J3724" t="e">
        <f t="shared" ca="1" si="291"/>
        <v>#N/A</v>
      </c>
      <c r="K3724" s="18" t="e">
        <f t="shared" ca="1" si="290"/>
        <v>#N/A</v>
      </c>
      <c r="L3724" t="e">
        <f ca="1">IF(J3724,Charms!B3724,"")</f>
        <v>#N/A</v>
      </c>
      <c r="M3724" t="str">
        <f t="shared" ca="1" si="292"/>
        <v>-</v>
      </c>
      <c r="N3724" s="18" t="str">
        <f t="shared" si="293"/>
        <v>K1622:L5000</v>
      </c>
      <c r="O3724" t="str">
        <f t="shared" si="294"/>
        <v>A1622:A3724</v>
      </c>
    </row>
    <row r="3725" spans="1:15">
      <c r="A3725" s="18">
        <f>Charms!K3725</f>
        <v>0</v>
      </c>
      <c r="B3725">
        <f>Charms!B3725</f>
        <v>0</v>
      </c>
      <c r="C3725" t="b">
        <f ca="1">OR(Values!$S$98&gt;=Charms!M3725,IFERROR(Charms!J3725=OFFSET(Values!$A$24,MATCH("S",Values!$T$25:$T$50,0),0),FALSE))</f>
        <v>1</v>
      </c>
      <c r="D3725" t="e">
        <f>VLOOKUP(Charms!J3725,Values!$A$11:$S$59,19,0)&gt;=Charms!L3725</f>
        <v>#N/A</v>
      </c>
      <c r="E3725" t="e">
        <f>OR(ISBLANK(Charms!I3725),(VLOOKUP(Values!$S$6,Castes!$B$2:$F$25,4,0)=Charms!I3725))</f>
        <v>#N/A</v>
      </c>
      <c r="J3725" t="e">
        <f t="shared" ca="1" si="291"/>
        <v>#N/A</v>
      </c>
      <c r="K3725" s="18" t="e">
        <f t="shared" ca="1" si="290"/>
        <v>#N/A</v>
      </c>
      <c r="L3725" t="e">
        <f ca="1">IF(J3725,Charms!B3725,"")</f>
        <v>#N/A</v>
      </c>
      <c r="M3725" t="str">
        <f t="shared" ca="1" si="292"/>
        <v>-</v>
      </c>
      <c r="N3725" s="18" t="str">
        <f t="shared" si="293"/>
        <v>K1622:L5000</v>
      </c>
      <c r="O3725" t="str">
        <f t="shared" si="294"/>
        <v>A1622:A3725</v>
      </c>
    </row>
    <row r="3726" spans="1:15">
      <c r="A3726" s="18">
        <f>Charms!K3726</f>
        <v>0</v>
      </c>
      <c r="B3726">
        <f>Charms!B3726</f>
        <v>0</v>
      </c>
      <c r="C3726" t="b">
        <f ca="1">OR(Values!$S$98&gt;=Charms!M3726,IFERROR(Charms!J3726=OFFSET(Values!$A$24,MATCH("S",Values!$T$25:$T$50,0),0),FALSE))</f>
        <v>1</v>
      </c>
      <c r="D3726" t="e">
        <f>VLOOKUP(Charms!J3726,Values!$A$11:$S$59,19,0)&gt;=Charms!L3726</f>
        <v>#N/A</v>
      </c>
      <c r="E3726" t="e">
        <f>OR(ISBLANK(Charms!I3726),(VLOOKUP(Values!$S$6,Castes!$B$2:$F$25,4,0)=Charms!I3726))</f>
        <v>#N/A</v>
      </c>
      <c r="J3726" t="e">
        <f t="shared" ca="1" si="291"/>
        <v>#N/A</v>
      </c>
      <c r="K3726" s="18" t="e">
        <f t="shared" ca="1" si="290"/>
        <v>#N/A</v>
      </c>
      <c r="L3726" t="e">
        <f ca="1">IF(J3726,Charms!B3726,"")</f>
        <v>#N/A</v>
      </c>
      <c r="M3726" t="str">
        <f t="shared" ca="1" si="292"/>
        <v>-</v>
      </c>
      <c r="N3726" s="18" t="str">
        <f t="shared" si="293"/>
        <v>K1622:L5000</v>
      </c>
      <c r="O3726" t="str">
        <f t="shared" si="294"/>
        <v>A1622:A3726</v>
      </c>
    </row>
    <row r="3727" spans="1:15">
      <c r="A3727" s="18">
        <f>Charms!K3727</f>
        <v>0</v>
      </c>
      <c r="B3727">
        <f>Charms!B3727</f>
        <v>0</v>
      </c>
      <c r="C3727" t="b">
        <f ca="1">OR(Values!$S$98&gt;=Charms!M3727,IFERROR(Charms!J3727=OFFSET(Values!$A$24,MATCH("S",Values!$T$25:$T$50,0),0),FALSE))</f>
        <v>1</v>
      </c>
      <c r="D3727" t="e">
        <f>VLOOKUP(Charms!J3727,Values!$A$11:$S$59,19,0)&gt;=Charms!L3727</f>
        <v>#N/A</v>
      </c>
      <c r="E3727" t="e">
        <f>OR(ISBLANK(Charms!I3727),(VLOOKUP(Values!$S$6,Castes!$B$2:$F$25,4,0)=Charms!I3727))</f>
        <v>#N/A</v>
      </c>
      <c r="J3727" t="e">
        <f t="shared" ca="1" si="291"/>
        <v>#N/A</v>
      </c>
      <c r="K3727" s="18" t="e">
        <f t="shared" ca="1" si="290"/>
        <v>#N/A</v>
      </c>
      <c r="L3727" t="e">
        <f ca="1">IF(J3727,Charms!B3727,"")</f>
        <v>#N/A</v>
      </c>
      <c r="M3727" t="str">
        <f t="shared" ca="1" si="292"/>
        <v>-</v>
      </c>
      <c r="N3727" s="18" t="str">
        <f t="shared" si="293"/>
        <v>K1622:L5000</v>
      </c>
      <c r="O3727" t="str">
        <f t="shared" si="294"/>
        <v>A1622:A3727</v>
      </c>
    </row>
    <row r="3728" spans="1:15">
      <c r="A3728" s="18">
        <f>Charms!K3728</f>
        <v>0</v>
      </c>
      <c r="B3728">
        <f>Charms!B3728</f>
        <v>0</v>
      </c>
      <c r="C3728" t="b">
        <f ca="1">OR(Values!$S$98&gt;=Charms!M3728,IFERROR(Charms!J3728=OFFSET(Values!$A$24,MATCH("S",Values!$T$25:$T$50,0),0),FALSE))</f>
        <v>1</v>
      </c>
      <c r="D3728" t="e">
        <f>VLOOKUP(Charms!J3728,Values!$A$11:$S$59,19,0)&gt;=Charms!L3728</f>
        <v>#N/A</v>
      </c>
      <c r="E3728" t="e">
        <f>OR(ISBLANK(Charms!I3728),(VLOOKUP(Values!$S$6,Castes!$B$2:$F$25,4,0)=Charms!I3728))</f>
        <v>#N/A</v>
      </c>
      <c r="J3728" t="e">
        <f t="shared" ca="1" si="291"/>
        <v>#N/A</v>
      </c>
      <c r="K3728" s="18" t="e">
        <f t="shared" ca="1" si="290"/>
        <v>#N/A</v>
      </c>
      <c r="L3728" t="e">
        <f ca="1">IF(J3728,Charms!B3728,"")</f>
        <v>#N/A</v>
      </c>
      <c r="M3728" t="str">
        <f t="shared" ca="1" si="292"/>
        <v>-</v>
      </c>
      <c r="N3728" s="18" t="str">
        <f t="shared" si="293"/>
        <v>K1622:L5000</v>
      </c>
      <c r="O3728" t="str">
        <f t="shared" si="294"/>
        <v>A1622:A3728</v>
      </c>
    </row>
    <row r="3729" spans="1:15">
      <c r="A3729" s="18">
        <f>Charms!K3729</f>
        <v>0</v>
      </c>
      <c r="B3729">
        <f>Charms!B3729</f>
        <v>0</v>
      </c>
      <c r="C3729" t="b">
        <f ca="1">OR(Values!$S$98&gt;=Charms!M3729,IFERROR(Charms!J3729=OFFSET(Values!$A$24,MATCH("S",Values!$T$25:$T$50,0),0),FALSE))</f>
        <v>1</v>
      </c>
      <c r="D3729" t="e">
        <f>VLOOKUP(Charms!J3729,Values!$A$11:$S$59,19,0)&gt;=Charms!L3729</f>
        <v>#N/A</v>
      </c>
      <c r="E3729" t="e">
        <f>OR(ISBLANK(Charms!I3729),(VLOOKUP(Values!$S$6,Castes!$B$2:$F$25,4,0)=Charms!I3729))</f>
        <v>#N/A</v>
      </c>
      <c r="J3729" t="e">
        <f t="shared" ca="1" si="291"/>
        <v>#N/A</v>
      </c>
      <c r="K3729" s="18" t="e">
        <f t="shared" ca="1" si="290"/>
        <v>#N/A</v>
      </c>
      <c r="L3729" t="e">
        <f ca="1">IF(J3729,Charms!B3729,"")</f>
        <v>#N/A</v>
      </c>
      <c r="M3729" t="str">
        <f t="shared" ca="1" si="292"/>
        <v>-</v>
      </c>
      <c r="N3729" s="18" t="str">
        <f t="shared" si="293"/>
        <v>K1622:L5000</v>
      </c>
      <c r="O3729" t="str">
        <f t="shared" si="294"/>
        <v>A1622:A3729</v>
      </c>
    </row>
    <row r="3730" spans="1:15">
      <c r="A3730" s="18">
        <f>Charms!K3730</f>
        <v>0</v>
      </c>
      <c r="B3730">
        <f>Charms!B3730</f>
        <v>0</v>
      </c>
      <c r="C3730" t="b">
        <f ca="1">OR(Values!$S$98&gt;=Charms!M3730,IFERROR(Charms!J3730=OFFSET(Values!$A$24,MATCH("S",Values!$T$25:$T$50,0),0),FALSE))</f>
        <v>1</v>
      </c>
      <c r="D3730" t="e">
        <f>VLOOKUP(Charms!J3730,Values!$A$11:$S$59,19,0)&gt;=Charms!L3730</f>
        <v>#N/A</v>
      </c>
      <c r="E3730" t="e">
        <f>OR(ISBLANK(Charms!I3730),(VLOOKUP(Values!$S$6,Castes!$B$2:$F$25,4,0)=Charms!I3730))</f>
        <v>#N/A</v>
      </c>
      <c r="J3730" t="e">
        <f t="shared" ca="1" si="291"/>
        <v>#N/A</v>
      </c>
      <c r="K3730" s="18" t="e">
        <f t="shared" ca="1" si="290"/>
        <v>#N/A</v>
      </c>
      <c r="L3730" t="e">
        <f ca="1">IF(J3730,Charms!B3730,"")</f>
        <v>#N/A</v>
      </c>
      <c r="M3730" t="str">
        <f t="shared" ca="1" si="292"/>
        <v>-</v>
      </c>
      <c r="N3730" s="18" t="str">
        <f t="shared" si="293"/>
        <v>K1622:L5000</v>
      </c>
      <c r="O3730" t="str">
        <f t="shared" si="294"/>
        <v>A1622:A3730</v>
      </c>
    </row>
    <row r="3731" spans="1:15">
      <c r="A3731" s="18">
        <f>Charms!K3731</f>
        <v>0</v>
      </c>
      <c r="B3731">
        <f>Charms!B3731</f>
        <v>0</v>
      </c>
      <c r="C3731" t="b">
        <f ca="1">OR(Values!$S$98&gt;=Charms!M3731,IFERROR(Charms!J3731=OFFSET(Values!$A$24,MATCH("S",Values!$T$25:$T$50,0),0),FALSE))</f>
        <v>1</v>
      </c>
      <c r="D3731" t="e">
        <f>VLOOKUP(Charms!J3731,Values!$A$11:$S$59,19,0)&gt;=Charms!L3731</f>
        <v>#N/A</v>
      </c>
      <c r="E3731" t="e">
        <f>OR(ISBLANK(Charms!I3731),(VLOOKUP(Values!$S$6,Castes!$B$2:$F$25,4,0)=Charms!I3731))</f>
        <v>#N/A</v>
      </c>
      <c r="J3731" t="e">
        <f t="shared" ca="1" si="291"/>
        <v>#N/A</v>
      </c>
      <c r="K3731" s="18" t="e">
        <f t="shared" ca="1" si="290"/>
        <v>#N/A</v>
      </c>
      <c r="L3731" t="e">
        <f ca="1">IF(J3731,Charms!B3731,"")</f>
        <v>#N/A</v>
      </c>
      <c r="M3731" t="str">
        <f t="shared" ca="1" si="292"/>
        <v>-</v>
      </c>
      <c r="N3731" s="18" t="str">
        <f t="shared" si="293"/>
        <v>K1622:L5000</v>
      </c>
      <c r="O3731" t="str">
        <f t="shared" si="294"/>
        <v>A1622:A3731</v>
      </c>
    </row>
    <row r="3732" spans="1:15">
      <c r="A3732" s="18">
        <f>Charms!K3732</f>
        <v>0</v>
      </c>
      <c r="B3732">
        <f>Charms!B3732</f>
        <v>0</v>
      </c>
      <c r="C3732" t="b">
        <f ca="1">OR(Values!$S$98&gt;=Charms!M3732,IFERROR(Charms!J3732=OFFSET(Values!$A$24,MATCH("S",Values!$T$25:$T$50,0),0),FALSE))</f>
        <v>1</v>
      </c>
      <c r="D3732" t="e">
        <f>VLOOKUP(Charms!J3732,Values!$A$11:$S$59,19,0)&gt;=Charms!L3732</f>
        <v>#N/A</v>
      </c>
      <c r="E3732" t="e">
        <f>OR(ISBLANK(Charms!I3732),(VLOOKUP(Values!$S$6,Castes!$B$2:$F$25,4,0)=Charms!I3732))</f>
        <v>#N/A</v>
      </c>
      <c r="J3732" t="e">
        <f t="shared" ca="1" si="291"/>
        <v>#N/A</v>
      </c>
      <c r="K3732" s="18" t="e">
        <f t="shared" ca="1" si="290"/>
        <v>#N/A</v>
      </c>
      <c r="L3732" t="e">
        <f ca="1">IF(J3732,Charms!B3732,"")</f>
        <v>#N/A</v>
      </c>
      <c r="M3732" t="str">
        <f t="shared" ca="1" si="292"/>
        <v>-</v>
      </c>
      <c r="N3732" s="18" t="str">
        <f t="shared" si="293"/>
        <v>K1622:L5000</v>
      </c>
      <c r="O3732" t="str">
        <f t="shared" si="294"/>
        <v>A1622:A3732</v>
      </c>
    </row>
    <row r="3733" spans="1:15">
      <c r="A3733" s="18">
        <f>Charms!K3733</f>
        <v>0</v>
      </c>
      <c r="B3733">
        <f>Charms!B3733</f>
        <v>0</v>
      </c>
      <c r="C3733" t="b">
        <f ca="1">OR(Values!$S$98&gt;=Charms!M3733,IFERROR(Charms!J3733=OFFSET(Values!$A$24,MATCH("S",Values!$T$25:$T$50,0),0),FALSE))</f>
        <v>1</v>
      </c>
      <c r="D3733" t="e">
        <f>VLOOKUP(Charms!J3733,Values!$A$11:$S$59,19,0)&gt;=Charms!L3733</f>
        <v>#N/A</v>
      </c>
      <c r="E3733" t="e">
        <f>OR(ISBLANK(Charms!I3733),(VLOOKUP(Values!$S$6,Castes!$B$2:$F$25,4,0)=Charms!I3733))</f>
        <v>#N/A</v>
      </c>
      <c r="J3733" t="e">
        <f t="shared" ca="1" si="291"/>
        <v>#N/A</v>
      </c>
      <c r="K3733" s="18" t="e">
        <f t="shared" ca="1" si="290"/>
        <v>#N/A</v>
      </c>
      <c r="L3733" t="e">
        <f ca="1">IF(J3733,Charms!B3733,"")</f>
        <v>#N/A</v>
      </c>
      <c r="M3733" t="str">
        <f t="shared" ca="1" si="292"/>
        <v>-</v>
      </c>
      <c r="N3733" s="18" t="str">
        <f t="shared" si="293"/>
        <v>K1622:L5000</v>
      </c>
      <c r="O3733" t="str">
        <f t="shared" si="294"/>
        <v>A1622:A3733</v>
      </c>
    </row>
    <row r="3734" spans="1:15">
      <c r="A3734" s="18">
        <f>Charms!K3734</f>
        <v>0</v>
      </c>
      <c r="B3734">
        <f>Charms!B3734</f>
        <v>0</v>
      </c>
      <c r="C3734" t="b">
        <f ca="1">OR(Values!$S$98&gt;=Charms!M3734,IFERROR(Charms!J3734=OFFSET(Values!$A$24,MATCH("S",Values!$T$25:$T$50,0),0),FALSE))</f>
        <v>1</v>
      </c>
      <c r="D3734" t="e">
        <f>VLOOKUP(Charms!J3734,Values!$A$11:$S$59,19,0)&gt;=Charms!L3734</f>
        <v>#N/A</v>
      </c>
      <c r="E3734" t="e">
        <f>OR(ISBLANK(Charms!I3734),(VLOOKUP(Values!$S$6,Castes!$B$2:$F$25,4,0)=Charms!I3734))</f>
        <v>#N/A</v>
      </c>
      <c r="J3734" t="e">
        <f t="shared" ca="1" si="291"/>
        <v>#N/A</v>
      </c>
      <c r="K3734" s="18" t="e">
        <f t="shared" ca="1" si="290"/>
        <v>#N/A</v>
      </c>
      <c r="L3734" t="e">
        <f ca="1">IF(J3734,Charms!B3734,"")</f>
        <v>#N/A</v>
      </c>
      <c r="M3734" t="str">
        <f t="shared" ca="1" si="292"/>
        <v>-</v>
      </c>
      <c r="N3734" s="18" t="str">
        <f t="shared" si="293"/>
        <v>K1622:L5000</v>
      </c>
      <c r="O3734" t="str">
        <f t="shared" si="294"/>
        <v>A1622:A3734</v>
      </c>
    </row>
    <row r="3735" spans="1:15">
      <c r="A3735" s="18">
        <f>Charms!K3735</f>
        <v>0</v>
      </c>
      <c r="B3735">
        <f>Charms!B3735</f>
        <v>0</v>
      </c>
      <c r="C3735" t="b">
        <f ca="1">OR(Values!$S$98&gt;=Charms!M3735,IFERROR(Charms!J3735=OFFSET(Values!$A$24,MATCH("S",Values!$T$25:$T$50,0),0),FALSE))</f>
        <v>1</v>
      </c>
      <c r="D3735" t="e">
        <f>VLOOKUP(Charms!J3735,Values!$A$11:$S$59,19,0)&gt;=Charms!L3735</f>
        <v>#N/A</v>
      </c>
      <c r="E3735" t="e">
        <f>OR(ISBLANK(Charms!I3735),(VLOOKUP(Values!$S$6,Castes!$B$2:$F$25,4,0)=Charms!I3735))</f>
        <v>#N/A</v>
      </c>
      <c r="J3735" t="e">
        <f t="shared" ca="1" si="291"/>
        <v>#N/A</v>
      </c>
      <c r="K3735" s="18" t="e">
        <f t="shared" ca="1" si="290"/>
        <v>#N/A</v>
      </c>
      <c r="L3735" t="e">
        <f ca="1">IF(J3735,Charms!B3735,"")</f>
        <v>#N/A</v>
      </c>
      <c r="M3735" t="str">
        <f t="shared" ca="1" si="292"/>
        <v>-</v>
      </c>
      <c r="N3735" s="18" t="str">
        <f t="shared" si="293"/>
        <v>K1622:L5000</v>
      </c>
      <c r="O3735" t="str">
        <f t="shared" si="294"/>
        <v>A1622:A3735</v>
      </c>
    </row>
    <row r="3736" spans="1:15">
      <c r="A3736" s="18">
        <f>Charms!K3736</f>
        <v>0</v>
      </c>
      <c r="B3736">
        <f>Charms!B3736</f>
        <v>0</v>
      </c>
      <c r="C3736" t="b">
        <f ca="1">OR(Values!$S$98&gt;=Charms!M3736,IFERROR(Charms!J3736=OFFSET(Values!$A$24,MATCH("S",Values!$T$25:$T$50,0),0),FALSE))</f>
        <v>1</v>
      </c>
      <c r="D3736" t="e">
        <f>VLOOKUP(Charms!J3736,Values!$A$11:$S$59,19,0)&gt;=Charms!L3736</f>
        <v>#N/A</v>
      </c>
      <c r="E3736" t="e">
        <f>OR(ISBLANK(Charms!I3736),(VLOOKUP(Values!$S$6,Castes!$B$2:$F$25,4,0)=Charms!I3736))</f>
        <v>#N/A</v>
      </c>
      <c r="J3736" t="e">
        <f t="shared" ca="1" si="291"/>
        <v>#N/A</v>
      </c>
      <c r="K3736" s="18" t="e">
        <f t="shared" ca="1" si="290"/>
        <v>#N/A</v>
      </c>
      <c r="L3736" t="e">
        <f ca="1">IF(J3736,Charms!B3736,"")</f>
        <v>#N/A</v>
      </c>
      <c r="M3736" t="str">
        <f t="shared" ca="1" si="292"/>
        <v>-</v>
      </c>
      <c r="N3736" s="18" t="str">
        <f t="shared" si="293"/>
        <v>K1622:L5000</v>
      </c>
      <c r="O3736" t="str">
        <f t="shared" si="294"/>
        <v>A1622:A3736</v>
      </c>
    </row>
    <row r="3737" spans="1:15">
      <c r="A3737" s="18">
        <f>Charms!K3737</f>
        <v>0</v>
      </c>
      <c r="B3737">
        <f>Charms!B3737</f>
        <v>0</v>
      </c>
      <c r="C3737" t="b">
        <f ca="1">OR(Values!$S$98&gt;=Charms!M3737,IFERROR(Charms!J3737=OFFSET(Values!$A$24,MATCH("S",Values!$T$25:$T$50,0),0),FALSE))</f>
        <v>1</v>
      </c>
      <c r="D3737" t="e">
        <f>VLOOKUP(Charms!J3737,Values!$A$11:$S$59,19,0)&gt;=Charms!L3737</f>
        <v>#N/A</v>
      </c>
      <c r="E3737" t="e">
        <f>OR(ISBLANK(Charms!I3737),(VLOOKUP(Values!$S$6,Castes!$B$2:$F$25,4,0)=Charms!I3737))</f>
        <v>#N/A</v>
      </c>
      <c r="J3737" t="e">
        <f t="shared" ca="1" si="291"/>
        <v>#N/A</v>
      </c>
      <c r="K3737" s="18" t="e">
        <f t="shared" ca="1" si="290"/>
        <v>#N/A</v>
      </c>
      <c r="L3737" t="e">
        <f ca="1">IF(J3737,Charms!B3737,"")</f>
        <v>#N/A</v>
      </c>
      <c r="M3737" t="str">
        <f t="shared" ca="1" si="292"/>
        <v>-</v>
      </c>
      <c r="N3737" s="18" t="str">
        <f t="shared" si="293"/>
        <v>K1622:L5000</v>
      </c>
      <c r="O3737" t="str">
        <f t="shared" si="294"/>
        <v>A1622:A3737</v>
      </c>
    </row>
    <row r="3738" spans="1:15">
      <c r="A3738" s="18">
        <f>Charms!K3738</f>
        <v>0</v>
      </c>
      <c r="B3738">
        <f>Charms!B3738</f>
        <v>0</v>
      </c>
      <c r="C3738" t="b">
        <f ca="1">OR(Values!$S$98&gt;=Charms!M3738,IFERROR(Charms!J3738=OFFSET(Values!$A$24,MATCH("S",Values!$T$25:$T$50,0),0),FALSE))</f>
        <v>1</v>
      </c>
      <c r="D3738" t="e">
        <f>VLOOKUP(Charms!J3738,Values!$A$11:$S$59,19,0)&gt;=Charms!L3738</f>
        <v>#N/A</v>
      </c>
      <c r="E3738" t="e">
        <f>OR(ISBLANK(Charms!I3738),(VLOOKUP(Values!$S$6,Castes!$B$2:$F$25,4,0)=Charms!I3738))</f>
        <v>#N/A</v>
      </c>
      <c r="J3738" t="e">
        <f t="shared" ca="1" si="291"/>
        <v>#N/A</v>
      </c>
      <c r="K3738" s="18" t="e">
        <f t="shared" ca="1" si="290"/>
        <v>#N/A</v>
      </c>
      <c r="L3738" t="e">
        <f ca="1">IF(J3738,Charms!B3738,"")</f>
        <v>#N/A</v>
      </c>
      <c r="M3738" t="str">
        <f t="shared" ca="1" si="292"/>
        <v>-</v>
      </c>
      <c r="N3738" s="18" t="str">
        <f t="shared" si="293"/>
        <v>K1622:L5000</v>
      </c>
      <c r="O3738" t="str">
        <f t="shared" si="294"/>
        <v>A1622:A3738</v>
      </c>
    </row>
    <row r="3739" spans="1:15">
      <c r="A3739" s="18">
        <f>Charms!K3739</f>
        <v>0</v>
      </c>
      <c r="B3739">
        <f>Charms!B3739</f>
        <v>0</v>
      </c>
      <c r="C3739" t="b">
        <f ca="1">OR(Values!$S$98&gt;=Charms!M3739,IFERROR(Charms!J3739=OFFSET(Values!$A$24,MATCH("S",Values!$T$25:$T$50,0),0),FALSE))</f>
        <v>1</v>
      </c>
      <c r="D3739" t="e">
        <f>VLOOKUP(Charms!J3739,Values!$A$11:$S$59,19,0)&gt;=Charms!L3739</f>
        <v>#N/A</v>
      </c>
      <c r="E3739" t="e">
        <f>OR(ISBLANK(Charms!I3739),(VLOOKUP(Values!$S$6,Castes!$B$2:$F$25,4,0)=Charms!I3739))</f>
        <v>#N/A</v>
      </c>
      <c r="J3739" t="e">
        <f t="shared" ca="1" si="291"/>
        <v>#N/A</v>
      </c>
      <c r="K3739" s="18" t="e">
        <f t="shared" ca="1" si="290"/>
        <v>#N/A</v>
      </c>
      <c r="L3739" t="e">
        <f ca="1">IF(J3739,Charms!B3739,"")</f>
        <v>#N/A</v>
      </c>
      <c r="M3739" t="str">
        <f t="shared" ca="1" si="292"/>
        <v>-</v>
      </c>
      <c r="N3739" s="18" t="str">
        <f t="shared" si="293"/>
        <v>K1622:L5000</v>
      </c>
      <c r="O3739" t="str">
        <f t="shared" si="294"/>
        <v>A1622:A3739</v>
      </c>
    </row>
    <row r="3740" spans="1:15">
      <c r="A3740" s="18">
        <f>Charms!K3740</f>
        <v>0</v>
      </c>
      <c r="B3740">
        <f>Charms!B3740</f>
        <v>0</v>
      </c>
      <c r="C3740" t="b">
        <f ca="1">OR(Values!$S$98&gt;=Charms!M3740,IFERROR(Charms!J3740=OFFSET(Values!$A$24,MATCH("S",Values!$T$25:$T$50,0),0),FALSE))</f>
        <v>1</v>
      </c>
      <c r="D3740" t="e">
        <f>VLOOKUP(Charms!J3740,Values!$A$11:$S$59,19,0)&gt;=Charms!L3740</f>
        <v>#N/A</v>
      </c>
      <c r="E3740" t="e">
        <f>OR(ISBLANK(Charms!I3740),(VLOOKUP(Values!$S$6,Castes!$B$2:$F$25,4,0)=Charms!I3740))</f>
        <v>#N/A</v>
      </c>
      <c r="J3740" t="e">
        <f t="shared" ca="1" si="291"/>
        <v>#N/A</v>
      </c>
      <c r="K3740" s="18" t="e">
        <f t="shared" ca="1" si="290"/>
        <v>#N/A</v>
      </c>
      <c r="L3740" t="e">
        <f ca="1">IF(J3740,Charms!B3740,"")</f>
        <v>#N/A</v>
      </c>
      <c r="M3740" t="str">
        <f t="shared" ca="1" si="292"/>
        <v>-</v>
      </c>
      <c r="N3740" s="18" t="str">
        <f t="shared" si="293"/>
        <v>K1622:L5000</v>
      </c>
      <c r="O3740" t="str">
        <f t="shared" si="294"/>
        <v>A1622:A3740</v>
      </c>
    </row>
    <row r="3741" spans="1:15">
      <c r="A3741" s="18">
        <f>Charms!K3741</f>
        <v>0</v>
      </c>
      <c r="B3741">
        <f>Charms!B3741</f>
        <v>0</v>
      </c>
      <c r="C3741" t="b">
        <f ca="1">OR(Values!$S$98&gt;=Charms!M3741,IFERROR(Charms!J3741=OFFSET(Values!$A$24,MATCH("S",Values!$T$25:$T$50,0),0),FALSE))</f>
        <v>1</v>
      </c>
      <c r="D3741" t="e">
        <f>VLOOKUP(Charms!J3741,Values!$A$11:$S$59,19,0)&gt;=Charms!L3741</f>
        <v>#N/A</v>
      </c>
      <c r="E3741" t="e">
        <f>OR(ISBLANK(Charms!I3741),(VLOOKUP(Values!$S$6,Castes!$B$2:$F$25,4,0)=Charms!I3741))</f>
        <v>#N/A</v>
      </c>
      <c r="J3741" t="e">
        <f t="shared" ca="1" si="291"/>
        <v>#N/A</v>
      </c>
      <c r="K3741" s="18" t="e">
        <f t="shared" ca="1" si="290"/>
        <v>#N/A</v>
      </c>
      <c r="L3741" t="e">
        <f ca="1">IF(J3741,Charms!B3741,"")</f>
        <v>#N/A</v>
      </c>
      <c r="M3741" t="str">
        <f t="shared" ca="1" si="292"/>
        <v>-</v>
      </c>
      <c r="N3741" s="18" t="str">
        <f t="shared" si="293"/>
        <v>K1622:L5000</v>
      </c>
      <c r="O3741" t="str">
        <f t="shared" si="294"/>
        <v>A1622:A3741</v>
      </c>
    </row>
    <row r="3742" spans="1:15">
      <c r="A3742" s="18">
        <f>Charms!K3742</f>
        <v>0</v>
      </c>
      <c r="B3742">
        <f>Charms!B3742</f>
        <v>0</v>
      </c>
      <c r="C3742" t="b">
        <f ca="1">OR(Values!$S$98&gt;=Charms!M3742,IFERROR(Charms!J3742=OFFSET(Values!$A$24,MATCH("S",Values!$T$25:$T$50,0),0),FALSE))</f>
        <v>1</v>
      </c>
      <c r="D3742" t="e">
        <f>VLOOKUP(Charms!J3742,Values!$A$11:$S$59,19,0)&gt;=Charms!L3742</f>
        <v>#N/A</v>
      </c>
      <c r="E3742" t="e">
        <f>OR(ISBLANK(Charms!I3742),(VLOOKUP(Values!$S$6,Castes!$B$2:$F$25,4,0)=Charms!I3742))</f>
        <v>#N/A</v>
      </c>
      <c r="J3742" t="e">
        <f t="shared" ca="1" si="291"/>
        <v>#N/A</v>
      </c>
      <c r="K3742" s="18" t="e">
        <f t="shared" ca="1" si="290"/>
        <v>#N/A</v>
      </c>
      <c r="L3742" t="e">
        <f ca="1">IF(J3742,Charms!B3742,"")</f>
        <v>#N/A</v>
      </c>
      <c r="M3742" t="str">
        <f t="shared" ca="1" si="292"/>
        <v>-</v>
      </c>
      <c r="N3742" s="18" t="str">
        <f t="shared" si="293"/>
        <v>K1622:L5000</v>
      </c>
      <c r="O3742" t="str">
        <f t="shared" si="294"/>
        <v>A1622:A3742</v>
      </c>
    </row>
    <row r="3743" spans="1:15">
      <c r="A3743" s="18">
        <f>Charms!K3743</f>
        <v>0</v>
      </c>
      <c r="B3743">
        <f>Charms!B3743</f>
        <v>0</v>
      </c>
      <c r="C3743" t="b">
        <f ca="1">OR(Values!$S$98&gt;=Charms!M3743,IFERROR(Charms!J3743=OFFSET(Values!$A$24,MATCH("S",Values!$T$25:$T$50,0),0),FALSE))</f>
        <v>1</v>
      </c>
      <c r="D3743" t="e">
        <f>VLOOKUP(Charms!J3743,Values!$A$11:$S$59,19,0)&gt;=Charms!L3743</f>
        <v>#N/A</v>
      </c>
      <c r="E3743" t="e">
        <f>OR(ISBLANK(Charms!I3743),(VLOOKUP(Values!$S$6,Castes!$B$2:$F$25,4,0)=Charms!I3743))</f>
        <v>#N/A</v>
      </c>
      <c r="J3743" t="e">
        <f t="shared" ca="1" si="291"/>
        <v>#N/A</v>
      </c>
      <c r="K3743" s="18" t="e">
        <f t="shared" ca="1" si="290"/>
        <v>#N/A</v>
      </c>
      <c r="L3743" t="e">
        <f ca="1">IF(J3743,Charms!B3743,"")</f>
        <v>#N/A</v>
      </c>
      <c r="M3743" t="str">
        <f t="shared" ca="1" si="292"/>
        <v>-</v>
      </c>
      <c r="N3743" s="18" t="str">
        <f t="shared" si="293"/>
        <v>K1622:L5000</v>
      </c>
      <c r="O3743" t="str">
        <f t="shared" si="294"/>
        <v>A1622:A3743</v>
      </c>
    </row>
    <row r="3744" spans="1:15">
      <c r="A3744" s="18">
        <f>Charms!K3744</f>
        <v>0</v>
      </c>
      <c r="B3744">
        <f>Charms!B3744</f>
        <v>0</v>
      </c>
      <c r="C3744" t="b">
        <f ca="1">OR(Values!$S$98&gt;=Charms!M3744,IFERROR(Charms!J3744=OFFSET(Values!$A$24,MATCH("S",Values!$T$25:$T$50,0),0),FALSE))</f>
        <v>1</v>
      </c>
      <c r="D3744" t="e">
        <f>VLOOKUP(Charms!J3744,Values!$A$11:$S$59,19,0)&gt;=Charms!L3744</f>
        <v>#N/A</v>
      </c>
      <c r="E3744" t="e">
        <f>OR(ISBLANK(Charms!I3744),(VLOOKUP(Values!$S$6,Castes!$B$2:$F$25,4,0)=Charms!I3744))</f>
        <v>#N/A</v>
      </c>
      <c r="J3744" t="e">
        <f t="shared" ca="1" si="291"/>
        <v>#N/A</v>
      </c>
      <c r="K3744" s="18" t="e">
        <f t="shared" ca="1" si="290"/>
        <v>#N/A</v>
      </c>
      <c r="L3744" t="e">
        <f ca="1">IF(J3744,Charms!B3744,"")</f>
        <v>#N/A</v>
      </c>
      <c r="M3744" t="str">
        <f t="shared" ca="1" si="292"/>
        <v>-</v>
      </c>
      <c r="N3744" s="18" t="str">
        <f t="shared" si="293"/>
        <v>K1622:L5000</v>
      </c>
      <c r="O3744" t="str">
        <f t="shared" si="294"/>
        <v>A1622:A3744</v>
      </c>
    </row>
    <row r="3745" spans="1:15">
      <c r="A3745" s="18">
        <f>Charms!K3745</f>
        <v>0</v>
      </c>
      <c r="B3745">
        <f>Charms!B3745</f>
        <v>0</v>
      </c>
      <c r="C3745" t="b">
        <f ca="1">OR(Values!$S$98&gt;=Charms!M3745,IFERROR(Charms!J3745=OFFSET(Values!$A$24,MATCH("S",Values!$T$25:$T$50,0),0),FALSE))</f>
        <v>1</v>
      </c>
      <c r="D3745" t="e">
        <f>VLOOKUP(Charms!J3745,Values!$A$11:$S$59,19,0)&gt;=Charms!L3745</f>
        <v>#N/A</v>
      </c>
      <c r="E3745" t="e">
        <f>OR(ISBLANK(Charms!I3745),(VLOOKUP(Values!$S$6,Castes!$B$2:$F$25,4,0)=Charms!I3745))</f>
        <v>#N/A</v>
      </c>
      <c r="J3745" t="e">
        <f t="shared" ca="1" si="291"/>
        <v>#N/A</v>
      </c>
      <c r="K3745" s="18" t="e">
        <f t="shared" ca="1" si="290"/>
        <v>#N/A</v>
      </c>
      <c r="L3745" t="e">
        <f ca="1">IF(J3745,Charms!B3745,"")</f>
        <v>#N/A</v>
      </c>
      <c r="M3745" t="str">
        <f t="shared" ca="1" si="292"/>
        <v>-</v>
      </c>
      <c r="N3745" s="18" t="str">
        <f t="shared" si="293"/>
        <v>K1622:L5000</v>
      </c>
      <c r="O3745" t="str">
        <f t="shared" si="294"/>
        <v>A1622:A3745</v>
      </c>
    </row>
    <row r="3746" spans="1:15">
      <c r="A3746" s="18">
        <f>Charms!K3746</f>
        <v>0</v>
      </c>
      <c r="B3746">
        <f>Charms!B3746</f>
        <v>0</v>
      </c>
      <c r="C3746" t="b">
        <f ca="1">OR(Values!$S$98&gt;=Charms!M3746,IFERROR(Charms!J3746=OFFSET(Values!$A$24,MATCH("S",Values!$T$25:$T$50,0),0),FALSE))</f>
        <v>1</v>
      </c>
      <c r="D3746" t="e">
        <f>VLOOKUP(Charms!J3746,Values!$A$11:$S$59,19,0)&gt;=Charms!L3746</f>
        <v>#N/A</v>
      </c>
      <c r="E3746" t="e">
        <f>OR(ISBLANK(Charms!I3746),(VLOOKUP(Values!$S$6,Castes!$B$2:$F$25,4,0)=Charms!I3746))</f>
        <v>#N/A</v>
      </c>
      <c r="J3746" t="e">
        <f t="shared" ca="1" si="291"/>
        <v>#N/A</v>
      </c>
      <c r="K3746" s="18" t="e">
        <f t="shared" ca="1" si="290"/>
        <v>#N/A</v>
      </c>
      <c r="L3746" t="e">
        <f ca="1">IF(J3746,Charms!B3746,"")</f>
        <v>#N/A</v>
      </c>
      <c r="M3746" t="str">
        <f t="shared" ca="1" si="292"/>
        <v>-</v>
      </c>
      <c r="N3746" s="18" t="str">
        <f t="shared" si="293"/>
        <v>K1622:L5000</v>
      </c>
      <c r="O3746" t="str">
        <f t="shared" si="294"/>
        <v>A1622:A3746</v>
      </c>
    </row>
    <row r="3747" spans="1:15">
      <c r="A3747" s="18">
        <f>Charms!K3747</f>
        <v>0</v>
      </c>
      <c r="B3747">
        <f>Charms!B3747</f>
        <v>0</v>
      </c>
      <c r="C3747" t="b">
        <f ca="1">OR(Values!$S$98&gt;=Charms!M3747,IFERROR(Charms!J3747=OFFSET(Values!$A$24,MATCH("S",Values!$T$25:$T$50,0),0),FALSE))</f>
        <v>1</v>
      </c>
      <c r="D3747" t="e">
        <f>VLOOKUP(Charms!J3747,Values!$A$11:$S$59,19,0)&gt;=Charms!L3747</f>
        <v>#N/A</v>
      </c>
      <c r="E3747" t="e">
        <f>OR(ISBLANK(Charms!I3747),(VLOOKUP(Values!$S$6,Castes!$B$2:$F$25,4,0)=Charms!I3747))</f>
        <v>#N/A</v>
      </c>
      <c r="J3747" t="e">
        <f t="shared" ca="1" si="291"/>
        <v>#N/A</v>
      </c>
      <c r="K3747" s="18" t="e">
        <f t="shared" ca="1" si="290"/>
        <v>#N/A</v>
      </c>
      <c r="L3747" t="e">
        <f ca="1">IF(J3747,Charms!B3747,"")</f>
        <v>#N/A</v>
      </c>
      <c r="M3747" t="str">
        <f t="shared" ca="1" si="292"/>
        <v>-</v>
      </c>
      <c r="N3747" s="18" t="str">
        <f t="shared" si="293"/>
        <v>K1622:L5000</v>
      </c>
      <c r="O3747" t="str">
        <f t="shared" si="294"/>
        <v>A1622:A3747</v>
      </c>
    </row>
    <row r="3748" spans="1:15">
      <c r="A3748" s="18">
        <f>Charms!K3748</f>
        <v>0</v>
      </c>
      <c r="B3748">
        <f>Charms!B3748</f>
        <v>0</v>
      </c>
      <c r="C3748" t="b">
        <f ca="1">OR(Values!$S$98&gt;=Charms!M3748,IFERROR(Charms!J3748=OFFSET(Values!$A$24,MATCH("S",Values!$T$25:$T$50,0),0),FALSE))</f>
        <v>1</v>
      </c>
      <c r="D3748" t="e">
        <f>VLOOKUP(Charms!J3748,Values!$A$11:$S$59,19,0)&gt;=Charms!L3748</f>
        <v>#N/A</v>
      </c>
      <c r="E3748" t="e">
        <f>OR(ISBLANK(Charms!I3748),(VLOOKUP(Values!$S$6,Castes!$B$2:$F$25,4,0)=Charms!I3748))</f>
        <v>#N/A</v>
      </c>
      <c r="J3748" t="e">
        <f t="shared" ca="1" si="291"/>
        <v>#N/A</v>
      </c>
      <c r="K3748" s="18" t="e">
        <f t="shared" ca="1" si="290"/>
        <v>#N/A</v>
      </c>
      <c r="L3748" t="e">
        <f ca="1">IF(J3748,Charms!B3748,"")</f>
        <v>#N/A</v>
      </c>
      <c r="M3748" t="str">
        <f t="shared" ca="1" si="292"/>
        <v>-</v>
      </c>
      <c r="N3748" s="18" t="str">
        <f t="shared" si="293"/>
        <v>K1622:L5000</v>
      </c>
      <c r="O3748" t="str">
        <f t="shared" si="294"/>
        <v>A1622:A3748</v>
      </c>
    </row>
    <row r="3749" spans="1:15">
      <c r="A3749" s="18">
        <f>Charms!K3749</f>
        <v>0</v>
      </c>
      <c r="B3749">
        <f>Charms!B3749</f>
        <v>0</v>
      </c>
      <c r="C3749" t="b">
        <f ca="1">OR(Values!$S$98&gt;=Charms!M3749,IFERROR(Charms!J3749=OFFSET(Values!$A$24,MATCH("S",Values!$T$25:$T$50,0),0),FALSE))</f>
        <v>1</v>
      </c>
      <c r="D3749" t="e">
        <f>VLOOKUP(Charms!J3749,Values!$A$11:$S$59,19,0)&gt;=Charms!L3749</f>
        <v>#N/A</v>
      </c>
      <c r="E3749" t="e">
        <f>OR(ISBLANK(Charms!I3749),(VLOOKUP(Values!$S$6,Castes!$B$2:$F$25,4,0)=Charms!I3749))</f>
        <v>#N/A</v>
      </c>
      <c r="J3749" t="e">
        <f t="shared" ca="1" si="291"/>
        <v>#N/A</v>
      </c>
      <c r="K3749" s="18" t="e">
        <f t="shared" ca="1" si="290"/>
        <v>#N/A</v>
      </c>
      <c r="L3749" t="e">
        <f ca="1">IF(J3749,Charms!B3749,"")</f>
        <v>#N/A</v>
      </c>
      <c r="M3749" t="str">
        <f t="shared" ca="1" si="292"/>
        <v>-</v>
      </c>
      <c r="N3749" s="18" t="str">
        <f t="shared" si="293"/>
        <v>K1622:L5000</v>
      </c>
      <c r="O3749" t="str">
        <f t="shared" si="294"/>
        <v>A1622:A3749</v>
      </c>
    </row>
    <row r="3750" spans="1:15">
      <c r="A3750" s="18">
        <f>Charms!K3750</f>
        <v>0</v>
      </c>
      <c r="B3750">
        <f>Charms!B3750</f>
        <v>0</v>
      </c>
      <c r="C3750" t="b">
        <f ca="1">OR(Values!$S$98&gt;=Charms!M3750,IFERROR(Charms!J3750=OFFSET(Values!$A$24,MATCH("S",Values!$T$25:$T$50,0),0),FALSE))</f>
        <v>1</v>
      </c>
      <c r="D3750" t="e">
        <f>VLOOKUP(Charms!J3750,Values!$A$11:$S$59,19,0)&gt;=Charms!L3750</f>
        <v>#N/A</v>
      </c>
      <c r="E3750" t="e">
        <f>OR(ISBLANK(Charms!I3750),(VLOOKUP(Values!$S$6,Castes!$B$2:$F$25,4,0)=Charms!I3750))</f>
        <v>#N/A</v>
      </c>
      <c r="J3750" t="e">
        <f t="shared" ca="1" si="291"/>
        <v>#N/A</v>
      </c>
      <c r="K3750" s="18" t="e">
        <f t="shared" ca="1" si="290"/>
        <v>#N/A</v>
      </c>
      <c r="L3750" t="e">
        <f ca="1">IF(J3750,Charms!B3750,"")</f>
        <v>#N/A</v>
      </c>
      <c r="M3750" t="str">
        <f t="shared" ca="1" si="292"/>
        <v>-</v>
      </c>
      <c r="N3750" s="18" t="str">
        <f t="shared" si="293"/>
        <v>K1622:L5000</v>
      </c>
      <c r="O3750" t="str">
        <f t="shared" si="294"/>
        <v>A1622:A3750</v>
      </c>
    </row>
    <row r="3751" spans="1:15">
      <c r="A3751" s="18">
        <f>Charms!K3751</f>
        <v>0</v>
      </c>
      <c r="B3751">
        <f>Charms!B3751</f>
        <v>0</v>
      </c>
      <c r="C3751" t="b">
        <f ca="1">OR(Values!$S$98&gt;=Charms!M3751,IFERROR(Charms!J3751=OFFSET(Values!$A$24,MATCH("S",Values!$T$25:$T$50,0),0),FALSE))</f>
        <v>1</v>
      </c>
      <c r="D3751" t="e">
        <f>VLOOKUP(Charms!J3751,Values!$A$11:$S$59,19,0)&gt;=Charms!L3751</f>
        <v>#N/A</v>
      </c>
      <c r="E3751" t="e">
        <f>OR(ISBLANK(Charms!I3751),(VLOOKUP(Values!$S$6,Castes!$B$2:$F$25,4,0)=Charms!I3751))</f>
        <v>#N/A</v>
      </c>
      <c r="J3751" t="e">
        <f t="shared" ca="1" si="291"/>
        <v>#N/A</v>
      </c>
      <c r="K3751" s="18" t="e">
        <f t="shared" ca="1" si="290"/>
        <v>#N/A</v>
      </c>
      <c r="L3751" t="e">
        <f ca="1">IF(J3751,Charms!B3751,"")</f>
        <v>#N/A</v>
      </c>
      <c r="M3751" t="str">
        <f t="shared" ca="1" si="292"/>
        <v>-</v>
      </c>
      <c r="N3751" s="18" t="str">
        <f t="shared" si="293"/>
        <v>K1622:L5000</v>
      </c>
      <c r="O3751" t="str">
        <f t="shared" si="294"/>
        <v>A1622:A3751</v>
      </c>
    </row>
    <row r="3752" spans="1:15">
      <c r="A3752" s="18">
        <f>Charms!K3752</f>
        <v>0</v>
      </c>
      <c r="B3752">
        <f>Charms!B3752</f>
        <v>0</v>
      </c>
      <c r="C3752" t="b">
        <f ca="1">OR(Values!$S$98&gt;=Charms!M3752,IFERROR(Charms!J3752=OFFSET(Values!$A$24,MATCH("S",Values!$T$25:$T$50,0),0),FALSE))</f>
        <v>1</v>
      </c>
      <c r="D3752" t="e">
        <f>VLOOKUP(Charms!J3752,Values!$A$11:$S$59,19,0)&gt;=Charms!L3752</f>
        <v>#N/A</v>
      </c>
      <c r="E3752" t="e">
        <f>OR(ISBLANK(Charms!I3752),(VLOOKUP(Values!$S$6,Castes!$B$2:$F$25,4,0)=Charms!I3752))</f>
        <v>#N/A</v>
      </c>
      <c r="J3752" t="e">
        <f t="shared" ca="1" si="291"/>
        <v>#N/A</v>
      </c>
      <c r="K3752" s="18" t="e">
        <f t="shared" ca="1" si="290"/>
        <v>#N/A</v>
      </c>
      <c r="L3752" t="e">
        <f ca="1">IF(J3752,Charms!B3752,"")</f>
        <v>#N/A</v>
      </c>
      <c r="M3752" t="str">
        <f t="shared" ca="1" si="292"/>
        <v>-</v>
      </c>
      <c r="N3752" s="18" t="str">
        <f t="shared" si="293"/>
        <v>K1622:L5000</v>
      </c>
      <c r="O3752" t="str">
        <f t="shared" si="294"/>
        <v>A1622:A3752</v>
      </c>
    </row>
    <row r="3753" spans="1:15">
      <c r="A3753" s="18">
        <f>Charms!K3753</f>
        <v>0</v>
      </c>
      <c r="B3753">
        <f>Charms!B3753</f>
        <v>0</v>
      </c>
      <c r="C3753" t="b">
        <f ca="1">OR(Values!$S$98&gt;=Charms!M3753,IFERROR(Charms!J3753=OFFSET(Values!$A$24,MATCH("S",Values!$T$25:$T$50,0),0),FALSE))</f>
        <v>1</v>
      </c>
      <c r="D3753" t="e">
        <f>VLOOKUP(Charms!J3753,Values!$A$11:$S$59,19,0)&gt;=Charms!L3753</f>
        <v>#N/A</v>
      </c>
      <c r="E3753" t="e">
        <f>OR(ISBLANK(Charms!I3753),(VLOOKUP(Values!$S$6,Castes!$B$2:$F$25,4,0)=Charms!I3753))</f>
        <v>#N/A</v>
      </c>
      <c r="J3753" t="e">
        <f t="shared" ca="1" si="291"/>
        <v>#N/A</v>
      </c>
      <c r="K3753" s="18" t="e">
        <f t="shared" ca="1" si="290"/>
        <v>#N/A</v>
      </c>
      <c r="L3753" t="e">
        <f ca="1">IF(J3753,Charms!B3753,"")</f>
        <v>#N/A</v>
      </c>
      <c r="M3753" t="str">
        <f t="shared" ca="1" si="292"/>
        <v>-</v>
      </c>
      <c r="N3753" s="18" t="str">
        <f t="shared" si="293"/>
        <v>K1622:L5000</v>
      </c>
      <c r="O3753" t="str">
        <f t="shared" si="294"/>
        <v>A1622:A3753</v>
      </c>
    </row>
    <row r="3754" spans="1:15">
      <c r="A3754" s="18">
        <f>Charms!K3754</f>
        <v>0</v>
      </c>
      <c r="B3754">
        <f>Charms!B3754</f>
        <v>0</v>
      </c>
      <c r="C3754" t="b">
        <f ca="1">OR(Values!$S$98&gt;=Charms!M3754,IFERROR(Charms!J3754=OFFSET(Values!$A$24,MATCH("S",Values!$T$25:$T$50,0),0),FALSE))</f>
        <v>1</v>
      </c>
      <c r="D3754" t="e">
        <f>VLOOKUP(Charms!J3754,Values!$A$11:$S$59,19,0)&gt;=Charms!L3754</f>
        <v>#N/A</v>
      </c>
      <c r="E3754" t="e">
        <f>OR(ISBLANK(Charms!I3754),(VLOOKUP(Values!$S$6,Castes!$B$2:$F$25,4,0)=Charms!I3754))</f>
        <v>#N/A</v>
      </c>
      <c r="J3754" t="e">
        <f t="shared" ca="1" si="291"/>
        <v>#N/A</v>
      </c>
      <c r="K3754" s="18" t="e">
        <f t="shared" ca="1" si="290"/>
        <v>#N/A</v>
      </c>
      <c r="L3754" t="e">
        <f ca="1">IF(J3754,Charms!B3754,"")</f>
        <v>#N/A</v>
      </c>
      <c r="M3754" t="str">
        <f t="shared" ca="1" si="292"/>
        <v>-</v>
      </c>
      <c r="N3754" s="18" t="str">
        <f t="shared" si="293"/>
        <v>K1622:L5000</v>
      </c>
      <c r="O3754" t="str">
        <f t="shared" si="294"/>
        <v>A1622:A3754</v>
      </c>
    </row>
    <row r="3755" spans="1:15">
      <c r="A3755" s="18">
        <f>Charms!K3755</f>
        <v>0</v>
      </c>
      <c r="B3755">
        <f>Charms!B3755</f>
        <v>0</v>
      </c>
      <c r="C3755" t="b">
        <f ca="1">OR(Values!$S$98&gt;=Charms!M3755,IFERROR(Charms!J3755=OFFSET(Values!$A$24,MATCH("S",Values!$T$25:$T$50,0),0),FALSE))</f>
        <v>1</v>
      </c>
      <c r="D3755" t="e">
        <f>VLOOKUP(Charms!J3755,Values!$A$11:$S$59,19,0)&gt;=Charms!L3755</f>
        <v>#N/A</v>
      </c>
      <c r="E3755" t="e">
        <f>OR(ISBLANK(Charms!I3755),(VLOOKUP(Values!$S$6,Castes!$B$2:$F$25,4,0)=Charms!I3755))</f>
        <v>#N/A</v>
      </c>
      <c r="J3755" t="e">
        <f t="shared" ca="1" si="291"/>
        <v>#N/A</v>
      </c>
      <c r="K3755" s="18" t="e">
        <f t="shared" ca="1" si="290"/>
        <v>#N/A</v>
      </c>
      <c r="L3755" t="e">
        <f ca="1">IF(J3755,Charms!B3755,"")</f>
        <v>#N/A</v>
      </c>
      <c r="M3755" t="str">
        <f t="shared" ca="1" si="292"/>
        <v>-</v>
      </c>
      <c r="N3755" s="18" t="str">
        <f t="shared" si="293"/>
        <v>K1622:L5000</v>
      </c>
      <c r="O3755" t="str">
        <f t="shared" si="294"/>
        <v>A1622:A3755</v>
      </c>
    </row>
    <row r="3756" spans="1:15">
      <c r="A3756" s="18">
        <f>Charms!K3756</f>
        <v>0</v>
      </c>
      <c r="B3756">
        <f>Charms!B3756</f>
        <v>0</v>
      </c>
      <c r="C3756" t="b">
        <f ca="1">OR(Values!$S$98&gt;=Charms!M3756,IFERROR(Charms!J3756=OFFSET(Values!$A$24,MATCH("S",Values!$T$25:$T$50,0),0),FALSE))</f>
        <v>1</v>
      </c>
      <c r="D3756" t="e">
        <f>VLOOKUP(Charms!J3756,Values!$A$11:$S$59,19,0)&gt;=Charms!L3756</f>
        <v>#N/A</v>
      </c>
      <c r="E3756" t="e">
        <f>OR(ISBLANK(Charms!I3756),(VLOOKUP(Values!$S$6,Castes!$B$2:$F$25,4,0)=Charms!I3756))</f>
        <v>#N/A</v>
      </c>
      <c r="J3756" t="e">
        <f t="shared" ca="1" si="291"/>
        <v>#N/A</v>
      </c>
      <c r="K3756" s="18" t="e">
        <f t="shared" ca="1" si="290"/>
        <v>#N/A</v>
      </c>
      <c r="L3756" t="e">
        <f ca="1">IF(J3756,Charms!B3756,"")</f>
        <v>#N/A</v>
      </c>
      <c r="M3756" t="str">
        <f t="shared" ca="1" si="292"/>
        <v>-</v>
      </c>
      <c r="N3756" s="18" t="str">
        <f t="shared" si="293"/>
        <v>K1622:L5000</v>
      </c>
      <c r="O3756" t="str">
        <f t="shared" si="294"/>
        <v>A1622:A3756</v>
      </c>
    </row>
    <row r="3757" spans="1:15">
      <c r="A3757" s="18">
        <f>Charms!K3757</f>
        <v>0</v>
      </c>
      <c r="B3757">
        <f>Charms!B3757</f>
        <v>0</v>
      </c>
      <c r="C3757" t="b">
        <f ca="1">OR(Values!$S$98&gt;=Charms!M3757,IFERROR(Charms!J3757=OFFSET(Values!$A$24,MATCH("S",Values!$T$25:$T$50,0),0),FALSE))</f>
        <v>1</v>
      </c>
      <c r="D3757" t="e">
        <f>VLOOKUP(Charms!J3757,Values!$A$11:$S$59,19,0)&gt;=Charms!L3757</f>
        <v>#N/A</v>
      </c>
      <c r="E3757" t="e">
        <f>OR(ISBLANK(Charms!I3757),(VLOOKUP(Values!$S$6,Castes!$B$2:$F$25,4,0)=Charms!I3757))</f>
        <v>#N/A</v>
      </c>
      <c r="J3757" t="e">
        <f t="shared" ca="1" si="291"/>
        <v>#N/A</v>
      </c>
      <c r="K3757" s="18" t="e">
        <f t="shared" ca="1" si="290"/>
        <v>#N/A</v>
      </c>
      <c r="L3757" t="e">
        <f ca="1">IF(J3757,Charms!B3757,"")</f>
        <v>#N/A</v>
      </c>
      <c r="M3757" t="str">
        <f t="shared" ca="1" si="292"/>
        <v>-</v>
      </c>
      <c r="N3757" s="18" t="str">
        <f t="shared" si="293"/>
        <v>K1622:L5000</v>
      </c>
      <c r="O3757" t="str">
        <f t="shared" si="294"/>
        <v>A1622:A3757</v>
      </c>
    </row>
    <row r="3758" spans="1:15">
      <c r="A3758" s="18">
        <f>Charms!K3758</f>
        <v>0</v>
      </c>
      <c r="B3758">
        <f>Charms!B3758</f>
        <v>0</v>
      </c>
      <c r="C3758" t="b">
        <f ca="1">OR(Values!$S$98&gt;=Charms!M3758,IFERROR(Charms!J3758=OFFSET(Values!$A$24,MATCH("S",Values!$T$25:$T$50,0),0),FALSE))</f>
        <v>1</v>
      </c>
      <c r="D3758" t="e">
        <f>VLOOKUP(Charms!J3758,Values!$A$11:$S$59,19,0)&gt;=Charms!L3758</f>
        <v>#N/A</v>
      </c>
      <c r="E3758" t="e">
        <f>OR(ISBLANK(Charms!I3758),(VLOOKUP(Values!$S$6,Castes!$B$2:$F$25,4,0)=Charms!I3758))</f>
        <v>#N/A</v>
      </c>
      <c r="J3758" t="e">
        <f t="shared" ca="1" si="291"/>
        <v>#N/A</v>
      </c>
      <c r="K3758" s="18" t="e">
        <f t="shared" ca="1" si="290"/>
        <v>#N/A</v>
      </c>
      <c r="L3758" t="e">
        <f ca="1">IF(J3758,Charms!B3758,"")</f>
        <v>#N/A</v>
      </c>
      <c r="M3758" t="str">
        <f t="shared" ca="1" si="292"/>
        <v>-</v>
      </c>
      <c r="N3758" s="18" t="str">
        <f t="shared" si="293"/>
        <v>K1622:L5000</v>
      </c>
      <c r="O3758" t="str">
        <f t="shared" si="294"/>
        <v>A1622:A3758</v>
      </c>
    </row>
    <row r="3759" spans="1:15">
      <c r="A3759" s="18">
        <f>Charms!K3759</f>
        <v>0</v>
      </c>
      <c r="B3759">
        <f>Charms!B3759</f>
        <v>0</v>
      </c>
      <c r="C3759" t="b">
        <f ca="1">OR(Values!$S$98&gt;=Charms!M3759,IFERROR(Charms!J3759=OFFSET(Values!$A$24,MATCH("S",Values!$T$25:$T$50,0),0),FALSE))</f>
        <v>1</v>
      </c>
      <c r="D3759" t="e">
        <f>VLOOKUP(Charms!J3759,Values!$A$11:$S$59,19,0)&gt;=Charms!L3759</f>
        <v>#N/A</v>
      </c>
      <c r="E3759" t="e">
        <f>OR(ISBLANK(Charms!I3759),(VLOOKUP(Values!$S$6,Castes!$B$2:$F$25,4,0)=Charms!I3759))</f>
        <v>#N/A</v>
      </c>
      <c r="J3759" t="e">
        <f t="shared" ca="1" si="291"/>
        <v>#N/A</v>
      </c>
      <c r="K3759" s="18" t="e">
        <f t="shared" ca="1" si="290"/>
        <v>#N/A</v>
      </c>
      <c r="L3759" t="e">
        <f ca="1">IF(J3759,Charms!B3759,"")</f>
        <v>#N/A</v>
      </c>
      <c r="M3759" t="str">
        <f t="shared" ca="1" si="292"/>
        <v>-</v>
      </c>
      <c r="N3759" s="18" t="str">
        <f t="shared" si="293"/>
        <v>K1622:L5000</v>
      </c>
      <c r="O3759" t="str">
        <f t="shared" si="294"/>
        <v>A1622:A3759</v>
      </c>
    </row>
    <row r="3760" spans="1:15">
      <c r="A3760" s="18">
        <f>Charms!K3760</f>
        <v>0</v>
      </c>
      <c r="B3760">
        <f>Charms!B3760</f>
        <v>0</v>
      </c>
      <c r="C3760" t="b">
        <f ca="1">OR(Values!$S$98&gt;=Charms!M3760,IFERROR(Charms!J3760=OFFSET(Values!$A$24,MATCH("S",Values!$T$25:$T$50,0),0),FALSE))</f>
        <v>1</v>
      </c>
      <c r="D3760" t="e">
        <f>VLOOKUP(Charms!J3760,Values!$A$11:$S$59,19,0)&gt;=Charms!L3760</f>
        <v>#N/A</v>
      </c>
      <c r="E3760" t="e">
        <f>OR(ISBLANK(Charms!I3760),(VLOOKUP(Values!$S$6,Castes!$B$2:$F$25,4,0)=Charms!I3760))</f>
        <v>#N/A</v>
      </c>
      <c r="J3760" t="e">
        <f t="shared" ca="1" si="291"/>
        <v>#N/A</v>
      </c>
      <c r="K3760" s="18" t="e">
        <f t="shared" ca="1" si="290"/>
        <v>#N/A</v>
      </c>
      <c r="L3760" t="e">
        <f ca="1">IF(J3760,Charms!B3760,"")</f>
        <v>#N/A</v>
      </c>
      <c r="M3760" t="str">
        <f t="shared" ca="1" si="292"/>
        <v>-</v>
      </c>
      <c r="N3760" s="18" t="str">
        <f t="shared" si="293"/>
        <v>K1622:L5000</v>
      </c>
      <c r="O3760" t="str">
        <f t="shared" si="294"/>
        <v>A1622:A3760</v>
      </c>
    </row>
    <row r="3761" spans="1:15">
      <c r="A3761" s="18">
        <f>Charms!K3761</f>
        <v>0</v>
      </c>
      <c r="B3761">
        <f>Charms!B3761</f>
        <v>0</v>
      </c>
      <c r="C3761" t="b">
        <f ca="1">OR(Values!$S$98&gt;=Charms!M3761,IFERROR(Charms!J3761=OFFSET(Values!$A$24,MATCH("S",Values!$T$25:$T$50,0),0),FALSE))</f>
        <v>1</v>
      </c>
      <c r="D3761" t="e">
        <f>VLOOKUP(Charms!J3761,Values!$A$11:$S$59,19,0)&gt;=Charms!L3761</f>
        <v>#N/A</v>
      </c>
      <c r="E3761" t="e">
        <f>OR(ISBLANK(Charms!I3761),(VLOOKUP(Values!$S$6,Castes!$B$2:$F$25,4,0)=Charms!I3761))</f>
        <v>#N/A</v>
      </c>
      <c r="J3761" t="e">
        <f t="shared" ca="1" si="291"/>
        <v>#N/A</v>
      </c>
      <c r="K3761" s="18" t="e">
        <f t="shared" ca="1" si="290"/>
        <v>#N/A</v>
      </c>
      <c r="L3761" t="e">
        <f ca="1">IF(J3761,Charms!B3761,"")</f>
        <v>#N/A</v>
      </c>
      <c r="M3761" t="str">
        <f t="shared" ca="1" si="292"/>
        <v>-</v>
      </c>
      <c r="N3761" s="18" t="str">
        <f t="shared" si="293"/>
        <v>K1622:L5000</v>
      </c>
      <c r="O3761" t="str">
        <f t="shared" si="294"/>
        <v>A1622:A3761</v>
      </c>
    </row>
    <row r="3762" spans="1:15">
      <c r="A3762" s="18">
        <f>Charms!K3762</f>
        <v>0</v>
      </c>
      <c r="B3762">
        <f>Charms!B3762</f>
        <v>0</v>
      </c>
      <c r="C3762" t="b">
        <f ca="1">OR(Values!$S$98&gt;=Charms!M3762,IFERROR(Charms!J3762=OFFSET(Values!$A$24,MATCH("S",Values!$T$25:$T$50,0),0),FALSE))</f>
        <v>1</v>
      </c>
      <c r="D3762" t="e">
        <f>VLOOKUP(Charms!J3762,Values!$A$11:$S$59,19,0)&gt;=Charms!L3762</f>
        <v>#N/A</v>
      </c>
      <c r="E3762" t="e">
        <f>OR(ISBLANK(Charms!I3762),(VLOOKUP(Values!$S$6,Castes!$B$2:$F$25,4,0)=Charms!I3762))</f>
        <v>#N/A</v>
      </c>
      <c r="J3762" t="e">
        <f t="shared" ca="1" si="291"/>
        <v>#N/A</v>
      </c>
      <c r="K3762" s="18" t="e">
        <f t="shared" ca="1" si="290"/>
        <v>#N/A</v>
      </c>
      <c r="L3762" t="e">
        <f ca="1">IF(J3762,Charms!B3762,"")</f>
        <v>#N/A</v>
      </c>
      <c r="M3762" t="str">
        <f t="shared" ca="1" si="292"/>
        <v>-</v>
      </c>
      <c r="N3762" s="18" t="str">
        <f t="shared" si="293"/>
        <v>K1622:L5000</v>
      </c>
      <c r="O3762" t="str">
        <f t="shared" si="294"/>
        <v>A1622:A3762</v>
      </c>
    </row>
    <row r="3763" spans="1:15">
      <c r="A3763" s="18">
        <f>Charms!K3763</f>
        <v>0</v>
      </c>
      <c r="B3763">
        <f>Charms!B3763</f>
        <v>0</v>
      </c>
      <c r="C3763" t="b">
        <f ca="1">OR(Values!$S$98&gt;=Charms!M3763,IFERROR(Charms!J3763=OFFSET(Values!$A$24,MATCH("S",Values!$T$25:$T$50,0),0),FALSE))</f>
        <v>1</v>
      </c>
      <c r="D3763" t="e">
        <f>VLOOKUP(Charms!J3763,Values!$A$11:$S$59,19,0)&gt;=Charms!L3763</f>
        <v>#N/A</v>
      </c>
      <c r="E3763" t="e">
        <f>OR(ISBLANK(Charms!I3763),(VLOOKUP(Values!$S$6,Castes!$B$2:$F$25,4,0)=Charms!I3763))</f>
        <v>#N/A</v>
      </c>
      <c r="J3763" t="e">
        <f t="shared" ca="1" si="291"/>
        <v>#N/A</v>
      </c>
      <c r="K3763" s="18" t="e">
        <f t="shared" ca="1" si="290"/>
        <v>#N/A</v>
      </c>
      <c r="L3763" t="e">
        <f ca="1">IF(J3763,Charms!B3763,"")</f>
        <v>#N/A</v>
      </c>
      <c r="M3763" t="str">
        <f t="shared" ca="1" si="292"/>
        <v>-</v>
      </c>
      <c r="N3763" s="18" t="str">
        <f t="shared" si="293"/>
        <v>K1622:L5000</v>
      </c>
      <c r="O3763" t="str">
        <f t="shared" si="294"/>
        <v>A1622:A3763</v>
      </c>
    </row>
    <row r="3764" spans="1:15">
      <c r="A3764" s="18">
        <f>Charms!K3764</f>
        <v>0</v>
      </c>
      <c r="B3764">
        <f>Charms!B3764</f>
        <v>0</v>
      </c>
      <c r="C3764" t="b">
        <f ca="1">OR(Values!$S$98&gt;=Charms!M3764,IFERROR(Charms!J3764=OFFSET(Values!$A$24,MATCH("S",Values!$T$25:$T$50,0),0),FALSE))</f>
        <v>1</v>
      </c>
      <c r="D3764" t="e">
        <f>VLOOKUP(Charms!J3764,Values!$A$11:$S$59,19,0)&gt;=Charms!L3764</f>
        <v>#N/A</v>
      </c>
      <c r="E3764" t="e">
        <f>OR(ISBLANK(Charms!I3764),(VLOOKUP(Values!$S$6,Castes!$B$2:$F$25,4,0)=Charms!I3764))</f>
        <v>#N/A</v>
      </c>
      <c r="J3764" t="e">
        <f t="shared" ca="1" si="291"/>
        <v>#N/A</v>
      </c>
      <c r="K3764" s="18" t="e">
        <f t="shared" ca="1" si="290"/>
        <v>#N/A</v>
      </c>
      <c r="L3764" t="e">
        <f ca="1">IF(J3764,Charms!B3764,"")</f>
        <v>#N/A</v>
      </c>
      <c r="M3764" t="str">
        <f t="shared" ca="1" si="292"/>
        <v>-</v>
      </c>
      <c r="N3764" s="18" t="str">
        <f t="shared" si="293"/>
        <v>K1622:L5000</v>
      </c>
      <c r="O3764" t="str">
        <f t="shared" si="294"/>
        <v>A1622:A3764</v>
      </c>
    </row>
    <row r="3765" spans="1:15">
      <c r="A3765" s="18">
        <f>Charms!K3765</f>
        <v>0</v>
      </c>
      <c r="B3765">
        <f>Charms!B3765</f>
        <v>0</v>
      </c>
      <c r="C3765" t="b">
        <f ca="1">OR(Values!$S$98&gt;=Charms!M3765,IFERROR(Charms!J3765=OFFSET(Values!$A$24,MATCH("S",Values!$T$25:$T$50,0),0),FALSE))</f>
        <v>1</v>
      </c>
      <c r="D3765" t="e">
        <f>VLOOKUP(Charms!J3765,Values!$A$11:$S$59,19,0)&gt;=Charms!L3765</f>
        <v>#N/A</v>
      </c>
      <c r="E3765" t="e">
        <f>OR(ISBLANK(Charms!I3765),(VLOOKUP(Values!$S$6,Castes!$B$2:$F$25,4,0)=Charms!I3765))</f>
        <v>#N/A</v>
      </c>
      <c r="J3765" t="e">
        <f t="shared" ca="1" si="291"/>
        <v>#N/A</v>
      </c>
      <c r="K3765" s="18" t="e">
        <f t="shared" ca="1" si="290"/>
        <v>#N/A</v>
      </c>
      <c r="L3765" t="e">
        <f ca="1">IF(J3765,Charms!B3765,"")</f>
        <v>#N/A</v>
      </c>
      <c r="M3765" t="str">
        <f t="shared" ca="1" si="292"/>
        <v>-</v>
      </c>
      <c r="N3765" s="18" t="str">
        <f t="shared" si="293"/>
        <v>K1622:L5000</v>
      </c>
      <c r="O3765" t="str">
        <f t="shared" si="294"/>
        <v>A1622:A3765</v>
      </c>
    </row>
    <row r="3766" spans="1:15">
      <c r="A3766" s="18">
        <f>Charms!K3766</f>
        <v>0</v>
      </c>
      <c r="B3766">
        <f>Charms!B3766</f>
        <v>0</v>
      </c>
      <c r="C3766" t="b">
        <f ca="1">OR(Values!$S$98&gt;=Charms!M3766,IFERROR(Charms!J3766=OFFSET(Values!$A$24,MATCH("S",Values!$T$25:$T$50,0),0),FALSE))</f>
        <v>1</v>
      </c>
      <c r="D3766" t="e">
        <f>VLOOKUP(Charms!J3766,Values!$A$11:$S$59,19,0)&gt;=Charms!L3766</f>
        <v>#N/A</v>
      </c>
      <c r="E3766" t="e">
        <f>OR(ISBLANK(Charms!I3766),(VLOOKUP(Values!$S$6,Castes!$B$2:$F$25,4,0)=Charms!I3766))</f>
        <v>#N/A</v>
      </c>
      <c r="J3766" t="e">
        <f t="shared" ca="1" si="291"/>
        <v>#N/A</v>
      </c>
      <c r="K3766" s="18" t="e">
        <f t="shared" ca="1" si="290"/>
        <v>#N/A</v>
      </c>
      <c r="L3766" t="e">
        <f ca="1">IF(J3766,Charms!B3766,"")</f>
        <v>#N/A</v>
      </c>
      <c r="M3766" t="str">
        <f t="shared" ca="1" si="292"/>
        <v>-</v>
      </c>
      <c r="N3766" s="18" t="str">
        <f t="shared" si="293"/>
        <v>K1622:L5000</v>
      </c>
      <c r="O3766" t="str">
        <f t="shared" si="294"/>
        <v>A1622:A3766</v>
      </c>
    </row>
    <row r="3767" spans="1:15">
      <c r="A3767" s="18">
        <f>Charms!K3767</f>
        <v>0</v>
      </c>
      <c r="B3767">
        <f>Charms!B3767</f>
        <v>0</v>
      </c>
      <c r="C3767" t="b">
        <f ca="1">OR(Values!$S$98&gt;=Charms!M3767,IFERROR(Charms!J3767=OFFSET(Values!$A$24,MATCH("S",Values!$T$25:$T$50,0),0),FALSE))</f>
        <v>1</v>
      </c>
      <c r="D3767" t="e">
        <f>VLOOKUP(Charms!J3767,Values!$A$11:$S$59,19,0)&gt;=Charms!L3767</f>
        <v>#N/A</v>
      </c>
      <c r="E3767" t="e">
        <f>OR(ISBLANK(Charms!I3767),(VLOOKUP(Values!$S$6,Castes!$B$2:$F$25,4,0)=Charms!I3767))</f>
        <v>#N/A</v>
      </c>
      <c r="J3767" t="e">
        <f t="shared" ca="1" si="291"/>
        <v>#N/A</v>
      </c>
      <c r="K3767" s="18" t="e">
        <f t="shared" ca="1" si="290"/>
        <v>#N/A</v>
      </c>
      <c r="L3767" t="e">
        <f ca="1">IF(J3767,Charms!B3767,"")</f>
        <v>#N/A</v>
      </c>
      <c r="M3767" t="str">
        <f t="shared" ca="1" si="292"/>
        <v>-</v>
      </c>
      <c r="N3767" s="18" t="str">
        <f t="shared" si="293"/>
        <v>K1622:L5000</v>
      </c>
      <c r="O3767" t="str">
        <f t="shared" si="294"/>
        <v>A1622:A3767</v>
      </c>
    </row>
    <row r="3768" spans="1:15">
      <c r="A3768" s="18">
        <f>Charms!K3768</f>
        <v>0</v>
      </c>
      <c r="B3768">
        <f>Charms!B3768</f>
        <v>0</v>
      </c>
      <c r="C3768" t="b">
        <f ca="1">OR(Values!$S$98&gt;=Charms!M3768,IFERROR(Charms!J3768=OFFSET(Values!$A$24,MATCH("S",Values!$T$25:$T$50,0),0),FALSE))</f>
        <v>1</v>
      </c>
      <c r="D3768" t="e">
        <f>VLOOKUP(Charms!J3768,Values!$A$11:$S$59,19,0)&gt;=Charms!L3768</f>
        <v>#N/A</v>
      </c>
      <c r="E3768" t="e">
        <f>OR(ISBLANK(Charms!I3768),(VLOOKUP(Values!$S$6,Castes!$B$2:$F$25,4,0)=Charms!I3768))</f>
        <v>#N/A</v>
      </c>
      <c r="J3768" t="e">
        <f t="shared" ca="1" si="291"/>
        <v>#N/A</v>
      </c>
      <c r="K3768" s="18" t="e">
        <f t="shared" ca="1" si="290"/>
        <v>#N/A</v>
      </c>
      <c r="L3768" t="e">
        <f ca="1">IF(J3768,Charms!B3768,"")</f>
        <v>#N/A</v>
      </c>
      <c r="M3768" t="str">
        <f t="shared" ca="1" si="292"/>
        <v>-</v>
      </c>
      <c r="N3768" s="18" t="str">
        <f t="shared" si="293"/>
        <v>K1622:L5000</v>
      </c>
      <c r="O3768" t="str">
        <f t="shared" si="294"/>
        <v>A1622:A3768</v>
      </c>
    </row>
    <row r="3769" spans="1:15">
      <c r="A3769" s="18">
        <f>Charms!K3769</f>
        <v>0</v>
      </c>
      <c r="B3769">
        <f>Charms!B3769</f>
        <v>0</v>
      </c>
      <c r="C3769" t="b">
        <f ca="1">OR(Values!$S$98&gt;=Charms!M3769,IFERROR(Charms!J3769=OFFSET(Values!$A$24,MATCH("S",Values!$T$25:$T$50,0),0),FALSE))</f>
        <v>1</v>
      </c>
      <c r="D3769" t="e">
        <f>VLOOKUP(Charms!J3769,Values!$A$11:$S$59,19,0)&gt;=Charms!L3769</f>
        <v>#N/A</v>
      </c>
      <c r="E3769" t="e">
        <f>OR(ISBLANK(Charms!I3769),(VLOOKUP(Values!$S$6,Castes!$B$2:$F$25,4,0)=Charms!I3769))</f>
        <v>#N/A</v>
      </c>
      <c r="J3769" t="e">
        <f t="shared" ca="1" si="291"/>
        <v>#N/A</v>
      </c>
      <c r="K3769" s="18" t="e">
        <f t="shared" ca="1" si="290"/>
        <v>#N/A</v>
      </c>
      <c r="L3769" t="e">
        <f ca="1">IF(J3769,Charms!B3769,"")</f>
        <v>#N/A</v>
      </c>
      <c r="M3769" t="str">
        <f t="shared" ca="1" si="292"/>
        <v>-</v>
      </c>
      <c r="N3769" s="18" t="str">
        <f t="shared" si="293"/>
        <v>K1622:L5000</v>
      </c>
      <c r="O3769" t="str">
        <f t="shared" si="294"/>
        <v>A1622:A3769</v>
      </c>
    </row>
    <row r="3770" spans="1:15">
      <c r="A3770" s="18">
        <f>Charms!K3770</f>
        <v>0</v>
      </c>
      <c r="B3770">
        <f>Charms!B3770</f>
        <v>0</v>
      </c>
      <c r="C3770" t="b">
        <f ca="1">OR(Values!$S$98&gt;=Charms!M3770,IFERROR(Charms!J3770=OFFSET(Values!$A$24,MATCH("S",Values!$T$25:$T$50,0),0),FALSE))</f>
        <v>1</v>
      </c>
      <c r="D3770" t="e">
        <f>VLOOKUP(Charms!J3770,Values!$A$11:$S$59,19,0)&gt;=Charms!L3770</f>
        <v>#N/A</v>
      </c>
      <c r="E3770" t="e">
        <f>OR(ISBLANK(Charms!I3770),(VLOOKUP(Values!$S$6,Castes!$B$2:$F$25,4,0)=Charms!I3770))</f>
        <v>#N/A</v>
      </c>
      <c r="J3770" t="e">
        <f t="shared" ca="1" si="291"/>
        <v>#N/A</v>
      </c>
      <c r="K3770" s="18" t="e">
        <f t="shared" ca="1" si="290"/>
        <v>#N/A</v>
      </c>
      <c r="L3770" t="e">
        <f ca="1">IF(J3770,Charms!B3770,"")</f>
        <v>#N/A</v>
      </c>
      <c r="M3770" t="str">
        <f t="shared" ca="1" si="292"/>
        <v>-</v>
      </c>
      <c r="N3770" s="18" t="str">
        <f t="shared" si="293"/>
        <v>K1622:L5000</v>
      </c>
      <c r="O3770" t="str">
        <f t="shared" si="294"/>
        <v>A1622:A3770</v>
      </c>
    </row>
    <row r="3771" spans="1:15">
      <c r="A3771" s="18">
        <f>Charms!K3771</f>
        <v>0</v>
      </c>
      <c r="B3771">
        <f>Charms!B3771</f>
        <v>0</v>
      </c>
      <c r="C3771" t="b">
        <f ca="1">OR(Values!$S$98&gt;=Charms!M3771,IFERROR(Charms!J3771=OFFSET(Values!$A$24,MATCH("S",Values!$T$25:$T$50,0),0),FALSE))</f>
        <v>1</v>
      </c>
      <c r="D3771" t="e">
        <f>VLOOKUP(Charms!J3771,Values!$A$11:$S$59,19,0)&gt;=Charms!L3771</f>
        <v>#N/A</v>
      </c>
      <c r="E3771" t="e">
        <f>OR(ISBLANK(Charms!I3771),(VLOOKUP(Values!$S$6,Castes!$B$2:$F$25,4,0)=Charms!I3771))</f>
        <v>#N/A</v>
      </c>
      <c r="J3771" t="e">
        <f t="shared" ca="1" si="291"/>
        <v>#N/A</v>
      </c>
      <c r="K3771" s="18" t="e">
        <f t="shared" ca="1" si="290"/>
        <v>#N/A</v>
      </c>
      <c r="L3771" t="e">
        <f ca="1">IF(J3771,Charms!B3771,"")</f>
        <v>#N/A</v>
      </c>
      <c r="M3771" t="str">
        <f t="shared" ca="1" si="292"/>
        <v>-</v>
      </c>
      <c r="N3771" s="18" t="str">
        <f t="shared" si="293"/>
        <v>K1622:L5000</v>
      </c>
      <c r="O3771" t="str">
        <f t="shared" si="294"/>
        <v>A1622:A3771</v>
      </c>
    </row>
    <row r="3772" spans="1:15">
      <c r="A3772" s="18">
        <f>Charms!K3772</f>
        <v>0</v>
      </c>
      <c r="B3772">
        <f>Charms!B3772</f>
        <v>0</v>
      </c>
      <c r="C3772" t="b">
        <f ca="1">OR(Values!$S$98&gt;=Charms!M3772,IFERROR(Charms!J3772=OFFSET(Values!$A$24,MATCH("S",Values!$T$25:$T$50,0),0),FALSE))</f>
        <v>1</v>
      </c>
      <c r="D3772" t="e">
        <f>VLOOKUP(Charms!J3772,Values!$A$11:$S$59,19,0)&gt;=Charms!L3772</f>
        <v>#N/A</v>
      </c>
      <c r="E3772" t="e">
        <f>OR(ISBLANK(Charms!I3772),(VLOOKUP(Values!$S$6,Castes!$B$2:$F$25,4,0)=Charms!I3772))</f>
        <v>#N/A</v>
      </c>
      <c r="J3772" t="e">
        <f t="shared" ca="1" si="291"/>
        <v>#N/A</v>
      </c>
      <c r="K3772" s="18" t="e">
        <f t="shared" ca="1" si="290"/>
        <v>#N/A</v>
      </c>
      <c r="L3772" t="e">
        <f ca="1">IF(J3772,Charms!B3772,"")</f>
        <v>#N/A</v>
      </c>
      <c r="M3772" t="str">
        <f t="shared" ca="1" si="292"/>
        <v>-</v>
      </c>
      <c r="N3772" s="18" t="str">
        <f t="shared" si="293"/>
        <v>K1622:L5000</v>
      </c>
      <c r="O3772" t="str">
        <f t="shared" si="294"/>
        <v>A1622:A3772</v>
      </c>
    </row>
    <row r="3773" spans="1:15">
      <c r="A3773" s="18">
        <f>Charms!K3773</f>
        <v>0</v>
      </c>
      <c r="B3773">
        <f>Charms!B3773</f>
        <v>0</v>
      </c>
      <c r="C3773" t="b">
        <f ca="1">OR(Values!$S$98&gt;=Charms!M3773,IFERROR(Charms!J3773=OFFSET(Values!$A$24,MATCH("S",Values!$T$25:$T$50,0),0),FALSE))</f>
        <v>1</v>
      </c>
      <c r="D3773" t="e">
        <f>VLOOKUP(Charms!J3773,Values!$A$11:$S$59,19,0)&gt;=Charms!L3773</f>
        <v>#N/A</v>
      </c>
      <c r="E3773" t="e">
        <f>OR(ISBLANK(Charms!I3773),(VLOOKUP(Values!$S$6,Castes!$B$2:$F$25,4,0)=Charms!I3773))</f>
        <v>#N/A</v>
      </c>
      <c r="J3773" t="e">
        <f t="shared" ca="1" si="291"/>
        <v>#N/A</v>
      </c>
      <c r="K3773" s="18" t="e">
        <f t="shared" ca="1" si="290"/>
        <v>#N/A</v>
      </c>
      <c r="L3773" t="e">
        <f ca="1">IF(J3773,Charms!B3773,"")</f>
        <v>#N/A</v>
      </c>
      <c r="M3773" t="str">
        <f t="shared" ca="1" si="292"/>
        <v>-</v>
      </c>
      <c r="N3773" s="18" t="str">
        <f t="shared" si="293"/>
        <v>K1622:L5000</v>
      </c>
      <c r="O3773" t="str">
        <f t="shared" si="294"/>
        <v>A1622:A3773</v>
      </c>
    </row>
    <row r="3774" spans="1:15">
      <c r="A3774" s="18">
        <f>Charms!K3774</f>
        <v>0</v>
      </c>
      <c r="B3774">
        <f>Charms!B3774</f>
        <v>0</v>
      </c>
      <c r="C3774" t="b">
        <f ca="1">OR(Values!$S$98&gt;=Charms!M3774,IFERROR(Charms!J3774=OFFSET(Values!$A$24,MATCH("S",Values!$T$25:$T$50,0),0),FALSE))</f>
        <v>1</v>
      </c>
      <c r="D3774" t="e">
        <f>VLOOKUP(Charms!J3774,Values!$A$11:$S$59,19,0)&gt;=Charms!L3774</f>
        <v>#N/A</v>
      </c>
      <c r="E3774" t="e">
        <f>OR(ISBLANK(Charms!I3774),(VLOOKUP(Values!$S$6,Castes!$B$2:$F$25,4,0)=Charms!I3774))</f>
        <v>#N/A</v>
      </c>
      <c r="J3774" t="e">
        <f t="shared" ca="1" si="291"/>
        <v>#N/A</v>
      </c>
      <c r="K3774" s="18" t="e">
        <f t="shared" ca="1" si="290"/>
        <v>#N/A</v>
      </c>
      <c r="L3774" t="e">
        <f ca="1">IF(J3774,Charms!B3774,"")</f>
        <v>#N/A</v>
      </c>
      <c r="M3774" t="str">
        <f t="shared" ca="1" si="292"/>
        <v>-</v>
      </c>
      <c r="N3774" s="18" t="str">
        <f t="shared" si="293"/>
        <v>K1622:L5000</v>
      </c>
      <c r="O3774" t="str">
        <f t="shared" si="294"/>
        <v>A1622:A3774</v>
      </c>
    </row>
    <row r="3775" spans="1:15">
      <c r="A3775" s="18">
        <f>Charms!K3775</f>
        <v>0</v>
      </c>
      <c r="B3775">
        <f>Charms!B3775</f>
        <v>0</v>
      </c>
      <c r="C3775" t="b">
        <f ca="1">OR(Values!$S$98&gt;=Charms!M3775,IFERROR(Charms!J3775=OFFSET(Values!$A$24,MATCH("S",Values!$T$25:$T$50,0),0),FALSE))</f>
        <v>1</v>
      </c>
      <c r="D3775" t="e">
        <f>VLOOKUP(Charms!J3775,Values!$A$11:$S$59,19,0)&gt;=Charms!L3775</f>
        <v>#N/A</v>
      </c>
      <c r="E3775" t="e">
        <f>OR(ISBLANK(Charms!I3775),(VLOOKUP(Values!$S$6,Castes!$B$2:$F$25,4,0)=Charms!I3775))</f>
        <v>#N/A</v>
      </c>
      <c r="J3775" t="e">
        <f t="shared" ca="1" si="291"/>
        <v>#N/A</v>
      </c>
      <c r="K3775" s="18" t="e">
        <f t="shared" ca="1" si="290"/>
        <v>#N/A</v>
      </c>
      <c r="L3775" t="e">
        <f ca="1">IF(J3775,Charms!B3775,"")</f>
        <v>#N/A</v>
      </c>
      <c r="M3775" t="str">
        <f t="shared" ca="1" si="292"/>
        <v>-</v>
      </c>
      <c r="N3775" s="18" t="str">
        <f t="shared" si="293"/>
        <v>K1622:L5000</v>
      </c>
      <c r="O3775" t="str">
        <f t="shared" si="294"/>
        <v>A1622:A3775</v>
      </c>
    </row>
    <row r="3776" spans="1:15">
      <c r="A3776" s="18">
        <f>Charms!K3776</f>
        <v>0</v>
      </c>
      <c r="B3776">
        <f>Charms!B3776</f>
        <v>0</v>
      </c>
      <c r="C3776" t="b">
        <f ca="1">OR(Values!$S$98&gt;=Charms!M3776,IFERROR(Charms!J3776=OFFSET(Values!$A$24,MATCH("S",Values!$T$25:$T$50,0),0),FALSE))</f>
        <v>1</v>
      </c>
      <c r="D3776" t="e">
        <f>VLOOKUP(Charms!J3776,Values!$A$11:$S$59,19,0)&gt;=Charms!L3776</f>
        <v>#N/A</v>
      </c>
      <c r="E3776" t="e">
        <f>OR(ISBLANK(Charms!I3776),(VLOOKUP(Values!$S$6,Castes!$B$2:$F$25,4,0)=Charms!I3776))</f>
        <v>#N/A</v>
      </c>
      <c r="J3776" t="e">
        <f t="shared" ca="1" si="291"/>
        <v>#N/A</v>
      </c>
      <c r="K3776" s="18" t="e">
        <f t="shared" ca="1" si="290"/>
        <v>#N/A</v>
      </c>
      <c r="L3776" t="e">
        <f ca="1">IF(J3776,Charms!B3776,"")</f>
        <v>#N/A</v>
      </c>
      <c r="M3776" t="str">
        <f t="shared" ca="1" si="292"/>
        <v>-</v>
      </c>
      <c r="N3776" s="18" t="str">
        <f t="shared" si="293"/>
        <v>K1622:L5000</v>
      </c>
      <c r="O3776" t="str">
        <f t="shared" si="294"/>
        <v>A1622:A3776</v>
      </c>
    </row>
    <row r="3777" spans="1:15">
      <c r="A3777" s="18">
        <f>Charms!K3777</f>
        <v>0</v>
      </c>
      <c r="B3777">
        <f>Charms!B3777</f>
        <v>0</v>
      </c>
      <c r="C3777" t="b">
        <f ca="1">OR(Values!$S$98&gt;=Charms!M3777,IFERROR(Charms!J3777=OFFSET(Values!$A$24,MATCH("S",Values!$T$25:$T$50,0),0),FALSE))</f>
        <v>1</v>
      </c>
      <c r="D3777" t="e">
        <f>VLOOKUP(Charms!J3777,Values!$A$11:$S$59,19,0)&gt;=Charms!L3777</f>
        <v>#N/A</v>
      </c>
      <c r="E3777" t="e">
        <f>OR(ISBLANK(Charms!I3777),(VLOOKUP(Values!$S$6,Castes!$B$2:$F$25,4,0)=Charms!I3777))</f>
        <v>#N/A</v>
      </c>
      <c r="J3777" t="e">
        <f t="shared" ca="1" si="291"/>
        <v>#N/A</v>
      </c>
      <c r="K3777" s="18" t="e">
        <f t="shared" ca="1" si="290"/>
        <v>#N/A</v>
      </c>
      <c r="L3777" t="e">
        <f ca="1">IF(J3777,Charms!B3777,"")</f>
        <v>#N/A</v>
      </c>
      <c r="M3777" t="str">
        <f t="shared" ca="1" si="292"/>
        <v>-</v>
      </c>
      <c r="N3777" s="18" t="str">
        <f t="shared" si="293"/>
        <v>K1622:L5000</v>
      </c>
      <c r="O3777" t="str">
        <f t="shared" si="294"/>
        <v>A1622:A3777</v>
      </c>
    </row>
    <row r="3778" spans="1:15">
      <c r="A3778" s="18">
        <f>Charms!K3778</f>
        <v>0</v>
      </c>
      <c r="B3778">
        <f>Charms!B3778</f>
        <v>0</v>
      </c>
      <c r="C3778" t="b">
        <f ca="1">OR(Values!$S$98&gt;=Charms!M3778,IFERROR(Charms!J3778=OFFSET(Values!$A$24,MATCH("S",Values!$T$25:$T$50,0),0),FALSE))</f>
        <v>1</v>
      </c>
      <c r="D3778" t="e">
        <f>VLOOKUP(Charms!J3778,Values!$A$11:$S$59,19,0)&gt;=Charms!L3778</f>
        <v>#N/A</v>
      </c>
      <c r="E3778" t="e">
        <f>OR(ISBLANK(Charms!I3778),(VLOOKUP(Values!$S$6,Castes!$B$2:$F$25,4,0)=Charms!I3778))</f>
        <v>#N/A</v>
      </c>
      <c r="J3778" t="e">
        <f t="shared" ca="1" si="291"/>
        <v>#N/A</v>
      </c>
      <c r="K3778" s="18" t="e">
        <f t="shared" ref="K3778:K3841" ca="1" si="295">IF(L3778="","",COUNTIF(INDIRECT("J"&amp;MATCH(A3778,A:A,0)&amp;":J"&amp;ROW()),J3778))</f>
        <v>#N/A</v>
      </c>
      <c r="L3778" t="e">
        <f ca="1">IF(J3778,Charms!B3778,"")</f>
        <v>#N/A</v>
      </c>
      <c r="M3778" t="str">
        <f t="shared" ca="1" si="292"/>
        <v>-</v>
      </c>
      <c r="N3778" s="18" t="str">
        <f t="shared" si="293"/>
        <v>K1622:L5000</v>
      </c>
      <c r="O3778" t="str">
        <f t="shared" si="294"/>
        <v>A1622:A3778</v>
      </c>
    </row>
    <row r="3779" spans="1:15">
      <c r="A3779" s="18">
        <f>Charms!K3779</f>
        <v>0</v>
      </c>
      <c r="B3779">
        <f>Charms!B3779</f>
        <v>0</v>
      </c>
      <c r="C3779" t="b">
        <f ca="1">OR(Values!$S$98&gt;=Charms!M3779,IFERROR(Charms!J3779=OFFSET(Values!$A$24,MATCH("S",Values!$T$25:$T$50,0),0),FALSE))</f>
        <v>1</v>
      </c>
      <c r="D3779" t="e">
        <f>VLOOKUP(Charms!J3779,Values!$A$11:$S$59,19,0)&gt;=Charms!L3779</f>
        <v>#N/A</v>
      </c>
      <c r="E3779" t="e">
        <f>OR(ISBLANK(Charms!I3779),(VLOOKUP(Values!$S$6,Castes!$B$2:$F$25,4,0)=Charms!I3779))</f>
        <v>#N/A</v>
      </c>
      <c r="J3779" t="e">
        <f t="shared" ref="J3779:J3842" ca="1" si="296">(C3779+D3779+E3779+F3779+G3779+H3779+I3779)=3</f>
        <v>#N/A</v>
      </c>
      <c r="K3779" s="18" t="e">
        <f t="shared" ca="1" si="295"/>
        <v>#N/A</v>
      </c>
      <c r="L3779" t="e">
        <f ca="1">IF(J3779,Charms!B3779,"")</f>
        <v>#N/A</v>
      </c>
      <c r="M3779" t="str">
        <f t="shared" ref="M3779:M3842" ca="1" si="297">IFERROR(VLOOKUP(COUNTIF(INDIRECT(O3779),A3779),INDIRECT(N3779),2,0),"-")</f>
        <v>-</v>
      </c>
      <c r="N3779" s="18" t="str">
        <f t="shared" ref="N3779:N3842" si="298">"K"&amp;MATCH(A3779,A:A,0)&amp;":L"&amp;(MATCH(A3779,A:A,0)+COUNTIF(A:A,A3779)-1)</f>
        <v>K1622:L5000</v>
      </c>
      <c r="O3779" t="str">
        <f t="shared" ref="O3779:O3842" si="299">"A"&amp;MATCH(A3779,A:A,0)&amp;":A"&amp;ROW()</f>
        <v>A1622:A3779</v>
      </c>
    </row>
    <row r="3780" spans="1:15">
      <c r="A3780" s="18">
        <f>Charms!K3780</f>
        <v>0</v>
      </c>
      <c r="B3780">
        <f>Charms!B3780</f>
        <v>0</v>
      </c>
      <c r="C3780" t="b">
        <f ca="1">OR(Values!$S$98&gt;=Charms!M3780,IFERROR(Charms!J3780=OFFSET(Values!$A$24,MATCH("S",Values!$T$25:$T$50,0),0),FALSE))</f>
        <v>1</v>
      </c>
      <c r="D3780" t="e">
        <f>VLOOKUP(Charms!J3780,Values!$A$11:$S$59,19,0)&gt;=Charms!L3780</f>
        <v>#N/A</v>
      </c>
      <c r="E3780" t="e">
        <f>OR(ISBLANK(Charms!I3780),(VLOOKUP(Values!$S$6,Castes!$B$2:$F$25,4,0)=Charms!I3780))</f>
        <v>#N/A</v>
      </c>
      <c r="J3780" t="e">
        <f t="shared" ca="1" si="296"/>
        <v>#N/A</v>
      </c>
      <c r="K3780" s="18" t="e">
        <f t="shared" ca="1" si="295"/>
        <v>#N/A</v>
      </c>
      <c r="L3780" t="e">
        <f ca="1">IF(J3780,Charms!B3780,"")</f>
        <v>#N/A</v>
      </c>
      <c r="M3780" t="str">
        <f t="shared" ca="1" si="297"/>
        <v>-</v>
      </c>
      <c r="N3780" s="18" t="str">
        <f t="shared" si="298"/>
        <v>K1622:L5000</v>
      </c>
      <c r="O3780" t="str">
        <f t="shared" si="299"/>
        <v>A1622:A3780</v>
      </c>
    </row>
    <row r="3781" spans="1:15">
      <c r="A3781" s="18">
        <f>Charms!K3781</f>
        <v>0</v>
      </c>
      <c r="B3781">
        <f>Charms!B3781</f>
        <v>0</v>
      </c>
      <c r="C3781" t="b">
        <f ca="1">OR(Values!$S$98&gt;=Charms!M3781,IFERROR(Charms!J3781=OFFSET(Values!$A$24,MATCH("S",Values!$T$25:$T$50,0),0),FALSE))</f>
        <v>1</v>
      </c>
      <c r="D3781" t="e">
        <f>VLOOKUP(Charms!J3781,Values!$A$11:$S$59,19,0)&gt;=Charms!L3781</f>
        <v>#N/A</v>
      </c>
      <c r="E3781" t="e">
        <f>OR(ISBLANK(Charms!I3781),(VLOOKUP(Values!$S$6,Castes!$B$2:$F$25,4,0)=Charms!I3781))</f>
        <v>#N/A</v>
      </c>
      <c r="J3781" t="e">
        <f t="shared" ca="1" si="296"/>
        <v>#N/A</v>
      </c>
      <c r="K3781" s="18" t="e">
        <f t="shared" ca="1" si="295"/>
        <v>#N/A</v>
      </c>
      <c r="L3781" t="e">
        <f ca="1">IF(J3781,Charms!B3781,"")</f>
        <v>#N/A</v>
      </c>
      <c r="M3781" t="str">
        <f t="shared" ca="1" si="297"/>
        <v>-</v>
      </c>
      <c r="N3781" s="18" t="str">
        <f t="shared" si="298"/>
        <v>K1622:L5000</v>
      </c>
      <c r="O3781" t="str">
        <f t="shared" si="299"/>
        <v>A1622:A3781</v>
      </c>
    </row>
    <row r="3782" spans="1:15">
      <c r="A3782" s="18">
        <f>Charms!K3782</f>
        <v>0</v>
      </c>
      <c r="B3782">
        <f>Charms!B3782</f>
        <v>0</v>
      </c>
      <c r="C3782" t="b">
        <f ca="1">OR(Values!$S$98&gt;=Charms!M3782,IFERROR(Charms!J3782=OFFSET(Values!$A$24,MATCH("S",Values!$T$25:$T$50,0),0),FALSE))</f>
        <v>1</v>
      </c>
      <c r="D3782" t="e">
        <f>VLOOKUP(Charms!J3782,Values!$A$11:$S$59,19,0)&gt;=Charms!L3782</f>
        <v>#N/A</v>
      </c>
      <c r="E3782" t="e">
        <f>OR(ISBLANK(Charms!I3782),(VLOOKUP(Values!$S$6,Castes!$B$2:$F$25,4,0)=Charms!I3782))</f>
        <v>#N/A</v>
      </c>
      <c r="J3782" t="e">
        <f t="shared" ca="1" si="296"/>
        <v>#N/A</v>
      </c>
      <c r="K3782" s="18" t="e">
        <f t="shared" ca="1" si="295"/>
        <v>#N/A</v>
      </c>
      <c r="L3782" t="e">
        <f ca="1">IF(J3782,Charms!B3782,"")</f>
        <v>#N/A</v>
      </c>
      <c r="M3782" t="str">
        <f t="shared" ca="1" si="297"/>
        <v>-</v>
      </c>
      <c r="N3782" s="18" t="str">
        <f t="shared" si="298"/>
        <v>K1622:L5000</v>
      </c>
      <c r="O3782" t="str">
        <f t="shared" si="299"/>
        <v>A1622:A3782</v>
      </c>
    </row>
    <row r="3783" spans="1:15">
      <c r="A3783" s="18">
        <f>Charms!K3783</f>
        <v>0</v>
      </c>
      <c r="B3783">
        <f>Charms!B3783</f>
        <v>0</v>
      </c>
      <c r="C3783" t="b">
        <f ca="1">OR(Values!$S$98&gt;=Charms!M3783,IFERROR(Charms!J3783=OFFSET(Values!$A$24,MATCH("S",Values!$T$25:$T$50,0),0),FALSE))</f>
        <v>1</v>
      </c>
      <c r="D3783" t="e">
        <f>VLOOKUP(Charms!J3783,Values!$A$11:$S$59,19,0)&gt;=Charms!L3783</f>
        <v>#N/A</v>
      </c>
      <c r="E3783" t="e">
        <f>OR(ISBLANK(Charms!I3783),(VLOOKUP(Values!$S$6,Castes!$B$2:$F$25,4,0)=Charms!I3783))</f>
        <v>#N/A</v>
      </c>
      <c r="J3783" t="e">
        <f t="shared" ca="1" si="296"/>
        <v>#N/A</v>
      </c>
      <c r="K3783" s="18" t="e">
        <f t="shared" ca="1" si="295"/>
        <v>#N/A</v>
      </c>
      <c r="L3783" t="e">
        <f ca="1">IF(J3783,Charms!B3783,"")</f>
        <v>#N/A</v>
      </c>
      <c r="M3783" t="str">
        <f t="shared" ca="1" si="297"/>
        <v>-</v>
      </c>
      <c r="N3783" s="18" t="str">
        <f t="shared" si="298"/>
        <v>K1622:L5000</v>
      </c>
      <c r="O3783" t="str">
        <f t="shared" si="299"/>
        <v>A1622:A3783</v>
      </c>
    </row>
    <row r="3784" spans="1:15">
      <c r="A3784" s="18">
        <f>Charms!K3784</f>
        <v>0</v>
      </c>
      <c r="B3784">
        <f>Charms!B3784</f>
        <v>0</v>
      </c>
      <c r="C3784" t="b">
        <f ca="1">OR(Values!$S$98&gt;=Charms!M3784,IFERROR(Charms!J3784=OFFSET(Values!$A$24,MATCH("S",Values!$T$25:$T$50,0),0),FALSE))</f>
        <v>1</v>
      </c>
      <c r="D3784" t="e">
        <f>VLOOKUP(Charms!J3784,Values!$A$11:$S$59,19,0)&gt;=Charms!L3784</f>
        <v>#N/A</v>
      </c>
      <c r="E3784" t="e">
        <f>OR(ISBLANK(Charms!I3784),(VLOOKUP(Values!$S$6,Castes!$B$2:$F$25,4,0)=Charms!I3784))</f>
        <v>#N/A</v>
      </c>
      <c r="J3784" t="e">
        <f t="shared" ca="1" si="296"/>
        <v>#N/A</v>
      </c>
      <c r="K3784" s="18" t="e">
        <f t="shared" ca="1" si="295"/>
        <v>#N/A</v>
      </c>
      <c r="L3784" t="e">
        <f ca="1">IF(J3784,Charms!B3784,"")</f>
        <v>#N/A</v>
      </c>
      <c r="M3784" t="str">
        <f t="shared" ca="1" si="297"/>
        <v>-</v>
      </c>
      <c r="N3784" s="18" t="str">
        <f t="shared" si="298"/>
        <v>K1622:L5000</v>
      </c>
      <c r="O3784" t="str">
        <f t="shared" si="299"/>
        <v>A1622:A3784</v>
      </c>
    </row>
    <row r="3785" spans="1:15">
      <c r="A3785" s="18">
        <f>Charms!K3785</f>
        <v>0</v>
      </c>
      <c r="B3785">
        <f>Charms!B3785</f>
        <v>0</v>
      </c>
      <c r="C3785" t="b">
        <f ca="1">OR(Values!$S$98&gt;=Charms!M3785,IFERROR(Charms!J3785=OFFSET(Values!$A$24,MATCH("S",Values!$T$25:$T$50,0),0),FALSE))</f>
        <v>1</v>
      </c>
      <c r="D3785" t="e">
        <f>VLOOKUP(Charms!J3785,Values!$A$11:$S$59,19,0)&gt;=Charms!L3785</f>
        <v>#N/A</v>
      </c>
      <c r="E3785" t="e">
        <f>OR(ISBLANK(Charms!I3785),(VLOOKUP(Values!$S$6,Castes!$B$2:$F$25,4,0)=Charms!I3785))</f>
        <v>#N/A</v>
      </c>
      <c r="J3785" t="e">
        <f t="shared" ca="1" si="296"/>
        <v>#N/A</v>
      </c>
      <c r="K3785" s="18" t="e">
        <f t="shared" ca="1" si="295"/>
        <v>#N/A</v>
      </c>
      <c r="L3785" t="e">
        <f ca="1">IF(J3785,Charms!B3785,"")</f>
        <v>#N/A</v>
      </c>
      <c r="M3785" t="str">
        <f t="shared" ca="1" si="297"/>
        <v>-</v>
      </c>
      <c r="N3785" s="18" t="str">
        <f t="shared" si="298"/>
        <v>K1622:L5000</v>
      </c>
      <c r="O3785" t="str">
        <f t="shared" si="299"/>
        <v>A1622:A3785</v>
      </c>
    </row>
    <row r="3786" spans="1:15">
      <c r="A3786" s="18">
        <f>Charms!K3786</f>
        <v>0</v>
      </c>
      <c r="B3786">
        <f>Charms!B3786</f>
        <v>0</v>
      </c>
      <c r="C3786" t="b">
        <f ca="1">OR(Values!$S$98&gt;=Charms!M3786,IFERROR(Charms!J3786=OFFSET(Values!$A$24,MATCH("S",Values!$T$25:$T$50,0),0),FALSE))</f>
        <v>1</v>
      </c>
      <c r="D3786" t="e">
        <f>VLOOKUP(Charms!J3786,Values!$A$11:$S$59,19,0)&gt;=Charms!L3786</f>
        <v>#N/A</v>
      </c>
      <c r="E3786" t="e">
        <f>OR(ISBLANK(Charms!I3786),(VLOOKUP(Values!$S$6,Castes!$B$2:$F$25,4,0)=Charms!I3786))</f>
        <v>#N/A</v>
      </c>
      <c r="J3786" t="e">
        <f t="shared" ca="1" si="296"/>
        <v>#N/A</v>
      </c>
      <c r="K3786" s="18" t="e">
        <f t="shared" ca="1" si="295"/>
        <v>#N/A</v>
      </c>
      <c r="L3786" t="e">
        <f ca="1">IF(J3786,Charms!B3786,"")</f>
        <v>#N/A</v>
      </c>
      <c r="M3786" t="str">
        <f t="shared" ca="1" si="297"/>
        <v>-</v>
      </c>
      <c r="N3786" s="18" t="str">
        <f t="shared" si="298"/>
        <v>K1622:L5000</v>
      </c>
      <c r="O3786" t="str">
        <f t="shared" si="299"/>
        <v>A1622:A3786</v>
      </c>
    </row>
    <row r="3787" spans="1:15">
      <c r="A3787" s="18">
        <f>Charms!K3787</f>
        <v>0</v>
      </c>
      <c r="B3787">
        <f>Charms!B3787</f>
        <v>0</v>
      </c>
      <c r="C3787" t="b">
        <f ca="1">OR(Values!$S$98&gt;=Charms!M3787,IFERROR(Charms!J3787=OFFSET(Values!$A$24,MATCH("S",Values!$T$25:$T$50,0),0),FALSE))</f>
        <v>1</v>
      </c>
      <c r="D3787" t="e">
        <f>VLOOKUP(Charms!J3787,Values!$A$11:$S$59,19,0)&gt;=Charms!L3787</f>
        <v>#N/A</v>
      </c>
      <c r="E3787" t="e">
        <f>OR(ISBLANK(Charms!I3787),(VLOOKUP(Values!$S$6,Castes!$B$2:$F$25,4,0)=Charms!I3787))</f>
        <v>#N/A</v>
      </c>
      <c r="J3787" t="e">
        <f t="shared" ca="1" si="296"/>
        <v>#N/A</v>
      </c>
      <c r="K3787" s="18" t="e">
        <f t="shared" ca="1" si="295"/>
        <v>#N/A</v>
      </c>
      <c r="L3787" t="e">
        <f ca="1">IF(J3787,Charms!B3787,"")</f>
        <v>#N/A</v>
      </c>
      <c r="M3787" t="str">
        <f t="shared" ca="1" si="297"/>
        <v>-</v>
      </c>
      <c r="N3787" s="18" t="str">
        <f t="shared" si="298"/>
        <v>K1622:L5000</v>
      </c>
      <c r="O3787" t="str">
        <f t="shared" si="299"/>
        <v>A1622:A3787</v>
      </c>
    </row>
    <row r="3788" spans="1:15">
      <c r="A3788" s="18">
        <f>Charms!K3788</f>
        <v>0</v>
      </c>
      <c r="B3788">
        <f>Charms!B3788</f>
        <v>0</v>
      </c>
      <c r="C3788" t="b">
        <f ca="1">OR(Values!$S$98&gt;=Charms!M3788,IFERROR(Charms!J3788=OFFSET(Values!$A$24,MATCH("S",Values!$T$25:$T$50,0),0),FALSE))</f>
        <v>1</v>
      </c>
      <c r="D3788" t="e">
        <f>VLOOKUP(Charms!J3788,Values!$A$11:$S$59,19,0)&gt;=Charms!L3788</f>
        <v>#N/A</v>
      </c>
      <c r="E3788" t="e">
        <f>OR(ISBLANK(Charms!I3788),(VLOOKUP(Values!$S$6,Castes!$B$2:$F$25,4,0)=Charms!I3788))</f>
        <v>#N/A</v>
      </c>
      <c r="J3788" t="e">
        <f t="shared" ca="1" si="296"/>
        <v>#N/A</v>
      </c>
      <c r="K3788" s="18" t="e">
        <f t="shared" ca="1" si="295"/>
        <v>#N/A</v>
      </c>
      <c r="L3788" t="e">
        <f ca="1">IF(J3788,Charms!B3788,"")</f>
        <v>#N/A</v>
      </c>
      <c r="M3788" t="str">
        <f t="shared" ca="1" si="297"/>
        <v>-</v>
      </c>
      <c r="N3788" s="18" t="str">
        <f t="shared" si="298"/>
        <v>K1622:L5000</v>
      </c>
      <c r="O3788" t="str">
        <f t="shared" si="299"/>
        <v>A1622:A3788</v>
      </c>
    </row>
    <row r="3789" spans="1:15">
      <c r="A3789" s="18">
        <f>Charms!K3789</f>
        <v>0</v>
      </c>
      <c r="B3789">
        <f>Charms!B3789</f>
        <v>0</v>
      </c>
      <c r="C3789" t="b">
        <f ca="1">OR(Values!$S$98&gt;=Charms!M3789,IFERROR(Charms!J3789=OFFSET(Values!$A$24,MATCH("S",Values!$T$25:$T$50,0),0),FALSE))</f>
        <v>1</v>
      </c>
      <c r="D3789" t="e">
        <f>VLOOKUP(Charms!J3789,Values!$A$11:$S$59,19,0)&gt;=Charms!L3789</f>
        <v>#N/A</v>
      </c>
      <c r="E3789" t="e">
        <f>OR(ISBLANK(Charms!I3789),(VLOOKUP(Values!$S$6,Castes!$B$2:$F$25,4,0)=Charms!I3789))</f>
        <v>#N/A</v>
      </c>
      <c r="J3789" t="e">
        <f t="shared" ca="1" si="296"/>
        <v>#N/A</v>
      </c>
      <c r="K3789" s="18" t="e">
        <f t="shared" ca="1" si="295"/>
        <v>#N/A</v>
      </c>
      <c r="L3789" t="e">
        <f ca="1">IF(J3789,Charms!B3789,"")</f>
        <v>#N/A</v>
      </c>
      <c r="M3789" t="str">
        <f t="shared" ca="1" si="297"/>
        <v>-</v>
      </c>
      <c r="N3789" s="18" t="str">
        <f t="shared" si="298"/>
        <v>K1622:L5000</v>
      </c>
      <c r="O3789" t="str">
        <f t="shared" si="299"/>
        <v>A1622:A3789</v>
      </c>
    </row>
    <row r="3790" spans="1:15">
      <c r="A3790" s="18">
        <f>Charms!K3790</f>
        <v>0</v>
      </c>
      <c r="B3790">
        <f>Charms!B3790</f>
        <v>0</v>
      </c>
      <c r="C3790" t="b">
        <f ca="1">OR(Values!$S$98&gt;=Charms!M3790,IFERROR(Charms!J3790=OFFSET(Values!$A$24,MATCH("S",Values!$T$25:$T$50,0),0),FALSE))</f>
        <v>1</v>
      </c>
      <c r="D3790" t="e">
        <f>VLOOKUP(Charms!J3790,Values!$A$11:$S$59,19,0)&gt;=Charms!L3790</f>
        <v>#N/A</v>
      </c>
      <c r="E3790" t="e">
        <f>OR(ISBLANK(Charms!I3790),(VLOOKUP(Values!$S$6,Castes!$B$2:$F$25,4,0)=Charms!I3790))</f>
        <v>#N/A</v>
      </c>
      <c r="J3790" t="e">
        <f t="shared" ca="1" si="296"/>
        <v>#N/A</v>
      </c>
      <c r="K3790" s="18" t="e">
        <f t="shared" ca="1" si="295"/>
        <v>#N/A</v>
      </c>
      <c r="L3790" t="e">
        <f ca="1">IF(J3790,Charms!B3790,"")</f>
        <v>#N/A</v>
      </c>
      <c r="M3790" t="str">
        <f t="shared" ca="1" si="297"/>
        <v>-</v>
      </c>
      <c r="N3790" s="18" t="str">
        <f t="shared" si="298"/>
        <v>K1622:L5000</v>
      </c>
      <c r="O3790" t="str">
        <f t="shared" si="299"/>
        <v>A1622:A3790</v>
      </c>
    </row>
    <row r="3791" spans="1:15">
      <c r="A3791" s="18">
        <f>Charms!K3791</f>
        <v>0</v>
      </c>
      <c r="B3791">
        <f>Charms!B3791</f>
        <v>0</v>
      </c>
      <c r="C3791" t="b">
        <f ca="1">OR(Values!$S$98&gt;=Charms!M3791,IFERROR(Charms!J3791=OFFSET(Values!$A$24,MATCH("S",Values!$T$25:$T$50,0),0),FALSE))</f>
        <v>1</v>
      </c>
      <c r="D3791" t="e">
        <f>VLOOKUP(Charms!J3791,Values!$A$11:$S$59,19,0)&gt;=Charms!L3791</f>
        <v>#N/A</v>
      </c>
      <c r="E3791" t="e">
        <f>OR(ISBLANK(Charms!I3791),(VLOOKUP(Values!$S$6,Castes!$B$2:$F$25,4,0)=Charms!I3791))</f>
        <v>#N/A</v>
      </c>
      <c r="J3791" t="e">
        <f t="shared" ca="1" si="296"/>
        <v>#N/A</v>
      </c>
      <c r="K3791" s="18" t="e">
        <f t="shared" ca="1" si="295"/>
        <v>#N/A</v>
      </c>
      <c r="L3791" t="e">
        <f ca="1">IF(J3791,Charms!B3791,"")</f>
        <v>#N/A</v>
      </c>
      <c r="M3791" t="str">
        <f t="shared" ca="1" si="297"/>
        <v>-</v>
      </c>
      <c r="N3791" s="18" t="str">
        <f t="shared" si="298"/>
        <v>K1622:L5000</v>
      </c>
      <c r="O3791" t="str">
        <f t="shared" si="299"/>
        <v>A1622:A3791</v>
      </c>
    </row>
    <row r="3792" spans="1:15">
      <c r="A3792" s="18">
        <f>Charms!K3792</f>
        <v>0</v>
      </c>
      <c r="B3792">
        <f>Charms!B3792</f>
        <v>0</v>
      </c>
      <c r="C3792" t="b">
        <f ca="1">OR(Values!$S$98&gt;=Charms!M3792,IFERROR(Charms!J3792=OFFSET(Values!$A$24,MATCH("S",Values!$T$25:$T$50,0),0),FALSE))</f>
        <v>1</v>
      </c>
      <c r="D3792" t="e">
        <f>VLOOKUP(Charms!J3792,Values!$A$11:$S$59,19,0)&gt;=Charms!L3792</f>
        <v>#N/A</v>
      </c>
      <c r="E3792" t="e">
        <f>OR(ISBLANK(Charms!I3792),(VLOOKUP(Values!$S$6,Castes!$B$2:$F$25,4,0)=Charms!I3792))</f>
        <v>#N/A</v>
      </c>
      <c r="J3792" t="e">
        <f t="shared" ca="1" si="296"/>
        <v>#N/A</v>
      </c>
      <c r="K3792" s="18" t="e">
        <f t="shared" ca="1" si="295"/>
        <v>#N/A</v>
      </c>
      <c r="L3792" t="e">
        <f ca="1">IF(J3792,Charms!B3792,"")</f>
        <v>#N/A</v>
      </c>
      <c r="M3792" t="str">
        <f t="shared" ca="1" si="297"/>
        <v>-</v>
      </c>
      <c r="N3792" s="18" t="str">
        <f t="shared" si="298"/>
        <v>K1622:L5000</v>
      </c>
      <c r="O3792" t="str">
        <f t="shared" si="299"/>
        <v>A1622:A3792</v>
      </c>
    </row>
    <row r="3793" spans="1:15">
      <c r="A3793" s="18">
        <f>Charms!K3793</f>
        <v>0</v>
      </c>
      <c r="B3793">
        <f>Charms!B3793</f>
        <v>0</v>
      </c>
      <c r="C3793" t="b">
        <f ca="1">OR(Values!$S$98&gt;=Charms!M3793,IFERROR(Charms!J3793=OFFSET(Values!$A$24,MATCH("S",Values!$T$25:$T$50,0),0),FALSE))</f>
        <v>1</v>
      </c>
      <c r="D3793" t="e">
        <f>VLOOKUP(Charms!J3793,Values!$A$11:$S$59,19,0)&gt;=Charms!L3793</f>
        <v>#N/A</v>
      </c>
      <c r="E3793" t="e">
        <f>OR(ISBLANK(Charms!I3793),(VLOOKUP(Values!$S$6,Castes!$B$2:$F$25,4,0)=Charms!I3793))</f>
        <v>#N/A</v>
      </c>
      <c r="J3793" t="e">
        <f t="shared" ca="1" si="296"/>
        <v>#N/A</v>
      </c>
      <c r="K3793" s="18" t="e">
        <f t="shared" ca="1" si="295"/>
        <v>#N/A</v>
      </c>
      <c r="L3793" t="e">
        <f ca="1">IF(J3793,Charms!B3793,"")</f>
        <v>#N/A</v>
      </c>
      <c r="M3793" t="str">
        <f t="shared" ca="1" si="297"/>
        <v>-</v>
      </c>
      <c r="N3793" s="18" t="str">
        <f t="shared" si="298"/>
        <v>K1622:L5000</v>
      </c>
      <c r="O3793" t="str">
        <f t="shared" si="299"/>
        <v>A1622:A3793</v>
      </c>
    </row>
    <row r="3794" spans="1:15">
      <c r="A3794" s="18">
        <f>Charms!K3794</f>
        <v>0</v>
      </c>
      <c r="B3794">
        <f>Charms!B3794</f>
        <v>0</v>
      </c>
      <c r="C3794" t="b">
        <f ca="1">OR(Values!$S$98&gt;=Charms!M3794,IFERROR(Charms!J3794=OFFSET(Values!$A$24,MATCH("S",Values!$T$25:$T$50,0),0),FALSE))</f>
        <v>1</v>
      </c>
      <c r="D3794" t="e">
        <f>VLOOKUP(Charms!J3794,Values!$A$11:$S$59,19,0)&gt;=Charms!L3794</f>
        <v>#N/A</v>
      </c>
      <c r="E3794" t="e">
        <f>OR(ISBLANK(Charms!I3794),(VLOOKUP(Values!$S$6,Castes!$B$2:$F$25,4,0)=Charms!I3794))</f>
        <v>#N/A</v>
      </c>
      <c r="J3794" t="e">
        <f t="shared" ca="1" si="296"/>
        <v>#N/A</v>
      </c>
      <c r="K3794" s="18" t="e">
        <f t="shared" ca="1" si="295"/>
        <v>#N/A</v>
      </c>
      <c r="L3794" t="e">
        <f ca="1">IF(J3794,Charms!B3794,"")</f>
        <v>#N/A</v>
      </c>
      <c r="M3794" t="str">
        <f t="shared" ca="1" si="297"/>
        <v>-</v>
      </c>
      <c r="N3794" s="18" t="str">
        <f t="shared" si="298"/>
        <v>K1622:L5000</v>
      </c>
      <c r="O3794" t="str">
        <f t="shared" si="299"/>
        <v>A1622:A3794</v>
      </c>
    </row>
    <row r="3795" spans="1:15">
      <c r="A3795" s="18">
        <f>Charms!K3795</f>
        <v>0</v>
      </c>
      <c r="B3795">
        <f>Charms!B3795</f>
        <v>0</v>
      </c>
      <c r="C3795" t="b">
        <f ca="1">OR(Values!$S$98&gt;=Charms!M3795,IFERROR(Charms!J3795=OFFSET(Values!$A$24,MATCH("S",Values!$T$25:$T$50,0),0),FALSE))</f>
        <v>1</v>
      </c>
      <c r="D3795" t="e">
        <f>VLOOKUP(Charms!J3795,Values!$A$11:$S$59,19,0)&gt;=Charms!L3795</f>
        <v>#N/A</v>
      </c>
      <c r="E3795" t="e">
        <f>OR(ISBLANK(Charms!I3795),(VLOOKUP(Values!$S$6,Castes!$B$2:$F$25,4,0)=Charms!I3795))</f>
        <v>#N/A</v>
      </c>
      <c r="J3795" t="e">
        <f t="shared" ca="1" si="296"/>
        <v>#N/A</v>
      </c>
      <c r="K3795" s="18" t="e">
        <f t="shared" ca="1" si="295"/>
        <v>#N/A</v>
      </c>
      <c r="L3795" t="e">
        <f ca="1">IF(J3795,Charms!B3795,"")</f>
        <v>#N/A</v>
      </c>
      <c r="M3795" t="str">
        <f t="shared" ca="1" si="297"/>
        <v>-</v>
      </c>
      <c r="N3795" s="18" t="str">
        <f t="shared" si="298"/>
        <v>K1622:L5000</v>
      </c>
      <c r="O3795" t="str">
        <f t="shared" si="299"/>
        <v>A1622:A3795</v>
      </c>
    </row>
    <row r="3796" spans="1:15">
      <c r="A3796" s="18">
        <f>Charms!K3796</f>
        <v>0</v>
      </c>
      <c r="B3796">
        <f>Charms!B3796</f>
        <v>0</v>
      </c>
      <c r="C3796" t="b">
        <f ca="1">OR(Values!$S$98&gt;=Charms!M3796,IFERROR(Charms!J3796=OFFSET(Values!$A$24,MATCH("S",Values!$T$25:$T$50,0),0),FALSE))</f>
        <v>1</v>
      </c>
      <c r="D3796" t="e">
        <f>VLOOKUP(Charms!J3796,Values!$A$11:$S$59,19,0)&gt;=Charms!L3796</f>
        <v>#N/A</v>
      </c>
      <c r="E3796" t="e">
        <f>OR(ISBLANK(Charms!I3796),(VLOOKUP(Values!$S$6,Castes!$B$2:$F$25,4,0)=Charms!I3796))</f>
        <v>#N/A</v>
      </c>
      <c r="J3796" t="e">
        <f t="shared" ca="1" si="296"/>
        <v>#N/A</v>
      </c>
      <c r="K3796" s="18" t="e">
        <f t="shared" ca="1" si="295"/>
        <v>#N/A</v>
      </c>
      <c r="L3796" t="e">
        <f ca="1">IF(J3796,Charms!B3796,"")</f>
        <v>#N/A</v>
      </c>
      <c r="M3796" t="str">
        <f t="shared" ca="1" si="297"/>
        <v>-</v>
      </c>
      <c r="N3796" s="18" t="str">
        <f t="shared" si="298"/>
        <v>K1622:L5000</v>
      </c>
      <c r="O3796" t="str">
        <f t="shared" si="299"/>
        <v>A1622:A3796</v>
      </c>
    </row>
    <row r="3797" spans="1:15">
      <c r="A3797" s="18">
        <f>Charms!K3797</f>
        <v>0</v>
      </c>
      <c r="B3797">
        <f>Charms!B3797</f>
        <v>0</v>
      </c>
      <c r="C3797" t="b">
        <f ca="1">OR(Values!$S$98&gt;=Charms!M3797,IFERROR(Charms!J3797=OFFSET(Values!$A$24,MATCH("S",Values!$T$25:$T$50,0),0),FALSE))</f>
        <v>1</v>
      </c>
      <c r="D3797" t="e">
        <f>VLOOKUP(Charms!J3797,Values!$A$11:$S$59,19,0)&gt;=Charms!L3797</f>
        <v>#N/A</v>
      </c>
      <c r="E3797" t="e">
        <f>OR(ISBLANK(Charms!I3797),(VLOOKUP(Values!$S$6,Castes!$B$2:$F$25,4,0)=Charms!I3797))</f>
        <v>#N/A</v>
      </c>
      <c r="J3797" t="e">
        <f t="shared" ca="1" si="296"/>
        <v>#N/A</v>
      </c>
      <c r="K3797" s="18" t="e">
        <f t="shared" ca="1" si="295"/>
        <v>#N/A</v>
      </c>
      <c r="L3797" t="e">
        <f ca="1">IF(J3797,Charms!B3797,"")</f>
        <v>#N/A</v>
      </c>
      <c r="M3797" t="str">
        <f t="shared" ca="1" si="297"/>
        <v>-</v>
      </c>
      <c r="N3797" s="18" t="str">
        <f t="shared" si="298"/>
        <v>K1622:L5000</v>
      </c>
      <c r="O3797" t="str">
        <f t="shared" si="299"/>
        <v>A1622:A3797</v>
      </c>
    </row>
    <row r="3798" spans="1:15">
      <c r="A3798" s="18">
        <f>Charms!K3798</f>
        <v>0</v>
      </c>
      <c r="B3798">
        <f>Charms!B3798</f>
        <v>0</v>
      </c>
      <c r="C3798" t="b">
        <f ca="1">OR(Values!$S$98&gt;=Charms!M3798,IFERROR(Charms!J3798=OFFSET(Values!$A$24,MATCH("S",Values!$T$25:$T$50,0),0),FALSE))</f>
        <v>1</v>
      </c>
      <c r="D3798" t="e">
        <f>VLOOKUP(Charms!J3798,Values!$A$11:$S$59,19,0)&gt;=Charms!L3798</f>
        <v>#N/A</v>
      </c>
      <c r="E3798" t="e">
        <f>OR(ISBLANK(Charms!I3798),(VLOOKUP(Values!$S$6,Castes!$B$2:$F$25,4,0)=Charms!I3798))</f>
        <v>#N/A</v>
      </c>
      <c r="J3798" t="e">
        <f t="shared" ca="1" si="296"/>
        <v>#N/A</v>
      </c>
      <c r="K3798" s="18" t="e">
        <f t="shared" ca="1" si="295"/>
        <v>#N/A</v>
      </c>
      <c r="L3798" t="e">
        <f ca="1">IF(J3798,Charms!B3798,"")</f>
        <v>#N/A</v>
      </c>
      <c r="M3798" t="str">
        <f t="shared" ca="1" si="297"/>
        <v>-</v>
      </c>
      <c r="N3798" s="18" t="str">
        <f t="shared" si="298"/>
        <v>K1622:L5000</v>
      </c>
      <c r="O3798" t="str">
        <f t="shared" si="299"/>
        <v>A1622:A3798</v>
      </c>
    </row>
    <row r="3799" spans="1:15">
      <c r="A3799" s="18">
        <f>Charms!K3799</f>
        <v>0</v>
      </c>
      <c r="B3799">
        <f>Charms!B3799</f>
        <v>0</v>
      </c>
      <c r="C3799" t="b">
        <f ca="1">OR(Values!$S$98&gt;=Charms!M3799,IFERROR(Charms!J3799=OFFSET(Values!$A$24,MATCH("S",Values!$T$25:$T$50,0),0),FALSE))</f>
        <v>1</v>
      </c>
      <c r="D3799" t="e">
        <f>VLOOKUP(Charms!J3799,Values!$A$11:$S$59,19,0)&gt;=Charms!L3799</f>
        <v>#N/A</v>
      </c>
      <c r="E3799" t="e">
        <f>OR(ISBLANK(Charms!I3799),(VLOOKUP(Values!$S$6,Castes!$B$2:$F$25,4,0)=Charms!I3799))</f>
        <v>#N/A</v>
      </c>
      <c r="J3799" t="e">
        <f t="shared" ca="1" si="296"/>
        <v>#N/A</v>
      </c>
      <c r="K3799" s="18" t="e">
        <f t="shared" ca="1" si="295"/>
        <v>#N/A</v>
      </c>
      <c r="L3799" t="e">
        <f ca="1">IF(J3799,Charms!B3799,"")</f>
        <v>#N/A</v>
      </c>
      <c r="M3799" t="str">
        <f t="shared" ca="1" si="297"/>
        <v>-</v>
      </c>
      <c r="N3799" s="18" t="str">
        <f t="shared" si="298"/>
        <v>K1622:L5000</v>
      </c>
      <c r="O3799" t="str">
        <f t="shared" si="299"/>
        <v>A1622:A3799</v>
      </c>
    </row>
    <row r="3800" spans="1:15">
      <c r="A3800" s="18">
        <f>Charms!K3800</f>
        <v>0</v>
      </c>
      <c r="B3800">
        <f>Charms!B3800</f>
        <v>0</v>
      </c>
      <c r="C3800" t="b">
        <f ca="1">OR(Values!$S$98&gt;=Charms!M3800,IFERROR(Charms!J3800=OFFSET(Values!$A$24,MATCH("S",Values!$T$25:$T$50,0),0),FALSE))</f>
        <v>1</v>
      </c>
      <c r="D3800" t="e">
        <f>VLOOKUP(Charms!J3800,Values!$A$11:$S$59,19,0)&gt;=Charms!L3800</f>
        <v>#N/A</v>
      </c>
      <c r="E3800" t="e">
        <f>OR(ISBLANK(Charms!I3800),(VLOOKUP(Values!$S$6,Castes!$B$2:$F$25,4,0)=Charms!I3800))</f>
        <v>#N/A</v>
      </c>
      <c r="J3800" t="e">
        <f t="shared" ca="1" si="296"/>
        <v>#N/A</v>
      </c>
      <c r="K3800" s="18" t="e">
        <f t="shared" ca="1" si="295"/>
        <v>#N/A</v>
      </c>
      <c r="L3800" t="e">
        <f ca="1">IF(J3800,Charms!B3800,"")</f>
        <v>#N/A</v>
      </c>
      <c r="M3800" t="str">
        <f t="shared" ca="1" si="297"/>
        <v>-</v>
      </c>
      <c r="N3800" s="18" t="str">
        <f t="shared" si="298"/>
        <v>K1622:L5000</v>
      </c>
      <c r="O3800" t="str">
        <f t="shared" si="299"/>
        <v>A1622:A3800</v>
      </c>
    </row>
    <row r="3801" spans="1:15">
      <c r="A3801" s="18">
        <f>Charms!K3801</f>
        <v>0</v>
      </c>
      <c r="B3801">
        <f>Charms!B3801</f>
        <v>0</v>
      </c>
      <c r="C3801" t="b">
        <f ca="1">OR(Values!$S$98&gt;=Charms!M3801,IFERROR(Charms!J3801=OFFSET(Values!$A$24,MATCH("S",Values!$T$25:$T$50,0),0),FALSE))</f>
        <v>1</v>
      </c>
      <c r="D3801" t="e">
        <f>VLOOKUP(Charms!J3801,Values!$A$11:$S$59,19,0)&gt;=Charms!L3801</f>
        <v>#N/A</v>
      </c>
      <c r="E3801" t="e">
        <f>OR(ISBLANK(Charms!I3801),(VLOOKUP(Values!$S$6,Castes!$B$2:$F$25,4,0)=Charms!I3801))</f>
        <v>#N/A</v>
      </c>
      <c r="J3801" t="e">
        <f t="shared" ca="1" si="296"/>
        <v>#N/A</v>
      </c>
      <c r="K3801" s="18" t="e">
        <f t="shared" ca="1" si="295"/>
        <v>#N/A</v>
      </c>
      <c r="L3801" t="e">
        <f ca="1">IF(J3801,Charms!B3801,"")</f>
        <v>#N/A</v>
      </c>
      <c r="M3801" t="str">
        <f t="shared" ca="1" si="297"/>
        <v>-</v>
      </c>
      <c r="N3801" s="18" t="str">
        <f t="shared" si="298"/>
        <v>K1622:L5000</v>
      </c>
      <c r="O3801" t="str">
        <f t="shared" si="299"/>
        <v>A1622:A3801</v>
      </c>
    </row>
    <row r="3802" spans="1:15">
      <c r="A3802" s="18">
        <f>Charms!K3802</f>
        <v>0</v>
      </c>
      <c r="B3802">
        <f>Charms!B3802</f>
        <v>0</v>
      </c>
      <c r="C3802" t="b">
        <f ca="1">OR(Values!$S$98&gt;=Charms!M3802,IFERROR(Charms!J3802=OFFSET(Values!$A$24,MATCH("S",Values!$T$25:$T$50,0),0),FALSE))</f>
        <v>1</v>
      </c>
      <c r="D3802" t="e">
        <f>VLOOKUP(Charms!J3802,Values!$A$11:$S$59,19,0)&gt;=Charms!L3802</f>
        <v>#N/A</v>
      </c>
      <c r="E3802" t="e">
        <f>OR(ISBLANK(Charms!I3802),(VLOOKUP(Values!$S$6,Castes!$B$2:$F$25,4,0)=Charms!I3802))</f>
        <v>#N/A</v>
      </c>
      <c r="J3802" t="e">
        <f t="shared" ca="1" si="296"/>
        <v>#N/A</v>
      </c>
      <c r="K3802" s="18" t="e">
        <f t="shared" ca="1" si="295"/>
        <v>#N/A</v>
      </c>
      <c r="L3802" t="e">
        <f ca="1">IF(J3802,Charms!B3802,"")</f>
        <v>#N/A</v>
      </c>
      <c r="M3802" t="str">
        <f t="shared" ca="1" si="297"/>
        <v>-</v>
      </c>
      <c r="N3802" s="18" t="str">
        <f t="shared" si="298"/>
        <v>K1622:L5000</v>
      </c>
      <c r="O3802" t="str">
        <f t="shared" si="299"/>
        <v>A1622:A3802</v>
      </c>
    </row>
    <row r="3803" spans="1:15">
      <c r="A3803" s="18">
        <f>Charms!K3803</f>
        <v>0</v>
      </c>
      <c r="B3803">
        <f>Charms!B3803</f>
        <v>0</v>
      </c>
      <c r="C3803" t="b">
        <f ca="1">OR(Values!$S$98&gt;=Charms!M3803,IFERROR(Charms!J3803=OFFSET(Values!$A$24,MATCH("S",Values!$T$25:$T$50,0),0),FALSE))</f>
        <v>1</v>
      </c>
      <c r="D3803" t="e">
        <f>VLOOKUP(Charms!J3803,Values!$A$11:$S$59,19,0)&gt;=Charms!L3803</f>
        <v>#N/A</v>
      </c>
      <c r="E3803" t="e">
        <f>OR(ISBLANK(Charms!I3803),(VLOOKUP(Values!$S$6,Castes!$B$2:$F$25,4,0)=Charms!I3803))</f>
        <v>#N/A</v>
      </c>
      <c r="J3803" t="e">
        <f t="shared" ca="1" si="296"/>
        <v>#N/A</v>
      </c>
      <c r="K3803" s="18" t="e">
        <f t="shared" ca="1" si="295"/>
        <v>#N/A</v>
      </c>
      <c r="L3803" t="e">
        <f ca="1">IF(J3803,Charms!B3803,"")</f>
        <v>#N/A</v>
      </c>
      <c r="M3803" t="str">
        <f t="shared" ca="1" si="297"/>
        <v>-</v>
      </c>
      <c r="N3803" s="18" t="str">
        <f t="shared" si="298"/>
        <v>K1622:L5000</v>
      </c>
      <c r="O3803" t="str">
        <f t="shared" si="299"/>
        <v>A1622:A3803</v>
      </c>
    </row>
    <row r="3804" spans="1:15">
      <c r="A3804" s="18">
        <f>Charms!K3804</f>
        <v>0</v>
      </c>
      <c r="B3804">
        <f>Charms!B3804</f>
        <v>0</v>
      </c>
      <c r="C3804" t="b">
        <f ca="1">OR(Values!$S$98&gt;=Charms!M3804,IFERROR(Charms!J3804=OFFSET(Values!$A$24,MATCH("S",Values!$T$25:$T$50,0),0),FALSE))</f>
        <v>1</v>
      </c>
      <c r="D3804" t="e">
        <f>VLOOKUP(Charms!J3804,Values!$A$11:$S$59,19,0)&gt;=Charms!L3804</f>
        <v>#N/A</v>
      </c>
      <c r="E3804" t="e">
        <f>OR(ISBLANK(Charms!I3804),(VLOOKUP(Values!$S$6,Castes!$B$2:$F$25,4,0)=Charms!I3804))</f>
        <v>#N/A</v>
      </c>
      <c r="J3804" t="e">
        <f t="shared" ca="1" si="296"/>
        <v>#N/A</v>
      </c>
      <c r="K3804" s="18" t="e">
        <f t="shared" ca="1" si="295"/>
        <v>#N/A</v>
      </c>
      <c r="L3804" t="e">
        <f ca="1">IF(J3804,Charms!B3804,"")</f>
        <v>#N/A</v>
      </c>
      <c r="M3804" t="str">
        <f t="shared" ca="1" si="297"/>
        <v>-</v>
      </c>
      <c r="N3804" s="18" t="str">
        <f t="shared" si="298"/>
        <v>K1622:L5000</v>
      </c>
      <c r="O3804" t="str">
        <f t="shared" si="299"/>
        <v>A1622:A3804</v>
      </c>
    </row>
    <row r="3805" spans="1:15">
      <c r="A3805" s="18">
        <f>Charms!K3805</f>
        <v>0</v>
      </c>
      <c r="B3805">
        <f>Charms!B3805</f>
        <v>0</v>
      </c>
      <c r="C3805" t="b">
        <f ca="1">OR(Values!$S$98&gt;=Charms!M3805,IFERROR(Charms!J3805=OFFSET(Values!$A$24,MATCH("S",Values!$T$25:$T$50,0),0),FALSE))</f>
        <v>1</v>
      </c>
      <c r="D3805" t="e">
        <f>VLOOKUP(Charms!J3805,Values!$A$11:$S$59,19,0)&gt;=Charms!L3805</f>
        <v>#N/A</v>
      </c>
      <c r="E3805" t="e">
        <f>OR(ISBLANK(Charms!I3805),(VLOOKUP(Values!$S$6,Castes!$B$2:$F$25,4,0)=Charms!I3805))</f>
        <v>#N/A</v>
      </c>
      <c r="J3805" t="e">
        <f t="shared" ca="1" si="296"/>
        <v>#N/A</v>
      </c>
      <c r="K3805" s="18" t="e">
        <f t="shared" ca="1" si="295"/>
        <v>#N/A</v>
      </c>
      <c r="L3805" t="e">
        <f ca="1">IF(J3805,Charms!B3805,"")</f>
        <v>#N/A</v>
      </c>
      <c r="M3805" t="str">
        <f t="shared" ca="1" si="297"/>
        <v>-</v>
      </c>
      <c r="N3805" s="18" t="str">
        <f t="shared" si="298"/>
        <v>K1622:L5000</v>
      </c>
      <c r="O3805" t="str">
        <f t="shared" si="299"/>
        <v>A1622:A3805</v>
      </c>
    </row>
    <row r="3806" spans="1:15">
      <c r="A3806" s="18">
        <f>Charms!K3806</f>
        <v>0</v>
      </c>
      <c r="B3806">
        <f>Charms!B3806</f>
        <v>0</v>
      </c>
      <c r="C3806" t="b">
        <f ca="1">OR(Values!$S$98&gt;=Charms!M3806,IFERROR(Charms!J3806=OFFSET(Values!$A$24,MATCH("S",Values!$T$25:$T$50,0),0),FALSE))</f>
        <v>1</v>
      </c>
      <c r="D3806" t="e">
        <f>VLOOKUP(Charms!J3806,Values!$A$11:$S$59,19,0)&gt;=Charms!L3806</f>
        <v>#N/A</v>
      </c>
      <c r="E3806" t="e">
        <f>OR(ISBLANK(Charms!I3806),(VLOOKUP(Values!$S$6,Castes!$B$2:$F$25,4,0)=Charms!I3806))</f>
        <v>#N/A</v>
      </c>
      <c r="J3806" t="e">
        <f t="shared" ca="1" si="296"/>
        <v>#N/A</v>
      </c>
      <c r="K3806" s="18" t="e">
        <f t="shared" ca="1" si="295"/>
        <v>#N/A</v>
      </c>
      <c r="L3806" t="e">
        <f ca="1">IF(J3806,Charms!B3806,"")</f>
        <v>#N/A</v>
      </c>
      <c r="M3806" t="str">
        <f t="shared" ca="1" si="297"/>
        <v>-</v>
      </c>
      <c r="N3806" s="18" t="str">
        <f t="shared" si="298"/>
        <v>K1622:L5000</v>
      </c>
      <c r="O3806" t="str">
        <f t="shared" si="299"/>
        <v>A1622:A3806</v>
      </c>
    </row>
    <row r="3807" spans="1:15">
      <c r="A3807" s="18">
        <f>Charms!K3807</f>
        <v>0</v>
      </c>
      <c r="B3807">
        <f>Charms!B3807</f>
        <v>0</v>
      </c>
      <c r="C3807" t="b">
        <f ca="1">OR(Values!$S$98&gt;=Charms!M3807,IFERROR(Charms!J3807=OFFSET(Values!$A$24,MATCH("S",Values!$T$25:$T$50,0),0),FALSE))</f>
        <v>1</v>
      </c>
      <c r="D3807" t="e">
        <f>VLOOKUP(Charms!J3807,Values!$A$11:$S$59,19,0)&gt;=Charms!L3807</f>
        <v>#N/A</v>
      </c>
      <c r="E3807" t="e">
        <f>OR(ISBLANK(Charms!I3807),(VLOOKUP(Values!$S$6,Castes!$B$2:$F$25,4,0)=Charms!I3807))</f>
        <v>#N/A</v>
      </c>
      <c r="J3807" t="e">
        <f t="shared" ca="1" si="296"/>
        <v>#N/A</v>
      </c>
      <c r="K3807" s="18" t="e">
        <f t="shared" ca="1" si="295"/>
        <v>#N/A</v>
      </c>
      <c r="L3807" t="e">
        <f ca="1">IF(J3807,Charms!B3807,"")</f>
        <v>#N/A</v>
      </c>
      <c r="M3807" t="str">
        <f t="shared" ca="1" si="297"/>
        <v>-</v>
      </c>
      <c r="N3807" s="18" t="str">
        <f t="shared" si="298"/>
        <v>K1622:L5000</v>
      </c>
      <c r="O3807" t="str">
        <f t="shared" si="299"/>
        <v>A1622:A3807</v>
      </c>
    </row>
    <row r="3808" spans="1:15">
      <c r="A3808" s="18">
        <f>Charms!K3808</f>
        <v>0</v>
      </c>
      <c r="B3808">
        <f>Charms!B3808</f>
        <v>0</v>
      </c>
      <c r="C3808" t="b">
        <f ca="1">OR(Values!$S$98&gt;=Charms!M3808,IFERROR(Charms!J3808=OFFSET(Values!$A$24,MATCH("S",Values!$T$25:$T$50,0),0),FALSE))</f>
        <v>1</v>
      </c>
      <c r="D3808" t="e">
        <f>VLOOKUP(Charms!J3808,Values!$A$11:$S$59,19,0)&gt;=Charms!L3808</f>
        <v>#N/A</v>
      </c>
      <c r="E3808" t="e">
        <f>OR(ISBLANK(Charms!I3808),(VLOOKUP(Values!$S$6,Castes!$B$2:$F$25,4,0)=Charms!I3808))</f>
        <v>#N/A</v>
      </c>
      <c r="J3808" t="e">
        <f t="shared" ca="1" si="296"/>
        <v>#N/A</v>
      </c>
      <c r="K3808" s="18" t="e">
        <f t="shared" ca="1" si="295"/>
        <v>#N/A</v>
      </c>
      <c r="L3808" t="e">
        <f ca="1">IF(J3808,Charms!B3808,"")</f>
        <v>#N/A</v>
      </c>
      <c r="M3808" t="str">
        <f t="shared" ca="1" si="297"/>
        <v>-</v>
      </c>
      <c r="N3808" s="18" t="str">
        <f t="shared" si="298"/>
        <v>K1622:L5000</v>
      </c>
      <c r="O3808" t="str">
        <f t="shared" si="299"/>
        <v>A1622:A3808</v>
      </c>
    </row>
    <row r="3809" spans="1:15">
      <c r="A3809" s="18">
        <f>Charms!K3809</f>
        <v>0</v>
      </c>
      <c r="B3809">
        <f>Charms!B3809</f>
        <v>0</v>
      </c>
      <c r="C3809" t="b">
        <f ca="1">OR(Values!$S$98&gt;=Charms!M3809,IFERROR(Charms!J3809=OFFSET(Values!$A$24,MATCH("S",Values!$T$25:$T$50,0),0),FALSE))</f>
        <v>1</v>
      </c>
      <c r="D3809" t="e">
        <f>VLOOKUP(Charms!J3809,Values!$A$11:$S$59,19,0)&gt;=Charms!L3809</f>
        <v>#N/A</v>
      </c>
      <c r="E3809" t="e">
        <f>OR(ISBLANK(Charms!I3809),(VLOOKUP(Values!$S$6,Castes!$B$2:$F$25,4,0)=Charms!I3809))</f>
        <v>#N/A</v>
      </c>
      <c r="J3809" t="e">
        <f t="shared" ca="1" si="296"/>
        <v>#N/A</v>
      </c>
      <c r="K3809" s="18" t="e">
        <f t="shared" ca="1" si="295"/>
        <v>#N/A</v>
      </c>
      <c r="L3809" t="e">
        <f ca="1">IF(J3809,Charms!B3809,"")</f>
        <v>#N/A</v>
      </c>
      <c r="M3809" t="str">
        <f t="shared" ca="1" si="297"/>
        <v>-</v>
      </c>
      <c r="N3809" s="18" t="str">
        <f t="shared" si="298"/>
        <v>K1622:L5000</v>
      </c>
      <c r="O3809" t="str">
        <f t="shared" si="299"/>
        <v>A1622:A3809</v>
      </c>
    </row>
    <row r="3810" spans="1:15">
      <c r="A3810" s="18">
        <f>Charms!K3810</f>
        <v>0</v>
      </c>
      <c r="B3810">
        <f>Charms!B3810</f>
        <v>0</v>
      </c>
      <c r="C3810" t="b">
        <f ca="1">OR(Values!$S$98&gt;=Charms!M3810,IFERROR(Charms!J3810=OFFSET(Values!$A$24,MATCH("S",Values!$T$25:$T$50,0),0),FALSE))</f>
        <v>1</v>
      </c>
      <c r="D3810" t="e">
        <f>VLOOKUP(Charms!J3810,Values!$A$11:$S$59,19,0)&gt;=Charms!L3810</f>
        <v>#N/A</v>
      </c>
      <c r="E3810" t="e">
        <f>OR(ISBLANK(Charms!I3810),(VLOOKUP(Values!$S$6,Castes!$B$2:$F$25,4,0)=Charms!I3810))</f>
        <v>#N/A</v>
      </c>
      <c r="J3810" t="e">
        <f t="shared" ca="1" si="296"/>
        <v>#N/A</v>
      </c>
      <c r="K3810" s="18" t="e">
        <f t="shared" ca="1" si="295"/>
        <v>#N/A</v>
      </c>
      <c r="L3810" t="e">
        <f ca="1">IF(J3810,Charms!B3810,"")</f>
        <v>#N/A</v>
      </c>
      <c r="M3810" t="str">
        <f t="shared" ca="1" si="297"/>
        <v>-</v>
      </c>
      <c r="N3810" s="18" t="str">
        <f t="shared" si="298"/>
        <v>K1622:L5000</v>
      </c>
      <c r="O3810" t="str">
        <f t="shared" si="299"/>
        <v>A1622:A3810</v>
      </c>
    </row>
    <row r="3811" spans="1:15">
      <c r="A3811" s="18">
        <f>Charms!K3811</f>
        <v>0</v>
      </c>
      <c r="B3811">
        <f>Charms!B3811</f>
        <v>0</v>
      </c>
      <c r="C3811" t="b">
        <f ca="1">OR(Values!$S$98&gt;=Charms!M3811,IFERROR(Charms!J3811=OFFSET(Values!$A$24,MATCH("S",Values!$T$25:$T$50,0),0),FALSE))</f>
        <v>1</v>
      </c>
      <c r="D3811" t="e">
        <f>VLOOKUP(Charms!J3811,Values!$A$11:$S$59,19,0)&gt;=Charms!L3811</f>
        <v>#N/A</v>
      </c>
      <c r="E3811" t="e">
        <f>OR(ISBLANK(Charms!I3811),(VLOOKUP(Values!$S$6,Castes!$B$2:$F$25,4,0)=Charms!I3811))</f>
        <v>#N/A</v>
      </c>
      <c r="J3811" t="e">
        <f t="shared" ca="1" si="296"/>
        <v>#N/A</v>
      </c>
      <c r="K3811" s="18" t="e">
        <f t="shared" ca="1" si="295"/>
        <v>#N/A</v>
      </c>
      <c r="L3811" t="e">
        <f ca="1">IF(J3811,Charms!B3811,"")</f>
        <v>#N/A</v>
      </c>
      <c r="M3811" t="str">
        <f t="shared" ca="1" si="297"/>
        <v>-</v>
      </c>
      <c r="N3811" s="18" t="str">
        <f t="shared" si="298"/>
        <v>K1622:L5000</v>
      </c>
      <c r="O3811" t="str">
        <f t="shared" si="299"/>
        <v>A1622:A3811</v>
      </c>
    </row>
    <row r="3812" spans="1:15">
      <c r="A3812" s="18">
        <f>Charms!K3812</f>
        <v>0</v>
      </c>
      <c r="B3812">
        <f>Charms!B3812</f>
        <v>0</v>
      </c>
      <c r="C3812" t="b">
        <f ca="1">OR(Values!$S$98&gt;=Charms!M3812,IFERROR(Charms!J3812=OFFSET(Values!$A$24,MATCH("S",Values!$T$25:$T$50,0),0),FALSE))</f>
        <v>1</v>
      </c>
      <c r="D3812" t="e">
        <f>VLOOKUP(Charms!J3812,Values!$A$11:$S$59,19,0)&gt;=Charms!L3812</f>
        <v>#N/A</v>
      </c>
      <c r="E3812" t="e">
        <f>OR(ISBLANK(Charms!I3812),(VLOOKUP(Values!$S$6,Castes!$B$2:$F$25,4,0)=Charms!I3812))</f>
        <v>#N/A</v>
      </c>
      <c r="J3812" t="e">
        <f t="shared" ca="1" si="296"/>
        <v>#N/A</v>
      </c>
      <c r="K3812" s="18" t="e">
        <f t="shared" ca="1" si="295"/>
        <v>#N/A</v>
      </c>
      <c r="L3812" t="e">
        <f ca="1">IF(J3812,Charms!B3812,"")</f>
        <v>#N/A</v>
      </c>
      <c r="M3812" t="str">
        <f t="shared" ca="1" si="297"/>
        <v>-</v>
      </c>
      <c r="N3812" s="18" t="str">
        <f t="shared" si="298"/>
        <v>K1622:L5000</v>
      </c>
      <c r="O3812" t="str">
        <f t="shared" si="299"/>
        <v>A1622:A3812</v>
      </c>
    </row>
    <row r="3813" spans="1:15">
      <c r="A3813" s="18">
        <f>Charms!K3813</f>
        <v>0</v>
      </c>
      <c r="B3813">
        <f>Charms!B3813</f>
        <v>0</v>
      </c>
      <c r="C3813" t="b">
        <f ca="1">OR(Values!$S$98&gt;=Charms!M3813,IFERROR(Charms!J3813=OFFSET(Values!$A$24,MATCH("S",Values!$T$25:$T$50,0),0),FALSE))</f>
        <v>1</v>
      </c>
      <c r="D3813" t="e">
        <f>VLOOKUP(Charms!J3813,Values!$A$11:$S$59,19,0)&gt;=Charms!L3813</f>
        <v>#N/A</v>
      </c>
      <c r="E3813" t="e">
        <f>OR(ISBLANK(Charms!I3813),(VLOOKUP(Values!$S$6,Castes!$B$2:$F$25,4,0)=Charms!I3813))</f>
        <v>#N/A</v>
      </c>
      <c r="J3813" t="e">
        <f t="shared" ca="1" si="296"/>
        <v>#N/A</v>
      </c>
      <c r="K3813" s="18" t="e">
        <f t="shared" ca="1" si="295"/>
        <v>#N/A</v>
      </c>
      <c r="L3813" t="e">
        <f ca="1">IF(J3813,Charms!B3813,"")</f>
        <v>#N/A</v>
      </c>
      <c r="M3813" t="str">
        <f t="shared" ca="1" si="297"/>
        <v>-</v>
      </c>
      <c r="N3813" s="18" t="str">
        <f t="shared" si="298"/>
        <v>K1622:L5000</v>
      </c>
      <c r="O3813" t="str">
        <f t="shared" si="299"/>
        <v>A1622:A3813</v>
      </c>
    </row>
    <row r="3814" spans="1:15">
      <c r="A3814" s="18">
        <f>Charms!K3814</f>
        <v>0</v>
      </c>
      <c r="B3814">
        <f>Charms!B3814</f>
        <v>0</v>
      </c>
      <c r="C3814" t="b">
        <f ca="1">OR(Values!$S$98&gt;=Charms!M3814,IFERROR(Charms!J3814=OFFSET(Values!$A$24,MATCH("S",Values!$T$25:$T$50,0),0),FALSE))</f>
        <v>1</v>
      </c>
      <c r="D3814" t="e">
        <f>VLOOKUP(Charms!J3814,Values!$A$11:$S$59,19,0)&gt;=Charms!L3814</f>
        <v>#N/A</v>
      </c>
      <c r="E3814" t="e">
        <f>OR(ISBLANK(Charms!I3814),(VLOOKUP(Values!$S$6,Castes!$B$2:$F$25,4,0)=Charms!I3814))</f>
        <v>#N/A</v>
      </c>
      <c r="J3814" t="e">
        <f t="shared" ca="1" si="296"/>
        <v>#N/A</v>
      </c>
      <c r="K3814" s="18" t="e">
        <f t="shared" ca="1" si="295"/>
        <v>#N/A</v>
      </c>
      <c r="L3814" t="e">
        <f ca="1">IF(J3814,Charms!B3814,"")</f>
        <v>#N/A</v>
      </c>
      <c r="M3814" t="str">
        <f t="shared" ca="1" si="297"/>
        <v>-</v>
      </c>
      <c r="N3814" s="18" t="str">
        <f t="shared" si="298"/>
        <v>K1622:L5000</v>
      </c>
      <c r="O3814" t="str">
        <f t="shared" si="299"/>
        <v>A1622:A3814</v>
      </c>
    </row>
    <row r="3815" spans="1:15">
      <c r="A3815" s="18">
        <f>Charms!K3815</f>
        <v>0</v>
      </c>
      <c r="B3815">
        <f>Charms!B3815</f>
        <v>0</v>
      </c>
      <c r="C3815" t="b">
        <f ca="1">OR(Values!$S$98&gt;=Charms!M3815,IFERROR(Charms!J3815=OFFSET(Values!$A$24,MATCH("S",Values!$T$25:$T$50,0),0),FALSE))</f>
        <v>1</v>
      </c>
      <c r="D3815" t="e">
        <f>VLOOKUP(Charms!J3815,Values!$A$11:$S$59,19,0)&gt;=Charms!L3815</f>
        <v>#N/A</v>
      </c>
      <c r="E3815" t="e">
        <f>OR(ISBLANK(Charms!I3815),(VLOOKUP(Values!$S$6,Castes!$B$2:$F$25,4,0)=Charms!I3815))</f>
        <v>#N/A</v>
      </c>
      <c r="J3815" t="e">
        <f t="shared" ca="1" si="296"/>
        <v>#N/A</v>
      </c>
      <c r="K3815" s="18" t="e">
        <f t="shared" ca="1" si="295"/>
        <v>#N/A</v>
      </c>
      <c r="L3815" t="e">
        <f ca="1">IF(J3815,Charms!B3815,"")</f>
        <v>#N/A</v>
      </c>
      <c r="M3815" t="str">
        <f t="shared" ca="1" si="297"/>
        <v>-</v>
      </c>
      <c r="N3815" s="18" t="str">
        <f t="shared" si="298"/>
        <v>K1622:L5000</v>
      </c>
      <c r="O3815" t="str">
        <f t="shared" si="299"/>
        <v>A1622:A3815</v>
      </c>
    </row>
    <row r="3816" spans="1:15">
      <c r="A3816" s="18">
        <f>Charms!K3816</f>
        <v>0</v>
      </c>
      <c r="B3816">
        <f>Charms!B3816</f>
        <v>0</v>
      </c>
      <c r="C3816" t="b">
        <f ca="1">OR(Values!$S$98&gt;=Charms!M3816,IFERROR(Charms!J3816=OFFSET(Values!$A$24,MATCH("S",Values!$T$25:$T$50,0),0),FALSE))</f>
        <v>1</v>
      </c>
      <c r="D3816" t="e">
        <f>VLOOKUP(Charms!J3816,Values!$A$11:$S$59,19,0)&gt;=Charms!L3816</f>
        <v>#N/A</v>
      </c>
      <c r="E3816" t="e">
        <f>OR(ISBLANK(Charms!I3816),(VLOOKUP(Values!$S$6,Castes!$B$2:$F$25,4,0)=Charms!I3816))</f>
        <v>#N/A</v>
      </c>
      <c r="J3816" t="e">
        <f t="shared" ca="1" si="296"/>
        <v>#N/A</v>
      </c>
      <c r="K3816" s="18" t="e">
        <f t="shared" ca="1" si="295"/>
        <v>#N/A</v>
      </c>
      <c r="L3816" t="e">
        <f ca="1">IF(J3816,Charms!B3816,"")</f>
        <v>#N/A</v>
      </c>
      <c r="M3816" t="str">
        <f t="shared" ca="1" si="297"/>
        <v>-</v>
      </c>
      <c r="N3816" s="18" t="str">
        <f t="shared" si="298"/>
        <v>K1622:L5000</v>
      </c>
      <c r="O3816" t="str">
        <f t="shared" si="299"/>
        <v>A1622:A3816</v>
      </c>
    </row>
    <row r="3817" spans="1:15">
      <c r="A3817" s="18">
        <f>Charms!K3817</f>
        <v>0</v>
      </c>
      <c r="B3817">
        <f>Charms!B3817</f>
        <v>0</v>
      </c>
      <c r="C3817" t="b">
        <f ca="1">OR(Values!$S$98&gt;=Charms!M3817,IFERROR(Charms!J3817=OFFSET(Values!$A$24,MATCH("S",Values!$T$25:$T$50,0),0),FALSE))</f>
        <v>1</v>
      </c>
      <c r="D3817" t="e">
        <f>VLOOKUP(Charms!J3817,Values!$A$11:$S$59,19,0)&gt;=Charms!L3817</f>
        <v>#N/A</v>
      </c>
      <c r="E3817" t="e">
        <f>OR(ISBLANK(Charms!I3817),(VLOOKUP(Values!$S$6,Castes!$B$2:$F$25,4,0)=Charms!I3817))</f>
        <v>#N/A</v>
      </c>
      <c r="J3817" t="e">
        <f t="shared" ca="1" si="296"/>
        <v>#N/A</v>
      </c>
      <c r="K3817" s="18" t="e">
        <f t="shared" ca="1" si="295"/>
        <v>#N/A</v>
      </c>
      <c r="L3817" t="e">
        <f ca="1">IF(J3817,Charms!B3817,"")</f>
        <v>#N/A</v>
      </c>
      <c r="M3817" t="str">
        <f t="shared" ca="1" si="297"/>
        <v>-</v>
      </c>
      <c r="N3817" s="18" t="str">
        <f t="shared" si="298"/>
        <v>K1622:L5000</v>
      </c>
      <c r="O3817" t="str">
        <f t="shared" si="299"/>
        <v>A1622:A3817</v>
      </c>
    </row>
    <row r="3818" spans="1:15">
      <c r="A3818" s="18">
        <f>Charms!K3818</f>
        <v>0</v>
      </c>
      <c r="B3818">
        <f>Charms!B3818</f>
        <v>0</v>
      </c>
      <c r="C3818" t="b">
        <f ca="1">OR(Values!$S$98&gt;=Charms!M3818,IFERROR(Charms!J3818=OFFSET(Values!$A$24,MATCH("S",Values!$T$25:$T$50,0),0),FALSE))</f>
        <v>1</v>
      </c>
      <c r="D3818" t="e">
        <f>VLOOKUP(Charms!J3818,Values!$A$11:$S$59,19,0)&gt;=Charms!L3818</f>
        <v>#N/A</v>
      </c>
      <c r="E3818" t="e">
        <f>OR(ISBLANK(Charms!I3818),(VLOOKUP(Values!$S$6,Castes!$B$2:$F$25,4,0)=Charms!I3818))</f>
        <v>#N/A</v>
      </c>
      <c r="J3818" t="e">
        <f t="shared" ca="1" si="296"/>
        <v>#N/A</v>
      </c>
      <c r="K3818" s="18" t="e">
        <f t="shared" ca="1" si="295"/>
        <v>#N/A</v>
      </c>
      <c r="L3818" t="e">
        <f ca="1">IF(J3818,Charms!B3818,"")</f>
        <v>#N/A</v>
      </c>
      <c r="M3818" t="str">
        <f t="shared" ca="1" si="297"/>
        <v>-</v>
      </c>
      <c r="N3818" s="18" t="str">
        <f t="shared" si="298"/>
        <v>K1622:L5000</v>
      </c>
      <c r="O3818" t="str">
        <f t="shared" si="299"/>
        <v>A1622:A3818</v>
      </c>
    </row>
    <row r="3819" spans="1:15">
      <c r="A3819" s="18">
        <f>Charms!K3819</f>
        <v>0</v>
      </c>
      <c r="B3819">
        <f>Charms!B3819</f>
        <v>0</v>
      </c>
      <c r="C3819" t="b">
        <f ca="1">OR(Values!$S$98&gt;=Charms!M3819,IFERROR(Charms!J3819=OFFSET(Values!$A$24,MATCH("S",Values!$T$25:$T$50,0),0),FALSE))</f>
        <v>1</v>
      </c>
      <c r="D3819" t="e">
        <f>VLOOKUP(Charms!J3819,Values!$A$11:$S$59,19,0)&gt;=Charms!L3819</f>
        <v>#N/A</v>
      </c>
      <c r="E3819" t="e">
        <f>OR(ISBLANK(Charms!I3819),(VLOOKUP(Values!$S$6,Castes!$B$2:$F$25,4,0)=Charms!I3819))</f>
        <v>#N/A</v>
      </c>
      <c r="J3819" t="e">
        <f t="shared" ca="1" si="296"/>
        <v>#N/A</v>
      </c>
      <c r="K3819" s="18" t="e">
        <f t="shared" ca="1" si="295"/>
        <v>#N/A</v>
      </c>
      <c r="L3819" t="e">
        <f ca="1">IF(J3819,Charms!B3819,"")</f>
        <v>#N/A</v>
      </c>
      <c r="M3819" t="str">
        <f t="shared" ca="1" si="297"/>
        <v>-</v>
      </c>
      <c r="N3819" s="18" t="str">
        <f t="shared" si="298"/>
        <v>K1622:L5000</v>
      </c>
      <c r="O3819" t="str">
        <f t="shared" si="299"/>
        <v>A1622:A3819</v>
      </c>
    </row>
    <row r="3820" spans="1:15">
      <c r="A3820" s="18">
        <f>Charms!K3820</f>
        <v>0</v>
      </c>
      <c r="B3820">
        <f>Charms!B3820</f>
        <v>0</v>
      </c>
      <c r="C3820" t="b">
        <f ca="1">OR(Values!$S$98&gt;=Charms!M3820,IFERROR(Charms!J3820=OFFSET(Values!$A$24,MATCH("S",Values!$T$25:$T$50,0),0),FALSE))</f>
        <v>1</v>
      </c>
      <c r="D3820" t="e">
        <f>VLOOKUP(Charms!J3820,Values!$A$11:$S$59,19,0)&gt;=Charms!L3820</f>
        <v>#N/A</v>
      </c>
      <c r="E3820" t="e">
        <f>OR(ISBLANK(Charms!I3820),(VLOOKUP(Values!$S$6,Castes!$B$2:$F$25,4,0)=Charms!I3820))</f>
        <v>#N/A</v>
      </c>
      <c r="J3820" t="e">
        <f t="shared" ca="1" si="296"/>
        <v>#N/A</v>
      </c>
      <c r="K3820" s="18" t="e">
        <f t="shared" ca="1" si="295"/>
        <v>#N/A</v>
      </c>
      <c r="L3820" t="e">
        <f ca="1">IF(J3820,Charms!B3820,"")</f>
        <v>#N/A</v>
      </c>
      <c r="M3820" t="str">
        <f t="shared" ca="1" si="297"/>
        <v>-</v>
      </c>
      <c r="N3820" s="18" t="str">
        <f t="shared" si="298"/>
        <v>K1622:L5000</v>
      </c>
      <c r="O3820" t="str">
        <f t="shared" si="299"/>
        <v>A1622:A3820</v>
      </c>
    </row>
    <row r="3821" spans="1:15">
      <c r="A3821" s="18">
        <f>Charms!K3821</f>
        <v>0</v>
      </c>
      <c r="B3821">
        <f>Charms!B3821</f>
        <v>0</v>
      </c>
      <c r="C3821" t="b">
        <f ca="1">OR(Values!$S$98&gt;=Charms!M3821,IFERROR(Charms!J3821=OFFSET(Values!$A$24,MATCH("S",Values!$T$25:$T$50,0),0),FALSE))</f>
        <v>1</v>
      </c>
      <c r="D3821" t="e">
        <f>VLOOKUP(Charms!J3821,Values!$A$11:$S$59,19,0)&gt;=Charms!L3821</f>
        <v>#N/A</v>
      </c>
      <c r="E3821" t="e">
        <f>OR(ISBLANK(Charms!I3821),(VLOOKUP(Values!$S$6,Castes!$B$2:$F$25,4,0)=Charms!I3821))</f>
        <v>#N/A</v>
      </c>
      <c r="J3821" t="e">
        <f t="shared" ca="1" si="296"/>
        <v>#N/A</v>
      </c>
      <c r="K3821" s="18" t="e">
        <f t="shared" ca="1" si="295"/>
        <v>#N/A</v>
      </c>
      <c r="L3821" t="e">
        <f ca="1">IF(J3821,Charms!B3821,"")</f>
        <v>#N/A</v>
      </c>
      <c r="M3821" t="str">
        <f t="shared" ca="1" si="297"/>
        <v>-</v>
      </c>
      <c r="N3821" s="18" t="str">
        <f t="shared" si="298"/>
        <v>K1622:L5000</v>
      </c>
      <c r="O3821" t="str">
        <f t="shared" si="299"/>
        <v>A1622:A3821</v>
      </c>
    </row>
    <row r="3822" spans="1:15">
      <c r="A3822" s="18">
        <f>Charms!K3822</f>
        <v>0</v>
      </c>
      <c r="B3822">
        <f>Charms!B3822</f>
        <v>0</v>
      </c>
      <c r="C3822" t="b">
        <f ca="1">OR(Values!$S$98&gt;=Charms!M3822,IFERROR(Charms!J3822=OFFSET(Values!$A$24,MATCH("S",Values!$T$25:$T$50,0),0),FALSE))</f>
        <v>1</v>
      </c>
      <c r="D3822" t="e">
        <f>VLOOKUP(Charms!J3822,Values!$A$11:$S$59,19,0)&gt;=Charms!L3822</f>
        <v>#N/A</v>
      </c>
      <c r="E3822" t="e">
        <f>OR(ISBLANK(Charms!I3822),(VLOOKUP(Values!$S$6,Castes!$B$2:$F$25,4,0)=Charms!I3822))</f>
        <v>#N/A</v>
      </c>
      <c r="J3822" t="e">
        <f t="shared" ca="1" si="296"/>
        <v>#N/A</v>
      </c>
      <c r="K3822" s="18" t="e">
        <f t="shared" ca="1" si="295"/>
        <v>#N/A</v>
      </c>
      <c r="L3822" t="e">
        <f ca="1">IF(J3822,Charms!B3822,"")</f>
        <v>#N/A</v>
      </c>
      <c r="M3822" t="str">
        <f t="shared" ca="1" si="297"/>
        <v>-</v>
      </c>
      <c r="N3822" s="18" t="str">
        <f t="shared" si="298"/>
        <v>K1622:L5000</v>
      </c>
      <c r="O3822" t="str">
        <f t="shared" si="299"/>
        <v>A1622:A3822</v>
      </c>
    </row>
    <row r="3823" spans="1:15">
      <c r="A3823" s="18">
        <f>Charms!K3823</f>
        <v>0</v>
      </c>
      <c r="B3823">
        <f>Charms!B3823</f>
        <v>0</v>
      </c>
      <c r="C3823" t="b">
        <f ca="1">OR(Values!$S$98&gt;=Charms!M3823,IFERROR(Charms!J3823=OFFSET(Values!$A$24,MATCH("S",Values!$T$25:$T$50,0),0),FALSE))</f>
        <v>1</v>
      </c>
      <c r="D3823" t="e">
        <f>VLOOKUP(Charms!J3823,Values!$A$11:$S$59,19,0)&gt;=Charms!L3823</f>
        <v>#N/A</v>
      </c>
      <c r="E3823" t="e">
        <f>OR(ISBLANK(Charms!I3823),(VLOOKUP(Values!$S$6,Castes!$B$2:$F$25,4,0)=Charms!I3823))</f>
        <v>#N/A</v>
      </c>
      <c r="J3823" t="e">
        <f t="shared" ca="1" si="296"/>
        <v>#N/A</v>
      </c>
      <c r="K3823" s="18" t="e">
        <f t="shared" ca="1" si="295"/>
        <v>#N/A</v>
      </c>
      <c r="L3823" t="e">
        <f ca="1">IF(J3823,Charms!B3823,"")</f>
        <v>#N/A</v>
      </c>
      <c r="M3823" t="str">
        <f t="shared" ca="1" si="297"/>
        <v>-</v>
      </c>
      <c r="N3823" s="18" t="str">
        <f t="shared" si="298"/>
        <v>K1622:L5000</v>
      </c>
      <c r="O3823" t="str">
        <f t="shared" si="299"/>
        <v>A1622:A3823</v>
      </c>
    </row>
    <row r="3824" spans="1:15">
      <c r="A3824" s="18">
        <f>Charms!K3824</f>
        <v>0</v>
      </c>
      <c r="B3824">
        <f>Charms!B3824</f>
        <v>0</v>
      </c>
      <c r="C3824" t="b">
        <f ca="1">OR(Values!$S$98&gt;=Charms!M3824,IFERROR(Charms!J3824=OFFSET(Values!$A$24,MATCH("S",Values!$T$25:$T$50,0),0),FALSE))</f>
        <v>1</v>
      </c>
      <c r="D3824" t="e">
        <f>VLOOKUP(Charms!J3824,Values!$A$11:$S$59,19,0)&gt;=Charms!L3824</f>
        <v>#N/A</v>
      </c>
      <c r="E3824" t="e">
        <f>OR(ISBLANK(Charms!I3824),(VLOOKUP(Values!$S$6,Castes!$B$2:$F$25,4,0)=Charms!I3824))</f>
        <v>#N/A</v>
      </c>
      <c r="J3824" t="e">
        <f t="shared" ca="1" si="296"/>
        <v>#N/A</v>
      </c>
      <c r="K3824" s="18" t="e">
        <f t="shared" ca="1" si="295"/>
        <v>#N/A</v>
      </c>
      <c r="L3824" t="e">
        <f ca="1">IF(J3824,Charms!B3824,"")</f>
        <v>#N/A</v>
      </c>
      <c r="M3824" t="str">
        <f t="shared" ca="1" si="297"/>
        <v>-</v>
      </c>
      <c r="N3824" s="18" t="str">
        <f t="shared" si="298"/>
        <v>K1622:L5000</v>
      </c>
      <c r="O3824" t="str">
        <f t="shared" si="299"/>
        <v>A1622:A3824</v>
      </c>
    </row>
    <row r="3825" spans="1:15">
      <c r="A3825" s="18">
        <f>Charms!K3825</f>
        <v>0</v>
      </c>
      <c r="B3825">
        <f>Charms!B3825</f>
        <v>0</v>
      </c>
      <c r="C3825" t="b">
        <f ca="1">OR(Values!$S$98&gt;=Charms!M3825,IFERROR(Charms!J3825=OFFSET(Values!$A$24,MATCH("S",Values!$T$25:$T$50,0),0),FALSE))</f>
        <v>1</v>
      </c>
      <c r="D3825" t="e">
        <f>VLOOKUP(Charms!J3825,Values!$A$11:$S$59,19,0)&gt;=Charms!L3825</f>
        <v>#N/A</v>
      </c>
      <c r="E3825" t="e">
        <f>OR(ISBLANK(Charms!I3825),(VLOOKUP(Values!$S$6,Castes!$B$2:$F$25,4,0)=Charms!I3825))</f>
        <v>#N/A</v>
      </c>
      <c r="J3825" t="e">
        <f t="shared" ca="1" si="296"/>
        <v>#N/A</v>
      </c>
      <c r="K3825" s="18" t="e">
        <f t="shared" ca="1" si="295"/>
        <v>#N/A</v>
      </c>
      <c r="L3825" t="e">
        <f ca="1">IF(J3825,Charms!B3825,"")</f>
        <v>#N/A</v>
      </c>
      <c r="M3825" t="str">
        <f t="shared" ca="1" si="297"/>
        <v>-</v>
      </c>
      <c r="N3825" s="18" t="str">
        <f t="shared" si="298"/>
        <v>K1622:L5000</v>
      </c>
      <c r="O3825" t="str">
        <f t="shared" si="299"/>
        <v>A1622:A3825</v>
      </c>
    </row>
    <row r="3826" spans="1:15">
      <c r="A3826" s="18">
        <f>Charms!K3826</f>
        <v>0</v>
      </c>
      <c r="B3826">
        <f>Charms!B3826</f>
        <v>0</v>
      </c>
      <c r="C3826" t="b">
        <f ca="1">OR(Values!$S$98&gt;=Charms!M3826,IFERROR(Charms!J3826=OFFSET(Values!$A$24,MATCH("S",Values!$T$25:$T$50,0),0),FALSE))</f>
        <v>1</v>
      </c>
      <c r="D3826" t="e">
        <f>VLOOKUP(Charms!J3826,Values!$A$11:$S$59,19,0)&gt;=Charms!L3826</f>
        <v>#N/A</v>
      </c>
      <c r="E3826" t="e">
        <f>OR(ISBLANK(Charms!I3826),(VLOOKUP(Values!$S$6,Castes!$B$2:$F$25,4,0)=Charms!I3826))</f>
        <v>#N/A</v>
      </c>
      <c r="J3826" t="e">
        <f t="shared" ca="1" si="296"/>
        <v>#N/A</v>
      </c>
      <c r="K3826" s="18" t="e">
        <f t="shared" ca="1" si="295"/>
        <v>#N/A</v>
      </c>
      <c r="L3826" t="e">
        <f ca="1">IF(J3826,Charms!B3826,"")</f>
        <v>#N/A</v>
      </c>
      <c r="M3826" t="str">
        <f t="shared" ca="1" si="297"/>
        <v>-</v>
      </c>
      <c r="N3826" s="18" t="str">
        <f t="shared" si="298"/>
        <v>K1622:L5000</v>
      </c>
      <c r="O3826" t="str">
        <f t="shared" si="299"/>
        <v>A1622:A3826</v>
      </c>
    </row>
    <row r="3827" spans="1:15">
      <c r="A3827" s="18">
        <f>Charms!K3827</f>
        <v>0</v>
      </c>
      <c r="B3827">
        <f>Charms!B3827</f>
        <v>0</v>
      </c>
      <c r="C3827" t="b">
        <f ca="1">OR(Values!$S$98&gt;=Charms!M3827,IFERROR(Charms!J3827=OFFSET(Values!$A$24,MATCH("S",Values!$T$25:$T$50,0),0),FALSE))</f>
        <v>1</v>
      </c>
      <c r="D3827" t="e">
        <f>VLOOKUP(Charms!J3827,Values!$A$11:$S$59,19,0)&gt;=Charms!L3827</f>
        <v>#N/A</v>
      </c>
      <c r="E3827" t="e">
        <f>OR(ISBLANK(Charms!I3827),(VLOOKUP(Values!$S$6,Castes!$B$2:$F$25,4,0)=Charms!I3827))</f>
        <v>#N/A</v>
      </c>
      <c r="J3827" t="e">
        <f t="shared" ca="1" si="296"/>
        <v>#N/A</v>
      </c>
      <c r="K3827" s="18" t="e">
        <f t="shared" ca="1" si="295"/>
        <v>#N/A</v>
      </c>
      <c r="L3827" t="e">
        <f ca="1">IF(J3827,Charms!B3827,"")</f>
        <v>#N/A</v>
      </c>
      <c r="M3827" t="str">
        <f t="shared" ca="1" si="297"/>
        <v>-</v>
      </c>
      <c r="N3827" s="18" t="str">
        <f t="shared" si="298"/>
        <v>K1622:L5000</v>
      </c>
      <c r="O3827" t="str">
        <f t="shared" si="299"/>
        <v>A1622:A3827</v>
      </c>
    </row>
    <row r="3828" spans="1:15">
      <c r="A3828" s="18">
        <f>Charms!K3828</f>
        <v>0</v>
      </c>
      <c r="B3828">
        <f>Charms!B3828</f>
        <v>0</v>
      </c>
      <c r="C3828" t="b">
        <f ca="1">OR(Values!$S$98&gt;=Charms!M3828,IFERROR(Charms!J3828=OFFSET(Values!$A$24,MATCH("S",Values!$T$25:$T$50,0),0),FALSE))</f>
        <v>1</v>
      </c>
      <c r="D3828" t="e">
        <f>VLOOKUP(Charms!J3828,Values!$A$11:$S$59,19,0)&gt;=Charms!L3828</f>
        <v>#N/A</v>
      </c>
      <c r="E3828" t="e">
        <f>OR(ISBLANK(Charms!I3828),(VLOOKUP(Values!$S$6,Castes!$B$2:$F$25,4,0)=Charms!I3828))</f>
        <v>#N/A</v>
      </c>
      <c r="J3828" t="e">
        <f t="shared" ca="1" si="296"/>
        <v>#N/A</v>
      </c>
      <c r="K3828" s="18" t="e">
        <f t="shared" ca="1" si="295"/>
        <v>#N/A</v>
      </c>
      <c r="L3828" t="e">
        <f ca="1">IF(J3828,Charms!B3828,"")</f>
        <v>#N/A</v>
      </c>
      <c r="M3828" t="str">
        <f t="shared" ca="1" si="297"/>
        <v>-</v>
      </c>
      <c r="N3828" s="18" t="str">
        <f t="shared" si="298"/>
        <v>K1622:L5000</v>
      </c>
      <c r="O3828" t="str">
        <f t="shared" si="299"/>
        <v>A1622:A3828</v>
      </c>
    </row>
    <row r="3829" spans="1:15">
      <c r="A3829" s="18">
        <f>Charms!K3829</f>
        <v>0</v>
      </c>
      <c r="B3829">
        <f>Charms!B3829</f>
        <v>0</v>
      </c>
      <c r="C3829" t="b">
        <f ca="1">OR(Values!$S$98&gt;=Charms!M3829,IFERROR(Charms!J3829=OFFSET(Values!$A$24,MATCH("S",Values!$T$25:$T$50,0),0),FALSE))</f>
        <v>1</v>
      </c>
      <c r="D3829" t="e">
        <f>VLOOKUP(Charms!J3829,Values!$A$11:$S$59,19,0)&gt;=Charms!L3829</f>
        <v>#N/A</v>
      </c>
      <c r="E3829" t="e">
        <f>OR(ISBLANK(Charms!I3829),(VLOOKUP(Values!$S$6,Castes!$B$2:$F$25,4,0)=Charms!I3829))</f>
        <v>#N/A</v>
      </c>
      <c r="J3829" t="e">
        <f t="shared" ca="1" si="296"/>
        <v>#N/A</v>
      </c>
      <c r="K3829" s="18" t="e">
        <f t="shared" ca="1" si="295"/>
        <v>#N/A</v>
      </c>
      <c r="L3829" t="e">
        <f ca="1">IF(J3829,Charms!B3829,"")</f>
        <v>#N/A</v>
      </c>
      <c r="M3829" t="str">
        <f t="shared" ca="1" si="297"/>
        <v>-</v>
      </c>
      <c r="N3829" s="18" t="str">
        <f t="shared" si="298"/>
        <v>K1622:L5000</v>
      </c>
      <c r="O3829" t="str">
        <f t="shared" si="299"/>
        <v>A1622:A3829</v>
      </c>
    </row>
    <row r="3830" spans="1:15">
      <c r="A3830" s="18">
        <f>Charms!K3830</f>
        <v>0</v>
      </c>
      <c r="B3830">
        <f>Charms!B3830</f>
        <v>0</v>
      </c>
      <c r="C3830" t="b">
        <f ca="1">OR(Values!$S$98&gt;=Charms!M3830,IFERROR(Charms!J3830=OFFSET(Values!$A$24,MATCH("S",Values!$T$25:$T$50,0),0),FALSE))</f>
        <v>1</v>
      </c>
      <c r="D3830" t="e">
        <f>VLOOKUP(Charms!J3830,Values!$A$11:$S$59,19,0)&gt;=Charms!L3830</f>
        <v>#N/A</v>
      </c>
      <c r="E3830" t="e">
        <f>OR(ISBLANK(Charms!I3830),(VLOOKUP(Values!$S$6,Castes!$B$2:$F$25,4,0)=Charms!I3830))</f>
        <v>#N/A</v>
      </c>
      <c r="J3830" t="e">
        <f t="shared" ca="1" si="296"/>
        <v>#N/A</v>
      </c>
      <c r="K3830" s="18" t="e">
        <f t="shared" ca="1" si="295"/>
        <v>#N/A</v>
      </c>
      <c r="L3830" t="e">
        <f ca="1">IF(J3830,Charms!B3830,"")</f>
        <v>#N/A</v>
      </c>
      <c r="M3830" t="str">
        <f t="shared" ca="1" si="297"/>
        <v>-</v>
      </c>
      <c r="N3830" s="18" t="str">
        <f t="shared" si="298"/>
        <v>K1622:L5000</v>
      </c>
      <c r="O3830" t="str">
        <f t="shared" si="299"/>
        <v>A1622:A3830</v>
      </c>
    </row>
    <row r="3831" spans="1:15">
      <c r="A3831" s="18">
        <f>Charms!K3831</f>
        <v>0</v>
      </c>
      <c r="B3831">
        <f>Charms!B3831</f>
        <v>0</v>
      </c>
      <c r="C3831" t="b">
        <f ca="1">OR(Values!$S$98&gt;=Charms!M3831,IFERROR(Charms!J3831=OFFSET(Values!$A$24,MATCH("S",Values!$T$25:$T$50,0),0),FALSE))</f>
        <v>1</v>
      </c>
      <c r="D3831" t="e">
        <f>VLOOKUP(Charms!J3831,Values!$A$11:$S$59,19,0)&gt;=Charms!L3831</f>
        <v>#N/A</v>
      </c>
      <c r="E3831" t="e">
        <f>OR(ISBLANK(Charms!I3831),(VLOOKUP(Values!$S$6,Castes!$B$2:$F$25,4,0)=Charms!I3831))</f>
        <v>#N/A</v>
      </c>
      <c r="J3831" t="e">
        <f t="shared" ca="1" si="296"/>
        <v>#N/A</v>
      </c>
      <c r="K3831" s="18" t="e">
        <f t="shared" ca="1" si="295"/>
        <v>#N/A</v>
      </c>
      <c r="L3831" t="e">
        <f ca="1">IF(J3831,Charms!B3831,"")</f>
        <v>#N/A</v>
      </c>
      <c r="M3831" t="str">
        <f t="shared" ca="1" si="297"/>
        <v>-</v>
      </c>
      <c r="N3831" s="18" t="str">
        <f t="shared" si="298"/>
        <v>K1622:L5000</v>
      </c>
      <c r="O3831" t="str">
        <f t="shared" si="299"/>
        <v>A1622:A3831</v>
      </c>
    </row>
    <row r="3832" spans="1:15">
      <c r="A3832" s="18">
        <f>Charms!K3832</f>
        <v>0</v>
      </c>
      <c r="B3832">
        <f>Charms!B3832</f>
        <v>0</v>
      </c>
      <c r="C3832" t="b">
        <f ca="1">OR(Values!$S$98&gt;=Charms!M3832,IFERROR(Charms!J3832=OFFSET(Values!$A$24,MATCH("S",Values!$T$25:$T$50,0),0),FALSE))</f>
        <v>1</v>
      </c>
      <c r="D3832" t="e">
        <f>VLOOKUP(Charms!J3832,Values!$A$11:$S$59,19,0)&gt;=Charms!L3832</f>
        <v>#N/A</v>
      </c>
      <c r="E3832" t="e">
        <f>OR(ISBLANK(Charms!I3832),(VLOOKUP(Values!$S$6,Castes!$B$2:$F$25,4,0)=Charms!I3832))</f>
        <v>#N/A</v>
      </c>
      <c r="J3832" t="e">
        <f t="shared" ca="1" si="296"/>
        <v>#N/A</v>
      </c>
      <c r="K3832" s="18" t="e">
        <f t="shared" ca="1" si="295"/>
        <v>#N/A</v>
      </c>
      <c r="L3832" t="e">
        <f ca="1">IF(J3832,Charms!B3832,"")</f>
        <v>#N/A</v>
      </c>
      <c r="M3832" t="str">
        <f t="shared" ca="1" si="297"/>
        <v>-</v>
      </c>
      <c r="N3832" s="18" t="str">
        <f t="shared" si="298"/>
        <v>K1622:L5000</v>
      </c>
      <c r="O3832" t="str">
        <f t="shared" si="299"/>
        <v>A1622:A3832</v>
      </c>
    </row>
    <row r="3833" spans="1:15">
      <c r="A3833" s="18">
        <f>Charms!K3833</f>
        <v>0</v>
      </c>
      <c r="B3833">
        <f>Charms!B3833</f>
        <v>0</v>
      </c>
      <c r="C3833" t="b">
        <f ca="1">OR(Values!$S$98&gt;=Charms!M3833,IFERROR(Charms!J3833=OFFSET(Values!$A$24,MATCH("S",Values!$T$25:$T$50,0),0),FALSE))</f>
        <v>1</v>
      </c>
      <c r="D3833" t="e">
        <f>VLOOKUP(Charms!J3833,Values!$A$11:$S$59,19,0)&gt;=Charms!L3833</f>
        <v>#N/A</v>
      </c>
      <c r="E3833" t="e">
        <f>OR(ISBLANK(Charms!I3833),(VLOOKUP(Values!$S$6,Castes!$B$2:$F$25,4,0)=Charms!I3833))</f>
        <v>#N/A</v>
      </c>
      <c r="J3833" t="e">
        <f t="shared" ca="1" si="296"/>
        <v>#N/A</v>
      </c>
      <c r="K3833" s="18" t="e">
        <f t="shared" ca="1" si="295"/>
        <v>#N/A</v>
      </c>
      <c r="L3833" t="e">
        <f ca="1">IF(J3833,Charms!B3833,"")</f>
        <v>#N/A</v>
      </c>
      <c r="M3833" t="str">
        <f t="shared" ca="1" si="297"/>
        <v>-</v>
      </c>
      <c r="N3833" s="18" t="str">
        <f t="shared" si="298"/>
        <v>K1622:L5000</v>
      </c>
      <c r="O3833" t="str">
        <f t="shared" si="299"/>
        <v>A1622:A3833</v>
      </c>
    </row>
    <row r="3834" spans="1:15">
      <c r="A3834" s="18">
        <f>Charms!K3834</f>
        <v>0</v>
      </c>
      <c r="B3834">
        <f>Charms!B3834</f>
        <v>0</v>
      </c>
      <c r="C3834" t="b">
        <f ca="1">OR(Values!$S$98&gt;=Charms!M3834,IFERROR(Charms!J3834=OFFSET(Values!$A$24,MATCH("S",Values!$T$25:$T$50,0),0),FALSE))</f>
        <v>1</v>
      </c>
      <c r="D3834" t="e">
        <f>VLOOKUP(Charms!J3834,Values!$A$11:$S$59,19,0)&gt;=Charms!L3834</f>
        <v>#N/A</v>
      </c>
      <c r="E3834" t="e">
        <f>OR(ISBLANK(Charms!I3834),(VLOOKUP(Values!$S$6,Castes!$B$2:$F$25,4,0)=Charms!I3834))</f>
        <v>#N/A</v>
      </c>
      <c r="J3834" t="e">
        <f t="shared" ca="1" si="296"/>
        <v>#N/A</v>
      </c>
      <c r="K3834" s="18" t="e">
        <f t="shared" ca="1" si="295"/>
        <v>#N/A</v>
      </c>
      <c r="L3834" t="e">
        <f ca="1">IF(J3834,Charms!B3834,"")</f>
        <v>#N/A</v>
      </c>
      <c r="M3834" t="str">
        <f t="shared" ca="1" si="297"/>
        <v>-</v>
      </c>
      <c r="N3834" s="18" t="str">
        <f t="shared" si="298"/>
        <v>K1622:L5000</v>
      </c>
      <c r="O3834" t="str">
        <f t="shared" si="299"/>
        <v>A1622:A3834</v>
      </c>
    </row>
    <row r="3835" spans="1:15">
      <c r="A3835" s="18">
        <f>Charms!K3835</f>
        <v>0</v>
      </c>
      <c r="B3835">
        <f>Charms!B3835</f>
        <v>0</v>
      </c>
      <c r="C3835" t="b">
        <f ca="1">OR(Values!$S$98&gt;=Charms!M3835,IFERROR(Charms!J3835=OFFSET(Values!$A$24,MATCH("S",Values!$T$25:$T$50,0),0),FALSE))</f>
        <v>1</v>
      </c>
      <c r="D3835" t="e">
        <f>VLOOKUP(Charms!J3835,Values!$A$11:$S$59,19,0)&gt;=Charms!L3835</f>
        <v>#N/A</v>
      </c>
      <c r="E3835" t="e">
        <f>OR(ISBLANK(Charms!I3835),(VLOOKUP(Values!$S$6,Castes!$B$2:$F$25,4,0)=Charms!I3835))</f>
        <v>#N/A</v>
      </c>
      <c r="J3835" t="e">
        <f t="shared" ca="1" si="296"/>
        <v>#N/A</v>
      </c>
      <c r="K3835" s="18" t="e">
        <f t="shared" ca="1" si="295"/>
        <v>#N/A</v>
      </c>
      <c r="L3835" t="e">
        <f ca="1">IF(J3835,Charms!B3835,"")</f>
        <v>#N/A</v>
      </c>
      <c r="M3835" t="str">
        <f t="shared" ca="1" si="297"/>
        <v>-</v>
      </c>
      <c r="N3835" s="18" t="str">
        <f t="shared" si="298"/>
        <v>K1622:L5000</v>
      </c>
      <c r="O3835" t="str">
        <f t="shared" si="299"/>
        <v>A1622:A3835</v>
      </c>
    </row>
    <row r="3836" spans="1:15">
      <c r="A3836" s="18">
        <f>Charms!K3836</f>
        <v>0</v>
      </c>
      <c r="B3836">
        <f>Charms!B3836</f>
        <v>0</v>
      </c>
      <c r="C3836" t="b">
        <f ca="1">OR(Values!$S$98&gt;=Charms!M3836,IFERROR(Charms!J3836=OFFSET(Values!$A$24,MATCH("S",Values!$T$25:$T$50,0),0),FALSE))</f>
        <v>1</v>
      </c>
      <c r="D3836" t="e">
        <f>VLOOKUP(Charms!J3836,Values!$A$11:$S$59,19,0)&gt;=Charms!L3836</f>
        <v>#N/A</v>
      </c>
      <c r="E3836" t="e">
        <f>OR(ISBLANK(Charms!I3836),(VLOOKUP(Values!$S$6,Castes!$B$2:$F$25,4,0)=Charms!I3836))</f>
        <v>#N/A</v>
      </c>
      <c r="J3836" t="e">
        <f t="shared" ca="1" si="296"/>
        <v>#N/A</v>
      </c>
      <c r="K3836" s="18" t="e">
        <f t="shared" ca="1" si="295"/>
        <v>#N/A</v>
      </c>
      <c r="L3836" t="e">
        <f ca="1">IF(J3836,Charms!B3836,"")</f>
        <v>#N/A</v>
      </c>
      <c r="M3836" t="str">
        <f t="shared" ca="1" si="297"/>
        <v>-</v>
      </c>
      <c r="N3836" s="18" t="str">
        <f t="shared" si="298"/>
        <v>K1622:L5000</v>
      </c>
      <c r="O3836" t="str">
        <f t="shared" si="299"/>
        <v>A1622:A3836</v>
      </c>
    </row>
    <row r="3837" spans="1:15">
      <c r="A3837" s="18">
        <f>Charms!K3837</f>
        <v>0</v>
      </c>
      <c r="B3837">
        <f>Charms!B3837</f>
        <v>0</v>
      </c>
      <c r="C3837" t="b">
        <f ca="1">OR(Values!$S$98&gt;=Charms!M3837,IFERROR(Charms!J3837=OFFSET(Values!$A$24,MATCH("S",Values!$T$25:$T$50,0),0),FALSE))</f>
        <v>1</v>
      </c>
      <c r="D3837" t="e">
        <f>VLOOKUP(Charms!J3837,Values!$A$11:$S$59,19,0)&gt;=Charms!L3837</f>
        <v>#N/A</v>
      </c>
      <c r="E3837" t="e">
        <f>OR(ISBLANK(Charms!I3837),(VLOOKUP(Values!$S$6,Castes!$B$2:$F$25,4,0)=Charms!I3837))</f>
        <v>#N/A</v>
      </c>
      <c r="J3837" t="e">
        <f t="shared" ca="1" si="296"/>
        <v>#N/A</v>
      </c>
      <c r="K3837" s="18" t="e">
        <f t="shared" ca="1" si="295"/>
        <v>#N/A</v>
      </c>
      <c r="L3837" t="e">
        <f ca="1">IF(J3837,Charms!B3837,"")</f>
        <v>#N/A</v>
      </c>
      <c r="M3837" t="str">
        <f t="shared" ca="1" si="297"/>
        <v>-</v>
      </c>
      <c r="N3837" s="18" t="str">
        <f t="shared" si="298"/>
        <v>K1622:L5000</v>
      </c>
      <c r="O3837" t="str">
        <f t="shared" si="299"/>
        <v>A1622:A3837</v>
      </c>
    </row>
    <row r="3838" spans="1:15">
      <c r="A3838" s="18">
        <f>Charms!K3838</f>
        <v>0</v>
      </c>
      <c r="B3838">
        <f>Charms!B3838</f>
        <v>0</v>
      </c>
      <c r="C3838" t="b">
        <f ca="1">OR(Values!$S$98&gt;=Charms!M3838,IFERROR(Charms!J3838=OFFSET(Values!$A$24,MATCH("S",Values!$T$25:$T$50,0),0),FALSE))</f>
        <v>1</v>
      </c>
      <c r="D3838" t="e">
        <f>VLOOKUP(Charms!J3838,Values!$A$11:$S$59,19,0)&gt;=Charms!L3838</f>
        <v>#N/A</v>
      </c>
      <c r="E3838" t="e">
        <f>OR(ISBLANK(Charms!I3838),(VLOOKUP(Values!$S$6,Castes!$B$2:$F$25,4,0)=Charms!I3838))</f>
        <v>#N/A</v>
      </c>
      <c r="J3838" t="e">
        <f t="shared" ca="1" si="296"/>
        <v>#N/A</v>
      </c>
      <c r="K3838" s="18" t="e">
        <f t="shared" ca="1" si="295"/>
        <v>#N/A</v>
      </c>
      <c r="L3838" t="e">
        <f ca="1">IF(J3838,Charms!B3838,"")</f>
        <v>#N/A</v>
      </c>
      <c r="M3838" t="str">
        <f t="shared" ca="1" si="297"/>
        <v>-</v>
      </c>
      <c r="N3838" s="18" t="str">
        <f t="shared" si="298"/>
        <v>K1622:L5000</v>
      </c>
      <c r="O3838" t="str">
        <f t="shared" si="299"/>
        <v>A1622:A3838</v>
      </c>
    </row>
    <row r="3839" spans="1:15">
      <c r="A3839" s="18">
        <f>Charms!K3839</f>
        <v>0</v>
      </c>
      <c r="B3839">
        <f>Charms!B3839</f>
        <v>0</v>
      </c>
      <c r="C3839" t="b">
        <f ca="1">OR(Values!$S$98&gt;=Charms!M3839,IFERROR(Charms!J3839=OFFSET(Values!$A$24,MATCH("S",Values!$T$25:$T$50,0),0),FALSE))</f>
        <v>1</v>
      </c>
      <c r="D3839" t="e">
        <f>VLOOKUP(Charms!J3839,Values!$A$11:$S$59,19,0)&gt;=Charms!L3839</f>
        <v>#N/A</v>
      </c>
      <c r="E3839" t="e">
        <f>OR(ISBLANK(Charms!I3839),(VLOOKUP(Values!$S$6,Castes!$B$2:$F$25,4,0)=Charms!I3839))</f>
        <v>#N/A</v>
      </c>
      <c r="J3839" t="e">
        <f t="shared" ca="1" si="296"/>
        <v>#N/A</v>
      </c>
      <c r="K3839" s="18" t="e">
        <f t="shared" ca="1" si="295"/>
        <v>#N/A</v>
      </c>
      <c r="L3839" t="e">
        <f ca="1">IF(J3839,Charms!B3839,"")</f>
        <v>#N/A</v>
      </c>
      <c r="M3839" t="str">
        <f t="shared" ca="1" si="297"/>
        <v>-</v>
      </c>
      <c r="N3839" s="18" t="str">
        <f t="shared" si="298"/>
        <v>K1622:L5000</v>
      </c>
      <c r="O3839" t="str">
        <f t="shared" si="299"/>
        <v>A1622:A3839</v>
      </c>
    </row>
    <row r="3840" spans="1:15">
      <c r="A3840" s="18">
        <f>Charms!K3840</f>
        <v>0</v>
      </c>
      <c r="B3840">
        <f>Charms!B3840</f>
        <v>0</v>
      </c>
      <c r="C3840" t="b">
        <f ca="1">OR(Values!$S$98&gt;=Charms!M3840,IFERROR(Charms!J3840=OFFSET(Values!$A$24,MATCH("S",Values!$T$25:$T$50,0),0),FALSE))</f>
        <v>1</v>
      </c>
      <c r="D3840" t="e">
        <f>VLOOKUP(Charms!J3840,Values!$A$11:$S$59,19,0)&gt;=Charms!L3840</f>
        <v>#N/A</v>
      </c>
      <c r="E3840" t="e">
        <f>OR(ISBLANK(Charms!I3840),(VLOOKUP(Values!$S$6,Castes!$B$2:$F$25,4,0)=Charms!I3840))</f>
        <v>#N/A</v>
      </c>
      <c r="J3840" t="e">
        <f t="shared" ca="1" si="296"/>
        <v>#N/A</v>
      </c>
      <c r="K3840" s="18" t="e">
        <f t="shared" ca="1" si="295"/>
        <v>#N/A</v>
      </c>
      <c r="L3840" t="e">
        <f ca="1">IF(J3840,Charms!B3840,"")</f>
        <v>#N/A</v>
      </c>
      <c r="M3840" t="str">
        <f t="shared" ca="1" si="297"/>
        <v>-</v>
      </c>
      <c r="N3840" s="18" t="str">
        <f t="shared" si="298"/>
        <v>K1622:L5000</v>
      </c>
      <c r="O3840" t="str">
        <f t="shared" si="299"/>
        <v>A1622:A3840</v>
      </c>
    </row>
    <row r="3841" spans="1:15">
      <c r="A3841" s="18">
        <f>Charms!K3841</f>
        <v>0</v>
      </c>
      <c r="B3841">
        <f>Charms!B3841</f>
        <v>0</v>
      </c>
      <c r="C3841" t="b">
        <f ca="1">OR(Values!$S$98&gt;=Charms!M3841,IFERROR(Charms!J3841=OFFSET(Values!$A$24,MATCH("S",Values!$T$25:$T$50,0),0),FALSE))</f>
        <v>1</v>
      </c>
      <c r="D3841" t="e">
        <f>VLOOKUP(Charms!J3841,Values!$A$11:$S$59,19,0)&gt;=Charms!L3841</f>
        <v>#N/A</v>
      </c>
      <c r="E3841" t="e">
        <f>OR(ISBLANK(Charms!I3841),(VLOOKUP(Values!$S$6,Castes!$B$2:$F$25,4,0)=Charms!I3841))</f>
        <v>#N/A</v>
      </c>
      <c r="J3841" t="e">
        <f t="shared" ca="1" si="296"/>
        <v>#N/A</v>
      </c>
      <c r="K3841" s="18" t="e">
        <f t="shared" ca="1" si="295"/>
        <v>#N/A</v>
      </c>
      <c r="L3841" t="e">
        <f ca="1">IF(J3841,Charms!B3841,"")</f>
        <v>#N/A</v>
      </c>
      <c r="M3841" t="str">
        <f t="shared" ca="1" si="297"/>
        <v>-</v>
      </c>
      <c r="N3841" s="18" t="str">
        <f t="shared" si="298"/>
        <v>K1622:L5000</v>
      </c>
      <c r="O3841" t="str">
        <f t="shared" si="299"/>
        <v>A1622:A3841</v>
      </c>
    </row>
    <row r="3842" spans="1:15">
      <c r="A3842" s="18">
        <f>Charms!K3842</f>
        <v>0</v>
      </c>
      <c r="B3842">
        <f>Charms!B3842</f>
        <v>0</v>
      </c>
      <c r="C3842" t="b">
        <f ca="1">OR(Values!$S$98&gt;=Charms!M3842,IFERROR(Charms!J3842=OFFSET(Values!$A$24,MATCH("S",Values!$T$25:$T$50,0),0),FALSE))</f>
        <v>1</v>
      </c>
      <c r="D3842" t="e">
        <f>VLOOKUP(Charms!J3842,Values!$A$11:$S$59,19,0)&gt;=Charms!L3842</f>
        <v>#N/A</v>
      </c>
      <c r="E3842" t="e">
        <f>OR(ISBLANK(Charms!I3842),(VLOOKUP(Values!$S$6,Castes!$B$2:$F$25,4,0)=Charms!I3842))</f>
        <v>#N/A</v>
      </c>
      <c r="J3842" t="e">
        <f t="shared" ca="1" si="296"/>
        <v>#N/A</v>
      </c>
      <c r="K3842" s="18" t="e">
        <f t="shared" ref="K3842:K3905" ca="1" si="300">IF(L3842="","",COUNTIF(INDIRECT("J"&amp;MATCH(A3842,A:A,0)&amp;":J"&amp;ROW()),J3842))</f>
        <v>#N/A</v>
      </c>
      <c r="L3842" t="e">
        <f ca="1">IF(J3842,Charms!B3842,"")</f>
        <v>#N/A</v>
      </c>
      <c r="M3842" t="str">
        <f t="shared" ca="1" si="297"/>
        <v>-</v>
      </c>
      <c r="N3842" s="18" t="str">
        <f t="shared" si="298"/>
        <v>K1622:L5000</v>
      </c>
      <c r="O3842" t="str">
        <f t="shared" si="299"/>
        <v>A1622:A3842</v>
      </c>
    </row>
    <row r="3843" spans="1:15">
      <c r="A3843" s="18">
        <f>Charms!K3843</f>
        <v>0</v>
      </c>
      <c r="B3843">
        <f>Charms!B3843</f>
        <v>0</v>
      </c>
      <c r="C3843" t="b">
        <f ca="1">OR(Values!$S$98&gt;=Charms!M3843,IFERROR(Charms!J3843=OFFSET(Values!$A$24,MATCH("S",Values!$T$25:$T$50,0),0),FALSE))</f>
        <v>1</v>
      </c>
      <c r="D3843" t="e">
        <f>VLOOKUP(Charms!J3843,Values!$A$11:$S$59,19,0)&gt;=Charms!L3843</f>
        <v>#N/A</v>
      </c>
      <c r="E3843" t="e">
        <f>OR(ISBLANK(Charms!I3843),(VLOOKUP(Values!$S$6,Castes!$B$2:$F$25,4,0)=Charms!I3843))</f>
        <v>#N/A</v>
      </c>
      <c r="J3843" t="e">
        <f t="shared" ref="J3843:J3906" ca="1" si="301">(C3843+D3843+E3843+F3843+G3843+H3843+I3843)=3</f>
        <v>#N/A</v>
      </c>
      <c r="K3843" s="18" t="e">
        <f t="shared" ca="1" si="300"/>
        <v>#N/A</v>
      </c>
      <c r="L3843" t="e">
        <f ca="1">IF(J3843,Charms!B3843,"")</f>
        <v>#N/A</v>
      </c>
      <c r="M3843" t="str">
        <f t="shared" ref="M3843:M3906" ca="1" si="302">IFERROR(VLOOKUP(COUNTIF(INDIRECT(O3843),A3843),INDIRECT(N3843),2,0),"-")</f>
        <v>-</v>
      </c>
      <c r="N3843" s="18" t="str">
        <f t="shared" ref="N3843:N3906" si="303">"K"&amp;MATCH(A3843,A:A,0)&amp;":L"&amp;(MATCH(A3843,A:A,0)+COUNTIF(A:A,A3843)-1)</f>
        <v>K1622:L5000</v>
      </c>
      <c r="O3843" t="str">
        <f t="shared" ref="O3843:O3906" si="304">"A"&amp;MATCH(A3843,A:A,0)&amp;":A"&amp;ROW()</f>
        <v>A1622:A3843</v>
      </c>
    </row>
    <row r="3844" spans="1:15">
      <c r="A3844" s="18">
        <f>Charms!K3844</f>
        <v>0</v>
      </c>
      <c r="B3844">
        <f>Charms!B3844</f>
        <v>0</v>
      </c>
      <c r="C3844" t="b">
        <f ca="1">OR(Values!$S$98&gt;=Charms!M3844,IFERROR(Charms!J3844=OFFSET(Values!$A$24,MATCH("S",Values!$T$25:$T$50,0),0),FALSE))</f>
        <v>1</v>
      </c>
      <c r="D3844" t="e">
        <f>VLOOKUP(Charms!J3844,Values!$A$11:$S$59,19,0)&gt;=Charms!L3844</f>
        <v>#N/A</v>
      </c>
      <c r="E3844" t="e">
        <f>OR(ISBLANK(Charms!I3844),(VLOOKUP(Values!$S$6,Castes!$B$2:$F$25,4,0)=Charms!I3844))</f>
        <v>#N/A</v>
      </c>
      <c r="J3844" t="e">
        <f t="shared" ca="1" si="301"/>
        <v>#N/A</v>
      </c>
      <c r="K3844" s="18" t="e">
        <f t="shared" ca="1" si="300"/>
        <v>#N/A</v>
      </c>
      <c r="L3844" t="e">
        <f ca="1">IF(J3844,Charms!B3844,"")</f>
        <v>#N/A</v>
      </c>
      <c r="M3844" t="str">
        <f t="shared" ca="1" si="302"/>
        <v>-</v>
      </c>
      <c r="N3844" s="18" t="str">
        <f t="shared" si="303"/>
        <v>K1622:L5000</v>
      </c>
      <c r="O3844" t="str">
        <f t="shared" si="304"/>
        <v>A1622:A3844</v>
      </c>
    </row>
    <row r="3845" spans="1:15">
      <c r="A3845" s="18">
        <f>Charms!K3845</f>
        <v>0</v>
      </c>
      <c r="B3845">
        <f>Charms!B3845</f>
        <v>0</v>
      </c>
      <c r="C3845" t="b">
        <f ca="1">OR(Values!$S$98&gt;=Charms!M3845,IFERROR(Charms!J3845=OFFSET(Values!$A$24,MATCH("S",Values!$T$25:$T$50,0),0),FALSE))</f>
        <v>1</v>
      </c>
      <c r="D3845" t="e">
        <f>VLOOKUP(Charms!J3845,Values!$A$11:$S$59,19,0)&gt;=Charms!L3845</f>
        <v>#N/A</v>
      </c>
      <c r="E3845" t="e">
        <f>OR(ISBLANK(Charms!I3845),(VLOOKUP(Values!$S$6,Castes!$B$2:$F$25,4,0)=Charms!I3845))</f>
        <v>#N/A</v>
      </c>
      <c r="J3845" t="e">
        <f t="shared" ca="1" si="301"/>
        <v>#N/A</v>
      </c>
      <c r="K3845" s="18" t="e">
        <f t="shared" ca="1" si="300"/>
        <v>#N/A</v>
      </c>
      <c r="L3845" t="e">
        <f ca="1">IF(J3845,Charms!B3845,"")</f>
        <v>#N/A</v>
      </c>
      <c r="M3845" t="str">
        <f t="shared" ca="1" si="302"/>
        <v>-</v>
      </c>
      <c r="N3845" s="18" t="str">
        <f t="shared" si="303"/>
        <v>K1622:L5000</v>
      </c>
      <c r="O3845" t="str">
        <f t="shared" si="304"/>
        <v>A1622:A3845</v>
      </c>
    </row>
    <row r="3846" spans="1:15">
      <c r="A3846" s="18">
        <f>Charms!K3846</f>
        <v>0</v>
      </c>
      <c r="B3846">
        <f>Charms!B3846</f>
        <v>0</v>
      </c>
      <c r="C3846" t="b">
        <f ca="1">OR(Values!$S$98&gt;=Charms!M3846,IFERROR(Charms!J3846=OFFSET(Values!$A$24,MATCH("S",Values!$T$25:$T$50,0),0),FALSE))</f>
        <v>1</v>
      </c>
      <c r="D3846" t="e">
        <f>VLOOKUP(Charms!J3846,Values!$A$11:$S$59,19,0)&gt;=Charms!L3846</f>
        <v>#N/A</v>
      </c>
      <c r="E3846" t="e">
        <f>OR(ISBLANK(Charms!I3846),(VLOOKUP(Values!$S$6,Castes!$B$2:$F$25,4,0)=Charms!I3846))</f>
        <v>#N/A</v>
      </c>
      <c r="J3846" t="e">
        <f t="shared" ca="1" si="301"/>
        <v>#N/A</v>
      </c>
      <c r="K3846" s="18" t="e">
        <f t="shared" ca="1" si="300"/>
        <v>#N/A</v>
      </c>
      <c r="L3846" t="e">
        <f ca="1">IF(J3846,Charms!B3846,"")</f>
        <v>#N/A</v>
      </c>
      <c r="M3846" t="str">
        <f t="shared" ca="1" si="302"/>
        <v>-</v>
      </c>
      <c r="N3846" s="18" t="str">
        <f t="shared" si="303"/>
        <v>K1622:L5000</v>
      </c>
      <c r="O3846" t="str">
        <f t="shared" si="304"/>
        <v>A1622:A3846</v>
      </c>
    </row>
    <row r="3847" spans="1:15">
      <c r="A3847" s="18">
        <f>Charms!K3847</f>
        <v>0</v>
      </c>
      <c r="B3847">
        <f>Charms!B3847</f>
        <v>0</v>
      </c>
      <c r="C3847" t="b">
        <f ca="1">OR(Values!$S$98&gt;=Charms!M3847,IFERROR(Charms!J3847=OFFSET(Values!$A$24,MATCH("S",Values!$T$25:$T$50,0),0),FALSE))</f>
        <v>1</v>
      </c>
      <c r="D3847" t="e">
        <f>VLOOKUP(Charms!J3847,Values!$A$11:$S$59,19,0)&gt;=Charms!L3847</f>
        <v>#N/A</v>
      </c>
      <c r="E3847" t="e">
        <f>OR(ISBLANK(Charms!I3847),(VLOOKUP(Values!$S$6,Castes!$B$2:$F$25,4,0)=Charms!I3847))</f>
        <v>#N/A</v>
      </c>
      <c r="J3847" t="e">
        <f t="shared" ca="1" si="301"/>
        <v>#N/A</v>
      </c>
      <c r="K3847" s="18" t="e">
        <f t="shared" ca="1" si="300"/>
        <v>#N/A</v>
      </c>
      <c r="L3847" t="e">
        <f ca="1">IF(J3847,Charms!B3847,"")</f>
        <v>#N/A</v>
      </c>
      <c r="M3847" t="str">
        <f t="shared" ca="1" si="302"/>
        <v>-</v>
      </c>
      <c r="N3847" s="18" t="str">
        <f t="shared" si="303"/>
        <v>K1622:L5000</v>
      </c>
      <c r="O3847" t="str">
        <f t="shared" si="304"/>
        <v>A1622:A3847</v>
      </c>
    </row>
    <row r="3848" spans="1:15">
      <c r="A3848" s="18">
        <f>Charms!K3848</f>
        <v>0</v>
      </c>
      <c r="B3848">
        <f>Charms!B3848</f>
        <v>0</v>
      </c>
      <c r="C3848" t="b">
        <f ca="1">OR(Values!$S$98&gt;=Charms!M3848,IFERROR(Charms!J3848=OFFSET(Values!$A$24,MATCH("S",Values!$T$25:$T$50,0),0),FALSE))</f>
        <v>1</v>
      </c>
      <c r="D3848" t="e">
        <f>VLOOKUP(Charms!J3848,Values!$A$11:$S$59,19,0)&gt;=Charms!L3848</f>
        <v>#N/A</v>
      </c>
      <c r="E3848" t="e">
        <f>OR(ISBLANK(Charms!I3848),(VLOOKUP(Values!$S$6,Castes!$B$2:$F$25,4,0)=Charms!I3848))</f>
        <v>#N/A</v>
      </c>
      <c r="J3848" t="e">
        <f t="shared" ca="1" si="301"/>
        <v>#N/A</v>
      </c>
      <c r="K3848" s="18" t="e">
        <f t="shared" ca="1" si="300"/>
        <v>#N/A</v>
      </c>
      <c r="L3848" t="e">
        <f ca="1">IF(J3848,Charms!B3848,"")</f>
        <v>#N/A</v>
      </c>
      <c r="M3848" t="str">
        <f t="shared" ca="1" si="302"/>
        <v>-</v>
      </c>
      <c r="N3848" s="18" t="str">
        <f t="shared" si="303"/>
        <v>K1622:L5000</v>
      </c>
      <c r="O3848" t="str">
        <f t="shared" si="304"/>
        <v>A1622:A3848</v>
      </c>
    </row>
    <row r="3849" spans="1:15">
      <c r="A3849" s="18">
        <f>Charms!K3849</f>
        <v>0</v>
      </c>
      <c r="B3849">
        <f>Charms!B3849</f>
        <v>0</v>
      </c>
      <c r="C3849" t="b">
        <f ca="1">OR(Values!$S$98&gt;=Charms!M3849,IFERROR(Charms!J3849=OFFSET(Values!$A$24,MATCH("S",Values!$T$25:$T$50,0),0),FALSE))</f>
        <v>1</v>
      </c>
      <c r="D3849" t="e">
        <f>VLOOKUP(Charms!J3849,Values!$A$11:$S$59,19,0)&gt;=Charms!L3849</f>
        <v>#N/A</v>
      </c>
      <c r="E3849" t="e">
        <f>OR(ISBLANK(Charms!I3849),(VLOOKUP(Values!$S$6,Castes!$B$2:$F$25,4,0)=Charms!I3849))</f>
        <v>#N/A</v>
      </c>
      <c r="J3849" t="e">
        <f t="shared" ca="1" si="301"/>
        <v>#N/A</v>
      </c>
      <c r="K3849" s="18" t="e">
        <f t="shared" ca="1" si="300"/>
        <v>#N/A</v>
      </c>
      <c r="L3849" t="e">
        <f ca="1">IF(J3849,Charms!B3849,"")</f>
        <v>#N/A</v>
      </c>
      <c r="M3849" t="str">
        <f t="shared" ca="1" si="302"/>
        <v>-</v>
      </c>
      <c r="N3849" s="18" t="str">
        <f t="shared" si="303"/>
        <v>K1622:L5000</v>
      </c>
      <c r="O3849" t="str">
        <f t="shared" si="304"/>
        <v>A1622:A3849</v>
      </c>
    </row>
    <row r="3850" spans="1:15">
      <c r="A3850" s="18">
        <f>Charms!K3850</f>
        <v>0</v>
      </c>
      <c r="B3850">
        <f>Charms!B3850</f>
        <v>0</v>
      </c>
      <c r="C3850" t="b">
        <f ca="1">OR(Values!$S$98&gt;=Charms!M3850,IFERROR(Charms!J3850=OFFSET(Values!$A$24,MATCH("S",Values!$T$25:$T$50,0),0),FALSE))</f>
        <v>1</v>
      </c>
      <c r="D3850" t="e">
        <f>VLOOKUP(Charms!J3850,Values!$A$11:$S$59,19,0)&gt;=Charms!L3850</f>
        <v>#N/A</v>
      </c>
      <c r="E3850" t="e">
        <f>OR(ISBLANK(Charms!I3850),(VLOOKUP(Values!$S$6,Castes!$B$2:$F$25,4,0)=Charms!I3850))</f>
        <v>#N/A</v>
      </c>
      <c r="J3850" t="e">
        <f t="shared" ca="1" si="301"/>
        <v>#N/A</v>
      </c>
      <c r="K3850" s="18" t="e">
        <f t="shared" ca="1" si="300"/>
        <v>#N/A</v>
      </c>
      <c r="L3850" t="e">
        <f ca="1">IF(J3850,Charms!B3850,"")</f>
        <v>#N/A</v>
      </c>
      <c r="M3850" t="str">
        <f t="shared" ca="1" si="302"/>
        <v>-</v>
      </c>
      <c r="N3850" s="18" t="str">
        <f t="shared" si="303"/>
        <v>K1622:L5000</v>
      </c>
      <c r="O3850" t="str">
        <f t="shared" si="304"/>
        <v>A1622:A3850</v>
      </c>
    </row>
    <row r="3851" spans="1:15">
      <c r="A3851" s="18">
        <f>Charms!K3851</f>
        <v>0</v>
      </c>
      <c r="B3851">
        <f>Charms!B3851</f>
        <v>0</v>
      </c>
      <c r="C3851" t="b">
        <f ca="1">OR(Values!$S$98&gt;=Charms!M3851,IFERROR(Charms!J3851=OFFSET(Values!$A$24,MATCH("S",Values!$T$25:$T$50,0),0),FALSE))</f>
        <v>1</v>
      </c>
      <c r="D3851" t="e">
        <f>VLOOKUP(Charms!J3851,Values!$A$11:$S$59,19,0)&gt;=Charms!L3851</f>
        <v>#N/A</v>
      </c>
      <c r="E3851" t="e">
        <f>OR(ISBLANK(Charms!I3851),(VLOOKUP(Values!$S$6,Castes!$B$2:$F$25,4,0)=Charms!I3851))</f>
        <v>#N/A</v>
      </c>
      <c r="J3851" t="e">
        <f t="shared" ca="1" si="301"/>
        <v>#N/A</v>
      </c>
      <c r="K3851" s="18" t="e">
        <f t="shared" ca="1" si="300"/>
        <v>#N/A</v>
      </c>
      <c r="L3851" t="e">
        <f ca="1">IF(J3851,Charms!B3851,"")</f>
        <v>#N/A</v>
      </c>
      <c r="M3851" t="str">
        <f t="shared" ca="1" si="302"/>
        <v>-</v>
      </c>
      <c r="N3851" s="18" t="str">
        <f t="shared" si="303"/>
        <v>K1622:L5000</v>
      </c>
      <c r="O3851" t="str">
        <f t="shared" si="304"/>
        <v>A1622:A3851</v>
      </c>
    </row>
    <row r="3852" spans="1:15">
      <c r="A3852" s="18">
        <f>Charms!K3852</f>
        <v>0</v>
      </c>
      <c r="B3852">
        <f>Charms!B3852</f>
        <v>0</v>
      </c>
      <c r="C3852" t="b">
        <f ca="1">OR(Values!$S$98&gt;=Charms!M3852,IFERROR(Charms!J3852=OFFSET(Values!$A$24,MATCH("S",Values!$T$25:$T$50,0),0),FALSE))</f>
        <v>1</v>
      </c>
      <c r="D3852" t="e">
        <f>VLOOKUP(Charms!J3852,Values!$A$11:$S$59,19,0)&gt;=Charms!L3852</f>
        <v>#N/A</v>
      </c>
      <c r="E3852" t="e">
        <f>OR(ISBLANK(Charms!I3852),(VLOOKUP(Values!$S$6,Castes!$B$2:$F$25,4,0)=Charms!I3852))</f>
        <v>#N/A</v>
      </c>
      <c r="J3852" t="e">
        <f t="shared" ca="1" si="301"/>
        <v>#N/A</v>
      </c>
      <c r="K3852" s="18" t="e">
        <f t="shared" ca="1" si="300"/>
        <v>#N/A</v>
      </c>
      <c r="L3852" t="e">
        <f ca="1">IF(J3852,Charms!B3852,"")</f>
        <v>#N/A</v>
      </c>
      <c r="M3852" t="str">
        <f t="shared" ca="1" si="302"/>
        <v>-</v>
      </c>
      <c r="N3852" s="18" t="str">
        <f t="shared" si="303"/>
        <v>K1622:L5000</v>
      </c>
      <c r="O3852" t="str">
        <f t="shared" si="304"/>
        <v>A1622:A3852</v>
      </c>
    </row>
    <row r="3853" spans="1:15">
      <c r="A3853" s="18">
        <f>Charms!K3853</f>
        <v>0</v>
      </c>
      <c r="B3853">
        <f>Charms!B3853</f>
        <v>0</v>
      </c>
      <c r="C3853" t="b">
        <f ca="1">OR(Values!$S$98&gt;=Charms!M3853,IFERROR(Charms!J3853=OFFSET(Values!$A$24,MATCH("S",Values!$T$25:$T$50,0),0),FALSE))</f>
        <v>1</v>
      </c>
      <c r="D3853" t="e">
        <f>VLOOKUP(Charms!J3853,Values!$A$11:$S$59,19,0)&gt;=Charms!L3853</f>
        <v>#N/A</v>
      </c>
      <c r="E3853" t="e">
        <f>OR(ISBLANK(Charms!I3853),(VLOOKUP(Values!$S$6,Castes!$B$2:$F$25,4,0)=Charms!I3853))</f>
        <v>#N/A</v>
      </c>
      <c r="J3853" t="e">
        <f t="shared" ca="1" si="301"/>
        <v>#N/A</v>
      </c>
      <c r="K3853" s="18" t="e">
        <f t="shared" ca="1" si="300"/>
        <v>#N/A</v>
      </c>
      <c r="L3853" t="e">
        <f ca="1">IF(J3853,Charms!B3853,"")</f>
        <v>#N/A</v>
      </c>
      <c r="M3853" t="str">
        <f t="shared" ca="1" si="302"/>
        <v>-</v>
      </c>
      <c r="N3853" s="18" t="str">
        <f t="shared" si="303"/>
        <v>K1622:L5000</v>
      </c>
      <c r="O3853" t="str">
        <f t="shared" si="304"/>
        <v>A1622:A3853</v>
      </c>
    </row>
    <row r="3854" spans="1:15">
      <c r="A3854" s="18">
        <f>Charms!K3854</f>
        <v>0</v>
      </c>
      <c r="B3854">
        <f>Charms!B3854</f>
        <v>0</v>
      </c>
      <c r="C3854" t="b">
        <f ca="1">OR(Values!$S$98&gt;=Charms!M3854,IFERROR(Charms!J3854=OFFSET(Values!$A$24,MATCH("S",Values!$T$25:$T$50,0),0),FALSE))</f>
        <v>1</v>
      </c>
      <c r="D3854" t="e">
        <f>VLOOKUP(Charms!J3854,Values!$A$11:$S$59,19,0)&gt;=Charms!L3854</f>
        <v>#N/A</v>
      </c>
      <c r="E3854" t="e">
        <f>OR(ISBLANK(Charms!I3854),(VLOOKUP(Values!$S$6,Castes!$B$2:$F$25,4,0)=Charms!I3854))</f>
        <v>#N/A</v>
      </c>
      <c r="J3854" t="e">
        <f t="shared" ca="1" si="301"/>
        <v>#N/A</v>
      </c>
      <c r="K3854" s="18" t="e">
        <f t="shared" ca="1" si="300"/>
        <v>#N/A</v>
      </c>
      <c r="L3854" t="e">
        <f ca="1">IF(J3854,Charms!B3854,"")</f>
        <v>#N/A</v>
      </c>
      <c r="M3854" t="str">
        <f t="shared" ca="1" si="302"/>
        <v>-</v>
      </c>
      <c r="N3854" s="18" t="str">
        <f t="shared" si="303"/>
        <v>K1622:L5000</v>
      </c>
      <c r="O3854" t="str">
        <f t="shared" si="304"/>
        <v>A1622:A3854</v>
      </c>
    </row>
    <row r="3855" spans="1:15">
      <c r="A3855" s="18">
        <f>Charms!K3855</f>
        <v>0</v>
      </c>
      <c r="B3855">
        <f>Charms!B3855</f>
        <v>0</v>
      </c>
      <c r="C3855" t="b">
        <f ca="1">OR(Values!$S$98&gt;=Charms!M3855,IFERROR(Charms!J3855=OFFSET(Values!$A$24,MATCH("S",Values!$T$25:$T$50,0),0),FALSE))</f>
        <v>1</v>
      </c>
      <c r="D3855" t="e">
        <f>VLOOKUP(Charms!J3855,Values!$A$11:$S$59,19,0)&gt;=Charms!L3855</f>
        <v>#N/A</v>
      </c>
      <c r="E3855" t="e">
        <f>OR(ISBLANK(Charms!I3855),(VLOOKUP(Values!$S$6,Castes!$B$2:$F$25,4,0)=Charms!I3855))</f>
        <v>#N/A</v>
      </c>
      <c r="J3855" t="e">
        <f t="shared" ca="1" si="301"/>
        <v>#N/A</v>
      </c>
      <c r="K3855" s="18" t="e">
        <f t="shared" ca="1" si="300"/>
        <v>#N/A</v>
      </c>
      <c r="L3855" t="e">
        <f ca="1">IF(J3855,Charms!B3855,"")</f>
        <v>#N/A</v>
      </c>
      <c r="M3855" t="str">
        <f t="shared" ca="1" si="302"/>
        <v>-</v>
      </c>
      <c r="N3855" s="18" t="str">
        <f t="shared" si="303"/>
        <v>K1622:L5000</v>
      </c>
      <c r="O3855" t="str">
        <f t="shared" si="304"/>
        <v>A1622:A3855</v>
      </c>
    </row>
    <row r="3856" spans="1:15">
      <c r="A3856" s="18">
        <f>Charms!K3856</f>
        <v>0</v>
      </c>
      <c r="B3856">
        <f>Charms!B3856</f>
        <v>0</v>
      </c>
      <c r="C3856" t="b">
        <f ca="1">OR(Values!$S$98&gt;=Charms!M3856,IFERROR(Charms!J3856=OFFSET(Values!$A$24,MATCH("S",Values!$T$25:$T$50,0),0),FALSE))</f>
        <v>1</v>
      </c>
      <c r="D3856" t="e">
        <f>VLOOKUP(Charms!J3856,Values!$A$11:$S$59,19,0)&gt;=Charms!L3856</f>
        <v>#N/A</v>
      </c>
      <c r="E3856" t="e">
        <f>OR(ISBLANK(Charms!I3856),(VLOOKUP(Values!$S$6,Castes!$B$2:$F$25,4,0)=Charms!I3856))</f>
        <v>#N/A</v>
      </c>
      <c r="J3856" t="e">
        <f t="shared" ca="1" si="301"/>
        <v>#N/A</v>
      </c>
      <c r="K3856" s="18" t="e">
        <f t="shared" ca="1" si="300"/>
        <v>#N/A</v>
      </c>
      <c r="L3856" t="e">
        <f ca="1">IF(J3856,Charms!B3856,"")</f>
        <v>#N/A</v>
      </c>
      <c r="M3856" t="str">
        <f t="shared" ca="1" si="302"/>
        <v>-</v>
      </c>
      <c r="N3856" s="18" t="str">
        <f t="shared" si="303"/>
        <v>K1622:L5000</v>
      </c>
      <c r="O3856" t="str">
        <f t="shared" si="304"/>
        <v>A1622:A3856</v>
      </c>
    </row>
    <row r="3857" spans="1:15">
      <c r="A3857" s="18">
        <f>Charms!K3857</f>
        <v>0</v>
      </c>
      <c r="B3857">
        <f>Charms!B3857</f>
        <v>0</v>
      </c>
      <c r="C3857" t="b">
        <f ca="1">OR(Values!$S$98&gt;=Charms!M3857,IFERROR(Charms!J3857=OFFSET(Values!$A$24,MATCH("S",Values!$T$25:$T$50,0),0),FALSE))</f>
        <v>1</v>
      </c>
      <c r="D3857" t="e">
        <f>VLOOKUP(Charms!J3857,Values!$A$11:$S$59,19,0)&gt;=Charms!L3857</f>
        <v>#N/A</v>
      </c>
      <c r="E3857" t="e">
        <f>OR(ISBLANK(Charms!I3857),(VLOOKUP(Values!$S$6,Castes!$B$2:$F$25,4,0)=Charms!I3857))</f>
        <v>#N/A</v>
      </c>
      <c r="J3857" t="e">
        <f t="shared" ca="1" si="301"/>
        <v>#N/A</v>
      </c>
      <c r="K3857" s="18" t="e">
        <f t="shared" ca="1" si="300"/>
        <v>#N/A</v>
      </c>
      <c r="L3857" t="e">
        <f ca="1">IF(J3857,Charms!B3857,"")</f>
        <v>#N/A</v>
      </c>
      <c r="M3857" t="str">
        <f t="shared" ca="1" si="302"/>
        <v>-</v>
      </c>
      <c r="N3857" s="18" t="str">
        <f t="shared" si="303"/>
        <v>K1622:L5000</v>
      </c>
      <c r="O3857" t="str">
        <f t="shared" si="304"/>
        <v>A1622:A3857</v>
      </c>
    </row>
    <row r="3858" spans="1:15">
      <c r="A3858" s="18">
        <f>Charms!K3858</f>
        <v>0</v>
      </c>
      <c r="B3858">
        <f>Charms!B3858</f>
        <v>0</v>
      </c>
      <c r="C3858" t="b">
        <f ca="1">OR(Values!$S$98&gt;=Charms!M3858,IFERROR(Charms!J3858=OFFSET(Values!$A$24,MATCH("S",Values!$T$25:$T$50,0),0),FALSE))</f>
        <v>1</v>
      </c>
      <c r="D3858" t="e">
        <f>VLOOKUP(Charms!J3858,Values!$A$11:$S$59,19,0)&gt;=Charms!L3858</f>
        <v>#N/A</v>
      </c>
      <c r="E3858" t="e">
        <f>OR(ISBLANK(Charms!I3858),(VLOOKUP(Values!$S$6,Castes!$B$2:$F$25,4,0)=Charms!I3858))</f>
        <v>#N/A</v>
      </c>
      <c r="J3858" t="e">
        <f t="shared" ca="1" si="301"/>
        <v>#N/A</v>
      </c>
      <c r="K3858" s="18" t="e">
        <f t="shared" ca="1" si="300"/>
        <v>#N/A</v>
      </c>
      <c r="L3858" t="e">
        <f ca="1">IF(J3858,Charms!B3858,"")</f>
        <v>#N/A</v>
      </c>
      <c r="M3858" t="str">
        <f t="shared" ca="1" si="302"/>
        <v>-</v>
      </c>
      <c r="N3858" s="18" t="str">
        <f t="shared" si="303"/>
        <v>K1622:L5000</v>
      </c>
      <c r="O3858" t="str">
        <f t="shared" si="304"/>
        <v>A1622:A3858</v>
      </c>
    </row>
    <row r="3859" spans="1:15">
      <c r="A3859" s="18">
        <f>Charms!K3859</f>
        <v>0</v>
      </c>
      <c r="B3859">
        <f>Charms!B3859</f>
        <v>0</v>
      </c>
      <c r="C3859" t="b">
        <f ca="1">OR(Values!$S$98&gt;=Charms!M3859,IFERROR(Charms!J3859=OFFSET(Values!$A$24,MATCH("S",Values!$T$25:$T$50,0),0),FALSE))</f>
        <v>1</v>
      </c>
      <c r="D3859" t="e">
        <f>VLOOKUP(Charms!J3859,Values!$A$11:$S$59,19,0)&gt;=Charms!L3859</f>
        <v>#N/A</v>
      </c>
      <c r="E3859" t="e">
        <f>OR(ISBLANK(Charms!I3859),(VLOOKUP(Values!$S$6,Castes!$B$2:$F$25,4,0)=Charms!I3859))</f>
        <v>#N/A</v>
      </c>
      <c r="J3859" t="e">
        <f t="shared" ca="1" si="301"/>
        <v>#N/A</v>
      </c>
      <c r="K3859" s="18" t="e">
        <f t="shared" ca="1" si="300"/>
        <v>#N/A</v>
      </c>
      <c r="L3859" t="e">
        <f ca="1">IF(J3859,Charms!B3859,"")</f>
        <v>#N/A</v>
      </c>
      <c r="M3859" t="str">
        <f t="shared" ca="1" si="302"/>
        <v>-</v>
      </c>
      <c r="N3859" s="18" t="str">
        <f t="shared" si="303"/>
        <v>K1622:L5000</v>
      </c>
      <c r="O3859" t="str">
        <f t="shared" si="304"/>
        <v>A1622:A3859</v>
      </c>
    </row>
    <row r="3860" spans="1:15">
      <c r="A3860" s="18">
        <f>Charms!K3860</f>
        <v>0</v>
      </c>
      <c r="B3860">
        <f>Charms!B3860</f>
        <v>0</v>
      </c>
      <c r="C3860" t="b">
        <f ca="1">OR(Values!$S$98&gt;=Charms!M3860,IFERROR(Charms!J3860=OFFSET(Values!$A$24,MATCH("S",Values!$T$25:$T$50,0),0),FALSE))</f>
        <v>1</v>
      </c>
      <c r="D3860" t="e">
        <f>VLOOKUP(Charms!J3860,Values!$A$11:$S$59,19,0)&gt;=Charms!L3860</f>
        <v>#N/A</v>
      </c>
      <c r="E3860" t="e">
        <f>OR(ISBLANK(Charms!I3860),(VLOOKUP(Values!$S$6,Castes!$B$2:$F$25,4,0)=Charms!I3860))</f>
        <v>#N/A</v>
      </c>
      <c r="J3860" t="e">
        <f t="shared" ca="1" si="301"/>
        <v>#N/A</v>
      </c>
      <c r="K3860" s="18" t="e">
        <f t="shared" ca="1" si="300"/>
        <v>#N/A</v>
      </c>
      <c r="L3860" t="e">
        <f ca="1">IF(J3860,Charms!B3860,"")</f>
        <v>#N/A</v>
      </c>
      <c r="M3860" t="str">
        <f t="shared" ca="1" si="302"/>
        <v>-</v>
      </c>
      <c r="N3860" s="18" t="str">
        <f t="shared" si="303"/>
        <v>K1622:L5000</v>
      </c>
      <c r="O3860" t="str">
        <f t="shared" si="304"/>
        <v>A1622:A3860</v>
      </c>
    </row>
    <row r="3861" spans="1:15">
      <c r="A3861" s="18">
        <f>Charms!K3861</f>
        <v>0</v>
      </c>
      <c r="B3861">
        <f>Charms!B3861</f>
        <v>0</v>
      </c>
      <c r="C3861" t="b">
        <f ca="1">OR(Values!$S$98&gt;=Charms!M3861,IFERROR(Charms!J3861=OFFSET(Values!$A$24,MATCH("S",Values!$T$25:$T$50,0),0),FALSE))</f>
        <v>1</v>
      </c>
      <c r="D3861" t="e">
        <f>VLOOKUP(Charms!J3861,Values!$A$11:$S$59,19,0)&gt;=Charms!L3861</f>
        <v>#N/A</v>
      </c>
      <c r="E3861" t="e">
        <f>OR(ISBLANK(Charms!I3861),(VLOOKUP(Values!$S$6,Castes!$B$2:$F$25,4,0)=Charms!I3861))</f>
        <v>#N/A</v>
      </c>
      <c r="J3861" t="e">
        <f t="shared" ca="1" si="301"/>
        <v>#N/A</v>
      </c>
      <c r="K3861" s="18" t="e">
        <f t="shared" ca="1" si="300"/>
        <v>#N/A</v>
      </c>
      <c r="L3861" t="e">
        <f ca="1">IF(J3861,Charms!B3861,"")</f>
        <v>#N/A</v>
      </c>
      <c r="M3861" t="str">
        <f t="shared" ca="1" si="302"/>
        <v>-</v>
      </c>
      <c r="N3861" s="18" t="str">
        <f t="shared" si="303"/>
        <v>K1622:L5000</v>
      </c>
      <c r="O3861" t="str">
        <f t="shared" si="304"/>
        <v>A1622:A3861</v>
      </c>
    </row>
    <row r="3862" spans="1:15">
      <c r="A3862" s="18">
        <f>Charms!K3862</f>
        <v>0</v>
      </c>
      <c r="B3862">
        <f>Charms!B3862</f>
        <v>0</v>
      </c>
      <c r="C3862" t="b">
        <f ca="1">OR(Values!$S$98&gt;=Charms!M3862,IFERROR(Charms!J3862=OFFSET(Values!$A$24,MATCH("S",Values!$T$25:$T$50,0),0),FALSE))</f>
        <v>1</v>
      </c>
      <c r="D3862" t="e">
        <f>VLOOKUP(Charms!J3862,Values!$A$11:$S$59,19,0)&gt;=Charms!L3862</f>
        <v>#N/A</v>
      </c>
      <c r="E3862" t="e">
        <f>OR(ISBLANK(Charms!I3862),(VLOOKUP(Values!$S$6,Castes!$B$2:$F$25,4,0)=Charms!I3862))</f>
        <v>#N/A</v>
      </c>
      <c r="J3862" t="e">
        <f t="shared" ca="1" si="301"/>
        <v>#N/A</v>
      </c>
      <c r="K3862" s="18" t="e">
        <f t="shared" ca="1" si="300"/>
        <v>#N/A</v>
      </c>
      <c r="L3862" t="e">
        <f ca="1">IF(J3862,Charms!B3862,"")</f>
        <v>#N/A</v>
      </c>
      <c r="M3862" t="str">
        <f t="shared" ca="1" si="302"/>
        <v>-</v>
      </c>
      <c r="N3862" s="18" t="str">
        <f t="shared" si="303"/>
        <v>K1622:L5000</v>
      </c>
      <c r="O3862" t="str">
        <f t="shared" si="304"/>
        <v>A1622:A3862</v>
      </c>
    </row>
    <row r="3863" spans="1:15">
      <c r="A3863" s="18">
        <f>Charms!K3863</f>
        <v>0</v>
      </c>
      <c r="B3863">
        <f>Charms!B3863</f>
        <v>0</v>
      </c>
      <c r="C3863" t="b">
        <f ca="1">OR(Values!$S$98&gt;=Charms!M3863,IFERROR(Charms!J3863=OFFSET(Values!$A$24,MATCH("S",Values!$T$25:$T$50,0),0),FALSE))</f>
        <v>1</v>
      </c>
      <c r="D3863" t="e">
        <f>VLOOKUP(Charms!J3863,Values!$A$11:$S$59,19,0)&gt;=Charms!L3863</f>
        <v>#N/A</v>
      </c>
      <c r="E3863" t="e">
        <f>OR(ISBLANK(Charms!I3863),(VLOOKUP(Values!$S$6,Castes!$B$2:$F$25,4,0)=Charms!I3863))</f>
        <v>#N/A</v>
      </c>
      <c r="J3863" t="e">
        <f t="shared" ca="1" si="301"/>
        <v>#N/A</v>
      </c>
      <c r="K3863" s="18" t="e">
        <f t="shared" ca="1" si="300"/>
        <v>#N/A</v>
      </c>
      <c r="L3863" t="e">
        <f ca="1">IF(J3863,Charms!B3863,"")</f>
        <v>#N/A</v>
      </c>
      <c r="M3863" t="str">
        <f t="shared" ca="1" si="302"/>
        <v>-</v>
      </c>
      <c r="N3863" s="18" t="str">
        <f t="shared" si="303"/>
        <v>K1622:L5000</v>
      </c>
      <c r="O3863" t="str">
        <f t="shared" si="304"/>
        <v>A1622:A3863</v>
      </c>
    </row>
    <row r="3864" spans="1:15">
      <c r="A3864" s="18">
        <f>Charms!K3864</f>
        <v>0</v>
      </c>
      <c r="B3864">
        <f>Charms!B3864</f>
        <v>0</v>
      </c>
      <c r="C3864" t="b">
        <f ca="1">OR(Values!$S$98&gt;=Charms!M3864,IFERROR(Charms!J3864=OFFSET(Values!$A$24,MATCH("S",Values!$T$25:$T$50,0),0),FALSE))</f>
        <v>1</v>
      </c>
      <c r="D3864" t="e">
        <f>VLOOKUP(Charms!J3864,Values!$A$11:$S$59,19,0)&gt;=Charms!L3864</f>
        <v>#N/A</v>
      </c>
      <c r="E3864" t="e">
        <f>OR(ISBLANK(Charms!I3864),(VLOOKUP(Values!$S$6,Castes!$B$2:$F$25,4,0)=Charms!I3864))</f>
        <v>#N/A</v>
      </c>
      <c r="J3864" t="e">
        <f t="shared" ca="1" si="301"/>
        <v>#N/A</v>
      </c>
      <c r="K3864" s="18" t="e">
        <f t="shared" ca="1" si="300"/>
        <v>#N/A</v>
      </c>
      <c r="L3864" t="e">
        <f ca="1">IF(J3864,Charms!B3864,"")</f>
        <v>#N/A</v>
      </c>
      <c r="M3864" t="str">
        <f t="shared" ca="1" si="302"/>
        <v>-</v>
      </c>
      <c r="N3864" s="18" t="str">
        <f t="shared" si="303"/>
        <v>K1622:L5000</v>
      </c>
      <c r="O3864" t="str">
        <f t="shared" si="304"/>
        <v>A1622:A3864</v>
      </c>
    </row>
    <row r="3865" spans="1:15">
      <c r="A3865" s="18">
        <f>Charms!K3865</f>
        <v>0</v>
      </c>
      <c r="B3865">
        <f>Charms!B3865</f>
        <v>0</v>
      </c>
      <c r="C3865" t="b">
        <f ca="1">OR(Values!$S$98&gt;=Charms!M3865,IFERROR(Charms!J3865=OFFSET(Values!$A$24,MATCH("S",Values!$T$25:$T$50,0),0),FALSE))</f>
        <v>1</v>
      </c>
      <c r="D3865" t="e">
        <f>VLOOKUP(Charms!J3865,Values!$A$11:$S$59,19,0)&gt;=Charms!L3865</f>
        <v>#N/A</v>
      </c>
      <c r="E3865" t="e">
        <f>OR(ISBLANK(Charms!I3865),(VLOOKUP(Values!$S$6,Castes!$B$2:$F$25,4,0)=Charms!I3865))</f>
        <v>#N/A</v>
      </c>
      <c r="J3865" t="e">
        <f t="shared" ca="1" si="301"/>
        <v>#N/A</v>
      </c>
      <c r="K3865" s="18" t="e">
        <f t="shared" ca="1" si="300"/>
        <v>#N/A</v>
      </c>
      <c r="L3865" t="e">
        <f ca="1">IF(J3865,Charms!B3865,"")</f>
        <v>#N/A</v>
      </c>
      <c r="M3865" t="str">
        <f t="shared" ca="1" si="302"/>
        <v>-</v>
      </c>
      <c r="N3865" s="18" t="str">
        <f t="shared" si="303"/>
        <v>K1622:L5000</v>
      </c>
      <c r="O3865" t="str">
        <f t="shared" si="304"/>
        <v>A1622:A3865</v>
      </c>
    </row>
    <row r="3866" spans="1:15">
      <c r="A3866" s="18">
        <f>Charms!K3866</f>
        <v>0</v>
      </c>
      <c r="B3866">
        <f>Charms!B3866</f>
        <v>0</v>
      </c>
      <c r="C3866" t="b">
        <f ca="1">OR(Values!$S$98&gt;=Charms!M3866,IFERROR(Charms!J3866=OFFSET(Values!$A$24,MATCH("S",Values!$T$25:$T$50,0),0),FALSE))</f>
        <v>1</v>
      </c>
      <c r="D3866" t="e">
        <f>VLOOKUP(Charms!J3866,Values!$A$11:$S$59,19,0)&gt;=Charms!L3866</f>
        <v>#N/A</v>
      </c>
      <c r="E3866" t="e">
        <f>OR(ISBLANK(Charms!I3866),(VLOOKUP(Values!$S$6,Castes!$B$2:$F$25,4,0)=Charms!I3866))</f>
        <v>#N/A</v>
      </c>
      <c r="J3866" t="e">
        <f t="shared" ca="1" si="301"/>
        <v>#N/A</v>
      </c>
      <c r="K3866" s="18" t="e">
        <f t="shared" ca="1" si="300"/>
        <v>#N/A</v>
      </c>
      <c r="L3866" t="e">
        <f ca="1">IF(J3866,Charms!B3866,"")</f>
        <v>#N/A</v>
      </c>
      <c r="M3866" t="str">
        <f t="shared" ca="1" si="302"/>
        <v>-</v>
      </c>
      <c r="N3866" s="18" t="str">
        <f t="shared" si="303"/>
        <v>K1622:L5000</v>
      </c>
      <c r="O3866" t="str">
        <f t="shared" si="304"/>
        <v>A1622:A3866</v>
      </c>
    </row>
    <row r="3867" spans="1:15">
      <c r="A3867" s="18">
        <f>Charms!K3867</f>
        <v>0</v>
      </c>
      <c r="B3867">
        <f>Charms!B3867</f>
        <v>0</v>
      </c>
      <c r="C3867" t="b">
        <f ca="1">OR(Values!$S$98&gt;=Charms!M3867,IFERROR(Charms!J3867=OFFSET(Values!$A$24,MATCH("S",Values!$T$25:$T$50,0),0),FALSE))</f>
        <v>1</v>
      </c>
      <c r="D3867" t="e">
        <f>VLOOKUP(Charms!J3867,Values!$A$11:$S$59,19,0)&gt;=Charms!L3867</f>
        <v>#N/A</v>
      </c>
      <c r="E3867" t="e">
        <f>OR(ISBLANK(Charms!I3867),(VLOOKUP(Values!$S$6,Castes!$B$2:$F$25,4,0)=Charms!I3867))</f>
        <v>#N/A</v>
      </c>
      <c r="J3867" t="e">
        <f t="shared" ca="1" si="301"/>
        <v>#N/A</v>
      </c>
      <c r="K3867" s="18" t="e">
        <f t="shared" ca="1" si="300"/>
        <v>#N/A</v>
      </c>
      <c r="L3867" t="e">
        <f ca="1">IF(J3867,Charms!B3867,"")</f>
        <v>#N/A</v>
      </c>
      <c r="M3867" t="str">
        <f t="shared" ca="1" si="302"/>
        <v>-</v>
      </c>
      <c r="N3867" s="18" t="str">
        <f t="shared" si="303"/>
        <v>K1622:L5000</v>
      </c>
      <c r="O3867" t="str">
        <f t="shared" si="304"/>
        <v>A1622:A3867</v>
      </c>
    </row>
    <row r="3868" spans="1:15">
      <c r="A3868" s="18">
        <f>Charms!K3868</f>
        <v>0</v>
      </c>
      <c r="B3868">
        <f>Charms!B3868</f>
        <v>0</v>
      </c>
      <c r="C3868" t="b">
        <f ca="1">OR(Values!$S$98&gt;=Charms!M3868,IFERROR(Charms!J3868=OFFSET(Values!$A$24,MATCH("S",Values!$T$25:$T$50,0),0),FALSE))</f>
        <v>1</v>
      </c>
      <c r="D3868" t="e">
        <f>VLOOKUP(Charms!J3868,Values!$A$11:$S$59,19,0)&gt;=Charms!L3868</f>
        <v>#N/A</v>
      </c>
      <c r="E3868" t="e">
        <f>OR(ISBLANK(Charms!I3868),(VLOOKUP(Values!$S$6,Castes!$B$2:$F$25,4,0)=Charms!I3868))</f>
        <v>#N/A</v>
      </c>
      <c r="J3868" t="e">
        <f t="shared" ca="1" si="301"/>
        <v>#N/A</v>
      </c>
      <c r="K3868" s="18" t="e">
        <f t="shared" ca="1" si="300"/>
        <v>#N/A</v>
      </c>
      <c r="L3868" t="e">
        <f ca="1">IF(J3868,Charms!B3868,"")</f>
        <v>#N/A</v>
      </c>
      <c r="M3868" t="str">
        <f t="shared" ca="1" si="302"/>
        <v>-</v>
      </c>
      <c r="N3868" s="18" t="str">
        <f t="shared" si="303"/>
        <v>K1622:L5000</v>
      </c>
      <c r="O3868" t="str">
        <f t="shared" si="304"/>
        <v>A1622:A3868</v>
      </c>
    </row>
    <row r="3869" spans="1:15">
      <c r="A3869" s="18">
        <f>Charms!K3869</f>
        <v>0</v>
      </c>
      <c r="B3869">
        <f>Charms!B3869</f>
        <v>0</v>
      </c>
      <c r="C3869" t="b">
        <f ca="1">OR(Values!$S$98&gt;=Charms!M3869,IFERROR(Charms!J3869=OFFSET(Values!$A$24,MATCH("S",Values!$T$25:$T$50,0),0),FALSE))</f>
        <v>1</v>
      </c>
      <c r="D3869" t="e">
        <f>VLOOKUP(Charms!J3869,Values!$A$11:$S$59,19,0)&gt;=Charms!L3869</f>
        <v>#N/A</v>
      </c>
      <c r="E3869" t="e">
        <f>OR(ISBLANK(Charms!I3869),(VLOOKUP(Values!$S$6,Castes!$B$2:$F$25,4,0)=Charms!I3869))</f>
        <v>#N/A</v>
      </c>
      <c r="J3869" t="e">
        <f t="shared" ca="1" si="301"/>
        <v>#N/A</v>
      </c>
      <c r="K3869" s="18" t="e">
        <f t="shared" ca="1" si="300"/>
        <v>#N/A</v>
      </c>
      <c r="L3869" t="e">
        <f ca="1">IF(J3869,Charms!B3869,"")</f>
        <v>#N/A</v>
      </c>
      <c r="M3869" t="str">
        <f t="shared" ca="1" si="302"/>
        <v>-</v>
      </c>
      <c r="N3869" s="18" t="str">
        <f t="shared" si="303"/>
        <v>K1622:L5000</v>
      </c>
      <c r="O3869" t="str">
        <f t="shared" si="304"/>
        <v>A1622:A3869</v>
      </c>
    </row>
    <row r="3870" spans="1:15">
      <c r="A3870" s="18">
        <f>Charms!K3870</f>
        <v>0</v>
      </c>
      <c r="B3870">
        <f>Charms!B3870</f>
        <v>0</v>
      </c>
      <c r="C3870" t="b">
        <f ca="1">OR(Values!$S$98&gt;=Charms!M3870,IFERROR(Charms!J3870=OFFSET(Values!$A$24,MATCH("S",Values!$T$25:$T$50,0),0),FALSE))</f>
        <v>1</v>
      </c>
      <c r="D3870" t="e">
        <f>VLOOKUP(Charms!J3870,Values!$A$11:$S$59,19,0)&gt;=Charms!L3870</f>
        <v>#N/A</v>
      </c>
      <c r="E3870" t="e">
        <f>OR(ISBLANK(Charms!I3870),(VLOOKUP(Values!$S$6,Castes!$B$2:$F$25,4,0)=Charms!I3870))</f>
        <v>#N/A</v>
      </c>
      <c r="J3870" t="e">
        <f t="shared" ca="1" si="301"/>
        <v>#N/A</v>
      </c>
      <c r="K3870" s="18" t="e">
        <f t="shared" ca="1" si="300"/>
        <v>#N/A</v>
      </c>
      <c r="L3870" t="e">
        <f ca="1">IF(J3870,Charms!B3870,"")</f>
        <v>#N/A</v>
      </c>
      <c r="M3870" t="str">
        <f t="shared" ca="1" si="302"/>
        <v>-</v>
      </c>
      <c r="N3870" s="18" t="str">
        <f t="shared" si="303"/>
        <v>K1622:L5000</v>
      </c>
      <c r="O3870" t="str">
        <f t="shared" si="304"/>
        <v>A1622:A3870</v>
      </c>
    </row>
    <row r="3871" spans="1:15">
      <c r="A3871" s="18">
        <f>Charms!K3871</f>
        <v>0</v>
      </c>
      <c r="B3871">
        <f>Charms!B3871</f>
        <v>0</v>
      </c>
      <c r="C3871" t="b">
        <f ca="1">OR(Values!$S$98&gt;=Charms!M3871,IFERROR(Charms!J3871=OFFSET(Values!$A$24,MATCH("S",Values!$T$25:$T$50,0),0),FALSE))</f>
        <v>1</v>
      </c>
      <c r="D3871" t="e">
        <f>VLOOKUP(Charms!J3871,Values!$A$11:$S$59,19,0)&gt;=Charms!L3871</f>
        <v>#N/A</v>
      </c>
      <c r="E3871" t="e">
        <f>OR(ISBLANK(Charms!I3871),(VLOOKUP(Values!$S$6,Castes!$B$2:$F$25,4,0)=Charms!I3871))</f>
        <v>#N/A</v>
      </c>
      <c r="J3871" t="e">
        <f t="shared" ca="1" si="301"/>
        <v>#N/A</v>
      </c>
      <c r="K3871" s="18" t="e">
        <f t="shared" ca="1" si="300"/>
        <v>#N/A</v>
      </c>
      <c r="L3871" t="e">
        <f ca="1">IF(J3871,Charms!B3871,"")</f>
        <v>#N/A</v>
      </c>
      <c r="M3871" t="str">
        <f t="shared" ca="1" si="302"/>
        <v>-</v>
      </c>
      <c r="N3871" s="18" t="str">
        <f t="shared" si="303"/>
        <v>K1622:L5000</v>
      </c>
      <c r="O3871" t="str">
        <f t="shared" si="304"/>
        <v>A1622:A3871</v>
      </c>
    </row>
    <row r="3872" spans="1:15">
      <c r="A3872" s="18">
        <f>Charms!K3872</f>
        <v>0</v>
      </c>
      <c r="B3872">
        <f>Charms!B3872</f>
        <v>0</v>
      </c>
      <c r="C3872" t="b">
        <f ca="1">OR(Values!$S$98&gt;=Charms!M3872,IFERROR(Charms!J3872=OFFSET(Values!$A$24,MATCH("S",Values!$T$25:$T$50,0),0),FALSE))</f>
        <v>1</v>
      </c>
      <c r="D3872" t="e">
        <f>VLOOKUP(Charms!J3872,Values!$A$11:$S$59,19,0)&gt;=Charms!L3872</f>
        <v>#N/A</v>
      </c>
      <c r="E3872" t="e">
        <f>OR(ISBLANK(Charms!I3872),(VLOOKUP(Values!$S$6,Castes!$B$2:$F$25,4,0)=Charms!I3872))</f>
        <v>#N/A</v>
      </c>
      <c r="J3872" t="e">
        <f t="shared" ca="1" si="301"/>
        <v>#N/A</v>
      </c>
      <c r="K3872" s="18" t="e">
        <f t="shared" ca="1" si="300"/>
        <v>#N/A</v>
      </c>
      <c r="L3872" t="e">
        <f ca="1">IF(J3872,Charms!B3872,"")</f>
        <v>#N/A</v>
      </c>
      <c r="M3872" t="str">
        <f t="shared" ca="1" si="302"/>
        <v>-</v>
      </c>
      <c r="N3872" s="18" t="str">
        <f t="shared" si="303"/>
        <v>K1622:L5000</v>
      </c>
      <c r="O3872" t="str">
        <f t="shared" si="304"/>
        <v>A1622:A3872</v>
      </c>
    </row>
    <row r="3873" spans="1:15">
      <c r="A3873" s="18">
        <f>Charms!K3873</f>
        <v>0</v>
      </c>
      <c r="B3873">
        <f>Charms!B3873</f>
        <v>0</v>
      </c>
      <c r="C3873" t="b">
        <f ca="1">OR(Values!$S$98&gt;=Charms!M3873,IFERROR(Charms!J3873=OFFSET(Values!$A$24,MATCH("S",Values!$T$25:$T$50,0),0),FALSE))</f>
        <v>1</v>
      </c>
      <c r="D3873" t="e">
        <f>VLOOKUP(Charms!J3873,Values!$A$11:$S$59,19,0)&gt;=Charms!L3873</f>
        <v>#N/A</v>
      </c>
      <c r="E3873" t="e">
        <f>OR(ISBLANK(Charms!I3873),(VLOOKUP(Values!$S$6,Castes!$B$2:$F$25,4,0)=Charms!I3873))</f>
        <v>#N/A</v>
      </c>
      <c r="J3873" t="e">
        <f t="shared" ca="1" si="301"/>
        <v>#N/A</v>
      </c>
      <c r="K3873" s="18" t="e">
        <f t="shared" ca="1" si="300"/>
        <v>#N/A</v>
      </c>
      <c r="L3873" t="e">
        <f ca="1">IF(J3873,Charms!B3873,"")</f>
        <v>#N/A</v>
      </c>
      <c r="M3873" t="str">
        <f t="shared" ca="1" si="302"/>
        <v>-</v>
      </c>
      <c r="N3873" s="18" t="str">
        <f t="shared" si="303"/>
        <v>K1622:L5000</v>
      </c>
      <c r="O3873" t="str">
        <f t="shared" si="304"/>
        <v>A1622:A3873</v>
      </c>
    </row>
    <row r="3874" spans="1:15">
      <c r="A3874" s="18">
        <f>Charms!K3874</f>
        <v>0</v>
      </c>
      <c r="B3874">
        <f>Charms!B3874</f>
        <v>0</v>
      </c>
      <c r="C3874" t="b">
        <f ca="1">OR(Values!$S$98&gt;=Charms!M3874,IFERROR(Charms!J3874=OFFSET(Values!$A$24,MATCH("S",Values!$T$25:$T$50,0),0),FALSE))</f>
        <v>1</v>
      </c>
      <c r="D3874" t="e">
        <f>VLOOKUP(Charms!J3874,Values!$A$11:$S$59,19,0)&gt;=Charms!L3874</f>
        <v>#N/A</v>
      </c>
      <c r="E3874" t="e">
        <f>OR(ISBLANK(Charms!I3874),(VLOOKUP(Values!$S$6,Castes!$B$2:$F$25,4,0)=Charms!I3874))</f>
        <v>#N/A</v>
      </c>
      <c r="J3874" t="e">
        <f t="shared" ca="1" si="301"/>
        <v>#N/A</v>
      </c>
      <c r="K3874" s="18" t="e">
        <f t="shared" ca="1" si="300"/>
        <v>#N/A</v>
      </c>
      <c r="L3874" t="e">
        <f ca="1">IF(J3874,Charms!B3874,"")</f>
        <v>#N/A</v>
      </c>
      <c r="M3874" t="str">
        <f t="shared" ca="1" si="302"/>
        <v>-</v>
      </c>
      <c r="N3874" s="18" t="str">
        <f t="shared" si="303"/>
        <v>K1622:L5000</v>
      </c>
      <c r="O3874" t="str">
        <f t="shared" si="304"/>
        <v>A1622:A3874</v>
      </c>
    </row>
    <row r="3875" spans="1:15">
      <c r="A3875" s="18">
        <f>Charms!K3875</f>
        <v>0</v>
      </c>
      <c r="B3875">
        <f>Charms!B3875</f>
        <v>0</v>
      </c>
      <c r="C3875" t="b">
        <f ca="1">OR(Values!$S$98&gt;=Charms!M3875,IFERROR(Charms!J3875=OFFSET(Values!$A$24,MATCH("S",Values!$T$25:$T$50,0),0),FALSE))</f>
        <v>1</v>
      </c>
      <c r="D3875" t="e">
        <f>VLOOKUP(Charms!J3875,Values!$A$11:$S$59,19,0)&gt;=Charms!L3875</f>
        <v>#N/A</v>
      </c>
      <c r="E3875" t="e">
        <f>OR(ISBLANK(Charms!I3875),(VLOOKUP(Values!$S$6,Castes!$B$2:$F$25,4,0)=Charms!I3875))</f>
        <v>#N/A</v>
      </c>
      <c r="J3875" t="e">
        <f t="shared" ca="1" si="301"/>
        <v>#N/A</v>
      </c>
      <c r="K3875" s="18" t="e">
        <f t="shared" ca="1" si="300"/>
        <v>#N/A</v>
      </c>
      <c r="L3875" t="e">
        <f ca="1">IF(J3875,Charms!B3875,"")</f>
        <v>#N/A</v>
      </c>
      <c r="M3875" t="str">
        <f t="shared" ca="1" si="302"/>
        <v>-</v>
      </c>
      <c r="N3875" s="18" t="str">
        <f t="shared" si="303"/>
        <v>K1622:L5000</v>
      </c>
      <c r="O3875" t="str">
        <f t="shared" si="304"/>
        <v>A1622:A3875</v>
      </c>
    </row>
    <row r="3876" spans="1:15">
      <c r="A3876" s="18">
        <f>Charms!K3876</f>
        <v>0</v>
      </c>
      <c r="B3876">
        <f>Charms!B3876</f>
        <v>0</v>
      </c>
      <c r="C3876" t="b">
        <f ca="1">OR(Values!$S$98&gt;=Charms!M3876,IFERROR(Charms!J3876=OFFSET(Values!$A$24,MATCH("S",Values!$T$25:$T$50,0),0),FALSE))</f>
        <v>1</v>
      </c>
      <c r="D3876" t="e">
        <f>VLOOKUP(Charms!J3876,Values!$A$11:$S$59,19,0)&gt;=Charms!L3876</f>
        <v>#N/A</v>
      </c>
      <c r="E3876" t="e">
        <f>OR(ISBLANK(Charms!I3876),(VLOOKUP(Values!$S$6,Castes!$B$2:$F$25,4,0)=Charms!I3876))</f>
        <v>#N/A</v>
      </c>
      <c r="J3876" t="e">
        <f t="shared" ca="1" si="301"/>
        <v>#N/A</v>
      </c>
      <c r="K3876" s="18" t="e">
        <f t="shared" ca="1" si="300"/>
        <v>#N/A</v>
      </c>
      <c r="L3876" t="e">
        <f ca="1">IF(J3876,Charms!B3876,"")</f>
        <v>#N/A</v>
      </c>
      <c r="M3876" t="str">
        <f t="shared" ca="1" si="302"/>
        <v>-</v>
      </c>
      <c r="N3876" s="18" t="str">
        <f t="shared" si="303"/>
        <v>K1622:L5000</v>
      </c>
      <c r="O3876" t="str">
        <f t="shared" si="304"/>
        <v>A1622:A3876</v>
      </c>
    </row>
    <row r="3877" spans="1:15">
      <c r="A3877" s="18">
        <f>Charms!K3877</f>
        <v>0</v>
      </c>
      <c r="B3877">
        <f>Charms!B3877</f>
        <v>0</v>
      </c>
      <c r="C3877" t="b">
        <f ca="1">OR(Values!$S$98&gt;=Charms!M3877,IFERROR(Charms!J3877=OFFSET(Values!$A$24,MATCH("S",Values!$T$25:$T$50,0),0),FALSE))</f>
        <v>1</v>
      </c>
      <c r="D3877" t="e">
        <f>VLOOKUP(Charms!J3877,Values!$A$11:$S$59,19,0)&gt;=Charms!L3877</f>
        <v>#N/A</v>
      </c>
      <c r="E3877" t="e">
        <f>OR(ISBLANK(Charms!I3877),(VLOOKUP(Values!$S$6,Castes!$B$2:$F$25,4,0)=Charms!I3877))</f>
        <v>#N/A</v>
      </c>
      <c r="J3877" t="e">
        <f t="shared" ca="1" si="301"/>
        <v>#N/A</v>
      </c>
      <c r="K3877" s="18" t="e">
        <f t="shared" ca="1" si="300"/>
        <v>#N/A</v>
      </c>
      <c r="L3877" t="e">
        <f ca="1">IF(J3877,Charms!B3877,"")</f>
        <v>#N/A</v>
      </c>
      <c r="M3877" t="str">
        <f t="shared" ca="1" si="302"/>
        <v>-</v>
      </c>
      <c r="N3877" s="18" t="str">
        <f t="shared" si="303"/>
        <v>K1622:L5000</v>
      </c>
      <c r="O3877" t="str">
        <f t="shared" si="304"/>
        <v>A1622:A3877</v>
      </c>
    </row>
    <row r="3878" spans="1:15">
      <c r="A3878" s="18">
        <f>Charms!K3878</f>
        <v>0</v>
      </c>
      <c r="B3878">
        <f>Charms!B3878</f>
        <v>0</v>
      </c>
      <c r="C3878" t="b">
        <f ca="1">OR(Values!$S$98&gt;=Charms!M3878,IFERROR(Charms!J3878=OFFSET(Values!$A$24,MATCH("S",Values!$T$25:$T$50,0),0),FALSE))</f>
        <v>1</v>
      </c>
      <c r="D3878" t="e">
        <f>VLOOKUP(Charms!J3878,Values!$A$11:$S$59,19,0)&gt;=Charms!L3878</f>
        <v>#N/A</v>
      </c>
      <c r="E3878" t="e">
        <f>OR(ISBLANK(Charms!I3878),(VLOOKUP(Values!$S$6,Castes!$B$2:$F$25,4,0)=Charms!I3878))</f>
        <v>#N/A</v>
      </c>
      <c r="J3878" t="e">
        <f t="shared" ca="1" si="301"/>
        <v>#N/A</v>
      </c>
      <c r="K3878" s="18" t="e">
        <f t="shared" ca="1" si="300"/>
        <v>#N/A</v>
      </c>
      <c r="L3878" t="e">
        <f ca="1">IF(J3878,Charms!B3878,"")</f>
        <v>#N/A</v>
      </c>
      <c r="M3878" t="str">
        <f t="shared" ca="1" si="302"/>
        <v>-</v>
      </c>
      <c r="N3878" s="18" t="str">
        <f t="shared" si="303"/>
        <v>K1622:L5000</v>
      </c>
      <c r="O3878" t="str">
        <f t="shared" si="304"/>
        <v>A1622:A3878</v>
      </c>
    </row>
    <row r="3879" spans="1:15">
      <c r="A3879" s="18">
        <f>Charms!K3879</f>
        <v>0</v>
      </c>
      <c r="B3879">
        <f>Charms!B3879</f>
        <v>0</v>
      </c>
      <c r="C3879" t="b">
        <f ca="1">OR(Values!$S$98&gt;=Charms!M3879,IFERROR(Charms!J3879=OFFSET(Values!$A$24,MATCH("S",Values!$T$25:$T$50,0),0),FALSE))</f>
        <v>1</v>
      </c>
      <c r="D3879" t="e">
        <f>VLOOKUP(Charms!J3879,Values!$A$11:$S$59,19,0)&gt;=Charms!L3879</f>
        <v>#N/A</v>
      </c>
      <c r="E3879" t="e">
        <f>OR(ISBLANK(Charms!I3879),(VLOOKUP(Values!$S$6,Castes!$B$2:$F$25,4,0)=Charms!I3879))</f>
        <v>#N/A</v>
      </c>
      <c r="J3879" t="e">
        <f t="shared" ca="1" si="301"/>
        <v>#N/A</v>
      </c>
      <c r="K3879" s="18" t="e">
        <f t="shared" ca="1" si="300"/>
        <v>#N/A</v>
      </c>
      <c r="L3879" t="e">
        <f ca="1">IF(J3879,Charms!B3879,"")</f>
        <v>#N/A</v>
      </c>
      <c r="M3879" t="str">
        <f t="shared" ca="1" si="302"/>
        <v>-</v>
      </c>
      <c r="N3879" s="18" t="str">
        <f t="shared" si="303"/>
        <v>K1622:L5000</v>
      </c>
      <c r="O3879" t="str">
        <f t="shared" si="304"/>
        <v>A1622:A3879</v>
      </c>
    </row>
    <row r="3880" spans="1:15">
      <c r="A3880" s="18">
        <f>Charms!K3880</f>
        <v>0</v>
      </c>
      <c r="B3880">
        <f>Charms!B3880</f>
        <v>0</v>
      </c>
      <c r="C3880" t="b">
        <f ca="1">OR(Values!$S$98&gt;=Charms!M3880,IFERROR(Charms!J3880=OFFSET(Values!$A$24,MATCH("S",Values!$T$25:$T$50,0),0),FALSE))</f>
        <v>1</v>
      </c>
      <c r="D3880" t="e">
        <f>VLOOKUP(Charms!J3880,Values!$A$11:$S$59,19,0)&gt;=Charms!L3880</f>
        <v>#N/A</v>
      </c>
      <c r="E3880" t="e">
        <f>OR(ISBLANK(Charms!I3880),(VLOOKUP(Values!$S$6,Castes!$B$2:$F$25,4,0)=Charms!I3880))</f>
        <v>#N/A</v>
      </c>
      <c r="J3880" t="e">
        <f t="shared" ca="1" si="301"/>
        <v>#N/A</v>
      </c>
      <c r="K3880" s="18" t="e">
        <f t="shared" ca="1" si="300"/>
        <v>#N/A</v>
      </c>
      <c r="L3880" t="e">
        <f ca="1">IF(J3880,Charms!B3880,"")</f>
        <v>#N/A</v>
      </c>
      <c r="M3880" t="str">
        <f t="shared" ca="1" si="302"/>
        <v>-</v>
      </c>
      <c r="N3880" s="18" t="str">
        <f t="shared" si="303"/>
        <v>K1622:L5000</v>
      </c>
      <c r="O3880" t="str">
        <f t="shared" si="304"/>
        <v>A1622:A3880</v>
      </c>
    </row>
    <row r="3881" spans="1:15">
      <c r="A3881" s="18">
        <f>Charms!K3881</f>
        <v>0</v>
      </c>
      <c r="B3881">
        <f>Charms!B3881</f>
        <v>0</v>
      </c>
      <c r="C3881" t="b">
        <f ca="1">OR(Values!$S$98&gt;=Charms!M3881,IFERROR(Charms!J3881=OFFSET(Values!$A$24,MATCH("S",Values!$T$25:$T$50,0),0),FALSE))</f>
        <v>1</v>
      </c>
      <c r="D3881" t="e">
        <f>VLOOKUP(Charms!J3881,Values!$A$11:$S$59,19,0)&gt;=Charms!L3881</f>
        <v>#N/A</v>
      </c>
      <c r="E3881" t="e">
        <f>OR(ISBLANK(Charms!I3881),(VLOOKUP(Values!$S$6,Castes!$B$2:$F$25,4,0)=Charms!I3881))</f>
        <v>#N/A</v>
      </c>
      <c r="J3881" t="e">
        <f t="shared" ca="1" si="301"/>
        <v>#N/A</v>
      </c>
      <c r="K3881" s="18" t="e">
        <f t="shared" ca="1" si="300"/>
        <v>#N/A</v>
      </c>
      <c r="L3881" t="e">
        <f ca="1">IF(J3881,Charms!B3881,"")</f>
        <v>#N/A</v>
      </c>
      <c r="M3881" t="str">
        <f t="shared" ca="1" si="302"/>
        <v>-</v>
      </c>
      <c r="N3881" s="18" t="str">
        <f t="shared" si="303"/>
        <v>K1622:L5000</v>
      </c>
      <c r="O3881" t="str">
        <f t="shared" si="304"/>
        <v>A1622:A3881</v>
      </c>
    </row>
    <row r="3882" spans="1:15">
      <c r="A3882" s="18">
        <f>Charms!K3882</f>
        <v>0</v>
      </c>
      <c r="B3882">
        <f>Charms!B3882</f>
        <v>0</v>
      </c>
      <c r="C3882" t="b">
        <f ca="1">OR(Values!$S$98&gt;=Charms!M3882,IFERROR(Charms!J3882=OFFSET(Values!$A$24,MATCH("S",Values!$T$25:$T$50,0),0),FALSE))</f>
        <v>1</v>
      </c>
      <c r="D3882" t="e">
        <f>VLOOKUP(Charms!J3882,Values!$A$11:$S$59,19,0)&gt;=Charms!L3882</f>
        <v>#N/A</v>
      </c>
      <c r="E3882" t="e">
        <f>OR(ISBLANK(Charms!I3882),(VLOOKUP(Values!$S$6,Castes!$B$2:$F$25,4,0)=Charms!I3882))</f>
        <v>#N/A</v>
      </c>
      <c r="J3882" t="e">
        <f t="shared" ca="1" si="301"/>
        <v>#N/A</v>
      </c>
      <c r="K3882" s="18" t="e">
        <f t="shared" ca="1" si="300"/>
        <v>#N/A</v>
      </c>
      <c r="L3882" t="e">
        <f ca="1">IF(J3882,Charms!B3882,"")</f>
        <v>#N/A</v>
      </c>
      <c r="M3882" t="str">
        <f t="shared" ca="1" si="302"/>
        <v>-</v>
      </c>
      <c r="N3882" s="18" t="str">
        <f t="shared" si="303"/>
        <v>K1622:L5000</v>
      </c>
      <c r="O3882" t="str">
        <f t="shared" si="304"/>
        <v>A1622:A3882</v>
      </c>
    </row>
    <row r="3883" spans="1:15">
      <c r="A3883" s="18">
        <f>Charms!K3883</f>
        <v>0</v>
      </c>
      <c r="B3883">
        <f>Charms!B3883</f>
        <v>0</v>
      </c>
      <c r="C3883" t="b">
        <f ca="1">OR(Values!$S$98&gt;=Charms!M3883,IFERROR(Charms!J3883=OFFSET(Values!$A$24,MATCH("S",Values!$T$25:$T$50,0),0),FALSE))</f>
        <v>1</v>
      </c>
      <c r="D3883" t="e">
        <f>VLOOKUP(Charms!J3883,Values!$A$11:$S$59,19,0)&gt;=Charms!L3883</f>
        <v>#N/A</v>
      </c>
      <c r="E3883" t="e">
        <f>OR(ISBLANK(Charms!I3883),(VLOOKUP(Values!$S$6,Castes!$B$2:$F$25,4,0)=Charms!I3883))</f>
        <v>#N/A</v>
      </c>
      <c r="J3883" t="e">
        <f t="shared" ca="1" si="301"/>
        <v>#N/A</v>
      </c>
      <c r="K3883" s="18" t="e">
        <f t="shared" ca="1" si="300"/>
        <v>#N/A</v>
      </c>
      <c r="L3883" t="e">
        <f ca="1">IF(J3883,Charms!B3883,"")</f>
        <v>#N/A</v>
      </c>
      <c r="M3883" t="str">
        <f t="shared" ca="1" si="302"/>
        <v>-</v>
      </c>
      <c r="N3883" s="18" t="str">
        <f t="shared" si="303"/>
        <v>K1622:L5000</v>
      </c>
      <c r="O3883" t="str">
        <f t="shared" si="304"/>
        <v>A1622:A3883</v>
      </c>
    </row>
    <row r="3884" spans="1:15">
      <c r="A3884" s="18">
        <f>Charms!K3884</f>
        <v>0</v>
      </c>
      <c r="B3884">
        <f>Charms!B3884</f>
        <v>0</v>
      </c>
      <c r="C3884" t="b">
        <f ca="1">OR(Values!$S$98&gt;=Charms!M3884,IFERROR(Charms!J3884=OFFSET(Values!$A$24,MATCH("S",Values!$T$25:$T$50,0),0),FALSE))</f>
        <v>1</v>
      </c>
      <c r="D3884" t="e">
        <f>VLOOKUP(Charms!J3884,Values!$A$11:$S$59,19,0)&gt;=Charms!L3884</f>
        <v>#N/A</v>
      </c>
      <c r="E3884" t="e">
        <f>OR(ISBLANK(Charms!I3884),(VLOOKUP(Values!$S$6,Castes!$B$2:$F$25,4,0)=Charms!I3884))</f>
        <v>#N/A</v>
      </c>
      <c r="J3884" t="e">
        <f t="shared" ca="1" si="301"/>
        <v>#N/A</v>
      </c>
      <c r="K3884" s="18" t="e">
        <f t="shared" ca="1" si="300"/>
        <v>#N/A</v>
      </c>
      <c r="L3884" t="e">
        <f ca="1">IF(J3884,Charms!B3884,"")</f>
        <v>#N/A</v>
      </c>
      <c r="M3884" t="str">
        <f t="shared" ca="1" si="302"/>
        <v>-</v>
      </c>
      <c r="N3884" s="18" t="str">
        <f t="shared" si="303"/>
        <v>K1622:L5000</v>
      </c>
      <c r="O3884" t="str">
        <f t="shared" si="304"/>
        <v>A1622:A3884</v>
      </c>
    </row>
    <row r="3885" spans="1:15">
      <c r="A3885" s="18">
        <f>Charms!K3885</f>
        <v>0</v>
      </c>
      <c r="B3885">
        <f>Charms!B3885</f>
        <v>0</v>
      </c>
      <c r="C3885" t="b">
        <f ca="1">OR(Values!$S$98&gt;=Charms!M3885,IFERROR(Charms!J3885=OFFSET(Values!$A$24,MATCH("S",Values!$T$25:$T$50,0),0),FALSE))</f>
        <v>1</v>
      </c>
      <c r="D3885" t="e">
        <f>VLOOKUP(Charms!J3885,Values!$A$11:$S$59,19,0)&gt;=Charms!L3885</f>
        <v>#N/A</v>
      </c>
      <c r="E3885" t="e">
        <f>OR(ISBLANK(Charms!I3885),(VLOOKUP(Values!$S$6,Castes!$B$2:$F$25,4,0)=Charms!I3885))</f>
        <v>#N/A</v>
      </c>
      <c r="J3885" t="e">
        <f t="shared" ca="1" si="301"/>
        <v>#N/A</v>
      </c>
      <c r="K3885" s="18" t="e">
        <f t="shared" ca="1" si="300"/>
        <v>#N/A</v>
      </c>
      <c r="L3885" t="e">
        <f ca="1">IF(J3885,Charms!B3885,"")</f>
        <v>#N/A</v>
      </c>
      <c r="M3885" t="str">
        <f t="shared" ca="1" si="302"/>
        <v>-</v>
      </c>
      <c r="N3885" s="18" t="str">
        <f t="shared" si="303"/>
        <v>K1622:L5000</v>
      </c>
      <c r="O3885" t="str">
        <f t="shared" si="304"/>
        <v>A1622:A3885</v>
      </c>
    </row>
    <row r="3886" spans="1:15">
      <c r="A3886" s="18">
        <f>Charms!K3886</f>
        <v>0</v>
      </c>
      <c r="B3886">
        <f>Charms!B3886</f>
        <v>0</v>
      </c>
      <c r="C3886" t="b">
        <f ca="1">OR(Values!$S$98&gt;=Charms!M3886,IFERROR(Charms!J3886=OFFSET(Values!$A$24,MATCH("S",Values!$T$25:$T$50,0),0),FALSE))</f>
        <v>1</v>
      </c>
      <c r="D3886" t="e">
        <f>VLOOKUP(Charms!J3886,Values!$A$11:$S$59,19,0)&gt;=Charms!L3886</f>
        <v>#N/A</v>
      </c>
      <c r="E3886" t="e">
        <f>OR(ISBLANK(Charms!I3886),(VLOOKUP(Values!$S$6,Castes!$B$2:$F$25,4,0)=Charms!I3886))</f>
        <v>#N/A</v>
      </c>
      <c r="J3886" t="e">
        <f t="shared" ca="1" si="301"/>
        <v>#N/A</v>
      </c>
      <c r="K3886" s="18" t="e">
        <f t="shared" ca="1" si="300"/>
        <v>#N/A</v>
      </c>
      <c r="L3886" t="e">
        <f ca="1">IF(J3886,Charms!B3886,"")</f>
        <v>#N/A</v>
      </c>
      <c r="M3886" t="str">
        <f t="shared" ca="1" si="302"/>
        <v>-</v>
      </c>
      <c r="N3886" s="18" t="str">
        <f t="shared" si="303"/>
        <v>K1622:L5000</v>
      </c>
      <c r="O3886" t="str">
        <f t="shared" si="304"/>
        <v>A1622:A3886</v>
      </c>
    </row>
    <row r="3887" spans="1:15">
      <c r="A3887" s="18">
        <f>Charms!K3887</f>
        <v>0</v>
      </c>
      <c r="B3887">
        <f>Charms!B3887</f>
        <v>0</v>
      </c>
      <c r="C3887" t="b">
        <f ca="1">OR(Values!$S$98&gt;=Charms!M3887,IFERROR(Charms!J3887=OFFSET(Values!$A$24,MATCH("S",Values!$T$25:$T$50,0),0),FALSE))</f>
        <v>1</v>
      </c>
      <c r="D3887" t="e">
        <f>VLOOKUP(Charms!J3887,Values!$A$11:$S$59,19,0)&gt;=Charms!L3887</f>
        <v>#N/A</v>
      </c>
      <c r="E3887" t="e">
        <f>OR(ISBLANK(Charms!I3887),(VLOOKUP(Values!$S$6,Castes!$B$2:$F$25,4,0)=Charms!I3887))</f>
        <v>#N/A</v>
      </c>
      <c r="J3887" t="e">
        <f t="shared" ca="1" si="301"/>
        <v>#N/A</v>
      </c>
      <c r="K3887" s="18" t="e">
        <f t="shared" ca="1" si="300"/>
        <v>#N/A</v>
      </c>
      <c r="L3887" t="e">
        <f ca="1">IF(J3887,Charms!B3887,"")</f>
        <v>#N/A</v>
      </c>
      <c r="M3887" t="str">
        <f t="shared" ca="1" si="302"/>
        <v>-</v>
      </c>
      <c r="N3887" s="18" t="str">
        <f t="shared" si="303"/>
        <v>K1622:L5000</v>
      </c>
      <c r="O3887" t="str">
        <f t="shared" si="304"/>
        <v>A1622:A3887</v>
      </c>
    </row>
    <row r="3888" spans="1:15">
      <c r="A3888" s="18">
        <f>Charms!K3888</f>
        <v>0</v>
      </c>
      <c r="B3888">
        <f>Charms!B3888</f>
        <v>0</v>
      </c>
      <c r="C3888" t="b">
        <f ca="1">OR(Values!$S$98&gt;=Charms!M3888,IFERROR(Charms!J3888=OFFSET(Values!$A$24,MATCH("S",Values!$T$25:$T$50,0),0),FALSE))</f>
        <v>1</v>
      </c>
      <c r="D3888" t="e">
        <f>VLOOKUP(Charms!J3888,Values!$A$11:$S$59,19,0)&gt;=Charms!L3888</f>
        <v>#N/A</v>
      </c>
      <c r="E3888" t="e">
        <f>OR(ISBLANK(Charms!I3888),(VLOOKUP(Values!$S$6,Castes!$B$2:$F$25,4,0)=Charms!I3888))</f>
        <v>#N/A</v>
      </c>
      <c r="J3888" t="e">
        <f t="shared" ca="1" si="301"/>
        <v>#N/A</v>
      </c>
      <c r="K3888" s="18" t="e">
        <f t="shared" ca="1" si="300"/>
        <v>#N/A</v>
      </c>
      <c r="L3888" t="e">
        <f ca="1">IF(J3888,Charms!B3888,"")</f>
        <v>#N/A</v>
      </c>
      <c r="M3888" t="str">
        <f t="shared" ca="1" si="302"/>
        <v>-</v>
      </c>
      <c r="N3888" s="18" t="str">
        <f t="shared" si="303"/>
        <v>K1622:L5000</v>
      </c>
      <c r="O3888" t="str">
        <f t="shared" si="304"/>
        <v>A1622:A3888</v>
      </c>
    </row>
    <row r="3889" spans="1:15">
      <c r="A3889" s="18">
        <f>Charms!K3889</f>
        <v>0</v>
      </c>
      <c r="B3889">
        <f>Charms!B3889</f>
        <v>0</v>
      </c>
      <c r="C3889" t="b">
        <f ca="1">OR(Values!$S$98&gt;=Charms!M3889,IFERROR(Charms!J3889=OFFSET(Values!$A$24,MATCH("S",Values!$T$25:$T$50,0),0),FALSE))</f>
        <v>1</v>
      </c>
      <c r="D3889" t="e">
        <f>VLOOKUP(Charms!J3889,Values!$A$11:$S$59,19,0)&gt;=Charms!L3889</f>
        <v>#N/A</v>
      </c>
      <c r="E3889" t="e">
        <f>OR(ISBLANK(Charms!I3889),(VLOOKUP(Values!$S$6,Castes!$B$2:$F$25,4,0)=Charms!I3889))</f>
        <v>#N/A</v>
      </c>
      <c r="J3889" t="e">
        <f t="shared" ca="1" si="301"/>
        <v>#N/A</v>
      </c>
      <c r="K3889" s="18" t="e">
        <f t="shared" ca="1" si="300"/>
        <v>#N/A</v>
      </c>
      <c r="L3889" t="e">
        <f ca="1">IF(J3889,Charms!B3889,"")</f>
        <v>#N/A</v>
      </c>
      <c r="M3889" t="str">
        <f t="shared" ca="1" si="302"/>
        <v>-</v>
      </c>
      <c r="N3889" s="18" t="str">
        <f t="shared" si="303"/>
        <v>K1622:L5000</v>
      </c>
      <c r="O3889" t="str">
        <f t="shared" si="304"/>
        <v>A1622:A3889</v>
      </c>
    </row>
    <row r="3890" spans="1:15">
      <c r="A3890" s="18">
        <f>Charms!K3890</f>
        <v>0</v>
      </c>
      <c r="B3890">
        <f>Charms!B3890</f>
        <v>0</v>
      </c>
      <c r="C3890" t="b">
        <f ca="1">OR(Values!$S$98&gt;=Charms!M3890,IFERROR(Charms!J3890=OFFSET(Values!$A$24,MATCH("S",Values!$T$25:$T$50,0),0),FALSE))</f>
        <v>1</v>
      </c>
      <c r="D3890" t="e">
        <f>VLOOKUP(Charms!J3890,Values!$A$11:$S$59,19,0)&gt;=Charms!L3890</f>
        <v>#N/A</v>
      </c>
      <c r="E3890" t="e">
        <f>OR(ISBLANK(Charms!I3890),(VLOOKUP(Values!$S$6,Castes!$B$2:$F$25,4,0)=Charms!I3890))</f>
        <v>#N/A</v>
      </c>
      <c r="J3890" t="e">
        <f t="shared" ca="1" si="301"/>
        <v>#N/A</v>
      </c>
      <c r="K3890" s="18" t="e">
        <f t="shared" ca="1" si="300"/>
        <v>#N/A</v>
      </c>
      <c r="L3890" t="e">
        <f ca="1">IF(J3890,Charms!B3890,"")</f>
        <v>#N/A</v>
      </c>
      <c r="M3890" t="str">
        <f t="shared" ca="1" si="302"/>
        <v>-</v>
      </c>
      <c r="N3890" s="18" t="str">
        <f t="shared" si="303"/>
        <v>K1622:L5000</v>
      </c>
      <c r="O3890" t="str">
        <f t="shared" si="304"/>
        <v>A1622:A3890</v>
      </c>
    </row>
    <row r="3891" spans="1:15">
      <c r="A3891" s="18">
        <f>Charms!K3891</f>
        <v>0</v>
      </c>
      <c r="B3891">
        <f>Charms!B3891</f>
        <v>0</v>
      </c>
      <c r="C3891" t="b">
        <f ca="1">OR(Values!$S$98&gt;=Charms!M3891,IFERROR(Charms!J3891=OFFSET(Values!$A$24,MATCH("S",Values!$T$25:$T$50,0),0),FALSE))</f>
        <v>1</v>
      </c>
      <c r="D3891" t="e">
        <f>VLOOKUP(Charms!J3891,Values!$A$11:$S$59,19,0)&gt;=Charms!L3891</f>
        <v>#N/A</v>
      </c>
      <c r="E3891" t="e">
        <f>OR(ISBLANK(Charms!I3891),(VLOOKUP(Values!$S$6,Castes!$B$2:$F$25,4,0)=Charms!I3891))</f>
        <v>#N/A</v>
      </c>
      <c r="J3891" t="e">
        <f t="shared" ca="1" si="301"/>
        <v>#N/A</v>
      </c>
      <c r="K3891" s="18" t="e">
        <f t="shared" ca="1" si="300"/>
        <v>#N/A</v>
      </c>
      <c r="L3891" t="e">
        <f ca="1">IF(J3891,Charms!B3891,"")</f>
        <v>#N/A</v>
      </c>
      <c r="M3891" t="str">
        <f t="shared" ca="1" si="302"/>
        <v>-</v>
      </c>
      <c r="N3891" s="18" t="str">
        <f t="shared" si="303"/>
        <v>K1622:L5000</v>
      </c>
      <c r="O3891" t="str">
        <f t="shared" si="304"/>
        <v>A1622:A3891</v>
      </c>
    </row>
    <row r="3892" spans="1:15">
      <c r="A3892" s="18">
        <f>Charms!K3892</f>
        <v>0</v>
      </c>
      <c r="B3892">
        <f>Charms!B3892</f>
        <v>0</v>
      </c>
      <c r="C3892" t="b">
        <f ca="1">OR(Values!$S$98&gt;=Charms!M3892,IFERROR(Charms!J3892=OFFSET(Values!$A$24,MATCH("S",Values!$T$25:$T$50,0),0),FALSE))</f>
        <v>1</v>
      </c>
      <c r="D3892" t="e">
        <f>VLOOKUP(Charms!J3892,Values!$A$11:$S$59,19,0)&gt;=Charms!L3892</f>
        <v>#N/A</v>
      </c>
      <c r="E3892" t="e">
        <f>OR(ISBLANK(Charms!I3892),(VLOOKUP(Values!$S$6,Castes!$B$2:$F$25,4,0)=Charms!I3892))</f>
        <v>#N/A</v>
      </c>
      <c r="J3892" t="e">
        <f t="shared" ca="1" si="301"/>
        <v>#N/A</v>
      </c>
      <c r="K3892" s="18" t="e">
        <f t="shared" ca="1" si="300"/>
        <v>#N/A</v>
      </c>
      <c r="L3892" t="e">
        <f ca="1">IF(J3892,Charms!B3892,"")</f>
        <v>#N/A</v>
      </c>
      <c r="M3892" t="str">
        <f t="shared" ca="1" si="302"/>
        <v>-</v>
      </c>
      <c r="N3892" s="18" t="str">
        <f t="shared" si="303"/>
        <v>K1622:L5000</v>
      </c>
      <c r="O3892" t="str">
        <f t="shared" si="304"/>
        <v>A1622:A3892</v>
      </c>
    </row>
    <row r="3893" spans="1:15">
      <c r="A3893" s="18">
        <f>Charms!K3893</f>
        <v>0</v>
      </c>
      <c r="B3893">
        <f>Charms!B3893</f>
        <v>0</v>
      </c>
      <c r="C3893" t="b">
        <f ca="1">OR(Values!$S$98&gt;=Charms!M3893,IFERROR(Charms!J3893=OFFSET(Values!$A$24,MATCH("S",Values!$T$25:$T$50,0),0),FALSE))</f>
        <v>1</v>
      </c>
      <c r="D3893" t="e">
        <f>VLOOKUP(Charms!J3893,Values!$A$11:$S$59,19,0)&gt;=Charms!L3893</f>
        <v>#N/A</v>
      </c>
      <c r="E3893" t="e">
        <f>OR(ISBLANK(Charms!I3893),(VLOOKUP(Values!$S$6,Castes!$B$2:$F$25,4,0)=Charms!I3893))</f>
        <v>#N/A</v>
      </c>
      <c r="J3893" t="e">
        <f t="shared" ca="1" si="301"/>
        <v>#N/A</v>
      </c>
      <c r="K3893" s="18" t="e">
        <f t="shared" ca="1" si="300"/>
        <v>#N/A</v>
      </c>
      <c r="L3893" t="e">
        <f ca="1">IF(J3893,Charms!B3893,"")</f>
        <v>#N/A</v>
      </c>
      <c r="M3893" t="str">
        <f t="shared" ca="1" si="302"/>
        <v>-</v>
      </c>
      <c r="N3893" s="18" t="str">
        <f t="shared" si="303"/>
        <v>K1622:L5000</v>
      </c>
      <c r="O3893" t="str">
        <f t="shared" si="304"/>
        <v>A1622:A3893</v>
      </c>
    </row>
    <row r="3894" spans="1:15">
      <c r="A3894" s="18">
        <f>Charms!K3894</f>
        <v>0</v>
      </c>
      <c r="B3894">
        <f>Charms!B3894</f>
        <v>0</v>
      </c>
      <c r="C3894" t="b">
        <f ca="1">OR(Values!$S$98&gt;=Charms!M3894,IFERROR(Charms!J3894=OFFSET(Values!$A$24,MATCH("S",Values!$T$25:$T$50,0),0),FALSE))</f>
        <v>1</v>
      </c>
      <c r="D3894" t="e">
        <f>VLOOKUP(Charms!J3894,Values!$A$11:$S$59,19,0)&gt;=Charms!L3894</f>
        <v>#N/A</v>
      </c>
      <c r="E3894" t="e">
        <f>OR(ISBLANK(Charms!I3894),(VLOOKUP(Values!$S$6,Castes!$B$2:$F$25,4,0)=Charms!I3894))</f>
        <v>#N/A</v>
      </c>
      <c r="J3894" t="e">
        <f t="shared" ca="1" si="301"/>
        <v>#N/A</v>
      </c>
      <c r="K3894" s="18" t="e">
        <f t="shared" ca="1" si="300"/>
        <v>#N/A</v>
      </c>
      <c r="L3894" t="e">
        <f ca="1">IF(J3894,Charms!B3894,"")</f>
        <v>#N/A</v>
      </c>
      <c r="M3894" t="str">
        <f t="shared" ca="1" si="302"/>
        <v>-</v>
      </c>
      <c r="N3894" s="18" t="str">
        <f t="shared" si="303"/>
        <v>K1622:L5000</v>
      </c>
      <c r="O3894" t="str">
        <f t="shared" si="304"/>
        <v>A1622:A3894</v>
      </c>
    </row>
    <row r="3895" spans="1:15">
      <c r="A3895" s="18">
        <f>Charms!K3895</f>
        <v>0</v>
      </c>
      <c r="B3895">
        <f>Charms!B3895</f>
        <v>0</v>
      </c>
      <c r="C3895" t="b">
        <f ca="1">OR(Values!$S$98&gt;=Charms!M3895,IFERROR(Charms!J3895=OFFSET(Values!$A$24,MATCH("S",Values!$T$25:$T$50,0),0),FALSE))</f>
        <v>1</v>
      </c>
      <c r="D3895" t="e">
        <f>VLOOKUP(Charms!J3895,Values!$A$11:$S$59,19,0)&gt;=Charms!L3895</f>
        <v>#N/A</v>
      </c>
      <c r="E3895" t="e">
        <f>OR(ISBLANK(Charms!I3895),(VLOOKUP(Values!$S$6,Castes!$B$2:$F$25,4,0)=Charms!I3895))</f>
        <v>#N/A</v>
      </c>
      <c r="J3895" t="e">
        <f t="shared" ca="1" si="301"/>
        <v>#N/A</v>
      </c>
      <c r="K3895" s="18" t="e">
        <f t="shared" ca="1" si="300"/>
        <v>#N/A</v>
      </c>
      <c r="L3895" t="e">
        <f ca="1">IF(J3895,Charms!B3895,"")</f>
        <v>#N/A</v>
      </c>
      <c r="M3895" t="str">
        <f t="shared" ca="1" si="302"/>
        <v>-</v>
      </c>
      <c r="N3895" s="18" t="str">
        <f t="shared" si="303"/>
        <v>K1622:L5000</v>
      </c>
      <c r="O3895" t="str">
        <f t="shared" si="304"/>
        <v>A1622:A3895</v>
      </c>
    </row>
    <row r="3896" spans="1:15">
      <c r="A3896" s="18">
        <f>Charms!K3896</f>
        <v>0</v>
      </c>
      <c r="B3896">
        <f>Charms!B3896</f>
        <v>0</v>
      </c>
      <c r="C3896" t="b">
        <f ca="1">OR(Values!$S$98&gt;=Charms!M3896,IFERROR(Charms!J3896=OFFSET(Values!$A$24,MATCH("S",Values!$T$25:$T$50,0),0),FALSE))</f>
        <v>1</v>
      </c>
      <c r="D3896" t="e">
        <f>VLOOKUP(Charms!J3896,Values!$A$11:$S$59,19,0)&gt;=Charms!L3896</f>
        <v>#N/A</v>
      </c>
      <c r="E3896" t="e">
        <f>OR(ISBLANK(Charms!I3896),(VLOOKUP(Values!$S$6,Castes!$B$2:$F$25,4,0)=Charms!I3896))</f>
        <v>#N/A</v>
      </c>
      <c r="J3896" t="e">
        <f t="shared" ca="1" si="301"/>
        <v>#N/A</v>
      </c>
      <c r="K3896" s="18" t="e">
        <f t="shared" ca="1" si="300"/>
        <v>#N/A</v>
      </c>
      <c r="L3896" t="e">
        <f ca="1">IF(J3896,Charms!B3896,"")</f>
        <v>#N/A</v>
      </c>
      <c r="M3896" t="str">
        <f t="shared" ca="1" si="302"/>
        <v>-</v>
      </c>
      <c r="N3896" s="18" t="str">
        <f t="shared" si="303"/>
        <v>K1622:L5000</v>
      </c>
      <c r="O3896" t="str">
        <f t="shared" si="304"/>
        <v>A1622:A3896</v>
      </c>
    </row>
    <row r="3897" spans="1:15">
      <c r="A3897" s="18">
        <f>Charms!K3897</f>
        <v>0</v>
      </c>
      <c r="B3897">
        <f>Charms!B3897</f>
        <v>0</v>
      </c>
      <c r="C3897" t="b">
        <f ca="1">OR(Values!$S$98&gt;=Charms!M3897,IFERROR(Charms!J3897=OFFSET(Values!$A$24,MATCH("S",Values!$T$25:$T$50,0),0),FALSE))</f>
        <v>1</v>
      </c>
      <c r="D3897" t="e">
        <f>VLOOKUP(Charms!J3897,Values!$A$11:$S$59,19,0)&gt;=Charms!L3897</f>
        <v>#N/A</v>
      </c>
      <c r="E3897" t="e">
        <f>OR(ISBLANK(Charms!I3897),(VLOOKUP(Values!$S$6,Castes!$B$2:$F$25,4,0)=Charms!I3897))</f>
        <v>#N/A</v>
      </c>
      <c r="J3897" t="e">
        <f t="shared" ca="1" si="301"/>
        <v>#N/A</v>
      </c>
      <c r="K3897" s="18" t="e">
        <f t="shared" ca="1" si="300"/>
        <v>#N/A</v>
      </c>
      <c r="L3897" t="e">
        <f ca="1">IF(J3897,Charms!B3897,"")</f>
        <v>#N/A</v>
      </c>
      <c r="M3897" t="str">
        <f t="shared" ca="1" si="302"/>
        <v>-</v>
      </c>
      <c r="N3897" s="18" t="str">
        <f t="shared" si="303"/>
        <v>K1622:L5000</v>
      </c>
      <c r="O3897" t="str">
        <f t="shared" si="304"/>
        <v>A1622:A3897</v>
      </c>
    </row>
    <row r="3898" spans="1:15">
      <c r="A3898" s="18">
        <f>Charms!K3898</f>
        <v>0</v>
      </c>
      <c r="B3898">
        <f>Charms!B3898</f>
        <v>0</v>
      </c>
      <c r="C3898" t="b">
        <f ca="1">OR(Values!$S$98&gt;=Charms!M3898,IFERROR(Charms!J3898=OFFSET(Values!$A$24,MATCH("S",Values!$T$25:$T$50,0),0),FALSE))</f>
        <v>1</v>
      </c>
      <c r="D3898" t="e">
        <f>VLOOKUP(Charms!J3898,Values!$A$11:$S$59,19,0)&gt;=Charms!L3898</f>
        <v>#N/A</v>
      </c>
      <c r="E3898" t="e">
        <f>OR(ISBLANK(Charms!I3898),(VLOOKUP(Values!$S$6,Castes!$B$2:$F$25,4,0)=Charms!I3898))</f>
        <v>#N/A</v>
      </c>
      <c r="J3898" t="e">
        <f t="shared" ca="1" si="301"/>
        <v>#N/A</v>
      </c>
      <c r="K3898" s="18" t="e">
        <f t="shared" ca="1" si="300"/>
        <v>#N/A</v>
      </c>
      <c r="L3898" t="e">
        <f ca="1">IF(J3898,Charms!B3898,"")</f>
        <v>#N/A</v>
      </c>
      <c r="M3898" t="str">
        <f t="shared" ca="1" si="302"/>
        <v>-</v>
      </c>
      <c r="N3898" s="18" t="str">
        <f t="shared" si="303"/>
        <v>K1622:L5000</v>
      </c>
      <c r="O3898" t="str">
        <f t="shared" si="304"/>
        <v>A1622:A3898</v>
      </c>
    </row>
    <row r="3899" spans="1:15">
      <c r="A3899" s="18">
        <f>Charms!K3899</f>
        <v>0</v>
      </c>
      <c r="B3899">
        <f>Charms!B3899</f>
        <v>0</v>
      </c>
      <c r="C3899" t="b">
        <f ca="1">OR(Values!$S$98&gt;=Charms!M3899,IFERROR(Charms!J3899=OFFSET(Values!$A$24,MATCH("S",Values!$T$25:$T$50,0),0),FALSE))</f>
        <v>1</v>
      </c>
      <c r="D3899" t="e">
        <f>VLOOKUP(Charms!J3899,Values!$A$11:$S$59,19,0)&gt;=Charms!L3899</f>
        <v>#N/A</v>
      </c>
      <c r="E3899" t="e">
        <f>OR(ISBLANK(Charms!I3899),(VLOOKUP(Values!$S$6,Castes!$B$2:$F$25,4,0)=Charms!I3899))</f>
        <v>#N/A</v>
      </c>
      <c r="J3899" t="e">
        <f t="shared" ca="1" si="301"/>
        <v>#N/A</v>
      </c>
      <c r="K3899" s="18" t="e">
        <f t="shared" ca="1" si="300"/>
        <v>#N/A</v>
      </c>
      <c r="L3899" t="e">
        <f ca="1">IF(J3899,Charms!B3899,"")</f>
        <v>#N/A</v>
      </c>
      <c r="M3899" t="str">
        <f t="shared" ca="1" si="302"/>
        <v>-</v>
      </c>
      <c r="N3899" s="18" t="str">
        <f t="shared" si="303"/>
        <v>K1622:L5000</v>
      </c>
      <c r="O3899" t="str">
        <f t="shared" si="304"/>
        <v>A1622:A3899</v>
      </c>
    </row>
    <row r="3900" spans="1:15">
      <c r="A3900" s="18">
        <f>Charms!K3900</f>
        <v>0</v>
      </c>
      <c r="B3900">
        <f>Charms!B3900</f>
        <v>0</v>
      </c>
      <c r="C3900" t="b">
        <f ca="1">OR(Values!$S$98&gt;=Charms!M3900,IFERROR(Charms!J3900=OFFSET(Values!$A$24,MATCH("S",Values!$T$25:$T$50,0),0),FALSE))</f>
        <v>1</v>
      </c>
      <c r="D3900" t="e">
        <f>VLOOKUP(Charms!J3900,Values!$A$11:$S$59,19,0)&gt;=Charms!L3900</f>
        <v>#N/A</v>
      </c>
      <c r="E3900" t="e">
        <f>OR(ISBLANK(Charms!I3900),(VLOOKUP(Values!$S$6,Castes!$B$2:$F$25,4,0)=Charms!I3900))</f>
        <v>#N/A</v>
      </c>
      <c r="J3900" t="e">
        <f t="shared" ca="1" si="301"/>
        <v>#N/A</v>
      </c>
      <c r="K3900" s="18" t="e">
        <f t="shared" ca="1" si="300"/>
        <v>#N/A</v>
      </c>
      <c r="L3900" t="e">
        <f ca="1">IF(J3900,Charms!B3900,"")</f>
        <v>#N/A</v>
      </c>
      <c r="M3900" t="str">
        <f t="shared" ca="1" si="302"/>
        <v>-</v>
      </c>
      <c r="N3900" s="18" t="str">
        <f t="shared" si="303"/>
        <v>K1622:L5000</v>
      </c>
      <c r="O3900" t="str">
        <f t="shared" si="304"/>
        <v>A1622:A3900</v>
      </c>
    </row>
    <row r="3901" spans="1:15">
      <c r="A3901" s="18">
        <f>Charms!K3901</f>
        <v>0</v>
      </c>
      <c r="B3901">
        <f>Charms!B3901</f>
        <v>0</v>
      </c>
      <c r="C3901" t="b">
        <f ca="1">OR(Values!$S$98&gt;=Charms!M3901,IFERROR(Charms!J3901=OFFSET(Values!$A$24,MATCH("S",Values!$T$25:$T$50,0),0),FALSE))</f>
        <v>1</v>
      </c>
      <c r="D3901" t="e">
        <f>VLOOKUP(Charms!J3901,Values!$A$11:$S$59,19,0)&gt;=Charms!L3901</f>
        <v>#N/A</v>
      </c>
      <c r="E3901" t="e">
        <f>OR(ISBLANK(Charms!I3901),(VLOOKUP(Values!$S$6,Castes!$B$2:$F$25,4,0)=Charms!I3901))</f>
        <v>#N/A</v>
      </c>
      <c r="J3901" t="e">
        <f t="shared" ca="1" si="301"/>
        <v>#N/A</v>
      </c>
      <c r="K3901" s="18" t="e">
        <f t="shared" ca="1" si="300"/>
        <v>#N/A</v>
      </c>
      <c r="L3901" t="e">
        <f ca="1">IF(J3901,Charms!B3901,"")</f>
        <v>#N/A</v>
      </c>
      <c r="M3901" t="str">
        <f t="shared" ca="1" si="302"/>
        <v>-</v>
      </c>
      <c r="N3901" s="18" t="str">
        <f t="shared" si="303"/>
        <v>K1622:L5000</v>
      </c>
      <c r="O3901" t="str">
        <f t="shared" si="304"/>
        <v>A1622:A3901</v>
      </c>
    </row>
    <row r="3902" spans="1:15">
      <c r="A3902" s="18">
        <f>Charms!K3902</f>
        <v>0</v>
      </c>
      <c r="B3902">
        <f>Charms!B3902</f>
        <v>0</v>
      </c>
      <c r="C3902" t="b">
        <f ca="1">OR(Values!$S$98&gt;=Charms!M3902,IFERROR(Charms!J3902=OFFSET(Values!$A$24,MATCH("S",Values!$T$25:$T$50,0),0),FALSE))</f>
        <v>1</v>
      </c>
      <c r="D3902" t="e">
        <f>VLOOKUP(Charms!J3902,Values!$A$11:$S$59,19,0)&gt;=Charms!L3902</f>
        <v>#N/A</v>
      </c>
      <c r="E3902" t="e">
        <f>OR(ISBLANK(Charms!I3902),(VLOOKUP(Values!$S$6,Castes!$B$2:$F$25,4,0)=Charms!I3902))</f>
        <v>#N/A</v>
      </c>
      <c r="J3902" t="e">
        <f t="shared" ca="1" si="301"/>
        <v>#N/A</v>
      </c>
      <c r="K3902" s="18" t="e">
        <f t="shared" ca="1" si="300"/>
        <v>#N/A</v>
      </c>
      <c r="L3902" t="e">
        <f ca="1">IF(J3902,Charms!B3902,"")</f>
        <v>#N/A</v>
      </c>
      <c r="M3902" t="str">
        <f t="shared" ca="1" si="302"/>
        <v>-</v>
      </c>
      <c r="N3902" s="18" t="str">
        <f t="shared" si="303"/>
        <v>K1622:L5000</v>
      </c>
      <c r="O3902" t="str">
        <f t="shared" si="304"/>
        <v>A1622:A3902</v>
      </c>
    </row>
    <row r="3903" spans="1:15">
      <c r="A3903" s="18">
        <f>Charms!K3903</f>
        <v>0</v>
      </c>
      <c r="B3903">
        <f>Charms!B3903</f>
        <v>0</v>
      </c>
      <c r="C3903" t="b">
        <f ca="1">OR(Values!$S$98&gt;=Charms!M3903,IFERROR(Charms!J3903=OFFSET(Values!$A$24,MATCH("S",Values!$T$25:$T$50,0),0),FALSE))</f>
        <v>1</v>
      </c>
      <c r="D3903" t="e">
        <f>VLOOKUP(Charms!J3903,Values!$A$11:$S$59,19,0)&gt;=Charms!L3903</f>
        <v>#N/A</v>
      </c>
      <c r="E3903" t="e">
        <f>OR(ISBLANK(Charms!I3903),(VLOOKUP(Values!$S$6,Castes!$B$2:$F$25,4,0)=Charms!I3903))</f>
        <v>#N/A</v>
      </c>
      <c r="J3903" t="e">
        <f t="shared" ca="1" si="301"/>
        <v>#N/A</v>
      </c>
      <c r="K3903" s="18" t="e">
        <f t="shared" ca="1" si="300"/>
        <v>#N/A</v>
      </c>
      <c r="L3903" t="e">
        <f ca="1">IF(J3903,Charms!B3903,"")</f>
        <v>#N/A</v>
      </c>
      <c r="M3903" t="str">
        <f t="shared" ca="1" si="302"/>
        <v>-</v>
      </c>
      <c r="N3903" s="18" t="str">
        <f t="shared" si="303"/>
        <v>K1622:L5000</v>
      </c>
      <c r="O3903" t="str">
        <f t="shared" si="304"/>
        <v>A1622:A3903</v>
      </c>
    </row>
    <row r="3904" spans="1:15">
      <c r="A3904" s="18">
        <f>Charms!K3904</f>
        <v>0</v>
      </c>
      <c r="B3904">
        <f>Charms!B3904</f>
        <v>0</v>
      </c>
      <c r="C3904" t="b">
        <f ca="1">OR(Values!$S$98&gt;=Charms!M3904,IFERROR(Charms!J3904=OFFSET(Values!$A$24,MATCH("S",Values!$T$25:$T$50,0),0),FALSE))</f>
        <v>1</v>
      </c>
      <c r="D3904" t="e">
        <f>VLOOKUP(Charms!J3904,Values!$A$11:$S$59,19,0)&gt;=Charms!L3904</f>
        <v>#N/A</v>
      </c>
      <c r="E3904" t="e">
        <f>OR(ISBLANK(Charms!I3904),(VLOOKUP(Values!$S$6,Castes!$B$2:$F$25,4,0)=Charms!I3904))</f>
        <v>#N/A</v>
      </c>
      <c r="J3904" t="e">
        <f t="shared" ca="1" si="301"/>
        <v>#N/A</v>
      </c>
      <c r="K3904" s="18" t="e">
        <f t="shared" ca="1" si="300"/>
        <v>#N/A</v>
      </c>
      <c r="L3904" t="e">
        <f ca="1">IF(J3904,Charms!B3904,"")</f>
        <v>#N/A</v>
      </c>
      <c r="M3904" t="str">
        <f t="shared" ca="1" si="302"/>
        <v>-</v>
      </c>
      <c r="N3904" s="18" t="str">
        <f t="shared" si="303"/>
        <v>K1622:L5000</v>
      </c>
      <c r="O3904" t="str">
        <f t="shared" si="304"/>
        <v>A1622:A3904</v>
      </c>
    </row>
    <row r="3905" spans="1:15">
      <c r="A3905" s="18">
        <f>Charms!K3905</f>
        <v>0</v>
      </c>
      <c r="B3905">
        <f>Charms!B3905</f>
        <v>0</v>
      </c>
      <c r="C3905" t="b">
        <f ca="1">OR(Values!$S$98&gt;=Charms!M3905,IFERROR(Charms!J3905=OFFSET(Values!$A$24,MATCH("S",Values!$T$25:$T$50,0),0),FALSE))</f>
        <v>1</v>
      </c>
      <c r="D3905" t="e">
        <f>VLOOKUP(Charms!J3905,Values!$A$11:$S$59,19,0)&gt;=Charms!L3905</f>
        <v>#N/A</v>
      </c>
      <c r="E3905" t="e">
        <f>OR(ISBLANK(Charms!I3905),(VLOOKUP(Values!$S$6,Castes!$B$2:$F$25,4,0)=Charms!I3905))</f>
        <v>#N/A</v>
      </c>
      <c r="J3905" t="e">
        <f t="shared" ca="1" si="301"/>
        <v>#N/A</v>
      </c>
      <c r="K3905" s="18" t="e">
        <f t="shared" ca="1" si="300"/>
        <v>#N/A</v>
      </c>
      <c r="L3905" t="e">
        <f ca="1">IF(J3905,Charms!B3905,"")</f>
        <v>#N/A</v>
      </c>
      <c r="M3905" t="str">
        <f t="shared" ca="1" si="302"/>
        <v>-</v>
      </c>
      <c r="N3905" s="18" t="str">
        <f t="shared" si="303"/>
        <v>K1622:L5000</v>
      </c>
      <c r="O3905" t="str">
        <f t="shared" si="304"/>
        <v>A1622:A3905</v>
      </c>
    </row>
    <row r="3906" spans="1:15">
      <c r="A3906" s="18">
        <f>Charms!K3906</f>
        <v>0</v>
      </c>
      <c r="B3906">
        <f>Charms!B3906</f>
        <v>0</v>
      </c>
      <c r="C3906" t="b">
        <f ca="1">OR(Values!$S$98&gt;=Charms!M3906,IFERROR(Charms!J3906=OFFSET(Values!$A$24,MATCH("S",Values!$T$25:$T$50,0),0),FALSE))</f>
        <v>1</v>
      </c>
      <c r="D3906" t="e">
        <f>VLOOKUP(Charms!J3906,Values!$A$11:$S$59,19,0)&gt;=Charms!L3906</f>
        <v>#N/A</v>
      </c>
      <c r="E3906" t="e">
        <f>OR(ISBLANK(Charms!I3906),(VLOOKUP(Values!$S$6,Castes!$B$2:$F$25,4,0)=Charms!I3906))</f>
        <v>#N/A</v>
      </c>
      <c r="J3906" t="e">
        <f t="shared" ca="1" si="301"/>
        <v>#N/A</v>
      </c>
      <c r="K3906" s="18" t="e">
        <f t="shared" ref="K3906:K3969" ca="1" si="305">IF(L3906="","",COUNTIF(INDIRECT("J"&amp;MATCH(A3906,A:A,0)&amp;":J"&amp;ROW()),J3906))</f>
        <v>#N/A</v>
      </c>
      <c r="L3906" t="e">
        <f ca="1">IF(J3906,Charms!B3906,"")</f>
        <v>#N/A</v>
      </c>
      <c r="M3906" t="str">
        <f t="shared" ca="1" si="302"/>
        <v>-</v>
      </c>
      <c r="N3906" s="18" t="str">
        <f t="shared" si="303"/>
        <v>K1622:L5000</v>
      </c>
      <c r="O3906" t="str">
        <f t="shared" si="304"/>
        <v>A1622:A3906</v>
      </c>
    </row>
    <row r="3907" spans="1:15">
      <c r="A3907" s="18">
        <f>Charms!K3907</f>
        <v>0</v>
      </c>
      <c r="B3907">
        <f>Charms!B3907</f>
        <v>0</v>
      </c>
      <c r="C3907" t="b">
        <f ca="1">OR(Values!$S$98&gt;=Charms!M3907,IFERROR(Charms!J3907=OFFSET(Values!$A$24,MATCH("S",Values!$T$25:$T$50,0),0),FALSE))</f>
        <v>1</v>
      </c>
      <c r="D3907" t="e">
        <f>VLOOKUP(Charms!J3907,Values!$A$11:$S$59,19,0)&gt;=Charms!L3907</f>
        <v>#N/A</v>
      </c>
      <c r="E3907" t="e">
        <f>OR(ISBLANK(Charms!I3907),(VLOOKUP(Values!$S$6,Castes!$B$2:$F$25,4,0)=Charms!I3907))</f>
        <v>#N/A</v>
      </c>
      <c r="J3907" t="e">
        <f t="shared" ref="J3907:J3970" ca="1" si="306">(C3907+D3907+E3907+F3907+G3907+H3907+I3907)=3</f>
        <v>#N/A</v>
      </c>
      <c r="K3907" s="18" t="e">
        <f t="shared" ca="1" si="305"/>
        <v>#N/A</v>
      </c>
      <c r="L3907" t="e">
        <f ca="1">IF(J3907,Charms!B3907,"")</f>
        <v>#N/A</v>
      </c>
      <c r="M3907" t="str">
        <f t="shared" ref="M3907:M3970" ca="1" si="307">IFERROR(VLOOKUP(COUNTIF(INDIRECT(O3907),A3907),INDIRECT(N3907),2,0),"-")</f>
        <v>-</v>
      </c>
      <c r="N3907" s="18" t="str">
        <f t="shared" ref="N3907:N3970" si="308">"K"&amp;MATCH(A3907,A:A,0)&amp;":L"&amp;(MATCH(A3907,A:A,0)+COUNTIF(A:A,A3907)-1)</f>
        <v>K1622:L5000</v>
      </c>
      <c r="O3907" t="str">
        <f t="shared" ref="O3907:O3970" si="309">"A"&amp;MATCH(A3907,A:A,0)&amp;":A"&amp;ROW()</f>
        <v>A1622:A3907</v>
      </c>
    </row>
    <row r="3908" spans="1:15">
      <c r="A3908" s="18">
        <f>Charms!K3908</f>
        <v>0</v>
      </c>
      <c r="B3908">
        <f>Charms!B3908</f>
        <v>0</v>
      </c>
      <c r="C3908" t="b">
        <f ca="1">OR(Values!$S$98&gt;=Charms!M3908,IFERROR(Charms!J3908=OFFSET(Values!$A$24,MATCH("S",Values!$T$25:$T$50,0),0),FALSE))</f>
        <v>1</v>
      </c>
      <c r="D3908" t="e">
        <f>VLOOKUP(Charms!J3908,Values!$A$11:$S$59,19,0)&gt;=Charms!L3908</f>
        <v>#N/A</v>
      </c>
      <c r="E3908" t="e">
        <f>OR(ISBLANK(Charms!I3908),(VLOOKUP(Values!$S$6,Castes!$B$2:$F$25,4,0)=Charms!I3908))</f>
        <v>#N/A</v>
      </c>
      <c r="J3908" t="e">
        <f t="shared" ca="1" si="306"/>
        <v>#N/A</v>
      </c>
      <c r="K3908" s="18" t="e">
        <f t="shared" ca="1" si="305"/>
        <v>#N/A</v>
      </c>
      <c r="L3908" t="e">
        <f ca="1">IF(J3908,Charms!B3908,"")</f>
        <v>#N/A</v>
      </c>
      <c r="M3908" t="str">
        <f t="shared" ca="1" si="307"/>
        <v>-</v>
      </c>
      <c r="N3908" s="18" t="str">
        <f t="shared" si="308"/>
        <v>K1622:L5000</v>
      </c>
      <c r="O3908" t="str">
        <f t="shared" si="309"/>
        <v>A1622:A3908</v>
      </c>
    </row>
    <row r="3909" spans="1:15">
      <c r="A3909" s="18">
        <f>Charms!K3909</f>
        <v>0</v>
      </c>
      <c r="B3909">
        <f>Charms!B3909</f>
        <v>0</v>
      </c>
      <c r="C3909" t="b">
        <f ca="1">OR(Values!$S$98&gt;=Charms!M3909,IFERROR(Charms!J3909=OFFSET(Values!$A$24,MATCH("S",Values!$T$25:$T$50,0),0),FALSE))</f>
        <v>1</v>
      </c>
      <c r="D3909" t="e">
        <f>VLOOKUP(Charms!J3909,Values!$A$11:$S$59,19,0)&gt;=Charms!L3909</f>
        <v>#N/A</v>
      </c>
      <c r="E3909" t="e">
        <f>OR(ISBLANK(Charms!I3909),(VLOOKUP(Values!$S$6,Castes!$B$2:$F$25,4,0)=Charms!I3909))</f>
        <v>#N/A</v>
      </c>
      <c r="J3909" t="e">
        <f t="shared" ca="1" si="306"/>
        <v>#N/A</v>
      </c>
      <c r="K3909" s="18" t="e">
        <f t="shared" ca="1" si="305"/>
        <v>#N/A</v>
      </c>
      <c r="L3909" t="e">
        <f ca="1">IF(J3909,Charms!B3909,"")</f>
        <v>#N/A</v>
      </c>
      <c r="M3909" t="str">
        <f t="shared" ca="1" si="307"/>
        <v>-</v>
      </c>
      <c r="N3909" s="18" t="str">
        <f t="shared" si="308"/>
        <v>K1622:L5000</v>
      </c>
      <c r="O3909" t="str">
        <f t="shared" si="309"/>
        <v>A1622:A3909</v>
      </c>
    </row>
    <row r="3910" spans="1:15">
      <c r="A3910" s="18">
        <f>Charms!K3910</f>
        <v>0</v>
      </c>
      <c r="B3910">
        <f>Charms!B3910</f>
        <v>0</v>
      </c>
      <c r="C3910" t="b">
        <f ca="1">OR(Values!$S$98&gt;=Charms!M3910,IFERROR(Charms!J3910=OFFSET(Values!$A$24,MATCH("S",Values!$T$25:$T$50,0),0),FALSE))</f>
        <v>1</v>
      </c>
      <c r="D3910" t="e">
        <f>VLOOKUP(Charms!J3910,Values!$A$11:$S$59,19,0)&gt;=Charms!L3910</f>
        <v>#N/A</v>
      </c>
      <c r="E3910" t="e">
        <f>OR(ISBLANK(Charms!I3910),(VLOOKUP(Values!$S$6,Castes!$B$2:$F$25,4,0)=Charms!I3910))</f>
        <v>#N/A</v>
      </c>
      <c r="J3910" t="e">
        <f t="shared" ca="1" si="306"/>
        <v>#N/A</v>
      </c>
      <c r="K3910" s="18" t="e">
        <f t="shared" ca="1" si="305"/>
        <v>#N/A</v>
      </c>
      <c r="L3910" t="e">
        <f ca="1">IF(J3910,Charms!B3910,"")</f>
        <v>#N/A</v>
      </c>
      <c r="M3910" t="str">
        <f t="shared" ca="1" si="307"/>
        <v>-</v>
      </c>
      <c r="N3910" s="18" t="str">
        <f t="shared" si="308"/>
        <v>K1622:L5000</v>
      </c>
      <c r="O3910" t="str">
        <f t="shared" si="309"/>
        <v>A1622:A3910</v>
      </c>
    </row>
    <row r="3911" spans="1:15">
      <c r="A3911" s="18">
        <f>Charms!K3911</f>
        <v>0</v>
      </c>
      <c r="B3911">
        <f>Charms!B3911</f>
        <v>0</v>
      </c>
      <c r="C3911" t="b">
        <f ca="1">OR(Values!$S$98&gt;=Charms!M3911,IFERROR(Charms!J3911=OFFSET(Values!$A$24,MATCH("S",Values!$T$25:$T$50,0),0),FALSE))</f>
        <v>1</v>
      </c>
      <c r="D3911" t="e">
        <f>VLOOKUP(Charms!J3911,Values!$A$11:$S$59,19,0)&gt;=Charms!L3911</f>
        <v>#N/A</v>
      </c>
      <c r="E3911" t="e">
        <f>OR(ISBLANK(Charms!I3911),(VLOOKUP(Values!$S$6,Castes!$B$2:$F$25,4,0)=Charms!I3911))</f>
        <v>#N/A</v>
      </c>
      <c r="J3911" t="e">
        <f t="shared" ca="1" si="306"/>
        <v>#N/A</v>
      </c>
      <c r="K3911" s="18" t="e">
        <f t="shared" ca="1" si="305"/>
        <v>#N/A</v>
      </c>
      <c r="L3911" t="e">
        <f ca="1">IF(J3911,Charms!B3911,"")</f>
        <v>#N/A</v>
      </c>
      <c r="M3911" t="str">
        <f t="shared" ca="1" si="307"/>
        <v>-</v>
      </c>
      <c r="N3911" s="18" t="str">
        <f t="shared" si="308"/>
        <v>K1622:L5000</v>
      </c>
      <c r="O3911" t="str">
        <f t="shared" si="309"/>
        <v>A1622:A3911</v>
      </c>
    </row>
    <row r="3912" spans="1:15">
      <c r="A3912" s="18">
        <f>Charms!K3912</f>
        <v>0</v>
      </c>
      <c r="B3912">
        <f>Charms!B3912</f>
        <v>0</v>
      </c>
      <c r="C3912" t="b">
        <f ca="1">OR(Values!$S$98&gt;=Charms!M3912,IFERROR(Charms!J3912=OFFSET(Values!$A$24,MATCH("S",Values!$T$25:$T$50,0),0),FALSE))</f>
        <v>1</v>
      </c>
      <c r="D3912" t="e">
        <f>VLOOKUP(Charms!J3912,Values!$A$11:$S$59,19,0)&gt;=Charms!L3912</f>
        <v>#N/A</v>
      </c>
      <c r="E3912" t="e">
        <f>OR(ISBLANK(Charms!I3912),(VLOOKUP(Values!$S$6,Castes!$B$2:$F$25,4,0)=Charms!I3912))</f>
        <v>#N/A</v>
      </c>
      <c r="J3912" t="e">
        <f t="shared" ca="1" si="306"/>
        <v>#N/A</v>
      </c>
      <c r="K3912" s="18" t="e">
        <f t="shared" ca="1" si="305"/>
        <v>#N/A</v>
      </c>
      <c r="L3912" t="e">
        <f ca="1">IF(J3912,Charms!B3912,"")</f>
        <v>#N/A</v>
      </c>
      <c r="M3912" t="str">
        <f t="shared" ca="1" si="307"/>
        <v>-</v>
      </c>
      <c r="N3912" s="18" t="str">
        <f t="shared" si="308"/>
        <v>K1622:L5000</v>
      </c>
      <c r="O3912" t="str">
        <f t="shared" si="309"/>
        <v>A1622:A3912</v>
      </c>
    </row>
    <row r="3913" spans="1:15">
      <c r="A3913" s="18">
        <f>Charms!K3913</f>
        <v>0</v>
      </c>
      <c r="B3913">
        <f>Charms!B3913</f>
        <v>0</v>
      </c>
      <c r="C3913" t="b">
        <f ca="1">OR(Values!$S$98&gt;=Charms!M3913,IFERROR(Charms!J3913=OFFSET(Values!$A$24,MATCH("S",Values!$T$25:$T$50,0),0),FALSE))</f>
        <v>1</v>
      </c>
      <c r="D3913" t="e">
        <f>VLOOKUP(Charms!J3913,Values!$A$11:$S$59,19,0)&gt;=Charms!L3913</f>
        <v>#N/A</v>
      </c>
      <c r="E3913" t="e">
        <f>OR(ISBLANK(Charms!I3913),(VLOOKUP(Values!$S$6,Castes!$B$2:$F$25,4,0)=Charms!I3913))</f>
        <v>#N/A</v>
      </c>
      <c r="J3913" t="e">
        <f t="shared" ca="1" si="306"/>
        <v>#N/A</v>
      </c>
      <c r="K3913" s="18" t="e">
        <f t="shared" ca="1" si="305"/>
        <v>#N/A</v>
      </c>
      <c r="L3913" t="e">
        <f ca="1">IF(J3913,Charms!B3913,"")</f>
        <v>#N/A</v>
      </c>
      <c r="M3913" t="str">
        <f t="shared" ca="1" si="307"/>
        <v>-</v>
      </c>
      <c r="N3913" s="18" t="str">
        <f t="shared" si="308"/>
        <v>K1622:L5000</v>
      </c>
      <c r="O3913" t="str">
        <f t="shared" si="309"/>
        <v>A1622:A3913</v>
      </c>
    </row>
    <row r="3914" spans="1:15">
      <c r="A3914" s="18">
        <f>Charms!K3914</f>
        <v>0</v>
      </c>
      <c r="B3914">
        <f>Charms!B3914</f>
        <v>0</v>
      </c>
      <c r="C3914" t="b">
        <f ca="1">OR(Values!$S$98&gt;=Charms!M3914,IFERROR(Charms!J3914=OFFSET(Values!$A$24,MATCH("S",Values!$T$25:$T$50,0),0),FALSE))</f>
        <v>1</v>
      </c>
      <c r="D3914" t="e">
        <f>VLOOKUP(Charms!J3914,Values!$A$11:$S$59,19,0)&gt;=Charms!L3914</f>
        <v>#N/A</v>
      </c>
      <c r="E3914" t="e">
        <f>OR(ISBLANK(Charms!I3914),(VLOOKUP(Values!$S$6,Castes!$B$2:$F$25,4,0)=Charms!I3914))</f>
        <v>#N/A</v>
      </c>
      <c r="J3914" t="e">
        <f t="shared" ca="1" si="306"/>
        <v>#N/A</v>
      </c>
      <c r="K3914" s="18" t="e">
        <f t="shared" ca="1" si="305"/>
        <v>#N/A</v>
      </c>
      <c r="L3914" t="e">
        <f ca="1">IF(J3914,Charms!B3914,"")</f>
        <v>#N/A</v>
      </c>
      <c r="M3914" t="str">
        <f t="shared" ca="1" si="307"/>
        <v>-</v>
      </c>
      <c r="N3914" s="18" t="str">
        <f t="shared" si="308"/>
        <v>K1622:L5000</v>
      </c>
      <c r="O3914" t="str">
        <f t="shared" si="309"/>
        <v>A1622:A3914</v>
      </c>
    </row>
    <row r="3915" spans="1:15">
      <c r="A3915" s="18">
        <f>Charms!K3915</f>
        <v>0</v>
      </c>
      <c r="B3915">
        <f>Charms!B3915</f>
        <v>0</v>
      </c>
      <c r="C3915" t="b">
        <f ca="1">OR(Values!$S$98&gt;=Charms!M3915,IFERROR(Charms!J3915=OFFSET(Values!$A$24,MATCH("S",Values!$T$25:$T$50,0),0),FALSE))</f>
        <v>1</v>
      </c>
      <c r="D3915" t="e">
        <f>VLOOKUP(Charms!J3915,Values!$A$11:$S$59,19,0)&gt;=Charms!L3915</f>
        <v>#N/A</v>
      </c>
      <c r="E3915" t="e">
        <f>OR(ISBLANK(Charms!I3915),(VLOOKUP(Values!$S$6,Castes!$B$2:$F$25,4,0)=Charms!I3915))</f>
        <v>#N/A</v>
      </c>
      <c r="J3915" t="e">
        <f t="shared" ca="1" si="306"/>
        <v>#N/A</v>
      </c>
      <c r="K3915" s="18" t="e">
        <f t="shared" ca="1" si="305"/>
        <v>#N/A</v>
      </c>
      <c r="L3915" t="e">
        <f ca="1">IF(J3915,Charms!B3915,"")</f>
        <v>#N/A</v>
      </c>
      <c r="M3915" t="str">
        <f t="shared" ca="1" si="307"/>
        <v>-</v>
      </c>
      <c r="N3915" s="18" t="str">
        <f t="shared" si="308"/>
        <v>K1622:L5000</v>
      </c>
      <c r="O3915" t="str">
        <f t="shared" si="309"/>
        <v>A1622:A3915</v>
      </c>
    </row>
    <row r="3916" spans="1:15">
      <c r="A3916" s="18">
        <f>Charms!K3916</f>
        <v>0</v>
      </c>
      <c r="B3916">
        <f>Charms!B3916</f>
        <v>0</v>
      </c>
      <c r="C3916" t="b">
        <f ca="1">OR(Values!$S$98&gt;=Charms!M3916,IFERROR(Charms!J3916=OFFSET(Values!$A$24,MATCH("S",Values!$T$25:$T$50,0),0),FALSE))</f>
        <v>1</v>
      </c>
      <c r="D3916" t="e">
        <f>VLOOKUP(Charms!J3916,Values!$A$11:$S$59,19,0)&gt;=Charms!L3916</f>
        <v>#N/A</v>
      </c>
      <c r="E3916" t="e">
        <f>OR(ISBLANK(Charms!I3916),(VLOOKUP(Values!$S$6,Castes!$B$2:$F$25,4,0)=Charms!I3916))</f>
        <v>#N/A</v>
      </c>
      <c r="J3916" t="e">
        <f t="shared" ca="1" si="306"/>
        <v>#N/A</v>
      </c>
      <c r="K3916" s="18" t="e">
        <f t="shared" ca="1" si="305"/>
        <v>#N/A</v>
      </c>
      <c r="L3916" t="e">
        <f ca="1">IF(J3916,Charms!B3916,"")</f>
        <v>#N/A</v>
      </c>
      <c r="M3916" t="str">
        <f t="shared" ca="1" si="307"/>
        <v>-</v>
      </c>
      <c r="N3916" s="18" t="str">
        <f t="shared" si="308"/>
        <v>K1622:L5000</v>
      </c>
      <c r="O3916" t="str">
        <f t="shared" si="309"/>
        <v>A1622:A3916</v>
      </c>
    </row>
    <row r="3917" spans="1:15">
      <c r="A3917" s="18">
        <f>Charms!K3917</f>
        <v>0</v>
      </c>
      <c r="B3917">
        <f>Charms!B3917</f>
        <v>0</v>
      </c>
      <c r="C3917" t="b">
        <f ca="1">OR(Values!$S$98&gt;=Charms!M3917,IFERROR(Charms!J3917=OFFSET(Values!$A$24,MATCH("S",Values!$T$25:$T$50,0),0),FALSE))</f>
        <v>1</v>
      </c>
      <c r="D3917" t="e">
        <f>VLOOKUP(Charms!J3917,Values!$A$11:$S$59,19,0)&gt;=Charms!L3917</f>
        <v>#N/A</v>
      </c>
      <c r="E3917" t="e">
        <f>OR(ISBLANK(Charms!I3917),(VLOOKUP(Values!$S$6,Castes!$B$2:$F$25,4,0)=Charms!I3917))</f>
        <v>#N/A</v>
      </c>
      <c r="J3917" t="e">
        <f t="shared" ca="1" si="306"/>
        <v>#N/A</v>
      </c>
      <c r="K3917" s="18" t="e">
        <f t="shared" ca="1" si="305"/>
        <v>#N/A</v>
      </c>
      <c r="L3917" t="e">
        <f ca="1">IF(J3917,Charms!B3917,"")</f>
        <v>#N/A</v>
      </c>
      <c r="M3917" t="str">
        <f t="shared" ca="1" si="307"/>
        <v>-</v>
      </c>
      <c r="N3917" s="18" t="str">
        <f t="shared" si="308"/>
        <v>K1622:L5000</v>
      </c>
      <c r="O3917" t="str">
        <f t="shared" si="309"/>
        <v>A1622:A3917</v>
      </c>
    </row>
    <row r="3918" spans="1:15">
      <c r="A3918" s="18">
        <f>Charms!K3918</f>
        <v>0</v>
      </c>
      <c r="B3918">
        <f>Charms!B3918</f>
        <v>0</v>
      </c>
      <c r="C3918" t="b">
        <f ca="1">OR(Values!$S$98&gt;=Charms!M3918,IFERROR(Charms!J3918=OFFSET(Values!$A$24,MATCH("S",Values!$T$25:$T$50,0),0),FALSE))</f>
        <v>1</v>
      </c>
      <c r="D3918" t="e">
        <f>VLOOKUP(Charms!J3918,Values!$A$11:$S$59,19,0)&gt;=Charms!L3918</f>
        <v>#N/A</v>
      </c>
      <c r="E3918" t="e">
        <f>OR(ISBLANK(Charms!I3918),(VLOOKUP(Values!$S$6,Castes!$B$2:$F$25,4,0)=Charms!I3918))</f>
        <v>#N/A</v>
      </c>
      <c r="J3918" t="e">
        <f t="shared" ca="1" si="306"/>
        <v>#N/A</v>
      </c>
      <c r="K3918" s="18" t="e">
        <f t="shared" ca="1" si="305"/>
        <v>#N/A</v>
      </c>
      <c r="L3918" t="e">
        <f ca="1">IF(J3918,Charms!B3918,"")</f>
        <v>#N/A</v>
      </c>
      <c r="M3918" t="str">
        <f t="shared" ca="1" si="307"/>
        <v>-</v>
      </c>
      <c r="N3918" s="18" t="str">
        <f t="shared" si="308"/>
        <v>K1622:L5000</v>
      </c>
      <c r="O3918" t="str">
        <f t="shared" si="309"/>
        <v>A1622:A3918</v>
      </c>
    </row>
    <row r="3919" spans="1:15">
      <c r="A3919" s="18">
        <f>Charms!K3919</f>
        <v>0</v>
      </c>
      <c r="B3919">
        <f>Charms!B3919</f>
        <v>0</v>
      </c>
      <c r="C3919" t="b">
        <f ca="1">OR(Values!$S$98&gt;=Charms!M3919,IFERROR(Charms!J3919=OFFSET(Values!$A$24,MATCH("S",Values!$T$25:$T$50,0),0),FALSE))</f>
        <v>1</v>
      </c>
      <c r="D3919" t="e">
        <f>VLOOKUP(Charms!J3919,Values!$A$11:$S$59,19,0)&gt;=Charms!L3919</f>
        <v>#N/A</v>
      </c>
      <c r="E3919" t="e">
        <f>OR(ISBLANK(Charms!I3919),(VLOOKUP(Values!$S$6,Castes!$B$2:$F$25,4,0)=Charms!I3919))</f>
        <v>#N/A</v>
      </c>
      <c r="J3919" t="e">
        <f t="shared" ca="1" si="306"/>
        <v>#N/A</v>
      </c>
      <c r="K3919" s="18" t="e">
        <f t="shared" ca="1" si="305"/>
        <v>#N/A</v>
      </c>
      <c r="L3919" t="e">
        <f ca="1">IF(J3919,Charms!B3919,"")</f>
        <v>#N/A</v>
      </c>
      <c r="M3919" t="str">
        <f t="shared" ca="1" si="307"/>
        <v>-</v>
      </c>
      <c r="N3919" s="18" t="str">
        <f t="shared" si="308"/>
        <v>K1622:L5000</v>
      </c>
      <c r="O3919" t="str">
        <f t="shared" si="309"/>
        <v>A1622:A3919</v>
      </c>
    </row>
    <row r="3920" spans="1:15">
      <c r="A3920" s="18">
        <f>Charms!K3920</f>
        <v>0</v>
      </c>
      <c r="B3920">
        <f>Charms!B3920</f>
        <v>0</v>
      </c>
      <c r="C3920" t="b">
        <f ca="1">OR(Values!$S$98&gt;=Charms!M3920,IFERROR(Charms!J3920=OFFSET(Values!$A$24,MATCH("S",Values!$T$25:$T$50,0),0),FALSE))</f>
        <v>1</v>
      </c>
      <c r="D3920" t="e">
        <f>VLOOKUP(Charms!J3920,Values!$A$11:$S$59,19,0)&gt;=Charms!L3920</f>
        <v>#N/A</v>
      </c>
      <c r="E3920" t="e">
        <f>OR(ISBLANK(Charms!I3920),(VLOOKUP(Values!$S$6,Castes!$B$2:$F$25,4,0)=Charms!I3920))</f>
        <v>#N/A</v>
      </c>
      <c r="J3920" t="e">
        <f t="shared" ca="1" si="306"/>
        <v>#N/A</v>
      </c>
      <c r="K3920" s="18" t="e">
        <f t="shared" ca="1" si="305"/>
        <v>#N/A</v>
      </c>
      <c r="L3920" t="e">
        <f ca="1">IF(J3920,Charms!B3920,"")</f>
        <v>#N/A</v>
      </c>
      <c r="M3920" t="str">
        <f t="shared" ca="1" si="307"/>
        <v>-</v>
      </c>
      <c r="N3920" s="18" t="str">
        <f t="shared" si="308"/>
        <v>K1622:L5000</v>
      </c>
      <c r="O3920" t="str">
        <f t="shared" si="309"/>
        <v>A1622:A3920</v>
      </c>
    </row>
    <row r="3921" spans="1:15">
      <c r="A3921" s="18">
        <f>Charms!K3921</f>
        <v>0</v>
      </c>
      <c r="B3921">
        <f>Charms!B3921</f>
        <v>0</v>
      </c>
      <c r="C3921" t="b">
        <f ca="1">OR(Values!$S$98&gt;=Charms!M3921,IFERROR(Charms!J3921=OFFSET(Values!$A$24,MATCH("S",Values!$T$25:$T$50,0),0),FALSE))</f>
        <v>1</v>
      </c>
      <c r="D3921" t="e">
        <f>VLOOKUP(Charms!J3921,Values!$A$11:$S$59,19,0)&gt;=Charms!L3921</f>
        <v>#N/A</v>
      </c>
      <c r="E3921" t="e">
        <f>OR(ISBLANK(Charms!I3921),(VLOOKUP(Values!$S$6,Castes!$B$2:$F$25,4,0)=Charms!I3921))</f>
        <v>#N/A</v>
      </c>
      <c r="J3921" t="e">
        <f t="shared" ca="1" si="306"/>
        <v>#N/A</v>
      </c>
      <c r="K3921" s="18" t="e">
        <f t="shared" ca="1" si="305"/>
        <v>#N/A</v>
      </c>
      <c r="L3921" t="e">
        <f ca="1">IF(J3921,Charms!B3921,"")</f>
        <v>#N/A</v>
      </c>
      <c r="M3921" t="str">
        <f t="shared" ca="1" si="307"/>
        <v>-</v>
      </c>
      <c r="N3921" s="18" t="str">
        <f t="shared" si="308"/>
        <v>K1622:L5000</v>
      </c>
      <c r="O3921" t="str">
        <f t="shared" si="309"/>
        <v>A1622:A3921</v>
      </c>
    </row>
    <row r="3922" spans="1:15">
      <c r="A3922" s="18">
        <f>Charms!K3922</f>
        <v>0</v>
      </c>
      <c r="B3922">
        <f>Charms!B3922</f>
        <v>0</v>
      </c>
      <c r="C3922" t="b">
        <f ca="1">OR(Values!$S$98&gt;=Charms!M3922,IFERROR(Charms!J3922=OFFSET(Values!$A$24,MATCH("S",Values!$T$25:$T$50,0),0),FALSE))</f>
        <v>1</v>
      </c>
      <c r="D3922" t="e">
        <f>VLOOKUP(Charms!J3922,Values!$A$11:$S$59,19,0)&gt;=Charms!L3922</f>
        <v>#N/A</v>
      </c>
      <c r="E3922" t="e">
        <f>OR(ISBLANK(Charms!I3922),(VLOOKUP(Values!$S$6,Castes!$B$2:$F$25,4,0)=Charms!I3922))</f>
        <v>#N/A</v>
      </c>
      <c r="J3922" t="e">
        <f t="shared" ca="1" si="306"/>
        <v>#N/A</v>
      </c>
      <c r="K3922" s="18" t="e">
        <f t="shared" ca="1" si="305"/>
        <v>#N/A</v>
      </c>
      <c r="L3922" t="e">
        <f ca="1">IF(J3922,Charms!B3922,"")</f>
        <v>#N/A</v>
      </c>
      <c r="M3922" t="str">
        <f t="shared" ca="1" si="307"/>
        <v>-</v>
      </c>
      <c r="N3922" s="18" t="str">
        <f t="shared" si="308"/>
        <v>K1622:L5000</v>
      </c>
      <c r="O3922" t="str">
        <f t="shared" si="309"/>
        <v>A1622:A3922</v>
      </c>
    </row>
    <row r="3923" spans="1:15">
      <c r="A3923" s="18">
        <f>Charms!K3923</f>
        <v>0</v>
      </c>
      <c r="B3923">
        <f>Charms!B3923</f>
        <v>0</v>
      </c>
      <c r="C3923" t="b">
        <f ca="1">OR(Values!$S$98&gt;=Charms!M3923,IFERROR(Charms!J3923=OFFSET(Values!$A$24,MATCH("S",Values!$T$25:$T$50,0),0),FALSE))</f>
        <v>1</v>
      </c>
      <c r="D3923" t="e">
        <f>VLOOKUP(Charms!J3923,Values!$A$11:$S$59,19,0)&gt;=Charms!L3923</f>
        <v>#N/A</v>
      </c>
      <c r="E3923" t="e">
        <f>OR(ISBLANK(Charms!I3923),(VLOOKUP(Values!$S$6,Castes!$B$2:$F$25,4,0)=Charms!I3923))</f>
        <v>#N/A</v>
      </c>
      <c r="J3923" t="e">
        <f t="shared" ca="1" si="306"/>
        <v>#N/A</v>
      </c>
      <c r="K3923" s="18" t="e">
        <f t="shared" ca="1" si="305"/>
        <v>#N/A</v>
      </c>
      <c r="L3923" t="e">
        <f ca="1">IF(J3923,Charms!B3923,"")</f>
        <v>#N/A</v>
      </c>
      <c r="M3923" t="str">
        <f t="shared" ca="1" si="307"/>
        <v>-</v>
      </c>
      <c r="N3923" s="18" t="str">
        <f t="shared" si="308"/>
        <v>K1622:L5000</v>
      </c>
      <c r="O3923" t="str">
        <f t="shared" si="309"/>
        <v>A1622:A3923</v>
      </c>
    </row>
    <row r="3924" spans="1:15">
      <c r="A3924" s="18">
        <f>Charms!K3924</f>
        <v>0</v>
      </c>
      <c r="B3924">
        <f>Charms!B3924</f>
        <v>0</v>
      </c>
      <c r="C3924" t="b">
        <f ca="1">OR(Values!$S$98&gt;=Charms!M3924,IFERROR(Charms!J3924=OFFSET(Values!$A$24,MATCH("S",Values!$T$25:$T$50,0),0),FALSE))</f>
        <v>1</v>
      </c>
      <c r="D3924" t="e">
        <f>VLOOKUP(Charms!J3924,Values!$A$11:$S$59,19,0)&gt;=Charms!L3924</f>
        <v>#N/A</v>
      </c>
      <c r="E3924" t="e">
        <f>OR(ISBLANK(Charms!I3924),(VLOOKUP(Values!$S$6,Castes!$B$2:$F$25,4,0)=Charms!I3924))</f>
        <v>#N/A</v>
      </c>
      <c r="J3924" t="e">
        <f t="shared" ca="1" si="306"/>
        <v>#N/A</v>
      </c>
      <c r="K3924" s="18" t="e">
        <f t="shared" ca="1" si="305"/>
        <v>#N/A</v>
      </c>
      <c r="L3924" t="e">
        <f ca="1">IF(J3924,Charms!B3924,"")</f>
        <v>#N/A</v>
      </c>
      <c r="M3924" t="str">
        <f t="shared" ca="1" si="307"/>
        <v>-</v>
      </c>
      <c r="N3924" s="18" t="str">
        <f t="shared" si="308"/>
        <v>K1622:L5000</v>
      </c>
      <c r="O3924" t="str">
        <f t="shared" si="309"/>
        <v>A1622:A3924</v>
      </c>
    </row>
    <row r="3925" spans="1:15">
      <c r="A3925" s="18">
        <f>Charms!K3925</f>
        <v>0</v>
      </c>
      <c r="B3925">
        <f>Charms!B3925</f>
        <v>0</v>
      </c>
      <c r="C3925" t="b">
        <f ca="1">OR(Values!$S$98&gt;=Charms!M3925,IFERROR(Charms!J3925=OFFSET(Values!$A$24,MATCH("S",Values!$T$25:$T$50,0),0),FALSE))</f>
        <v>1</v>
      </c>
      <c r="D3925" t="e">
        <f>VLOOKUP(Charms!J3925,Values!$A$11:$S$59,19,0)&gt;=Charms!L3925</f>
        <v>#N/A</v>
      </c>
      <c r="E3925" t="e">
        <f>OR(ISBLANK(Charms!I3925),(VLOOKUP(Values!$S$6,Castes!$B$2:$F$25,4,0)=Charms!I3925))</f>
        <v>#N/A</v>
      </c>
      <c r="J3925" t="e">
        <f t="shared" ca="1" si="306"/>
        <v>#N/A</v>
      </c>
      <c r="K3925" s="18" t="e">
        <f t="shared" ca="1" si="305"/>
        <v>#N/A</v>
      </c>
      <c r="L3925" t="e">
        <f ca="1">IF(J3925,Charms!B3925,"")</f>
        <v>#N/A</v>
      </c>
      <c r="M3925" t="str">
        <f t="shared" ca="1" si="307"/>
        <v>-</v>
      </c>
      <c r="N3925" s="18" t="str">
        <f t="shared" si="308"/>
        <v>K1622:L5000</v>
      </c>
      <c r="O3925" t="str">
        <f t="shared" si="309"/>
        <v>A1622:A3925</v>
      </c>
    </row>
    <row r="3926" spans="1:15">
      <c r="A3926" s="18">
        <f>Charms!K3926</f>
        <v>0</v>
      </c>
      <c r="B3926">
        <f>Charms!B3926</f>
        <v>0</v>
      </c>
      <c r="C3926" t="b">
        <f ca="1">OR(Values!$S$98&gt;=Charms!M3926,IFERROR(Charms!J3926=OFFSET(Values!$A$24,MATCH("S",Values!$T$25:$T$50,0),0),FALSE))</f>
        <v>1</v>
      </c>
      <c r="D3926" t="e">
        <f>VLOOKUP(Charms!J3926,Values!$A$11:$S$59,19,0)&gt;=Charms!L3926</f>
        <v>#N/A</v>
      </c>
      <c r="E3926" t="e">
        <f>OR(ISBLANK(Charms!I3926),(VLOOKUP(Values!$S$6,Castes!$B$2:$F$25,4,0)=Charms!I3926))</f>
        <v>#N/A</v>
      </c>
      <c r="J3926" t="e">
        <f t="shared" ca="1" si="306"/>
        <v>#N/A</v>
      </c>
      <c r="K3926" s="18" t="e">
        <f t="shared" ca="1" si="305"/>
        <v>#N/A</v>
      </c>
      <c r="L3926" t="e">
        <f ca="1">IF(J3926,Charms!B3926,"")</f>
        <v>#N/A</v>
      </c>
      <c r="M3926" t="str">
        <f t="shared" ca="1" si="307"/>
        <v>-</v>
      </c>
      <c r="N3926" s="18" t="str">
        <f t="shared" si="308"/>
        <v>K1622:L5000</v>
      </c>
      <c r="O3926" t="str">
        <f t="shared" si="309"/>
        <v>A1622:A3926</v>
      </c>
    </row>
    <row r="3927" spans="1:15">
      <c r="A3927" s="18">
        <f>Charms!K3927</f>
        <v>0</v>
      </c>
      <c r="B3927">
        <f>Charms!B3927</f>
        <v>0</v>
      </c>
      <c r="C3927" t="b">
        <f ca="1">OR(Values!$S$98&gt;=Charms!M3927,IFERROR(Charms!J3927=OFFSET(Values!$A$24,MATCH("S",Values!$T$25:$T$50,0),0),FALSE))</f>
        <v>1</v>
      </c>
      <c r="D3927" t="e">
        <f>VLOOKUP(Charms!J3927,Values!$A$11:$S$59,19,0)&gt;=Charms!L3927</f>
        <v>#N/A</v>
      </c>
      <c r="E3927" t="e">
        <f>OR(ISBLANK(Charms!I3927),(VLOOKUP(Values!$S$6,Castes!$B$2:$F$25,4,0)=Charms!I3927))</f>
        <v>#N/A</v>
      </c>
      <c r="J3927" t="e">
        <f t="shared" ca="1" si="306"/>
        <v>#N/A</v>
      </c>
      <c r="K3927" s="18" t="e">
        <f t="shared" ca="1" si="305"/>
        <v>#N/A</v>
      </c>
      <c r="L3927" t="e">
        <f ca="1">IF(J3927,Charms!B3927,"")</f>
        <v>#N/A</v>
      </c>
      <c r="M3927" t="str">
        <f t="shared" ca="1" si="307"/>
        <v>-</v>
      </c>
      <c r="N3927" s="18" t="str">
        <f t="shared" si="308"/>
        <v>K1622:L5000</v>
      </c>
      <c r="O3927" t="str">
        <f t="shared" si="309"/>
        <v>A1622:A3927</v>
      </c>
    </row>
    <row r="3928" spans="1:15">
      <c r="A3928" s="18">
        <f>Charms!K3928</f>
        <v>0</v>
      </c>
      <c r="B3928">
        <f>Charms!B3928</f>
        <v>0</v>
      </c>
      <c r="C3928" t="b">
        <f ca="1">OR(Values!$S$98&gt;=Charms!M3928,IFERROR(Charms!J3928=OFFSET(Values!$A$24,MATCH("S",Values!$T$25:$T$50,0),0),FALSE))</f>
        <v>1</v>
      </c>
      <c r="D3928" t="e">
        <f>VLOOKUP(Charms!J3928,Values!$A$11:$S$59,19,0)&gt;=Charms!L3928</f>
        <v>#N/A</v>
      </c>
      <c r="E3928" t="e">
        <f>OR(ISBLANK(Charms!I3928),(VLOOKUP(Values!$S$6,Castes!$B$2:$F$25,4,0)=Charms!I3928))</f>
        <v>#N/A</v>
      </c>
      <c r="J3928" t="e">
        <f t="shared" ca="1" si="306"/>
        <v>#N/A</v>
      </c>
      <c r="K3928" s="18" t="e">
        <f t="shared" ca="1" si="305"/>
        <v>#N/A</v>
      </c>
      <c r="L3928" t="e">
        <f ca="1">IF(J3928,Charms!B3928,"")</f>
        <v>#N/A</v>
      </c>
      <c r="M3928" t="str">
        <f t="shared" ca="1" si="307"/>
        <v>-</v>
      </c>
      <c r="N3928" s="18" t="str">
        <f t="shared" si="308"/>
        <v>K1622:L5000</v>
      </c>
      <c r="O3928" t="str">
        <f t="shared" si="309"/>
        <v>A1622:A3928</v>
      </c>
    </row>
    <row r="3929" spans="1:15">
      <c r="A3929" s="18">
        <f>Charms!K3929</f>
        <v>0</v>
      </c>
      <c r="B3929">
        <f>Charms!B3929</f>
        <v>0</v>
      </c>
      <c r="C3929" t="b">
        <f ca="1">OR(Values!$S$98&gt;=Charms!M3929,IFERROR(Charms!J3929=OFFSET(Values!$A$24,MATCH("S",Values!$T$25:$T$50,0),0),FALSE))</f>
        <v>1</v>
      </c>
      <c r="D3929" t="e">
        <f>VLOOKUP(Charms!J3929,Values!$A$11:$S$59,19,0)&gt;=Charms!L3929</f>
        <v>#N/A</v>
      </c>
      <c r="E3929" t="e">
        <f>OR(ISBLANK(Charms!I3929),(VLOOKUP(Values!$S$6,Castes!$B$2:$F$25,4,0)=Charms!I3929))</f>
        <v>#N/A</v>
      </c>
      <c r="J3929" t="e">
        <f t="shared" ca="1" si="306"/>
        <v>#N/A</v>
      </c>
      <c r="K3929" s="18" t="e">
        <f t="shared" ca="1" si="305"/>
        <v>#N/A</v>
      </c>
      <c r="L3929" t="e">
        <f ca="1">IF(J3929,Charms!B3929,"")</f>
        <v>#N/A</v>
      </c>
      <c r="M3929" t="str">
        <f t="shared" ca="1" si="307"/>
        <v>-</v>
      </c>
      <c r="N3929" s="18" t="str">
        <f t="shared" si="308"/>
        <v>K1622:L5000</v>
      </c>
      <c r="O3929" t="str">
        <f t="shared" si="309"/>
        <v>A1622:A3929</v>
      </c>
    </row>
    <row r="3930" spans="1:15">
      <c r="A3930" s="18">
        <f>Charms!K3930</f>
        <v>0</v>
      </c>
      <c r="B3930">
        <f>Charms!B3930</f>
        <v>0</v>
      </c>
      <c r="C3930" t="b">
        <f ca="1">OR(Values!$S$98&gt;=Charms!M3930,IFERROR(Charms!J3930=OFFSET(Values!$A$24,MATCH("S",Values!$T$25:$T$50,0),0),FALSE))</f>
        <v>1</v>
      </c>
      <c r="D3930" t="e">
        <f>VLOOKUP(Charms!J3930,Values!$A$11:$S$59,19,0)&gt;=Charms!L3930</f>
        <v>#N/A</v>
      </c>
      <c r="E3930" t="e">
        <f>OR(ISBLANK(Charms!I3930),(VLOOKUP(Values!$S$6,Castes!$B$2:$F$25,4,0)=Charms!I3930))</f>
        <v>#N/A</v>
      </c>
      <c r="J3930" t="e">
        <f t="shared" ca="1" si="306"/>
        <v>#N/A</v>
      </c>
      <c r="K3930" s="18" t="e">
        <f t="shared" ca="1" si="305"/>
        <v>#N/A</v>
      </c>
      <c r="L3930" t="e">
        <f ca="1">IF(J3930,Charms!B3930,"")</f>
        <v>#N/A</v>
      </c>
      <c r="M3930" t="str">
        <f t="shared" ca="1" si="307"/>
        <v>-</v>
      </c>
      <c r="N3930" s="18" t="str">
        <f t="shared" si="308"/>
        <v>K1622:L5000</v>
      </c>
      <c r="O3930" t="str">
        <f t="shared" si="309"/>
        <v>A1622:A3930</v>
      </c>
    </row>
    <row r="3931" spans="1:15">
      <c r="A3931" s="18">
        <f>Charms!K3931</f>
        <v>0</v>
      </c>
      <c r="B3931">
        <f>Charms!B3931</f>
        <v>0</v>
      </c>
      <c r="C3931" t="b">
        <f ca="1">OR(Values!$S$98&gt;=Charms!M3931,IFERROR(Charms!J3931=OFFSET(Values!$A$24,MATCH("S",Values!$T$25:$T$50,0),0),FALSE))</f>
        <v>1</v>
      </c>
      <c r="D3931" t="e">
        <f>VLOOKUP(Charms!J3931,Values!$A$11:$S$59,19,0)&gt;=Charms!L3931</f>
        <v>#N/A</v>
      </c>
      <c r="E3931" t="e">
        <f>OR(ISBLANK(Charms!I3931),(VLOOKUP(Values!$S$6,Castes!$B$2:$F$25,4,0)=Charms!I3931))</f>
        <v>#N/A</v>
      </c>
      <c r="J3931" t="e">
        <f t="shared" ca="1" si="306"/>
        <v>#N/A</v>
      </c>
      <c r="K3931" s="18" t="e">
        <f t="shared" ca="1" si="305"/>
        <v>#N/A</v>
      </c>
      <c r="L3931" t="e">
        <f ca="1">IF(J3931,Charms!B3931,"")</f>
        <v>#N/A</v>
      </c>
      <c r="M3931" t="str">
        <f t="shared" ca="1" si="307"/>
        <v>-</v>
      </c>
      <c r="N3931" s="18" t="str">
        <f t="shared" si="308"/>
        <v>K1622:L5000</v>
      </c>
      <c r="O3931" t="str">
        <f t="shared" si="309"/>
        <v>A1622:A3931</v>
      </c>
    </row>
    <row r="3932" spans="1:15">
      <c r="A3932" s="18">
        <f>Charms!K3932</f>
        <v>0</v>
      </c>
      <c r="B3932">
        <f>Charms!B3932</f>
        <v>0</v>
      </c>
      <c r="C3932" t="b">
        <f ca="1">OR(Values!$S$98&gt;=Charms!M3932,IFERROR(Charms!J3932=OFFSET(Values!$A$24,MATCH("S",Values!$T$25:$T$50,0),0),FALSE))</f>
        <v>1</v>
      </c>
      <c r="D3932" t="e">
        <f>VLOOKUP(Charms!J3932,Values!$A$11:$S$59,19,0)&gt;=Charms!L3932</f>
        <v>#N/A</v>
      </c>
      <c r="E3932" t="e">
        <f>OR(ISBLANK(Charms!I3932),(VLOOKUP(Values!$S$6,Castes!$B$2:$F$25,4,0)=Charms!I3932))</f>
        <v>#N/A</v>
      </c>
      <c r="J3932" t="e">
        <f t="shared" ca="1" si="306"/>
        <v>#N/A</v>
      </c>
      <c r="K3932" s="18" t="e">
        <f t="shared" ca="1" si="305"/>
        <v>#N/A</v>
      </c>
      <c r="L3932" t="e">
        <f ca="1">IF(J3932,Charms!B3932,"")</f>
        <v>#N/A</v>
      </c>
      <c r="M3932" t="str">
        <f t="shared" ca="1" si="307"/>
        <v>-</v>
      </c>
      <c r="N3932" s="18" t="str">
        <f t="shared" si="308"/>
        <v>K1622:L5000</v>
      </c>
      <c r="O3932" t="str">
        <f t="shared" si="309"/>
        <v>A1622:A3932</v>
      </c>
    </row>
    <row r="3933" spans="1:15">
      <c r="A3933" s="18">
        <f>Charms!K3933</f>
        <v>0</v>
      </c>
      <c r="B3933">
        <f>Charms!B3933</f>
        <v>0</v>
      </c>
      <c r="C3933" t="b">
        <f ca="1">OR(Values!$S$98&gt;=Charms!M3933,IFERROR(Charms!J3933=OFFSET(Values!$A$24,MATCH("S",Values!$T$25:$T$50,0),0),FALSE))</f>
        <v>1</v>
      </c>
      <c r="D3933" t="e">
        <f>VLOOKUP(Charms!J3933,Values!$A$11:$S$59,19,0)&gt;=Charms!L3933</f>
        <v>#N/A</v>
      </c>
      <c r="E3933" t="e">
        <f>OR(ISBLANK(Charms!I3933),(VLOOKUP(Values!$S$6,Castes!$B$2:$F$25,4,0)=Charms!I3933))</f>
        <v>#N/A</v>
      </c>
      <c r="J3933" t="e">
        <f t="shared" ca="1" si="306"/>
        <v>#N/A</v>
      </c>
      <c r="K3933" s="18" t="e">
        <f t="shared" ca="1" si="305"/>
        <v>#N/A</v>
      </c>
      <c r="L3933" t="e">
        <f ca="1">IF(J3933,Charms!B3933,"")</f>
        <v>#N/A</v>
      </c>
      <c r="M3933" t="str">
        <f t="shared" ca="1" si="307"/>
        <v>-</v>
      </c>
      <c r="N3933" s="18" t="str">
        <f t="shared" si="308"/>
        <v>K1622:L5000</v>
      </c>
      <c r="O3933" t="str">
        <f t="shared" si="309"/>
        <v>A1622:A3933</v>
      </c>
    </row>
    <row r="3934" spans="1:15">
      <c r="A3934" s="18">
        <f>Charms!K3934</f>
        <v>0</v>
      </c>
      <c r="B3934">
        <f>Charms!B3934</f>
        <v>0</v>
      </c>
      <c r="C3934" t="b">
        <f ca="1">OR(Values!$S$98&gt;=Charms!M3934,IFERROR(Charms!J3934=OFFSET(Values!$A$24,MATCH("S",Values!$T$25:$T$50,0),0),FALSE))</f>
        <v>1</v>
      </c>
      <c r="D3934" t="e">
        <f>VLOOKUP(Charms!J3934,Values!$A$11:$S$59,19,0)&gt;=Charms!L3934</f>
        <v>#N/A</v>
      </c>
      <c r="E3934" t="e">
        <f>OR(ISBLANK(Charms!I3934),(VLOOKUP(Values!$S$6,Castes!$B$2:$F$25,4,0)=Charms!I3934))</f>
        <v>#N/A</v>
      </c>
      <c r="J3934" t="e">
        <f t="shared" ca="1" si="306"/>
        <v>#N/A</v>
      </c>
      <c r="K3934" s="18" t="e">
        <f t="shared" ca="1" si="305"/>
        <v>#N/A</v>
      </c>
      <c r="L3934" t="e">
        <f ca="1">IF(J3934,Charms!B3934,"")</f>
        <v>#N/A</v>
      </c>
      <c r="M3934" t="str">
        <f t="shared" ca="1" si="307"/>
        <v>-</v>
      </c>
      <c r="N3934" s="18" t="str">
        <f t="shared" si="308"/>
        <v>K1622:L5000</v>
      </c>
      <c r="O3934" t="str">
        <f t="shared" si="309"/>
        <v>A1622:A3934</v>
      </c>
    </row>
    <row r="3935" spans="1:15">
      <c r="A3935" s="18">
        <f>Charms!K3935</f>
        <v>0</v>
      </c>
      <c r="B3935">
        <f>Charms!B3935</f>
        <v>0</v>
      </c>
      <c r="C3935" t="b">
        <f ca="1">OR(Values!$S$98&gt;=Charms!M3935,IFERROR(Charms!J3935=OFFSET(Values!$A$24,MATCH("S",Values!$T$25:$T$50,0),0),FALSE))</f>
        <v>1</v>
      </c>
      <c r="D3935" t="e">
        <f>VLOOKUP(Charms!J3935,Values!$A$11:$S$59,19,0)&gt;=Charms!L3935</f>
        <v>#N/A</v>
      </c>
      <c r="E3935" t="e">
        <f>OR(ISBLANK(Charms!I3935),(VLOOKUP(Values!$S$6,Castes!$B$2:$F$25,4,0)=Charms!I3935))</f>
        <v>#N/A</v>
      </c>
      <c r="J3935" t="e">
        <f t="shared" ca="1" si="306"/>
        <v>#N/A</v>
      </c>
      <c r="K3935" s="18" t="e">
        <f t="shared" ca="1" si="305"/>
        <v>#N/A</v>
      </c>
      <c r="L3935" t="e">
        <f ca="1">IF(J3935,Charms!B3935,"")</f>
        <v>#N/A</v>
      </c>
      <c r="M3935" t="str">
        <f t="shared" ca="1" si="307"/>
        <v>-</v>
      </c>
      <c r="N3935" s="18" t="str">
        <f t="shared" si="308"/>
        <v>K1622:L5000</v>
      </c>
      <c r="O3935" t="str">
        <f t="shared" si="309"/>
        <v>A1622:A3935</v>
      </c>
    </row>
    <row r="3936" spans="1:15">
      <c r="A3936" s="18">
        <f>Charms!K3936</f>
        <v>0</v>
      </c>
      <c r="B3936">
        <f>Charms!B3936</f>
        <v>0</v>
      </c>
      <c r="C3936" t="b">
        <f ca="1">OR(Values!$S$98&gt;=Charms!M3936,IFERROR(Charms!J3936=OFFSET(Values!$A$24,MATCH("S",Values!$T$25:$T$50,0),0),FALSE))</f>
        <v>1</v>
      </c>
      <c r="D3936" t="e">
        <f>VLOOKUP(Charms!J3936,Values!$A$11:$S$59,19,0)&gt;=Charms!L3936</f>
        <v>#N/A</v>
      </c>
      <c r="E3936" t="e">
        <f>OR(ISBLANK(Charms!I3936),(VLOOKUP(Values!$S$6,Castes!$B$2:$F$25,4,0)=Charms!I3936))</f>
        <v>#N/A</v>
      </c>
      <c r="J3936" t="e">
        <f t="shared" ca="1" si="306"/>
        <v>#N/A</v>
      </c>
      <c r="K3936" s="18" t="e">
        <f t="shared" ca="1" si="305"/>
        <v>#N/A</v>
      </c>
      <c r="L3936" t="e">
        <f ca="1">IF(J3936,Charms!B3936,"")</f>
        <v>#N/A</v>
      </c>
      <c r="M3936" t="str">
        <f t="shared" ca="1" si="307"/>
        <v>-</v>
      </c>
      <c r="N3936" s="18" t="str">
        <f t="shared" si="308"/>
        <v>K1622:L5000</v>
      </c>
      <c r="O3936" t="str">
        <f t="shared" si="309"/>
        <v>A1622:A3936</v>
      </c>
    </row>
    <row r="3937" spans="1:15">
      <c r="A3937" s="18">
        <f>Charms!K3937</f>
        <v>0</v>
      </c>
      <c r="B3937">
        <f>Charms!B3937</f>
        <v>0</v>
      </c>
      <c r="C3937" t="b">
        <f ca="1">OR(Values!$S$98&gt;=Charms!M3937,IFERROR(Charms!J3937=OFFSET(Values!$A$24,MATCH("S",Values!$T$25:$T$50,0),0),FALSE))</f>
        <v>1</v>
      </c>
      <c r="D3937" t="e">
        <f>VLOOKUP(Charms!J3937,Values!$A$11:$S$59,19,0)&gt;=Charms!L3937</f>
        <v>#N/A</v>
      </c>
      <c r="E3937" t="e">
        <f>OR(ISBLANK(Charms!I3937),(VLOOKUP(Values!$S$6,Castes!$B$2:$F$25,4,0)=Charms!I3937))</f>
        <v>#N/A</v>
      </c>
      <c r="J3937" t="e">
        <f t="shared" ca="1" si="306"/>
        <v>#N/A</v>
      </c>
      <c r="K3937" s="18" t="e">
        <f t="shared" ca="1" si="305"/>
        <v>#N/A</v>
      </c>
      <c r="L3937" t="e">
        <f ca="1">IF(J3937,Charms!B3937,"")</f>
        <v>#N/A</v>
      </c>
      <c r="M3937" t="str">
        <f t="shared" ca="1" si="307"/>
        <v>-</v>
      </c>
      <c r="N3937" s="18" t="str">
        <f t="shared" si="308"/>
        <v>K1622:L5000</v>
      </c>
      <c r="O3937" t="str">
        <f t="shared" si="309"/>
        <v>A1622:A3937</v>
      </c>
    </row>
    <row r="3938" spans="1:15">
      <c r="A3938" s="18">
        <f>Charms!K3938</f>
        <v>0</v>
      </c>
      <c r="B3938">
        <f>Charms!B3938</f>
        <v>0</v>
      </c>
      <c r="C3938" t="b">
        <f ca="1">OR(Values!$S$98&gt;=Charms!M3938,IFERROR(Charms!J3938=OFFSET(Values!$A$24,MATCH("S",Values!$T$25:$T$50,0),0),FALSE))</f>
        <v>1</v>
      </c>
      <c r="D3938" t="e">
        <f>VLOOKUP(Charms!J3938,Values!$A$11:$S$59,19,0)&gt;=Charms!L3938</f>
        <v>#N/A</v>
      </c>
      <c r="E3938" t="e">
        <f>OR(ISBLANK(Charms!I3938),(VLOOKUP(Values!$S$6,Castes!$B$2:$F$25,4,0)=Charms!I3938))</f>
        <v>#N/A</v>
      </c>
      <c r="J3938" t="e">
        <f t="shared" ca="1" si="306"/>
        <v>#N/A</v>
      </c>
      <c r="K3938" s="18" t="e">
        <f t="shared" ca="1" si="305"/>
        <v>#N/A</v>
      </c>
      <c r="L3938" t="e">
        <f ca="1">IF(J3938,Charms!B3938,"")</f>
        <v>#N/A</v>
      </c>
      <c r="M3938" t="str">
        <f t="shared" ca="1" si="307"/>
        <v>-</v>
      </c>
      <c r="N3938" s="18" t="str">
        <f t="shared" si="308"/>
        <v>K1622:L5000</v>
      </c>
      <c r="O3938" t="str">
        <f t="shared" si="309"/>
        <v>A1622:A3938</v>
      </c>
    </row>
    <row r="3939" spans="1:15">
      <c r="A3939" s="18">
        <f>Charms!K3939</f>
        <v>0</v>
      </c>
      <c r="B3939">
        <f>Charms!B3939</f>
        <v>0</v>
      </c>
      <c r="C3939" t="b">
        <f ca="1">OR(Values!$S$98&gt;=Charms!M3939,IFERROR(Charms!J3939=OFFSET(Values!$A$24,MATCH("S",Values!$T$25:$T$50,0),0),FALSE))</f>
        <v>1</v>
      </c>
      <c r="D3939" t="e">
        <f>VLOOKUP(Charms!J3939,Values!$A$11:$S$59,19,0)&gt;=Charms!L3939</f>
        <v>#N/A</v>
      </c>
      <c r="E3939" t="e">
        <f>OR(ISBLANK(Charms!I3939),(VLOOKUP(Values!$S$6,Castes!$B$2:$F$25,4,0)=Charms!I3939))</f>
        <v>#N/A</v>
      </c>
      <c r="J3939" t="e">
        <f t="shared" ca="1" si="306"/>
        <v>#N/A</v>
      </c>
      <c r="K3939" s="18" t="e">
        <f t="shared" ca="1" si="305"/>
        <v>#N/A</v>
      </c>
      <c r="L3939" t="e">
        <f ca="1">IF(J3939,Charms!B3939,"")</f>
        <v>#N/A</v>
      </c>
      <c r="M3939" t="str">
        <f t="shared" ca="1" si="307"/>
        <v>-</v>
      </c>
      <c r="N3939" s="18" t="str">
        <f t="shared" si="308"/>
        <v>K1622:L5000</v>
      </c>
      <c r="O3939" t="str">
        <f t="shared" si="309"/>
        <v>A1622:A3939</v>
      </c>
    </row>
    <row r="3940" spans="1:15">
      <c r="A3940" s="18">
        <f>Charms!K3940</f>
        <v>0</v>
      </c>
      <c r="B3940">
        <f>Charms!B3940</f>
        <v>0</v>
      </c>
      <c r="C3940" t="b">
        <f ca="1">OR(Values!$S$98&gt;=Charms!M3940,IFERROR(Charms!J3940=OFFSET(Values!$A$24,MATCH("S",Values!$T$25:$T$50,0),0),FALSE))</f>
        <v>1</v>
      </c>
      <c r="D3940" t="e">
        <f>VLOOKUP(Charms!J3940,Values!$A$11:$S$59,19,0)&gt;=Charms!L3940</f>
        <v>#N/A</v>
      </c>
      <c r="E3940" t="e">
        <f>OR(ISBLANK(Charms!I3940),(VLOOKUP(Values!$S$6,Castes!$B$2:$F$25,4,0)=Charms!I3940))</f>
        <v>#N/A</v>
      </c>
      <c r="J3940" t="e">
        <f t="shared" ca="1" si="306"/>
        <v>#N/A</v>
      </c>
      <c r="K3940" s="18" t="e">
        <f t="shared" ca="1" si="305"/>
        <v>#N/A</v>
      </c>
      <c r="L3940" t="e">
        <f ca="1">IF(J3940,Charms!B3940,"")</f>
        <v>#N/A</v>
      </c>
      <c r="M3940" t="str">
        <f t="shared" ca="1" si="307"/>
        <v>-</v>
      </c>
      <c r="N3940" s="18" t="str">
        <f t="shared" si="308"/>
        <v>K1622:L5000</v>
      </c>
      <c r="O3940" t="str">
        <f t="shared" si="309"/>
        <v>A1622:A3940</v>
      </c>
    </row>
    <row r="3941" spans="1:15">
      <c r="A3941" s="18">
        <f>Charms!K3941</f>
        <v>0</v>
      </c>
      <c r="B3941">
        <f>Charms!B3941</f>
        <v>0</v>
      </c>
      <c r="C3941" t="b">
        <f ca="1">OR(Values!$S$98&gt;=Charms!M3941,IFERROR(Charms!J3941=OFFSET(Values!$A$24,MATCH("S",Values!$T$25:$T$50,0),0),FALSE))</f>
        <v>1</v>
      </c>
      <c r="D3941" t="e">
        <f>VLOOKUP(Charms!J3941,Values!$A$11:$S$59,19,0)&gt;=Charms!L3941</f>
        <v>#N/A</v>
      </c>
      <c r="E3941" t="e">
        <f>OR(ISBLANK(Charms!I3941),(VLOOKUP(Values!$S$6,Castes!$B$2:$F$25,4,0)=Charms!I3941))</f>
        <v>#N/A</v>
      </c>
      <c r="J3941" t="e">
        <f t="shared" ca="1" si="306"/>
        <v>#N/A</v>
      </c>
      <c r="K3941" s="18" t="e">
        <f t="shared" ca="1" si="305"/>
        <v>#N/A</v>
      </c>
      <c r="L3941" t="e">
        <f ca="1">IF(J3941,Charms!B3941,"")</f>
        <v>#N/A</v>
      </c>
      <c r="M3941" t="str">
        <f t="shared" ca="1" si="307"/>
        <v>-</v>
      </c>
      <c r="N3941" s="18" t="str">
        <f t="shared" si="308"/>
        <v>K1622:L5000</v>
      </c>
      <c r="O3941" t="str">
        <f t="shared" si="309"/>
        <v>A1622:A3941</v>
      </c>
    </row>
    <row r="3942" spans="1:15">
      <c r="A3942" s="18">
        <f>Charms!K3942</f>
        <v>0</v>
      </c>
      <c r="B3942">
        <f>Charms!B3942</f>
        <v>0</v>
      </c>
      <c r="C3942" t="b">
        <f ca="1">OR(Values!$S$98&gt;=Charms!M3942,IFERROR(Charms!J3942=OFFSET(Values!$A$24,MATCH("S",Values!$T$25:$T$50,0),0),FALSE))</f>
        <v>1</v>
      </c>
      <c r="D3942" t="e">
        <f>VLOOKUP(Charms!J3942,Values!$A$11:$S$59,19,0)&gt;=Charms!L3942</f>
        <v>#N/A</v>
      </c>
      <c r="E3942" t="e">
        <f>OR(ISBLANK(Charms!I3942),(VLOOKUP(Values!$S$6,Castes!$B$2:$F$25,4,0)=Charms!I3942))</f>
        <v>#N/A</v>
      </c>
      <c r="J3942" t="e">
        <f t="shared" ca="1" si="306"/>
        <v>#N/A</v>
      </c>
      <c r="K3942" s="18" t="e">
        <f t="shared" ca="1" si="305"/>
        <v>#N/A</v>
      </c>
      <c r="L3942" t="e">
        <f ca="1">IF(J3942,Charms!B3942,"")</f>
        <v>#N/A</v>
      </c>
      <c r="M3942" t="str">
        <f t="shared" ca="1" si="307"/>
        <v>-</v>
      </c>
      <c r="N3942" s="18" t="str">
        <f t="shared" si="308"/>
        <v>K1622:L5000</v>
      </c>
      <c r="O3942" t="str">
        <f t="shared" si="309"/>
        <v>A1622:A3942</v>
      </c>
    </row>
    <row r="3943" spans="1:15">
      <c r="A3943" s="18">
        <f>Charms!K3943</f>
        <v>0</v>
      </c>
      <c r="B3943">
        <f>Charms!B3943</f>
        <v>0</v>
      </c>
      <c r="C3943" t="b">
        <f ca="1">OR(Values!$S$98&gt;=Charms!M3943,IFERROR(Charms!J3943=OFFSET(Values!$A$24,MATCH("S",Values!$T$25:$T$50,0),0),FALSE))</f>
        <v>1</v>
      </c>
      <c r="D3943" t="e">
        <f>VLOOKUP(Charms!J3943,Values!$A$11:$S$59,19,0)&gt;=Charms!L3943</f>
        <v>#N/A</v>
      </c>
      <c r="E3943" t="e">
        <f>OR(ISBLANK(Charms!I3943),(VLOOKUP(Values!$S$6,Castes!$B$2:$F$25,4,0)=Charms!I3943))</f>
        <v>#N/A</v>
      </c>
      <c r="J3943" t="e">
        <f t="shared" ca="1" si="306"/>
        <v>#N/A</v>
      </c>
      <c r="K3943" s="18" t="e">
        <f t="shared" ca="1" si="305"/>
        <v>#N/A</v>
      </c>
      <c r="L3943" t="e">
        <f ca="1">IF(J3943,Charms!B3943,"")</f>
        <v>#N/A</v>
      </c>
      <c r="M3943" t="str">
        <f t="shared" ca="1" si="307"/>
        <v>-</v>
      </c>
      <c r="N3943" s="18" t="str">
        <f t="shared" si="308"/>
        <v>K1622:L5000</v>
      </c>
      <c r="O3943" t="str">
        <f t="shared" si="309"/>
        <v>A1622:A3943</v>
      </c>
    </row>
    <row r="3944" spans="1:15">
      <c r="A3944" s="18">
        <f>Charms!K3944</f>
        <v>0</v>
      </c>
      <c r="B3944">
        <f>Charms!B3944</f>
        <v>0</v>
      </c>
      <c r="C3944" t="b">
        <f ca="1">OR(Values!$S$98&gt;=Charms!M3944,IFERROR(Charms!J3944=OFFSET(Values!$A$24,MATCH("S",Values!$T$25:$T$50,0),0),FALSE))</f>
        <v>1</v>
      </c>
      <c r="D3944" t="e">
        <f>VLOOKUP(Charms!J3944,Values!$A$11:$S$59,19,0)&gt;=Charms!L3944</f>
        <v>#N/A</v>
      </c>
      <c r="E3944" t="e">
        <f>OR(ISBLANK(Charms!I3944),(VLOOKUP(Values!$S$6,Castes!$B$2:$F$25,4,0)=Charms!I3944))</f>
        <v>#N/A</v>
      </c>
      <c r="J3944" t="e">
        <f t="shared" ca="1" si="306"/>
        <v>#N/A</v>
      </c>
      <c r="K3944" s="18" t="e">
        <f t="shared" ca="1" si="305"/>
        <v>#N/A</v>
      </c>
      <c r="L3944" t="e">
        <f ca="1">IF(J3944,Charms!B3944,"")</f>
        <v>#N/A</v>
      </c>
      <c r="M3944" t="str">
        <f t="shared" ca="1" si="307"/>
        <v>-</v>
      </c>
      <c r="N3944" s="18" t="str">
        <f t="shared" si="308"/>
        <v>K1622:L5000</v>
      </c>
      <c r="O3944" t="str">
        <f t="shared" si="309"/>
        <v>A1622:A3944</v>
      </c>
    </row>
    <row r="3945" spans="1:15">
      <c r="A3945" s="18">
        <f>Charms!K3945</f>
        <v>0</v>
      </c>
      <c r="B3945">
        <f>Charms!B3945</f>
        <v>0</v>
      </c>
      <c r="C3945" t="b">
        <f ca="1">OR(Values!$S$98&gt;=Charms!M3945,IFERROR(Charms!J3945=OFFSET(Values!$A$24,MATCH("S",Values!$T$25:$T$50,0),0),FALSE))</f>
        <v>1</v>
      </c>
      <c r="D3945" t="e">
        <f>VLOOKUP(Charms!J3945,Values!$A$11:$S$59,19,0)&gt;=Charms!L3945</f>
        <v>#N/A</v>
      </c>
      <c r="E3945" t="e">
        <f>OR(ISBLANK(Charms!I3945),(VLOOKUP(Values!$S$6,Castes!$B$2:$F$25,4,0)=Charms!I3945))</f>
        <v>#N/A</v>
      </c>
      <c r="J3945" t="e">
        <f t="shared" ca="1" si="306"/>
        <v>#N/A</v>
      </c>
      <c r="K3945" s="18" t="e">
        <f t="shared" ca="1" si="305"/>
        <v>#N/A</v>
      </c>
      <c r="L3945" t="e">
        <f ca="1">IF(J3945,Charms!B3945,"")</f>
        <v>#N/A</v>
      </c>
      <c r="M3945" t="str">
        <f t="shared" ca="1" si="307"/>
        <v>-</v>
      </c>
      <c r="N3945" s="18" t="str">
        <f t="shared" si="308"/>
        <v>K1622:L5000</v>
      </c>
      <c r="O3945" t="str">
        <f t="shared" si="309"/>
        <v>A1622:A3945</v>
      </c>
    </row>
    <row r="3946" spans="1:15">
      <c r="A3946" s="18">
        <f>Charms!K3946</f>
        <v>0</v>
      </c>
      <c r="B3946">
        <f>Charms!B3946</f>
        <v>0</v>
      </c>
      <c r="C3946" t="b">
        <f ca="1">OR(Values!$S$98&gt;=Charms!M3946,IFERROR(Charms!J3946=OFFSET(Values!$A$24,MATCH("S",Values!$T$25:$T$50,0),0),FALSE))</f>
        <v>1</v>
      </c>
      <c r="D3946" t="e">
        <f>VLOOKUP(Charms!J3946,Values!$A$11:$S$59,19,0)&gt;=Charms!L3946</f>
        <v>#N/A</v>
      </c>
      <c r="E3946" t="e">
        <f>OR(ISBLANK(Charms!I3946),(VLOOKUP(Values!$S$6,Castes!$B$2:$F$25,4,0)=Charms!I3946))</f>
        <v>#N/A</v>
      </c>
      <c r="J3946" t="e">
        <f t="shared" ca="1" si="306"/>
        <v>#N/A</v>
      </c>
      <c r="K3946" s="18" t="e">
        <f t="shared" ca="1" si="305"/>
        <v>#N/A</v>
      </c>
      <c r="L3946" t="e">
        <f ca="1">IF(J3946,Charms!B3946,"")</f>
        <v>#N/A</v>
      </c>
      <c r="M3946" t="str">
        <f t="shared" ca="1" si="307"/>
        <v>-</v>
      </c>
      <c r="N3946" s="18" t="str">
        <f t="shared" si="308"/>
        <v>K1622:L5000</v>
      </c>
      <c r="O3946" t="str">
        <f t="shared" si="309"/>
        <v>A1622:A3946</v>
      </c>
    </row>
    <row r="3947" spans="1:15">
      <c r="A3947" s="18">
        <f>Charms!K3947</f>
        <v>0</v>
      </c>
      <c r="B3947">
        <f>Charms!B3947</f>
        <v>0</v>
      </c>
      <c r="C3947" t="b">
        <f ca="1">OR(Values!$S$98&gt;=Charms!M3947,IFERROR(Charms!J3947=OFFSET(Values!$A$24,MATCH("S",Values!$T$25:$T$50,0),0),FALSE))</f>
        <v>1</v>
      </c>
      <c r="D3947" t="e">
        <f>VLOOKUP(Charms!J3947,Values!$A$11:$S$59,19,0)&gt;=Charms!L3947</f>
        <v>#N/A</v>
      </c>
      <c r="E3947" t="e">
        <f>OR(ISBLANK(Charms!I3947),(VLOOKUP(Values!$S$6,Castes!$B$2:$F$25,4,0)=Charms!I3947))</f>
        <v>#N/A</v>
      </c>
      <c r="J3947" t="e">
        <f t="shared" ca="1" si="306"/>
        <v>#N/A</v>
      </c>
      <c r="K3947" s="18" t="e">
        <f t="shared" ca="1" si="305"/>
        <v>#N/A</v>
      </c>
      <c r="L3947" t="e">
        <f ca="1">IF(J3947,Charms!B3947,"")</f>
        <v>#N/A</v>
      </c>
      <c r="M3947" t="str">
        <f t="shared" ca="1" si="307"/>
        <v>-</v>
      </c>
      <c r="N3947" s="18" t="str">
        <f t="shared" si="308"/>
        <v>K1622:L5000</v>
      </c>
      <c r="O3947" t="str">
        <f t="shared" si="309"/>
        <v>A1622:A3947</v>
      </c>
    </row>
    <row r="3948" spans="1:15">
      <c r="A3948" s="18">
        <f>Charms!K3948</f>
        <v>0</v>
      </c>
      <c r="B3948">
        <f>Charms!B3948</f>
        <v>0</v>
      </c>
      <c r="C3948" t="b">
        <f ca="1">OR(Values!$S$98&gt;=Charms!M3948,IFERROR(Charms!J3948=OFFSET(Values!$A$24,MATCH("S",Values!$T$25:$T$50,0),0),FALSE))</f>
        <v>1</v>
      </c>
      <c r="D3948" t="e">
        <f>VLOOKUP(Charms!J3948,Values!$A$11:$S$59,19,0)&gt;=Charms!L3948</f>
        <v>#N/A</v>
      </c>
      <c r="E3948" t="e">
        <f>OR(ISBLANK(Charms!I3948),(VLOOKUP(Values!$S$6,Castes!$B$2:$F$25,4,0)=Charms!I3948))</f>
        <v>#N/A</v>
      </c>
      <c r="J3948" t="e">
        <f t="shared" ca="1" si="306"/>
        <v>#N/A</v>
      </c>
      <c r="K3948" s="18" t="e">
        <f t="shared" ca="1" si="305"/>
        <v>#N/A</v>
      </c>
      <c r="L3948" t="e">
        <f ca="1">IF(J3948,Charms!B3948,"")</f>
        <v>#N/A</v>
      </c>
      <c r="M3948" t="str">
        <f t="shared" ca="1" si="307"/>
        <v>-</v>
      </c>
      <c r="N3948" s="18" t="str">
        <f t="shared" si="308"/>
        <v>K1622:L5000</v>
      </c>
      <c r="O3948" t="str">
        <f t="shared" si="309"/>
        <v>A1622:A3948</v>
      </c>
    </row>
    <row r="3949" spans="1:15">
      <c r="A3949" s="18">
        <f>Charms!K3949</f>
        <v>0</v>
      </c>
      <c r="B3949">
        <f>Charms!B3949</f>
        <v>0</v>
      </c>
      <c r="C3949" t="b">
        <f ca="1">OR(Values!$S$98&gt;=Charms!M3949,IFERROR(Charms!J3949=OFFSET(Values!$A$24,MATCH("S",Values!$T$25:$T$50,0),0),FALSE))</f>
        <v>1</v>
      </c>
      <c r="D3949" t="e">
        <f>VLOOKUP(Charms!J3949,Values!$A$11:$S$59,19,0)&gt;=Charms!L3949</f>
        <v>#N/A</v>
      </c>
      <c r="E3949" t="e">
        <f>OR(ISBLANK(Charms!I3949),(VLOOKUP(Values!$S$6,Castes!$B$2:$F$25,4,0)=Charms!I3949))</f>
        <v>#N/A</v>
      </c>
      <c r="J3949" t="e">
        <f t="shared" ca="1" si="306"/>
        <v>#N/A</v>
      </c>
      <c r="K3949" s="18" t="e">
        <f t="shared" ca="1" si="305"/>
        <v>#N/A</v>
      </c>
      <c r="L3949" t="e">
        <f ca="1">IF(J3949,Charms!B3949,"")</f>
        <v>#N/A</v>
      </c>
      <c r="M3949" t="str">
        <f t="shared" ca="1" si="307"/>
        <v>-</v>
      </c>
      <c r="N3949" s="18" t="str">
        <f t="shared" si="308"/>
        <v>K1622:L5000</v>
      </c>
      <c r="O3949" t="str">
        <f t="shared" si="309"/>
        <v>A1622:A3949</v>
      </c>
    </row>
    <row r="3950" spans="1:15">
      <c r="A3950" s="18">
        <f>Charms!K3950</f>
        <v>0</v>
      </c>
      <c r="B3950">
        <f>Charms!B3950</f>
        <v>0</v>
      </c>
      <c r="C3950" t="b">
        <f ca="1">OR(Values!$S$98&gt;=Charms!M3950,IFERROR(Charms!J3950=OFFSET(Values!$A$24,MATCH("S",Values!$T$25:$T$50,0),0),FALSE))</f>
        <v>1</v>
      </c>
      <c r="D3950" t="e">
        <f>VLOOKUP(Charms!J3950,Values!$A$11:$S$59,19,0)&gt;=Charms!L3950</f>
        <v>#N/A</v>
      </c>
      <c r="E3950" t="e">
        <f>OR(ISBLANK(Charms!I3950),(VLOOKUP(Values!$S$6,Castes!$B$2:$F$25,4,0)=Charms!I3950))</f>
        <v>#N/A</v>
      </c>
      <c r="J3950" t="e">
        <f t="shared" ca="1" si="306"/>
        <v>#N/A</v>
      </c>
      <c r="K3950" s="18" t="e">
        <f t="shared" ca="1" si="305"/>
        <v>#N/A</v>
      </c>
      <c r="L3950" t="e">
        <f ca="1">IF(J3950,Charms!B3950,"")</f>
        <v>#N/A</v>
      </c>
      <c r="M3950" t="str">
        <f t="shared" ca="1" si="307"/>
        <v>-</v>
      </c>
      <c r="N3950" s="18" t="str">
        <f t="shared" si="308"/>
        <v>K1622:L5000</v>
      </c>
      <c r="O3950" t="str">
        <f t="shared" si="309"/>
        <v>A1622:A3950</v>
      </c>
    </row>
    <row r="3951" spans="1:15">
      <c r="A3951" s="18">
        <f>Charms!K3951</f>
        <v>0</v>
      </c>
      <c r="B3951">
        <f>Charms!B3951</f>
        <v>0</v>
      </c>
      <c r="C3951" t="b">
        <f ca="1">OR(Values!$S$98&gt;=Charms!M3951,IFERROR(Charms!J3951=OFFSET(Values!$A$24,MATCH("S",Values!$T$25:$T$50,0),0),FALSE))</f>
        <v>1</v>
      </c>
      <c r="D3951" t="e">
        <f>VLOOKUP(Charms!J3951,Values!$A$11:$S$59,19,0)&gt;=Charms!L3951</f>
        <v>#N/A</v>
      </c>
      <c r="E3951" t="e">
        <f>OR(ISBLANK(Charms!I3951),(VLOOKUP(Values!$S$6,Castes!$B$2:$F$25,4,0)=Charms!I3951))</f>
        <v>#N/A</v>
      </c>
      <c r="J3951" t="e">
        <f t="shared" ca="1" si="306"/>
        <v>#N/A</v>
      </c>
      <c r="K3951" s="18" t="e">
        <f t="shared" ca="1" si="305"/>
        <v>#N/A</v>
      </c>
      <c r="L3951" t="e">
        <f ca="1">IF(J3951,Charms!B3951,"")</f>
        <v>#N/A</v>
      </c>
      <c r="M3951" t="str">
        <f t="shared" ca="1" si="307"/>
        <v>-</v>
      </c>
      <c r="N3951" s="18" t="str">
        <f t="shared" si="308"/>
        <v>K1622:L5000</v>
      </c>
      <c r="O3951" t="str">
        <f t="shared" si="309"/>
        <v>A1622:A3951</v>
      </c>
    </row>
    <row r="3952" spans="1:15">
      <c r="A3952" s="18">
        <f>Charms!K3952</f>
        <v>0</v>
      </c>
      <c r="B3952">
        <f>Charms!B3952</f>
        <v>0</v>
      </c>
      <c r="C3952" t="b">
        <f ca="1">OR(Values!$S$98&gt;=Charms!M3952,IFERROR(Charms!J3952=OFFSET(Values!$A$24,MATCH("S",Values!$T$25:$T$50,0),0),FALSE))</f>
        <v>1</v>
      </c>
      <c r="D3952" t="e">
        <f>VLOOKUP(Charms!J3952,Values!$A$11:$S$59,19,0)&gt;=Charms!L3952</f>
        <v>#N/A</v>
      </c>
      <c r="E3952" t="e">
        <f>OR(ISBLANK(Charms!I3952),(VLOOKUP(Values!$S$6,Castes!$B$2:$F$25,4,0)=Charms!I3952))</f>
        <v>#N/A</v>
      </c>
      <c r="J3952" t="e">
        <f t="shared" ca="1" si="306"/>
        <v>#N/A</v>
      </c>
      <c r="K3952" s="18" t="e">
        <f t="shared" ca="1" si="305"/>
        <v>#N/A</v>
      </c>
      <c r="L3952" t="e">
        <f ca="1">IF(J3952,Charms!B3952,"")</f>
        <v>#N/A</v>
      </c>
      <c r="M3952" t="str">
        <f t="shared" ca="1" si="307"/>
        <v>-</v>
      </c>
      <c r="N3952" s="18" t="str">
        <f t="shared" si="308"/>
        <v>K1622:L5000</v>
      </c>
      <c r="O3952" t="str">
        <f t="shared" si="309"/>
        <v>A1622:A3952</v>
      </c>
    </row>
    <row r="3953" spans="1:15">
      <c r="A3953" s="18">
        <f>Charms!K3953</f>
        <v>0</v>
      </c>
      <c r="B3953">
        <f>Charms!B3953</f>
        <v>0</v>
      </c>
      <c r="C3953" t="b">
        <f ca="1">OR(Values!$S$98&gt;=Charms!M3953,IFERROR(Charms!J3953=OFFSET(Values!$A$24,MATCH("S",Values!$T$25:$T$50,0),0),FALSE))</f>
        <v>1</v>
      </c>
      <c r="D3953" t="e">
        <f>VLOOKUP(Charms!J3953,Values!$A$11:$S$59,19,0)&gt;=Charms!L3953</f>
        <v>#N/A</v>
      </c>
      <c r="E3953" t="e">
        <f>OR(ISBLANK(Charms!I3953),(VLOOKUP(Values!$S$6,Castes!$B$2:$F$25,4,0)=Charms!I3953))</f>
        <v>#N/A</v>
      </c>
      <c r="J3953" t="e">
        <f t="shared" ca="1" si="306"/>
        <v>#N/A</v>
      </c>
      <c r="K3953" s="18" t="e">
        <f t="shared" ca="1" si="305"/>
        <v>#N/A</v>
      </c>
      <c r="L3953" t="e">
        <f ca="1">IF(J3953,Charms!B3953,"")</f>
        <v>#N/A</v>
      </c>
      <c r="M3953" t="str">
        <f t="shared" ca="1" si="307"/>
        <v>-</v>
      </c>
      <c r="N3953" s="18" t="str">
        <f t="shared" si="308"/>
        <v>K1622:L5000</v>
      </c>
      <c r="O3953" t="str">
        <f t="shared" si="309"/>
        <v>A1622:A3953</v>
      </c>
    </row>
    <row r="3954" spans="1:15">
      <c r="A3954" s="18">
        <f>Charms!K3954</f>
        <v>0</v>
      </c>
      <c r="B3954">
        <f>Charms!B3954</f>
        <v>0</v>
      </c>
      <c r="C3954" t="b">
        <f ca="1">OR(Values!$S$98&gt;=Charms!M3954,IFERROR(Charms!J3954=OFFSET(Values!$A$24,MATCH("S",Values!$T$25:$T$50,0),0),FALSE))</f>
        <v>1</v>
      </c>
      <c r="D3954" t="e">
        <f>VLOOKUP(Charms!J3954,Values!$A$11:$S$59,19,0)&gt;=Charms!L3954</f>
        <v>#N/A</v>
      </c>
      <c r="E3954" t="e">
        <f>OR(ISBLANK(Charms!I3954),(VLOOKUP(Values!$S$6,Castes!$B$2:$F$25,4,0)=Charms!I3954))</f>
        <v>#N/A</v>
      </c>
      <c r="J3954" t="e">
        <f t="shared" ca="1" si="306"/>
        <v>#N/A</v>
      </c>
      <c r="K3954" s="18" t="e">
        <f t="shared" ca="1" si="305"/>
        <v>#N/A</v>
      </c>
      <c r="L3954" t="e">
        <f ca="1">IF(J3954,Charms!B3954,"")</f>
        <v>#N/A</v>
      </c>
      <c r="M3954" t="str">
        <f t="shared" ca="1" si="307"/>
        <v>-</v>
      </c>
      <c r="N3954" s="18" t="str">
        <f t="shared" si="308"/>
        <v>K1622:L5000</v>
      </c>
      <c r="O3954" t="str">
        <f t="shared" si="309"/>
        <v>A1622:A3954</v>
      </c>
    </row>
    <row r="3955" spans="1:15">
      <c r="A3955" s="18">
        <f>Charms!K3955</f>
        <v>0</v>
      </c>
      <c r="B3955">
        <f>Charms!B3955</f>
        <v>0</v>
      </c>
      <c r="C3955" t="b">
        <f ca="1">OR(Values!$S$98&gt;=Charms!M3955,IFERROR(Charms!J3955=OFFSET(Values!$A$24,MATCH("S",Values!$T$25:$T$50,0),0),FALSE))</f>
        <v>1</v>
      </c>
      <c r="D3955" t="e">
        <f>VLOOKUP(Charms!J3955,Values!$A$11:$S$59,19,0)&gt;=Charms!L3955</f>
        <v>#N/A</v>
      </c>
      <c r="E3955" t="e">
        <f>OR(ISBLANK(Charms!I3955),(VLOOKUP(Values!$S$6,Castes!$B$2:$F$25,4,0)=Charms!I3955))</f>
        <v>#N/A</v>
      </c>
      <c r="J3955" t="e">
        <f t="shared" ca="1" si="306"/>
        <v>#N/A</v>
      </c>
      <c r="K3955" s="18" t="e">
        <f t="shared" ca="1" si="305"/>
        <v>#N/A</v>
      </c>
      <c r="L3955" t="e">
        <f ca="1">IF(J3955,Charms!B3955,"")</f>
        <v>#N/A</v>
      </c>
      <c r="M3955" t="str">
        <f t="shared" ca="1" si="307"/>
        <v>-</v>
      </c>
      <c r="N3955" s="18" t="str">
        <f t="shared" si="308"/>
        <v>K1622:L5000</v>
      </c>
      <c r="O3955" t="str">
        <f t="shared" si="309"/>
        <v>A1622:A3955</v>
      </c>
    </row>
    <row r="3956" spans="1:15">
      <c r="A3956" s="18">
        <f>Charms!K3956</f>
        <v>0</v>
      </c>
      <c r="B3956">
        <f>Charms!B3956</f>
        <v>0</v>
      </c>
      <c r="C3956" t="b">
        <f ca="1">OR(Values!$S$98&gt;=Charms!M3956,IFERROR(Charms!J3956=OFFSET(Values!$A$24,MATCH("S",Values!$T$25:$T$50,0),0),FALSE))</f>
        <v>1</v>
      </c>
      <c r="D3956" t="e">
        <f>VLOOKUP(Charms!J3956,Values!$A$11:$S$59,19,0)&gt;=Charms!L3956</f>
        <v>#N/A</v>
      </c>
      <c r="E3956" t="e">
        <f>OR(ISBLANK(Charms!I3956),(VLOOKUP(Values!$S$6,Castes!$B$2:$F$25,4,0)=Charms!I3956))</f>
        <v>#N/A</v>
      </c>
      <c r="J3956" t="e">
        <f t="shared" ca="1" si="306"/>
        <v>#N/A</v>
      </c>
      <c r="K3956" s="18" t="e">
        <f t="shared" ca="1" si="305"/>
        <v>#N/A</v>
      </c>
      <c r="L3956" t="e">
        <f ca="1">IF(J3956,Charms!B3956,"")</f>
        <v>#N/A</v>
      </c>
      <c r="M3956" t="str">
        <f t="shared" ca="1" si="307"/>
        <v>-</v>
      </c>
      <c r="N3956" s="18" t="str">
        <f t="shared" si="308"/>
        <v>K1622:L5000</v>
      </c>
      <c r="O3956" t="str">
        <f t="shared" si="309"/>
        <v>A1622:A3956</v>
      </c>
    </row>
    <row r="3957" spans="1:15">
      <c r="A3957" s="18">
        <f>Charms!K3957</f>
        <v>0</v>
      </c>
      <c r="B3957">
        <f>Charms!B3957</f>
        <v>0</v>
      </c>
      <c r="C3957" t="b">
        <f ca="1">OR(Values!$S$98&gt;=Charms!M3957,IFERROR(Charms!J3957=OFFSET(Values!$A$24,MATCH("S",Values!$T$25:$T$50,0),0),FALSE))</f>
        <v>1</v>
      </c>
      <c r="D3957" t="e">
        <f>VLOOKUP(Charms!J3957,Values!$A$11:$S$59,19,0)&gt;=Charms!L3957</f>
        <v>#N/A</v>
      </c>
      <c r="E3957" t="e">
        <f>OR(ISBLANK(Charms!I3957),(VLOOKUP(Values!$S$6,Castes!$B$2:$F$25,4,0)=Charms!I3957))</f>
        <v>#N/A</v>
      </c>
      <c r="J3957" t="e">
        <f t="shared" ca="1" si="306"/>
        <v>#N/A</v>
      </c>
      <c r="K3957" s="18" t="e">
        <f t="shared" ca="1" si="305"/>
        <v>#N/A</v>
      </c>
      <c r="L3957" t="e">
        <f ca="1">IF(J3957,Charms!B3957,"")</f>
        <v>#N/A</v>
      </c>
      <c r="M3957" t="str">
        <f t="shared" ca="1" si="307"/>
        <v>-</v>
      </c>
      <c r="N3957" s="18" t="str">
        <f t="shared" si="308"/>
        <v>K1622:L5000</v>
      </c>
      <c r="O3957" t="str">
        <f t="shared" si="309"/>
        <v>A1622:A3957</v>
      </c>
    </row>
    <row r="3958" spans="1:15">
      <c r="A3958" s="18">
        <f>Charms!K3958</f>
        <v>0</v>
      </c>
      <c r="B3958">
        <f>Charms!B3958</f>
        <v>0</v>
      </c>
      <c r="C3958" t="b">
        <f ca="1">OR(Values!$S$98&gt;=Charms!M3958,IFERROR(Charms!J3958=OFFSET(Values!$A$24,MATCH("S",Values!$T$25:$T$50,0),0),FALSE))</f>
        <v>1</v>
      </c>
      <c r="D3958" t="e">
        <f>VLOOKUP(Charms!J3958,Values!$A$11:$S$59,19,0)&gt;=Charms!L3958</f>
        <v>#N/A</v>
      </c>
      <c r="E3958" t="e">
        <f>OR(ISBLANK(Charms!I3958),(VLOOKUP(Values!$S$6,Castes!$B$2:$F$25,4,0)=Charms!I3958))</f>
        <v>#N/A</v>
      </c>
      <c r="J3958" t="e">
        <f t="shared" ca="1" si="306"/>
        <v>#N/A</v>
      </c>
      <c r="K3958" s="18" t="e">
        <f t="shared" ca="1" si="305"/>
        <v>#N/A</v>
      </c>
      <c r="L3958" t="e">
        <f ca="1">IF(J3958,Charms!B3958,"")</f>
        <v>#N/A</v>
      </c>
      <c r="M3958" t="str">
        <f t="shared" ca="1" si="307"/>
        <v>-</v>
      </c>
      <c r="N3958" s="18" t="str">
        <f t="shared" si="308"/>
        <v>K1622:L5000</v>
      </c>
      <c r="O3958" t="str">
        <f t="shared" si="309"/>
        <v>A1622:A3958</v>
      </c>
    </row>
    <row r="3959" spans="1:15">
      <c r="A3959" s="18">
        <f>Charms!K3959</f>
        <v>0</v>
      </c>
      <c r="B3959">
        <f>Charms!B3959</f>
        <v>0</v>
      </c>
      <c r="C3959" t="b">
        <f ca="1">OR(Values!$S$98&gt;=Charms!M3959,IFERROR(Charms!J3959=OFFSET(Values!$A$24,MATCH("S",Values!$T$25:$T$50,0),0),FALSE))</f>
        <v>1</v>
      </c>
      <c r="D3959" t="e">
        <f>VLOOKUP(Charms!J3959,Values!$A$11:$S$59,19,0)&gt;=Charms!L3959</f>
        <v>#N/A</v>
      </c>
      <c r="E3959" t="e">
        <f>OR(ISBLANK(Charms!I3959),(VLOOKUP(Values!$S$6,Castes!$B$2:$F$25,4,0)=Charms!I3959))</f>
        <v>#N/A</v>
      </c>
      <c r="J3959" t="e">
        <f t="shared" ca="1" si="306"/>
        <v>#N/A</v>
      </c>
      <c r="K3959" s="18" t="e">
        <f t="shared" ca="1" si="305"/>
        <v>#N/A</v>
      </c>
      <c r="L3959" t="e">
        <f ca="1">IF(J3959,Charms!B3959,"")</f>
        <v>#N/A</v>
      </c>
      <c r="M3959" t="str">
        <f t="shared" ca="1" si="307"/>
        <v>-</v>
      </c>
      <c r="N3959" s="18" t="str">
        <f t="shared" si="308"/>
        <v>K1622:L5000</v>
      </c>
      <c r="O3959" t="str">
        <f t="shared" si="309"/>
        <v>A1622:A3959</v>
      </c>
    </row>
    <row r="3960" spans="1:15">
      <c r="A3960" s="18">
        <f>Charms!K3960</f>
        <v>0</v>
      </c>
      <c r="B3960">
        <f>Charms!B3960</f>
        <v>0</v>
      </c>
      <c r="C3960" t="b">
        <f ca="1">OR(Values!$S$98&gt;=Charms!M3960,IFERROR(Charms!J3960=OFFSET(Values!$A$24,MATCH("S",Values!$T$25:$T$50,0),0),FALSE))</f>
        <v>1</v>
      </c>
      <c r="D3960" t="e">
        <f>VLOOKUP(Charms!J3960,Values!$A$11:$S$59,19,0)&gt;=Charms!L3960</f>
        <v>#N/A</v>
      </c>
      <c r="E3960" t="e">
        <f>OR(ISBLANK(Charms!I3960),(VLOOKUP(Values!$S$6,Castes!$B$2:$F$25,4,0)=Charms!I3960))</f>
        <v>#N/A</v>
      </c>
      <c r="J3960" t="e">
        <f t="shared" ca="1" si="306"/>
        <v>#N/A</v>
      </c>
      <c r="K3960" s="18" t="e">
        <f t="shared" ca="1" si="305"/>
        <v>#N/A</v>
      </c>
      <c r="L3960" t="e">
        <f ca="1">IF(J3960,Charms!B3960,"")</f>
        <v>#N/A</v>
      </c>
      <c r="M3960" t="str">
        <f t="shared" ca="1" si="307"/>
        <v>-</v>
      </c>
      <c r="N3960" s="18" t="str">
        <f t="shared" si="308"/>
        <v>K1622:L5000</v>
      </c>
      <c r="O3960" t="str">
        <f t="shared" si="309"/>
        <v>A1622:A3960</v>
      </c>
    </row>
    <row r="3961" spans="1:15">
      <c r="A3961" s="18">
        <f>Charms!K3961</f>
        <v>0</v>
      </c>
      <c r="B3961">
        <f>Charms!B3961</f>
        <v>0</v>
      </c>
      <c r="C3961" t="b">
        <f ca="1">OR(Values!$S$98&gt;=Charms!M3961,IFERROR(Charms!J3961=OFFSET(Values!$A$24,MATCH("S",Values!$T$25:$T$50,0),0),FALSE))</f>
        <v>1</v>
      </c>
      <c r="D3961" t="e">
        <f>VLOOKUP(Charms!J3961,Values!$A$11:$S$59,19,0)&gt;=Charms!L3961</f>
        <v>#N/A</v>
      </c>
      <c r="E3961" t="e">
        <f>OR(ISBLANK(Charms!I3961),(VLOOKUP(Values!$S$6,Castes!$B$2:$F$25,4,0)=Charms!I3961))</f>
        <v>#N/A</v>
      </c>
      <c r="J3961" t="e">
        <f t="shared" ca="1" si="306"/>
        <v>#N/A</v>
      </c>
      <c r="K3961" s="18" t="e">
        <f t="shared" ca="1" si="305"/>
        <v>#N/A</v>
      </c>
      <c r="L3961" t="e">
        <f ca="1">IF(J3961,Charms!B3961,"")</f>
        <v>#N/A</v>
      </c>
      <c r="M3961" t="str">
        <f t="shared" ca="1" si="307"/>
        <v>-</v>
      </c>
      <c r="N3961" s="18" t="str">
        <f t="shared" si="308"/>
        <v>K1622:L5000</v>
      </c>
      <c r="O3961" t="str">
        <f t="shared" si="309"/>
        <v>A1622:A3961</v>
      </c>
    </row>
    <row r="3962" spans="1:15">
      <c r="A3962" s="18">
        <f>Charms!K3962</f>
        <v>0</v>
      </c>
      <c r="B3962">
        <f>Charms!B3962</f>
        <v>0</v>
      </c>
      <c r="C3962" t="b">
        <f ca="1">OR(Values!$S$98&gt;=Charms!M3962,IFERROR(Charms!J3962=OFFSET(Values!$A$24,MATCH("S",Values!$T$25:$T$50,0),0),FALSE))</f>
        <v>1</v>
      </c>
      <c r="D3962" t="e">
        <f>VLOOKUP(Charms!J3962,Values!$A$11:$S$59,19,0)&gt;=Charms!L3962</f>
        <v>#N/A</v>
      </c>
      <c r="E3962" t="e">
        <f>OR(ISBLANK(Charms!I3962),(VLOOKUP(Values!$S$6,Castes!$B$2:$F$25,4,0)=Charms!I3962))</f>
        <v>#N/A</v>
      </c>
      <c r="J3962" t="e">
        <f t="shared" ca="1" si="306"/>
        <v>#N/A</v>
      </c>
      <c r="K3962" s="18" t="e">
        <f t="shared" ca="1" si="305"/>
        <v>#N/A</v>
      </c>
      <c r="L3962" t="e">
        <f ca="1">IF(J3962,Charms!B3962,"")</f>
        <v>#N/A</v>
      </c>
      <c r="M3962" t="str">
        <f t="shared" ca="1" si="307"/>
        <v>-</v>
      </c>
      <c r="N3962" s="18" t="str">
        <f t="shared" si="308"/>
        <v>K1622:L5000</v>
      </c>
      <c r="O3962" t="str">
        <f t="shared" si="309"/>
        <v>A1622:A3962</v>
      </c>
    </row>
    <row r="3963" spans="1:15">
      <c r="A3963" s="18">
        <f>Charms!K3963</f>
        <v>0</v>
      </c>
      <c r="B3963">
        <f>Charms!B3963</f>
        <v>0</v>
      </c>
      <c r="C3963" t="b">
        <f ca="1">OR(Values!$S$98&gt;=Charms!M3963,IFERROR(Charms!J3963=OFFSET(Values!$A$24,MATCH("S",Values!$T$25:$T$50,0),0),FALSE))</f>
        <v>1</v>
      </c>
      <c r="D3963" t="e">
        <f>VLOOKUP(Charms!J3963,Values!$A$11:$S$59,19,0)&gt;=Charms!L3963</f>
        <v>#N/A</v>
      </c>
      <c r="E3963" t="e">
        <f>OR(ISBLANK(Charms!I3963),(VLOOKUP(Values!$S$6,Castes!$B$2:$F$25,4,0)=Charms!I3963))</f>
        <v>#N/A</v>
      </c>
      <c r="J3963" t="e">
        <f t="shared" ca="1" si="306"/>
        <v>#N/A</v>
      </c>
      <c r="K3963" s="18" t="e">
        <f t="shared" ca="1" si="305"/>
        <v>#N/A</v>
      </c>
      <c r="L3963" t="e">
        <f ca="1">IF(J3963,Charms!B3963,"")</f>
        <v>#N/A</v>
      </c>
      <c r="M3963" t="str">
        <f t="shared" ca="1" si="307"/>
        <v>-</v>
      </c>
      <c r="N3963" s="18" t="str">
        <f t="shared" si="308"/>
        <v>K1622:L5000</v>
      </c>
      <c r="O3963" t="str">
        <f t="shared" si="309"/>
        <v>A1622:A3963</v>
      </c>
    </row>
    <row r="3964" spans="1:15">
      <c r="A3964" s="18">
        <f>Charms!K3964</f>
        <v>0</v>
      </c>
      <c r="B3964">
        <f>Charms!B3964</f>
        <v>0</v>
      </c>
      <c r="C3964" t="b">
        <f ca="1">OR(Values!$S$98&gt;=Charms!M3964,IFERROR(Charms!J3964=OFFSET(Values!$A$24,MATCH("S",Values!$T$25:$T$50,0),0),FALSE))</f>
        <v>1</v>
      </c>
      <c r="D3964" t="e">
        <f>VLOOKUP(Charms!J3964,Values!$A$11:$S$59,19,0)&gt;=Charms!L3964</f>
        <v>#N/A</v>
      </c>
      <c r="E3964" t="e">
        <f>OR(ISBLANK(Charms!I3964),(VLOOKUP(Values!$S$6,Castes!$B$2:$F$25,4,0)=Charms!I3964))</f>
        <v>#N/A</v>
      </c>
      <c r="J3964" t="e">
        <f t="shared" ca="1" si="306"/>
        <v>#N/A</v>
      </c>
      <c r="K3964" s="18" t="e">
        <f t="shared" ca="1" si="305"/>
        <v>#N/A</v>
      </c>
      <c r="L3964" t="e">
        <f ca="1">IF(J3964,Charms!B3964,"")</f>
        <v>#N/A</v>
      </c>
      <c r="M3964" t="str">
        <f t="shared" ca="1" si="307"/>
        <v>-</v>
      </c>
      <c r="N3964" s="18" t="str">
        <f t="shared" si="308"/>
        <v>K1622:L5000</v>
      </c>
      <c r="O3964" t="str">
        <f t="shared" si="309"/>
        <v>A1622:A3964</v>
      </c>
    </row>
    <row r="3965" spans="1:15">
      <c r="A3965" s="18">
        <f>Charms!K3965</f>
        <v>0</v>
      </c>
      <c r="B3965">
        <f>Charms!B3965</f>
        <v>0</v>
      </c>
      <c r="C3965" t="b">
        <f ca="1">OR(Values!$S$98&gt;=Charms!M3965,IFERROR(Charms!J3965=OFFSET(Values!$A$24,MATCH("S",Values!$T$25:$T$50,0),0),FALSE))</f>
        <v>1</v>
      </c>
      <c r="D3965" t="e">
        <f>VLOOKUP(Charms!J3965,Values!$A$11:$S$59,19,0)&gt;=Charms!L3965</f>
        <v>#N/A</v>
      </c>
      <c r="E3965" t="e">
        <f>OR(ISBLANK(Charms!I3965),(VLOOKUP(Values!$S$6,Castes!$B$2:$F$25,4,0)=Charms!I3965))</f>
        <v>#N/A</v>
      </c>
      <c r="J3965" t="e">
        <f t="shared" ca="1" si="306"/>
        <v>#N/A</v>
      </c>
      <c r="K3965" s="18" t="e">
        <f t="shared" ca="1" si="305"/>
        <v>#N/A</v>
      </c>
      <c r="L3965" t="e">
        <f ca="1">IF(J3965,Charms!B3965,"")</f>
        <v>#N/A</v>
      </c>
      <c r="M3965" t="str">
        <f t="shared" ca="1" si="307"/>
        <v>-</v>
      </c>
      <c r="N3965" s="18" t="str">
        <f t="shared" si="308"/>
        <v>K1622:L5000</v>
      </c>
      <c r="O3965" t="str">
        <f t="shared" si="309"/>
        <v>A1622:A3965</v>
      </c>
    </row>
    <row r="3966" spans="1:15">
      <c r="A3966" s="18">
        <f>Charms!K3966</f>
        <v>0</v>
      </c>
      <c r="B3966">
        <f>Charms!B3966</f>
        <v>0</v>
      </c>
      <c r="C3966" t="b">
        <f ca="1">OR(Values!$S$98&gt;=Charms!M3966,IFERROR(Charms!J3966=OFFSET(Values!$A$24,MATCH("S",Values!$T$25:$T$50,0),0),FALSE))</f>
        <v>1</v>
      </c>
      <c r="D3966" t="e">
        <f>VLOOKUP(Charms!J3966,Values!$A$11:$S$59,19,0)&gt;=Charms!L3966</f>
        <v>#N/A</v>
      </c>
      <c r="E3966" t="e">
        <f>OR(ISBLANK(Charms!I3966),(VLOOKUP(Values!$S$6,Castes!$B$2:$F$25,4,0)=Charms!I3966))</f>
        <v>#N/A</v>
      </c>
      <c r="J3966" t="e">
        <f t="shared" ca="1" si="306"/>
        <v>#N/A</v>
      </c>
      <c r="K3966" s="18" t="e">
        <f t="shared" ca="1" si="305"/>
        <v>#N/A</v>
      </c>
      <c r="L3966" t="e">
        <f ca="1">IF(J3966,Charms!B3966,"")</f>
        <v>#N/A</v>
      </c>
      <c r="M3966" t="str">
        <f t="shared" ca="1" si="307"/>
        <v>-</v>
      </c>
      <c r="N3966" s="18" t="str">
        <f t="shared" si="308"/>
        <v>K1622:L5000</v>
      </c>
      <c r="O3966" t="str">
        <f t="shared" si="309"/>
        <v>A1622:A3966</v>
      </c>
    </row>
    <row r="3967" spans="1:15">
      <c r="A3967" s="18">
        <f>Charms!K3967</f>
        <v>0</v>
      </c>
      <c r="B3967">
        <f>Charms!B3967</f>
        <v>0</v>
      </c>
      <c r="C3967" t="b">
        <f ca="1">OR(Values!$S$98&gt;=Charms!M3967,IFERROR(Charms!J3967=OFFSET(Values!$A$24,MATCH("S",Values!$T$25:$T$50,0),0),FALSE))</f>
        <v>1</v>
      </c>
      <c r="D3967" t="e">
        <f>VLOOKUP(Charms!J3967,Values!$A$11:$S$59,19,0)&gt;=Charms!L3967</f>
        <v>#N/A</v>
      </c>
      <c r="E3967" t="e">
        <f>OR(ISBLANK(Charms!I3967),(VLOOKUP(Values!$S$6,Castes!$B$2:$F$25,4,0)=Charms!I3967))</f>
        <v>#N/A</v>
      </c>
      <c r="J3967" t="e">
        <f t="shared" ca="1" si="306"/>
        <v>#N/A</v>
      </c>
      <c r="K3967" s="18" t="e">
        <f t="shared" ca="1" si="305"/>
        <v>#N/A</v>
      </c>
      <c r="L3967" t="e">
        <f ca="1">IF(J3967,Charms!B3967,"")</f>
        <v>#N/A</v>
      </c>
      <c r="M3967" t="str">
        <f t="shared" ca="1" si="307"/>
        <v>-</v>
      </c>
      <c r="N3967" s="18" t="str">
        <f t="shared" si="308"/>
        <v>K1622:L5000</v>
      </c>
      <c r="O3967" t="str">
        <f t="shared" si="309"/>
        <v>A1622:A3967</v>
      </c>
    </row>
    <row r="3968" spans="1:15">
      <c r="A3968" s="18">
        <f>Charms!K3968</f>
        <v>0</v>
      </c>
      <c r="B3968">
        <f>Charms!B3968</f>
        <v>0</v>
      </c>
      <c r="C3968" t="b">
        <f ca="1">OR(Values!$S$98&gt;=Charms!M3968,IFERROR(Charms!J3968=OFFSET(Values!$A$24,MATCH("S",Values!$T$25:$T$50,0),0),FALSE))</f>
        <v>1</v>
      </c>
      <c r="D3968" t="e">
        <f>VLOOKUP(Charms!J3968,Values!$A$11:$S$59,19,0)&gt;=Charms!L3968</f>
        <v>#N/A</v>
      </c>
      <c r="E3968" t="e">
        <f>OR(ISBLANK(Charms!I3968),(VLOOKUP(Values!$S$6,Castes!$B$2:$F$25,4,0)=Charms!I3968))</f>
        <v>#N/A</v>
      </c>
      <c r="J3968" t="e">
        <f t="shared" ca="1" si="306"/>
        <v>#N/A</v>
      </c>
      <c r="K3968" s="18" t="e">
        <f t="shared" ca="1" si="305"/>
        <v>#N/A</v>
      </c>
      <c r="L3968" t="e">
        <f ca="1">IF(J3968,Charms!B3968,"")</f>
        <v>#N/A</v>
      </c>
      <c r="M3968" t="str">
        <f t="shared" ca="1" si="307"/>
        <v>-</v>
      </c>
      <c r="N3968" s="18" t="str">
        <f t="shared" si="308"/>
        <v>K1622:L5000</v>
      </c>
      <c r="O3968" t="str">
        <f t="shared" si="309"/>
        <v>A1622:A3968</v>
      </c>
    </row>
    <row r="3969" spans="1:15">
      <c r="A3969" s="18">
        <f>Charms!K3969</f>
        <v>0</v>
      </c>
      <c r="B3969">
        <f>Charms!B3969</f>
        <v>0</v>
      </c>
      <c r="C3969" t="b">
        <f ca="1">OR(Values!$S$98&gt;=Charms!M3969,IFERROR(Charms!J3969=OFFSET(Values!$A$24,MATCH("S",Values!$T$25:$T$50,0),0),FALSE))</f>
        <v>1</v>
      </c>
      <c r="D3969" t="e">
        <f>VLOOKUP(Charms!J3969,Values!$A$11:$S$59,19,0)&gt;=Charms!L3969</f>
        <v>#N/A</v>
      </c>
      <c r="E3969" t="e">
        <f>OR(ISBLANK(Charms!I3969),(VLOOKUP(Values!$S$6,Castes!$B$2:$F$25,4,0)=Charms!I3969))</f>
        <v>#N/A</v>
      </c>
      <c r="J3969" t="e">
        <f t="shared" ca="1" si="306"/>
        <v>#N/A</v>
      </c>
      <c r="K3969" s="18" t="e">
        <f t="shared" ca="1" si="305"/>
        <v>#N/A</v>
      </c>
      <c r="L3969" t="e">
        <f ca="1">IF(J3969,Charms!B3969,"")</f>
        <v>#N/A</v>
      </c>
      <c r="M3969" t="str">
        <f t="shared" ca="1" si="307"/>
        <v>-</v>
      </c>
      <c r="N3969" s="18" t="str">
        <f t="shared" si="308"/>
        <v>K1622:L5000</v>
      </c>
      <c r="O3969" t="str">
        <f t="shared" si="309"/>
        <v>A1622:A3969</v>
      </c>
    </row>
    <row r="3970" spans="1:15">
      <c r="A3970" s="18">
        <f>Charms!K3970</f>
        <v>0</v>
      </c>
      <c r="B3970">
        <f>Charms!B3970</f>
        <v>0</v>
      </c>
      <c r="C3970" t="b">
        <f ca="1">OR(Values!$S$98&gt;=Charms!M3970,IFERROR(Charms!J3970=OFFSET(Values!$A$24,MATCH("S",Values!$T$25:$T$50,0),0),FALSE))</f>
        <v>1</v>
      </c>
      <c r="D3970" t="e">
        <f>VLOOKUP(Charms!J3970,Values!$A$11:$S$59,19,0)&gt;=Charms!L3970</f>
        <v>#N/A</v>
      </c>
      <c r="E3970" t="e">
        <f>OR(ISBLANK(Charms!I3970),(VLOOKUP(Values!$S$6,Castes!$B$2:$F$25,4,0)=Charms!I3970))</f>
        <v>#N/A</v>
      </c>
      <c r="J3970" t="e">
        <f t="shared" ca="1" si="306"/>
        <v>#N/A</v>
      </c>
      <c r="K3970" s="18" t="e">
        <f t="shared" ref="K3970:K4033" ca="1" si="310">IF(L3970="","",COUNTIF(INDIRECT("J"&amp;MATCH(A3970,A:A,0)&amp;":J"&amp;ROW()),J3970))</f>
        <v>#N/A</v>
      </c>
      <c r="L3970" t="e">
        <f ca="1">IF(J3970,Charms!B3970,"")</f>
        <v>#N/A</v>
      </c>
      <c r="M3970" t="str">
        <f t="shared" ca="1" si="307"/>
        <v>-</v>
      </c>
      <c r="N3970" s="18" t="str">
        <f t="shared" si="308"/>
        <v>K1622:L5000</v>
      </c>
      <c r="O3970" t="str">
        <f t="shared" si="309"/>
        <v>A1622:A3970</v>
      </c>
    </row>
    <row r="3971" spans="1:15">
      <c r="A3971" s="18">
        <f>Charms!K3971</f>
        <v>0</v>
      </c>
      <c r="B3971">
        <f>Charms!B3971</f>
        <v>0</v>
      </c>
      <c r="C3971" t="b">
        <f ca="1">OR(Values!$S$98&gt;=Charms!M3971,IFERROR(Charms!J3971=OFFSET(Values!$A$24,MATCH("S",Values!$T$25:$T$50,0),0),FALSE))</f>
        <v>1</v>
      </c>
      <c r="D3971" t="e">
        <f>VLOOKUP(Charms!J3971,Values!$A$11:$S$59,19,0)&gt;=Charms!L3971</f>
        <v>#N/A</v>
      </c>
      <c r="E3971" t="e">
        <f>OR(ISBLANK(Charms!I3971),(VLOOKUP(Values!$S$6,Castes!$B$2:$F$25,4,0)=Charms!I3971))</f>
        <v>#N/A</v>
      </c>
      <c r="J3971" t="e">
        <f t="shared" ref="J3971:J4034" ca="1" si="311">(C3971+D3971+E3971+F3971+G3971+H3971+I3971)=3</f>
        <v>#N/A</v>
      </c>
      <c r="K3971" s="18" t="e">
        <f t="shared" ca="1" si="310"/>
        <v>#N/A</v>
      </c>
      <c r="L3971" t="e">
        <f ca="1">IF(J3971,Charms!B3971,"")</f>
        <v>#N/A</v>
      </c>
      <c r="M3971" t="str">
        <f t="shared" ref="M3971:M4034" ca="1" si="312">IFERROR(VLOOKUP(COUNTIF(INDIRECT(O3971),A3971),INDIRECT(N3971),2,0),"-")</f>
        <v>-</v>
      </c>
      <c r="N3971" s="18" t="str">
        <f t="shared" ref="N3971:N4034" si="313">"K"&amp;MATCH(A3971,A:A,0)&amp;":L"&amp;(MATCH(A3971,A:A,0)+COUNTIF(A:A,A3971)-1)</f>
        <v>K1622:L5000</v>
      </c>
      <c r="O3971" t="str">
        <f t="shared" ref="O3971:O4034" si="314">"A"&amp;MATCH(A3971,A:A,0)&amp;":A"&amp;ROW()</f>
        <v>A1622:A3971</v>
      </c>
    </row>
    <row r="3972" spans="1:15">
      <c r="A3972" s="18">
        <f>Charms!K3972</f>
        <v>0</v>
      </c>
      <c r="B3972">
        <f>Charms!B3972</f>
        <v>0</v>
      </c>
      <c r="C3972" t="b">
        <f ca="1">OR(Values!$S$98&gt;=Charms!M3972,IFERROR(Charms!J3972=OFFSET(Values!$A$24,MATCH("S",Values!$T$25:$T$50,0),0),FALSE))</f>
        <v>1</v>
      </c>
      <c r="D3972" t="e">
        <f>VLOOKUP(Charms!J3972,Values!$A$11:$S$59,19,0)&gt;=Charms!L3972</f>
        <v>#N/A</v>
      </c>
      <c r="E3972" t="e">
        <f>OR(ISBLANK(Charms!I3972),(VLOOKUP(Values!$S$6,Castes!$B$2:$F$25,4,0)=Charms!I3972))</f>
        <v>#N/A</v>
      </c>
      <c r="J3972" t="e">
        <f t="shared" ca="1" si="311"/>
        <v>#N/A</v>
      </c>
      <c r="K3972" s="18" t="e">
        <f t="shared" ca="1" si="310"/>
        <v>#N/A</v>
      </c>
      <c r="L3972" t="e">
        <f ca="1">IF(J3972,Charms!B3972,"")</f>
        <v>#N/A</v>
      </c>
      <c r="M3972" t="str">
        <f t="shared" ca="1" si="312"/>
        <v>-</v>
      </c>
      <c r="N3972" s="18" t="str">
        <f t="shared" si="313"/>
        <v>K1622:L5000</v>
      </c>
      <c r="O3972" t="str">
        <f t="shared" si="314"/>
        <v>A1622:A3972</v>
      </c>
    </row>
    <row r="3973" spans="1:15">
      <c r="A3973" s="18">
        <f>Charms!K3973</f>
        <v>0</v>
      </c>
      <c r="B3973">
        <f>Charms!B3973</f>
        <v>0</v>
      </c>
      <c r="C3973" t="b">
        <f ca="1">OR(Values!$S$98&gt;=Charms!M3973,IFERROR(Charms!J3973=OFFSET(Values!$A$24,MATCH("S",Values!$T$25:$T$50,0),0),FALSE))</f>
        <v>1</v>
      </c>
      <c r="D3973" t="e">
        <f>VLOOKUP(Charms!J3973,Values!$A$11:$S$59,19,0)&gt;=Charms!L3973</f>
        <v>#N/A</v>
      </c>
      <c r="E3973" t="e">
        <f>OR(ISBLANK(Charms!I3973),(VLOOKUP(Values!$S$6,Castes!$B$2:$F$25,4,0)=Charms!I3973))</f>
        <v>#N/A</v>
      </c>
      <c r="J3973" t="e">
        <f t="shared" ca="1" si="311"/>
        <v>#N/A</v>
      </c>
      <c r="K3973" s="18" t="e">
        <f t="shared" ca="1" si="310"/>
        <v>#N/A</v>
      </c>
      <c r="L3973" t="e">
        <f ca="1">IF(J3973,Charms!B3973,"")</f>
        <v>#N/A</v>
      </c>
      <c r="M3973" t="str">
        <f t="shared" ca="1" si="312"/>
        <v>-</v>
      </c>
      <c r="N3973" s="18" t="str">
        <f t="shared" si="313"/>
        <v>K1622:L5000</v>
      </c>
      <c r="O3973" t="str">
        <f t="shared" si="314"/>
        <v>A1622:A3973</v>
      </c>
    </row>
    <row r="3974" spans="1:15">
      <c r="A3974" s="18">
        <f>Charms!K3974</f>
        <v>0</v>
      </c>
      <c r="B3974">
        <f>Charms!B3974</f>
        <v>0</v>
      </c>
      <c r="C3974" t="b">
        <f ca="1">OR(Values!$S$98&gt;=Charms!M3974,IFERROR(Charms!J3974=OFFSET(Values!$A$24,MATCH("S",Values!$T$25:$T$50,0),0),FALSE))</f>
        <v>1</v>
      </c>
      <c r="D3974" t="e">
        <f>VLOOKUP(Charms!J3974,Values!$A$11:$S$59,19,0)&gt;=Charms!L3974</f>
        <v>#N/A</v>
      </c>
      <c r="E3974" t="e">
        <f>OR(ISBLANK(Charms!I3974),(VLOOKUP(Values!$S$6,Castes!$B$2:$F$25,4,0)=Charms!I3974))</f>
        <v>#N/A</v>
      </c>
      <c r="J3974" t="e">
        <f t="shared" ca="1" si="311"/>
        <v>#N/A</v>
      </c>
      <c r="K3974" s="18" t="e">
        <f t="shared" ca="1" si="310"/>
        <v>#N/A</v>
      </c>
      <c r="L3974" t="e">
        <f ca="1">IF(J3974,Charms!B3974,"")</f>
        <v>#N/A</v>
      </c>
      <c r="M3974" t="str">
        <f t="shared" ca="1" si="312"/>
        <v>-</v>
      </c>
      <c r="N3974" s="18" t="str">
        <f t="shared" si="313"/>
        <v>K1622:L5000</v>
      </c>
      <c r="O3974" t="str">
        <f t="shared" si="314"/>
        <v>A1622:A3974</v>
      </c>
    </row>
    <row r="3975" spans="1:15">
      <c r="A3975" s="18">
        <f>Charms!K3975</f>
        <v>0</v>
      </c>
      <c r="B3975">
        <f>Charms!B3975</f>
        <v>0</v>
      </c>
      <c r="C3975" t="b">
        <f ca="1">OR(Values!$S$98&gt;=Charms!M3975,IFERROR(Charms!J3975=OFFSET(Values!$A$24,MATCH("S",Values!$T$25:$T$50,0),0),FALSE))</f>
        <v>1</v>
      </c>
      <c r="D3975" t="e">
        <f>VLOOKUP(Charms!J3975,Values!$A$11:$S$59,19,0)&gt;=Charms!L3975</f>
        <v>#N/A</v>
      </c>
      <c r="E3975" t="e">
        <f>OR(ISBLANK(Charms!I3975),(VLOOKUP(Values!$S$6,Castes!$B$2:$F$25,4,0)=Charms!I3975))</f>
        <v>#N/A</v>
      </c>
      <c r="J3975" t="e">
        <f t="shared" ca="1" si="311"/>
        <v>#N/A</v>
      </c>
      <c r="K3975" s="18" t="e">
        <f t="shared" ca="1" si="310"/>
        <v>#N/A</v>
      </c>
      <c r="L3975" t="e">
        <f ca="1">IF(J3975,Charms!B3975,"")</f>
        <v>#N/A</v>
      </c>
      <c r="M3975" t="str">
        <f t="shared" ca="1" si="312"/>
        <v>-</v>
      </c>
      <c r="N3975" s="18" t="str">
        <f t="shared" si="313"/>
        <v>K1622:L5000</v>
      </c>
      <c r="O3975" t="str">
        <f t="shared" si="314"/>
        <v>A1622:A3975</v>
      </c>
    </row>
    <row r="3976" spans="1:15">
      <c r="A3976" s="18">
        <f>Charms!K3976</f>
        <v>0</v>
      </c>
      <c r="B3976">
        <f>Charms!B3976</f>
        <v>0</v>
      </c>
      <c r="C3976" t="b">
        <f ca="1">OR(Values!$S$98&gt;=Charms!M3976,IFERROR(Charms!J3976=OFFSET(Values!$A$24,MATCH("S",Values!$T$25:$T$50,0),0),FALSE))</f>
        <v>1</v>
      </c>
      <c r="D3976" t="e">
        <f>VLOOKUP(Charms!J3976,Values!$A$11:$S$59,19,0)&gt;=Charms!L3976</f>
        <v>#N/A</v>
      </c>
      <c r="E3976" t="e">
        <f>OR(ISBLANK(Charms!I3976),(VLOOKUP(Values!$S$6,Castes!$B$2:$F$25,4,0)=Charms!I3976))</f>
        <v>#N/A</v>
      </c>
      <c r="J3976" t="e">
        <f t="shared" ca="1" si="311"/>
        <v>#N/A</v>
      </c>
      <c r="K3976" s="18" t="e">
        <f t="shared" ca="1" si="310"/>
        <v>#N/A</v>
      </c>
      <c r="L3976" t="e">
        <f ca="1">IF(J3976,Charms!B3976,"")</f>
        <v>#N/A</v>
      </c>
      <c r="M3976" t="str">
        <f t="shared" ca="1" si="312"/>
        <v>-</v>
      </c>
      <c r="N3976" s="18" t="str">
        <f t="shared" si="313"/>
        <v>K1622:L5000</v>
      </c>
      <c r="O3976" t="str">
        <f t="shared" si="314"/>
        <v>A1622:A3976</v>
      </c>
    </row>
    <row r="3977" spans="1:15">
      <c r="A3977" s="18">
        <f>Charms!K3977</f>
        <v>0</v>
      </c>
      <c r="B3977">
        <f>Charms!B3977</f>
        <v>0</v>
      </c>
      <c r="C3977" t="b">
        <f ca="1">OR(Values!$S$98&gt;=Charms!M3977,IFERROR(Charms!J3977=OFFSET(Values!$A$24,MATCH("S",Values!$T$25:$T$50,0),0),FALSE))</f>
        <v>1</v>
      </c>
      <c r="D3977" t="e">
        <f>VLOOKUP(Charms!J3977,Values!$A$11:$S$59,19,0)&gt;=Charms!L3977</f>
        <v>#N/A</v>
      </c>
      <c r="E3977" t="e">
        <f>OR(ISBLANK(Charms!I3977),(VLOOKUP(Values!$S$6,Castes!$B$2:$F$25,4,0)=Charms!I3977))</f>
        <v>#N/A</v>
      </c>
      <c r="J3977" t="e">
        <f t="shared" ca="1" si="311"/>
        <v>#N/A</v>
      </c>
      <c r="K3977" s="18" t="e">
        <f t="shared" ca="1" si="310"/>
        <v>#N/A</v>
      </c>
      <c r="L3977" t="e">
        <f ca="1">IF(J3977,Charms!B3977,"")</f>
        <v>#N/A</v>
      </c>
      <c r="M3977" t="str">
        <f t="shared" ca="1" si="312"/>
        <v>-</v>
      </c>
      <c r="N3977" s="18" t="str">
        <f t="shared" si="313"/>
        <v>K1622:L5000</v>
      </c>
      <c r="O3977" t="str">
        <f t="shared" si="314"/>
        <v>A1622:A3977</v>
      </c>
    </row>
    <row r="3978" spans="1:15">
      <c r="A3978" s="18">
        <f>Charms!K3978</f>
        <v>0</v>
      </c>
      <c r="B3978">
        <f>Charms!B3978</f>
        <v>0</v>
      </c>
      <c r="C3978" t="b">
        <f ca="1">OR(Values!$S$98&gt;=Charms!M3978,IFERROR(Charms!J3978=OFFSET(Values!$A$24,MATCH("S",Values!$T$25:$T$50,0),0),FALSE))</f>
        <v>1</v>
      </c>
      <c r="D3978" t="e">
        <f>VLOOKUP(Charms!J3978,Values!$A$11:$S$59,19,0)&gt;=Charms!L3978</f>
        <v>#N/A</v>
      </c>
      <c r="E3978" t="e">
        <f>OR(ISBLANK(Charms!I3978),(VLOOKUP(Values!$S$6,Castes!$B$2:$F$25,4,0)=Charms!I3978))</f>
        <v>#N/A</v>
      </c>
      <c r="J3978" t="e">
        <f t="shared" ca="1" si="311"/>
        <v>#N/A</v>
      </c>
      <c r="K3978" s="18" t="e">
        <f t="shared" ca="1" si="310"/>
        <v>#N/A</v>
      </c>
      <c r="L3978" t="e">
        <f ca="1">IF(J3978,Charms!B3978,"")</f>
        <v>#N/A</v>
      </c>
      <c r="M3978" t="str">
        <f t="shared" ca="1" si="312"/>
        <v>-</v>
      </c>
      <c r="N3978" s="18" t="str">
        <f t="shared" si="313"/>
        <v>K1622:L5000</v>
      </c>
      <c r="O3978" t="str">
        <f t="shared" si="314"/>
        <v>A1622:A3978</v>
      </c>
    </row>
    <row r="3979" spans="1:15">
      <c r="A3979" s="18">
        <f>Charms!K3979</f>
        <v>0</v>
      </c>
      <c r="B3979">
        <f>Charms!B3979</f>
        <v>0</v>
      </c>
      <c r="C3979" t="b">
        <f ca="1">OR(Values!$S$98&gt;=Charms!M3979,IFERROR(Charms!J3979=OFFSET(Values!$A$24,MATCH("S",Values!$T$25:$T$50,0),0),FALSE))</f>
        <v>1</v>
      </c>
      <c r="D3979" t="e">
        <f>VLOOKUP(Charms!J3979,Values!$A$11:$S$59,19,0)&gt;=Charms!L3979</f>
        <v>#N/A</v>
      </c>
      <c r="E3979" t="e">
        <f>OR(ISBLANK(Charms!I3979),(VLOOKUP(Values!$S$6,Castes!$B$2:$F$25,4,0)=Charms!I3979))</f>
        <v>#N/A</v>
      </c>
      <c r="J3979" t="e">
        <f t="shared" ca="1" si="311"/>
        <v>#N/A</v>
      </c>
      <c r="K3979" s="18" t="e">
        <f t="shared" ca="1" si="310"/>
        <v>#N/A</v>
      </c>
      <c r="L3979" t="e">
        <f ca="1">IF(J3979,Charms!B3979,"")</f>
        <v>#N/A</v>
      </c>
      <c r="M3979" t="str">
        <f t="shared" ca="1" si="312"/>
        <v>-</v>
      </c>
      <c r="N3979" s="18" t="str">
        <f t="shared" si="313"/>
        <v>K1622:L5000</v>
      </c>
      <c r="O3979" t="str">
        <f t="shared" si="314"/>
        <v>A1622:A3979</v>
      </c>
    </row>
    <row r="3980" spans="1:15">
      <c r="A3980" s="18">
        <f>Charms!K3980</f>
        <v>0</v>
      </c>
      <c r="B3980">
        <f>Charms!B3980</f>
        <v>0</v>
      </c>
      <c r="C3980" t="b">
        <f ca="1">OR(Values!$S$98&gt;=Charms!M3980,IFERROR(Charms!J3980=OFFSET(Values!$A$24,MATCH("S",Values!$T$25:$T$50,0),0),FALSE))</f>
        <v>1</v>
      </c>
      <c r="D3980" t="e">
        <f>VLOOKUP(Charms!J3980,Values!$A$11:$S$59,19,0)&gt;=Charms!L3980</f>
        <v>#N/A</v>
      </c>
      <c r="E3980" t="e">
        <f>OR(ISBLANK(Charms!I3980),(VLOOKUP(Values!$S$6,Castes!$B$2:$F$25,4,0)=Charms!I3980))</f>
        <v>#N/A</v>
      </c>
      <c r="J3980" t="e">
        <f t="shared" ca="1" si="311"/>
        <v>#N/A</v>
      </c>
      <c r="K3980" s="18" t="e">
        <f t="shared" ca="1" si="310"/>
        <v>#N/A</v>
      </c>
      <c r="L3980" t="e">
        <f ca="1">IF(J3980,Charms!B3980,"")</f>
        <v>#N/A</v>
      </c>
      <c r="M3980" t="str">
        <f t="shared" ca="1" si="312"/>
        <v>-</v>
      </c>
      <c r="N3980" s="18" t="str">
        <f t="shared" si="313"/>
        <v>K1622:L5000</v>
      </c>
      <c r="O3980" t="str">
        <f t="shared" si="314"/>
        <v>A1622:A3980</v>
      </c>
    </row>
    <row r="3981" spans="1:15">
      <c r="A3981" s="18">
        <f>Charms!K3981</f>
        <v>0</v>
      </c>
      <c r="B3981">
        <f>Charms!B3981</f>
        <v>0</v>
      </c>
      <c r="C3981" t="b">
        <f ca="1">OR(Values!$S$98&gt;=Charms!M3981,IFERROR(Charms!J3981=OFFSET(Values!$A$24,MATCH("S",Values!$T$25:$T$50,0),0),FALSE))</f>
        <v>1</v>
      </c>
      <c r="D3981" t="e">
        <f>VLOOKUP(Charms!J3981,Values!$A$11:$S$59,19,0)&gt;=Charms!L3981</f>
        <v>#N/A</v>
      </c>
      <c r="E3981" t="e">
        <f>OR(ISBLANK(Charms!I3981),(VLOOKUP(Values!$S$6,Castes!$B$2:$F$25,4,0)=Charms!I3981))</f>
        <v>#N/A</v>
      </c>
      <c r="J3981" t="e">
        <f t="shared" ca="1" si="311"/>
        <v>#N/A</v>
      </c>
      <c r="K3981" s="18" t="e">
        <f t="shared" ca="1" si="310"/>
        <v>#N/A</v>
      </c>
      <c r="L3981" t="e">
        <f ca="1">IF(J3981,Charms!B3981,"")</f>
        <v>#N/A</v>
      </c>
      <c r="M3981" t="str">
        <f t="shared" ca="1" si="312"/>
        <v>-</v>
      </c>
      <c r="N3981" s="18" t="str">
        <f t="shared" si="313"/>
        <v>K1622:L5000</v>
      </c>
      <c r="O3981" t="str">
        <f t="shared" si="314"/>
        <v>A1622:A3981</v>
      </c>
    </row>
    <row r="3982" spans="1:15">
      <c r="A3982" s="18">
        <f>Charms!K3982</f>
        <v>0</v>
      </c>
      <c r="B3982">
        <f>Charms!B3982</f>
        <v>0</v>
      </c>
      <c r="C3982" t="b">
        <f ca="1">OR(Values!$S$98&gt;=Charms!M3982,IFERROR(Charms!J3982=OFFSET(Values!$A$24,MATCH("S",Values!$T$25:$T$50,0),0),FALSE))</f>
        <v>1</v>
      </c>
      <c r="D3982" t="e">
        <f>VLOOKUP(Charms!J3982,Values!$A$11:$S$59,19,0)&gt;=Charms!L3982</f>
        <v>#N/A</v>
      </c>
      <c r="E3982" t="e">
        <f>OR(ISBLANK(Charms!I3982),(VLOOKUP(Values!$S$6,Castes!$B$2:$F$25,4,0)=Charms!I3982))</f>
        <v>#N/A</v>
      </c>
      <c r="J3982" t="e">
        <f t="shared" ca="1" si="311"/>
        <v>#N/A</v>
      </c>
      <c r="K3982" s="18" t="e">
        <f t="shared" ca="1" si="310"/>
        <v>#N/A</v>
      </c>
      <c r="L3982" t="e">
        <f ca="1">IF(J3982,Charms!B3982,"")</f>
        <v>#N/A</v>
      </c>
      <c r="M3982" t="str">
        <f t="shared" ca="1" si="312"/>
        <v>-</v>
      </c>
      <c r="N3982" s="18" t="str">
        <f t="shared" si="313"/>
        <v>K1622:L5000</v>
      </c>
      <c r="O3982" t="str">
        <f t="shared" si="314"/>
        <v>A1622:A3982</v>
      </c>
    </row>
    <row r="3983" spans="1:15">
      <c r="A3983" s="18">
        <f>Charms!K3983</f>
        <v>0</v>
      </c>
      <c r="B3983">
        <f>Charms!B3983</f>
        <v>0</v>
      </c>
      <c r="C3983" t="b">
        <f ca="1">OR(Values!$S$98&gt;=Charms!M3983,IFERROR(Charms!J3983=OFFSET(Values!$A$24,MATCH("S",Values!$T$25:$T$50,0),0),FALSE))</f>
        <v>1</v>
      </c>
      <c r="D3983" t="e">
        <f>VLOOKUP(Charms!J3983,Values!$A$11:$S$59,19,0)&gt;=Charms!L3983</f>
        <v>#N/A</v>
      </c>
      <c r="E3983" t="e">
        <f>OR(ISBLANK(Charms!I3983),(VLOOKUP(Values!$S$6,Castes!$B$2:$F$25,4,0)=Charms!I3983))</f>
        <v>#N/A</v>
      </c>
      <c r="J3983" t="e">
        <f t="shared" ca="1" si="311"/>
        <v>#N/A</v>
      </c>
      <c r="K3983" s="18" t="e">
        <f t="shared" ca="1" si="310"/>
        <v>#N/A</v>
      </c>
      <c r="L3983" t="e">
        <f ca="1">IF(J3983,Charms!B3983,"")</f>
        <v>#N/A</v>
      </c>
      <c r="M3983" t="str">
        <f t="shared" ca="1" si="312"/>
        <v>-</v>
      </c>
      <c r="N3983" s="18" t="str">
        <f t="shared" si="313"/>
        <v>K1622:L5000</v>
      </c>
      <c r="O3983" t="str">
        <f t="shared" si="314"/>
        <v>A1622:A3983</v>
      </c>
    </row>
    <row r="3984" spans="1:15">
      <c r="A3984" s="18">
        <f>Charms!K3984</f>
        <v>0</v>
      </c>
      <c r="B3984">
        <f>Charms!B3984</f>
        <v>0</v>
      </c>
      <c r="C3984" t="b">
        <f ca="1">OR(Values!$S$98&gt;=Charms!M3984,IFERROR(Charms!J3984=OFFSET(Values!$A$24,MATCH("S",Values!$T$25:$T$50,0),0),FALSE))</f>
        <v>1</v>
      </c>
      <c r="D3984" t="e">
        <f>VLOOKUP(Charms!J3984,Values!$A$11:$S$59,19,0)&gt;=Charms!L3984</f>
        <v>#N/A</v>
      </c>
      <c r="E3984" t="e">
        <f>OR(ISBLANK(Charms!I3984),(VLOOKUP(Values!$S$6,Castes!$B$2:$F$25,4,0)=Charms!I3984))</f>
        <v>#N/A</v>
      </c>
      <c r="J3984" t="e">
        <f t="shared" ca="1" si="311"/>
        <v>#N/A</v>
      </c>
      <c r="K3984" s="18" t="e">
        <f t="shared" ca="1" si="310"/>
        <v>#N/A</v>
      </c>
      <c r="L3984" t="e">
        <f ca="1">IF(J3984,Charms!B3984,"")</f>
        <v>#N/A</v>
      </c>
      <c r="M3984" t="str">
        <f t="shared" ca="1" si="312"/>
        <v>-</v>
      </c>
      <c r="N3984" s="18" t="str">
        <f t="shared" si="313"/>
        <v>K1622:L5000</v>
      </c>
      <c r="O3984" t="str">
        <f t="shared" si="314"/>
        <v>A1622:A3984</v>
      </c>
    </row>
    <row r="3985" spans="1:15">
      <c r="A3985" s="18">
        <f>Charms!K3985</f>
        <v>0</v>
      </c>
      <c r="B3985">
        <f>Charms!B3985</f>
        <v>0</v>
      </c>
      <c r="C3985" t="b">
        <f ca="1">OR(Values!$S$98&gt;=Charms!M3985,IFERROR(Charms!J3985=OFFSET(Values!$A$24,MATCH("S",Values!$T$25:$T$50,0),0),FALSE))</f>
        <v>1</v>
      </c>
      <c r="D3985" t="e">
        <f>VLOOKUP(Charms!J3985,Values!$A$11:$S$59,19,0)&gt;=Charms!L3985</f>
        <v>#N/A</v>
      </c>
      <c r="E3985" t="e">
        <f>OR(ISBLANK(Charms!I3985),(VLOOKUP(Values!$S$6,Castes!$B$2:$F$25,4,0)=Charms!I3985))</f>
        <v>#N/A</v>
      </c>
      <c r="J3985" t="e">
        <f t="shared" ca="1" si="311"/>
        <v>#N/A</v>
      </c>
      <c r="K3985" s="18" t="e">
        <f t="shared" ca="1" si="310"/>
        <v>#N/A</v>
      </c>
      <c r="L3985" t="e">
        <f ca="1">IF(J3985,Charms!B3985,"")</f>
        <v>#N/A</v>
      </c>
      <c r="M3985" t="str">
        <f t="shared" ca="1" si="312"/>
        <v>-</v>
      </c>
      <c r="N3985" s="18" t="str">
        <f t="shared" si="313"/>
        <v>K1622:L5000</v>
      </c>
      <c r="O3985" t="str">
        <f t="shared" si="314"/>
        <v>A1622:A3985</v>
      </c>
    </row>
    <row r="3986" spans="1:15">
      <c r="A3986" s="18">
        <f>Charms!K3986</f>
        <v>0</v>
      </c>
      <c r="B3986">
        <f>Charms!B3986</f>
        <v>0</v>
      </c>
      <c r="C3986" t="b">
        <f ca="1">OR(Values!$S$98&gt;=Charms!M3986,IFERROR(Charms!J3986=OFFSET(Values!$A$24,MATCH("S",Values!$T$25:$T$50,0),0),FALSE))</f>
        <v>1</v>
      </c>
      <c r="D3986" t="e">
        <f>VLOOKUP(Charms!J3986,Values!$A$11:$S$59,19,0)&gt;=Charms!L3986</f>
        <v>#N/A</v>
      </c>
      <c r="E3986" t="e">
        <f>OR(ISBLANK(Charms!I3986),(VLOOKUP(Values!$S$6,Castes!$B$2:$F$25,4,0)=Charms!I3986))</f>
        <v>#N/A</v>
      </c>
      <c r="J3986" t="e">
        <f t="shared" ca="1" si="311"/>
        <v>#N/A</v>
      </c>
      <c r="K3986" s="18" t="e">
        <f t="shared" ca="1" si="310"/>
        <v>#N/A</v>
      </c>
      <c r="L3986" t="e">
        <f ca="1">IF(J3986,Charms!B3986,"")</f>
        <v>#N/A</v>
      </c>
      <c r="M3986" t="str">
        <f t="shared" ca="1" si="312"/>
        <v>-</v>
      </c>
      <c r="N3986" s="18" t="str">
        <f t="shared" si="313"/>
        <v>K1622:L5000</v>
      </c>
      <c r="O3986" t="str">
        <f t="shared" si="314"/>
        <v>A1622:A3986</v>
      </c>
    </row>
    <row r="3987" spans="1:15">
      <c r="A3987" s="18">
        <f>Charms!K3987</f>
        <v>0</v>
      </c>
      <c r="B3987">
        <f>Charms!B3987</f>
        <v>0</v>
      </c>
      <c r="C3987" t="b">
        <f ca="1">OR(Values!$S$98&gt;=Charms!M3987,IFERROR(Charms!J3987=OFFSET(Values!$A$24,MATCH("S",Values!$T$25:$T$50,0),0),FALSE))</f>
        <v>1</v>
      </c>
      <c r="D3987" t="e">
        <f>VLOOKUP(Charms!J3987,Values!$A$11:$S$59,19,0)&gt;=Charms!L3987</f>
        <v>#N/A</v>
      </c>
      <c r="E3987" t="e">
        <f>OR(ISBLANK(Charms!I3987),(VLOOKUP(Values!$S$6,Castes!$B$2:$F$25,4,0)=Charms!I3987))</f>
        <v>#N/A</v>
      </c>
      <c r="J3987" t="e">
        <f t="shared" ca="1" si="311"/>
        <v>#N/A</v>
      </c>
      <c r="K3987" s="18" t="e">
        <f t="shared" ca="1" si="310"/>
        <v>#N/A</v>
      </c>
      <c r="L3987" t="e">
        <f ca="1">IF(J3987,Charms!B3987,"")</f>
        <v>#N/A</v>
      </c>
      <c r="M3987" t="str">
        <f t="shared" ca="1" si="312"/>
        <v>-</v>
      </c>
      <c r="N3987" s="18" t="str">
        <f t="shared" si="313"/>
        <v>K1622:L5000</v>
      </c>
      <c r="O3987" t="str">
        <f t="shared" si="314"/>
        <v>A1622:A3987</v>
      </c>
    </row>
    <row r="3988" spans="1:15">
      <c r="A3988" s="18">
        <f>Charms!K3988</f>
        <v>0</v>
      </c>
      <c r="B3988">
        <f>Charms!B3988</f>
        <v>0</v>
      </c>
      <c r="C3988" t="b">
        <f ca="1">OR(Values!$S$98&gt;=Charms!M3988,IFERROR(Charms!J3988=OFFSET(Values!$A$24,MATCH("S",Values!$T$25:$T$50,0),0),FALSE))</f>
        <v>1</v>
      </c>
      <c r="D3988" t="e">
        <f>VLOOKUP(Charms!J3988,Values!$A$11:$S$59,19,0)&gt;=Charms!L3988</f>
        <v>#N/A</v>
      </c>
      <c r="E3988" t="e">
        <f>OR(ISBLANK(Charms!I3988),(VLOOKUP(Values!$S$6,Castes!$B$2:$F$25,4,0)=Charms!I3988))</f>
        <v>#N/A</v>
      </c>
      <c r="J3988" t="e">
        <f t="shared" ca="1" si="311"/>
        <v>#N/A</v>
      </c>
      <c r="K3988" s="18" t="e">
        <f t="shared" ca="1" si="310"/>
        <v>#N/A</v>
      </c>
      <c r="L3988" t="e">
        <f ca="1">IF(J3988,Charms!B3988,"")</f>
        <v>#N/A</v>
      </c>
      <c r="M3988" t="str">
        <f t="shared" ca="1" si="312"/>
        <v>-</v>
      </c>
      <c r="N3988" s="18" t="str">
        <f t="shared" si="313"/>
        <v>K1622:L5000</v>
      </c>
      <c r="O3988" t="str">
        <f t="shared" si="314"/>
        <v>A1622:A3988</v>
      </c>
    </row>
    <row r="3989" spans="1:15">
      <c r="A3989" s="18">
        <f>Charms!K3989</f>
        <v>0</v>
      </c>
      <c r="B3989">
        <f>Charms!B3989</f>
        <v>0</v>
      </c>
      <c r="C3989" t="b">
        <f ca="1">OR(Values!$S$98&gt;=Charms!M3989,IFERROR(Charms!J3989=OFFSET(Values!$A$24,MATCH("S",Values!$T$25:$T$50,0),0),FALSE))</f>
        <v>1</v>
      </c>
      <c r="D3989" t="e">
        <f>VLOOKUP(Charms!J3989,Values!$A$11:$S$59,19,0)&gt;=Charms!L3989</f>
        <v>#N/A</v>
      </c>
      <c r="E3989" t="e">
        <f>OR(ISBLANK(Charms!I3989),(VLOOKUP(Values!$S$6,Castes!$B$2:$F$25,4,0)=Charms!I3989))</f>
        <v>#N/A</v>
      </c>
      <c r="J3989" t="e">
        <f t="shared" ca="1" si="311"/>
        <v>#N/A</v>
      </c>
      <c r="K3989" s="18" t="e">
        <f t="shared" ca="1" si="310"/>
        <v>#N/A</v>
      </c>
      <c r="L3989" t="e">
        <f ca="1">IF(J3989,Charms!B3989,"")</f>
        <v>#N/A</v>
      </c>
      <c r="M3989" t="str">
        <f t="shared" ca="1" si="312"/>
        <v>-</v>
      </c>
      <c r="N3989" s="18" t="str">
        <f t="shared" si="313"/>
        <v>K1622:L5000</v>
      </c>
      <c r="O3989" t="str">
        <f t="shared" si="314"/>
        <v>A1622:A3989</v>
      </c>
    </row>
    <row r="3990" spans="1:15">
      <c r="A3990" s="18">
        <f>Charms!K3990</f>
        <v>0</v>
      </c>
      <c r="B3990">
        <f>Charms!B3990</f>
        <v>0</v>
      </c>
      <c r="C3990" t="b">
        <f ca="1">OR(Values!$S$98&gt;=Charms!M3990,IFERROR(Charms!J3990=OFFSET(Values!$A$24,MATCH("S",Values!$T$25:$T$50,0),0),FALSE))</f>
        <v>1</v>
      </c>
      <c r="D3990" t="e">
        <f>VLOOKUP(Charms!J3990,Values!$A$11:$S$59,19,0)&gt;=Charms!L3990</f>
        <v>#N/A</v>
      </c>
      <c r="E3990" t="e">
        <f>OR(ISBLANK(Charms!I3990),(VLOOKUP(Values!$S$6,Castes!$B$2:$F$25,4,0)=Charms!I3990))</f>
        <v>#N/A</v>
      </c>
      <c r="J3990" t="e">
        <f t="shared" ca="1" si="311"/>
        <v>#N/A</v>
      </c>
      <c r="K3990" s="18" t="e">
        <f t="shared" ca="1" si="310"/>
        <v>#N/A</v>
      </c>
      <c r="L3990" t="e">
        <f ca="1">IF(J3990,Charms!B3990,"")</f>
        <v>#N/A</v>
      </c>
      <c r="M3990" t="str">
        <f t="shared" ca="1" si="312"/>
        <v>-</v>
      </c>
      <c r="N3990" s="18" t="str">
        <f t="shared" si="313"/>
        <v>K1622:L5000</v>
      </c>
      <c r="O3990" t="str">
        <f t="shared" si="314"/>
        <v>A1622:A3990</v>
      </c>
    </row>
    <row r="3991" spans="1:15">
      <c r="A3991" s="18">
        <f>Charms!K3991</f>
        <v>0</v>
      </c>
      <c r="B3991">
        <f>Charms!B3991</f>
        <v>0</v>
      </c>
      <c r="C3991" t="b">
        <f ca="1">OR(Values!$S$98&gt;=Charms!M3991,IFERROR(Charms!J3991=OFFSET(Values!$A$24,MATCH("S",Values!$T$25:$T$50,0),0),FALSE))</f>
        <v>1</v>
      </c>
      <c r="D3991" t="e">
        <f>VLOOKUP(Charms!J3991,Values!$A$11:$S$59,19,0)&gt;=Charms!L3991</f>
        <v>#N/A</v>
      </c>
      <c r="E3991" t="e">
        <f>OR(ISBLANK(Charms!I3991),(VLOOKUP(Values!$S$6,Castes!$B$2:$F$25,4,0)=Charms!I3991))</f>
        <v>#N/A</v>
      </c>
      <c r="J3991" t="e">
        <f t="shared" ca="1" si="311"/>
        <v>#N/A</v>
      </c>
      <c r="K3991" s="18" t="e">
        <f t="shared" ca="1" si="310"/>
        <v>#N/A</v>
      </c>
      <c r="L3991" t="e">
        <f ca="1">IF(J3991,Charms!B3991,"")</f>
        <v>#N/A</v>
      </c>
      <c r="M3991" t="str">
        <f t="shared" ca="1" si="312"/>
        <v>-</v>
      </c>
      <c r="N3991" s="18" t="str">
        <f t="shared" si="313"/>
        <v>K1622:L5000</v>
      </c>
      <c r="O3991" t="str">
        <f t="shared" si="314"/>
        <v>A1622:A3991</v>
      </c>
    </row>
    <row r="3992" spans="1:15">
      <c r="A3992" s="18">
        <f>Charms!K3992</f>
        <v>0</v>
      </c>
      <c r="B3992">
        <f>Charms!B3992</f>
        <v>0</v>
      </c>
      <c r="C3992" t="b">
        <f ca="1">OR(Values!$S$98&gt;=Charms!M3992,IFERROR(Charms!J3992=OFFSET(Values!$A$24,MATCH("S",Values!$T$25:$T$50,0),0),FALSE))</f>
        <v>1</v>
      </c>
      <c r="D3992" t="e">
        <f>VLOOKUP(Charms!J3992,Values!$A$11:$S$59,19,0)&gt;=Charms!L3992</f>
        <v>#N/A</v>
      </c>
      <c r="E3992" t="e">
        <f>OR(ISBLANK(Charms!I3992),(VLOOKUP(Values!$S$6,Castes!$B$2:$F$25,4,0)=Charms!I3992))</f>
        <v>#N/A</v>
      </c>
      <c r="J3992" t="e">
        <f t="shared" ca="1" si="311"/>
        <v>#N/A</v>
      </c>
      <c r="K3992" s="18" t="e">
        <f t="shared" ca="1" si="310"/>
        <v>#N/A</v>
      </c>
      <c r="L3992" t="e">
        <f ca="1">IF(J3992,Charms!B3992,"")</f>
        <v>#N/A</v>
      </c>
      <c r="M3992" t="str">
        <f t="shared" ca="1" si="312"/>
        <v>-</v>
      </c>
      <c r="N3992" s="18" t="str">
        <f t="shared" si="313"/>
        <v>K1622:L5000</v>
      </c>
      <c r="O3992" t="str">
        <f t="shared" si="314"/>
        <v>A1622:A3992</v>
      </c>
    </row>
    <row r="3993" spans="1:15">
      <c r="A3993" s="18">
        <f>Charms!K3993</f>
        <v>0</v>
      </c>
      <c r="B3993">
        <f>Charms!B3993</f>
        <v>0</v>
      </c>
      <c r="C3993" t="b">
        <f ca="1">OR(Values!$S$98&gt;=Charms!M3993,IFERROR(Charms!J3993=OFFSET(Values!$A$24,MATCH("S",Values!$T$25:$T$50,0),0),FALSE))</f>
        <v>1</v>
      </c>
      <c r="D3993" t="e">
        <f>VLOOKUP(Charms!J3993,Values!$A$11:$S$59,19,0)&gt;=Charms!L3993</f>
        <v>#N/A</v>
      </c>
      <c r="E3993" t="e">
        <f>OR(ISBLANK(Charms!I3993),(VLOOKUP(Values!$S$6,Castes!$B$2:$F$25,4,0)=Charms!I3993))</f>
        <v>#N/A</v>
      </c>
      <c r="J3993" t="e">
        <f t="shared" ca="1" si="311"/>
        <v>#N/A</v>
      </c>
      <c r="K3993" s="18" t="e">
        <f t="shared" ca="1" si="310"/>
        <v>#N/A</v>
      </c>
      <c r="L3993" t="e">
        <f ca="1">IF(J3993,Charms!B3993,"")</f>
        <v>#N/A</v>
      </c>
      <c r="M3993" t="str">
        <f t="shared" ca="1" si="312"/>
        <v>-</v>
      </c>
      <c r="N3993" s="18" t="str">
        <f t="shared" si="313"/>
        <v>K1622:L5000</v>
      </c>
      <c r="O3993" t="str">
        <f t="shared" si="314"/>
        <v>A1622:A3993</v>
      </c>
    </row>
    <row r="3994" spans="1:15">
      <c r="A3994" s="18">
        <f>Charms!K3994</f>
        <v>0</v>
      </c>
      <c r="B3994">
        <f>Charms!B3994</f>
        <v>0</v>
      </c>
      <c r="C3994" t="b">
        <f ca="1">OR(Values!$S$98&gt;=Charms!M3994,IFERROR(Charms!J3994=OFFSET(Values!$A$24,MATCH("S",Values!$T$25:$T$50,0),0),FALSE))</f>
        <v>1</v>
      </c>
      <c r="D3994" t="e">
        <f>VLOOKUP(Charms!J3994,Values!$A$11:$S$59,19,0)&gt;=Charms!L3994</f>
        <v>#N/A</v>
      </c>
      <c r="E3994" t="e">
        <f>OR(ISBLANK(Charms!I3994),(VLOOKUP(Values!$S$6,Castes!$B$2:$F$25,4,0)=Charms!I3994))</f>
        <v>#N/A</v>
      </c>
      <c r="J3994" t="e">
        <f t="shared" ca="1" si="311"/>
        <v>#N/A</v>
      </c>
      <c r="K3994" s="18" t="e">
        <f t="shared" ca="1" si="310"/>
        <v>#N/A</v>
      </c>
      <c r="L3994" t="e">
        <f ca="1">IF(J3994,Charms!B3994,"")</f>
        <v>#N/A</v>
      </c>
      <c r="M3994" t="str">
        <f t="shared" ca="1" si="312"/>
        <v>-</v>
      </c>
      <c r="N3994" s="18" t="str">
        <f t="shared" si="313"/>
        <v>K1622:L5000</v>
      </c>
      <c r="O3994" t="str">
        <f t="shared" si="314"/>
        <v>A1622:A3994</v>
      </c>
    </row>
    <row r="3995" spans="1:15">
      <c r="A3995" s="18">
        <f>Charms!K3995</f>
        <v>0</v>
      </c>
      <c r="B3995">
        <f>Charms!B3995</f>
        <v>0</v>
      </c>
      <c r="C3995" t="b">
        <f ca="1">OR(Values!$S$98&gt;=Charms!M3995,IFERROR(Charms!J3995=OFFSET(Values!$A$24,MATCH("S",Values!$T$25:$T$50,0),0),FALSE))</f>
        <v>1</v>
      </c>
      <c r="D3995" t="e">
        <f>VLOOKUP(Charms!J3995,Values!$A$11:$S$59,19,0)&gt;=Charms!L3995</f>
        <v>#N/A</v>
      </c>
      <c r="E3995" t="e">
        <f>OR(ISBLANK(Charms!I3995),(VLOOKUP(Values!$S$6,Castes!$B$2:$F$25,4,0)=Charms!I3995))</f>
        <v>#N/A</v>
      </c>
      <c r="J3995" t="e">
        <f t="shared" ca="1" si="311"/>
        <v>#N/A</v>
      </c>
      <c r="K3995" s="18" t="e">
        <f t="shared" ca="1" si="310"/>
        <v>#N/A</v>
      </c>
      <c r="L3995" t="e">
        <f ca="1">IF(J3995,Charms!B3995,"")</f>
        <v>#N/A</v>
      </c>
      <c r="M3995" t="str">
        <f t="shared" ca="1" si="312"/>
        <v>-</v>
      </c>
      <c r="N3995" s="18" t="str">
        <f t="shared" si="313"/>
        <v>K1622:L5000</v>
      </c>
      <c r="O3995" t="str">
        <f t="shared" si="314"/>
        <v>A1622:A3995</v>
      </c>
    </row>
    <row r="3996" spans="1:15">
      <c r="A3996" s="18">
        <f>Charms!K3996</f>
        <v>0</v>
      </c>
      <c r="B3996">
        <f>Charms!B3996</f>
        <v>0</v>
      </c>
      <c r="C3996" t="b">
        <f ca="1">OR(Values!$S$98&gt;=Charms!M3996,IFERROR(Charms!J3996=OFFSET(Values!$A$24,MATCH("S",Values!$T$25:$T$50,0),0),FALSE))</f>
        <v>1</v>
      </c>
      <c r="D3996" t="e">
        <f>VLOOKUP(Charms!J3996,Values!$A$11:$S$59,19,0)&gt;=Charms!L3996</f>
        <v>#N/A</v>
      </c>
      <c r="E3996" t="e">
        <f>OR(ISBLANK(Charms!I3996),(VLOOKUP(Values!$S$6,Castes!$B$2:$F$25,4,0)=Charms!I3996))</f>
        <v>#N/A</v>
      </c>
      <c r="J3996" t="e">
        <f t="shared" ca="1" si="311"/>
        <v>#N/A</v>
      </c>
      <c r="K3996" s="18" t="e">
        <f t="shared" ca="1" si="310"/>
        <v>#N/A</v>
      </c>
      <c r="L3996" t="e">
        <f ca="1">IF(J3996,Charms!B3996,"")</f>
        <v>#N/A</v>
      </c>
      <c r="M3996" t="str">
        <f t="shared" ca="1" si="312"/>
        <v>-</v>
      </c>
      <c r="N3996" s="18" t="str">
        <f t="shared" si="313"/>
        <v>K1622:L5000</v>
      </c>
      <c r="O3996" t="str">
        <f t="shared" si="314"/>
        <v>A1622:A3996</v>
      </c>
    </row>
    <row r="3997" spans="1:15">
      <c r="A3997" s="18">
        <f>Charms!K3997</f>
        <v>0</v>
      </c>
      <c r="B3997">
        <f>Charms!B3997</f>
        <v>0</v>
      </c>
      <c r="C3997" t="b">
        <f ca="1">OR(Values!$S$98&gt;=Charms!M3997,IFERROR(Charms!J3997=OFFSET(Values!$A$24,MATCH("S",Values!$T$25:$T$50,0),0),FALSE))</f>
        <v>1</v>
      </c>
      <c r="D3997" t="e">
        <f>VLOOKUP(Charms!J3997,Values!$A$11:$S$59,19,0)&gt;=Charms!L3997</f>
        <v>#N/A</v>
      </c>
      <c r="E3997" t="e">
        <f>OR(ISBLANK(Charms!I3997),(VLOOKUP(Values!$S$6,Castes!$B$2:$F$25,4,0)=Charms!I3997))</f>
        <v>#N/A</v>
      </c>
      <c r="J3997" t="e">
        <f t="shared" ca="1" si="311"/>
        <v>#N/A</v>
      </c>
      <c r="K3997" s="18" t="e">
        <f t="shared" ca="1" si="310"/>
        <v>#N/A</v>
      </c>
      <c r="L3997" t="e">
        <f ca="1">IF(J3997,Charms!B3997,"")</f>
        <v>#N/A</v>
      </c>
      <c r="M3997" t="str">
        <f t="shared" ca="1" si="312"/>
        <v>-</v>
      </c>
      <c r="N3997" s="18" t="str">
        <f t="shared" si="313"/>
        <v>K1622:L5000</v>
      </c>
      <c r="O3997" t="str">
        <f t="shared" si="314"/>
        <v>A1622:A3997</v>
      </c>
    </row>
    <row r="3998" spans="1:15">
      <c r="A3998" s="18">
        <f>Charms!K3998</f>
        <v>0</v>
      </c>
      <c r="B3998">
        <f>Charms!B3998</f>
        <v>0</v>
      </c>
      <c r="C3998" t="b">
        <f ca="1">OR(Values!$S$98&gt;=Charms!M3998,IFERROR(Charms!J3998=OFFSET(Values!$A$24,MATCH("S",Values!$T$25:$T$50,0),0),FALSE))</f>
        <v>1</v>
      </c>
      <c r="D3998" t="e">
        <f>VLOOKUP(Charms!J3998,Values!$A$11:$S$59,19,0)&gt;=Charms!L3998</f>
        <v>#N/A</v>
      </c>
      <c r="E3998" t="e">
        <f>OR(ISBLANK(Charms!I3998),(VLOOKUP(Values!$S$6,Castes!$B$2:$F$25,4,0)=Charms!I3998))</f>
        <v>#N/A</v>
      </c>
      <c r="J3998" t="e">
        <f t="shared" ca="1" si="311"/>
        <v>#N/A</v>
      </c>
      <c r="K3998" s="18" t="e">
        <f t="shared" ca="1" si="310"/>
        <v>#N/A</v>
      </c>
      <c r="L3998" t="e">
        <f ca="1">IF(J3998,Charms!B3998,"")</f>
        <v>#N/A</v>
      </c>
      <c r="M3998" t="str">
        <f t="shared" ca="1" si="312"/>
        <v>-</v>
      </c>
      <c r="N3998" s="18" t="str">
        <f t="shared" si="313"/>
        <v>K1622:L5000</v>
      </c>
      <c r="O3998" t="str">
        <f t="shared" si="314"/>
        <v>A1622:A3998</v>
      </c>
    </row>
    <row r="3999" spans="1:15">
      <c r="A3999" s="18">
        <f>Charms!K3999</f>
        <v>0</v>
      </c>
      <c r="B3999">
        <f>Charms!B3999</f>
        <v>0</v>
      </c>
      <c r="C3999" t="b">
        <f ca="1">OR(Values!$S$98&gt;=Charms!M3999,IFERROR(Charms!J3999=OFFSET(Values!$A$24,MATCH("S",Values!$T$25:$T$50,0),0),FALSE))</f>
        <v>1</v>
      </c>
      <c r="D3999" t="e">
        <f>VLOOKUP(Charms!J3999,Values!$A$11:$S$59,19,0)&gt;=Charms!L3999</f>
        <v>#N/A</v>
      </c>
      <c r="E3999" t="e">
        <f>OR(ISBLANK(Charms!I3999),(VLOOKUP(Values!$S$6,Castes!$B$2:$F$25,4,0)=Charms!I3999))</f>
        <v>#N/A</v>
      </c>
      <c r="J3999" t="e">
        <f t="shared" ca="1" si="311"/>
        <v>#N/A</v>
      </c>
      <c r="K3999" s="18" t="e">
        <f t="shared" ca="1" si="310"/>
        <v>#N/A</v>
      </c>
      <c r="L3999" t="e">
        <f ca="1">IF(J3999,Charms!B3999,"")</f>
        <v>#N/A</v>
      </c>
      <c r="M3999" t="str">
        <f t="shared" ca="1" si="312"/>
        <v>-</v>
      </c>
      <c r="N3999" s="18" t="str">
        <f t="shared" si="313"/>
        <v>K1622:L5000</v>
      </c>
      <c r="O3999" t="str">
        <f t="shared" si="314"/>
        <v>A1622:A3999</v>
      </c>
    </row>
    <row r="4000" spans="1:15">
      <c r="A4000" s="18">
        <f>Charms!K4000</f>
        <v>0</v>
      </c>
      <c r="B4000">
        <f>Charms!B4000</f>
        <v>0</v>
      </c>
      <c r="C4000" t="b">
        <f ca="1">OR(Values!$S$98&gt;=Charms!M4000,IFERROR(Charms!J4000=OFFSET(Values!$A$24,MATCH("S",Values!$T$25:$T$50,0),0),FALSE))</f>
        <v>1</v>
      </c>
      <c r="D4000" t="e">
        <f>VLOOKUP(Charms!J4000,Values!$A$11:$S$59,19,0)&gt;=Charms!L4000</f>
        <v>#N/A</v>
      </c>
      <c r="E4000" t="e">
        <f>OR(ISBLANK(Charms!I4000),(VLOOKUP(Values!$S$6,Castes!$B$2:$F$25,4,0)=Charms!I4000))</f>
        <v>#N/A</v>
      </c>
      <c r="J4000" t="e">
        <f t="shared" ca="1" si="311"/>
        <v>#N/A</v>
      </c>
      <c r="K4000" s="18" t="e">
        <f t="shared" ca="1" si="310"/>
        <v>#N/A</v>
      </c>
      <c r="L4000" t="e">
        <f ca="1">IF(J4000,Charms!B4000,"")</f>
        <v>#N/A</v>
      </c>
      <c r="M4000" t="str">
        <f t="shared" ca="1" si="312"/>
        <v>-</v>
      </c>
      <c r="N4000" s="18" t="str">
        <f t="shared" si="313"/>
        <v>K1622:L5000</v>
      </c>
      <c r="O4000" t="str">
        <f t="shared" si="314"/>
        <v>A1622:A4000</v>
      </c>
    </row>
    <row r="4001" spans="1:15">
      <c r="A4001" s="18">
        <f>Charms!K4001</f>
        <v>0</v>
      </c>
      <c r="B4001">
        <f>Charms!B4001</f>
        <v>0</v>
      </c>
      <c r="C4001" t="b">
        <f ca="1">OR(Values!$S$98&gt;=Charms!M4001,IFERROR(Charms!J4001=OFFSET(Values!$A$24,MATCH("S",Values!$T$25:$T$50,0),0),FALSE))</f>
        <v>1</v>
      </c>
      <c r="D4001" t="e">
        <f>VLOOKUP(Charms!J4001,Values!$A$11:$S$59,19,0)&gt;=Charms!L4001</f>
        <v>#N/A</v>
      </c>
      <c r="E4001" t="e">
        <f>OR(ISBLANK(Charms!I4001),(VLOOKUP(Values!$S$6,Castes!$B$2:$F$25,4,0)=Charms!I4001))</f>
        <v>#N/A</v>
      </c>
      <c r="J4001" t="e">
        <f t="shared" ca="1" si="311"/>
        <v>#N/A</v>
      </c>
      <c r="K4001" s="18" t="e">
        <f t="shared" ca="1" si="310"/>
        <v>#N/A</v>
      </c>
      <c r="L4001" t="e">
        <f ca="1">IF(J4001,Charms!B4001,"")</f>
        <v>#N/A</v>
      </c>
      <c r="M4001" t="str">
        <f t="shared" ca="1" si="312"/>
        <v>-</v>
      </c>
      <c r="N4001" s="18" t="str">
        <f t="shared" si="313"/>
        <v>K1622:L5000</v>
      </c>
      <c r="O4001" t="str">
        <f t="shared" si="314"/>
        <v>A1622:A4001</v>
      </c>
    </row>
    <row r="4002" spans="1:15">
      <c r="A4002" s="18">
        <f>Charms!K4002</f>
        <v>0</v>
      </c>
      <c r="B4002">
        <f>Charms!B4002</f>
        <v>0</v>
      </c>
      <c r="C4002" t="b">
        <f ca="1">OR(Values!$S$98&gt;=Charms!M4002,IFERROR(Charms!J4002=OFFSET(Values!$A$24,MATCH("S",Values!$T$25:$T$50,0),0),FALSE))</f>
        <v>1</v>
      </c>
      <c r="D4002" t="e">
        <f>VLOOKUP(Charms!J4002,Values!$A$11:$S$59,19,0)&gt;=Charms!L4002</f>
        <v>#N/A</v>
      </c>
      <c r="E4002" t="e">
        <f>OR(ISBLANK(Charms!I4002),(VLOOKUP(Values!$S$6,Castes!$B$2:$F$25,4,0)=Charms!I4002))</f>
        <v>#N/A</v>
      </c>
      <c r="J4002" t="e">
        <f t="shared" ca="1" si="311"/>
        <v>#N/A</v>
      </c>
      <c r="K4002" s="18" t="e">
        <f t="shared" ca="1" si="310"/>
        <v>#N/A</v>
      </c>
      <c r="L4002" t="e">
        <f ca="1">IF(J4002,Charms!B4002,"")</f>
        <v>#N/A</v>
      </c>
      <c r="M4002" t="str">
        <f t="shared" ca="1" si="312"/>
        <v>-</v>
      </c>
      <c r="N4002" s="18" t="str">
        <f t="shared" si="313"/>
        <v>K1622:L5000</v>
      </c>
      <c r="O4002" t="str">
        <f t="shared" si="314"/>
        <v>A1622:A4002</v>
      </c>
    </row>
    <row r="4003" spans="1:15">
      <c r="A4003" s="18">
        <f>Charms!K4003</f>
        <v>0</v>
      </c>
      <c r="B4003">
        <f>Charms!B4003</f>
        <v>0</v>
      </c>
      <c r="C4003" t="b">
        <f ca="1">OR(Values!$S$98&gt;=Charms!M4003,IFERROR(Charms!J4003=OFFSET(Values!$A$24,MATCH("S",Values!$T$25:$T$50,0),0),FALSE))</f>
        <v>1</v>
      </c>
      <c r="D4003" t="e">
        <f>VLOOKUP(Charms!J4003,Values!$A$11:$S$59,19,0)&gt;=Charms!L4003</f>
        <v>#N/A</v>
      </c>
      <c r="E4003" t="e">
        <f>OR(ISBLANK(Charms!I4003),(VLOOKUP(Values!$S$6,Castes!$B$2:$F$25,4,0)=Charms!I4003))</f>
        <v>#N/A</v>
      </c>
      <c r="J4003" t="e">
        <f t="shared" ca="1" si="311"/>
        <v>#N/A</v>
      </c>
      <c r="K4003" s="18" t="e">
        <f t="shared" ca="1" si="310"/>
        <v>#N/A</v>
      </c>
      <c r="L4003" t="e">
        <f ca="1">IF(J4003,Charms!B4003,"")</f>
        <v>#N/A</v>
      </c>
      <c r="M4003" t="str">
        <f t="shared" ca="1" si="312"/>
        <v>-</v>
      </c>
      <c r="N4003" s="18" t="str">
        <f t="shared" si="313"/>
        <v>K1622:L5000</v>
      </c>
      <c r="O4003" t="str">
        <f t="shared" si="314"/>
        <v>A1622:A4003</v>
      </c>
    </row>
    <row r="4004" spans="1:15">
      <c r="A4004" s="18">
        <f>Charms!K4004</f>
        <v>0</v>
      </c>
      <c r="B4004">
        <f>Charms!B4004</f>
        <v>0</v>
      </c>
      <c r="C4004" t="b">
        <f ca="1">OR(Values!$S$98&gt;=Charms!M4004,IFERROR(Charms!J4004=OFFSET(Values!$A$24,MATCH("S",Values!$T$25:$T$50,0),0),FALSE))</f>
        <v>1</v>
      </c>
      <c r="D4004" t="e">
        <f>VLOOKUP(Charms!J4004,Values!$A$11:$S$59,19,0)&gt;=Charms!L4004</f>
        <v>#N/A</v>
      </c>
      <c r="E4004" t="e">
        <f>OR(ISBLANK(Charms!I4004),(VLOOKUP(Values!$S$6,Castes!$B$2:$F$25,4,0)=Charms!I4004))</f>
        <v>#N/A</v>
      </c>
      <c r="J4004" t="e">
        <f t="shared" ca="1" si="311"/>
        <v>#N/A</v>
      </c>
      <c r="K4004" s="18" t="e">
        <f t="shared" ca="1" si="310"/>
        <v>#N/A</v>
      </c>
      <c r="L4004" t="e">
        <f ca="1">IF(J4004,Charms!B4004,"")</f>
        <v>#N/A</v>
      </c>
      <c r="M4004" t="str">
        <f t="shared" ca="1" si="312"/>
        <v>-</v>
      </c>
      <c r="N4004" s="18" t="str">
        <f t="shared" si="313"/>
        <v>K1622:L5000</v>
      </c>
      <c r="O4004" t="str">
        <f t="shared" si="314"/>
        <v>A1622:A4004</v>
      </c>
    </row>
    <row r="4005" spans="1:15">
      <c r="A4005" s="18">
        <f>Charms!K4005</f>
        <v>0</v>
      </c>
      <c r="B4005">
        <f>Charms!B4005</f>
        <v>0</v>
      </c>
      <c r="C4005" t="b">
        <f ca="1">OR(Values!$S$98&gt;=Charms!M4005,IFERROR(Charms!J4005=OFFSET(Values!$A$24,MATCH("S",Values!$T$25:$T$50,0),0),FALSE))</f>
        <v>1</v>
      </c>
      <c r="D4005" t="e">
        <f>VLOOKUP(Charms!J4005,Values!$A$11:$S$59,19,0)&gt;=Charms!L4005</f>
        <v>#N/A</v>
      </c>
      <c r="E4005" t="e">
        <f>OR(ISBLANK(Charms!I4005),(VLOOKUP(Values!$S$6,Castes!$B$2:$F$25,4,0)=Charms!I4005))</f>
        <v>#N/A</v>
      </c>
      <c r="J4005" t="e">
        <f t="shared" ca="1" si="311"/>
        <v>#N/A</v>
      </c>
      <c r="K4005" s="18" t="e">
        <f t="shared" ca="1" si="310"/>
        <v>#N/A</v>
      </c>
      <c r="L4005" t="e">
        <f ca="1">IF(J4005,Charms!B4005,"")</f>
        <v>#N/A</v>
      </c>
      <c r="M4005" t="str">
        <f t="shared" ca="1" si="312"/>
        <v>-</v>
      </c>
      <c r="N4005" s="18" t="str">
        <f t="shared" si="313"/>
        <v>K1622:L5000</v>
      </c>
      <c r="O4005" t="str">
        <f t="shared" si="314"/>
        <v>A1622:A4005</v>
      </c>
    </row>
    <row r="4006" spans="1:15">
      <c r="A4006" s="18">
        <f>Charms!K4006</f>
        <v>0</v>
      </c>
      <c r="B4006">
        <f>Charms!B4006</f>
        <v>0</v>
      </c>
      <c r="C4006" t="b">
        <f ca="1">OR(Values!$S$98&gt;=Charms!M4006,IFERROR(Charms!J4006=OFFSET(Values!$A$24,MATCH("S",Values!$T$25:$T$50,0),0),FALSE))</f>
        <v>1</v>
      </c>
      <c r="D4006" t="e">
        <f>VLOOKUP(Charms!J4006,Values!$A$11:$S$59,19,0)&gt;=Charms!L4006</f>
        <v>#N/A</v>
      </c>
      <c r="E4006" t="e">
        <f>OR(ISBLANK(Charms!I4006),(VLOOKUP(Values!$S$6,Castes!$B$2:$F$25,4,0)=Charms!I4006))</f>
        <v>#N/A</v>
      </c>
      <c r="J4006" t="e">
        <f t="shared" ca="1" si="311"/>
        <v>#N/A</v>
      </c>
      <c r="K4006" s="18" t="e">
        <f t="shared" ca="1" si="310"/>
        <v>#N/A</v>
      </c>
      <c r="L4006" t="e">
        <f ca="1">IF(J4006,Charms!B4006,"")</f>
        <v>#N/A</v>
      </c>
      <c r="M4006" t="str">
        <f t="shared" ca="1" si="312"/>
        <v>-</v>
      </c>
      <c r="N4006" s="18" t="str">
        <f t="shared" si="313"/>
        <v>K1622:L5000</v>
      </c>
      <c r="O4006" t="str">
        <f t="shared" si="314"/>
        <v>A1622:A4006</v>
      </c>
    </row>
    <row r="4007" spans="1:15">
      <c r="A4007" s="18">
        <f>Charms!K4007</f>
        <v>0</v>
      </c>
      <c r="B4007">
        <f>Charms!B4007</f>
        <v>0</v>
      </c>
      <c r="C4007" t="b">
        <f ca="1">OR(Values!$S$98&gt;=Charms!M4007,IFERROR(Charms!J4007=OFFSET(Values!$A$24,MATCH("S",Values!$T$25:$T$50,0),0),FALSE))</f>
        <v>1</v>
      </c>
      <c r="D4007" t="e">
        <f>VLOOKUP(Charms!J4007,Values!$A$11:$S$59,19,0)&gt;=Charms!L4007</f>
        <v>#N/A</v>
      </c>
      <c r="E4007" t="e">
        <f>OR(ISBLANK(Charms!I4007),(VLOOKUP(Values!$S$6,Castes!$B$2:$F$25,4,0)=Charms!I4007))</f>
        <v>#N/A</v>
      </c>
      <c r="J4007" t="e">
        <f t="shared" ca="1" si="311"/>
        <v>#N/A</v>
      </c>
      <c r="K4007" s="18" t="e">
        <f t="shared" ca="1" si="310"/>
        <v>#N/A</v>
      </c>
      <c r="L4007" t="e">
        <f ca="1">IF(J4007,Charms!B4007,"")</f>
        <v>#N/A</v>
      </c>
      <c r="M4007" t="str">
        <f t="shared" ca="1" si="312"/>
        <v>-</v>
      </c>
      <c r="N4007" s="18" t="str">
        <f t="shared" si="313"/>
        <v>K1622:L5000</v>
      </c>
      <c r="O4007" t="str">
        <f t="shared" si="314"/>
        <v>A1622:A4007</v>
      </c>
    </row>
    <row r="4008" spans="1:15">
      <c r="A4008" s="18">
        <f>Charms!K4008</f>
        <v>0</v>
      </c>
      <c r="B4008">
        <f>Charms!B4008</f>
        <v>0</v>
      </c>
      <c r="C4008" t="b">
        <f ca="1">OR(Values!$S$98&gt;=Charms!M4008,IFERROR(Charms!J4008=OFFSET(Values!$A$24,MATCH("S",Values!$T$25:$T$50,0),0),FALSE))</f>
        <v>1</v>
      </c>
      <c r="D4008" t="e">
        <f>VLOOKUP(Charms!J4008,Values!$A$11:$S$59,19,0)&gt;=Charms!L4008</f>
        <v>#N/A</v>
      </c>
      <c r="E4008" t="e">
        <f>OR(ISBLANK(Charms!I4008),(VLOOKUP(Values!$S$6,Castes!$B$2:$F$25,4,0)=Charms!I4008))</f>
        <v>#N/A</v>
      </c>
      <c r="J4008" t="e">
        <f t="shared" ca="1" si="311"/>
        <v>#N/A</v>
      </c>
      <c r="K4008" s="18" t="e">
        <f t="shared" ca="1" si="310"/>
        <v>#N/A</v>
      </c>
      <c r="L4008" t="e">
        <f ca="1">IF(J4008,Charms!B4008,"")</f>
        <v>#N/A</v>
      </c>
      <c r="M4008" t="str">
        <f t="shared" ca="1" si="312"/>
        <v>-</v>
      </c>
      <c r="N4008" s="18" t="str">
        <f t="shared" si="313"/>
        <v>K1622:L5000</v>
      </c>
      <c r="O4008" t="str">
        <f t="shared" si="314"/>
        <v>A1622:A4008</v>
      </c>
    </row>
    <row r="4009" spans="1:15">
      <c r="A4009" s="18">
        <f>Charms!K4009</f>
        <v>0</v>
      </c>
      <c r="B4009">
        <f>Charms!B4009</f>
        <v>0</v>
      </c>
      <c r="C4009" t="b">
        <f ca="1">OR(Values!$S$98&gt;=Charms!M4009,IFERROR(Charms!J4009=OFFSET(Values!$A$24,MATCH("S",Values!$T$25:$T$50,0),0),FALSE))</f>
        <v>1</v>
      </c>
      <c r="D4009" t="e">
        <f>VLOOKUP(Charms!J4009,Values!$A$11:$S$59,19,0)&gt;=Charms!L4009</f>
        <v>#N/A</v>
      </c>
      <c r="E4009" t="e">
        <f>OR(ISBLANK(Charms!I4009),(VLOOKUP(Values!$S$6,Castes!$B$2:$F$25,4,0)=Charms!I4009))</f>
        <v>#N/A</v>
      </c>
      <c r="J4009" t="e">
        <f t="shared" ca="1" si="311"/>
        <v>#N/A</v>
      </c>
      <c r="K4009" s="18" t="e">
        <f t="shared" ca="1" si="310"/>
        <v>#N/A</v>
      </c>
      <c r="L4009" t="e">
        <f ca="1">IF(J4009,Charms!B4009,"")</f>
        <v>#N/A</v>
      </c>
      <c r="M4009" t="str">
        <f t="shared" ca="1" si="312"/>
        <v>-</v>
      </c>
      <c r="N4009" s="18" t="str">
        <f t="shared" si="313"/>
        <v>K1622:L5000</v>
      </c>
      <c r="O4009" t="str">
        <f t="shared" si="314"/>
        <v>A1622:A4009</v>
      </c>
    </row>
    <row r="4010" spans="1:15">
      <c r="A4010" s="18">
        <f>Charms!K4010</f>
        <v>0</v>
      </c>
      <c r="B4010">
        <f>Charms!B4010</f>
        <v>0</v>
      </c>
      <c r="C4010" t="b">
        <f ca="1">OR(Values!$S$98&gt;=Charms!M4010,IFERROR(Charms!J4010=OFFSET(Values!$A$24,MATCH("S",Values!$T$25:$T$50,0),0),FALSE))</f>
        <v>1</v>
      </c>
      <c r="D4010" t="e">
        <f>VLOOKUP(Charms!J4010,Values!$A$11:$S$59,19,0)&gt;=Charms!L4010</f>
        <v>#N/A</v>
      </c>
      <c r="E4010" t="e">
        <f>OR(ISBLANK(Charms!I4010),(VLOOKUP(Values!$S$6,Castes!$B$2:$F$25,4,0)=Charms!I4010))</f>
        <v>#N/A</v>
      </c>
      <c r="J4010" t="e">
        <f t="shared" ca="1" si="311"/>
        <v>#N/A</v>
      </c>
      <c r="K4010" s="18" t="e">
        <f t="shared" ca="1" si="310"/>
        <v>#N/A</v>
      </c>
      <c r="L4010" t="e">
        <f ca="1">IF(J4010,Charms!B4010,"")</f>
        <v>#N/A</v>
      </c>
      <c r="M4010" t="str">
        <f t="shared" ca="1" si="312"/>
        <v>-</v>
      </c>
      <c r="N4010" s="18" t="str">
        <f t="shared" si="313"/>
        <v>K1622:L5000</v>
      </c>
      <c r="O4010" t="str">
        <f t="shared" si="314"/>
        <v>A1622:A4010</v>
      </c>
    </row>
    <row r="4011" spans="1:15">
      <c r="A4011" s="18">
        <f>Charms!K4011</f>
        <v>0</v>
      </c>
      <c r="B4011">
        <f>Charms!B4011</f>
        <v>0</v>
      </c>
      <c r="C4011" t="b">
        <f ca="1">OR(Values!$S$98&gt;=Charms!M4011,IFERROR(Charms!J4011=OFFSET(Values!$A$24,MATCH("S",Values!$T$25:$T$50,0),0),FALSE))</f>
        <v>1</v>
      </c>
      <c r="D4011" t="e">
        <f>VLOOKUP(Charms!J4011,Values!$A$11:$S$59,19,0)&gt;=Charms!L4011</f>
        <v>#N/A</v>
      </c>
      <c r="E4011" t="e">
        <f>OR(ISBLANK(Charms!I4011),(VLOOKUP(Values!$S$6,Castes!$B$2:$F$25,4,0)=Charms!I4011))</f>
        <v>#N/A</v>
      </c>
      <c r="J4011" t="e">
        <f t="shared" ca="1" si="311"/>
        <v>#N/A</v>
      </c>
      <c r="K4011" s="18" t="e">
        <f t="shared" ca="1" si="310"/>
        <v>#N/A</v>
      </c>
      <c r="L4011" t="e">
        <f ca="1">IF(J4011,Charms!B4011,"")</f>
        <v>#N/A</v>
      </c>
      <c r="M4011" t="str">
        <f t="shared" ca="1" si="312"/>
        <v>-</v>
      </c>
      <c r="N4011" s="18" t="str">
        <f t="shared" si="313"/>
        <v>K1622:L5000</v>
      </c>
      <c r="O4011" t="str">
        <f t="shared" si="314"/>
        <v>A1622:A4011</v>
      </c>
    </row>
    <row r="4012" spans="1:15">
      <c r="A4012" s="18">
        <f>Charms!K4012</f>
        <v>0</v>
      </c>
      <c r="B4012">
        <f>Charms!B4012</f>
        <v>0</v>
      </c>
      <c r="C4012" t="b">
        <f ca="1">OR(Values!$S$98&gt;=Charms!M4012,IFERROR(Charms!J4012=OFFSET(Values!$A$24,MATCH("S",Values!$T$25:$T$50,0),0),FALSE))</f>
        <v>1</v>
      </c>
      <c r="D4012" t="e">
        <f>VLOOKUP(Charms!J4012,Values!$A$11:$S$59,19,0)&gt;=Charms!L4012</f>
        <v>#N/A</v>
      </c>
      <c r="E4012" t="e">
        <f>OR(ISBLANK(Charms!I4012),(VLOOKUP(Values!$S$6,Castes!$B$2:$F$25,4,0)=Charms!I4012))</f>
        <v>#N/A</v>
      </c>
      <c r="J4012" t="e">
        <f t="shared" ca="1" si="311"/>
        <v>#N/A</v>
      </c>
      <c r="K4012" s="18" t="e">
        <f t="shared" ca="1" si="310"/>
        <v>#N/A</v>
      </c>
      <c r="L4012" t="e">
        <f ca="1">IF(J4012,Charms!B4012,"")</f>
        <v>#N/A</v>
      </c>
      <c r="M4012" t="str">
        <f t="shared" ca="1" si="312"/>
        <v>-</v>
      </c>
      <c r="N4012" s="18" t="str">
        <f t="shared" si="313"/>
        <v>K1622:L5000</v>
      </c>
      <c r="O4012" t="str">
        <f t="shared" si="314"/>
        <v>A1622:A4012</v>
      </c>
    </row>
    <row r="4013" spans="1:15">
      <c r="A4013" s="18">
        <f>Charms!K4013</f>
        <v>0</v>
      </c>
      <c r="B4013">
        <f>Charms!B4013</f>
        <v>0</v>
      </c>
      <c r="C4013" t="b">
        <f ca="1">OR(Values!$S$98&gt;=Charms!M4013,IFERROR(Charms!J4013=OFFSET(Values!$A$24,MATCH("S",Values!$T$25:$T$50,0),0),FALSE))</f>
        <v>1</v>
      </c>
      <c r="D4013" t="e">
        <f>VLOOKUP(Charms!J4013,Values!$A$11:$S$59,19,0)&gt;=Charms!L4013</f>
        <v>#N/A</v>
      </c>
      <c r="E4013" t="e">
        <f>OR(ISBLANK(Charms!I4013),(VLOOKUP(Values!$S$6,Castes!$B$2:$F$25,4,0)=Charms!I4013))</f>
        <v>#N/A</v>
      </c>
      <c r="J4013" t="e">
        <f t="shared" ca="1" si="311"/>
        <v>#N/A</v>
      </c>
      <c r="K4013" s="18" t="e">
        <f t="shared" ca="1" si="310"/>
        <v>#N/A</v>
      </c>
      <c r="L4013" t="e">
        <f ca="1">IF(J4013,Charms!B4013,"")</f>
        <v>#N/A</v>
      </c>
      <c r="M4013" t="str">
        <f t="shared" ca="1" si="312"/>
        <v>-</v>
      </c>
      <c r="N4013" s="18" t="str">
        <f t="shared" si="313"/>
        <v>K1622:L5000</v>
      </c>
      <c r="O4013" t="str">
        <f t="shared" si="314"/>
        <v>A1622:A4013</v>
      </c>
    </row>
    <row r="4014" spans="1:15">
      <c r="A4014" s="18">
        <f>Charms!K4014</f>
        <v>0</v>
      </c>
      <c r="B4014">
        <f>Charms!B4014</f>
        <v>0</v>
      </c>
      <c r="C4014" t="b">
        <f ca="1">OR(Values!$S$98&gt;=Charms!M4014,IFERROR(Charms!J4014=OFFSET(Values!$A$24,MATCH("S",Values!$T$25:$T$50,0),0),FALSE))</f>
        <v>1</v>
      </c>
      <c r="D4014" t="e">
        <f>VLOOKUP(Charms!J4014,Values!$A$11:$S$59,19,0)&gt;=Charms!L4014</f>
        <v>#N/A</v>
      </c>
      <c r="E4014" t="e">
        <f>OR(ISBLANK(Charms!I4014),(VLOOKUP(Values!$S$6,Castes!$B$2:$F$25,4,0)=Charms!I4014))</f>
        <v>#N/A</v>
      </c>
      <c r="J4014" t="e">
        <f t="shared" ca="1" si="311"/>
        <v>#N/A</v>
      </c>
      <c r="K4014" s="18" t="e">
        <f t="shared" ca="1" si="310"/>
        <v>#N/A</v>
      </c>
      <c r="L4014" t="e">
        <f ca="1">IF(J4014,Charms!B4014,"")</f>
        <v>#N/A</v>
      </c>
      <c r="M4014" t="str">
        <f t="shared" ca="1" si="312"/>
        <v>-</v>
      </c>
      <c r="N4014" s="18" t="str">
        <f t="shared" si="313"/>
        <v>K1622:L5000</v>
      </c>
      <c r="O4014" t="str">
        <f t="shared" si="314"/>
        <v>A1622:A4014</v>
      </c>
    </row>
    <row r="4015" spans="1:15">
      <c r="A4015" s="18">
        <f>Charms!K4015</f>
        <v>0</v>
      </c>
      <c r="B4015">
        <f>Charms!B4015</f>
        <v>0</v>
      </c>
      <c r="C4015" t="b">
        <f ca="1">OR(Values!$S$98&gt;=Charms!M4015,IFERROR(Charms!J4015=OFFSET(Values!$A$24,MATCH("S",Values!$T$25:$T$50,0),0),FALSE))</f>
        <v>1</v>
      </c>
      <c r="D4015" t="e">
        <f>VLOOKUP(Charms!J4015,Values!$A$11:$S$59,19,0)&gt;=Charms!L4015</f>
        <v>#N/A</v>
      </c>
      <c r="E4015" t="e">
        <f>OR(ISBLANK(Charms!I4015),(VLOOKUP(Values!$S$6,Castes!$B$2:$F$25,4,0)=Charms!I4015))</f>
        <v>#N/A</v>
      </c>
      <c r="J4015" t="e">
        <f t="shared" ca="1" si="311"/>
        <v>#N/A</v>
      </c>
      <c r="K4015" s="18" t="e">
        <f t="shared" ca="1" si="310"/>
        <v>#N/A</v>
      </c>
      <c r="L4015" t="e">
        <f ca="1">IF(J4015,Charms!B4015,"")</f>
        <v>#N/A</v>
      </c>
      <c r="M4015" t="str">
        <f t="shared" ca="1" si="312"/>
        <v>-</v>
      </c>
      <c r="N4015" s="18" t="str">
        <f t="shared" si="313"/>
        <v>K1622:L5000</v>
      </c>
      <c r="O4015" t="str">
        <f t="shared" si="314"/>
        <v>A1622:A4015</v>
      </c>
    </row>
    <row r="4016" spans="1:15">
      <c r="A4016" s="18">
        <f>Charms!K4016</f>
        <v>0</v>
      </c>
      <c r="B4016">
        <f>Charms!B4016</f>
        <v>0</v>
      </c>
      <c r="C4016" t="b">
        <f ca="1">OR(Values!$S$98&gt;=Charms!M4016,IFERROR(Charms!J4016=OFFSET(Values!$A$24,MATCH("S",Values!$T$25:$T$50,0),0),FALSE))</f>
        <v>1</v>
      </c>
      <c r="D4016" t="e">
        <f>VLOOKUP(Charms!J4016,Values!$A$11:$S$59,19,0)&gt;=Charms!L4016</f>
        <v>#N/A</v>
      </c>
      <c r="E4016" t="e">
        <f>OR(ISBLANK(Charms!I4016),(VLOOKUP(Values!$S$6,Castes!$B$2:$F$25,4,0)=Charms!I4016))</f>
        <v>#N/A</v>
      </c>
      <c r="J4016" t="e">
        <f t="shared" ca="1" si="311"/>
        <v>#N/A</v>
      </c>
      <c r="K4016" s="18" t="e">
        <f t="shared" ca="1" si="310"/>
        <v>#N/A</v>
      </c>
      <c r="L4016" t="e">
        <f ca="1">IF(J4016,Charms!B4016,"")</f>
        <v>#N/A</v>
      </c>
      <c r="M4016" t="str">
        <f t="shared" ca="1" si="312"/>
        <v>-</v>
      </c>
      <c r="N4016" s="18" t="str">
        <f t="shared" si="313"/>
        <v>K1622:L5000</v>
      </c>
      <c r="O4016" t="str">
        <f t="shared" si="314"/>
        <v>A1622:A4016</v>
      </c>
    </row>
    <row r="4017" spans="1:15">
      <c r="A4017" s="18">
        <f>Charms!K4017</f>
        <v>0</v>
      </c>
      <c r="B4017">
        <f>Charms!B4017</f>
        <v>0</v>
      </c>
      <c r="C4017" t="b">
        <f ca="1">OR(Values!$S$98&gt;=Charms!M4017,IFERROR(Charms!J4017=OFFSET(Values!$A$24,MATCH("S",Values!$T$25:$T$50,0),0),FALSE))</f>
        <v>1</v>
      </c>
      <c r="D4017" t="e">
        <f>VLOOKUP(Charms!J4017,Values!$A$11:$S$59,19,0)&gt;=Charms!L4017</f>
        <v>#N/A</v>
      </c>
      <c r="E4017" t="e">
        <f>OR(ISBLANK(Charms!I4017),(VLOOKUP(Values!$S$6,Castes!$B$2:$F$25,4,0)=Charms!I4017))</f>
        <v>#N/A</v>
      </c>
      <c r="J4017" t="e">
        <f t="shared" ca="1" si="311"/>
        <v>#N/A</v>
      </c>
      <c r="K4017" s="18" t="e">
        <f t="shared" ca="1" si="310"/>
        <v>#N/A</v>
      </c>
      <c r="L4017" t="e">
        <f ca="1">IF(J4017,Charms!B4017,"")</f>
        <v>#N/A</v>
      </c>
      <c r="M4017" t="str">
        <f t="shared" ca="1" si="312"/>
        <v>-</v>
      </c>
      <c r="N4017" s="18" t="str">
        <f t="shared" si="313"/>
        <v>K1622:L5000</v>
      </c>
      <c r="O4017" t="str">
        <f t="shared" si="314"/>
        <v>A1622:A4017</v>
      </c>
    </row>
    <row r="4018" spans="1:15">
      <c r="A4018" s="18">
        <f>Charms!K4018</f>
        <v>0</v>
      </c>
      <c r="B4018">
        <f>Charms!B4018</f>
        <v>0</v>
      </c>
      <c r="C4018" t="b">
        <f ca="1">OR(Values!$S$98&gt;=Charms!M4018,IFERROR(Charms!J4018=OFFSET(Values!$A$24,MATCH("S",Values!$T$25:$T$50,0),0),FALSE))</f>
        <v>1</v>
      </c>
      <c r="D4018" t="e">
        <f>VLOOKUP(Charms!J4018,Values!$A$11:$S$59,19,0)&gt;=Charms!L4018</f>
        <v>#N/A</v>
      </c>
      <c r="E4018" t="e">
        <f>OR(ISBLANK(Charms!I4018),(VLOOKUP(Values!$S$6,Castes!$B$2:$F$25,4,0)=Charms!I4018))</f>
        <v>#N/A</v>
      </c>
      <c r="J4018" t="e">
        <f t="shared" ca="1" si="311"/>
        <v>#N/A</v>
      </c>
      <c r="K4018" s="18" t="e">
        <f t="shared" ca="1" si="310"/>
        <v>#N/A</v>
      </c>
      <c r="L4018" t="e">
        <f ca="1">IF(J4018,Charms!B4018,"")</f>
        <v>#N/A</v>
      </c>
      <c r="M4018" t="str">
        <f t="shared" ca="1" si="312"/>
        <v>-</v>
      </c>
      <c r="N4018" s="18" t="str">
        <f t="shared" si="313"/>
        <v>K1622:L5000</v>
      </c>
      <c r="O4018" t="str">
        <f t="shared" si="314"/>
        <v>A1622:A4018</v>
      </c>
    </row>
    <row r="4019" spans="1:15">
      <c r="A4019" s="18">
        <f>Charms!K4019</f>
        <v>0</v>
      </c>
      <c r="B4019">
        <f>Charms!B4019</f>
        <v>0</v>
      </c>
      <c r="C4019" t="b">
        <f ca="1">OR(Values!$S$98&gt;=Charms!M4019,IFERROR(Charms!J4019=OFFSET(Values!$A$24,MATCH("S",Values!$T$25:$T$50,0),0),FALSE))</f>
        <v>1</v>
      </c>
      <c r="D4019" t="e">
        <f>VLOOKUP(Charms!J4019,Values!$A$11:$S$59,19,0)&gt;=Charms!L4019</f>
        <v>#N/A</v>
      </c>
      <c r="E4019" t="e">
        <f>OR(ISBLANK(Charms!I4019),(VLOOKUP(Values!$S$6,Castes!$B$2:$F$25,4,0)=Charms!I4019))</f>
        <v>#N/A</v>
      </c>
      <c r="J4019" t="e">
        <f t="shared" ca="1" si="311"/>
        <v>#N/A</v>
      </c>
      <c r="K4019" s="18" t="e">
        <f t="shared" ca="1" si="310"/>
        <v>#N/A</v>
      </c>
      <c r="L4019" t="e">
        <f ca="1">IF(J4019,Charms!B4019,"")</f>
        <v>#N/A</v>
      </c>
      <c r="M4019" t="str">
        <f t="shared" ca="1" si="312"/>
        <v>-</v>
      </c>
      <c r="N4019" s="18" t="str">
        <f t="shared" si="313"/>
        <v>K1622:L5000</v>
      </c>
      <c r="O4019" t="str">
        <f t="shared" si="314"/>
        <v>A1622:A4019</v>
      </c>
    </row>
    <row r="4020" spans="1:15">
      <c r="A4020" s="18">
        <f>Charms!K4020</f>
        <v>0</v>
      </c>
      <c r="B4020">
        <f>Charms!B4020</f>
        <v>0</v>
      </c>
      <c r="C4020" t="b">
        <f ca="1">OR(Values!$S$98&gt;=Charms!M4020,IFERROR(Charms!J4020=OFFSET(Values!$A$24,MATCH("S",Values!$T$25:$T$50,0),0),FALSE))</f>
        <v>1</v>
      </c>
      <c r="D4020" t="e">
        <f>VLOOKUP(Charms!J4020,Values!$A$11:$S$59,19,0)&gt;=Charms!L4020</f>
        <v>#N/A</v>
      </c>
      <c r="E4020" t="e">
        <f>OR(ISBLANK(Charms!I4020),(VLOOKUP(Values!$S$6,Castes!$B$2:$F$25,4,0)=Charms!I4020))</f>
        <v>#N/A</v>
      </c>
      <c r="J4020" t="e">
        <f t="shared" ca="1" si="311"/>
        <v>#N/A</v>
      </c>
      <c r="K4020" s="18" t="e">
        <f t="shared" ca="1" si="310"/>
        <v>#N/A</v>
      </c>
      <c r="L4020" t="e">
        <f ca="1">IF(J4020,Charms!B4020,"")</f>
        <v>#N/A</v>
      </c>
      <c r="M4020" t="str">
        <f t="shared" ca="1" si="312"/>
        <v>-</v>
      </c>
      <c r="N4020" s="18" t="str">
        <f t="shared" si="313"/>
        <v>K1622:L5000</v>
      </c>
      <c r="O4020" t="str">
        <f t="shared" si="314"/>
        <v>A1622:A4020</v>
      </c>
    </row>
    <row r="4021" spans="1:15">
      <c r="A4021" s="18">
        <f>Charms!K4021</f>
        <v>0</v>
      </c>
      <c r="B4021">
        <f>Charms!B4021</f>
        <v>0</v>
      </c>
      <c r="C4021" t="b">
        <f ca="1">OR(Values!$S$98&gt;=Charms!M4021,IFERROR(Charms!J4021=OFFSET(Values!$A$24,MATCH("S",Values!$T$25:$T$50,0),0),FALSE))</f>
        <v>1</v>
      </c>
      <c r="D4021" t="e">
        <f>VLOOKUP(Charms!J4021,Values!$A$11:$S$59,19,0)&gt;=Charms!L4021</f>
        <v>#N/A</v>
      </c>
      <c r="E4021" t="e">
        <f>OR(ISBLANK(Charms!I4021),(VLOOKUP(Values!$S$6,Castes!$B$2:$F$25,4,0)=Charms!I4021))</f>
        <v>#N/A</v>
      </c>
      <c r="J4021" t="e">
        <f t="shared" ca="1" si="311"/>
        <v>#N/A</v>
      </c>
      <c r="K4021" s="18" t="e">
        <f t="shared" ca="1" si="310"/>
        <v>#N/A</v>
      </c>
      <c r="L4021" t="e">
        <f ca="1">IF(J4021,Charms!B4021,"")</f>
        <v>#N/A</v>
      </c>
      <c r="M4021" t="str">
        <f t="shared" ca="1" si="312"/>
        <v>-</v>
      </c>
      <c r="N4021" s="18" t="str">
        <f t="shared" si="313"/>
        <v>K1622:L5000</v>
      </c>
      <c r="O4021" t="str">
        <f t="shared" si="314"/>
        <v>A1622:A4021</v>
      </c>
    </row>
    <row r="4022" spans="1:15">
      <c r="A4022" s="18">
        <f>Charms!K4022</f>
        <v>0</v>
      </c>
      <c r="B4022">
        <f>Charms!B4022</f>
        <v>0</v>
      </c>
      <c r="C4022" t="b">
        <f ca="1">OR(Values!$S$98&gt;=Charms!M4022,IFERROR(Charms!J4022=OFFSET(Values!$A$24,MATCH("S",Values!$T$25:$T$50,0),0),FALSE))</f>
        <v>1</v>
      </c>
      <c r="D4022" t="e">
        <f>VLOOKUP(Charms!J4022,Values!$A$11:$S$59,19,0)&gt;=Charms!L4022</f>
        <v>#N/A</v>
      </c>
      <c r="E4022" t="e">
        <f>OR(ISBLANK(Charms!I4022),(VLOOKUP(Values!$S$6,Castes!$B$2:$F$25,4,0)=Charms!I4022))</f>
        <v>#N/A</v>
      </c>
      <c r="J4022" t="e">
        <f t="shared" ca="1" si="311"/>
        <v>#N/A</v>
      </c>
      <c r="K4022" s="18" t="e">
        <f t="shared" ca="1" si="310"/>
        <v>#N/A</v>
      </c>
      <c r="L4022" t="e">
        <f ca="1">IF(J4022,Charms!B4022,"")</f>
        <v>#N/A</v>
      </c>
      <c r="M4022" t="str">
        <f t="shared" ca="1" si="312"/>
        <v>-</v>
      </c>
      <c r="N4022" s="18" t="str">
        <f t="shared" si="313"/>
        <v>K1622:L5000</v>
      </c>
      <c r="O4022" t="str">
        <f t="shared" si="314"/>
        <v>A1622:A4022</v>
      </c>
    </row>
    <row r="4023" spans="1:15">
      <c r="A4023" s="18">
        <f>Charms!K4023</f>
        <v>0</v>
      </c>
      <c r="B4023">
        <f>Charms!B4023</f>
        <v>0</v>
      </c>
      <c r="C4023" t="b">
        <f ca="1">OR(Values!$S$98&gt;=Charms!M4023,IFERROR(Charms!J4023=OFFSET(Values!$A$24,MATCH("S",Values!$T$25:$T$50,0),0),FALSE))</f>
        <v>1</v>
      </c>
      <c r="D4023" t="e">
        <f>VLOOKUP(Charms!J4023,Values!$A$11:$S$59,19,0)&gt;=Charms!L4023</f>
        <v>#N/A</v>
      </c>
      <c r="E4023" t="e">
        <f>OR(ISBLANK(Charms!I4023),(VLOOKUP(Values!$S$6,Castes!$B$2:$F$25,4,0)=Charms!I4023))</f>
        <v>#N/A</v>
      </c>
      <c r="J4023" t="e">
        <f t="shared" ca="1" si="311"/>
        <v>#N/A</v>
      </c>
      <c r="K4023" s="18" t="e">
        <f t="shared" ca="1" si="310"/>
        <v>#N/A</v>
      </c>
      <c r="L4023" t="e">
        <f ca="1">IF(J4023,Charms!B4023,"")</f>
        <v>#N/A</v>
      </c>
      <c r="M4023" t="str">
        <f t="shared" ca="1" si="312"/>
        <v>-</v>
      </c>
      <c r="N4023" s="18" t="str">
        <f t="shared" si="313"/>
        <v>K1622:L5000</v>
      </c>
      <c r="O4023" t="str">
        <f t="shared" si="314"/>
        <v>A1622:A4023</v>
      </c>
    </row>
    <row r="4024" spans="1:15">
      <c r="A4024" s="18">
        <f>Charms!K4024</f>
        <v>0</v>
      </c>
      <c r="B4024">
        <f>Charms!B4024</f>
        <v>0</v>
      </c>
      <c r="C4024" t="b">
        <f ca="1">OR(Values!$S$98&gt;=Charms!M4024,IFERROR(Charms!J4024=OFFSET(Values!$A$24,MATCH("S",Values!$T$25:$T$50,0),0),FALSE))</f>
        <v>1</v>
      </c>
      <c r="D4024" t="e">
        <f>VLOOKUP(Charms!J4024,Values!$A$11:$S$59,19,0)&gt;=Charms!L4024</f>
        <v>#N/A</v>
      </c>
      <c r="E4024" t="e">
        <f>OR(ISBLANK(Charms!I4024),(VLOOKUP(Values!$S$6,Castes!$B$2:$F$25,4,0)=Charms!I4024))</f>
        <v>#N/A</v>
      </c>
      <c r="J4024" t="e">
        <f t="shared" ca="1" si="311"/>
        <v>#N/A</v>
      </c>
      <c r="K4024" s="18" t="e">
        <f t="shared" ca="1" si="310"/>
        <v>#N/A</v>
      </c>
      <c r="L4024" t="e">
        <f ca="1">IF(J4024,Charms!B4024,"")</f>
        <v>#N/A</v>
      </c>
      <c r="M4024" t="str">
        <f t="shared" ca="1" si="312"/>
        <v>-</v>
      </c>
      <c r="N4024" s="18" t="str">
        <f t="shared" si="313"/>
        <v>K1622:L5000</v>
      </c>
      <c r="O4024" t="str">
        <f t="shared" si="314"/>
        <v>A1622:A4024</v>
      </c>
    </row>
    <row r="4025" spans="1:15">
      <c r="A4025" s="18">
        <f>Charms!K4025</f>
        <v>0</v>
      </c>
      <c r="B4025">
        <f>Charms!B4025</f>
        <v>0</v>
      </c>
      <c r="C4025" t="b">
        <f ca="1">OR(Values!$S$98&gt;=Charms!M4025,IFERROR(Charms!J4025=OFFSET(Values!$A$24,MATCH("S",Values!$T$25:$T$50,0),0),FALSE))</f>
        <v>1</v>
      </c>
      <c r="D4025" t="e">
        <f>VLOOKUP(Charms!J4025,Values!$A$11:$S$59,19,0)&gt;=Charms!L4025</f>
        <v>#N/A</v>
      </c>
      <c r="E4025" t="e">
        <f>OR(ISBLANK(Charms!I4025),(VLOOKUP(Values!$S$6,Castes!$B$2:$F$25,4,0)=Charms!I4025))</f>
        <v>#N/A</v>
      </c>
      <c r="J4025" t="e">
        <f t="shared" ca="1" si="311"/>
        <v>#N/A</v>
      </c>
      <c r="K4025" s="18" t="e">
        <f t="shared" ca="1" si="310"/>
        <v>#N/A</v>
      </c>
      <c r="L4025" t="e">
        <f ca="1">IF(J4025,Charms!B4025,"")</f>
        <v>#N/A</v>
      </c>
      <c r="M4025" t="str">
        <f t="shared" ca="1" si="312"/>
        <v>-</v>
      </c>
      <c r="N4025" s="18" t="str">
        <f t="shared" si="313"/>
        <v>K1622:L5000</v>
      </c>
      <c r="O4025" t="str">
        <f t="shared" si="314"/>
        <v>A1622:A4025</v>
      </c>
    </row>
    <row r="4026" spans="1:15">
      <c r="A4026" s="18">
        <f>Charms!K4026</f>
        <v>0</v>
      </c>
      <c r="B4026">
        <f>Charms!B4026</f>
        <v>0</v>
      </c>
      <c r="C4026" t="b">
        <f ca="1">OR(Values!$S$98&gt;=Charms!M4026,IFERROR(Charms!J4026=OFFSET(Values!$A$24,MATCH("S",Values!$T$25:$T$50,0),0),FALSE))</f>
        <v>1</v>
      </c>
      <c r="D4026" t="e">
        <f>VLOOKUP(Charms!J4026,Values!$A$11:$S$59,19,0)&gt;=Charms!L4026</f>
        <v>#N/A</v>
      </c>
      <c r="E4026" t="e">
        <f>OR(ISBLANK(Charms!I4026),(VLOOKUP(Values!$S$6,Castes!$B$2:$F$25,4,0)=Charms!I4026))</f>
        <v>#N/A</v>
      </c>
      <c r="J4026" t="e">
        <f t="shared" ca="1" si="311"/>
        <v>#N/A</v>
      </c>
      <c r="K4026" s="18" t="e">
        <f t="shared" ca="1" si="310"/>
        <v>#N/A</v>
      </c>
      <c r="L4026" t="e">
        <f ca="1">IF(J4026,Charms!B4026,"")</f>
        <v>#N/A</v>
      </c>
      <c r="M4026" t="str">
        <f t="shared" ca="1" si="312"/>
        <v>-</v>
      </c>
      <c r="N4026" s="18" t="str">
        <f t="shared" si="313"/>
        <v>K1622:L5000</v>
      </c>
      <c r="O4026" t="str">
        <f t="shared" si="314"/>
        <v>A1622:A4026</v>
      </c>
    </row>
    <row r="4027" spans="1:15">
      <c r="A4027" s="18">
        <f>Charms!K4027</f>
        <v>0</v>
      </c>
      <c r="B4027">
        <f>Charms!B4027</f>
        <v>0</v>
      </c>
      <c r="C4027" t="b">
        <f ca="1">OR(Values!$S$98&gt;=Charms!M4027,IFERROR(Charms!J4027=OFFSET(Values!$A$24,MATCH("S",Values!$T$25:$T$50,0),0),FALSE))</f>
        <v>1</v>
      </c>
      <c r="D4027" t="e">
        <f>VLOOKUP(Charms!J4027,Values!$A$11:$S$59,19,0)&gt;=Charms!L4027</f>
        <v>#N/A</v>
      </c>
      <c r="E4027" t="e">
        <f>OR(ISBLANK(Charms!I4027),(VLOOKUP(Values!$S$6,Castes!$B$2:$F$25,4,0)=Charms!I4027))</f>
        <v>#N/A</v>
      </c>
      <c r="J4027" t="e">
        <f t="shared" ca="1" si="311"/>
        <v>#N/A</v>
      </c>
      <c r="K4027" s="18" t="e">
        <f t="shared" ca="1" si="310"/>
        <v>#N/A</v>
      </c>
      <c r="L4027" t="e">
        <f ca="1">IF(J4027,Charms!B4027,"")</f>
        <v>#N/A</v>
      </c>
      <c r="M4027" t="str">
        <f t="shared" ca="1" si="312"/>
        <v>-</v>
      </c>
      <c r="N4027" s="18" t="str">
        <f t="shared" si="313"/>
        <v>K1622:L5000</v>
      </c>
      <c r="O4027" t="str">
        <f t="shared" si="314"/>
        <v>A1622:A4027</v>
      </c>
    </row>
    <row r="4028" spans="1:15">
      <c r="A4028" s="18">
        <f>Charms!K4028</f>
        <v>0</v>
      </c>
      <c r="B4028">
        <f>Charms!B4028</f>
        <v>0</v>
      </c>
      <c r="C4028" t="b">
        <f ca="1">OR(Values!$S$98&gt;=Charms!M4028,IFERROR(Charms!J4028=OFFSET(Values!$A$24,MATCH("S",Values!$T$25:$T$50,0),0),FALSE))</f>
        <v>1</v>
      </c>
      <c r="D4028" t="e">
        <f>VLOOKUP(Charms!J4028,Values!$A$11:$S$59,19,0)&gt;=Charms!L4028</f>
        <v>#N/A</v>
      </c>
      <c r="E4028" t="e">
        <f>OR(ISBLANK(Charms!I4028),(VLOOKUP(Values!$S$6,Castes!$B$2:$F$25,4,0)=Charms!I4028))</f>
        <v>#N/A</v>
      </c>
      <c r="J4028" t="e">
        <f t="shared" ca="1" si="311"/>
        <v>#N/A</v>
      </c>
      <c r="K4028" s="18" t="e">
        <f t="shared" ca="1" si="310"/>
        <v>#N/A</v>
      </c>
      <c r="L4028" t="e">
        <f ca="1">IF(J4028,Charms!B4028,"")</f>
        <v>#N/A</v>
      </c>
      <c r="M4028" t="str">
        <f t="shared" ca="1" si="312"/>
        <v>-</v>
      </c>
      <c r="N4028" s="18" t="str">
        <f t="shared" si="313"/>
        <v>K1622:L5000</v>
      </c>
      <c r="O4028" t="str">
        <f t="shared" si="314"/>
        <v>A1622:A4028</v>
      </c>
    </row>
    <row r="4029" spans="1:15">
      <c r="A4029" s="18">
        <f>Charms!K4029</f>
        <v>0</v>
      </c>
      <c r="B4029">
        <f>Charms!B4029</f>
        <v>0</v>
      </c>
      <c r="C4029" t="b">
        <f ca="1">OR(Values!$S$98&gt;=Charms!M4029,IFERROR(Charms!J4029=OFFSET(Values!$A$24,MATCH("S",Values!$T$25:$T$50,0),0),FALSE))</f>
        <v>1</v>
      </c>
      <c r="D4029" t="e">
        <f>VLOOKUP(Charms!J4029,Values!$A$11:$S$59,19,0)&gt;=Charms!L4029</f>
        <v>#N/A</v>
      </c>
      <c r="E4029" t="e">
        <f>OR(ISBLANK(Charms!I4029),(VLOOKUP(Values!$S$6,Castes!$B$2:$F$25,4,0)=Charms!I4029))</f>
        <v>#N/A</v>
      </c>
      <c r="J4029" t="e">
        <f t="shared" ca="1" si="311"/>
        <v>#N/A</v>
      </c>
      <c r="K4029" s="18" t="e">
        <f t="shared" ca="1" si="310"/>
        <v>#N/A</v>
      </c>
      <c r="L4029" t="e">
        <f ca="1">IF(J4029,Charms!B4029,"")</f>
        <v>#N/A</v>
      </c>
      <c r="M4029" t="str">
        <f t="shared" ca="1" si="312"/>
        <v>-</v>
      </c>
      <c r="N4029" s="18" t="str">
        <f t="shared" si="313"/>
        <v>K1622:L5000</v>
      </c>
      <c r="O4029" t="str">
        <f t="shared" si="314"/>
        <v>A1622:A4029</v>
      </c>
    </row>
    <row r="4030" spans="1:15">
      <c r="A4030" s="18">
        <f>Charms!K4030</f>
        <v>0</v>
      </c>
      <c r="B4030">
        <f>Charms!B4030</f>
        <v>0</v>
      </c>
      <c r="C4030" t="b">
        <f ca="1">OR(Values!$S$98&gt;=Charms!M4030,IFERROR(Charms!J4030=OFFSET(Values!$A$24,MATCH("S",Values!$T$25:$T$50,0),0),FALSE))</f>
        <v>1</v>
      </c>
      <c r="D4030" t="e">
        <f>VLOOKUP(Charms!J4030,Values!$A$11:$S$59,19,0)&gt;=Charms!L4030</f>
        <v>#N/A</v>
      </c>
      <c r="E4030" t="e">
        <f>OR(ISBLANK(Charms!I4030),(VLOOKUP(Values!$S$6,Castes!$B$2:$F$25,4,0)=Charms!I4030))</f>
        <v>#N/A</v>
      </c>
      <c r="J4030" t="e">
        <f t="shared" ca="1" si="311"/>
        <v>#N/A</v>
      </c>
      <c r="K4030" s="18" t="e">
        <f t="shared" ca="1" si="310"/>
        <v>#N/A</v>
      </c>
      <c r="L4030" t="e">
        <f ca="1">IF(J4030,Charms!B4030,"")</f>
        <v>#N/A</v>
      </c>
      <c r="M4030" t="str">
        <f t="shared" ca="1" si="312"/>
        <v>-</v>
      </c>
      <c r="N4030" s="18" t="str">
        <f t="shared" si="313"/>
        <v>K1622:L5000</v>
      </c>
      <c r="O4030" t="str">
        <f t="shared" si="314"/>
        <v>A1622:A4030</v>
      </c>
    </row>
    <row r="4031" spans="1:15">
      <c r="A4031" s="18">
        <f>Charms!K4031</f>
        <v>0</v>
      </c>
      <c r="B4031">
        <f>Charms!B4031</f>
        <v>0</v>
      </c>
      <c r="C4031" t="b">
        <f ca="1">OR(Values!$S$98&gt;=Charms!M4031,IFERROR(Charms!J4031=OFFSET(Values!$A$24,MATCH("S",Values!$T$25:$T$50,0),0),FALSE))</f>
        <v>1</v>
      </c>
      <c r="D4031" t="e">
        <f>VLOOKUP(Charms!J4031,Values!$A$11:$S$59,19,0)&gt;=Charms!L4031</f>
        <v>#N/A</v>
      </c>
      <c r="E4031" t="e">
        <f>OR(ISBLANK(Charms!I4031),(VLOOKUP(Values!$S$6,Castes!$B$2:$F$25,4,0)=Charms!I4031))</f>
        <v>#N/A</v>
      </c>
      <c r="J4031" t="e">
        <f t="shared" ca="1" si="311"/>
        <v>#N/A</v>
      </c>
      <c r="K4031" s="18" t="e">
        <f t="shared" ca="1" si="310"/>
        <v>#N/A</v>
      </c>
      <c r="L4031" t="e">
        <f ca="1">IF(J4031,Charms!B4031,"")</f>
        <v>#N/A</v>
      </c>
      <c r="M4031" t="str">
        <f t="shared" ca="1" si="312"/>
        <v>-</v>
      </c>
      <c r="N4031" s="18" t="str">
        <f t="shared" si="313"/>
        <v>K1622:L5000</v>
      </c>
      <c r="O4031" t="str">
        <f t="shared" si="314"/>
        <v>A1622:A4031</v>
      </c>
    </row>
    <row r="4032" spans="1:15">
      <c r="A4032" s="18">
        <f>Charms!K4032</f>
        <v>0</v>
      </c>
      <c r="B4032">
        <f>Charms!B4032</f>
        <v>0</v>
      </c>
      <c r="C4032" t="b">
        <f ca="1">OR(Values!$S$98&gt;=Charms!M4032,IFERROR(Charms!J4032=OFFSET(Values!$A$24,MATCH("S",Values!$T$25:$T$50,0),0),FALSE))</f>
        <v>1</v>
      </c>
      <c r="D4032" t="e">
        <f>VLOOKUP(Charms!J4032,Values!$A$11:$S$59,19,0)&gt;=Charms!L4032</f>
        <v>#N/A</v>
      </c>
      <c r="E4032" t="e">
        <f>OR(ISBLANK(Charms!I4032),(VLOOKUP(Values!$S$6,Castes!$B$2:$F$25,4,0)=Charms!I4032))</f>
        <v>#N/A</v>
      </c>
      <c r="J4032" t="e">
        <f t="shared" ca="1" si="311"/>
        <v>#N/A</v>
      </c>
      <c r="K4032" s="18" t="e">
        <f t="shared" ca="1" si="310"/>
        <v>#N/A</v>
      </c>
      <c r="L4032" t="e">
        <f ca="1">IF(J4032,Charms!B4032,"")</f>
        <v>#N/A</v>
      </c>
      <c r="M4032" t="str">
        <f t="shared" ca="1" si="312"/>
        <v>-</v>
      </c>
      <c r="N4032" s="18" t="str">
        <f t="shared" si="313"/>
        <v>K1622:L5000</v>
      </c>
      <c r="O4032" t="str">
        <f t="shared" si="314"/>
        <v>A1622:A4032</v>
      </c>
    </row>
    <row r="4033" spans="1:15">
      <c r="A4033" s="18">
        <f>Charms!K4033</f>
        <v>0</v>
      </c>
      <c r="B4033">
        <f>Charms!B4033</f>
        <v>0</v>
      </c>
      <c r="C4033" t="b">
        <f ca="1">OR(Values!$S$98&gt;=Charms!M4033,IFERROR(Charms!J4033=OFFSET(Values!$A$24,MATCH("S",Values!$T$25:$T$50,0),0),FALSE))</f>
        <v>1</v>
      </c>
      <c r="D4033" t="e">
        <f>VLOOKUP(Charms!J4033,Values!$A$11:$S$59,19,0)&gt;=Charms!L4033</f>
        <v>#N/A</v>
      </c>
      <c r="E4033" t="e">
        <f>OR(ISBLANK(Charms!I4033),(VLOOKUP(Values!$S$6,Castes!$B$2:$F$25,4,0)=Charms!I4033))</f>
        <v>#N/A</v>
      </c>
      <c r="J4033" t="e">
        <f t="shared" ca="1" si="311"/>
        <v>#N/A</v>
      </c>
      <c r="K4033" s="18" t="e">
        <f t="shared" ca="1" si="310"/>
        <v>#N/A</v>
      </c>
      <c r="L4033" t="e">
        <f ca="1">IF(J4033,Charms!B4033,"")</f>
        <v>#N/A</v>
      </c>
      <c r="M4033" t="str">
        <f t="shared" ca="1" si="312"/>
        <v>-</v>
      </c>
      <c r="N4033" s="18" t="str">
        <f t="shared" si="313"/>
        <v>K1622:L5000</v>
      </c>
      <c r="O4033" t="str">
        <f t="shared" si="314"/>
        <v>A1622:A4033</v>
      </c>
    </row>
    <row r="4034" spans="1:15">
      <c r="A4034" s="18">
        <f>Charms!K4034</f>
        <v>0</v>
      </c>
      <c r="B4034">
        <f>Charms!B4034</f>
        <v>0</v>
      </c>
      <c r="C4034" t="b">
        <f ca="1">OR(Values!$S$98&gt;=Charms!M4034,IFERROR(Charms!J4034=OFFSET(Values!$A$24,MATCH("S",Values!$T$25:$T$50,0),0),FALSE))</f>
        <v>1</v>
      </c>
      <c r="D4034" t="e">
        <f>VLOOKUP(Charms!J4034,Values!$A$11:$S$59,19,0)&gt;=Charms!L4034</f>
        <v>#N/A</v>
      </c>
      <c r="E4034" t="e">
        <f>OR(ISBLANK(Charms!I4034),(VLOOKUP(Values!$S$6,Castes!$B$2:$F$25,4,0)=Charms!I4034))</f>
        <v>#N/A</v>
      </c>
      <c r="J4034" t="e">
        <f t="shared" ca="1" si="311"/>
        <v>#N/A</v>
      </c>
      <c r="K4034" s="18" t="e">
        <f t="shared" ref="K4034:K4097" ca="1" si="315">IF(L4034="","",COUNTIF(INDIRECT("J"&amp;MATCH(A4034,A:A,0)&amp;":J"&amp;ROW()),J4034))</f>
        <v>#N/A</v>
      </c>
      <c r="L4034" t="e">
        <f ca="1">IF(J4034,Charms!B4034,"")</f>
        <v>#N/A</v>
      </c>
      <c r="M4034" t="str">
        <f t="shared" ca="1" si="312"/>
        <v>-</v>
      </c>
      <c r="N4034" s="18" t="str">
        <f t="shared" si="313"/>
        <v>K1622:L5000</v>
      </c>
      <c r="O4034" t="str">
        <f t="shared" si="314"/>
        <v>A1622:A4034</v>
      </c>
    </row>
    <row r="4035" spans="1:15">
      <c r="A4035" s="18">
        <f>Charms!K4035</f>
        <v>0</v>
      </c>
      <c r="B4035">
        <f>Charms!B4035</f>
        <v>0</v>
      </c>
      <c r="C4035" t="b">
        <f ca="1">OR(Values!$S$98&gt;=Charms!M4035,IFERROR(Charms!J4035=OFFSET(Values!$A$24,MATCH("S",Values!$T$25:$T$50,0),0),FALSE))</f>
        <v>1</v>
      </c>
      <c r="D4035" t="e">
        <f>VLOOKUP(Charms!J4035,Values!$A$11:$S$59,19,0)&gt;=Charms!L4035</f>
        <v>#N/A</v>
      </c>
      <c r="E4035" t="e">
        <f>OR(ISBLANK(Charms!I4035),(VLOOKUP(Values!$S$6,Castes!$B$2:$F$25,4,0)=Charms!I4035))</f>
        <v>#N/A</v>
      </c>
      <c r="J4035" t="e">
        <f t="shared" ref="J4035:J4098" ca="1" si="316">(C4035+D4035+E4035+F4035+G4035+H4035+I4035)=3</f>
        <v>#N/A</v>
      </c>
      <c r="K4035" s="18" t="e">
        <f t="shared" ca="1" si="315"/>
        <v>#N/A</v>
      </c>
      <c r="L4035" t="e">
        <f ca="1">IF(J4035,Charms!B4035,"")</f>
        <v>#N/A</v>
      </c>
      <c r="M4035" t="str">
        <f t="shared" ref="M4035:M4098" ca="1" si="317">IFERROR(VLOOKUP(COUNTIF(INDIRECT(O4035),A4035),INDIRECT(N4035),2,0),"-")</f>
        <v>-</v>
      </c>
      <c r="N4035" s="18" t="str">
        <f t="shared" ref="N4035:N4098" si="318">"K"&amp;MATCH(A4035,A:A,0)&amp;":L"&amp;(MATCH(A4035,A:A,0)+COUNTIF(A:A,A4035)-1)</f>
        <v>K1622:L5000</v>
      </c>
      <c r="O4035" t="str">
        <f t="shared" ref="O4035:O4098" si="319">"A"&amp;MATCH(A4035,A:A,0)&amp;":A"&amp;ROW()</f>
        <v>A1622:A4035</v>
      </c>
    </row>
    <row r="4036" spans="1:15">
      <c r="A4036" s="18">
        <f>Charms!K4036</f>
        <v>0</v>
      </c>
      <c r="B4036">
        <f>Charms!B4036</f>
        <v>0</v>
      </c>
      <c r="C4036" t="b">
        <f ca="1">OR(Values!$S$98&gt;=Charms!M4036,IFERROR(Charms!J4036=OFFSET(Values!$A$24,MATCH("S",Values!$T$25:$T$50,0),0),FALSE))</f>
        <v>1</v>
      </c>
      <c r="D4036" t="e">
        <f>VLOOKUP(Charms!J4036,Values!$A$11:$S$59,19,0)&gt;=Charms!L4036</f>
        <v>#N/A</v>
      </c>
      <c r="E4036" t="e">
        <f>OR(ISBLANK(Charms!I4036),(VLOOKUP(Values!$S$6,Castes!$B$2:$F$25,4,0)=Charms!I4036))</f>
        <v>#N/A</v>
      </c>
      <c r="J4036" t="e">
        <f t="shared" ca="1" si="316"/>
        <v>#N/A</v>
      </c>
      <c r="K4036" s="18" t="e">
        <f t="shared" ca="1" si="315"/>
        <v>#N/A</v>
      </c>
      <c r="L4036" t="e">
        <f ca="1">IF(J4036,Charms!B4036,"")</f>
        <v>#N/A</v>
      </c>
      <c r="M4036" t="str">
        <f t="shared" ca="1" si="317"/>
        <v>-</v>
      </c>
      <c r="N4036" s="18" t="str">
        <f t="shared" si="318"/>
        <v>K1622:L5000</v>
      </c>
      <c r="O4036" t="str">
        <f t="shared" si="319"/>
        <v>A1622:A4036</v>
      </c>
    </row>
    <row r="4037" spans="1:15">
      <c r="A4037" s="18">
        <f>Charms!K4037</f>
        <v>0</v>
      </c>
      <c r="B4037">
        <f>Charms!B4037</f>
        <v>0</v>
      </c>
      <c r="C4037" t="b">
        <f ca="1">OR(Values!$S$98&gt;=Charms!M4037,IFERROR(Charms!J4037=OFFSET(Values!$A$24,MATCH("S",Values!$T$25:$T$50,0),0),FALSE))</f>
        <v>1</v>
      </c>
      <c r="D4037" t="e">
        <f>VLOOKUP(Charms!J4037,Values!$A$11:$S$59,19,0)&gt;=Charms!L4037</f>
        <v>#N/A</v>
      </c>
      <c r="E4037" t="e">
        <f>OR(ISBLANK(Charms!I4037),(VLOOKUP(Values!$S$6,Castes!$B$2:$F$25,4,0)=Charms!I4037))</f>
        <v>#N/A</v>
      </c>
      <c r="J4037" t="e">
        <f t="shared" ca="1" si="316"/>
        <v>#N/A</v>
      </c>
      <c r="K4037" s="18" t="e">
        <f t="shared" ca="1" si="315"/>
        <v>#N/A</v>
      </c>
      <c r="L4037" t="e">
        <f ca="1">IF(J4037,Charms!B4037,"")</f>
        <v>#N/A</v>
      </c>
      <c r="M4037" t="str">
        <f t="shared" ca="1" si="317"/>
        <v>-</v>
      </c>
      <c r="N4037" s="18" t="str">
        <f t="shared" si="318"/>
        <v>K1622:L5000</v>
      </c>
      <c r="O4037" t="str">
        <f t="shared" si="319"/>
        <v>A1622:A4037</v>
      </c>
    </row>
    <row r="4038" spans="1:15">
      <c r="A4038" s="18">
        <f>Charms!K4038</f>
        <v>0</v>
      </c>
      <c r="B4038">
        <f>Charms!B4038</f>
        <v>0</v>
      </c>
      <c r="C4038" t="b">
        <f ca="1">OR(Values!$S$98&gt;=Charms!M4038,IFERROR(Charms!J4038=OFFSET(Values!$A$24,MATCH("S",Values!$T$25:$T$50,0),0),FALSE))</f>
        <v>1</v>
      </c>
      <c r="D4038" t="e">
        <f>VLOOKUP(Charms!J4038,Values!$A$11:$S$59,19,0)&gt;=Charms!L4038</f>
        <v>#N/A</v>
      </c>
      <c r="E4038" t="e">
        <f>OR(ISBLANK(Charms!I4038),(VLOOKUP(Values!$S$6,Castes!$B$2:$F$25,4,0)=Charms!I4038))</f>
        <v>#N/A</v>
      </c>
      <c r="J4038" t="e">
        <f t="shared" ca="1" si="316"/>
        <v>#N/A</v>
      </c>
      <c r="K4038" s="18" t="e">
        <f t="shared" ca="1" si="315"/>
        <v>#N/A</v>
      </c>
      <c r="L4038" t="e">
        <f ca="1">IF(J4038,Charms!B4038,"")</f>
        <v>#N/A</v>
      </c>
      <c r="M4038" t="str">
        <f t="shared" ca="1" si="317"/>
        <v>-</v>
      </c>
      <c r="N4038" s="18" t="str">
        <f t="shared" si="318"/>
        <v>K1622:L5000</v>
      </c>
      <c r="O4038" t="str">
        <f t="shared" si="319"/>
        <v>A1622:A4038</v>
      </c>
    </row>
    <row r="4039" spans="1:15">
      <c r="A4039" s="18">
        <f>Charms!K4039</f>
        <v>0</v>
      </c>
      <c r="B4039">
        <f>Charms!B4039</f>
        <v>0</v>
      </c>
      <c r="C4039" t="b">
        <f ca="1">OR(Values!$S$98&gt;=Charms!M4039,IFERROR(Charms!J4039=OFFSET(Values!$A$24,MATCH("S",Values!$T$25:$T$50,0),0),FALSE))</f>
        <v>1</v>
      </c>
      <c r="D4039" t="e">
        <f>VLOOKUP(Charms!J4039,Values!$A$11:$S$59,19,0)&gt;=Charms!L4039</f>
        <v>#N/A</v>
      </c>
      <c r="E4039" t="e">
        <f>OR(ISBLANK(Charms!I4039),(VLOOKUP(Values!$S$6,Castes!$B$2:$F$25,4,0)=Charms!I4039))</f>
        <v>#N/A</v>
      </c>
      <c r="J4039" t="e">
        <f t="shared" ca="1" si="316"/>
        <v>#N/A</v>
      </c>
      <c r="K4039" s="18" t="e">
        <f t="shared" ca="1" si="315"/>
        <v>#N/A</v>
      </c>
      <c r="L4039" t="e">
        <f ca="1">IF(J4039,Charms!B4039,"")</f>
        <v>#N/A</v>
      </c>
      <c r="M4039" t="str">
        <f t="shared" ca="1" si="317"/>
        <v>-</v>
      </c>
      <c r="N4039" s="18" t="str">
        <f t="shared" si="318"/>
        <v>K1622:L5000</v>
      </c>
      <c r="O4039" t="str">
        <f t="shared" si="319"/>
        <v>A1622:A4039</v>
      </c>
    </row>
    <row r="4040" spans="1:15">
      <c r="A4040" s="18">
        <f>Charms!K4040</f>
        <v>0</v>
      </c>
      <c r="B4040">
        <f>Charms!B4040</f>
        <v>0</v>
      </c>
      <c r="C4040" t="b">
        <f ca="1">OR(Values!$S$98&gt;=Charms!M4040,IFERROR(Charms!J4040=OFFSET(Values!$A$24,MATCH("S",Values!$T$25:$T$50,0),0),FALSE))</f>
        <v>1</v>
      </c>
      <c r="D4040" t="e">
        <f>VLOOKUP(Charms!J4040,Values!$A$11:$S$59,19,0)&gt;=Charms!L4040</f>
        <v>#N/A</v>
      </c>
      <c r="E4040" t="e">
        <f>OR(ISBLANK(Charms!I4040),(VLOOKUP(Values!$S$6,Castes!$B$2:$F$25,4,0)=Charms!I4040))</f>
        <v>#N/A</v>
      </c>
      <c r="J4040" t="e">
        <f t="shared" ca="1" si="316"/>
        <v>#N/A</v>
      </c>
      <c r="K4040" s="18" t="e">
        <f t="shared" ca="1" si="315"/>
        <v>#N/A</v>
      </c>
      <c r="L4040" t="e">
        <f ca="1">IF(J4040,Charms!B4040,"")</f>
        <v>#N/A</v>
      </c>
      <c r="M4040" t="str">
        <f t="shared" ca="1" si="317"/>
        <v>-</v>
      </c>
      <c r="N4040" s="18" t="str">
        <f t="shared" si="318"/>
        <v>K1622:L5000</v>
      </c>
      <c r="O4040" t="str">
        <f t="shared" si="319"/>
        <v>A1622:A4040</v>
      </c>
    </row>
    <row r="4041" spans="1:15">
      <c r="A4041" s="18">
        <f>Charms!K4041</f>
        <v>0</v>
      </c>
      <c r="B4041">
        <f>Charms!B4041</f>
        <v>0</v>
      </c>
      <c r="C4041" t="b">
        <f ca="1">OR(Values!$S$98&gt;=Charms!M4041,IFERROR(Charms!J4041=OFFSET(Values!$A$24,MATCH("S",Values!$T$25:$T$50,0),0),FALSE))</f>
        <v>1</v>
      </c>
      <c r="D4041" t="e">
        <f>VLOOKUP(Charms!J4041,Values!$A$11:$S$59,19,0)&gt;=Charms!L4041</f>
        <v>#N/A</v>
      </c>
      <c r="E4041" t="e">
        <f>OR(ISBLANK(Charms!I4041),(VLOOKUP(Values!$S$6,Castes!$B$2:$F$25,4,0)=Charms!I4041))</f>
        <v>#N/A</v>
      </c>
      <c r="J4041" t="e">
        <f t="shared" ca="1" si="316"/>
        <v>#N/A</v>
      </c>
      <c r="K4041" s="18" t="e">
        <f t="shared" ca="1" si="315"/>
        <v>#N/A</v>
      </c>
      <c r="L4041" t="e">
        <f ca="1">IF(J4041,Charms!B4041,"")</f>
        <v>#N/A</v>
      </c>
      <c r="M4041" t="str">
        <f t="shared" ca="1" si="317"/>
        <v>-</v>
      </c>
      <c r="N4041" s="18" t="str">
        <f t="shared" si="318"/>
        <v>K1622:L5000</v>
      </c>
      <c r="O4041" t="str">
        <f t="shared" si="319"/>
        <v>A1622:A4041</v>
      </c>
    </row>
    <row r="4042" spans="1:15">
      <c r="A4042" s="18">
        <f>Charms!K4042</f>
        <v>0</v>
      </c>
      <c r="B4042">
        <f>Charms!B4042</f>
        <v>0</v>
      </c>
      <c r="C4042" t="b">
        <f ca="1">OR(Values!$S$98&gt;=Charms!M4042,IFERROR(Charms!J4042=OFFSET(Values!$A$24,MATCH("S",Values!$T$25:$T$50,0),0),FALSE))</f>
        <v>1</v>
      </c>
      <c r="D4042" t="e">
        <f>VLOOKUP(Charms!J4042,Values!$A$11:$S$59,19,0)&gt;=Charms!L4042</f>
        <v>#N/A</v>
      </c>
      <c r="E4042" t="e">
        <f>OR(ISBLANK(Charms!I4042),(VLOOKUP(Values!$S$6,Castes!$B$2:$F$25,4,0)=Charms!I4042))</f>
        <v>#N/A</v>
      </c>
      <c r="J4042" t="e">
        <f t="shared" ca="1" si="316"/>
        <v>#N/A</v>
      </c>
      <c r="K4042" s="18" t="e">
        <f t="shared" ca="1" si="315"/>
        <v>#N/A</v>
      </c>
      <c r="L4042" t="e">
        <f ca="1">IF(J4042,Charms!B4042,"")</f>
        <v>#N/A</v>
      </c>
      <c r="M4042" t="str">
        <f t="shared" ca="1" si="317"/>
        <v>-</v>
      </c>
      <c r="N4042" s="18" t="str">
        <f t="shared" si="318"/>
        <v>K1622:L5000</v>
      </c>
      <c r="O4042" t="str">
        <f t="shared" si="319"/>
        <v>A1622:A4042</v>
      </c>
    </row>
    <row r="4043" spans="1:15">
      <c r="A4043" s="18">
        <f>Charms!K4043</f>
        <v>0</v>
      </c>
      <c r="B4043">
        <f>Charms!B4043</f>
        <v>0</v>
      </c>
      <c r="C4043" t="b">
        <f ca="1">OR(Values!$S$98&gt;=Charms!M4043,IFERROR(Charms!J4043=OFFSET(Values!$A$24,MATCH("S",Values!$T$25:$T$50,0),0),FALSE))</f>
        <v>1</v>
      </c>
      <c r="D4043" t="e">
        <f>VLOOKUP(Charms!J4043,Values!$A$11:$S$59,19,0)&gt;=Charms!L4043</f>
        <v>#N/A</v>
      </c>
      <c r="E4043" t="e">
        <f>OR(ISBLANK(Charms!I4043),(VLOOKUP(Values!$S$6,Castes!$B$2:$F$25,4,0)=Charms!I4043))</f>
        <v>#N/A</v>
      </c>
      <c r="J4043" t="e">
        <f t="shared" ca="1" si="316"/>
        <v>#N/A</v>
      </c>
      <c r="K4043" s="18" t="e">
        <f t="shared" ca="1" si="315"/>
        <v>#N/A</v>
      </c>
      <c r="L4043" t="e">
        <f ca="1">IF(J4043,Charms!B4043,"")</f>
        <v>#N/A</v>
      </c>
      <c r="M4043" t="str">
        <f t="shared" ca="1" si="317"/>
        <v>-</v>
      </c>
      <c r="N4043" s="18" t="str">
        <f t="shared" si="318"/>
        <v>K1622:L5000</v>
      </c>
      <c r="O4043" t="str">
        <f t="shared" si="319"/>
        <v>A1622:A4043</v>
      </c>
    </row>
    <row r="4044" spans="1:15">
      <c r="A4044" s="18">
        <f>Charms!K4044</f>
        <v>0</v>
      </c>
      <c r="B4044">
        <f>Charms!B4044</f>
        <v>0</v>
      </c>
      <c r="C4044" t="b">
        <f ca="1">OR(Values!$S$98&gt;=Charms!M4044,IFERROR(Charms!J4044=OFFSET(Values!$A$24,MATCH("S",Values!$T$25:$T$50,0),0),FALSE))</f>
        <v>1</v>
      </c>
      <c r="D4044" t="e">
        <f>VLOOKUP(Charms!J4044,Values!$A$11:$S$59,19,0)&gt;=Charms!L4044</f>
        <v>#N/A</v>
      </c>
      <c r="E4044" t="e">
        <f>OR(ISBLANK(Charms!I4044),(VLOOKUP(Values!$S$6,Castes!$B$2:$F$25,4,0)=Charms!I4044))</f>
        <v>#N/A</v>
      </c>
      <c r="J4044" t="e">
        <f t="shared" ca="1" si="316"/>
        <v>#N/A</v>
      </c>
      <c r="K4044" s="18" t="e">
        <f t="shared" ca="1" si="315"/>
        <v>#N/A</v>
      </c>
      <c r="L4044" t="e">
        <f ca="1">IF(J4044,Charms!B4044,"")</f>
        <v>#N/A</v>
      </c>
      <c r="M4044" t="str">
        <f t="shared" ca="1" si="317"/>
        <v>-</v>
      </c>
      <c r="N4044" s="18" t="str">
        <f t="shared" si="318"/>
        <v>K1622:L5000</v>
      </c>
      <c r="O4044" t="str">
        <f t="shared" si="319"/>
        <v>A1622:A4044</v>
      </c>
    </row>
    <row r="4045" spans="1:15">
      <c r="A4045" s="18">
        <f>Charms!K4045</f>
        <v>0</v>
      </c>
      <c r="B4045">
        <f>Charms!B4045</f>
        <v>0</v>
      </c>
      <c r="C4045" t="b">
        <f ca="1">OR(Values!$S$98&gt;=Charms!M4045,IFERROR(Charms!J4045=OFFSET(Values!$A$24,MATCH("S",Values!$T$25:$T$50,0),0),FALSE))</f>
        <v>1</v>
      </c>
      <c r="D4045" t="e">
        <f>VLOOKUP(Charms!J4045,Values!$A$11:$S$59,19,0)&gt;=Charms!L4045</f>
        <v>#N/A</v>
      </c>
      <c r="E4045" t="e">
        <f>OR(ISBLANK(Charms!I4045),(VLOOKUP(Values!$S$6,Castes!$B$2:$F$25,4,0)=Charms!I4045))</f>
        <v>#N/A</v>
      </c>
      <c r="J4045" t="e">
        <f t="shared" ca="1" si="316"/>
        <v>#N/A</v>
      </c>
      <c r="K4045" s="18" t="e">
        <f t="shared" ca="1" si="315"/>
        <v>#N/A</v>
      </c>
      <c r="L4045" t="e">
        <f ca="1">IF(J4045,Charms!B4045,"")</f>
        <v>#N/A</v>
      </c>
      <c r="M4045" t="str">
        <f t="shared" ca="1" si="317"/>
        <v>-</v>
      </c>
      <c r="N4045" s="18" t="str">
        <f t="shared" si="318"/>
        <v>K1622:L5000</v>
      </c>
      <c r="O4045" t="str">
        <f t="shared" si="319"/>
        <v>A1622:A4045</v>
      </c>
    </row>
    <row r="4046" spans="1:15">
      <c r="A4046" s="18">
        <f>Charms!K4046</f>
        <v>0</v>
      </c>
      <c r="B4046">
        <f>Charms!B4046</f>
        <v>0</v>
      </c>
      <c r="C4046" t="b">
        <f ca="1">OR(Values!$S$98&gt;=Charms!M4046,IFERROR(Charms!J4046=OFFSET(Values!$A$24,MATCH("S",Values!$T$25:$T$50,0),0),FALSE))</f>
        <v>1</v>
      </c>
      <c r="D4046" t="e">
        <f>VLOOKUP(Charms!J4046,Values!$A$11:$S$59,19,0)&gt;=Charms!L4046</f>
        <v>#N/A</v>
      </c>
      <c r="E4046" t="e">
        <f>OR(ISBLANK(Charms!I4046),(VLOOKUP(Values!$S$6,Castes!$B$2:$F$25,4,0)=Charms!I4046))</f>
        <v>#N/A</v>
      </c>
      <c r="J4046" t="e">
        <f t="shared" ca="1" si="316"/>
        <v>#N/A</v>
      </c>
      <c r="K4046" s="18" t="e">
        <f t="shared" ca="1" si="315"/>
        <v>#N/A</v>
      </c>
      <c r="L4046" t="e">
        <f ca="1">IF(J4046,Charms!B4046,"")</f>
        <v>#N/A</v>
      </c>
      <c r="M4046" t="str">
        <f t="shared" ca="1" si="317"/>
        <v>-</v>
      </c>
      <c r="N4046" s="18" t="str">
        <f t="shared" si="318"/>
        <v>K1622:L5000</v>
      </c>
      <c r="O4046" t="str">
        <f t="shared" si="319"/>
        <v>A1622:A4046</v>
      </c>
    </row>
    <row r="4047" spans="1:15">
      <c r="A4047" s="18">
        <f>Charms!K4047</f>
        <v>0</v>
      </c>
      <c r="B4047">
        <f>Charms!B4047</f>
        <v>0</v>
      </c>
      <c r="C4047" t="b">
        <f ca="1">OR(Values!$S$98&gt;=Charms!M4047,IFERROR(Charms!J4047=OFFSET(Values!$A$24,MATCH("S",Values!$T$25:$T$50,0),0),FALSE))</f>
        <v>1</v>
      </c>
      <c r="D4047" t="e">
        <f>VLOOKUP(Charms!J4047,Values!$A$11:$S$59,19,0)&gt;=Charms!L4047</f>
        <v>#N/A</v>
      </c>
      <c r="E4047" t="e">
        <f>OR(ISBLANK(Charms!I4047),(VLOOKUP(Values!$S$6,Castes!$B$2:$F$25,4,0)=Charms!I4047))</f>
        <v>#N/A</v>
      </c>
      <c r="J4047" t="e">
        <f t="shared" ca="1" si="316"/>
        <v>#N/A</v>
      </c>
      <c r="K4047" s="18" t="e">
        <f t="shared" ca="1" si="315"/>
        <v>#N/A</v>
      </c>
      <c r="L4047" t="e">
        <f ca="1">IF(J4047,Charms!B4047,"")</f>
        <v>#N/A</v>
      </c>
      <c r="M4047" t="str">
        <f t="shared" ca="1" si="317"/>
        <v>-</v>
      </c>
      <c r="N4047" s="18" t="str">
        <f t="shared" si="318"/>
        <v>K1622:L5000</v>
      </c>
      <c r="O4047" t="str">
        <f t="shared" si="319"/>
        <v>A1622:A4047</v>
      </c>
    </row>
    <row r="4048" spans="1:15">
      <c r="A4048" s="18">
        <f>Charms!K4048</f>
        <v>0</v>
      </c>
      <c r="B4048">
        <f>Charms!B4048</f>
        <v>0</v>
      </c>
      <c r="C4048" t="b">
        <f ca="1">OR(Values!$S$98&gt;=Charms!M4048,IFERROR(Charms!J4048=OFFSET(Values!$A$24,MATCH("S",Values!$T$25:$T$50,0),0),FALSE))</f>
        <v>1</v>
      </c>
      <c r="D4048" t="e">
        <f>VLOOKUP(Charms!J4048,Values!$A$11:$S$59,19,0)&gt;=Charms!L4048</f>
        <v>#N/A</v>
      </c>
      <c r="E4048" t="e">
        <f>OR(ISBLANK(Charms!I4048),(VLOOKUP(Values!$S$6,Castes!$B$2:$F$25,4,0)=Charms!I4048))</f>
        <v>#N/A</v>
      </c>
      <c r="J4048" t="e">
        <f t="shared" ca="1" si="316"/>
        <v>#N/A</v>
      </c>
      <c r="K4048" s="18" t="e">
        <f t="shared" ca="1" si="315"/>
        <v>#N/A</v>
      </c>
      <c r="L4048" t="e">
        <f ca="1">IF(J4048,Charms!B4048,"")</f>
        <v>#N/A</v>
      </c>
      <c r="M4048" t="str">
        <f t="shared" ca="1" si="317"/>
        <v>-</v>
      </c>
      <c r="N4048" s="18" t="str">
        <f t="shared" si="318"/>
        <v>K1622:L5000</v>
      </c>
      <c r="O4048" t="str">
        <f t="shared" si="319"/>
        <v>A1622:A4048</v>
      </c>
    </row>
    <row r="4049" spans="1:15">
      <c r="A4049" s="18">
        <f>Charms!K4049</f>
        <v>0</v>
      </c>
      <c r="B4049">
        <f>Charms!B4049</f>
        <v>0</v>
      </c>
      <c r="C4049" t="b">
        <f ca="1">OR(Values!$S$98&gt;=Charms!M4049,IFERROR(Charms!J4049=OFFSET(Values!$A$24,MATCH("S",Values!$T$25:$T$50,0),0),FALSE))</f>
        <v>1</v>
      </c>
      <c r="D4049" t="e">
        <f>VLOOKUP(Charms!J4049,Values!$A$11:$S$59,19,0)&gt;=Charms!L4049</f>
        <v>#N/A</v>
      </c>
      <c r="E4049" t="e">
        <f>OR(ISBLANK(Charms!I4049),(VLOOKUP(Values!$S$6,Castes!$B$2:$F$25,4,0)=Charms!I4049))</f>
        <v>#N/A</v>
      </c>
      <c r="J4049" t="e">
        <f t="shared" ca="1" si="316"/>
        <v>#N/A</v>
      </c>
      <c r="K4049" s="18" t="e">
        <f t="shared" ca="1" si="315"/>
        <v>#N/A</v>
      </c>
      <c r="L4049" t="e">
        <f ca="1">IF(J4049,Charms!B4049,"")</f>
        <v>#N/A</v>
      </c>
      <c r="M4049" t="str">
        <f t="shared" ca="1" si="317"/>
        <v>-</v>
      </c>
      <c r="N4049" s="18" t="str">
        <f t="shared" si="318"/>
        <v>K1622:L5000</v>
      </c>
      <c r="O4049" t="str">
        <f t="shared" si="319"/>
        <v>A1622:A4049</v>
      </c>
    </row>
    <row r="4050" spans="1:15">
      <c r="A4050" s="18">
        <f>Charms!K4050</f>
        <v>0</v>
      </c>
      <c r="B4050">
        <f>Charms!B4050</f>
        <v>0</v>
      </c>
      <c r="C4050" t="b">
        <f ca="1">OR(Values!$S$98&gt;=Charms!M4050,IFERROR(Charms!J4050=OFFSET(Values!$A$24,MATCH("S",Values!$T$25:$T$50,0),0),FALSE))</f>
        <v>1</v>
      </c>
      <c r="D4050" t="e">
        <f>VLOOKUP(Charms!J4050,Values!$A$11:$S$59,19,0)&gt;=Charms!L4050</f>
        <v>#N/A</v>
      </c>
      <c r="E4050" t="e">
        <f>OR(ISBLANK(Charms!I4050),(VLOOKUP(Values!$S$6,Castes!$B$2:$F$25,4,0)=Charms!I4050))</f>
        <v>#N/A</v>
      </c>
      <c r="J4050" t="e">
        <f t="shared" ca="1" si="316"/>
        <v>#N/A</v>
      </c>
      <c r="K4050" s="18" t="e">
        <f t="shared" ca="1" si="315"/>
        <v>#N/A</v>
      </c>
      <c r="L4050" t="e">
        <f ca="1">IF(J4050,Charms!B4050,"")</f>
        <v>#N/A</v>
      </c>
      <c r="M4050" t="str">
        <f t="shared" ca="1" si="317"/>
        <v>-</v>
      </c>
      <c r="N4050" s="18" t="str">
        <f t="shared" si="318"/>
        <v>K1622:L5000</v>
      </c>
      <c r="O4050" t="str">
        <f t="shared" si="319"/>
        <v>A1622:A4050</v>
      </c>
    </row>
    <row r="4051" spans="1:15">
      <c r="A4051" s="18">
        <f>Charms!K4051</f>
        <v>0</v>
      </c>
      <c r="B4051">
        <f>Charms!B4051</f>
        <v>0</v>
      </c>
      <c r="C4051" t="b">
        <f ca="1">OR(Values!$S$98&gt;=Charms!M4051,IFERROR(Charms!J4051=OFFSET(Values!$A$24,MATCH("S",Values!$T$25:$T$50,0),0),FALSE))</f>
        <v>1</v>
      </c>
      <c r="D4051" t="e">
        <f>VLOOKUP(Charms!J4051,Values!$A$11:$S$59,19,0)&gt;=Charms!L4051</f>
        <v>#N/A</v>
      </c>
      <c r="E4051" t="e">
        <f>OR(ISBLANK(Charms!I4051),(VLOOKUP(Values!$S$6,Castes!$B$2:$F$25,4,0)=Charms!I4051))</f>
        <v>#N/A</v>
      </c>
      <c r="J4051" t="e">
        <f t="shared" ca="1" si="316"/>
        <v>#N/A</v>
      </c>
      <c r="K4051" s="18" t="e">
        <f t="shared" ca="1" si="315"/>
        <v>#N/A</v>
      </c>
      <c r="L4051" t="e">
        <f ca="1">IF(J4051,Charms!B4051,"")</f>
        <v>#N/A</v>
      </c>
      <c r="M4051" t="str">
        <f t="shared" ca="1" si="317"/>
        <v>-</v>
      </c>
      <c r="N4051" s="18" t="str">
        <f t="shared" si="318"/>
        <v>K1622:L5000</v>
      </c>
      <c r="O4051" t="str">
        <f t="shared" si="319"/>
        <v>A1622:A4051</v>
      </c>
    </row>
    <row r="4052" spans="1:15">
      <c r="A4052" s="18">
        <f>Charms!K4052</f>
        <v>0</v>
      </c>
      <c r="B4052">
        <f>Charms!B4052</f>
        <v>0</v>
      </c>
      <c r="C4052" t="b">
        <f ca="1">OR(Values!$S$98&gt;=Charms!M4052,IFERROR(Charms!J4052=OFFSET(Values!$A$24,MATCH("S",Values!$T$25:$T$50,0),0),FALSE))</f>
        <v>1</v>
      </c>
      <c r="D4052" t="e">
        <f>VLOOKUP(Charms!J4052,Values!$A$11:$S$59,19,0)&gt;=Charms!L4052</f>
        <v>#N/A</v>
      </c>
      <c r="E4052" t="e">
        <f>OR(ISBLANK(Charms!I4052),(VLOOKUP(Values!$S$6,Castes!$B$2:$F$25,4,0)=Charms!I4052))</f>
        <v>#N/A</v>
      </c>
      <c r="J4052" t="e">
        <f t="shared" ca="1" si="316"/>
        <v>#N/A</v>
      </c>
      <c r="K4052" s="18" t="e">
        <f t="shared" ca="1" si="315"/>
        <v>#N/A</v>
      </c>
      <c r="L4052" t="e">
        <f ca="1">IF(J4052,Charms!B4052,"")</f>
        <v>#N/A</v>
      </c>
      <c r="M4052" t="str">
        <f t="shared" ca="1" si="317"/>
        <v>-</v>
      </c>
      <c r="N4052" s="18" t="str">
        <f t="shared" si="318"/>
        <v>K1622:L5000</v>
      </c>
      <c r="O4052" t="str">
        <f t="shared" si="319"/>
        <v>A1622:A4052</v>
      </c>
    </row>
    <row r="4053" spans="1:15">
      <c r="A4053" s="18">
        <f>Charms!K4053</f>
        <v>0</v>
      </c>
      <c r="B4053">
        <f>Charms!B4053</f>
        <v>0</v>
      </c>
      <c r="C4053" t="b">
        <f ca="1">OR(Values!$S$98&gt;=Charms!M4053,IFERROR(Charms!J4053=OFFSET(Values!$A$24,MATCH("S",Values!$T$25:$T$50,0),0),FALSE))</f>
        <v>1</v>
      </c>
      <c r="D4053" t="e">
        <f>VLOOKUP(Charms!J4053,Values!$A$11:$S$59,19,0)&gt;=Charms!L4053</f>
        <v>#N/A</v>
      </c>
      <c r="E4053" t="e">
        <f>OR(ISBLANK(Charms!I4053),(VLOOKUP(Values!$S$6,Castes!$B$2:$F$25,4,0)=Charms!I4053))</f>
        <v>#N/A</v>
      </c>
      <c r="J4053" t="e">
        <f t="shared" ca="1" si="316"/>
        <v>#N/A</v>
      </c>
      <c r="K4053" s="18" t="e">
        <f t="shared" ca="1" si="315"/>
        <v>#N/A</v>
      </c>
      <c r="L4053" t="e">
        <f ca="1">IF(J4053,Charms!B4053,"")</f>
        <v>#N/A</v>
      </c>
      <c r="M4053" t="str">
        <f t="shared" ca="1" si="317"/>
        <v>-</v>
      </c>
      <c r="N4053" s="18" t="str">
        <f t="shared" si="318"/>
        <v>K1622:L5000</v>
      </c>
      <c r="O4053" t="str">
        <f t="shared" si="319"/>
        <v>A1622:A4053</v>
      </c>
    </row>
    <row r="4054" spans="1:15">
      <c r="A4054" s="18">
        <f>Charms!K4054</f>
        <v>0</v>
      </c>
      <c r="B4054">
        <f>Charms!B4054</f>
        <v>0</v>
      </c>
      <c r="C4054" t="b">
        <f ca="1">OR(Values!$S$98&gt;=Charms!M4054,IFERROR(Charms!J4054=OFFSET(Values!$A$24,MATCH("S",Values!$T$25:$T$50,0),0),FALSE))</f>
        <v>1</v>
      </c>
      <c r="D4054" t="e">
        <f>VLOOKUP(Charms!J4054,Values!$A$11:$S$59,19,0)&gt;=Charms!L4054</f>
        <v>#N/A</v>
      </c>
      <c r="E4054" t="e">
        <f>OR(ISBLANK(Charms!I4054),(VLOOKUP(Values!$S$6,Castes!$B$2:$F$25,4,0)=Charms!I4054))</f>
        <v>#N/A</v>
      </c>
      <c r="J4054" t="e">
        <f t="shared" ca="1" si="316"/>
        <v>#N/A</v>
      </c>
      <c r="K4054" s="18" t="e">
        <f t="shared" ca="1" si="315"/>
        <v>#N/A</v>
      </c>
      <c r="L4054" t="e">
        <f ca="1">IF(J4054,Charms!B4054,"")</f>
        <v>#N/A</v>
      </c>
      <c r="M4054" t="str">
        <f t="shared" ca="1" si="317"/>
        <v>-</v>
      </c>
      <c r="N4054" s="18" t="str">
        <f t="shared" si="318"/>
        <v>K1622:L5000</v>
      </c>
      <c r="O4054" t="str">
        <f t="shared" si="319"/>
        <v>A1622:A4054</v>
      </c>
    </row>
    <row r="4055" spans="1:15">
      <c r="A4055" s="18">
        <f>Charms!K4055</f>
        <v>0</v>
      </c>
      <c r="B4055">
        <f>Charms!B4055</f>
        <v>0</v>
      </c>
      <c r="C4055" t="b">
        <f ca="1">OR(Values!$S$98&gt;=Charms!M4055,IFERROR(Charms!J4055=OFFSET(Values!$A$24,MATCH("S",Values!$T$25:$T$50,0),0),FALSE))</f>
        <v>1</v>
      </c>
      <c r="D4055" t="e">
        <f>VLOOKUP(Charms!J4055,Values!$A$11:$S$59,19,0)&gt;=Charms!L4055</f>
        <v>#N/A</v>
      </c>
      <c r="E4055" t="e">
        <f>OR(ISBLANK(Charms!I4055),(VLOOKUP(Values!$S$6,Castes!$B$2:$F$25,4,0)=Charms!I4055))</f>
        <v>#N/A</v>
      </c>
      <c r="J4055" t="e">
        <f t="shared" ca="1" si="316"/>
        <v>#N/A</v>
      </c>
      <c r="K4055" s="18" t="e">
        <f t="shared" ca="1" si="315"/>
        <v>#N/A</v>
      </c>
      <c r="L4055" t="e">
        <f ca="1">IF(J4055,Charms!B4055,"")</f>
        <v>#N/A</v>
      </c>
      <c r="M4055" t="str">
        <f t="shared" ca="1" si="317"/>
        <v>-</v>
      </c>
      <c r="N4055" s="18" t="str">
        <f t="shared" si="318"/>
        <v>K1622:L5000</v>
      </c>
      <c r="O4055" t="str">
        <f t="shared" si="319"/>
        <v>A1622:A4055</v>
      </c>
    </row>
    <row r="4056" spans="1:15">
      <c r="A4056" s="18">
        <f>Charms!K4056</f>
        <v>0</v>
      </c>
      <c r="B4056">
        <f>Charms!B4056</f>
        <v>0</v>
      </c>
      <c r="C4056" t="b">
        <f ca="1">OR(Values!$S$98&gt;=Charms!M4056,IFERROR(Charms!J4056=OFFSET(Values!$A$24,MATCH("S",Values!$T$25:$T$50,0),0),FALSE))</f>
        <v>1</v>
      </c>
      <c r="D4056" t="e">
        <f>VLOOKUP(Charms!J4056,Values!$A$11:$S$59,19,0)&gt;=Charms!L4056</f>
        <v>#N/A</v>
      </c>
      <c r="E4056" t="e">
        <f>OR(ISBLANK(Charms!I4056),(VLOOKUP(Values!$S$6,Castes!$B$2:$F$25,4,0)=Charms!I4056))</f>
        <v>#N/A</v>
      </c>
      <c r="J4056" t="e">
        <f t="shared" ca="1" si="316"/>
        <v>#N/A</v>
      </c>
      <c r="K4056" s="18" t="e">
        <f t="shared" ca="1" si="315"/>
        <v>#N/A</v>
      </c>
      <c r="L4056" t="e">
        <f ca="1">IF(J4056,Charms!B4056,"")</f>
        <v>#N/A</v>
      </c>
      <c r="M4056" t="str">
        <f t="shared" ca="1" si="317"/>
        <v>-</v>
      </c>
      <c r="N4056" s="18" t="str">
        <f t="shared" si="318"/>
        <v>K1622:L5000</v>
      </c>
      <c r="O4056" t="str">
        <f t="shared" si="319"/>
        <v>A1622:A4056</v>
      </c>
    </row>
    <row r="4057" spans="1:15">
      <c r="A4057" s="18">
        <f>Charms!K4057</f>
        <v>0</v>
      </c>
      <c r="B4057">
        <f>Charms!B4057</f>
        <v>0</v>
      </c>
      <c r="C4057" t="b">
        <f ca="1">OR(Values!$S$98&gt;=Charms!M4057,IFERROR(Charms!J4057=OFFSET(Values!$A$24,MATCH("S",Values!$T$25:$T$50,0),0),FALSE))</f>
        <v>1</v>
      </c>
      <c r="D4057" t="e">
        <f>VLOOKUP(Charms!J4057,Values!$A$11:$S$59,19,0)&gt;=Charms!L4057</f>
        <v>#N/A</v>
      </c>
      <c r="E4057" t="e">
        <f>OR(ISBLANK(Charms!I4057),(VLOOKUP(Values!$S$6,Castes!$B$2:$F$25,4,0)=Charms!I4057))</f>
        <v>#N/A</v>
      </c>
      <c r="J4057" t="e">
        <f t="shared" ca="1" si="316"/>
        <v>#N/A</v>
      </c>
      <c r="K4057" s="18" t="e">
        <f t="shared" ca="1" si="315"/>
        <v>#N/A</v>
      </c>
      <c r="L4057" t="e">
        <f ca="1">IF(J4057,Charms!B4057,"")</f>
        <v>#N/A</v>
      </c>
      <c r="M4057" t="str">
        <f t="shared" ca="1" si="317"/>
        <v>-</v>
      </c>
      <c r="N4057" s="18" t="str">
        <f t="shared" si="318"/>
        <v>K1622:L5000</v>
      </c>
      <c r="O4057" t="str">
        <f t="shared" si="319"/>
        <v>A1622:A4057</v>
      </c>
    </row>
    <row r="4058" spans="1:15">
      <c r="A4058" s="18">
        <f>Charms!K4058</f>
        <v>0</v>
      </c>
      <c r="B4058">
        <f>Charms!B4058</f>
        <v>0</v>
      </c>
      <c r="C4058" t="b">
        <f ca="1">OR(Values!$S$98&gt;=Charms!M4058,IFERROR(Charms!J4058=OFFSET(Values!$A$24,MATCH("S",Values!$T$25:$T$50,0),0),FALSE))</f>
        <v>1</v>
      </c>
      <c r="D4058" t="e">
        <f>VLOOKUP(Charms!J4058,Values!$A$11:$S$59,19,0)&gt;=Charms!L4058</f>
        <v>#N/A</v>
      </c>
      <c r="E4058" t="e">
        <f>OR(ISBLANK(Charms!I4058),(VLOOKUP(Values!$S$6,Castes!$B$2:$F$25,4,0)=Charms!I4058))</f>
        <v>#N/A</v>
      </c>
      <c r="J4058" t="e">
        <f t="shared" ca="1" si="316"/>
        <v>#N/A</v>
      </c>
      <c r="K4058" s="18" t="e">
        <f t="shared" ca="1" si="315"/>
        <v>#N/A</v>
      </c>
      <c r="L4058" t="e">
        <f ca="1">IF(J4058,Charms!B4058,"")</f>
        <v>#N/A</v>
      </c>
      <c r="M4058" t="str">
        <f t="shared" ca="1" si="317"/>
        <v>-</v>
      </c>
      <c r="N4058" s="18" t="str">
        <f t="shared" si="318"/>
        <v>K1622:L5000</v>
      </c>
      <c r="O4058" t="str">
        <f t="shared" si="319"/>
        <v>A1622:A4058</v>
      </c>
    </row>
    <row r="4059" spans="1:15">
      <c r="A4059" s="18">
        <f>Charms!K4059</f>
        <v>0</v>
      </c>
      <c r="B4059">
        <f>Charms!B4059</f>
        <v>0</v>
      </c>
      <c r="C4059" t="b">
        <f ca="1">OR(Values!$S$98&gt;=Charms!M4059,IFERROR(Charms!J4059=OFFSET(Values!$A$24,MATCH("S",Values!$T$25:$T$50,0),0),FALSE))</f>
        <v>1</v>
      </c>
      <c r="D4059" t="e">
        <f>VLOOKUP(Charms!J4059,Values!$A$11:$S$59,19,0)&gt;=Charms!L4059</f>
        <v>#N/A</v>
      </c>
      <c r="E4059" t="e">
        <f>OR(ISBLANK(Charms!I4059),(VLOOKUP(Values!$S$6,Castes!$B$2:$F$25,4,0)=Charms!I4059))</f>
        <v>#N/A</v>
      </c>
      <c r="J4059" t="e">
        <f t="shared" ca="1" si="316"/>
        <v>#N/A</v>
      </c>
      <c r="K4059" s="18" t="e">
        <f t="shared" ca="1" si="315"/>
        <v>#N/A</v>
      </c>
      <c r="L4059" t="e">
        <f ca="1">IF(J4059,Charms!B4059,"")</f>
        <v>#N/A</v>
      </c>
      <c r="M4059" t="str">
        <f t="shared" ca="1" si="317"/>
        <v>-</v>
      </c>
      <c r="N4059" s="18" t="str">
        <f t="shared" si="318"/>
        <v>K1622:L5000</v>
      </c>
      <c r="O4059" t="str">
        <f t="shared" si="319"/>
        <v>A1622:A4059</v>
      </c>
    </row>
    <row r="4060" spans="1:15">
      <c r="A4060" s="18">
        <f>Charms!K4060</f>
        <v>0</v>
      </c>
      <c r="B4060">
        <f>Charms!B4060</f>
        <v>0</v>
      </c>
      <c r="C4060" t="b">
        <f ca="1">OR(Values!$S$98&gt;=Charms!M4060,IFERROR(Charms!J4060=OFFSET(Values!$A$24,MATCH("S",Values!$T$25:$T$50,0),0),FALSE))</f>
        <v>1</v>
      </c>
      <c r="D4060" t="e">
        <f>VLOOKUP(Charms!J4060,Values!$A$11:$S$59,19,0)&gt;=Charms!L4060</f>
        <v>#N/A</v>
      </c>
      <c r="E4060" t="e">
        <f>OR(ISBLANK(Charms!I4060),(VLOOKUP(Values!$S$6,Castes!$B$2:$F$25,4,0)=Charms!I4060))</f>
        <v>#N/A</v>
      </c>
      <c r="J4060" t="e">
        <f t="shared" ca="1" si="316"/>
        <v>#N/A</v>
      </c>
      <c r="K4060" s="18" t="e">
        <f t="shared" ca="1" si="315"/>
        <v>#N/A</v>
      </c>
      <c r="L4060" t="e">
        <f ca="1">IF(J4060,Charms!B4060,"")</f>
        <v>#N/A</v>
      </c>
      <c r="M4060" t="str">
        <f t="shared" ca="1" si="317"/>
        <v>-</v>
      </c>
      <c r="N4060" s="18" t="str">
        <f t="shared" si="318"/>
        <v>K1622:L5000</v>
      </c>
      <c r="O4060" t="str">
        <f t="shared" si="319"/>
        <v>A1622:A4060</v>
      </c>
    </row>
    <row r="4061" spans="1:15">
      <c r="A4061" s="18">
        <f>Charms!K4061</f>
        <v>0</v>
      </c>
      <c r="B4061">
        <f>Charms!B4061</f>
        <v>0</v>
      </c>
      <c r="C4061" t="b">
        <f ca="1">OR(Values!$S$98&gt;=Charms!M4061,IFERROR(Charms!J4061=OFFSET(Values!$A$24,MATCH("S",Values!$T$25:$T$50,0),0),FALSE))</f>
        <v>1</v>
      </c>
      <c r="D4061" t="e">
        <f>VLOOKUP(Charms!J4061,Values!$A$11:$S$59,19,0)&gt;=Charms!L4061</f>
        <v>#N/A</v>
      </c>
      <c r="E4061" t="e">
        <f>OR(ISBLANK(Charms!I4061),(VLOOKUP(Values!$S$6,Castes!$B$2:$F$25,4,0)=Charms!I4061))</f>
        <v>#N/A</v>
      </c>
      <c r="J4061" t="e">
        <f t="shared" ca="1" si="316"/>
        <v>#N/A</v>
      </c>
      <c r="K4061" s="18" t="e">
        <f t="shared" ca="1" si="315"/>
        <v>#N/A</v>
      </c>
      <c r="L4061" t="e">
        <f ca="1">IF(J4061,Charms!B4061,"")</f>
        <v>#N/A</v>
      </c>
      <c r="M4061" t="str">
        <f t="shared" ca="1" si="317"/>
        <v>-</v>
      </c>
      <c r="N4061" s="18" t="str">
        <f t="shared" si="318"/>
        <v>K1622:L5000</v>
      </c>
      <c r="O4061" t="str">
        <f t="shared" si="319"/>
        <v>A1622:A4061</v>
      </c>
    </row>
    <row r="4062" spans="1:15">
      <c r="A4062" s="18">
        <f>Charms!K4062</f>
        <v>0</v>
      </c>
      <c r="B4062">
        <f>Charms!B4062</f>
        <v>0</v>
      </c>
      <c r="C4062" t="b">
        <f ca="1">OR(Values!$S$98&gt;=Charms!M4062,IFERROR(Charms!J4062=OFFSET(Values!$A$24,MATCH("S",Values!$T$25:$T$50,0),0),FALSE))</f>
        <v>1</v>
      </c>
      <c r="D4062" t="e">
        <f>VLOOKUP(Charms!J4062,Values!$A$11:$S$59,19,0)&gt;=Charms!L4062</f>
        <v>#N/A</v>
      </c>
      <c r="E4062" t="e">
        <f>OR(ISBLANK(Charms!I4062),(VLOOKUP(Values!$S$6,Castes!$B$2:$F$25,4,0)=Charms!I4062))</f>
        <v>#N/A</v>
      </c>
      <c r="J4062" t="e">
        <f t="shared" ca="1" si="316"/>
        <v>#N/A</v>
      </c>
      <c r="K4062" s="18" t="e">
        <f t="shared" ca="1" si="315"/>
        <v>#N/A</v>
      </c>
      <c r="L4062" t="e">
        <f ca="1">IF(J4062,Charms!B4062,"")</f>
        <v>#N/A</v>
      </c>
      <c r="M4062" t="str">
        <f t="shared" ca="1" si="317"/>
        <v>-</v>
      </c>
      <c r="N4062" s="18" t="str">
        <f t="shared" si="318"/>
        <v>K1622:L5000</v>
      </c>
      <c r="O4062" t="str">
        <f t="shared" si="319"/>
        <v>A1622:A4062</v>
      </c>
    </row>
    <row r="4063" spans="1:15">
      <c r="A4063" s="18">
        <f>Charms!K4063</f>
        <v>0</v>
      </c>
      <c r="B4063">
        <f>Charms!B4063</f>
        <v>0</v>
      </c>
      <c r="C4063" t="b">
        <f ca="1">OR(Values!$S$98&gt;=Charms!M4063,IFERROR(Charms!J4063=OFFSET(Values!$A$24,MATCH("S",Values!$T$25:$T$50,0),0),FALSE))</f>
        <v>1</v>
      </c>
      <c r="D4063" t="e">
        <f>VLOOKUP(Charms!J4063,Values!$A$11:$S$59,19,0)&gt;=Charms!L4063</f>
        <v>#N/A</v>
      </c>
      <c r="E4063" t="e">
        <f>OR(ISBLANK(Charms!I4063),(VLOOKUP(Values!$S$6,Castes!$B$2:$F$25,4,0)=Charms!I4063))</f>
        <v>#N/A</v>
      </c>
      <c r="J4063" t="e">
        <f t="shared" ca="1" si="316"/>
        <v>#N/A</v>
      </c>
      <c r="K4063" s="18" t="e">
        <f t="shared" ca="1" si="315"/>
        <v>#N/A</v>
      </c>
      <c r="L4063" t="e">
        <f ca="1">IF(J4063,Charms!B4063,"")</f>
        <v>#N/A</v>
      </c>
      <c r="M4063" t="str">
        <f t="shared" ca="1" si="317"/>
        <v>-</v>
      </c>
      <c r="N4063" s="18" t="str">
        <f t="shared" si="318"/>
        <v>K1622:L5000</v>
      </c>
      <c r="O4063" t="str">
        <f t="shared" si="319"/>
        <v>A1622:A4063</v>
      </c>
    </row>
    <row r="4064" spans="1:15">
      <c r="A4064" s="18">
        <f>Charms!K4064</f>
        <v>0</v>
      </c>
      <c r="B4064">
        <f>Charms!B4064</f>
        <v>0</v>
      </c>
      <c r="C4064" t="b">
        <f ca="1">OR(Values!$S$98&gt;=Charms!M4064,IFERROR(Charms!J4064=OFFSET(Values!$A$24,MATCH("S",Values!$T$25:$T$50,0),0),FALSE))</f>
        <v>1</v>
      </c>
      <c r="D4064" t="e">
        <f>VLOOKUP(Charms!J4064,Values!$A$11:$S$59,19,0)&gt;=Charms!L4064</f>
        <v>#N/A</v>
      </c>
      <c r="E4064" t="e">
        <f>OR(ISBLANK(Charms!I4064),(VLOOKUP(Values!$S$6,Castes!$B$2:$F$25,4,0)=Charms!I4064))</f>
        <v>#N/A</v>
      </c>
      <c r="J4064" t="e">
        <f t="shared" ca="1" si="316"/>
        <v>#N/A</v>
      </c>
      <c r="K4064" s="18" t="e">
        <f t="shared" ca="1" si="315"/>
        <v>#N/A</v>
      </c>
      <c r="L4064" t="e">
        <f ca="1">IF(J4064,Charms!B4064,"")</f>
        <v>#N/A</v>
      </c>
      <c r="M4064" t="str">
        <f t="shared" ca="1" si="317"/>
        <v>-</v>
      </c>
      <c r="N4064" s="18" t="str">
        <f t="shared" si="318"/>
        <v>K1622:L5000</v>
      </c>
      <c r="O4064" t="str">
        <f t="shared" si="319"/>
        <v>A1622:A4064</v>
      </c>
    </row>
    <row r="4065" spans="1:15">
      <c r="A4065" s="18">
        <f>Charms!K4065</f>
        <v>0</v>
      </c>
      <c r="B4065">
        <f>Charms!B4065</f>
        <v>0</v>
      </c>
      <c r="C4065" t="b">
        <f ca="1">OR(Values!$S$98&gt;=Charms!M4065,IFERROR(Charms!J4065=OFFSET(Values!$A$24,MATCH("S",Values!$T$25:$T$50,0),0),FALSE))</f>
        <v>1</v>
      </c>
      <c r="D4065" t="e">
        <f>VLOOKUP(Charms!J4065,Values!$A$11:$S$59,19,0)&gt;=Charms!L4065</f>
        <v>#N/A</v>
      </c>
      <c r="E4065" t="e">
        <f>OR(ISBLANK(Charms!I4065),(VLOOKUP(Values!$S$6,Castes!$B$2:$F$25,4,0)=Charms!I4065))</f>
        <v>#N/A</v>
      </c>
      <c r="J4065" t="e">
        <f t="shared" ca="1" si="316"/>
        <v>#N/A</v>
      </c>
      <c r="K4065" s="18" t="e">
        <f t="shared" ca="1" si="315"/>
        <v>#N/A</v>
      </c>
      <c r="L4065" t="e">
        <f ca="1">IF(J4065,Charms!B4065,"")</f>
        <v>#N/A</v>
      </c>
      <c r="M4065" t="str">
        <f t="shared" ca="1" si="317"/>
        <v>-</v>
      </c>
      <c r="N4065" s="18" t="str">
        <f t="shared" si="318"/>
        <v>K1622:L5000</v>
      </c>
      <c r="O4065" t="str">
        <f t="shared" si="319"/>
        <v>A1622:A4065</v>
      </c>
    </row>
    <row r="4066" spans="1:15">
      <c r="A4066" s="18">
        <f>Charms!K4066</f>
        <v>0</v>
      </c>
      <c r="B4066">
        <f>Charms!B4066</f>
        <v>0</v>
      </c>
      <c r="C4066" t="b">
        <f ca="1">OR(Values!$S$98&gt;=Charms!M4066,IFERROR(Charms!J4066=OFFSET(Values!$A$24,MATCH("S",Values!$T$25:$T$50,0),0),FALSE))</f>
        <v>1</v>
      </c>
      <c r="D4066" t="e">
        <f>VLOOKUP(Charms!J4066,Values!$A$11:$S$59,19,0)&gt;=Charms!L4066</f>
        <v>#N/A</v>
      </c>
      <c r="E4066" t="e">
        <f>OR(ISBLANK(Charms!I4066),(VLOOKUP(Values!$S$6,Castes!$B$2:$F$25,4,0)=Charms!I4066))</f>
        <v>#N/A</v>
      </c>
      <c r="J4066" t="e">
        <f t="shared" ca="1" si="316"/>
        <v>#N/A</v>
      </c>
      <c r="K4066" s="18" t="e">
        <f t="shared" ca="1" si="315"/>
        <v>#N/A</v>
      </c>
      <c r="L4066" t="e">
        <f ca="1">IF(J4066,Charms!B4066,"")</f>
        <v>#N/A</v>
      </c>
      <c r="M4066" t="str">
        <f t="shared" ca="1" si="317"/>
        <v>-</v>
      </c>
      <c r="N4066" s="18" t="str">
        <f t="shared" si="318"/>
        <v>K1622:L5000</v>
      </c>
      <c r="O4066" t="str">
        <f t="shared" si="319"/>
        <v>A1622:A4066</v>
      </c>
    </row>
    <row r="4067" spans="1:15">
      <c r="A4067" s="18">
        <f>Charms!K4067</f>
        <v>0</v>
      </c>
      <c r="B4067">
        <f>Charms!B4067</f>
        <v>0</v>
      </c>
      <c r="C4067" t="b">
        <f ca="1">OR(Values!$S$98&gt;=Charms!M4067,IFERROR(Charms!J4067=OFFSET(Values!$A$24,MATCH("S",Values!$T$25:$T$50,0),0),FALSE))</f>
        <v>1</v>
      </c>
      <c r="D4067" t="e">
        <f>VLOOKUP(Charms!J4067,Values!$A$11:$S$59,19,0)&gt;=Charms!L4067</f>
        <v>#N/A</v>
      </c>
      <c r="E4067" t="e">
        <f>OR(ISBLANK(Charms!I4067),(VLOOKUP(Values!$S$6,Castes!$B$2:$F$25,4,0)=Charms!I4067))</f>
        <v>#N/A</v>
      </c>
      <c r="J4067" t="e">
        <f t="shared" ca="1" si="316"/>
        <v>#N/A</v>
      </c>
      <c r="K4067" s="18" t="e">
        <f t="shared" ca="1" si="315"/>
        <v>#N/A</v>
      </c>
      <c r="L4067" t="e">
        <f ca="1">IF(J4067,Charms!B4067,"")</f>
        <v>#N/A</v>
      </c>
      <c r="M4067" t="str">
        <f t="shared" ca="1" si="317"/>
        <v>-</v>
      </c>
      <c r="N4067" s="18" t="str">
        <f t="shared" si="318"/>
        <v>K1622:L5000</v>
      </c>
      <c r="O4067" t="str">
        <f t="shared" si="319"/>
        <v>A1622:A4067</v>
      </c>
    </row>
    <row r="4068" spans="1:15">
      <c r="A4068" s="18">
        <f>Charms!K4068</f>
        <v>0</v>
      </c>
      <c r="B4068">
        <f>Charms!B4068</f>
        <v>0</v>
      </c>
      <c r="C4068" t="b">
        <f ca="1">OR(Values!$S$98&gt;=Charms!M4068,IFERROR(Charms!J4068=OFFSET(Values!$A$24,MATCH("S",Values!$T$25:$T$50,0),0),FALSE))</f>
        <v>1</v>
      </c>
      <c r="D4068" t="e">
        <f>VLOOKUP(Charms!J4068,Values!$A$11:$S$59,19,0)&gt;=Charms!L4068</f>
        <v>#N/A</v>
      </c>
      <c r="E4068" t="e">
        <f>OR(ISBLANK(Charms!I4068),(VLOOKUP(Values!$S$6,Castes!$B$2:$F$25,4,0)=Charms!I4068))</f>
        <v>#N/A</v>
      </c>
      <c r="J4068" t="e">
        <f t="shared" ca="1" si="316"/>
        <v>#N/A</v>
      </c>
      <c r="K4068" s="18" t="e">
        <f t="shared" ca="1" si="315"/>
        <v>#N/A</v>
      </c>
      <c r="L4068" t="e">
        <f ca="1">IF(J4068,Charms!B4068,"")</f>
        <v>#N/A</v>
      </c>
      <c r="M4068" t="str">
        <f t="shared" ca="1" si="317"/>
        <v>-</v>
      </c>
      <c r="N4068" s="18" t="str">
        <f t="shared" si="318"/>
        <v>K1622:L5000</v>
      </c>
      <c r="O4068" t="str">
        <f t="shared" si="319"/>
        <v>A1622:A4068</v>
      </c>
    </row>
    <row r="4069" spans="1:15">
      <c r="A4069" s="18">
        <f>Charms!K4069</f>
        <v>0</v>
      </c>
      <c r="B4069">
        <f>Charms!B4069</f>
        <v>0</v>
      </c>
      <c r="C4069" t="b">
        <f ca="1">OR(Values!$S$98&gt;=Charms!M4069,IFERROR(Charms!J4069=OFFSET(Values!$A$24,MATCH("S",Values!$T$25:$T$50,0),0),FALSE))</f>
        <v>1</v>
      </c>
      <c r="D4069" t="e">
        <f>VLOOKUP(Charms!J4069,Values!$A$11:$S$59,19,0)&gt;=Charms!L4069</f>
        <v>#N/A</v>
      </c>
      <c r="E4069" t="e">
        <f>OR(ISBLANK(Charms!I4069),(VLOOKUP(Values!$S$6,Castes!$B$2:$F$25,4,0)=Charms!I4069))</f>
        <v>#N/A</v>
      </c>
      <c r="J4069" t="e">
        <f t="shared" ca="1" si="316"/>
        <v>#N/A</v>
      </c>
      <c r="K4069" s="18" t="e">
        <f t="shared" ca="1" si="315"/>
        <v>#N/A</v>
      </c>
      <c r="L4069" t="e">
        <f ca="1">IF(J4069,Charms!B4069,"")</f>
        <v>#N/A</v>
      </c>
      <c r="M4069" t="str">
        <f t="shared" ca="1" si="317"/>
        <v>-</v>
      </c>
      <c r="N4069" s="18" t="str">
        <f t="shared" si="318"/>
        <v>K1622:L5000</v>
      </c>
      <c r="O4069" t="str">
        <f t="shared" si="319"/>
        <v>A1622:A4069</v>
      </c>
    </row>
    <row r="4070" spans="1:15">
      <c r="A4070" s="18">
        <f>Charms!K4070</f>
        <v>0</v>
      </c>
      <c r="B4070">
        <f>Charms!B4070</f>
        <v>0</v>
      </c>
      <c r="C4070" t="b">
        <f ca="1">OR(Values!$S$98&gt;=Charms!M4070,IFERROR(Charms!J4070=OFFSET(Values!$A$24,MATCH("S",Values!$T$25:$T$50,0),0),FALSE))</f>
        <v>1</v>
      </c>
      <c r="D4070" t="e">
        <f>VLOOKUP(Charms!J4070,Values!$A$11:$S$59,19,0)&gt;=Charms!L4070</f>
        <v>#N/A</v>
      </c>
      <c r="E4070" t="e">
        <f>OR(ISBLANK(Charms!I4070),(VLOOKUP(Values!$S$6,Castes!$B$2:$F$25,4,0)=Charms!I4070))</f>
        <v>#N/A</v>
      </c>
      <c r="J4070" t="e">
        <f t="shared" ca="1" si="316"/>
        <v>#N/A</v>
      </c>
      <c r="K4070" s="18" t="e">
        <f t="shared" ca="1" si="315"/>
        <v>#N/A</v>
      </c>
      <c r="L4070" t="e">
        <f ca="1">IF(J4070,Charms!B4070,"")</f>
        <v>#N/A</v>
      </c>
      <c r="M4070" t="str">
        <f t="shared" ca="1" si="317"/>
        <v>-</v>
      </c>
      <c r="N4070" s="18" t="str">
        <f t="shared" si="318"/>
        <v>K1622:L5000</v>
      </c>
      <c r="O4070" t="str">
        <f t="shared" si="319"/>
        <v>A1622:A4070</v>
      </c>
    </row>
    <row r="4071" spans="1:15">
      <c r="A4071" s="18">
        <f>Charms!K4071</f>
        <v>0</v>
      </c>
      <c r="B4071">
        <f>Charms!B4071</f>
        <v>0</v>
      </c>
      <c r="C4071" t="b">
        <f ca="1">OR(Values!$S$98&gt;=Charms!M4071,IFERROR(Charms!J4071=OFFSET(Values!$A$24,MATCH("S",Values!$T$25:$T$50,0),0),FALSE))</f>
        <v>1</v>
      </c>
      <c r="D4071" t="e">
        <f>VLOOKUP(Charms!J4071,Values!$A$11:$S$59,19,0)&gt;=Charms!L4071</f>
        <v>#N/A</v>
      </c>
      <c r="E4071" t="e">
        <f>OR(ISBLANK(Charms!I4071),(VLOOKUP(Values!$S$6,Castes!$B$2:$F$25,4,0)=Charms!I4071))</f>
        <v>#N/A</v>
      </c>
      <c r="J4071" t="e">
        <f t="shared" ca="1" si="316"/>
        <v>#N/A</v>
      </c>
      <c r="K4071" s="18" t="e">
        <f t="shared" ca="1" si="315"/>
        <v>#N/A</v>
      </c>
      <c r="L4071" t="e">
        <f ca="1">IF(J4071,Charms!B4071,"")</f>
        <v>#N/A</v>
      </c>
      <c r="M4071" t="str">
        <f t="shared" ca="1" si="317"/>
        <v>-</v>
      </c>
      <c r="N4071" s="18" t="str">
        <f t="shared" si="318"/>
        <v>K1622:L5000</v>
      </c>
      <c r="O4071" t="str">
        <f t="shared" si="319"/>
        <v>A1622:A4071</v>
      </c>
    </row>
    <row r="4072" spans="1:15">
      <c r="A4072" s="18">
        <f>Charms!K4072</f>
        <v>0</v>
      </c>
      <c r="B4072">
        <f>Charms!B4072</f>
        <v>0</v>
      </c>
      <c r="C4072" t="b">
        <f ca="1">OR(Values!$S$98&gt;=Charms!M4072,IFERROR(Charms!J4072=OFFSET(Values!$A$24,MATCH("S",Values!$T$25:$T$50,0),0),FALSE))</f>
        <v>1</v>
      </c>
      <c r="D4072" t="e">
        <f>VLOOKUP(Charms!J4072,Values!$A$11:$S$59,19,0)&gt;=Charms!L4072</f>
        <v>#N/A</v>
      </c>
      <c r="E4072" t="e">
        <f>OR(ISBLANK(Charms!I4072),(VLOOKUP(Values!$S$6,Castes!$B$2:$F$25,4,0)=Charms!I4072))</f>
        <v>#N/A</v>
      </c>
      <c r="J4072" t="e">
        <f t="shared" ca="1" si="316"/>
        <v>#N/A</v>
      </c>
      <c r="K4072" s="18" t="e">
        <f t="shared" ca="1" si="315"/>
        <v>#N/A</v>
      </c>
      <c r="L4072" t="e">
        <f ca="1">IF(J4072,Charms!B4072,"")</f>
        <v>#N/A</v>
      </c>
      <c r="M4072" t="str">
        <f t="shared" ca="1" si="317"/>
        <v>-</v>
      </c>
      <c r="N4072" s="18" t="str">
        <f t="shared" si="318"/>
        <v>K1622:L5000</v>
      </c>
      <c r="O4072" t="str">
        <f t="shared" si="319"/>
        <v>A1622:A4072</v>
      </c>
    </row>
    <row r="4073" spans="1:15">
      <c r="A4073" s="18">
        <f>Charms!K4073</f>
        <v>0</v>
      </c>
      <c r="B4073">
        <f>Charms!B4073</f>
        <v>0</v>
      </c>
      <c r="C4073" t="b">
        <f ca="1">OR(Values!$S$98&gt;=Charms!M4073,IFERROR(Charms!J4073=OFFSET(Values!$A$24,MATCH("S",Values!$T$25:$T$50,0),0),FALSE))</f>
        <v>1</v>
      </c>
      <c r="D4073" t="e">
        <f>VLOOKUP(Charms!J4073,Values!$A$11:$S$59,19,0)&gt;=Charms!L4073</f>
        <v>#N/A</v>
      </c>
      <c r="E4073" t="e">
        <f>OR(ISBLANK(Charms!I4073),(VLOOKUP(Values!$S$6,Castes!$B$2:$F$25,4,0)=Charms!I4073))</f>
        <v>#N/A</v>
      </c>
      <c r="J4073" t="e">
        <f t="shared" ca="1" si="316"/>
        <v>#N/A</v>
      </c>
      <c r="K4073" s="18" t="e">
        <f t="shared" ca="1" si="315"/>
        <v>#N/A</v>
      </c>
      <c r="L4073" t="e">
        <f ca="1">IF(J4073,Charms!B4073,"")</f>
        <v>#N/A</v>
      </c>
      <c r="M4073" t="str">
        <f t="shared" ca="1" si="317"/>
        <v>-</v>
      </c>
      <c r="N4073" s="18" t="str">
        <f t="shared" si="318"/>
        <v>K1622:L5000</v>
      </c>
      <c r="O4073" t="str">
        <f t="shared" si="319"/>
        <v>A1622:A4073</v>
      </c>
    </row>
    <row r="4074" spans="1:15">
      <c r="A4074" s="18">
        <f>Charms!K4074</f>
        <v>0</v>
      </c>
      <c r="B4074">
        <f>Charms!B4074</f>
        <v>0</v>
      </c>
      <c r="C4074" t="b">
        <f ca="1">OR(Values!$S$98&gt;=Charms!M4074,IFERROR(Charms!J4074=OFFSET(Values!$A$24,MATCH("S",Values!$T$25:$T$50,0),0),FALSE))</f>
        <v>1</v>
      </c>
      <c r="D4074" t="e">
        <f>VLOOKUP(Charms!J4074,Values!$A$11:$S$59,19,0)&gt;=Charms!L4074</f>
        <v>#N/A</v>
      </c>
      <c r="E4074" t="e">
        <f>OR(ISBLANK(Charms!I4074),(VLOOKUP(Values!$S$6,Castes!$B$2:$F$25,4,0)=Charms!I4074))</f>
        <v>#N/A</v>
      </c>
      <c r="J4074" t="e">
        <f t="shared" ca="1" si="316"/>
        <v>#N/A</v>
      </c>
      <c r="K4074" s="18" t="e">
        <f t="shared" ca="1" si="315"/>
        <v>#N/A</v>
      </c>
      <c r="L4074" t="e">
        <f ca="1">IF(J4074,Charms!B4074,"")</f>
        <v>#N/A</v>
      </c>
      <c r="M4074" t="str">
        <f t="shared" ca="1" si="317"/>
        <v>-</v>
      </c>
      <c r="N4074" s="18" t="str">
        <f t="shared" si="318"/>
        <v>K1622:L5000</v>
      </c>
      <c r="O4074" t="str">
        <f t="shared" si="319"/>
        <v>A1622:A4074</v>
      </c>
    </row>
    <row r="4075" spans="1:15">
      <c r="A4075" s="18">
        <f>Charms!K4075</f>
        <v>0</v>
      </c>
      <c r="B4075">
        <f>Charms!B4075</f>
        <v>0</v>
      </c>
      <c r="C4075" t="b">
        <f ca="1">OR(Values!$S$98&gt;=Charms!M4075,IFERROR(Charms!J4075=OFFSET(Values!$A$24,MATCH("S",Values!$T$25:$T$50,0),0),FALSE))</f>
        <v>1</v>
      </c>
      <c r="D4075" t="e">
        <f>VLOOKUP(Charms!J4075,Values!$A$11:$S$59,19,0)&gt;=Charms!L4075</f>
        <v>#N/A</v>
      </c>
      <c r="E4075" t="e">
        <f>OR(ISBLANK(Charms!I4075),(VLOOKUP(Values!$S$6,Castes!$B$2:$F$25,4,0)=Charms!I4075))</f>
        <v>#N/A</v>
      </c>
      <c r="J4075" t="e">
        <f t="shared" ca="1" si="316"/>
        <v>#N/A</v>
      </c>
      <c r="K4075" s="18" t="e">
        <f t="shared" ca="1" si="315"/>
        <v>#N/A</v>
      </c>
      <c r="L4075" t="e">
        <f ca="1">IF(J4075,Charms!B4075,"")</f>
        <v>#N/A</v>
      </c>
      <c r="M4075" t="str">
        <f t="shared" ca="1" si="317"/>
        <v>-</v>
      </c>
      <c r="N4075" s="18" t="str">
        <f t="shared" si="318"/>
        <v>K1622:L5000</v>
      </c>
      <c r="O4075" t="str">
        <f t="shared" si="319"/>
        <v>A1622:A4075</v>
      </c>
    </row>
    <row r="4076" spans="1:15">
      <c r="A4076" s="18">
        <f>Charms!K4076</f>
        <v>0</v>
      </c>
      <c r="B4076">
        <f>Charms!B4076</f>
        <v>0</v>
      </c>
      <c r="C4076" t="b">
        <f ca="1">OR(Values!$S$98&gt;=Charms!M4076,IFERROR(Charms!J4076=OFFSET(Values!$A$24,MATCH("S",Values!$T$25:$T$50,0),0),FALSE))</f>
        <v>1</v>
      </c>
      <c r="D4076" t="e">
        <f>VLOOKUP(Charms!J4076,Values!$A$11:$S$59,19,0)&gt;=Charms!L4076</f>
        <v>#N/A</v>
      </c>
      <c r="E4076" t="e">
        <f>OR(ISBLANK(Charms!I4076),(VLOOKUP(Values!$S$6,Castes!$B$2:$F$25,4,0)=Charms!I4076))</f>
        <v>#N/A</v>
      </c>
      <c r="J4076" t="e">
        <f t="shared" ca="1" si="316"/>
        <v>#N/A</v>
      </c>
      <c r="K4076" s="18" t="e">
        <f t="shared" ca="1" si="315"/>
        <v>#N/A</v>
      </c>
      <c r="L4076" t="e">
        <f ca="1">IF(J4076,Charms!B4076,"")</f>
        <v>#N/A</v>
      </c>
      <c r="M4076" t="str">
        <f t="shared" ca="1" si="317"/>
        <v>-</v>
      </c>
      <c r="N4076" s="18" t="str">
        <f t="shared" si="318"/>
        <v>K1622:L5000</v>
      </c>
      <c r="O4076" t="str">
        <f t="shared" si="319"/>
        <v>A1622:A4076</v>
      </c>
    </row>
    <row r="4077" spans="1:15">
      <c r="A4077" s="18">
        <f>Charms!K4077</f>
        <v>0</v>
      </c>
      <c r="B4077">
        <f>Charms!B4077</f>
        <v>0</v>
      </c>
      <c r="C4077" t="b">
        <f ca="1">OR(Values!$S$98&gt;=Charms!M4077,IFERROR(Charms!J4077=OFFSET(Values!$A$24,MATCH("S",Values!$T$25:$T$50,0),0),FALSE))</f>
        <v>1</v>
      </c>
      <c r="D4077" t="e">
        <f>VLOOKUP(Charms!J4077,Values!$A$11:$S$59,19,0)&gt;=Charms!L4077</f>
        <v>#N/A</v>
      </c>
      <c r="E4077" t="e">
        <f>OR(ISBLANK(Charms!I4077),(VLOOKUP(Values!$S$6,Castes!$B$2:$F$25,4,0)=Charms!I4077))</f>
        <v>#N/A</v>
      </c>
      <c r="J4077" t="e">
        <f t="shared" ca="1" si="316"/>
        <v>#N/A</v>
      </c>
      <c r="K4077" s="18" t="e">
        <f t="shared" ca="1" si="315"/>
        <v>#N/A</v>
      </c>
      <c r="L4077" t="e">
        <f ca="1">IF(J4077,Charms!B4077,"")</f>
        <v>#N/A</v>
      </c>
      <c r="M4077" t="str">
        <f t="shared" ca="1" si="317"/>
        <v>-</v>
      </c>
      <c r="N4077" s="18" t="str">
        <f t="shared" si="318"/>
        <v>K1622:L5000</v>
      </c>
      <c r="O4077" t="str">
        <f t="shared" si="319"/>
        <v>A1622:A4077</v>
      </c>
    </row>
    <row r="4078" spans="1:15">
      <c r="A4078" s="18">
        <f>Charms!K4078</f>
        <v>0</v>
      </c>
      <c r="B4078">
        <f>Charms!B4078</f>
        <v>0</v>
      </c>
      <c r="C4078" t="b">
        <f ca="1">OR(Values!$S$98&gt;=Charms!M4078,IFERROR(Charms!J4078=OFFSET(Values!$A$24,MATCH("S",Values!$T$25:$T$50,0),0),FALSE))</f>
        <v>1</v>
      </c>
      <c r="D4078" t="e">
        <f>VLOOKUP(Charms!J4078,Values!$A$11:$S$59,19,0)&gt;=Charms!L4078</f>
        <v>#N/A</v>
      </c>
      <c r="E4078" t="e">
        <f>OR(ISBLANK(Charms!I4078),(VLOOKUP(Values!$S$6,Castes!$B$2:$F$25,4,0)=Charms!I4078))</f>
        <v>#N/A</v>
      </c>
      <c r="J4078" t="e">
        <f t="shared" ca="1" si="316"/>
        <v>#N/A</v>
      </c>
      <c r="K4078" s="18" t="e">
        <f t="shared" ca="1" si="315"/>
        <v>#N/A</v>
      </c>
      <c r="L4078" t="e">
        <f ca="1">IF(J4078,Charms!B4078,"")</f>
        <v>#N/A</v>
      </c>
      <c r="M4078" t="str">
        <f t="shared" ca="1" si="317"/>
        <v>-</v>
      </c>
      <c r="N4078" s="18" t="str">
        <f t="shared" si="318"/>
        <v>K1622:L5000</v>
      </c>
      <c r="O4078" t="str">
        <f t="shared" si="319"/>
        <v>A1622:A4078</v>
      </c>
    </row>
    <row r="4079" spans="1:15">
      <c r="A4079" s="18">
        <f>Charms!K4079</f>
        <v>0</v>
      </c>
      <c r="B4079">
        <f>Charms!B4079</f>
        <v>0</v>
      </c>
      <c r="C4079" t="b">
        <f ca="1">OR(Values!$S$98&gt;=Charms!M4079,IFERROR(Charms!J4079=OFFSET(Values!$A$24,MATCH("S",Values!$T$25:$T$50,0),0),FALSE))</f>
        <v>1</v>
      </c>
      <c r="D4079" t="e">
        <f>VLOOKUP(Charms!J4079,Values!$A$11:$S$59,19,0)&gt;=Charms!L4079</f>
        <v>#N/A</v>
      </c>
      <c r="E4079" t="e">
        <f>OR(ISBLANK(Charms!I4079),(VLOOKUP(Values!$S$6,Castes!$B$2:$F$25,4,0)=Charms!I4079))</f>
        <v>#N/A</v>
      </c>
      <c r="J4079" t="e">
        <f t="shared" ca="1" si="316"/>
        <v>#N/A</v>
      </c>
      <c r="K4079" s="18" t="e">
        <f t="shared" ca="1" si="315"/>
        <v>#N/A</v>
      </c>
      <c r="L4079" t="e">
        <f ca="1">IF(J4079,Charms!B4079,"")</f>
        <v>#N/A</v>
      </c>
      <c r="M4079" t="str">
        <f t="shared" ca="1" si="317"/>
        <v>-</v>
      </c>
      <c r="N4079" s="18" t="str">
        <f t="shared" si="318"/>
        <v>K1622:L5000</v>
      </c>
      <c r="O4079" t="str">
        <f t="shared" si="319"/>
        <v>A1622:A4079</v>
      </c>
    </row>
    <row r="4080" spans="1:15">
      <c r="A4080" s="18">
        <f>Charms!K4080</f>
        <v>0</v>
      </c>
      <c r="B4080">
        <f>Charms!B4080</f>
        <v>0</v>
      </c>
      <c r="C4080" t="b">
        <f ca="1">OR(Values!$S$98&gt;=Charms!M4080,IFERROR(Charms!J4080=OFFSET(Values!$A$24,MATCH("S",Values!$T$25:$T$50,0),0),FALSE))</f>
        <v>1</v>
      </c>
      <c r="D4080" t="e">
        <f>VLOOKUP(Charms!J4080,Values!$A$11:$S$59,19,0)&gt;=Charms!L4080</f>
        <v>#N/A</v>
      </c>
      <c r="E4080" t="e">
        <f>OR(ISBLANK(Charms!I4080),(VLOOKUP(Values!$S$6,Castes!$B$2:$F$25,4,0)=Charms!I4080))</f>
        <v>#N/A</v>
      </c>
      <c r="J4080" t="e">
        <f t="shared" ca="1" si="316"/>
        <v>#N/A</v>
      </c>
      <c r="K4080" s="18" t="e">
        <f t="shared" ca="1" si="315"/>
        <v>#N/A</v>
      </c>
      <c r="L4080" t="e">
        <f ca="1">IF(J4080,Charms!B4080,"")</f>
        <v>#N/A</v>
      </c>
      <c r="M4080" t="str">
        <f t="shared" ca="1" si="317"/>
        <v>-</v>
      </c>
      <c r="N4080" s="18" t="str">
        <f t="shared" si="318"/>
        <v>K1622:L5000</v>
      </c>
      <c r="O4080" t="str">
        <f t="shared" si="319"/>
        <v>A1622:A4080</v>
      </c>
    </row>
    <row r="4081" spans="1:15">
      <c r="A4081" s="18">
        <f>Charms!K4081</f>
        <v>0</v>
      </c>
      <c r="B4081">
        <f>Charms!B4081</f>
        <v>0</v>
      </c>
      <c r="C4081" t="b">
        <f ca="1">OR(Values!$S$98&gt;=Charms!M4081,IFERROR(Charms!J4081=OFFSET(Values!$A$24,MATCH("S",Values!$T$25:$T$50,0),0),FALSE))</f>
        <v>1</v>
      </c>
      <c r="D4081" t="e">
        <f>VLOOKUP(Charms!J4081,Values!$A$11:$S$59,19,0)&gt;=Charms!L4081</f>
        <v>#N/A</v>
      </c>
      <c r="E4081" t="e">
        <f>OR(ISBLANK(Charms!I4081),(VLOOKUP(Values!$S$6,Castes!$B$2:$F$25,4,0)=Charms!I4081))</f>
        <v>#N/A</v>
      </c>
      <c r="J4081" t="e">
        <f t="shared" ca="1" si="316"/>
        <v>#N/A</v>
      </c>
      <c r="K4081" s="18" t="e">
        <f t="shared" ca="1" si="315"/>
        <v>#N/A</v>
      </c>
      <c r="L4081" t="e">
        <f ca="1">IF(J4081,Charms!B4081,"")</f>
        <v>#N/A</v>
      </c>
      <c r="M4081" t="str">
        <f t="shared" ca="1" si="317"/>
        <v>-</v>
      </c>
      <c r="N4081" s="18" t="str">
        <f t="shared" si="318"/>
        <v>K1622:L5000</v>
      </c>
      <c r="O4081" t="str">
        <f t="shared" si="319"/>
        <v>A1622:A4081</v>
      </c>
    </row>
    <row r="4082" spans="1:15">
      <c r="A4082" s="18">
        <f>Charms!K4082</f>
        <v>0</v>
      </c>
      <c r="B4082">
        <f>Charms!B4082</f>
        <v>0</v>
      </c>
      <c r="C4082" t="b">
        <f ca="1">OR(Values!$S$98&gt;=Charms!M4082,IFERROR(Charms!J4082=OFFSET(Values!$A$24,MATCH("S",Values!$T$25:$T$50,0),0),FALSE))</f>
        <v>1</v>
      </c>
      <c r="D4082" t="e">
        <f>VLOOKUP(Charms!J4082,Values!$A$11:$S$59,19,0)&gt;=Charms!L4082</f>
        <v>#N/A</v>
      </c>
      <c r="E4082" t="e">
        <f>OR(ISBLANK(Charms!I4082),(VLOOKUP(Values!$S$6,Castes!$B$2:$F$25,4,0)=Charms!I4082))</f>
        <v>#N/A</v>
      </c>
      <c r="J4082" t="e">
        <f t="shared" ca="1" si="316"/>
        <v>#N/A</v>
      </c>
      <c r="K4082" s="18" t="e">
        <f t="shared" ca="1" si="315"/>
        <v>#N/A</v>
      </c>
      <c r="L4082" t="e">
        <f ca="1">IF(J4082,Charms!B4082,"")</f>
        <v>#N/A</v>
      </c>
      <c r="M4082" t="str">
        <f t="shared" ca="1" si="317"/>
        <v>-</v>
      </c>
      <c r="N4082" s="18" t="str">
        <f t="shared" si="318"/>
        <v>K1622:L5000</v>
      </c>
      <c r="O4082" t="str">
        <f t="shared" si="319"/>
        <v>A1622:A4082</v>
      </c>
    </row>
    <row r="4083" spans="1:15">
      <c r="A4083" s="18">
        <f>Charms!K4083</f>
        <v>0</v>
      </c>
      <c r="B4083">
        <f>Charms!B4083</f>
        <v>0</v>
      </c>
      <c r="C4083" t="b">
        <f ca="1">OR(Values!$S$98&gt;=Charms!M4083,IFERROR(Charms!J4083=OFFSET(Values!$A$24,MATCH("S",Values!$T$25:$T$50,0),0),FALSE))</f>
        <v>1</v>
      </c>
      <c r="D4083" t="e">
        <f>VLOOKUP(Charms!J4083,Values!$A$11:$S$59,19,0)&gt;=Charms!L4083</f>
        <v>#N/A</v>
      </c>
      <c r="E4083" t="e">
        <f>OR(ISBLANK(Charms!I4083),(VLOOKUP(Values!$S$6,Castes!$B$2:$F$25,4,0)=Charms!I4083))</f>
        <v>#N/A</v>
      </c>
      <c r="J4083" t="e">
        <f t="shared" ca="1" si="316"/>
        <v>#N/A</v>
      </c>
      <c r="K4083" s="18" t="e">
        <f t="shared" ca="1" si="315"/>
        <v>#N/A</v>
      </c>
      <c r="L4083" t="e">
        <f ca="1">IF(J4083,Charms!B4083,"")</f>
        <v>#N/A</v>
      </c>
      <c r="M4083" t="str">
        <f t="shared" ca="1" si="317"/>
        <v>-</v>
      </c>
      <c r="N4083" s="18" t="str">
        <f t="shared" si="318"/>
        <v>K1622:L5000</v>
      </c>
      <c r="O4083" t="str">
        <f t="shared" si="319"/>
        <v>A1622:A4083</v>
      </c>
    </row>
    <row r="4084" spans="1:15">
      <c r="A4084" s="18">
        <f>Charms!K4084</f>
        <v>0</v>
      </c>
      <c r="B4084">
        <f>Charms!B4084</f>
        <v>0</v>
      </c>
      <c r="C4084" t="b">
        <f ca="1">OR(Values!$S$98&gt;=Charms!M4084,IFERROR(Charms!J4084=OFFSET(Values!$A$24,MATCH("S",Values!$T$25:$T$50,0),0),FALSE))</f>
        <v>1</v>
      </c>
      <c r="D4084" t="e">
        <f>VLOOKUP(Charms!J4084,Values!$A$11:$S$59,19,0)&gt;=Charms!L4084</f>
        <v>#N/A</v>
      </c>
      <c r="E4084" t="e">
        <f>OR(ISBLANK(Charms!I4084),(VLOOKUP(Values!$S$6,Castes!$B$2:$F$25,4,0)=Charms!I4084))</f>
        <v>#N/A</v>
      </c>
      <c r="J4084" t="e">
        <f t="shared" ca="1" si="316"/>
        <v>#N/A</v>
      </c>
      <c r="K4084" s="18" t="e">
        <f t="shared" ca="1" si="315"/>
        <v>#N/A</v>
      </c>
      <c r="L4084" t="e">
        <f ca="1">IF(J4084,Charms!B4084,"")</f>
        <v>#N/A</v>
      </c>
      <c r="M4084" t="str">
        <f t="shared" ca="1" si="317"/>
        <v>-</v>
      </c>
      <c r="N4084" s="18" t="str">
        <f t="shared" si="318"/>
        <v>K1622:L5000</v>
      </c>
      <c r="O4084" t="str">
        <f t="shared" si="319"/>
        <v>A1622:A4084</v>
      </c>
    </row>
    <row r="4085" spans="1:15">
      <c r="A4085" s="18">
        <f>Charms!K4085</f>
        <v>0</v>
      </c>
      <c r="B4085">
        <f>Charms!B4085</f>
        <v>0</v>
      </c>
      <c r="C4085" t="b">
        <f ca="1">OR(Values!$S$98&gt;=Charms!M4085,IFERROR(Charms!J4085=OFFSET(Values!$A$24,MATCH("S",Values!$T$25:$T$50,0),0),FALSE))</f>
        <v>1</v>
      </c>
      <c r="D4085" t="e">
        <f>VLOOKUP(Charms!J4085,Values!$A$11:$S$59,19,0)&gt;=Charms!L4085</f>
        <v>#N/A</v>
      </c>
      <c r="E4085" t="e">
        <f>OR(ISBLANK(Charms!I4085),(VLOOKUP(Values!$S$6,Castes!$B$2:$F$25,4,0)=Charms!I4085))</f>
        <v>#N/A</v>
      </c>
      <c r="J4085" t="e">
        <f t="shared" ca="1" si="316"/>
        <v>#N/A</v>
      </c>
      <c r="K4085" s="18" t="e">
        <f t="shared" ca="1" si="315"/>
        <v>#N/A</v>
      </c>
      <c r="L4085" t="e">
        <f ca="1">IF(J4085,Charms!B4085,"")</f>
        <v>#N/A</v>
      </c>
      <c r="M4085" t="str">
        <f t="shared" ca="1" si="317"/>
        <v>-</v>
      </c>
      <c r="N4085" s="18" t="str">
        <f t="shared" si="318"/>
        <v>K1622:L5000</v>
      </c>
      <c r="O4085" t="str">
        <f t="shared" si="319"/>
        <v>A1622:A4085</v>
      </c>
    </row>
    <row r="4086" spans="1:15">
      <c r="A4086" s="18">
        <f>Charms!K4086</f>
        <v>0</v>
      </c>
      <c r="B4086">
        <f>Charms!B4086</f>
        <v>0</v>
      </c>
      <c r="C4086" t="b">
        <f ca="1">OR(Values!$S$98&gt;=Charms!M4086,IFERROR(Charms!J4086=OFFSET(Values!$A$24,MATCH("S",Values!$T$25:$T$50,0),0),FALSE))</f>
        <v>1</v>
      </c>
      <c r="D4086" t="e">
        <f>VLOOKUP(Charms!J4086,Values!$A$11:$S$59,19,0)&gt;=Charms!L4086</f>
        <v>#N/A</v>
      </c>
      <c r="E4086" t="e">
        <f>OR(ISBLANK(Charms!I4086),(VLOOKUP(Values!$S$6,Castes!$B$2:$F$25,4,0)=Charms!I4086))</f>
        <v>#N/A</v>
      </c>
      <c r="J4086" t="e">
        <f t="shared" ca="1" si="316"/>
        <v>#N/A</v>
      </c>
      <c r="K4086" s="18" t="e">
        <f t="shared" ca="1" si="315"/>
        <v>#N/A</v>
      </c>
      <c r="L4086" t="e">
        <f ca="1">IF(J4086,Charms!B4086,"")</f>
        <v>#N/A</v>
      </c>
      <c r="M4086" t="str">
        <f t="shared" ca="1" si="317"/>
        <v>-</v>
      </c>
      <c r="N4086" s="18" t="str">
        <f t="shared" si="318"/>
        <v>K1622:L5000</v>
      </c>
      <c r="O4086" t="str">
        <f t="shared" si="319"/>
        <v>A1622:A4086</v>
      </c>
    </row>
    <row r="4087" spans="1:15">
      <c r="A4087" s="18">
        <f>Charms!K4087</f>
        <v>0</v>
      </c>
      <c r="B4087">
        <f>Charms!B4087</f>
        <v>0</v>
      </c>
      <c r="C4087" t="b">
        <f ca="1">OR(Values!$S$98&gt;=Charms!M4087,IFERROR(Charms!J4087=OFFSET(Values!$A$24,MATCH("S",Values!$T$25:$T$50,0),0),FALSE))</f>
        <v>1</v>
      </c>
      <c r="D4087" t="e">
        <f>VLOOKUP(Charms!J4087,Values!$A$11:$S$59,19,0)&gt;=Charms!L4087</f>
        <v>#N/A</v>
      </c>
      <c r="E4087" t="e">
        <f>OR(ISBLANK(Charms!I4087),(VLOOKUP(Values!$S$6,Castes!$B$2:$F$25,4,0)=Charms!I4087))</f>
        <v>#N/A</v>
      </c>
      <c r="J4087" t="e">
        <f t="shared" ca="1" si="316"/>
        <v>#N/A</v>
      </c>
      <c r="K4087" s="18" t="e">
        <f t="shared" ca="1" si="315"/>
        <v>#N/A</v>
      </c>
      <c r="L4087" t="e">
        <f ca="1">IF(J4087,Charms!B4087,"")</f>
        <v>#N/A</v>
      </c>
      <c r="M4087" t="str">
        <f t="shared" ca="1" si="317"/>
        <v>-</v>
      </c>
      <c r="N4087" s="18" t="str">
        <f t="shared" si="318"/>
        <v>K1622:L5000</v>
      </c>
      <c r="O4087" t="str">
        <f t="shared" si="319"/>
        <v>A1622:A4087</v>
      </c>
    </row>
    <row r="4088" spans="1:15">
      <c r="A4088" s="18">
        <f>Charms!K4088</f>
        <v>0</v>
      </c>
      <c r="B4088">
        <f>Charms!B4088</f>
        <v>0</v>
      </c>
      <c r="C4088" t="b">
        <f ca="1">OR(Values!$S$98&gt;=Charms!M4088,IFERROR(Charms!J4088=OFFSET(Values!$A$24,MATCH("S",Values!$T$25:$T$50,0),0),FALSE))</f>
        <v>1</v>
      </c>
      <c r="D4088" t="e">
        <f>VLOOKUP(Charms!J4088,Values!$A$11:$S$59,19,0)&gt;=Charms!L4088</f>
        <v>#N/A</v>
      </c>
      <c r="E4088" t="e">
        <f>OR(ISBLANK(Charms!I4088),(VLOOKUP(Values!$S$6,Castes!$B$2:$F$25,4,0)=Charms!I4088))</f>
        <v>#N/A</v>
      </c>
      <c r="J4088" t="e">
        <f t="shared" ca="1" si="316"/>
        <v>#N/A</v>
      </c>
      <c r="K4088" s="18" t="e">
        <f t="shared" ca="1" si="315"/>
        <v>#N/A</v>
      </c>
      <c r="L4088" t="e">
        <f ca="1">IF(J4088,Charms!B4088,"")</f>
        <v>#N/A</v>
      </c>
      <c r="M4088" t="str">
        <f t="shared" ca="1" si="317"/>
        <v>-</v>
      </c>
      <c r="N4088" s="18" t="str">
        <f t="shared" si="318"/>
        <v>K1622:L5000</v>
      </c>
      <c r="O4088" t="str">
        <f t="shared" si="319"/>
        <v>A1622:A4088</v>
      </c>
    </row>
    <row r="4089" spans="1:15">
      <c r="A4089" s="18">
        <f>Charms!K4089</f>
        <v>0</v>
      </c>
      <c r="B4089">
        <f>Charms!B4089</f>
        <v>0</v>
      </c>
      <c r="C4089" t="b">
        <f ca="1">OR(Values!$S$98&gt;=Charms!M4089,IFERROR(Charms!J4089=OFFSET(Values!$A$24,MATCH("S",Values!$T$25:$T$50,0),0),FALSE))</f>
        <v>1</v>
      </c>
      <c r="D4089" t="e">
        <f>VLOOKUP(Charms!J4089,Values!$A$11:$S$59,19,0)&gt;=Charms!L4089</f>
        <v>#N/A</v>
      </c>
      <c r="E4089" t="e">
        <f>OR(ISBLANK(Charms!I4089),(VLOOKUP(Values!$S$6,Castes!$B$2:$F$25,4,0)=Charms!I4089))</f>
        <v>#N/A</v>
      </c>
      <c r="J4089" t="e">
        <f t="shared" ca="1" si="316"/>
        <v>#N/A</v>
      </c>
      <c r="K4089" s="18" t="e">
        <f t="shared" ca="1" si="315"/>
        <v>#N/A</v>
      </c>
      <c r="L4089" t="e">
        <f ca="1">IF(J4089,Charms!B4089,"")</f>
        <v>#N/A</v>
      </c>
      <c r="M4089" t="str">
        <f t="shared" ca="1" si="317"/>
        <v>-</v>
      </c>
      <c r="N4089" s="18" t="str">
        <f t="shared" si="318"/>
        <v>K1622:L5000</v>
      </c>
      <c r="O4089" t="str">
        <f t="shared" si="319"/>
        <v>A1622:A4089</v>
      </c>
    </row>
    <row r="4090" spans="1:15">
      <c r="A4090" s="18">
        <f>Charms!K4090</f>
        <v>0</v>
      </c>
      <c r="B4090">
        <f>Charms!B4090</f>
        <v>0</v>
      </c>
      <c r="C4090" t="b">
        <f ca="1">OR(Values!$S$98&gt;=Charms!M4090,IFERROR(Charms!J4090=OFFSET(Values!$A$24,MATCH("S",Values!$T$25:$T$50,0),0),FALSE))</f>
        <v>1</v>
      </c>
      <c r="D4090" t="e">
        <f>VLOOKUP(Charms!J4090,Values!$A$11:$S$59,19,0)&gt;=Charms!L4090</f>
        <v>#N/A</v>
      </c>
      <c r="E4090" t="e">
        <f>OR(ISBLANK(Charms!I4090),(VLOOKUP(Values!$S$6,Castes!$B$2:$F$25,4,0)=Charms!I4090))</f>
        <v>#N/A</v>
      </c>
      <c r="J4090" t="e">
        <f t="shared" ca="1" si="316"/>
        <v>#N/A</v>
      </c>
      <c r="K4090" s="18" t="e">
        <f t="shared" ca="1" si="315"/>
        <v>#N/A</v>
      </c>
      <c r="L4090" t="e">
        <f ca="1">IF(J4090,Charms!B4090,"")</f>
        <v>#N/A</v>
      </c>
      <c r="M4090" t="str">
        <f t="shared" ca="1" si="317"/>
        <v>-</v>
      </c>
      <c r="N4090" s="18" t="str">
        <f t="shared" si="318"/>
        <v>K1622:L5000</v>
      </c>
      <c r="O4090" t="str">
        <f t="shared" si="319"/>
        <v>A1622:A4090</v>
      </c>
    </row>
    <row r="4091" spans="1:15">
      <c r="A4091" s="18">
        <f>Charms!K4091</f>
        <v>0</v>
      </c>
      <c r="B4091">
        <f>Charms!B4091</f>
        <v>0</v>
      </c>
      <c r="C4091" t="b">
        <f ca="1">OR(Values!$S$98&gt;=Charms!M4091,IFERROR(Charms!J4091=OFFSET(Values!$A$24,MATCH("S",Values!$T$25:$T$50,0),0),FALSE))</f>
        <v>1</v>
      </c>
      <c r="D4091" t="e">
        <f>VLOOKUP(Charms!J4091,Values!$A$11:$S$59,19,0)&gt;=Charms!L4091</f>
        <v>#N/A</v>
      </c>
      <c r="E4091" t="e">
        <f>OR(ISBLANK(Charms!I4091),(VLOOKUP(Values!$S$6,Castes!$B$2:$F$25,4,0)=Charms!I4091))</f>
        <v>#N/A</v>
      </c>
      <c r="J4091" t="e">
        <f t="shared" ca="1" si="316"/>
        <v>#N/A</v>
      </c>
      <c r="K4091" s="18" t="e">
        <f t="shared" ca="1" si="315"/>
        <v>#N/A</v>
      </c>
      <c r="L4091" t="e">
        <f ca="1">IF(J4091,Charms!B4091,"")</f>
        <v>#N/A</v>
      </c>
      <c r="M4091" t="str">
        <f t="shared" ca="1" si="317"/>
        <v>-</v>
      </c>
      <c r="N4091" s="18" t="str">
        <f t="shared" si="318"/>
        <v>K1622:L5000</v>
      </c>
      <c r="O4091" t="str">
        <f t="shared" si="319"/>
        <v>A1622:A4091</v>
      </c>
    </row>
    <row r="4092" spans="1:15">
      <c r="A4092" s="18">
        <f>Charms!K4092</f>
        <v>0</v>
      </c>
      <c r="B4092">
        <f>Charms!B4092</f>
        <v>0</v>
      </c>
      <c r="C4092" t="b">
        <f ca="1">OR(Values!$S$98&gt;=Charms!M4092,IFERROR(Charms!J4092=OFFSET(Values!$A$24,MATCH("S",Values!$T$25:$T$50,0),0),FALSE))</f>
        <v>1</v>
      </c>
      <c r="D4092" t="e">
        <f>VLOOKUP(Charms!J4092,Values!$A$11:$S$59,19,0)&gt;=Charms!L4092</f>
        <v>#N/A</v>
      </c>
      <c r="E4092" t="e">
        <f>OR(ISBLANK(Charms!I4092),(VLOOKUP(Values!$S$6,Castes!$B$2:$F$25,4,0)=Charms!I4092))</f>
        <v>#N/A</v>
      </c>
      <c r="J4092" t="e">
        <f t="shared" ca="1" si="316"/>
        <v>#N/A</v>
      </c>
      <c r="K4092" s="18" t="e">
        <f t="shared" ca="1" si="315"/>
        <v>#N/A</v>
      </c>
      <c r="L4092" t="e">
        <f ca="1">IF(J4092,Charms!B4092,"")</f>
        <v>#N/A</v>
      </c>
      <c r="M4092" t="str">
        <f t="shared" ca="1" si="317"/>
        <v>-</v>
      </c>
      <c r="N4092" s="18" t="str">
        <f t="shared" si="318"/>
        <v>K1622:L5000</v>
      </c>
      <c r="O4092" t="str">
        <f t="shared" si="319"/>
        <v>A1622:A4092</v>
      </c>
    </row>
    <row r="4093" spans="1:15">
      <c r="A4093" s="18">
        <f>Charms!K4093</f>
        <v>0</v>
      </c>
      <c r="B4093">
        <f>Charms!B4093</f>
        <v>0</v>
      </c>
      <c r="C4093" t="b">
        <f ca="1">OR(Values!$S$98&gt;=Charms!M4093,IFERROR(Charms!J4093=OFFSET(Values!$A$24,MATCH("S",Values!$T$25:$T$50,0),0),FALSE))</f>
        <v>1</v>
      </c>
      <c r="D4093" t="e">
        <f>VLOOKUP(Charms!J4093,Values!$A$11:$S$59,19,0)&gt;=Charms!L4093</f>
        <v>#N/A</v>
      </c>
      <c r="E4093" t="e">
        <f>OR(ISBLANK(Charms!I4093),(VLOOKUP(Values!$S$6,Castes!$B$2:$F$25,4,0)=Charms!I4093))</f>
        <v>#N/A</v>
      </c>
      <c r="J4093" t="e">
        <f t="shared" ca="1" si="316"/>
        <v>#N/A</v>
      </c>
      <c r="K4093" s="18" t="e">
        <f t="shared" ca="1" si="315"/>
        <v>#N/A</v>
      </c>
      <c r="L4093" t="e">
        <f ca="1">IF(J4093,Charms!B4093,"")</f>
        <v>#N/A</v>
      </c>
      <c r="M4093" t="str">
        <f t="shared" ca="1" si="317"/>
        <v>-</v>
      </c>
      <c r="N4093" s="18" t="str">
        <f t="shared" si="318"/>
        <v>K1622:L5000</v>
      </c>
      <c r="O4093" t="str">
        <f t="shared" si="319"/>
        <v>A1622:A4093</v>
      </c>
    </row>
    <row r="4094" spans="1:15">
      <c r="A4094" s="18">
        <f>Charms!K4094</f>
        <v>0</v>
      </c>
      <c r="B4094">
        <f>Charms!B4094</f>
        <v>0</v>
      </c>
      <c r="C4094" t="b">
        <f ca="1">OR(Values!$S$98&gt;=Charms!M4094,IFERROR(Charms!J4094=OFFSET(Values!$A$24,MATCH("S",Values!$T$25:$T$50,0),0),FALSE))</f>
        <v>1</v>
      </c>
      <c r="D4094" t="e">
        <f>VLOOKUP(Charms!J4094,Values!$A$11:$S$59,19,0)&gt;=Charms!L4094</f>
        <v>#N/A</v>
      </c>
      <c r="E4094" t="e">
        <f>OR(ISBLANK(Charms!I4094),(VLOOKUP(Values!$S$6,Castes!$B$2:$F$25,4,0)=Charms!I4094))</f>
        <v>#N/A</v>
      </c>
      <c r="J4094" t="e">
        <f t="shared" ca="1" si="316"/>
        <v>#N/A</v>
      </c>
      <c r="K4094" s="18" t="e">
        <f t="shared" ca="1" si="315"/>
        <v>#N/A</v>
      </c>
      <c r="L4094" t="e">
        <f ca="1">IF(J4094,Charms!B4094,"")</f>
        <v>#N/A</v>
      </c>
      <c r="M4094" t="str">
        <f t="shared" ca="1" si="317"/>
        <v>-</v>
      </c>
      <c r="N4094" s="18" t="str">
        <f t="shared" si="318"/>
        <v>K1622:L5000</v>
      </c>
      <c r="O4094" t="str">
        <f t="shared" si="319"/>
        <v>A1622:A4094</v>
      </c>
    </row>
    <row r="4095" spans="1:15">
      <c r="A4095" s="18">
        <f>Charms!K4095</f>
        <v>0</v>
      </c>
      <c r="B4095">
        <f>Charms!B4095</f>
        <v>0</v>
      </c>
      <c r="C4095" t="b">
        <f ca="1">OR(Values!$S$98&gt;=Charms!M4095,IFERROR(Charms!J4095=OFFSET(Values!$A$24,MATCH("S",Values!$T$25:$T$50,0),0),FALSE))</f>
        <v>1</v>
      </c>
      <c r="D4095" t="e">
        <f>VLOOKUP(Charms!J4095,Values!$A$11:$S$59,19,0)&gt;=Charms!L4095</f>
        <v>#N/A</v>
      </c>
      <c r="E4095" t="e">
        <f>OR(ISBLANK(Charms!I4095),(VLOOKUP(Values!$S$6,Castes!$B$2:$F$25,4,0)=Charms!I4095))</f>
        <v>#N/A</v>
      </c>
      <c r="J4095" t="e">
        <f t="shared" ca="1" si="316"/>
        <v>#N/A</v>
      </c>
      <c r="K4095" s="18" t="e">
        <f t="shared" ca="1" si="315"/>
        <v>#N/A</v>
      </c>
      <c r="L4095" t="e">
        <f ca="1">IF(J4095,Charms!B4095,"")</f>
        <v>#N/A</v>
      </c>
      <c r="M4095" t="str">
        <f t="shared" ca="1" si="317"/>
        <v>-</v>
      </c>
      <c r="N4095" s="18" t="str">
        <f t="shared" si="318"/>
        <v>K1622:L5000</v>
      </c>
      <c r="O4095" t="str">
        <f t="shared" si="319"/>
        <v>A1622:A4095</v>
      </c>
    </row>
    <row r="4096" spans="1:15">
      <c r="A4096" s="18">
        <f>Charms!K4096</f>
        <v>0</v>
      </c>
      <c r="B4096">
        <f>Charms!B4096</f>
        <v>0</v>
      </c>
      <c r="C4096" t="b">
        <f ca="1">OR(Values!$S$98&gt;=Charms!M4096,IFERROR(Charms!J4096=OFFSET(Values!$A$24,MATCH("S",Values!$T$25:$T$50,0),0),FALSE))</f>
        <v>1</v>
      </c>
      <c r="D4096" t="e">
        <f>VLOOKUP(Charms!J4096,Values!$A$11:$S$59,19,0)&gt;=Charms!L4096</f>
        <v>#N/A</v>
      </c>
      <c r="E4096" t="e">
        <f>OR(ISBLANK(Charms!I4096),(VLOOKUP(Values!$S$6,Castes!$B$2:$F$25,4,0)=Charms!I4096))</f>
        <v>#N/A</v>
      </c>
      <c r="J4096" t="e">
        <f t="shared" ca="1" si="316"/>
        <v>#N/A</v>
      </c>
      <c r="K4096" s="18" t="e">
        <f t="shared" ca="1" si="315"/>
        <v>#N/A</v>
      </c>
      <c r="L4096" t="e">
        <f ca="1">IF(J4096,Charms!B4096,"")</f>
        <v>#N/A</v>
      </c>
      <c r="M4096" t="str">
        <f t="shared" ca="1" si="317"/>
        <v>-</v>
      </c>
      <c r="N4096" s="18" t="str">
        <f t="shared" si="318"/>
        <v>K1622:L5000</v>
      </c>
      <c r="O4096" t="str">
        <f t="shared" si="319"/>
        <v>A1622:A4096</v>
      </c>
    </row>
    <row r="4097" spans="1:15">
      <c r="A4097" s="18">
        <f>Charms!K4097</f>
        <v>0</v>
      </c>
      <c r="B4097">
        <f>Charms!B4097</f>
        <v>0</v>
      </c>
      <c r="C4097" t="b">
        <f ca="1">OR(Values!$S$98&gt;=Charms!M4097,IFERROR(Charms!J4097=OFFSET(Values!$A$24,MATCH("S",Values!$T$25:$T$50,0),0),FALSE))</f>
        <v>1</v>
      </c>
      <c r="D4097" t="e">
        <f>VLOOKUP(Charms!J4097,Values!$A$11:$S$59,19,0)&gt;=Charms!L4097</f>
        <v>#N/A</v>
      </c>
      <c r="E4097" t="e">
        <f>OR(ISBLANK(Charms!I4097),(VLOOKUP(Values!$S$6,Castes!$B$2:$F$25,4,0)=Charms!I4097))</f>
        <v>#N/A</v>
      </c>
      <c r="J4097" t="e">
        <f t="shared" ca="1" si="316"/>
        <v>#N/A</v>
      </c>
      <c r="K4097" s="18" t="e">
        <f t="shared" ca="1" si="315"/>
        <v>#N/A</v>
      </c>
      <c r="L4097" t="e">
        <f ca="1">IF(J4097,Charms!B4097,"")</f>
        <v>#N/A</v>
      </c>
      <c r="M4097" t="str">
        <f t="shared" ca="1" si="317"/>
        <v>-</v>
      </c>
      <c r="N4097" s="18" t="str">
        <f t="shared" si="318"/>
        <v>K1622:L5000</v>
      </c>
      <c r="O4097" t="str">
        <f t="shared" si="319"/>
        <v>A1622:A4097</v>
      </c>
    </row>
    <row r="4098" spans="1:15">
      <c r="A4098" s="18">
        <f>Charms!K4098</f>
        <v>0</v>
      </c>
      <c r="B4098">
        <f>Charms!B4098</f>
        <v>0</v>
      </c>
      <c r="C4098" t="b">
        <f ca="1">OR(Values!$S$98&gt;=Charms!M4098,IFERROR(Charms!J4098=OFFSET(Values!$A$24,MATCH("S",Values!$T$25:$T$50,0),0),FALSE))</f>
        <v>1</v>
      </c>
      <c r="D4098" t="e">
        <f>VLOOKUP(Charms!J4098,Values!$A$11:$S$59,19,0)&gt;=Charms!L4098</f>
        <v>#N/A</v>
      </c>
      <c r="E4098" t="e">
        <f>OR(ISBLANK(Charms!I4098),(VLOOKUP(Values!$S$6,Castes!$B$2:$F$25,4,0)=Charms!I4098))</f>
        <v>#N/A</v>
      </c>
      <c r="J4098" t="e">
        <f t="shared" ca="1" si="316"/>
        <v>#N/A</v>
      </c>
      <c r="K4098" s="18" t="e">
        <f t="shared" ref="K4098:K4161" ca="1" si="320">IF(L4098="","",COUNTIF(INDIRECT("J"&amp;MATCH(A4098,A:A,0)&amp;":J"&amp;ROW()),J4098))</f>
        <v>#N/A</v>
      </c>
      <c r="L4098" t="e">
        <f ca="1">IF(J4098,Charms!B4098,"")</f>
        <v>#N/A</v>
      </c>
      <c r="M4098" t="str">
        <f t="shared" ca="1" si="317"/>
        <v>-</v>
      </c>
      <c r="N4098" s="18" t="str">
        <f t="shared" si="318"/>
        <v>K1622:L5000</v>
      </c>
      <c r="O4098" t="str">
        <f t="shared" si="319"/>
        <v>A1622:A4098</v>
      </c>
    </row>
    <row r="4099" spans="1:15">
      <c r="A4099" s="18">
        <f>Charms!K4099</f>
        <v>0</v>
      </c>
      <c r="B4099">
        <f>Charms!B4099</f>
        <v>0</v>
      </c>
      <c r="C4099" t="b">
        <f ca="1">OR(Values!$S$98&gt;=Charms!M4099,IFERROR(Charms!J4099=OFFSET(Values!$A$24,MATCH("S",Values!$T$25:$T$50,0),0),FALSE))</f>
        <v>1</v>
      </c>
      <c r="D4099" t="e">
        <f>VLOOKUP(Charms!J4099,Values!$A$11:$S$59,19,0)&gt;=Charms!L4099</f>
        <v>#N/A</v>
      </c>
      <c r="E4099" t="e">
        <f>OR(ISBLANK(Charms!I4099),(VLOOKUP(Values!$S$6,Castes!$B$2:$F$25,4,0)=Charms!I4099))</f>
        <v>#N/A</v>
      </c>
      <c r="J4099" t="e">
        <f t="shared" ref="J4099:J4162" ca="1" si="321">(C4099+D4099+E4099+F4099+G4099+H4099+I4099)=3</f>
        <v>#N/A</v>
      </c>
      <c r="K4099" s="18" t="e">
        <f t="shared" ca="1" si="320"/>
        <v>#N/A</v>
      </c>
      <c r="L4099" t="e">
        <f ca="1">IF(J4099,Charms!B4099,"")</f>
        <v>#N/A</v>
      </c>
      <c r="M4099" t="str">
        <f t="shared" ref="M4099:M4162" ca="1" si="322">IFERROR(VLOOKUP(COUNTIF(INDIRECT(O4099),A4099),INDIRECT(N4099),2,0),"-")</f>
        <v>-</v>
      </c>
      <c r="N4099" s="18" t="str">
        <f t="shared" ref="N4099:N4162" si="323">"K"&amp;MATCH(A4099,A:A,0)&amp;":L"&amp;(MATCH(A4099,A:A,0)+COUNTIF(A:A,A4099)-1)</f>
        <v>K1622:L5000</v>
      </c>
      <c r="O4099" t="str">
        <f t="shared" ref="O4099:O4162" si="324">"A"&amp;MATCH(A4099,A:A,0)&amp;":A"&amp;ROW()</f>
        <v>A1622:A4099</v>
      </c>
    </row>
    <row r="4100" spans="1:15">
      <c r="A4100" s="18">
        <f>Charms!K4100</f>
        <v>0</v>
      </c>
      <c r="B4100">
        <f>Charms!B4100</f>
        <v>0</v>
      </c>
      <c r="C4100" t="b">
        <f ca="1">OR(Values!$S$98&gt;=Charms!M4100,IFERROR(Charms!J4100=OFFSET(Values!$A$24,MATCH("S",Values!$T$25:$T$50,0),0),FALSE))</f>
        <v>1</v>
      </c>
      <c r="D4100" t="e">
        <f>VLOOKUP(Charms!J4100,Values!$A$11:$S$59,19,0)&gt;=Charms!L4100</f>
        <v>#N/A</v>
      </c>
      <c r="E4100" t="e">
        <f>OR(ISBLANK(Charms!I4100),(VLOOKUP(Values!$S$6,Castes!$B$2:$F$25,4,0)=Charms!I4100))</f>
        <v>#N/A</v>
      </c>
      <c r="J4100" t="e">
        <f t="shared" ca="1" si="321"/>
        <v>#N/A</v>
      </c>
      <c r="K4100" s="18" t="e">
        <f t="shared" ca="1" si="320"/>
        <v>#N/A</v>
      </c>
      <c r="L4100" t="e">
        <f ca="1">IF(J4100,Charms!B4100,"")</f>
        <v>#N/A</v>
      </c>
      <c r="M4100" t="str">
        <f t="shared" ca="1" si="322"/>
        <v>-</v>
      </c>
      <c r="N4100" s="18" t="str">
        <f t="shared" si="323"/>
        <v>K1622:L5000</v>
      </c>
      <c r="O4100" t="str">
        <f t="shared" si="324"/>
        <v>A1622:A4100</v>
      </c>
    </row>
    <row r="4101" spans="1:15">
      <c r="A4101" s="18">
        <f>Charms!K4101</f>
        <v>0</v>
      </c>
      <c r="B4101">
        <f>Charms!B4101</f>
        <v>0</v>
      </c>
      <c r="C4101" t="b">
        <f ca="1">OR(Values!$S$98&gt;=Charms!M4101,IFERROR(Charms!J4101=OFFSET(Values!$A$24,MATCH("S",Values!$T$25:$T$50,0),0),FALSE))</f>
        <v>1</v>
      </c>
      <c r="D4101" t="e">
        <f>VLOOKUP(Charms!J4101,Values!$A$11:$S$59,19,0)&gt;=Charms!L4101</f>
        <v>#N/A</v>
      </c>
      <c r="E4101" t="e">
        <f>OR(ISBLANK(Charms!I4101),(VLOOKUP(Values!$S$6,Castes!$B$2:$F$25,4,0)=Charms!I4101))</f>
        <v>#N/A</v>
      </c>
      <c r="J4101" t="e">
        <f t="shared" ca="1" si="321"/>
        <v>#N/A</v>
      </c>
      <c r="K4101" s="18" t="e">
        <f t="shared" ca="1" si="320"/>
        <v>#N/A</v>
      </c>
      <c r="L4101" t="e">
        <f ca="1">IF(J4101,Charms!B4101,"")</f>
        <v>#N/A</v>
      </c>
      <c r="M4101" t="str">
        <f t="shared" ca="1" si="322"/>
        <v>-</v>
      </c>
      <c r="N4101" s="18" t="str">
        <f t="shared" si="323"/>
        <v>K1622:L5000</v>
      </c>
      <c r="O4101" t="str">
        <f t="shared" si="324"/>
        <v>A1622:A4101</v>
      </c>
    </row>
    <row r="4102" spans="1:15">
      <c r="A4102" s="18">
        <f>Charms!K4102</f>
        <v>0</v>
      </c>
      <c r="B4102">
        <f>Charms!B4102</f>
        <v>0</v>
      </c>
      <c r="C4102" t="b">
        <f ca="1">OR(Values!$S$98&gt;=Charms!M4102,IFERROR(Charms!J4102=OFFSET(Values!$A$24,MATCH("S",Values!$T$25:$T$50,0),0),FALSE))</f>
        <v>1</v>
      </c>
      <c r="D4102" t="e">
        <f>VLOOKUP(Charms!J4102,Values!$A$11:$S$59,19,0)&gt;=Charms!L4102</f>
        <v>#N/A</v>
      </c>
      <c r="E4102" t="e">
        <f>OR(ISBLANK(Charms!I4102),(VLOOKUP(Values!$S$6,Castes!$B$2:$F$25,4,0)=Charms!I4102))</f>
        <v>#N/A</v>
      </c>
      <c r="J4102" t="e">
        <f t="shared" ca="1" si="321"/>
        <v>#N/A</v>
      </c>
      <c r="K4102" s="18" t="e">
        <f t="shared" ca="1" si="320"/>
        <v>#N/A</v>
      </c>
      <c r="L4102" t="e">
        <f ca="1">IF(J4102,Charms!B4102,"")</f>
        <v>#N/A</v>
      </c>
      <c r="M4102" t="str">
        <f t="shared" ca="1" si="322"/>
        <v>-</v>
      </c>
      <c r="N4102" s="18" t="str">
        <f t="shared" si="323"/>
        <v>K1622:L5000</v>
      </c>
      <c r="O4102" t="str">
        <f t="shared" si="324"/>
        <v>A1622:A4102</v>
      </c>
    </row>
    <row r="4103" spans="1:15">
      <c r="A4103" s="18">
        <f>Charms!K4103</f>
        <v>0</v>
      </c>
      <c r="B4103">
        <f>Charms!B4103</f>
        <v>0</v>
      </c>
      <c r="C4103" t="b">
        <f ca="1">OR(Values!$S$98&gt;=Charms!M4103,IFERROR(Charms!J4103=OFFSET(Values!$A$24,MATCH("S",Values!$T$25:$T$50,0),0),FALSE))</f>
        <v>1</v>
      </c>
      <c r="D4103" t="e">
        <f>VLOOKUP(Charms!J4103,Values!$A$11:$S$59,19,0)&gt;=Charms!L4103</f>
        <v>#N/A</v>
      </c>
      <c r="E4103" t="e">
        <f>OR(ISBLANK(Charms!I4103),(VLOOKUP(Values!$S$6,Castes!$B$2:$F$25,4,0)=Charms!I4103))</f>
        <v>#N/A</v>
      </c>
      <c r="J4103" t="e">
        <f t="shared" ca="1" si="321"/>
        <v>#N/A</v>
      </c>
      <c r="K4103" s="18" t="e">
        <f t="shared" ca="1" si="320"/>
        <v>#N/A</v>
      </c>
      <c r="L4103" t="e">
        <f ca="1">IF(J4103,Charms!B4103,"")</f>
        <v>#N/A</v>
      </c>
      <c r="M4103" t="str">
        <f t="shared" ca="1" si="322"/>
        <v>-</v>
      </c>
      <c r="N4103" s="18" t="str">
        <f t="shared" si="323"/>
        <v>K1622:L5000</v>
      </c>
      <c r="O4103" t="str">
        <f t="shared" si="324"/>
        <v>A1622:A4103</v>
      </c>
    </row>
    <row r="4104" spans="1:15">
      <c r="A4104" s="18">
        <f>Charms!K4104</f>
        <v>0</v>
      </c>
      <c r="B4104">
        <f>Charms!B4104</f>
        <v>0</v>
      </c>
      <c r="C4104" t="b">
        <f ca="1">OR(Values!$S$98&gt;=Charms!M4104,IFERROR(Charms!J4104=OFFSET(Values!$A$24,MATCH("S",Values!$T$25:$T$50,0),0),FALSE))</f>
        <v>1</v>
      </c>
      <c r="D4104" t="e">
        <f>VLOOKUP(Charms!J4104,Values!$A$11:$S$59,19,0)&gt;=Charms!L4104</f>
        <v>#N/A</v>
      </c>
      <c r="E4104" t="e">
        <f>OR(ISBLANK(Charms!I4104),(VLOOKUP(Values!$S$6,Castes!$B$2:$F$25,4,0)=Charms!I4104))</f>
        <v>#N/A</v>
      </c>
      <c r="J4104" t="e">
        <f t="shared" ca="1" si="321"/>
        <v>#N/A</v>
      </c>
      <c r="K4104" s="18" t="e">
        <f t="shared" ca="1" si="320"/>
        <v>#N/A</v>
      </c>
      <c r="L4104" t="e">
        <f ca="1">IF(J4104,Charms!B4104,"")</f>
        <v>#N/A</v>
      </c>
      <c r="M4104" t="str">
        <f t="shared" ca="1" si="322"/>
        <v>-</v>
      </c>
      <c r="N4104" s="18" t="str">
        <f t="shared" si="323"/>
        <v>K1622:L5000</v>
      </c>
      <c r="O4104" t="str">
        <f t="shared" si="324"/>
        <v>A1622:A4104</v>
      </c>
    </row>
    <row r="4105" spans="1:15">
      <c r="A4105" s="18">
        <f>Charms!K4105</f>
        <v>0</v>
      </c>
      <c r="B4105">
        <f>Charms!B4105</f>
        <v>0</v>
      </c>
      <c r="C4105" t="b">
        <f ca="1">OR(Values!$S$98&gt;=Charms!M4105,IFERROR(Charms!J4105=OFFSET(Values!$A$24,MATCH("S",Values!$T$25:$T$50,0),0),FALSE))</f>
        <v>1</v>
      </c>
      <c r="D4105" t="e">
        <f>VLOOKUP(Charms!J4105,Values!$A$11:$S$59,19,0)&gt;=Charms!L4105</f>
        <v>#N/A</v>
      </c>
      <c r="E4105" t="e">
        <f>OR(ISBLANK(Charms!I4105),(VLOOKUP(Values!$S$6,Castes!$B$2:$F$25,4,0)=Charms!I4105))</f>
        <v>#N/A</v>
      </c>
      <c r="J4105" t="e">
        <f t="shared" ca="1" si="321"/>
        <v>#N/A</v>
      </c>
      <c r="K4105" s="18" t="e">
        <f t="shared" ca="1" si="320"/>
        <v>#N/A</v>
      </c>
      <c r="L4105" t="e">
        <f ca="1">IF(J4105,Charms!B4105,"")</f>
        <v>#N/A</v>
      </c>
      <c r="M4105" t="str">
        <f t="shared" ca="1" si="322"/>
        <v>-</v>
      </c>
      <c r="N4105" s="18" t="str">
        <f t="shared" si="323"/>
        <v>K1622:L5000</v>
      </c>
      <c r="O4105" t="str">
        <f t="shared" si="324"/>
        <v>A1622:A4105</v>
      </c>
    </row>
    <row r="4106" spans="1:15">
      <c r="A4106" s="18">
        <f>Charms!K4106</f>
        <v>0</v>
      </c>
      <c r="B4106">
        <f>Charms!B4106</f>
        <v>0</v>
      </c>
      <c r="C4106" t="b">
        <f ca="1">OR(Values!$S$98&gt;=Charms!M4106,IFERROR(Charms!J4106=OFFSET(Values!$A$24,MATCH("S",Values!$T$25:$T$50,0),0),FALSE))</f>
        <v>1</v>
      </c>
      <c r="D4106" t="e">
        <f>VLOOKUP(Charms!J4106,Values!$A$11:$S$59,19,0)&gt;=Charms!L4106</f>
        <v>#N/A</v>
      </c>
      <c r="E4106" t="e">
        <f>OR(ISBLANK(Charms!I4106),(VLOOKUP(Values!$S$6,Castes!$B$2:$F$25,4,0)=Charms!I4106))</f>
        <v>#N/A</v>
      </c>
      <c r="J4106" t="e">
        <f t="shared" ca="1" si="321"/>
        <v>#N/A</v>
      </c>
      <c r="K4106" s="18" t="e">
        <f t="shared" ca="1" si="320"/>
        <v>#N/A</v>
      </c>
      <c r="L4106" t="e">
        <f ca="1">IF(J4106,Charms!B4106,"")</f>
        <v>#N/A</v>
      </c>
      <c r="M4106" t="str">
        <f t="shared" ca="1" si="322"/>
        <v>-</v>
      </c>
      <c r="N4106" s="18" t="str">
        <f t="shared" si="323"/>
        <v>K1622:L5000</v>
      </c>
      <c r="O4106" t="str">
        <f t="shared" si="324"/>
        <v>A1622:A4106</v>
      </c>
    </row>
    <row r="4107" spans="1:15">
      <c r="A4107" s="18">
        <f>Charms!K4107</f>
        <v>0</v>
      </c>
      <c r="B4107">
        <f>Charms!B4107</f>
        <v>0</v>
      </c>
      <c r="C4107" t="b">
        <f ca="1">OR(Values!$S$98&gt;=Charms!M4107,IFERROR(Charms!J4107=OFFSET(Values!$A$24,MATCH("S",Values!$T$25:$T$50,0),0),FALSE))</f>
        <v>1</v>
      </c>
      <c r="D4107" t="e">
        <f>VLOOKUP(Charms!J4107,Values!$A$11:$S$59,19,0)&gt;=Charms!L4107</f>
        <v>#N/A</v>
      </c>
      <c r="E4107" t="e">
        <f>OR(ISBLANK(Charms!I4107),(VLOOKUP(Values!$S$6,Castes!$B$2:$F$25,4,0)=Charms!I4107))</f>
        <v>#N/A</v>
      </c>
      <c r="J4107" t="e">
        <f t="shared" ca="1" si="321"/>
        <v>#N/A</v>
      </c>
      <c r="K4107" s="18" t="e">
        <f t="shared" ca="1" si="320"/>
        <v>#N/A</v>
      </c>
      <c r="L4107" t="e">
        <f ca="1">IF(J4107,Charms!B4107,"")</f>
        <v>#N/A</v>
      </c>
      <c r="M4107" t="str">
        <f t="shared" ca="1" si="322"/>
        <v>-</v>
      </c>
      <c r="N4107" s="18" t="str">
        <f t="shared" si="323"/>
        <v>K1622:L5000</v>
      </c>
      <c r="O4107" t="str">
        <f t="shared" si="324"/>
        <v>A1622:A4107</v>
      </c>
    </row>
    <row r="4108" spans="1:15">
      <c r="A4108" s="18">
        <f>Charms!K4108</f>
        <v>0</v>
      </c>
      <c r="B4108">
        <f>Charms!B4108</f>
        <v>0</v>
      </c>
      <c r="C4108" t="b">
        <f ca="1">OR(Values!$S$98&gt;=Charms!M4108,IFERROR(Charms!J4108=OFFSET(Values!$A$24,MATCH("S",Values!$T$25:$T$50,0),0),FALSE))</f>
        <v>1</v>
      </c>
      <c r="D4108" t="e">
        <f>VLOOKUP(Charms!J4108,Values!$A$11:$S$59,19,0)&gt;=Charms!L4108</f>
        <v>#N/A</v>
      </c>
      <c r="E4108" t="e">
        <f>OR(ISBLANK(Charms!I4108),(VLOOKUP(Values!$S$6,Castes!$B$2:$F$25,4,0)=Charms!I4108))</f>
        <v>#N/A</v>
      </c>
      <c r="J4108" t="e">
        <f t="shared" ca="1" si="321"/>
        <v>#N/A</v>
      </c>
      <c r="K4108" s="18" t="e">
        <f t="shared" ca="1" si="320"/>
        <v>#N/A</v>
      </c>
      <c r="L4108" t="e">
        <f ca="1">IF(J4108,Charms!B4108,"")</f>
        <v>#N/A</v>
      </c>
      <c r="M4108" t="str">
        <f t="shared" ca="1" si="322"/>
        <v>-</v>
      </c>
      <c r="N4108" s="18" t="str">
        <f t="shared" si="323"/>
        <v>K1622:L5000</v>
      </c>
      <c r="O4108" t="str">
        <f t="shared" si="324"/>
        <v>A1622:A4108</v>
      </c>
    </row>
    <row r="4109" spans="1:15">
      <c r="A4109" s="18">
        <f>Charms!K4109</f>
        <v>0</v>
      </c>
      <c r="B4109">
        <f>Charms!B4109</f>
        <v>0</v>
      </c>
      <c r="C4109" t="b">
        <f ca="1">OR(Values!$S$98&gt;=Charms!M4109,IFERROR(Charms!J4109=OFFSET(Values!$A$24,MATCH("S",Values!$T$25:$T$50,0),0),FALSE))</f>
        <v>1</v>
      </c>
      <c r="D4109" t="e">
        <f>VLOOKUP(Charms!J4109,Values!$A$11:$S$59,19,0)&gt;=Charms!L4109</f>
        <v>#N/A</v>
      </c>
      <c r="E4109" t="e">
        <f>OR(ISBLANK(Charms!I4109),(VLOOKUP(Values!$S$6,Castes!$B$2:$F$25,4,0)=Charms!I4109))</f>
        <v>#N/A</v>
      </c>
      <c r="J4109" t="e">
        <f t="shared" ca="1" si="321"/>
        <v>#N/A</v>
      </c>
      <c r="K4109" s="18" t="e">
        <f t="shared" ca="1" si="320"/>
        <v>#N/A</v>
      </c>
      <c r="L4109" t="e">
        <f ca="1">IF(J4109,Charms!B4109,"")</f>
        <v>#N/A</v>
      </c>
      <c r="M4109" t="str">
        <f t="shared" ca="1" si="322"/>
        <v>-</v>
      </c>
      <c r="N4109" s="18" t="str">
        <f t="shared" si="323"/>
        <v>K1622:L5000</v>
      </c>
      <c r="O4109" t="str">
        <f t="shared" si="324"/>
        <v>A1622:A4109</v>
      </c>
    </row>
    <row r="4110" spans="1:15">
      <c r="A4110" s="18">
        <f>Charms!K4110</f>
        <v>0</v>
      </c>
      <c r="B4110">
        <f>Charms!B4110</f>
        <v>0</v>
      </c>
      <c r="C4110" t="b">
        <f ca="1">OR(Values!$S$98&gt;=Charms!M4110,IFERROR(Charms!J4110=OFFSET(Values!$A$24,MATCH("S",Values!$T$25:$T$50,0),0),FALSE))</f>
        <v>1</v>
      </c>
      <c r="D4110" t="e">
        <f>VLOOKUP(Charms!J4110,Values!$A$11:$S$59,19,0)&gt;=Charms!L4110</f>
        <v>#N/A</v>
      </c>
      <c r="E4110" t="e">
        <f>OR(ISBLANK(Charms!I4110),(VLOOKUP(Values!$S$6,Castes!$B$2:$F$25,4,0)=Charms!I4110))</f>
        <v>#N/A</v>
      </c>
      <c r="J4110" t="e">
        <f t="shared" ca="1" si="321"/>
        <v>#N/A</v>
      </c>
      <c r="K4110" s="18" t="e">
        <f t="shared" ca="1" si="320"/>
        <v>#N/A</v>
      </c>
      <c r="L4110" t="e">
        <f ca="1">IF(J4110,Charms!B4110,"")</f>
        <v>#N/A</v>
      </c>
      <c r="M4110" t="str">
        <f t="shared" ca="1" si="322"/>
        <v>-</v>
      </c>
      <c r="N4110" s="18" t="str">
        <f t="shared" si="323"/>
        <v>K1622:L5000</v>
      </c>
      <c r="O4110" t="str">
        <f t="shared" si="324"/>
        <v>A1622:A4110</v>
      </c>
    </row>
    <row r="4111" spans="1:15">
      <c r="A4111" s="18">
        <f>Charms!K4111</f>
        <v>0</v>
      </c>
      <c r="B4111">
        <f>Charms!B4111</f>
        <v>0</v>
      </c>
      <c r="C4111" t="b">
        <f ca="1">OR(Values!$S$98&gt;=Charms!M4111,IFERROR(Charms!J4111=OFFSET(Values!$A$24,MATCH("S",Values!$T$25:$T$50,0),0),FALSE))</f>
        <v>1</v>
      </c>
      <c r="D4111" t="e">
        <f>VLOOKUP(Charms!J4111,Values!$A$11:$S$59,19,0)&gt;=Charms!L4111</f>
        <v>#N/A</v>
      </c>
      <c r="E4111" t="e">
        <f>OR(ISBLANK(Charms!I4111),(VLOOKUP(Values!$S$6,Castes!$B$2:$F$25,4,0)=Charms!I4111))</f>
        <v>#N/A</v>
      </c>
      <c r="J4111" t="e">
        <f t="shared" ca="1" si="321"/>
        <v>#N/A</v>
      </c>
      <c r="K4111" s="18" t="e">
        <f t="shared" ca="1" si="320"/>
        <v>#N/A</v>
      </c>
      <c r="L4111" t="e">
        <f ca="1">IF(J4111,Charms!B4111,"")</f>
        <v>#N/A</v>
      </c>
      <c r="M4111" t="str">
        <f t="shared" ca="1" si="322"/>
        <v>-</v>
      </c>
      <c r="N4111" s="18" t="str">
        <f t="shared" si="323"/>
        <v>K1622:L5000</v>
      </c>
      <c r="O4111" t="str">
        <f t="shared" si="324"/>
        <v>A1622:A4111</v>
      </c>
    </row>
    <row r="4112" spans="1:15">
      <c r="A4112" s="18">
        <f>Charms!K4112</f>
        <v>0</v>
      </c>
      <c r="B4112">
        <f>Charms!B4112</f>
        <v>0</v>
      </c>
      <c r="C4112" t="b">
        <f ca="1">OR(Values!$S$98&gt;=Charms!M4112,IFERROR(Charms!J4112=OFFSET(Values!$A$24,MATCH("S",Values!$T$25:$T$50,0),0),FALSE))</f>
        <v>1</v>
      </c>
      <c r="D4112" t="e">
        <f>VLOOKUP(Charms!J4112,Values!$A$11:$S$59,19,0)&gt;=Charms!L4112</f>
        <v>#N/A</v>
      </c>
      <c r="E4112" t="e">
        <f>OR(ISBLANK(Charms!I4112),(VLOOKUP(Values!$S$6,Castes!$B$2:$F$25,4,0)=Charms!I4112))</f>
        <v>#N/A</v>
      </c>
      <c r="J4112" t="e">
        <f t="shared" ca="1" si="321"/>
        <v>#N/A</v>
      </c>
      <c r="K4112" s="18" t="e">
        <f t="shared" ca="1" si="320"/>
        <v>#N/A</v>
      </c>
      <c r="L4112" t="e">
        <f ca="1">IF(J4112,Charms!B4112,"")</f>
        <v>#N/A</v>
      </c>
      <c r="M4112" t="str">
        <f t="shared" ca="1" si="322"/>
        <v>-</v>
      </c>
      <c r="N4112" s="18" t="str">
        <f t="shared" si="323"/>
        <v>K1622:L5000</v>
      </c>
      <c r="O4112" t="str">
        <f t="shared" si="324"/>
        <v>A1622:A4112</v>
      </c>
    </row>
    <row r="4113" spans="1:15">
      <c r="A4113" s="18">
        <f>Charms!K4113</f>
        <v>0</v>
      </c>
      <c r="B4113">
        <f>Charms!B4113</f>
        <v>0</v>
      </c>
      <c r="C4113" t="b">
        <f ca="1">OR(Values!$S$98&gt;=Charms!M4113,IFERROR(Charms!J4113=OFFSET(Values!$A$24,MATCH("S",Values!$T$25:$T$50,0),0),FALSE))</f>
        <v>1</v>
      </c>
      <c r="D4113" t="e">
        <f>VLOOKUP(Charms!J4113,Values!$A$11:$S$59,19,0)&gt;=Charms!L4113</f>
        <v>#N/A</v>
      </c>
      <c r="E4113" t="e">
        <f>OR(ISBLANK(Charms!I4113),(VLOOKUP(Values!$S$6,Castes!$B$2:$F$25,4,0)=Charms!I4113))</f>
        <v>#N/A</v>
      </c>
      <c r="J4113" t="e">
        <f t="shared" ca="1" si="321"/>
        <v>#N/A</v>
      </c>
      <c r="K4113" s="18" t="e">
        <f t="shared" ca="1" si="320"/>
        <v>#N/A</v>
      </c>
      <c r="L4113" t="e">
        <f ca="1">IF(J4113,Charms!B4113,"")</f>
        <v>#N/A</v>
      </c>
      <c r="M4113" t="str">
        <f t="shared" ca="1" si="322"/>
        <v>-</v>
      </c>
      <c r="N4113" s="18" t="str">
        <f t="shared" si="323"/>
        <v>K1622:L5000</v>
      </c>
      <c r="O4113" t="str">
        <f t="shared" si="324"/>
        <v>A1622:A4113</v>
      </c>
    </row>
    <row r="4114" spans="1:15">
      <c r="A4114" s="18">
        <f>Charms!K4114</f>
        <v>0</v>
      </c>
      <c r="B4114">
        <f>Charms!B4114</f>
        <v>0</v>
      </c>
      <c r="C4114" t="b">
        <f ca="1">OR(Values!$S$98&gt;=Charms!M4114,IFERROR(Charms!J4114=OFFSET(Values!$A$24,MATCH("S",Values!$T$25:$T$50,0),0),FALSE))</f>
        <v>1</v>
      </c>
      <c r="D4114" t="e">
        <f>VLOOKUP(Charms!J4114,Values!$A$11:$S$59,19,0)&gt;=Charms!L4114</f>
        <v>#N/A</v>
      </c>
      <c r="E4114" t="e">
        <f>OR(ISBLANK(Charms!I4114),(VLOOKUP(Values!$S$6,Castes!$B$2:$F$25,4,0)=Charms!I4114))</f>
        <v>#N/A</v>
      </c>
      <c r="J4114" t="e">
        <f t="shared" ca="1" si="321"/>
        <v>#N/A</v>
      </c>
      <c r="K4114" s="18" t="e">
        <f t="shared" ca="1" si="320"/>
        <v>#N/A</v>
      </c>
      <c r="L4114" t="e">
        <f ca="1">IF(J4114,Charms!B4114,"")</f>
        <v>#N/A</v>
      </c>
      <c r="M4114" t="str">
        <f t="shared" ca="1" si="322"/>
        <v>-</v>
      </c>
      <c r="N4114" s="18" t="str">
        <f t="shared" si="323"/>
        <v>K1622:L5000</v>
      </c>
      <c r="O4114" t="str">
        <f t="shared" si="324"/>
        <v>A1622:A4114</v>
      </c>
    </row>
    <row r="4115" spans="1:15">
      <c r="A4115" s="18">
        <f>Charms!K4115</f>
        <v>0</v>
      </c>
      <c r="B4115">
        <f>Charms!B4115</f>
        <v>0</v>
      </c>
      <c r="C4115" t="b">
        <f ca="1">OR(Values!$S$98&gt;=Charms!M4115,IFERROR(Charms!J4115=OFFSET(Values!$A$24,MATCH("S",Values!$T$25:$T$50,0),0),FALSE))</f>
        <v>1</v>
      </c>
      <c r="D4115" t="e">
        <f>VLOOKUP(Charms!J4115,Values!$A$11:$S$59,19,0)&gt;=Charms!L4115</f>
        <v>#N/A</v>
      </c>
      <c r="E4115" t="e">
        <f>OR(ISBLANK(Charms!I4115),(VLOOKUP(Values!$S$6,Castes!$B$2:$F$25,4,0)=Charms!I4115))</f>
        <v>#N/A</v>
      </c>
      <c r="J4115" t="e">
        <f t="shared" ca="1" si="321"/>
        <v>#N/A</v>
      </c>
      <c r="K4115" s="18" t="e">
        <f t="shared" ca="1" si="320"/>
        <v>#N/A</v>
      </c>
      <c r="L4115" t="e">
        <f ca="1">IF(J4115,Charms!B4115,"")</f>
        <v>#N/A</v>
      </c>
      <c r="M4115" t="str">
        <f t="shared" ca="1" si="322"/>
        <v>-</v>
      </c>
      <c r="N4115" s="18" t="str">
        <f t="shared" si="323"/>
        <v>K1622:L5000</v>
      </c>
      <c r="O4115" t="str">
        <f t="shared" si="324"/>
        <v>A1622:A4115</v>
      </c>
    </row>
    <row r="4116" spans="1:15">
      <c r="A4116" s="18">
        <f>Charms!K4116</f>
        <v>0</v>
      </c>
      <c r="B4116">
        <f>Charms!B4116</f>
        <v>0</v>
      </c>
      <c r="C4116" t="b">
        <f ca="1">OR(Values!$S$98&gt;=Charms!M4116,IFERROR(Charms!J4116=OFFSET(Values!$A$24,MATCH("S",Values!$T$25:$T$50,0),0),FALSE))</f>
        <v>1</v>
      </c>
      <c r="D4116" t="e">
        <f>VLOOKUP(Charms!J4116,Values!$A$11:$S$59,19,0)&gt;=Charms!L4116</f>
        <v>#N/A</v>
      </c>
      <c r="E4116" t="e">
        <f>OR(ISBLANK(Charms!I4116),(VLOOKUP(Values!$S$6,Castes!$B$2:$F$25,4,0)=Charms!I4116))</f>
        <v>#N/A</v>
      </c>
      <c r="J4116" t="e">
        <f t="shared" ca="1" si="321"/>
        <v>#N/A</v>
      </c>
      <c r="K4116" s="18" t="e">
        <f t="shared" ca="1" si="320"/>
        <v>#N/A</v>
      </c>
      <c r="L4116" t="e">
        <f ca="1">IF(J4116,Charms!B4116,"")</f>
        <v>#N/A</v>
      </c>
      <c r="M4116" t="str">
        <f t="shared" ca="1" si="322"/>
        <v>-</v>
      </c>
      <c r="N4116" s="18" t="str">
        <f t="shared" si="323"/>
        <v>K1622:L5000</v>
      </c>
      <c r="O4116" t="str">
        <f t="shared" si="324"/>
        <v>A1622:A4116</v>
      </c>
    </row>
    <row r="4117" spans="1:15">
      <c r="A4117" s="18">
        <f>Charms!K4117</f>
        <v>0</v>
      </c>
      <c r="B4117">
        <f>Charms!B4117</f>
        <v>0</v>
      </c>
      <c r="C4117" t="b">
        <f ca="1">OR(Values!$S$98&gt;=Charms!M4117,IFERROR(Charms!J4117=OFFSET(Values!$A$24,MATCH("S",Values!$T$25:$T$50,0),0),FALSE))</f>
        <v>1</v>
      </c>
      <c r="D4117" t="e">
        <f>VLOOKUP(Charms!J4117,Values!$A$11:$S$59,19,0)&gt;=Charms!L4117</f>
        <v>#N/A</v>
      </c>
      <c r="E4117" t="e">
        <f>OR(ISBLANK(Charms!I4117),(VLOOKUP(Values!$S$6,Castes!$B$2:$F$25,4,0)=Charms!I4117))</f>
        <v>#N/A</v>
      </c>
      <c r="J4117" t="e">
        <f t="shared" ca="1" si="321"/>
        <v>#N/A</v>
      </c>
      <c r="K4117" s="18" t="e">
        <f t="shared" ca="1" si="320"/>
        <v>#N/A</v>
      </c>
      <c r="L4117" t="e">
        <f ca="1">IF(J4117,Charms!B4117,"")</f>
        <v>#N/A</v>
      </c>
      <c r="M4117" t="str">
        <f t="shared" ca="1" si="322"/>
        <v>-</v>
      </c>
      <c r="N4117" s="18" t="str">
        <f t="shared" si="323"/>
        <v>K1622:L5000</v>
      </c>
      <c r="O4117" t="str">
        <f t="shared" si="324"/>
        <v>A1622:A4117</v>
      </c>
    </row>
    <row r="4118" spans="1:15">
      <c r="A4118" s="18">
        <f>Charms!K4118</f>
        <v>0</v>
      </c>
      <c r="B4118">
        <f>Charms!B4118</f>
        <v>0</v>
      </c>
      <c r="C4118" t="b">
        <f ca="1">OR(Values!$S$98&gt;=Charms!M4118,IFERROR(Charms!J4118=OFFSET(Values!$A$24,MATCH("S",Values!$T$25:$T$50,0),0),FALSE))</f>
        <v>1</v>
      </c>
      <c r="D4118" t="e">
        <f>VLOOKUP(Charms!J4118,Values!$A$11:$S$59,19,0)&gt;=Charms!L4118</f>
        <v>#N/A</v>
      </c>
      <c r="E4118" t="e">
        <f>OR(ISBLANK(Charms!I4118),(VLOOKUP(Values!$S$6,Castes!$B$2:$F$25,4,0)=Charms!I4118))</f>
        <v>#N/A</v>
      </c>
      <c r="J4118" t="e">
        <f t="shared" ca="1" si="321"/>
        <v>#N/A</v>
      </c>
      <c r="K4118" s="18" t="e">
        <f t="shared" ca="1" si="320"/>
        <v>#N/A</v>
      </c>
      <c r="L4118" t="e">
        <f ca="1">IF(J4118,Charms!B4118,"")</f>
        <v>#N/A</v>
      </c>
      <c r="M4118" t="str">
        <f t="shared" ca="1" si="322"/>
        <v>-</v>
      </c>
      <c r="N4118" s="18" t="str">
        <f t="shared" si="323"/>
        <v>K1622:L5000</v>
      </c>
      <c r="O4118" t="str">
        <f t="shared" si="324"/>
        <v>A1622:A4118</v>
      </c>
    </row>
    <row r="4119" spans="1:15">
      <c r="A4119" s="18">
        <f>Charms!K4119</f>
        <v>0</v>
      </c>
      <c r="B4119">
        <f>Charms!B4119</f>
        <v>0</v>
      </c>
      <c r="C4119" t="b">
        <f ca="1">OR(Values!$S$98&gt;=Charms!M4119,IFERROR(Charms!J4119=OFFSET(Values!$A$24,MATCH("S",Values!$T$25:$T$50,0),0),FALSE))</f>
        <v>1</v>
      </c>
      <c r="D4119" t="e">
        <f>VLOOKUP(Charms!J4119,Values!$A$11:$S$59,19,0)&gt;=Charms!L4119</f>
        <v>#N/A</v>
      </c>
      <c r="E4119" t="e">
        <f>OR(ISBLANK(Charms!I4119),(VLOOKUP(Values!$S$6,Castes!$B$2:$F$25,4,0)=Charms!I4119))</f>
        <v>#N/A</v>
      </c>
      <c r="J4119" t="e">
        <f t="shared" ca="1" si="321"/>
        <v>#N/A</v>
      </c>
      <c r="K4119" s="18" t="e">
        <f t="shared" ca="1" si="320"/>
        <v>#N/A</v>
      </c>
      <c r="L4119" t="e">
        <f ca="1">IF(J4119,Charms!B4119,"")</f>
        <v>#N/A</v>
      </c>
      <c r="M4119" t="str">
        <f t="shared" ca="1" si="322"/>
        <v>-</v>
      </c>
      <c r="N4119" s="18" t="str">
        <f t="shared" si="323"/>
        <v>K1622:L5000</v>
      </c>
      <c r="O4119" t="str">
        <f t="shared" si="324"/>
        <v>A1622:A4119</v>
      </c>
    </row>
    <row r="4120" spans="1:15">
      <c r="A4120" s="18">
        <f>Charms!K4120</f>
        <v>0</v>
      </c>
      <c r="B4120">
        <f>Charms!B4120</f>
        <v>0</v>
      </c>
      <c r="C4120" t="b">
        <f ca="1">OR(Values!$S$98&gt;=Charms!M4120,IFERROR(Charms!J4120=OFFSET(Values!$A$24,MATCH("S",Values!$T$25:$T$50,0),0),FALSE))</f>
        <v>1</v>
      </c>
      <c r="D4120" t="e">
        <f>VLOOKUP(Charms!J4120,Values!$A$11:$S$59,19,0)&gt;=Charms!L4120</f>
        <v>#N/A</v>
      </c>
      <c r="E4120" t="e">
        <f>OR(ISBLANK(Charms!I4120),(VLOOKUP(Values!$S$6,Castes!$B$2:$F$25,4,0)=Charms!I4120))</f>
        <v>#N/A</v>
      </c>
      <c r="J4120" t="e">
        <f t="shared" ca="1" si="321"/>
        <v>#N/A</v>
      </c>
      <c r="K4120" s="18" t="e">
        <f t="shared" ca="1" si="320"/>
        <v>#N/A</v>
      </c>
      <c r="L4120" t="e">
        <f ca="1">IF(J4120,Charms!B4120,"")</f>
        <v>#N/A</v>
      </c>
      <c r="M4120" t="str">
        <f t="shared" ca="1" si="322"/>
        <v>-</v>
      </c>
      <c r="N4120" s="18" t="str">
        <f t="shared" si="323"/>
        <v>K1622:L5000</v>
      </c>
      <c r="O4120" t="str">
        <f t="shared" si="324"/>
        <v>A1622:A4120</v>
      </c>
    </row>
    <row r="4121" spans="1:15">
      <c r="A4121" s="18">
        <f>Charms!K4121</f>
        <v>0</v>
      </c>
      <c r="B4121">
        <f>Charms!B4121</f>
        <v>0</v>
      </c>
      <c r="C4121" t="b">
        <f ca="1">OR(Values!$S$98&gt;=Charms!M4121,IFERROR(Charms!J4121=OFFSET(Values!$A$24,MATCH("S",Values!$T$25:$T$50,0),0),FALSE))</f>
        <v>1</v>
      </c>
      <c r="D4121" t="e">
        <f>VLOOKUP(Charms!J4121,Values!$A$11:$S$59,19,0)&gt;=Charms!L4121</f>
        <v>#N/A</v>
      </c>
      <c r="E4121" t="e">
        <f>OR(ISBLANK(Charms!I4121),(VLOOKUP(Values!$S$6,Castes!$B$2:$F$25,4,0)=Charms!I4121))</f>
        <v>#N/A</v>
      </c>
      <c r="J4121" t="e">
        <f t="shared" ca="1" si="321"/>
        <v>#N/A</v>
      </c>
      <c r="K4121" s="18" t="e">
        <f t="shared" ca="1" si="320"/>
        <v>#N/A</v>
      </c>
      <c r="L4121" t="e">
        <f ca="1">IF(J4121,Charms!B4121,"")</f>
        <v>#N/A</v>
      </c>
      <c r="M4121" t="str">
        <f t="shared" ca="1" si="322"/>
        <v>-</v>
      </c>
      <c r="N4121" s="18" t="str">
        <f t="shared" si="323"/>
        <v>K1622:L5000</v>
      </c>
      <c r="O4121" t="str">
        <f t="shared" si="324"/>
        <v>A1622:A4121</v>
      </c>
    </row>
    <row r="4122" spans="1:15">
      <c r="A4122" s="18">
        <f>Charms!K4122</f>
        <v>0</v>
      </c>
      <c r="B4122">
        <f>Charms!B4122</f>
        <v>0</v>
      </c>
      <c r="C4122" t="b">
        <f ca="1">OR(Values!$S$98&gt;=Charms!M4122,IFERROR(Charms!J4122=OFFSET(Values!$A$24,MATCH("S",Values!$T$25:$T$50,0),0),FALSE))</f>
        <v>1</v>
      </c>
      <c r="D4122" t="e">
        <f>VLOOKUP(Charms!J4122,Values!$A$11:$S$59,19,0)&gt;=Charms!L4122</f>
        <v>#N/A</v>
      </c>
      <c r="E4122" t="e">
        <f>OR(ISBLANK(Charms!I4122),(VLOOKUP(Values!$S$6,Castes!$B$2:$F$25,4,0)=Charms!I4122))</f>
        <v>#N/A</v>
      </c>
      <c r="J4122" t="e">
        <f t="shared" ca="1" si="321"/>
        <v>#N/A</v>
      </c>
      <c r="K4122" s="18" t="e">
        <f t="shared" ca="1" si="320"/>
        <v>#N/A</v>
      </c>
      <c r="L4122" t="e">
        <f ca="1">IF(J4122,Charms!B4122,"")</f>
        <v>#N/A</v>
      </c>
      <c r="M4122" t="str">
        <f t="shared" ca="1" si="322"/>
        <v>-</v>
      </c>
      <c r="N4122" s="18" t="str">
        <f t="shared" si="323"/>
        <v>K1622:L5000</v>
      </c>
      <c r="O4122" t="str">
        <f t="shared" si="324"/>
        <v>A1622:A4122</v>
      </c>
    </row>
    <row r="4123" spans="1:15">
      <c r="A4123" s="18">
        <f>Charms!K4123</f>
        <v>0</v>
      </c>
      <c r="B4123">
        <f>Charms!B4123</f>
        <v>0</v>
      </c>
      <c r="C4123" t="b">
        <f ca="1">OR(Values!$S$98&gt;=Charms!M4123,IFERROR(Charms!J4123=OFFSET(Values!$A$24,MATCH("S",Values!$T$25:$T$50,0),0),FALSE))</f>
        <v>1</v>
      </c>
      <c r="D4123" t="e">
        <f>VLOOKUP(Charms!J4123,Values!$A$11:$S$59,19,0)&gt;=Charms!L4123</f>
        <v>#N/A</v>
      </c>
      <c r="E4123" t="e">
        <f>OR(ISBLANK(Charms!I4123),(VLOOKUP(Values!$S$6,Castes!$B$2:$F$25,4,0)=Charms!I4123))</f>
        <v>#N/A</v>
      </c>
      <c r="J4123" t="e">
        <f t="shared" ca="1" si="321"/>
        <v>#N/A</v>
      </c>
      <c r="K4123" s="18" t="e">
        <f t="shared" ca="1" si="320"/>
        <v>#N/A</v>
      </c>
      <c r="L4123" t="e">
        <f ca="1">IF(J4123,Charms!B4123,"")</f>
        <v>#N/A</v>
      </c>
      <c r="M4123" t="str">
        <f t="shared" ca="1" si="322"/>
        <v>-</v>
      </c>
      <c r="N4123" s="18" t="str">
        <f t="shared" si="323"/>
        <v>K1622:L5000</v>
      </c>
      <c r="O4123" t="str">
        <f t="shared" si="324"/>
        <v>A1622:A4123</v>
      </c>
    </row>
    <row r="4124" spans="1:15">
      <c r="A4124" s="18">
        <f>Charms!K4124</f>
        <v>0</v>
      </c>
      <c r="B4124">
        <f>Charms!B4124</f>
        <v>0</v>
      </c>
      <c r="C4124" t="b">
        <f ca="1">OR(Values!$S$98&gt;=Charms!M4124,IFERROR(Charms!J4124=OFFSET(Values!$A$24,MATCH("S",Values!$T$25:$T$50,0),0),FALSE))</f>
        <v>1</v>
      </c>
      <c r="D4124" t="e">
        <f>VLOOKUP(Charms!J4124,Values!$A$11:$S$59,19,0)&gt;=Charms!L4124</f>
        <v>#N/A</v>
      </c>
      <c r="E4124" t="e">
        <f>OR(ISBLANK(Charms!I4124),(VLOOKUP(Values!$S$6,Castes!$B$2:$F$25,4,0)=Charms!I4124))</f>
        <v>#N/A</v>
      </c>
      <c r="J4124" t="e">
        <f t="shared" ca="1" si="321"/>
        <v>#N/A</v>
      </c>
      <c r="K4124" s="18" t="e">
        <f t="shared" ca="1" si="320"/>
        <v>#N/A</v>
      </c>
      <c r="L4124" t="e">
        <f ca="1">IF(J4124,Charms!B4124,"")</f>
        <v>#N/A</v>
      </c>
      <c r="M4124" t="str">
        <f t="shared" ca="1" si="322"/>
        <v>-</v>
      </c>
      <c r="N4124" s="18" t="str">
        <f t="shared" si="323"/>
        <v>K1622:L5000</v>
      </c>
      <c r="O4124" t="str">
        <f t="shared" si="324"/>
        <v>A1622:A4124</v>
      </c>
    </row>
    <row r="4125" spans="1:15">
      <c r="A4125" s="18">
        <f>Charms!K4125</f>
        <v>0</v>
      </c>
      <c r="B4125">
        <f>Charms!B4125</f>
        <v>0</v>
      </c>
      <c r="C4125" t="b">
        <f ca="1">OR(Values!$S$98&gt;=Charms!M4125,IFERROR(Charms!J4125=OFFSET(Values!$A$24,MATCH("S",Values!$T$25:$T$50,0),0),FALSE))</f>
        <v>1</v>
      </c>
      <c r="D4125" t="e">
        <f>VLOOKUP(Charms!J4125,Values!$A$11:$S$59,19,0)&gt;=Charms!L4125</f>
        <v>#N/A</v>
      </c>
      <c r="E4125" t="e">
        <f>OR(ISBLANK(Charms!I4125),(VLOOKUP(Values!$S$6,Castes!$B$2:$F$25,4,0)=Charms!I4125))</f>
        <v>#N/A</v>
      </c>
      <c r="J4125" t="e">
        <f t="shared" ca="1" si="321"/>
        <v>#N/A</v>
      </c>
      <c r="K4125" s="18" t="e">
        <f t="shared" ca="1" si="320"/>
        <v>#N/A</v>
      </c>
      <c r="L4125" t="e">
        <f ca="1">IF(J4125,Charms!B4125,"")</f>
        <v>#N/A</v>
      </c>
      <c r="M4125" t="str">
        <f t="shared" ca="1" si="322"/>
        <v>-</v>
      </c>
      <c r="N4125" s="18" t="str">
        <f t="shared" si="323"/>
        <v>K1622:L5000</v>
      </c>
      <c r="O4125" t="str">
        <f t="shared" si="324"/>
        <v>A1622:A4125</v>
      </c>
    </row>
    <row r="4126" spans="1:15">
      <c r="A4126" s="18">
        <f>Charms!K4126</f>
        <v>0</v>
      </c>
      <c r="B4126">
        <f>Charms!B4126</f>
        <v>0</v>
      </c>
      <c r="C4126" t="b">
        <f ca="1">OR(Values!$S$98&gt;=Charms!M4126,IFERROR(Charms!J4126=OFFSET(Values!$A$24,MATCH("S",Values!$T$25:$T$50,0),0),FALSE))</f>
        <v>1</v>
      </c>
      <c r="D4126" t="e">
        <f>VLOOKUP(Charms!J4126,Values!$A$11:$S$59,19,0)&gt;=Charms!L4126</f>
        <v>#N/A</v>
      </c>
      <c r="E4126" t="e">
        <f>OR(ISBLANK(Charms!I4126),(VLOOKUP(Values!$S$6,Castes!$B$2:$F$25,4,0)=Charms!I4126))</f>
        <v>#N/A</v>
      </c>
      <c r="J4126" t="e">
        <f t="shared" ca="1" si="321"/>
        <v>#N/A</v>
      </c>
      <c r="K4126" s="18" t="e">
        <f t="shared" ca="1" si="320"/>
        <v>#N/A</v>
      </c>
      <c r="L4126" t="e">
        <f ca="1">IF(J4126,Charms!B4126,"")</f>
        <v>#N/A</v>
      </c>
      <c r="M4126" t="str">
        <f t="shared" ca="1" si="322"/>
        <v>-</v>
      </c>
      <c r="N4126" s="18" t="str">
        <f t="shared" si="323"/>
        <v>K1622:L5000</v>
      </c>
      <c r="O4126" t="str">
        <f t="shared" si="324"/>
        <v>A1622:A4126</v>
      </c>
    </row>
    <row r="4127" spans="1:15">
      <c r="A4127" s="18">
        <f>Charms!K4127</f>
        <v>0</v>
      </c>
      <c r="B4127">
        <f>Charms!B4127</f>
        <v>0</v>
      </c>
      <c r="C4127" t="b">
        <f ca="1">OR(Values!$S$98&gt;=Charms!M4127,IFERROR(Charms!J4127=OFFSET(Values!$A$24,MATCH("S",Values!$T$25:$T$50,0),0),FALSE))</f>
        <v>1</v>
      </c>
      <c r="D4127" t="e">
        <f>VLOOKUP(Charms!J4127,Values!$A$11:$S$59,19,0)&gt;=Charms!L4127</f>
        <v>#N/A</v>
      </c>
      <c r="E4127" t="e">
        <f>OR(ISBLANK(Charms!I4127),(VLOOKUP(Values!$S$6,Castes!$B$2:$F$25,4,0)=Charms!I4127))</f>
        <v>#N/A</v>
      </c>
      <c r="J4127" t="e">
        <f t="shared" ca="1" si="321"/>
        <v>#N/A</v>
      </c>
      <c r="K4127" s="18" t="e">
        <f t="shared" ca="1" si="320"/>
        <v>#N/A</v>
      </c>
      <c r="L4127" t="e">
        <f ca="1">IF(J4127,Charms!B4127,"")</f>
        <v>#N/A</v>
      </c>
      <c r="M4127" t="str">
        <f t="shared" ca="1" si="322"/>
        <v>-</v>
      </c>
      <c r="N4127" s="18" t="str">
        <f t="shared" si="323"/>
        <v>K1622:L5000</v>
      </c>
      <c r="O4127" t="str">
        <f t="shared" si="324"/>
        <v>A1622:A4127</v>
      </c>
    </row>
    <row r="4128" spans="1:15">
      <c r="A4128" s="18">
        <f>Charms!K4128</f>
        <v>0</v>
      </c>
      <c r="B4128">
        <f>Charms!B4128</f>
        <v>0</v>
      </c>
      <c r="C4128" t="b">
        <f ca="1">OR(Values!$S$98&gt;=Charms!M4128,IFERROR(Charms!J4128=OFFSET(Values!$A$24,MATCH("S",Values!$T$25:$T$50,0),0),FALSE))</f>
        <v>1</v>
      </c>
      <c r="D4128" t="e">
        <f>VLOOKUP(Charms!J4128,Values!$A$11:$S$59,19,0)&gt;=Charms!L4128</f>
        <v>#N/A</v>
      </c>
      <c r="E4128" t="e">
        <f>OR(ISBLANK(Charms!I4128),(VLOOKUP(Values!$S$6,Castes!$B$2:$F$25,4,0)=Charms!I4128))</f>
        <v>#N/A</v>
      </c>
      <c r="J4128" t="e">
        <f t="shared" ca="1" si="321"/>
        <v>#N/A</v>
      </c>
      <c r="K4128" s="18" t="e">
        <f t="shared" ca="1" si="320"/>
        <v>#N/A</v>
      </c>
      <c r="L4128" t="e">
        <f ca="1">IF(J4128,Charms!B4128,"")</f>
        <v>#N/A</v>
      </c>
      <c r="M4128" t="str">
        <f t="shared" ca="1" si="322"/>
        <v>-</v>
      </c>
      <c r="N4128" s="18" t="str">
        <f t="shared" si="323"/>
        <v>K1622:L5000</v>
      </c>
      <c r="O4128" t="str">
        <f t="shared" si="324"/>
        <v>A1622:A4128</v>
      </c>
    </row>
    <row r="4129" spans="1:15">
      <c r="A4129" s="18">
        <f>Charms!K4129</f>
        <v>0</v>
      </c>
      <c r="B4129">
        <f>Charms!B4129</f>
        <v>0</v>
      </c>
      <c r="C4129" t="b">
        <f ca="1">OR(Values!$S$98&gt;=Charms!M4129,IFERROR(Charms!J4129=OFFSET(Values!$A$24,MATCH("S",Values!$T$25:$T$50,0),0),FALSE))</f>
        <v>1</v>
      </c>
      <c r="D4129" t="e">
        <f>VLOOKUP(Charms!J4129,Values!$A$11:$S$59,19,0)&gt;=Charms!L4129</f>
        <v>#N/A</v>
      </c>
      <c r="E4129" t="e">
        <f>OR(ISBLANK(Charms!I4129),(VLOOKUP(Values!$S$6,Castes!$B$2:$F$25,4,0)=Charms!I4129))</f>
        <v>#N/A</v>
      </c>
      <c r="J4129" t="e">
        <f t="shared" ca="1" si="321"/>
        <v>#N/A</v>
      </c>
      <c r="K4129" s="18" t="e">
        <f t="shared" ca="1" si="320"/>
        <v>#N/A</v>
      </c>
      <c r="L4129" t="e">
        <f ca="1">IF(J4129,Charms!B4129,"")</f>
        <v>#N/A</v>
      </c>
      <c r="M4129" t="str">
        <f t="shared" ca="1" si="322"/>
        <v>-</v>
      </c>
      <c r="N4129" s="18" t="str">
        <f t="shared" si="323"/>
        <v>K1622:L5000</v>
      </c>
      <c r="O4129" t="str">
        <f t="shared" si="324"/>
        <v>A1622:A4129</v>
      </c>
    </row>
    <row r="4130" spans="1:15">
      <c r="A4130" s="18">
        <f>Charms!K4130</f>
        <v>0</v>
      </c>
      <c r="B4130">
        <f>Charms!B4130</f>
        <v>0</v>
      </c>
      <c r="C4130" t="b">
        <f ca="1">OR(Values!$S$98&gt;=Charms!M4130,IFERROR(Charms!J4130=OFFSET(Values!$A$24,MATCH("S",Values!$T$25:$T$50,0),0),FALSE))</f>
        <v>1</v>
      </c>
      <c r="D4130" t="e">
        <f>VLOOKUP(Charms!J4130,Values!$A$11:$S$59,19,0)&gt;=Charms!L4130</f>
        <v>#N/A</v>
      </c>
      <c r="E4130" t="e">
        <f>OR(ISBLANK(Charms!I4130),(VLOOKUP(Values!$S$6,Castes!$B$2:$F$25,4,0)=Charms!I4130))</f>
        <v>#N/A</v>
      </c>
      <c r="J4130" t="e">
        <f t="shared" ca="1" si="321"/>
        <v>#N/A</v>
      </c>
      <c r="K4130" s="18" t="e">
        <f t="shared" ca="1" si="320"/>
        <v>#N/A</v>
      </c>
      <c r="L4130" t="e">
        <f ca="1">IF(J4130,Charms!B4130,"")</f>
        <v>#N/A</v>
      </c>
      <c r="M4130" t="str">
        <f t="shared" ca="1" si="322"/>
        <v>-</v>
      </c>
      <c r="N4130" s="18" t="str">
        <f t="shared" si="323"/>
        <v>K1622:L5000</v>
      </c>
      <c r="O4130" t="str">
        <f t="shared" si="324"/>
        <v>A1622:A4130</v>
      </c>
    </row>
    <row r="4131" spans="1:15">
      <c r="A4131" s="18">
        <f>Charms!K4131</f>
        <v>0</v>
      </c>
      <c r="B4131">
        <f>Charms!B4131</f>
        <v>0</v>
      </c>
      <c r="C4131" t="b">
        <f ca="1">OR(Values!$S$98&gt;=Charms!M4131,IFERROR(Charms!J4131=OFFSET(Values!$A$24,MATCH("S",Values!$T$25:$T$50,0),0),FALSE))</f>
        <v>1</v>
      </c>
      <c r="D4131" t="e">
        <f>VLOOKUP(Charms!J4131,Values!$A$11:$S$59,19,0)&gt;=Charms!L4131</f>
        <v>#N/A</v>
      </c>
      <c r="E4131" t="e">
        <f>OR(ISBLANK(Charms!I4131),(VLOOKUP(Values!$S$6,Castes!$B$2:$F$25,4,0)=Charms!I4131))</f>
        <v>#N/A</v>
      </c>
      <c r="J4131" t="e">
        <f t="shared" ca="1" si="321"/>
        <v>#N/A</v>
      </c>
      <c r="K4131" s="18" t="e">
        <f t="shared" ca="1" si="320"/>
        <v>#N/A</v>
      </c>
      <c r="L4131" t="e">
        <f ca="1">IF(J4131,Charms!B4131,"")</f>
        <v>#N/A</v>
      </c>
      <c r="M4131" t="str">
        <f t="shared" ca="1" si="322"/>
        <v>-</v>
      </c>
      <c r="N4131" s="18" t="str">
        <f t="shared" si="323"/>
        <v>K1622:L5000</v>
      </c>
      <c r="O4131" t="str">
        <f t="shared" si="324"/>
        <v>A1622:A4131</v>
      </c>
    </row>
    <row r="4132" spans="1:15">
      <c r="A4132" s="18">
        <f>Charms!K4132</f>
        <v>0</v>
      </c>
      <c r="B4132">
        <f>Charms!B4132</f>
        <v>0</v>
      </c>
      <c r="C4132" t="b">
        <f ca="1">OR(Values!$S$98&gt;=Charms!M4132,IFERROR(Charms!J4132=OFFSET(Values!$A$24,MATCH("S",Values!$T$25:$T$50,0),0),FALSE))</f>
        <v>1</v>
      </c>
      <c r="D4132" t="e">
        <f>VLOOKUP(Charms!J4132,Values!$A$11:$S$59,19,0)&gt;=Charms!L4132</f>
        <v>#N/A</v>
      </c>
      <c r="E4132" t="e">
        <f>OR(ISBLANK(Charms!I4132),(VLOOKUP(Values!$S$6,Castes!$B$2:$F$25,4,0)=Charms!I4132))</f>
        <v>#N/A</v>
      </c>
      <c r="J4132" t="e">
        <f t="shared" ca="1" si="321"/>
        <v>#N/A</v>
      </c>
      <c r="K4132" s="18" t="e">
        <f t="shared" ca="1" si="320"/>
        <v>#N/A</v>
      </c>
      <c r="L4132" t="e">
        <f ca="1">IF(J4132,Charms!B4132,"")</f>
        <v>#N/A</v>
      </c>
      <c r="M4132" t="str">
        <f t="shared" ca="1" si="322"/>
        <v>-</v>
      </c>
      <c r="N4132" s="18" t="str">
        <f t="shared" si="323"/>
        <v>K1622:L5000</v>
      </c>
      <c r="O4132" t="str">
        <f t="shared" si="324"/>
        <v>A1622:A4132</v>
      </c>
    </row>
    <row r="4133" spans="1:15">
      <c r="A4133" s="18">
        <f>Charms!K4133</f>
        <v>0</v>
      </c>
      <c r="B4133">
        <f>Charms!B4133</f>
        <v>0</v>
      </c>
      <c r="C4133" t="b">
        <f ca="1">OR(Values!$S$98&gt;=Charms!M4133,IFERROR(Charms!J4133=OFFSET(Values!$A$24,MATCH("S",Values!$T$25:$T$50,0),0),FALSE))</f>
        <v>1</v>
      </c>
      <c r="D4133" t="e">
        <f>VLOOKUP(Charms!J4133,Values!$A$11:$S$59,19,0)&gt;=Charms!L4133</f>
        <v>#N/A</v>
      </c>
      <c r="E4133" t="e">
        <f>OR(ISBLANK(Charms!I4133),(VLOOKUP(Values!$S$6,Castes!$B$2:$F$25,4,0)=Charms!I4133))</f>
        <v>#N/A</v>
      </c>
      <c r="J4133" t="e">
        <f t="shared" ca="1" si="321"/>
        <v>#N/A</v>
      </c>
      <c r="K4133" s="18" t="e">
        <f t="shared" ca="1" si="320"/>
        <v>#N/A</v>
      </c>
      <c r="L4133" t="e">
        <f ca="1">IF(J4133,Charms!B4133,"")</f>
        <v>#N/A</v>
      </c>
      <c r="M4133" t="str">
        <f t="shared" ca="1" si="322"/>
        <v>-</v>
      </c>
      <c r="N4133" s="18" t="str">
        <f t="shared" si="323"/>
        <v>K1622:L5000</v>
      </c>
      <c r="O4133" t="str">
        <f t="shared" si="324"/>
        <v>A1622:A4133</v>
      </c>
    </row>
    <row r="4134" spans="1:15">
      <c r="A4134" s="18">
        <f>Charms!K4134</f>
        <v>0</v>
      </c>
      <c r="B4134">
        <f>Charms!B4134</f>
        <v>0</v>
      </c>
      <c r="C4134" t="b">
        <f ca="1">OR(Values!$S$98&gt;=Charms!M4134,IFERROR(Charms!J4134=OFFSET(Values!$A$24,MATCH("S",Values!$T$25:$T$50,0),0),FALSE))</f>
        <v>1</v>
      </c>
      <c r="D4134" t="e">
        <f>VLOOKUP(Charms!J4134,Values!$A$11:$S$59,19,0)&gt;=Charms!L4134</f>
        <v>#N/A</v>
      </c>
      <c r="E4134" t="e">
        <f>OR(ISBLANK(Charms!I4134),(VLOOKUP(Values!$S$6,Castes!$B$2:$F$25,4,0)=Charms!I4134))</f>
        <v>#N/A</v>
      </c>
      <c r="J4134" t="e">
        <f t="shared" ca="1" si="321"/>
        <v>#N/A</v>
      </c>
      <c r="K4134" s="18" t="e">
        <f t="shared" ca="1" si="320"/>
        <v>#N/A</v>
      </c>
      <c r="L4134" t="e">
        <f ca="1">IF(J4134,Charms!B4134,"")</f>
        <v>#N/A</v>
      </c>
      <c r="M4134" t="str">
        <f t="shared" ca="1" si="322"/>
        <v>-</v>
      </c>
      <c r="N4134" s="18" t="str">
        <f t="shared" si="323"/>
        <v>K1622:L5000</v>
      </c>
      <c r="O4134" t="str">
        <f t="shared" si="324"/>
        <v>A1622:A4134</v>
      </c>
    </row>
    <row r="4135" spans="1:15">
      <c r="A4135" s="18">
        <f>Charms!K4135</f>
        <v>0</v>
      </c>
      <c r="B4135">
        <f>Charms!B4135</f>
        <v>0</v>
      </c>
      <c r="C4135" t="b">
        <f ca="1">OR(Values!$S$98&gt;=Charms!M4135,IFERROR(Charms!J4135=OFFSET(Values!$A$24,MATCH("S",Values!$T$25:$T$50,0),0),FALSE))</f>
        <v>1</v>
      </c>
      <c r="D4135" t="e">
        <f>VLOOKUP(Charms!J4135,Values!$A$11:$S$59,19,0)&gt;=Charms!L4135</f>
        <v>#N/A</v>
      </c>
      <c r="E4135" t="e">
        <f>OR(ISBLANK(Charms!I4135),(VLOOKUP(Values!$S$6,Castes!$B$2:$F$25,4,0)=Charms!I4135))</f>
        <v>#N/A</v>
      </c>
      <c r="J4135" t="e">
        <f t="shared" ca="1" si="321"/>
        <v>#N/A</v>
      </c>
      <c r="K4135" s="18" t="e">
        <f t="shared" ca="1" si="320"/>
        <v>#N/A</v>
      </c>
      <c r="L4135" t="e">
        <f ca="1">IF(J4135,Charms!B4135,"")</f>
        <v>#N/A</v>
      </c>
      <c r="M4135" t="str">
        <f t="shared" ca="1" si="322"/>
        <v>-</v>
      </c>
      <c r="N4135" s="18" t="str">
        <f t="shared" si="323"/>
        <v>K1622:L5000</v>
      </c>
      <c r="O4135" t="str">
        <f t="shared" si="324"/>
        <v>A1622:A4135</v>
      </c>
    </row>
    <row r="4136" spans="1:15">
      <c r="A4136" s="18">
        <f>Charms!K4136</f>
        <v>0</v>
      </c>
      <c r="B4136">
        <f>Charms!B4136</f>
        <v>0</v>
      </c>
      <c r="C4136" t="b">
        <f ca="1">OR(Values!$S$98&gt;=Charms!M4136,IFERROR(Charms!J4136=OFFSET(Values!$A$24,MATCH("S",Values!$T$25:$T$50,0),0),FALSE))</f>
        <v>1</v>
      </c>
      <c r="D4136" t="e">
        <f>VLOOKUP(Charms!J4136,Values!$A$11:$S$59,19,0)&gt;=Charms!L4136</f>
        <v>#N/A</v>
      </c>
      <c r="E4136" t="e">
        <f>OR(ISBLANK(Charms!I4136),(VLOOKUP(Values!$S$6,Castes!$B$2:$F$25,4,0)=Charms!I4136))</f>
        <v>#N/A</v>
      </c>
      <c r="J4136" t="e">
        <f t="shared" ca="1" si="321"/>
        <v>#N/A</v>
      </c>
      <c r="K4136" s="18" t="e">
        <f t="shared" ca="1" si="320"/>
        <v>#N/A</v>
      </c>
      <c r="L4136" t="e">
        <f ca="1">IF(J4136,Charms!B4136,"")</f>
        <v>#N/A</v>
      </c>
      <c r="M4136" t="str">
        <f t="shared" ca="1" si="322"/>
        <v>-</v>
      </c>
      <c r="N4136" s="18" t="str">
        <f t="shared" si="323"/>
        <v>K1622:L5000</v>
      </c>
      <c r="O4136" t="str">
        <f t="shared" si="324"/>
        <v>A1622:A4136</v>
      </c>
    </row>
    <row r="4137" spans="1:15">
      <c r="A4137" s="18">
        <f>Charms!K4137</f>
        <v>0</v>
      </c>
      <c r="B4137">
        <f>Charms!B4137</f>
        <v>0</v>
      </c>
      <c r="C4137" t="b">
        <f ca="1">OR(Values!$S$98&gt;=Charms!M4137,IFERROR(Charms!J4137=OFFSET(Values!$A$24,MATCH("S",Values!$T$25:$T$50,0),0),FALSE))</f>
        <v>1</v>
      </c>
      <c r="D4137" t="e">
        <f>VLOOKUP(Charms!J4137,Values!$A$11:$S$59,19,0)&gt;=Charms!L4137</f>
        <v>#N/A</v>
      </c>
      <c r="E4137" t="e">
        <f>OR(ISBLANK(Charms!I4137),(VLOOKUP(Values!$S$6,Castes!$B$2:$F$25,4,0)=Charms!I4137))</f>
        <v>#N/A</v>
      </c>
      <c r="J4137" t="e">
        <f t="shared" ca="1" si="321"/>
        <v>#N/A</v>
      </c>
      <c r="K4137" s="18" t="e">
        <f t="shared" ca="1" si="320"/>
        <v>#N/A</v>
      </c>
      <c r="L4137" t="e">
        <f ca="1">IF(J4137,Charms!B4137,"")</f>
        <v>#N/A</v>
      </c>
      <c r="M4137" t="str">
        <f t="shared" ca="1" si="322"/>
        <v>-</v>
      </c>
      <c r="N4137" s="18" t="str">
        <f t="shared" si="323"/>
        <v>K1622:L5000</v>
      </c>
      <c r="O4137" t="str">
        <f t="shared" si="324"/>
        <v>A1622:A4137</v>
      </c>
    </row>
    <row r="4138" spans="1:15">
      <c r="A4138" s="18">
        <f>Charms!K4138</f>
        <v>0</v>
      </c>
      <c r="B4138">
        <f>Charms!B4138</f>
        <v>0</v>
      </c>
      <c r="C4138" t="b">
        <f ca="1">OR(Values!$S$98&gt;=Charms!M4138,IFERROR(Charms!J4138=OFFSET(Values!$A$24,MATCH("S",Values!$T$25:$T$50,0),0),FALSE))</f>
        <v>1</v>
      </c>
      <c r="D4138" t="e">
        <f>VLOOKUP(Charms!J4138,Values!$A$11:$S$59,19,0)&gt;=Charms!L4138</f>
        <v>#N/A</v>
      </c>
      <c r="E4138" t="e">
        <f>OR(ISBLANK(Charms!I4138),(VLOOKUP(Values!$S$6,Castes!$B$2:$F$25,4,0)=Charms!I4138))</f>
        <v>#N/A</v>
      </c>
      <c r="J4138" t="e">
        <f t="shared" ca="1" si="321"/>
        <v>#N/A</v>
      </c>
      <c r="K4138" s="18" t="e">
        <f t="shared" ca="1" si="320"/>
        <v>#N/A</v>
      </c>
      <c r="L4138" t="e">
        <f ca="1">IF(J4138,Charms!B4138,"")</f>
        <v>#N/A</v>
      </c>
      <c r="M4138" t="str">
        <f t="shared" ca="1" si="322"/>
        <v>-</v>
      </c>
      <c r="N4138" s="18" t="str">
        <f t="shared" si="323"/>
        <v>K1622:L5000</v>
      </c>
      <c r="O4138" t="str">
        <f t="shared" si="324"/>
        <v>A1622:A4138</v>
      </c>
    </row>
    <row r="4139" spans="1:15">
      <c r="A4139" s="18">
        <f>Charms!K4139</f>
        <v>0</v>
      </c>
      <c r="B4139">
        <f>Charms!B4139</f>
        <v>0</v>
      </c>
      <c r="C4139" t="b">
        <f ca="1">OR(Values!$S$98&gt;=Charms!M4139,IFERROR(Charms!J4139=OFFSET(Values!$A$24,MATCH("S",Values!$T$25:$T$50,0),0),FALSE))</f>
        <v>1</v>
      </c>
      <c r="D4139" t="e">
        <f>VLOOKUP(Charms!J4139,Values!$A$11:$S$59,19,0)&gt;=Charms!L4139</f>
        <v>#N/A</v>
      </c>
      <c r="E4139" t="e">
        <f>OR(ISBLANK(Charms!I4139),(VLOOKUP(Values!$S$6,Castes!$B$2:$F$25,4,0)=Charms!I4139))</f>
        <v>#N/A</v>
      </c>
      <c r="J4139" t="e">
        <f t="shared" ca="1" si="321"/>
        <v>#N/A</v>
      </c>
      <c r="K4139" s="18" t="e">
        <f t="shared" ca="1" si="320"/>
        <v>#N/A</v>
      </c>
      <c r="L4139" t="e">
        <f ca="1">IF(J4139,Charms!B4139,"")</f>
        <v>#N/A</v>
      </c>
      <c r="M4139" t="str">
        <f t="shared" ca="1" si="322"/>
        <v>-</v>
      </c>
      <c r="N4139" s="18" t="str">
        <f t="shared" si="323"/>
        <v>K1622:L5000</v>
      </c>
      <c r="O4139" t="str">
        <f t="shared" si="324"/>
        <v>A1622:A4139</v>
      </c>
    </row>
    <row r="4140" spans="1:15">
      <c r="A4140" s="18">
        <f>Charms!K4140</f>
        <v>0</v>
      </c>
      <c r="B4140">
        <f>Charms!B4140</f>
        <v>0</v>
      </c>
      <c r="C4140" t="b">
        <f ca="1">OR(Values!$S$98&gt;=Charms!M4140,IFERROR(Charms!J4140=OFFSET(Values!$A$24,MATCH("S",Values!$T$25:$T$50,0),0),FALSE))</f>
        <v>1</v>
      </c>
      <c r="D4140" t="e">
        <f>VLOOKUP(Charms!J4140,Values!$A$11:$S$59,19,0)&gt;=Charms!L4140</f>
        <v>#N/A</v>
      </c>
      <c r="E4140" t="e">
        <f>OR(ISBLANK(Charms!I4140),(VLOOKUP(Values!$S$6,Castes!$B$2:$F$25,4,0)=Charms!I4140))</f>
        <v>#N/A</v>
      </c>
      <c r="J4140" t="e">
        <f t="shared" ca="1" si="321"/>
        <v>#N/A</v>
      </c>
      <c r="K4140" s="18" t="e">
        <f t="shared" ca="1" si="320"/>
        <v>#N/A</v>
      </c>
      <c r="L4140" t="e">
        <f ca="1">IF(J4140,Charms!B4140,"")</f>
        <v>#N/A</v>
      </c>
      <c r="M4140" t="str">
        <f t="shared" ca="1" si="322"/>
        <v>-</v>
      </c>
      <c r="N4140" s="18" t="str">
        <f t="shared" si="323"/>
        <v>K1622:L5000</v>
      </c>
      <c r="O4140" t="str">
        <f t="shared" si="324"/>
        <v>A1622:A4140</v>
      </c>
    </row>
    <row r="4141" spans="1:15">
      <c r="A4141" s="18">
        <f>Charms!K4141</f>
        <v>0</v>
      </c>
      <c r="B4141">
        <f>Charms!B4141</f>
        <v>0</v>
      </c>
      <c r="C4141" t="b">
        <f ca="1">OR(Values!$S$98&gt;=Charms!M4141,IFERROR(Charms!J4141=OFFSET(Values!$A$24,MATCH("S",Values!$T$25:$T$50,0),0),FALSE))</f>
        <v>1</v>
      </c>
      <c r="D4141" t="e">
        <f>VLOOKUP(Charms!J4141,Values!$A$11:$S$59,19,0)&gt;=Charms!L4141</f>
        <v>#N/A</v>
      </c>
      <c r="E4141" t="e">
        <f>OR(ISBLANK(Charms!I4141),(VLOOKUP(Values!$S$6,Castes!$B$2:$F$25,4,0)=Charms!I4141))</f>
        <v>#N/A</v>
      </c>
      <c r="J4141" t="e">
        <f t="shared" ca="1" si="321"/>
        <v>#N/A</v>
      </c>
      <c r="K4141" s="18" t="e">
        <f t="shared" ca="1" si="320"/>
        <v>#N/A</v>
      </c>
      <c r="L4141" t="e">
        <f ca="1">IF(J4141,Charms!B4141,"")</f>
        <v>#N/A</v>
      </c>
      <c r="M4141" t="str">
        <f t="shared" ca="1" si="322"/>
        <v>-</v>
      </c>
      <c r="N4141" s="18" t="str">
        <f t="shared" si="323"/>
        <v>K1622:L5000</v>
      </c>
      <c r="O4141" t="str">
        <f t="shared" si="324"/>
        <v>A1622:A4141</v>
      </c>
    </row>
    <row r="4142" spans="1:15">
      <c r="A4142" s="18">
        <f>Charms!K4142</f>
        <v>0</v>
      </c>
      <c r="B4142">
        <f>Charms!B4142</f>
        <v>0</v>
      </c>
      <c r="C4142" t="b">
        <f ca="1">OR(Values!$S$98&gt;=Charms!M4142,IFERROR(Charms!J4142=OFFSET(Values!$A$24,MATCH("S",Values!$T$25:$T$50,0),0),FALSE))</f>
        <v>1</v>
      </c>
      <c r="D4142" t="e">
        <f>VLOOKUP(Charms!J4142,Values!$A$11:$S$59,19,0)&gt;=Charms!L4142</f>
        <v>#N/A</v>
      </c>
      <c r="E4142" t="e">
        <f>OR(ISBLANK(Charms!I4142),(VLOOKUP(Values!$S$6,Castes!$B$2:$F$25,4,0)=Charms!I4142))</f>
        <v>#N/A</v>
      </c>
      <c r="J4142" t="e">
        <f t="shared" ca="1" si="321"/>
        <v>#N/A</v>
      </c>
      <c r="K4142" s="18" t="e">
        <f t="shared" ca="1" si="320"/>
        <v>#N/A</v>
      </c>
      <c r="L4142" t="e">
        <f ca="1">IF(J4142,Charms!B4142,"")</f>
        <v>#N/A</v>
      </c>
      <c r="M4142" t="str">
        <f t="shared" ca="1" si="322"/>
        <v>-</v>
      </c>
      <c r="N4142" s="18" t="str">
        <f t="shared" si="323"/>
        <v>K1622:L5000</v>
      </c>
      <c r="O4142" t="str">
        <f t="shared" si="324"/>
        <v>A1622:A4142</v>
      </c>
    </row>
    <row r="4143" spans="1:15">
      <c r="A4143" s="18">
        <f>Charms!K4143</f>
        <v>0</v>
      </c>
      <c r="B4143">
        <f>Charms!B4143</f>
        <v>0</v>
      </c>
      <c r="C4143" t="b">
        <f ca="1">OR(Values!$S$98&gt;=Charms!M4143,IFERROR(Charms!J4143=OFFSET(Values!$A$24,MATCH("S",Values!$T$25:$T$50,0),0),FALSE))</f>
        <v>1</v>
      </c>
      <c r="D4143" t="e">
        <f>VLOOKUP(Charms!J4143,Values!$A$11:$S$59,19,0)&gt;=Charms!L4143</f>
        <v>#N/A</v>
      </c>
      <c r="E4143" t="e">
        <f>OR(ISBLANK(Charms!I4143),(VLOOKUP(Values!$S$6,Castes!$B$2:$F$25,4,0)=Charms!I4143))</f>
        <v>#N/A</v>
      </c>
      <c r="J4143" t="e">
        <f t="shared" ca="1" si="321"/>
        <v>#N/A</v>
      </c>
      <c r="K4143" s="18" t="e">
        <f t="shared" ca="1" si="320"/>
        <v>#N/A</v>
      </c>
      <c r="L4143" t="e">
        <f ca="1">IF(J4143,Charms!B4143,"")</f>
        <v>#N/A</v>
      </c>
      <c r="M4143" t="str">
        <f t="shared" ca="1" si="322"/>
        <v>-</v>
      </c>
      <c r="N4143" s="18" t="str">
        <f t="shared" si="323"/>
        <v>K1622:L5000</v>
      </c>
      <c r="O4143" t="str">
        <f t="shared" si="324"/>
        <v>A1622:A4143</v>
      </c>
    </row>
    <row r="4144" spans="1:15">
      <c r="A4144" s="18">
        <f>Charms!K4144</f>
        <v>0</v>
      </c>
      <c r="B4144">
        <f>Charms!B4144</f>
        <v>0</v>
      </c>
      <c r="C4144" t="b">
        <f ca="1">OR(Values!$S$98&gt;=Charms!M4144,IFERROR(Charms!J4144=OFFSET(Values!$A$24,MATCH("S",Values!$T$25:$T$50,0),0),FALSE))</f>
        <v>1</v>
      </c>
      <c r="D4144" t="e">
        <f>VLOOKUP(Charms!J4144,Values!$A$11:$S$59,19,0)&gt;=Charms!L4144</f>
        <v>#N/A</v>
      </c>
      <c r="E4144" t="e">
        <f>OR(ISBLANK(Charms!I4144),(VLOOKUP(Values!$S$6,Castes!$B$2:$F$25,4,0)=Charms!I4144))</f>
        <v>#N/A</v>
      </c>
      <c r="J4144" t="e">
        <f t="shared" ca="1" si="321"/>
        <v>#N/A</v>
      </c>
      <c r="K4144" s="18" t="e">
        <f t="shared" ca="1" si="320"/>
        <v>#N/A</v>
      </c>
      <c r="L4144" t="e">
        <f ca="1">IF(J4144,Charms!B4144,"")</f>
        <v>#N/A</v>
      </c>
      <c r="M4144" t="str">
        <f t="shared" ca="1" si="322"/>
        <v>-</v>
      </c>
      <c r="N4144" s="18" t="str">
        <f t="shared" si="323"/>
        <v>K1622:L5000</v>
      </c>
      <c r="O4144" t="str">
        <f t="shared" si="324"/>
        <v>A1622:A4144</v>
      </c>
    </row>
    <row r="4145" spans="1:15">
      <c r="A4145" s="18">
        <f>Charms!K4145</f>
        <v>0</v>
      </c>
      <c r="B4145">
        <f>Charms!B4145</f>
        <v>0</v>
      </c>
      <c r="C4145" t="b">
        <f ca="1">OR(Values!$S$98&gt;=Charms!M4145,IFERROR(Charms!J4145=OFFSET(Values!$A$24,MATCH("S",Values!$T$25:$T$50,0),0),FALSE))</f>
        <v>1</v>
      </c>
      <c r="D4145" t="e">
        <f>VLOOKUP(Charms!J4145,Values!$A$11:$S$59,19,0)&gt;=Charms!L4145</f>
        <v>#N/A</v>
      </c>
      <c r="E4145" t="e">
        <f>OR(ISBLANK(Charms!I4145),(VLOOKUP(Values!$S$6,Castes!$B$2:$F$25,4,0)=Charms!I4145))</f>
        <v>#N/A</v>
      </c>
      <c r="J4145" t="e">
        <f t="shared" ca="1" si="321"/>
        <v>#N/A</v>
      </c>
      <c r="K4145" s="18" t="e">
        <f t="shared" ca="1" si="320"/>
        <v>#N/A</v>
      </c>
      <c r="L4145" t="e">
        <f ca="1">IF(J4145,Charms!B4145,"")</f>
        <v>#N/A</v>
      </c>
      <c r="M4145" t="str">
        <f t="shared" ca="1" si="322"/>
        <v>-</v>
      </c>
      <c r="N4145" s="18" t="str">
        <f t="shared" si="323"/>
        <v>K1622:L5000</v>
      </c>
      <c r="O4145" t="str">
        <f t="shared" si="324"/>
        <v>A1622:A4145</v>
      </c>
    </row>
    <row r="4146" spans="1:15">
      <c r="A4146" s="18">
        <f>Charms!K4146</f>
        <v>0</v>
      </c>
      <c r="B4146">
        <f>Charms!B4146</f>
        <v>0</v>
      </c>
      <c r="C4146" t="b">
        <f ca="1">OR(Values!$S$98&gt;=Charms!M4146,IFERROR(Charms!J4146=OFFSET(Values!$A$24,MATCH("S",Values!$T$25:$T$50,0),0),FALSE))</f>
        <v>1</v>
      </c>
      <c r="D4146" t="e">
        <f>VLOOKUP(Charms!J4146,Values!$A$11:$S$59,19,0)&gt;=Charms!L4146</f>
        <v>#N/A</v>
      </c>
      <c r="E4146" t="e">
        <f>OR(ISBLANK(Charms!I4146),(VLOOKUP(Values!$S$6,Castes!$B$2:$F$25,4,0)=Charms!I4146))</f>
        <v>#N/A</v>
      </c>
      <c r="J4146" t="e">
        <f t="shared" ca="1" si="321"/>
        <v>#N/A</v>
      </c>
      <c r="K4146" s="18" t="e">
        <f t="shared" ca="1" si="320"/>
        <v>#N/A</v>
      </c>
      <c r="L4146" t="e">
        <f ca="1">IF(J4146,Charms!B4146,"")</f>
        <v>#N/A</v>
      </c>
      <c r="M4146" t="str">
        <f t="shared" ca="1" si="322"/>
        <v>-</v>
      </c>
      <c r="N4146" s="18" t="str">
        <f t="shared" si="323"/>
        <v>K1622:L5000</v>
      </c>
      <c r="O4146" t="str">
        <f t="shared" si="324"/>
        <v>A1622:A4146</v>
      </c>
    </row>
    <row r="4147" spans="1:15">
      <c r="A4147" s="18">
        <f>Charms!K4147</f>
        <v>0</v>
      </c>
      <c r="B4147">
        <f>Charms!B4147</f>
        <v>0</v>
      </c>
      <c r="C4147" t="b">
        <f ca="1">OR(Values!$S$98&gt;=Charms!M4147,IFERROR(Charms!J4147=OFFSET(Values!$A$24,MATCH("S",Values!$T$25:$T$50,0),0),FALSE))</f>
        <v>1</v>
      </c>
      <c r="D4147" t="e">
        <f>VLOOKUP(Charms!J4147,Values!$A$11:$S$59,19,0)&gt;=Charms!L4147</f>
        <v>#N/A</v>
      </c>
      <c r="E4147" t="e">
        <f>OR(ISBLANK(Charms!I4147),(VLOOKUP(Values!$S$6,Castes!$B$2:$F$25,4,0)=Charms!I4147))</f>
        <v>#N/A</v>
      </c>
      <c r="J4147" t="e">
        <f t="shared" ca="1" si="321"/>
        <v>#N/A</v>
      </c>
      <c r="K4147" s="18" t="e">
        <f t="shared" ca="1" si="320"/>
        <v>#N/A</v>
      </c>
      <c r="L4147" t="e">
        <f ca="1">IF(J4147,Charms!B4147,"")</f>
        <v>#N/A</v>
      </c>
      <c r="M4147" t="str">
        <f t="shared" ca="1" si="322"/>
        <v>-</v>
      </c>
      <c r="N4147" s="18" t="str">
        <f t="shared" si="323"/>
        <v>K1622:L5000</v>
      </c>
      <c r="O4147" t="str">
        <f t="shared" si="324"/>
        <v>A1622:A4147</v>
      </c>
    </row>
    <row r="4148" spans="1:15">
      <c r="A4148" s="18">
        <f>Charms!K4148</f>
        <v>0</v>
      </c>
      <c r="B4148">
        <f>Charms!B4148</f>
        <v>0</v>
      </c>
      <c r="C4148" t="b">
        <f ca="1">OR(Values!$S$98&gt;=Charms!M4148,IFERROR(Charms!J4148=OFFSET(Values!$A$24,MATCH("S",Values!$T$25:$T$50,0),0),FALSE))</f>
        <v>1</v>
      </c>
      <c r="D4148" t="e">
        <f>VLOOKUP(Charms!J4148,Values!$A$11:$S$59,19,0)&gt;=Charms!L4148</f>
        <v>#N/A</v>
      </c>
      <c r="E4148" t="e">
        <f>OR(ISBLANK(Charms!I4148),(VLOOKUP(Values!$S$6,Castes!$B$2:$F$25,4,0)=Charms!I4148))</f>
        <v>#N/A</v>
      </c>
      <c r="J4148" t="e">
        <f t="shared" ca="1" si="321"/>
        <v>#N/A</v>
      </c>
      <c r="K4148" s="18" t="e">
        <f t="shared" ca="1" si="320"/>
        <v>#N/A</v>
      </c>
      <c r="L4148" t="e">
        <f ca="1">IF(J4148,Charms!B4148,"")</f>
        <v>#N/A</v>
      </c>
      <c r="M4148" t="str">
        <f t="shared" ca="1" si="322"/>
        <v>-</v>
      </c>
      <c r="N4148" s="18" t="str">
        <f t="shared" si="323"/>
        <v>K1622:L5000</v>
      </c>
      <c r="O4148" t="str">
        <f t="shared" si="324"/>
        <v>A1622:A4148</v>
      </c>
    </row>
    <row r="4149" spans="1:15">
      <c r="A4149" s="18">
        <f>Charms!K4149</f>
        <v>0</v>
      </c>
      <c r="B4149">
        <f>Charms!B4149</f>
        <v>0</v>
      </c>
      <c r="C4149" t="b">
        <f ca="1">OR(Values!$S$98&gt;=Charms!M4149,IFERROR(Charms!J4149=OFFSET(Values!$A$24,MATCH("S",Values!$T$25:$T$50,0),0),FALSE))</f>
        <v>1</v>
      </c>
      <c r="D4149" t="e">
        <f>VLOOKUP(Charms!J4149,Values!$A$11:$S$59,19,0)&gt;=Charms!L4149</f>
        <v>#N/A</v>
      </c>
      <c r="E4149" t="e">
        <f>OR(ISBLANK(Charms!I4149),(VLOOKUP(Values!$S$6,Castes!$B$2:$F$25,4,0)=Charms!I4149))</f>
        <v>#N/A</v>
      </c>
      <c r="J4149" t="e">
        <f t="shared" ca="1" si="321"/>
        <v>#N/A</v>
      </c>
      <c r="K4149" s="18" t="e">
        <f t="shared" ca="1" si="320"/>
        <v>#N/A</v>
      </c>
      <c r="L4149" t="e">
        <f ca="1">IF(J4149,Charms!B4149,"")</f>
        <v>#N/A</v>
      </c>
      <c r="M4149" t="str">
        <f t="shared" ca="1" si="322"/>
        <v>-</v>
      </c>
      <c r="N4149" s="18" t="str">
        <f t="shared" si="323"/>
        <v>K1622:L5000</v>
      </c>
      <c r="O4149" t="str">
        <f t="shared" si="324"/>
        <v>A1622:A4149</v>
      </c>
    </row>
    <row r="4150" spans="1:15">
      <c r="A4150" s="18">
        <f>Charms!K4150</f>
        <v>0</v>
      </c>
      <c r="B4150">
        <f>Charms!B4150</f>
        <v>0</v>
      </c>
      <c r="C4150" t="b">
        <f ca="1">OR(Values!$S$98&gt;=Charms!M4150,IFERROR(Charms!J4150=OFFSET(Values!$A$24,MATCH("S",Values!$T$25:$T$50,0),0),FALSE))</f>
        <v>1</v>
      </c>
      <c r="D4150" t="e">
        <f>VLOOKUP(Charms!J4150,Values!$A$11:$S$59,19,0)&gt;=Charms!L4150</f>
        <v>#N/A</v>
      </c>
      <c r="E4150" t="e">
        <f>OR(ISBLANK(Charms!I4150),(VLOOKUP(Values!$S$6,Castes!$B$2:$F$25,4,0)=Charms!I4150))</f>
        <v>#N/A</v>
      </c>
      <c r="J4150" t="e">
        <f t="shared" ca="1" si="321"/>
        <v>#N/A</v>
      </c>
      <c r="K4150" s="18" t="e">
        <f t="shared" ca="1" si="320"/>
        <v>#N/A</v>
      </c>
      <c r="L4150" t="e">
        <f ca="1">IF(J4150,Charms!B4150,"")</f>
        <v>#N/A</v>
      </c>
      <c r="M4150" t="str">
        <f t="shared" ca="1" si="322"/>
        <v>-</v>
      </c>
      <c r="N4150" s="18" t="str">
        <f t="shared" si="323"/>
        <v>K1622:L5000</v>
      </c>
      <c r="O4150" t="str">
        <f t="shared" si="324"/>
        <v>A1622:A4150</v>
      </c>
    </row>
    <row r="4151" spans="1:15">
      <c r="A4151" s="18">
        <f>Charms!K4151</f>
        <v>0</v>
      </c>
      <c r="B4151">
        <f>Charms!B4151</f>
        <v>0</v>
      </c>
      <c r="C4151" t="b">
        <f ca="1">OR(Values!$S$98&gt;=Charms!M4151,IFERROR(Charms!J4151=OFFSET(Values!$A$24,MATCH("S",Values!$T$25:$T$50,0),0),FALSE))</f>
        <v>1</v>
      </c>
      <c r="D4151" t="e">
        <f>VLOOKUP(Charms!J4151,Values!$A$11:$S$59,19,0)&gt;=Charms!L4151</f>
        <v>#N/A</v>
      </c>
      <c r="E4151" t="e">
        <f>OR(ISBLANK(Charms!I4151),(VLOOKUP(Values!$S$6,Castes!$B$2:$F$25,4,0)=Charms!I4151))</f>
        <v>#N/A</v>
      </c>
      <c r="J4151" t="e">
        <f t="shared" ca="1" si="321"/>
        <v>#N/A</v>
      </c>
      <c r="K4151" s="18" t="e">
        <f t="shared" ca="1" si="320"/>
        <v>#N/A</v>
      </c>
      <c r="L4151" t="e">
        <f ca="1">IF(J4151,Charms!B4151,"")</f>
        <v>#N/A</v>
      </c>
      <c r="M4151" t="str">
        <f t="shared" ca="1" si="322"/>
        <v>-</v>
      </c>
      <c r="N4151" s="18" t="str">
        <f t="shared" si="323"/>
        <v>K1622:L5000</v>
      </c>
      <c r="O4151" t="str">
        <f t="shared" si="324"/>
        <v>A1622:A4151</v>
      </c>
    </row>
    <row r="4152" spans="1:15">
      <c r="A4152" s="18">
        <f>Charms!K4152</f>
        <v>0</v>
      </c>
      <c r="B4152">
        <f>Charms!B4152</f>
        <v>0</v>
      </c>
      <c r="C4152" t="b">
        <f ca="1">OR(Values!$S$98&gt;=Charms!M4152,IFERROR(Charms!J4152=OFFSET(Values!$A$24,MATCH("S",Values!$T$25:$T$50,0),0),FALSE))</f>
        <v>1</v>
      </c>
      <c r="D4152" t="e">
        <f>VLOOKUP(Charms!J4152,Values!$A$11:$S$59,19,0)&gt;=Charms!L4152</f>
        <v>#N/A</v>
      </c>
      <c r="E4152" t="e">
        <f>OR(ISBLANK(Charms!I4152),(VLOOKUP(Values!$S$6,Castes!$B$2:$F$25,4,0)=Charms!I4152))</f>
        <v>#N/A</v>
      </c>
      <c r="J4152" t="e">
        <f t="shared" ca="1" si="321"/>
        <v>#N/A</v>
      </c>
      <c r="K4152" s="18" t="e">
        <f t="shared" ca="1" si="320"/>
        <v>#N/A</v>
      </c>
      <c r="L4152" t="e">
        <f ca="1">IF(J4152,Charms!B4152,"")</f>
        <v>#N/A</v>
      </c>
      <c r="M4152" t="str">
        <f t="shared" ca="1" si="322"/>
        <v>-</v>
      </c>
      <c r="N4152" s="18" t="str">
        <f t="shared" si="323"/>
        <v>K1622:L5000</v>
      </c>
      <c r="O4152" t="str">
        <f t="shared" si="324"/>
        <v>A1622:A4152</v>
      </c>
    </row>
    <row r="4153" spans="1:15">
      <c r="A4153" s="18">
        <f>Charms!K4153</f>
        <v>0</v>
      </c>
      <c r="B4153">
        <f>Charms!B4153</f>
        <v>0</v>
      </c>
      <c r="C4153" t="b">
        <f ca="1">OR(Values!$S$98&gt;=Charms!M4153,IFERROR(Charms!J4153=OFFSET(Values!$A$24,MATCH("S",Values!$T$25:$T$50,0),0),FALSE))</f>
        <v>1</v>
      </c>
      <c r="D4153" t="e">
        <f>VLOOKUP(Charms!J4153,Values!$A$11:$S$59,19,0)&gt;=Charms!L4153</f>
        <v>#N/A</v>
      </c>
      <c r="E4153" t="e">
        <f>OR(ISBLANK(Charms!I4153),(VLOOKUP(Values!$S$6,Castes!$B$2:$F$25,4,0)=Charms!I4153))</f>
        <v>#N/A</v>
      </c>
      <c r="J4153" t="e">
        <f t="shared" ca="1" si="321"/>
        <v>#N/A</v>
      </c>
      <c r="K4153" s="18" t="e">
        <f t="shared" ca="1" si="320"/>
        <v>#N/A</v>
      </c>
      <c r="L4153" t="e">
        <f ca="1">IF(J4153,Charms!B4153,"")</f>
        <v>#N/A</v>
      </c>
      <c r="M4153" t="str">
        <f t="shared" ca="1" si="322"/>
        <v>-</v>
      </c>
      <c r="N4153" s="18" t="str">
        <f t="shared" si="323"/>
        <v>K1622:L5000</v>
      </c>
      <c r="O4153" t="str">
        <f t="shared" si="324"/>
        <v>A1622:A4153</v>
      </c>
    </row>
    <row r="4154" spans="1:15">
      <c r="A4154" s="18">
        <f>Charms!K4154</f>
        <v>0</v>
      </c>
      <c r="B4154">
        <f>Charms!B4154</f>
        <v>0</v>
      </c>
      <c r="C4154" t="b">
        <f ca="1">OR(Values!$S$98&gt;=Charms!M4154,IFERROR(Charms!J4154=OFFSET(Values!$A$24,MATCH("S",Values!$T$25:$T$50,0),0),FALSE))</f>
        <v>1</v>
      </c>
      <c r="D4154" t="e">
        <f>VLOOKUP(Charms!J4154,Values!$A$11:$S$59,19,0)&gt;=Charms!L4154</f>
        <v>#N/A</v>
      </c>
      <c r="E4154" t="e">
        <f>OR(ISBLANK(Charms!I4154),(VLOOKUP(Values!$S$6,Castes!$B$2:$F$25,4,0)=Charms!I4154))</f>
        <v>#N/A</v>
      </c>
      <c r="J4154" t="e">
        <f t="shared" ca="1" si="321"/>
        <v>#N/A</v>
      </c>
      <c r="K4154" s="18" t="e">
        <f t="shared" ca="1" si="320"/>
        <v>#N/A</v>
      </c>
      <c r="L4154" t="e">
        <f ca="1">IF(J4154,Charms!B4154,"")</f>
        <v>#N/A</v>
      </c>
      <c r="M4154" t="str">
        <f t="shared" ca="1" si="322"/>
        <v>-</v>
      </c>
      <c r="N4154" s="18" t="str">
        <f t="shared" si="323"/>
        <v>K1622:L5000</v>
      </c>
      <c r="O4154" t="str">
        <f t="shared" si="324"/>
        <v>A1622:A4154</v>
      </c>
    </row>
    <row r="4155" spans="1:15">
      <c r="A4155" s="18">
        <f>Charms!K4155</f>
        <v>0</v>
      </c>
      <c r="B4155">
        <f>Charms!B4155</f>
        <v>0</v>
      </c>
      <c r="C4155" t="b">
        <f ca="1">OR(Values!$S$98&gt;=Charms!M4155,IFERROR(Charms!J4155=OFFSET(Values!$A$24,MATCH("S",Values!$T$25:$T$50,0),0),FALSE))</f>
        <v>1</v>
      </c>
      <c r="D4155" t="e">
        <f>VLOOKUP(Charms!J4155,Values!$A$11:$S$59,19,0)&gt;=Charms!L4155</f>
        <v>#N/A</v>
      </c>
      <c r="E4155" t="e">
        <f>OR(ISBLANK(Charms!I4155),(VLOOKUP(Values!$S$6,Castes!$B$2:$F$25,4,0)=Charms!I4155))</f>
        <v>#N/A</v>
      </c>
      <c r="J4155" t="e">
        <f t="shared" ca="1" si="321"/>
        <v>#N/A</v>
      </c>
      <c r="K4155" s="18" t="e">
        <f t="shared" ca="1" si="320"/>
        <v>#N/A</v>
      </c>
      <c r="L4155" t="e">
        <f ca="1">IF(J4155,Charms!B4155,"")</f>
        <v>#N/A</v>
      </c>
      <c r="M4155" t="str">
        <f t="shared" ca="1" si="322"/>
        <v>-</v>
      </c>
      <c r="N4155" s="18" t="str">
        <f t="shared" si="323"/>
        <v>K1622:L5000</v>
      </c>
      <c r="O4155" t="str">
        <f t="shared" si="324"/>
        <v>A1622:A4155</v>
      </c>
    </row>
    <row r="4156" spans="1:15">
      <c r="A4156" s="18">
        <f>Charms!K4156</f>
        <v>0</v>
      </c>
      <c r="B4156">
        <f>Charms!B4156</f>
        <v>0</v>
      </c>
      <c r="C4156" t="b">
        <f ca="1">OR(Values!$S$98&gt;=Charms!M4156,IFERROR(Charms!J4156=OFFSET(Values!$A$24,MATCH("S",Values!$T$25:$T$50,0),0),FALSE))</f>
        <v>1</v>
      </c>
      <c r="D4156" t="e">
        <f>VLOOKUP(Charms!J4156,Values!$A$11:$S$59,19,0)&gt;=Charms!L4156</f>
        <v>#N/A</v>
      </c>
      <c r="E4156" t="e">
        <f>OR(ISBLANK(Charms!I4156),(VLOOKUP(Values!$S$6,Castes!$B$2:$F$25,4,0)=Charms!I4156))</f>
        <v>#N/A</v>
      </c>
      <c r="J4156" t="e">
        <f t="shared" ca="1" si="321"/>
        <v>#N/A</v>
      </c>
      <c r="K4156" s="18" t="e">
        <f t="shared" ca="1" si="320"/>
        <v>#N/A</v>
      </c>
      <c r="L4156" t="e">
        <f ca="1">IF(J4156,Charms!B4156,"")</f>
        <v>#N/A</v>
      </c>
      <c r="M4156" t="str">
        <f t="shared" ca="1" si="322"/>
        <v>-</v>
      </c>
      <c r="N4156" s="18" t="str">
        <f t="shared" si="323"/>
        <v>K1622:L5000</v>
      </c>
      <c r="O4156" t="str">
        <f t="shared" si="324"/>
        <v>A1622:A4156</v>
      </c>
    </row>
    <row r="4157" spans="1:15">
      <c r="A4157" s="18">
        <f>Charms!K4157</f>
        <v>0</v>
      </c>
      <c r="B4157">
        <f>Charms!B4157</f>
        <v>0</v>
      </c>
      <c r="C4157" t="b">
        <f ca="1">OR(Values!$S$98&gt;=Charms!M4157,IFERROR(Charms!J4157=OFFSET(Values!$A$24,MATCH("S",Values!$T$25:$T$50,0),0),FALSE))</f>
        <v>1</v>
      </c>
      <c r="D4157" t="e">
        <f>VLOOKUP(Charms!J4157,Values!$A$11:$S$59,19,0)&gt;=Charms!L4157</f>
        <v>#N/A</v>
      </c>
      <c r="E4157" t="e">
        <f>OR(ISBLANK(Charms!I4157),(VLOOKUP(Values!$S$6,Castes!$B$2:$F$25,4,0)=Charms!I4157))</f>
        <v>#N/A</v>
      </c>
      <c r="J4157" t="e">
        <f t="shared" ca="1" si="321"/>
        <v>#N/A</v>
      </c>
      <c r="K4157" s="18" t="e">
        <f t="shared" ca="1" si="320"/>
        <v>#N/A</v>
      </c>
      <c r="L4157" t="e">
        <f ca="1">IF(J4157,Charms!B4157,"")</f>
        <v>#N/A</v>
      </c>
      <c r="M4157" t="str">
        <f t="shared" ca="1" si="322"/>
        <v>-</v>
      </c>
      <c r="N4157" s="18" t="str">
        <f t="shared" si="323"/>
        <v>K1622:L5000</v>
      </c>
      <c r="O4157" t="str">
        <f t="shared" si="324"/>
        <v>A1622:A4157</v>
      </c>
    </row>
    <row r="4158" spans="1:15">
      <c r="A4158" s="18">
        <f>Charms!K4158</f>
        <v>0</v>
      </c>
      <c r="B4158">
        <f>Charms!B4158</f>
        <v>0</v>
      </c>
      <c r="C4158" t="b">
        <f ca="1">OR(Values!$S$98&gt;=Charms!M4158,IFERROR(Charms!J4158=OFFSET(Values!$A$24,MATCH("S",Values!$T$25:$T$50,0),0),FALSE))</f>
        <v>1</v>
      </c>
      <c r="D4158" t="e">
        <f>VLOOKUP(Charms!J4158,Values!$A$11:$S$59,19,0)&gt;=Charms!L4158</f>
        <v>#N/A</v>
      </c>
      <c r="E4158" t="e">
        <f>OR(ISBLANK(Charms!I4158),(VLOOKUP(Values!$S$6,Castes!$B$2:$F$25,4,0)=Charms!I4158))</f>
        <v>#N/A</v>
      </c>
      <c r="J4158" t="e">
        <f t="shared" ca="1" si="321"/>
        <v>#N/A</v>
      </c>
      <c r="K4158" s="18" t="e">
        <f t="shared" ca="1" si="320"/>
        <v>#N/A</v>
      </c>
      <c r="L4158" t="e">
        <f ca="1">IF(J4158,Charms!B4158,"")</f>
        <v>#N/A</v>
      </c>
      <c r="M4158" t="str">
        <f t="shared" ca="1" si="322"/>
        <v>-</v>
      </c>
      <c r="N4158" s="18" t="str">
        <f t="shared" si="323"/>
        <v>K1622:L5000</v>
      </c>
      <c r="O4158" t="str">
        <f t="shared" si="324"/>
        <v>A1622:A4158</v>
      </c>
    </row>
    <row r="4159" spans="1:15">
      <c r="A4159" s="18">
        <f>Charms!K4159</f>
        <v>0</v>
      </c>
      <c r="B4159">
        <f>Charms!B4159</f>
        <v>0</v>
      </c>
      <c r="C4159" t="b">
        <f ca="1">OR(Values!$S$98&gt;=Charms!M4159,IFERROR(Charms!J4159=OFFSET(Values!$A$24,MATCH("S",Values!$T$25:$T$50,0),0),FALSE))</f>
        <v>1</v>
      </c>
      <c r="D4159" t="e">
        <f>VLOOKUP(Charms!J4159,Values!$A$11:$S$59,19,0)&gt;=Charms!L4159</f>
        <v>#N/A</v>
      </c>
      <c r="E4159" t="e">
        <f>OR(ISBLANK(Charms!I4159),(VLOOKUP(Values!$S$6,Castes!$B$2:$F$25,4,0)=Charms!I4159))</f>
        <v>#N/A</v>
      </c>
      <c r="J4159" t="e">
        <f t="shared" ca="1" si="321"/>
        <v>#N/A</v>
      </c>
      <c r="K4159" s="18" t="e">
        <f t="shared" ca="1" si="320"/>
        <v>#N/A</v>
      </c>
      <c r="L4159" t="e">
        <f ca="1">IF(J4159,Charms!B4159,"")</f>
        <v>#N/A</v>
      </c>
      <c r="M4159" t="str">
        <f t="shared" ca="1" si="322"/>
        <v>-</v>
      </c>
      <c r="N4159" s="18" t="str">
        <f t="shared" si="323"/>
        <v>K1622:L5000</v>
      </c>
      <c r="O4159" t="str">
        <f t="shared" si="324"/>
        <v>A1622:A4159</v>
      </c>
    </row>
    <row r="4160" spans="1:15">
      <c r="A4160" s="18">
        <f>Charms!K4160</f>
        <v>0</v>
      </c>
      <c r="B4160">
        <f>Charms!B4160</f>
        <v>0</v>
      </c>
      <c r="C4160" t="b">
        <f ca="1">OR(Values!$S$98&gt;=Charms!M4160,IFERROR(Charms!J4160=OFFSET(Values!$A$24,MATCH("S",Values!$T$25:$T$50,0),0),FALSE))</f>
        <v>1</v>
      </c>
      <c r="D4160" t="e">
        <f>VLOOKUP(Charms!J4160,Values!$A$11:$S$59,19,0)&gt;=Charms!L4160</f>
        <v>#N/A</v>
      </c>
      <c r="E4160" t="e">
        <f>OR(ISBLANK(Charms!I4160),(VLOOKUP(Values!$S$6,Castes!$B$2:$F$25,4,0)=Charms!I4160))</f>
        <v>#N/A</v>
      </c>
      <c r="J4160" t="e">
        <f t="shared" ca="1" si="321"/>
        <v>#N/A</v>
      </c>
      <c r="K4160" s="18" t="e">
        <f t="shared" ca="1" si="320"/>
        <v>#N/A</v>
      </c>
      <c r="L4160" t="e">
        <f ca="1">IF(J4160,Charms!B4160,"")</f>
        <v>#N/A</v>
      </c>
      <c r="M4160" t="str">
        <f t="shared" ca="1" si="322"/>
        <v>-</v>
      </c>
      <c r="N4160" s="18" t="str">
        <f t="shared" si="323"/>
        <v>K1622:L5000</v>
      </c>
      <c r="O4160" t="str">
        <f t="shared" si="324"/>
        <v>A1622:A4160</v>
      </c>
    </row>
    <row r="4161" spans="1:15">
      <c r="A4161" s="18">
        <f>Charms!K4161</f>
        <v>0</v>
      </c>
      <c r="B4161">
        <f>Charms!B4161</f>
        <v>0</v>
      </c>
      <c r="C4161" t="b">
        <f ca="1">OR(Values!$S$98&gt;=Charms!M4161,IFERROR(Charms!J4161=OFFSET(Values!$A$24,MATCH("S",Values!$T$25:$T$50,0),0),FALSE))</f>
        <v>1</v>
      </c>
      <c r="D4161" t="e">
        <f>VLOOKUP(Charms!J4161,Values!$A$11:$S$59,19,0)&gt;=Charms!L4161</f>
        <v>#N/A</v>
      </c>
      <c r="E4161" t="e">
        <f>OR(ISBLANK(Charms!I4161),(VLOOKUP(Values!$S$6,Castes!$B$2:$F$25,4,0)=Charms!I4161))</f>
        <v>#N/A</v>
      </c>
      <c r="J4161" t="e">
        <f t="shared" ca="1" si="321"/>
        <v>#N/A</v>
      </c>
      <c r="K4161" s="18" t="e">
        <f t="shared" ca="1" si="320"/>
        <v>#N/A</v>
      </c>
      <c r="L4161" t="e">
        <f ca="1">IF(J4161,Charms!B4161,"")</f>
        <v>#N/A</v>
      </c>
      <c r="M4161" t="str">
        <f t="shared" ca="1" si="322"/>
        <v>-</v>
      </c>
      <c r="N4161" s="18" t="str">
        <f t="shared" si="323"/>
        <v>K1622:L5000</v>
      </c>
      <c r="O4161" t="str">
        <f t="shared" si="324"/>
        <v>A1622:A4161</v>
      </c>
    </row>
    <row r="4162" spans="1:15">
      <c r="A4162" s="18">
        <f>Charms!K4162</f>
        <v>0</v>
      </c>
      <c r="B4162">
        <f>Charms!B4162</f>
        <v>0</v>
      </c>
      <c r="C4162" t="b">
        <f ca="1">OR(Values!$S$98&gt;=Charms!M4162,IFERROR(Charms!J4162=OFFSET(Values!$A$24,MATCH("S",Values!$T$25:$T$50,0),0),FALSE))</f>
        <v>1</v>
      </c>
      <c r="D4162" t="e">
        <f>VLOOKUP(Charms!J4162,Values!$A$11:$S$59,19,0)&gt;=Charms!L4162</f>
        <v>#N/A</v>
      </c>
      <c r="E4162" t="e">
        <f>OR(ISBLANK(Charms!I4162),(VLOOKUP(Values!$S$6,Castes!$B$2:$F$25,4,0)=Charms!I4162))</f>
        <v>#N/A</v>
      </c>
      <c r="J4162" t="e">
        <f t="shared" ca="1" si="321"/>
        <v>#N/A</v>
      </c>
      <c r="K4162" s="18" t="e">
        <f t="shared" ref="K4162:K4225" ca="1" si="325">IF(L4162="","",COUNTIF(INDIRECT("J"&amp;MATCH(A4162,A:A,0)&amp;":J"&amp;ROW()),J4162))</f>
        <v>#N/A</v>
      </c>
      <c r="L4162" t="e">
        <f ca="1">IF(J4162,Charms!B4162,"")</f>
        <v>#N/A</v>
      </c>
      <c r="M4162" t="str">
        <f t="shared" ca="1" si="322"/>
        <v>-</v>
      </c>
      <c r="N4162" s="18" t="str">
        <f t="shared" si="323"/>
        <v>K1622:L5000</v>
      </c>
      <c r="O4162" t="str">
        <f t="shared" si="324"/>
        <v>A1622:A4162</v>
      </c>
    </row>
    <row r="4163" spans="1:15">
      <c r="A4163" s="18">
        <f>Charms!K4163</f>
        <v>0</v>
      </c>
      <c r="B4163">
        <f>Charms!B4163</f>
        <v>0</v>
      </c>
      <c r="C4163" t="b">
        <f ca="1">OR(Values!$S$98&gt;=Charms!M4163,IFERROR(Charms!J4163=OFFSET(Values!$A$24,MATCH("S",Values!$T$25:$T$50,0),0),FALSE))</f>
        <v>1</v>
      </c>
      <c r="D4163" t="e">
        <f>VLOOKUP(Charms!J4163,Values!$A$11:$S$59,19,0)&gt;=Charms!L4163</f>
        <v>#N/A</v>
      </c>
      <c r="E4163" t="e">
        <f>OR(ISBLANK(Charms!I4163),(VLOOKUP(Values!$S$6,Castes!$B$2:$F$25,4,0)=Charms!I4163))</f>
        <v>#N/A</v>
      </c>
      <c r="J4163" t="e">
        <f t="shared" ref="J4163:J4226" ca="1" si="326">(C4163+D4163+E4163+F4163+G4163+H4163+I4163)=3</f>
        <v>#N/A</v>
      </c>
      <c r="K4163" s="18" t="e">
        <f t="shared" ca="1" si="325"/>
        <v>#N/A</v>
      </c>
      <c r="L4163" t="e">
        <f ca="1">IF(J4163,Charms!B4163,"")</f>
        <v>#N/A</v>
      </c>
      <c r="M4163" t="str">
        <f t="shared" ref="M4163:M4226" ca="1" si="327">IFERROR(VLOOKUP(COUNTIF(INDIRECT(O4163),A4163),INDIRECT(N4163),2,0),"-")</f>
        <v>-</v>
      </c>
      <c r="N4163" s="18" t="str">
        <f t="shared" ref="N4163:N4226" si="328">"K"&amp;MATCH(A4163,A:A,0)&amp;":L"&amp;(MATCH(A4163,A:A,0)+COUNTIF(A:A,A4163)-1)</f>
        <v>K1622:L5000</v>
      </c>
      <c r="O4163" t="str">
        <f t="shared" ref="O4163:O4226" si="329">"A"&amp;MATCH(A4163,A:A,0)&amp;":A"&amp;ROW()</f>
        <v>A1622:A4163</v>
      </c>
    </row>
    <row r="4164" spans="1:15">
      <c r="A4164" s="18">
        <f>Charms!K4164</f>
        <v>0</v>
      </c>
      <c r="B4164">
        <f>Charms!B4164</f>
        <v>0</v>
      </c>
      <c r="C4164" t="b">
        <f ca="1">OR(Values!$S$98&gt;=Charms!M4164,IFERROR(Charms!J4164=OFFSET(Values!$A$24,MATCH("S",Values!$T$25:$T$50,0),0),FALSE))</f>
        <v>1</v>
      </c>
      <c r="D4164" t="e">
        <f>VLOOKUP(Charms!J4164,Values!$A$11:$S$59,19,0)&gt;=Charms!L4164</f>
        <v>#N/A</v>
      </c>
      <c r="E4164" t="e">
        <f>OR(ISBLANK(Charms!I4164),(VLOOKUP(Values!$S$6,Castes!$B$2:$F$25,4,0)=Charms!I4164))</f>
        <v>#N/A</v>
      </c>
      <c r="J4164" t="e">
        <f t="shared" ca="1" si="326"/>
        <v>#N/A</v>
      </c>
      <c r="K4164" s="18" t="e">
        <f t="shared" ca="1" si="325"/>
        <v>#N/A</v>
      </c>
      <c r="L4164" t="e">
        <f ca="1">IF(J4164,Charms!B4164,"")</f>
        <v>#N/A</v>
      </c>
      <c r="M4164" t="str">
        <f t="shared" ca="1" si="327"/>
        <v>-</v>
      </c>
      <c r="N4164" s="18" t="str">
        <f t="shared" si="328"/>
        <v>K1622:L5000</v>
      </c>
      <c r="O4164" t="str">
        <f t="shared" si="329"/>
        <v>A1622:A4164</v>
      </c>
    </row>
    <row r="4165" spans="1:15">
      <c r="A4165" s="18">
        <f>Charms!K4165</f>
        <v>0</v>
      </c>
      <c r="B4165">
        <f>Charms!B4165</f>
        <v>0</v>
      </c>
      <c r="C4165" t="b">
        <f ca="1">OR(Values!$S$98&gt;=Charms!M4165,IFERROR(Charms!J4165=OFFSET(Values!$A$24,MATCH("S",Values!$T$25:$T$50,0),0),FALSE))</f>
        <v>1</v>
      </c>
      <c r="D4165" t="e">
        <f>VLOOKUP(Charms!J4165,Values!$A$11:$S$59,19,0)&gt;=Charms!L4165</f>
        <v>#N/A</v>
      </c>
      <c r="E4165" t="e">
        <f>OR(ISBLANK(Charms!I4165),(VLOOKUP(Values!$S$6,Castes!$B$2:$F$25,4,0)=Charms!I4165))</f>
        <v>#N/A</v>
      </c>
      <c r="J4165" t="e">
        <f t="shared" ca="1" si="326"/>
        <v>#N/A</v>
      </c>
      <c r="K4165" s="18" t="e">
        <f t="shared" ca="1" si="325"/>
        <v>#N/A</v>
      </c>
      <c r="L4165" t="e">
        <f ca="1">IF(J4165,Charms!B4165,"")</f>
        <v>#N/A</v>
      </c>
      <c r="M4165" t="str">
        <f t="shared" ca="1" si="327"/>
        <v>-</v>
      </c>
      <c r="N4165" s="18" t="str">
        <f t="shared" si="328"/>
        <v>K1622:L5000</v>
      </c>
      <c r="O4165" t="str">
        <f t="shared" si="329"/>
        <v>A1622:A4165</v>
      </c>
    </row>
    <row r="4166" spans="1:15">
      <c r="A4166" s="18">
        <f>Charms!K4166</f>
        <v>0</v>
      </c>
      <c r="B4166">
        <f>Charms!B4166</f>
        <v>0</v>
      </c>
      <c r="C4166" t="b">
        <f ca="1">OR(Values!$S$98&gt;=Charms!M4166,IFERROR(Charms!J4166=OFFSET(Values!$A$24,MATCH("S",Values!$T$25:$T$50,0),0),FALSE))</f>
        <v>1</v>
      </c>
      <c r="D4166" t="e">
        <f>VLOOKUP(Charms!J4166,Values!$A$11:$S$59,19,0)&gt;=Charms!L4166</f>
        <v>#N/A</v>
      </c>
      <c r="E4166" t="e">
        <f>OR(ISBLANK(Charms!I4166),(VLOOKUP(Values!$S$6,Castes!$B$2:$F$25,4,0)=Charms!I4166))</f>
        <v>#N/A</v>
      </c>
      <c r="J4166" t="e">
        <f t="shared" ca="1" si="326"/>
        <v>#N/A</v>
      </c>
      <c r="K4166" s="18" t="e">
        <f t="shared" ca="1" si="325"/>
        <v>#N/A</v>
      </c>
      <c r="L4166" t="e">
        <f ca="1">IF(J4166,Charms!B4166,"")</f>
        <v>#N/A</v>
      </c>
      <c r="M4166" t="str">
        <f t="shared" ca="1" si="327"/>
        <v>-</v>
      </c>
      <c r="N4166" s="18" t="str">
        <f t="shared" si="328"/>
        <v>K1622:L5000</v>
      </c>
      <c r="O4166" t="str">
        <f t="shared" si="329"/>
        <v>A1622:A4166</v>
      </c>
    </row>
    <row r="4167" spans="1:15">
      <c r="A4167" s="18">
        <f>Charms!K4167</f>
        <v>0</v>
      </c>
      <c r="B4167">
        <f>Charms!B4167</f>
        <v>0</v>
      </c>
      <c r="C4167" t="b">
        <f ca="1">OR(Values!$S$98&gt;=Charms!M4167,IFERROR(Charms!J4167=OFFSET(Values!$A$24,MATCH("S",Values!$T$25:$T$50,0),0),FALSE))</f>
        <v>1</v>
      </c>
      <c r="D4167" t="e">
        <f>VLOOKUP(Charms!J4167,Values!$A$11:$S$59,19,0)&gt;=Charms!L4167</f>
        <v>#N/A</v>
      </c>
      <c r="E4167" t="e">
        <f>OR(ISBLANK(Charms!I4167),(VLOOKUP(Values!$S$6,Castes!$B$2:$F$25,4,0)=Charms!I4167))</f>
        <v>#N/A</v>
      </c>
      <c r="J4167" t="e">
        <f t="shared" ca="1" si="326"/>
        <v>#N/A</v>
      </c>
      <c r="K4167" s="18" t="e">
        <f t="shared" ca="1" si="325"/>
        <v>#N/A</v>
      </c>
      <c r="L4167" t="e">
        <f ca="1">IF(J4167,Charms!B4167,"")</f>
        <v>#N/A</v>
      </c>
      <c r="M4167" t="str">
        <f t="shared" ca="1" si="327"/>
        <v>-</v>
      </c>
      <c r="N4167" s="18" t="str">
        <f t="shared" si="328"/>
        <v>K1622:L5000</v>
      </c>
      <c r="O4167" t="str">
        <f t="shared" si="329"/>
        <v>A1622:A4167</v>
      </c>
    </row>
    <row r="4168" spans="1:15">
      <c r="A4168" s="18">
        <f>Charms!K4168</f>
        <v>0</v>
      </c>
      <c r="B4168">
        <f>Charms!B4168</f>
        <v>0</v>
      </c>
      <c r="C4168" t="b">
        <f ca="1">OR(Values!$S$98&gt;=Charms!M4168,IFERROR(Charms!J4168=OFFSET(Values!$A$24,MATCH("S",Values!$T$25:$T$50,0),0),FALSE))</f>
        <v>1</v>
      </c>
      <c r="D4168" t="e">
        <f>VLOOKUP(Charms!J4168,Values!$A$11:$S$59,19,0)&gt;=Charms!L4168</f>
        <v>#N/A</v>
      </c>
      <c r="E4168" t="e">
        <f>OR(ISBLANK(Charms!I4168),(VLOOKUP(Values!$S$6,Castes!$B$2:$F$25,4,0)=Charms!I4168))</f>
        <v>#N/A</v>
      </c>
      <c r="J4168" t="e">
        <f t="shared" ca="1" si="326"/>
        <v>#N/A</v>
      </c>
      <c r="K4168" s="18" t="e">
        <f t="shared" ca="1" si="325"/>
        <v>#N/A</v>
      </c>
      <c r="L4168" t="e">
        <f ca="1">IF(J4168,Charms!B4168,"")</f>
        <v>#N/A</v>
      </c>
      <c r="M4168" t="str">
        <f t="shared" ca="1" si="327"/>
        <v>-</v>
      </c>
      <c r="N4168" s="18" t="str">
        <f t="shared" si="328"/>
        <v>K1622:L5000</v>
      </c>
      <c r="O4168" t="str">
        <f t="shared" si="329"/>
        <v>A1622:A4168</v>
      </c>
    </row>
    <row r="4169" spans="1:15">
      <c r="A4169" s="18">
        <f>Charms!K4169</f>
        <v>0</v>
      </c>
      <c r="B4169">
        <f>Charms!B4169</f>
        <v>0</v>
      </c>
      <c r="C4169" t="b">
        <f ca="1">OR(Values!$S$98&gt;=Charms!M4169,IFERROR(Charms!J4169=OFFSET(Values!$A$24,MATCH("S",Values!$T$25:$T$50,0),0),FALSE))</f>
        <v>1</v>
      </c>
      <c r="D4169" t="e">
        <f>VLOOKUP(Charms!J4169,Values!$A$11:$S$59,19,0)&gt;=Charms!L4169</f>
        <v>#N/A</v>
      </c>
      <c r="E4169" t="e">
        <f>OR(ISBLANK(Charms!I4169),(VLOOKUP(Values!$S$6,Castes!$B$2:$F$25,4,0)=Charms!I4169))</f>
        <v>#N/A</v>
      </c>
      <c r="J4169" t="e">
        <f t="shared" ca="1" si="326"/>
        <v>#N/A</v>
      </c>
      <c r="K4169" s="18" t="e">
        <f t="shared" ca="1" si="325"/>
        <v>#N/A</v>
      </c>
      <c r="L4169" t="e">
        <f ca="1">IF(J4169,Charms!B4169,"")</f>
        <v>#N/A</v>
      </c>
      <c r="M4169" t="str">
        <f t="shared" ca="1" si="327"/>
        <v>-</v>
      </c>
      <c r="N4169" s="18" t="str">
        <f t="shared" si="328"/>
        <v>K1622:L5000</v>
      </c>
      <c r="O4169" t="str">
        <f t="shared" si="329"/>
        <v>A1622:A4169</v>
      </c>
    </row>
    <row r="4170" spans="1:15">
      <c r="A4170" s="18">
        <f>Charms!K4170</f>
        <v>0</v>
      </c>
      <c r="B4170">
        <f>Charms!B4170</f>
        <v>0</v>
      </c>
      <c r="C4170" t="b">
        <f ca="1">OR(Values!$S$98&gt;=Charms!M4170,IFERROR(Charms!J4170=OFFSET(Values!$A$24,MATCH("S",Values!$T$25:$T$50,0),0),FALSE))</f>
        <v>1</v>
      </c>
      <c r="D4170" t="e">
        <f>VLOOKUP(Charms!J4170,Values!$A$11:$S$59,19,0)&gt;=Charms!L4170</f>
        <v>#N/A</v>
      </c>
      <c r="E4170" t="e">
        <f>OR(ISBLANK(Charms!I4170),(VLOOKUP(Values!$S$6,Castes!$B$2:$F$25,4,0)=Charms!I4170))</f>
        <v>#N/A</v>
      </c>
      <c r="J4170" t="e">
        <f t="shared" ca="1" si="326"/>
        <v>#N/A</v>
      </c>
      <c r="K4170" s="18" t="e">
        <f t="shared" ca="1" si="325"/>
        <v>#N/A</v>
      </c>
      <c r="L4170" t="e">
        <f ca="1">IF(J4170,Charms!B4170,"")</f>
        <v>#N/A</v>
      </c>
      <c r="M4170" t="str">
        <f t="shared" ca="1" si="327"/>
        <v>-</v>
      </c>
      <c r="N4170" s="18" t="str">
        <f t="shared" si="328"/>
        <v>K1622:L5000</v>
      </c>
      <c r="O4170" t="str">
        <f t="shared" si="329"/>
        <v>A1622:A4170</v>
      </c>
    </row>
    <row r="4171" spans="1:15">
      <c r="A4171" s="18">
        <f>Charms!K4171</f>
        <v>0</v>
      </c>
      <c r="B4171">
        <f>Charms!B4171</f>
        <v>0</v>
      </c>
      <c r="C4171" t="b">
        <f ca="1">OR(Values!$S$98&gt;=Charms!M4171,IFERROR(Charms!J4171=OFFSET(Values!$A$24,MATCH("S",Values!$T$25:$T$50,0),0),FALSE))</f>
        <v>1</v>
      </c>
      <c r="D4171" t="e">
        <f>VLOOKUP(Charms!J4171,Values!$A$11:$S$59,19,0)&gt;=Charms!L4171</f>
        <v>#N/A</v>
      </c>
      <c r="E4171" t="e">
        <f>OR(ISBLANK(Charms!I4171),(VLOOKUP(Values!$S$6,Castes!$B$2:$F$25,4,0)=Charms!I4171))</f>
        <v>#N/A</v>
      </c>
      <c r="J4171" t="e">
        <f t="shared" ca="1" si="326"/>
        <v>#N/A</v>
      </c>
      <c r="K4171" s="18" t="e">
        <f t="shared" ca="1" si="325"/>
        <v>#N/A</v>
      </c>
      <c r="L4171" t="e">
        <f ca="1">IF(J4171,Charms!B4171,"")</f>
        <v>#N/A</v>
      </c>
      <c r="M4171" t="str">
        <f t="shared" ca="1" si="327"/>
        <v>-</v>
      </c>
      <c r="N4171" s="18" t="str">
        <f t="shared" si="328"/>
        <v>K1622:L5000</v>
      </c>
      <c r="O4171" t="str">
        <f t="shared" si="329"/>
        <v>A1622:A4171</v>
      </c>
    </row>
    <row r="4172" spans="1:15">
      <c r="A4172" s="18">
        <f>Charms!K4172</f>
        <v>0</v>
      </c>
      <c r="B4172">
        <f>Charms!B4172</f>
        <v>0</v>
      </c>
      <c r="C4172" t="b">
        <f ca="1">OR(Values!$S$98&gt;=Charms!M4172,IFERROR(Charms!J4172=OFFSET(Values!$A$24,MATCH("S",Values!$T$25:$T$50,0),0),FALSE))</f>
        <v>1</v>
      </c>
      <c r="D4172" t="e">
        <f>VLOOKUP(Charms!J4172,Values!$A$11:$S$59,19,0)&gt;=Charms!L4172</f>
        <v>#N/A</v>
      </c>
      <c r="E4172" t="e">
        <f>OR(ISBLANK(Charms!I4172),(VLOOKUP(Values!$S$6,Castes!$B$2:$F$25,4,0)=Charms!I4172))</f>
        <v>#N/A</v>
      </c>
      <c r="J4172" t="e">
        <f t="shared" ca="1" si="326"/>
        <v>#N/A</v>
      </c>
      <c r="K4172" s="18" t="e">
        <f t="shared" ca="1" si="325"/>
        <v>#N/A</v>
      </c>
      <c r="L4172" t="e">
        <f ca="1">IF(J4172,Charms!B4172,"")</f>
        <v>#N/A</v>
      </c>
      <c r="M4172" t="str">
        <f t="shared" ca="1" si="327"/>
        <v>-</v>
      </c>
      <c r="N4172" s="18" t="str">
        <f t="shared" si="328"/>
        <v>K1622:L5000</v>
      </c>
      <c r="O4172" t="str">
        <f t="shared" si="329"/>
        <v>A1622:A4172</v>
      </c>
    </row>
    <row r="4173" spans="1:15">
      <c r="A4173" s="18">
        <f>Charms!K4173</f>
        <v>0</v>
      </c>
      <c r="B4173">
        <f>Charms!B4173</f>
        <v>0</v>
      </c>
      <c r="C4173" t="b">
        <f ca="1">OR(Values!$S$98&gt;=Charms!M4173,IFERROR(Charms!J4173=OFFSET(Values!$A$24,MATCH("S",Values!$T$25:$T$50,0),0),FALSE))</f>
        <v>1</v>
      </c>
      <c r="D4173" t="e">
        <f>VLOOKUP(Charms!J4173,Values!$A$11:$S$59,19,0)&gt;=Charms!L4173</f>
        <v>#N/A</v>
      </c>
      <c r="E4173" t="e">
        <f>OR(ISBLANK(Charms!I4173),(VLOOKUP(Values!$S$6,Castes!$B$2:$F$25,4,0)=Charms!I4173))</f>
        <v>#N/A</v>
      </c>
      <c r="J4173" t="e">
        <f t="shared" ca="1" si="326"/>
        <v>#N/A</v>
      </c>
      <c r="K4173" s="18" t="e">
        <f t="shared" ca="1" si="325"/>
        <v>#N/A</v>
      </c>
      <c r="L4173" t="e">
        <f ca="1">IF(J4173,Charms!B4173,"")</f>
        <v>#N/A</v>
      </c>
      <c r="M4173" t="str">
        <f t="shared" ca="1" si="327"/>
        <v>-</v>
      </c>
      <c r="N4173" s="18" t="str">
        <f t="shared" si="328"/>
        <v>K1622:L5000</v>
      </c>
      <c r="O4173" t="str">
        <f t="shared" si="329"/>
        <v>A1622:A4173</v>
      </c>
    </row>
    <row r="4174" spans="1:15">
      <c r="A4174" s="18">
        <f>Charms!K4174</f>
        <v>0</v>
      </c>
      <c r="B4174">
        <f>Charms!B4174</f>
        <v>0</v>
      </c>
      <c r="C4174" t="b">
        <f ca="1">OR(Values!$S$98&gt;=Charms!M4174,IFERROR(Charms!J4174=OFFSET(Values!$A$24,MATCH("S",Values!$T$25:$T$50,0),0),FALSE))</f>
        <v>1</v>
      </c>
      <c r="D4174" t="e">
        <f>VLOOKUP(Charms!J4174,Values!$A$11:$S$59,19,0)&gt;=Charms!L4174</f>
        <v>#N/A</v>
      </c>
      <c r="E4174" t="e">
        <f>OR(ISBLANK(Charms!I4174),(VLOOKUP(Values!$S$6,Castes!$B$2:$F$25,4,0)=Charms!I4174))</f>
        <v>#N/A</v>
      </c>
      <c r="J4174" t="e">
        <f t="shared" ca="1" si="326"/>
        <v>#N/A</v>
      </c>
      <c r="K4174" s="18" t="e">
        <f t="shared" ca="1" si="325"/>
        <v>#N/A</v>
      </c>
      <c r="L4174" t="e">
        <f ca="1">IF(J4174,Charms!B4174,"")</f>
        <v>#N/A</v>
      </c>
      <c r="M4174" t="str">
        <f t="shared" ca="1" si="327"/>
        <v>-</v>
      </c>
      <c r="N4174" s="18" t="str">
        <f t="shared" si="328"/>
        <v>K1622:L5000</v>
      </c>
      <c r="O4174" t="str">
        <f t="shared" si="329"/>
        <v>A1622:A4174</v>
      </c>
    </row>
    <row r="4175" spans="1:15">
      <c r="A4175" s="18">
        <f>Charms!K4175</f>
        <v>0</v>
      </c>
      <c r="B4175">
        <f>Charms!B4175</f>
        <v>0</v>
      </c>
      <c r="C4175" t="b">
        <f ca="1">OR(Values!$S$98&gt;=Charms!M4175,IFERROR(Charms!J4175=OFFSET(Values!$A$24,MATCH("S",Values!$T$25:$T$50,0),0),FALSE))</f>
        <v>1</v>
      </c>
      <c r="D4175" t="e">
        <f>VLOOKUP(Charms!J4175,Values!$A$11:$S$59,19,0)&gt;=Charms!L4175</f>
        <v>#N/A</v>
      </c>
      <c r="E4175" t="e">
        <f>OR(ISBLANK(Charms!I4175),(VLOOKUP(Values!$S$6,Castes!$B$2:$F$25,4,0)=Charms!I4175))</f>
        <v>#N/A</v>
      </c>
      <c r="J4175" t="e">
        <f t="shared" ca="1" si="326"/>
        <v>#N/A</v>
      </c>
      <c r="K4175" s="18" t="e">
        <f t="shared" ca="1" si="325"/>
        <v>#N/A</v>
      </c>
      <c r="L4175" t="e">
        <f ca="1">IF(J4175,Charms!B4175,"")</f>
        <v>#N/A</v>
      </c>
      <c r="M4175" t="str">
        <f t="shared" ca="1" si="327"/>
        <v>-</v>
      </c>
      <c r="N4175" s="18" t="str">
        <f t="shared" si="328"/>
        <v>K1622:L5000</v>
      </c>
      <c r="O4175" t="str">
        <f t="shared" si="329"/>
        <v>A1622:A4175</v>
      </c>
    </row>
    <row r="4176" spans="1:15">
      <c r="A4176" s="18">
        <f>Charms!K4176</f>
        <v>0</v>
      </c>
      <c r="B4176">
        <f>Charms!B4176</f>
        <v>0</v>
      </c>
      <c r="C4176" t="b">
        <f ca="1">OR(Values!$S$98&gt;=Charms!M4176,IFERROR(Charms!J4176=OFFSET(Values!$A$24,MATCH("S",Values!$T$25:$T$50,0),0),FALSE))</f>
        <v>1</v>
      </c>
      <c r="D4176" t="e">
        <f>VLOOKUP(Charms!J4176,Values!$A$11:$S$59,19,0)&gt;=Charms!L4176</f>
        <v>#N/A</v>
      </c>
      <c r="E4176" t="e">
        <f>OR(ISBLANK(Charms!I4176),(VLOOKUP(Values!$S$6,Castes!$B$2:$F$25,4,0)=Charms!I4176))</f>
        <v>#N/A</v>
      </c>
      <c r="J4176" t="e">
        <f t="shared" ca="1" si="326"/>
        <v>#N/A</v>
      </c>
      <c r="K4176" s="18" t="e">
        <f t="shared" ca="1" si="325"/>
        <v>#N/A</v>
      </c>
      <c r="L4176" t="e">
        <f ca="1">IF(J4176,Charms!B4176,"")</f>
        <v>#N/A</v>
      </c>
      <c r="M4176" t="str">
        <f t="shared" ca="1" si="327"/>
        <v>-</v>
      </c>
      <c r="N4176" s="18" t="str">
        <f t="shared" si="328"/>
        <v>K1622:L5000</v>
      </c>
      <c r="O4176" t="str">
        <f t="shared" si="329"/>
        <v>A1622:A4176</v>
      </c>
    </row>
    <row r="4177" spans="1:15">
      <c r="A4177" s="18">
        <f>Charms!K4177</f>
        <v>0</v>
      </c>
      <c r="B4177">
        <f>Charms!B4177</f>
        <v>0</v>
      </c>
      <c r="C4177" t="b">
        <f ca="1">OR(Values!$S$98&gt;=Charms!M4177,IFERROR(Charms!J4177=OFFSET(Values!$A$24,MATCH("S",Values!$T$25:$T$50,0),0),FALSE))</f>
        <v>1</v>
      </c>
      <c r="D4177" t="e">
        <f>VLOOKUP(Charms!J4177,Values!$A$11:$S$59,19,0)&gt;=Charms!L4177</f>
        <v>#N/A</v>
      </c>
      <c r="E4177" t="e">
        <f>OR(ISBLANK(Charms!I4177),(VLOOKUP(Values!$S$6,Castes!$B$2:$F$25,4,0)=Charms!I4177))</f>
        <v>#N/A</v>
      </c>
      <c r="J4177" t="e">
        <f t="shared" ca="1" si="326"/>
        <v>#N/A</v>
      </c>
      <c r="K4177" s="18" t="e">
        <f t="shared" ca="1" si="325"/>
        <v>#N/A</v>
      </c>
      <c r="L4177" t="e">
        <f ca="1">IF(J4177,Charms!B4177,"")</f>
        <v>#N/A</v>
      </c>
      <c r="M4177" t="str">
        <f t="shared" ca="1" si="327"/>
        <v>-</v>
      </c>
      <c r="N4177" s="18" t="str">
        <f t="shared" si="328"/>
        <v>K1622:L5000</v>
      </c>
      <c r="O4177" t="str">
        <f t="shared" si="329"/>
        <v>A1622:A4177</v>
      </c>
    </row>
    <row r="4178" spans="1:15">
      <c r="A4178" s="18">
        <f>Charms!K4178</f>
        <v>0</v>
      </c>
      <c r="B4178">
        <f>Charms!B4178</f>
        <v>0</v>
      </c>
      <c r="C4178" t="b">
        <f ca="1">OR(Values!$S$98&gt;=Charms!M4178,IFERROR(Charms!J4178=OFFSET(Values!$A$24,MATCH("S",Values!$T$25:$T$50,0),0),FALSE))</f>
        <v>1</v>
      </c>
      <c r="D4178" t="e">
        <f>VLOOKUP(Charms!J4178,Values!$A$11:$S$59,19,0)&gt;=Charms!L4178</f>
        <v>#N/A</v>
      </c>
      <c r="E4178" t="e">
        <f>OR(ISBLANK(Charms!I4178),(VLOOKUP(Values!$S$6,Castes!$B$2:$F$25,4,0)=Charms!I4178))</f>
        <v>#N/A</v>
      </c>
      <c r="J4178" t="e">
        <f t="shared" ca="1" si="326"/>
        <v>#N/A</v>
      </c>
      <c r="K4178" s="18" t="e">
        <f t="shared" ca="1" si="325"/>
        <v>#N/A</v>
      </c>
      <c r="L4178" t="e">
        <f ca="1">IF(J4178,Charms!B4178,"")</f>
        <v>#N/A</v>
      </c>
      <c r="M4178" t="str">
        <f t="shared" ca="1" si="327"/>
        <v>-</v>
      </c>
      <c r="N4178" s="18" t="str">
        <f t="shared" si="328"/>
        <v>K1622:L5000</v>
      </c>
      <c r="O4178" t="str">
        <f t="shared" si="329"/>
        <v>A1622:A4178</v>
      </c>
    </row>
    <row r="4179" spans="1:15">
      <c r="A4179" s="18">
        <f>Charms!K4179</f>
        <v>0</v>
      </c>
      <c r="B4179">
        <f>Charms!B4179</f>
        <v>0</v>
      </c>
      <c r="C4179" t="b">
        <f ca="1">OR(Values!$S$98&gt;=Charms!M4179,IFERROR(Charms!J4179=OFFSET(Values!$A$24,MATCH("S",Values!$T$25:$T$50,0),0),FALSE))</f>
        <v>1</v>
      </c>
      <c r="D4179" t="e">
        <f>VLOOKUP(Charms!J4179,Values!$A$11:$S$59,19,0)&gt;=Charms!L4179</f>
        <v>#N/A</v>
      </c>
      <c r="E4179" t="e">
        <f>OR(ISBLANK(Charms!I4179),(VLOOKUP(Values!$S$6,Castes!$B$2:$F$25,4,0)=Charms!I4179))</f>
        <v>#N/A</v>
      </c>
      <c r="J4179" t="e">
        <f t="shared" ca="1" si="326"/>
        <v>#N/A</v>
      </c>
      <c r="K4179" s="18" t="e">
        <f t="shared" ca="1" si="325"/>
        <v>#N/A</v>
      </c>
      <c r="L4179" t="e">
        <f ca="1">IF(J4179,Charms!B4179,"")</f>
        <v>#N/A</v>
      </c>
      <c r="M4179" t="str">
        <f t="shared" ca="1" si="327"/>
        <v>-</v>
      </c>
      <c r="N4179" s="18" t="str">
        <f t="shared" si="328"/>
        <v>K1622:L5000</v>
      </c>
      <c r="O4179" t="str">
        <f t="shared" si="329"/>
        <v>A1622:A4179</v>
      </c>
    </row>
    <row r="4180" spans="1:15">
      <c r="A4180" s="18">
        <f>Charms!K4180</f>
        <v>0</v>
      </c>
      <c r="B4180">
        <f>Charms!B4180</f>
        <v>0</v>
      </c>
      <c r="C4180" t="b">
        <f ca="1">OR(Values!$S$98&gt;=Charms!M4180,IFERROR(Charms!J4180=OFFSET(Values!$A$24,MATCH("S",Values!$T$25:$T$50,0),0),FALSE))</f>
        <v>1</v>
      </c>
      <c r="D4180" t="e">
        <f>VLOOKUP(Charms!J4180,Values!$A$11:$S$59,19,0)&gt;=Charms!L4180</f>
        <v>#N/A</v>
      </c>
      <c r="E4180" t="e">
        <f>OR(ISBLANK(Charms!I4180),(VLOOKUP(Values!$S$6,Castes!$B$2:$F$25,4,0)=Charms!I4180))</f>
        <v>#N/A</v>
      </c>
      <c r="J4180" t="e">
        <f t="shared" ca="1" si="326"/>
        <v>#N/A</v>
      </c>
      <c r="K4180" s="18" t="e">
        <f t="shared" ca="1" si="325"/>
        <v>#N/A</v>
      </c>
      <c r="L4180" t="e">
        <f ca="1">IF(J4180,Charms!B4180,"")</f>
        <v>#N/A</v>
      </c>
      <c r="M4180" t="str">
        <f t="shared" ca="1" si="327"/>
        <v>-</v>
      </c>
      <c r="N4180" s="18" t="str">
        <f t="shared" si="328"/>
        <v>K1622:L5000</v>
      </c>
      <c r="O4180" t="str">
        <f t="shared" si="329"/>
        <v>A1622:A4180</v>
      </c>
    </row>
    <row r="4181" spans="1:15">
      <c r="A4181" s="18">
        <f>Charms!K4181</f>
        <v>0</v>
      </c>
      <c r="B4181">
        <f>Charms!B4181</f>
        <v>0</v>
      </c>
      <c r="C4181" t="b">
        <f ca="1">OR(Values!$S$98&gt;=Charms!M4181,IFERROR(Charms!J4181=OFFSET(Values!$A$24,MATCH("S",Values!$T$25:$T$50,0),0),FALSE))</f>
        <v>1</v>
      </c>
      <c r="D4181" t="e">
        <f>VLOOKUP(Charms!J4181,Values!$A$11:$S$59,19,0)&gt;=Charms!L4181</f>
        <v>#N/A</v>
      </c>
      <c r="E4181" t="e">
        <f>OR(ISBLANK(Charms!I4181),(VLOOKUP(Values!$S$6,Castes!$B$2:$F$25,4,0)=Charms!I4181))</f>
        <v>#N/A</v>
      </c>
      <c r="J4181" t="e">
        <f t="shared" ca="1" si="326"/>
        <v>#N/A</v>
      </c>
      <c r="K4181" s="18" t="e">
        <f t="shared" ca="1" si="325"/>
        <v>#N/A</v>
      </c>
      <c r="L4181" t="e">
        <f ca="1">IF(J4181,Charms!B4181,"")</f>
        <v>#N/A</v>
      </c>
      <c r="M4181" t="str">
        <f t="shared" ca="1" si="327"/>
        <v>-</v>
      </c>
      <c r="N4181" s="18" t="str">
        <f t="shared" si="328"/>
        <v>K1622:L5000</v>
      </c>
      <c r="O4181" t="str">
        <f t="shared" si="329"/>
        <v>A1622:A4181</v>
      </c>
    </row>
    <row r="4182" spans="1:15">
      <c r="A4182" s="18">
        <f>Charms!K4182</f>
        <v>0</v>
      </c>
      <c r="B4182">
        <f>Charms!B4182</f>
        <v>0</v>
      </c>
      <c r="C4182" t="b">
        <f ca="1">OR(Values!$S$98&gt;=Charms!M4182,IFERROR(Charms!J4182=OFFSET(Values!$A$24,MATCH("S",Values!$T$25:$T$50,0),0),FALSE))</f>
        <v>1</v>
      </c>
      <c r="D4182" t="e">
        <f>VLOOKUP(Charms!J4182,Values!$A$11:$S$59,19,0)&gt;=Charms!L4182</f>
        <v>#N/A</v>
      </c>
      <c r="E4182" t="e">
        <f>OR(ISBLANK(Charms!I4182),(VLOOKUP(Values!$S$6,Castes!$B$2:$F$25,4,0)=Charms!I4182))</f>
        <v>#N/A</v>
      </c>
      <c r="J4182" t="e">
        <f t="shared" ca="1" si="326"/>
        <v>#N/A</v>
      </c>
      <c r="K4182" s="18" t="e">
        <f t="shared" ca="1" si="325"/>
        <v>#N/A</v>
      </c>
      <c r="L4182" t="e">
        <f ca="1">IF(J4182,Charms!B4182,"")</f>
        <v>#N/A</v>
      </c>
      <c r="M4182" t="str">
        <f t="shared" ca="1" si="327"/>
        <v>-</v>
      </c>
      <c r="N4182" s="18" t="str">
        <f t="shared" si="328"/>
        <v>K1622:L5000</v>
      </c>
      <c r="O4182" t="str">
        <f t="shared" si="329"/>
        <v>A1622:A4182</v>
      </c>
    </row>
    <row r="4183" spans="1:15">
      <c r="A4183" s="18">
        <f>Charms!K4183</f>
        <v>0</v>
      </c>
      <c r="B4183">
        <f>Charms!B4183</f>
        <v>0</v>
      </c>
      <c r="C4183" t="b">
        <f ca="1">OR(Values!$S$98&gt;=Charms!M4183,IFERROR(Charms!J4183=OFFSET(Values!$A$24,MATCH("S",Values!$T$25:$T$50,0),0),FALSE))</f>
        <v>1</v>
      </c>
      <c r="D4183" t="e">
        <f>VLOOKUP(Charms!J4183,Values!$A$11:$S$59,19,0)&gt;=Charms!L4183</f>
        <v>#N/A</v>
      </c>
      <c r="E4183" t="e">
        <f>OR(ISBLANK(Charms!I4183),(VLOOKUP(Values!$S$6,Castes!$B$2:$F$25,4,0)=Charms!I4183))</f>
        <v>#N/A</v>
      </c>
      <c r="J4183" t="e">
        <f t="shared" ca="1" si="326"/>
        <v>#N/A</v>
      </c>
      <c r="K4183" s="18" t="e">
        <f t="shared" ca="1" si="325"/>
        <v>#N/A</v>
      </c>
      <c r="L4183" t="e">
        <f ca="1">IF(J4183,Charms!B4183,"")</f>
        <v>#N/A</v>
      </c>
      <c r="M4183" t="str">
        <f t="shared" ca="1" si="327"/>
        <v>-</v>
      </c>
      <c r="N4183" s="18" t="str">
        <f t="shared" si="328"/>
        <v>K1622:L5000</v>
      </c>
      <c r="O4183" t="str">
        <f t="shared" si="329"/>
        <v>A1622:A4183</v>
      </c>
    </row>
    <row r="4184" spans="1:15">
      <c r="A4184" s="18">
        <f>Charms!K4184</f>
        <v>0</v>
      </c>
      <c r="B4184">
        <f>Charms!B4184</f>
        <v>0</v>
      </c>
      <c r="C4184" t="b">
        <f ca="1">OR(Values!$S$98&gt;=Charms!M4184,IFERROR(Charms!J4184=OFFSET(Values!$A$24,MATCH("S",Values!$T$25:$T$50,0),0),FALSE))</f>
        <v>1</v>
      </c>
      <c r="D4184" t="e">
        <f>VLOOKUP(Charms!J4184,Values!$A$11:$S$59,19,0)&gt;=Charms!L4184</f>
        <v>#N/A</v>
      </c>
      <c r="E4184" t="e">
        <f>OR(ISBLANK(Charms!I4184),(VLOOKUP(Values!$S$6,Castes!$B$2:$F$25,4,0)=Charms!I4184))</f>
        <v>#N/A</v>
      </c>
      <c r="J4184" t="e">
        <f t="shared" ca="1" si="326"/>
        <v>#N/A</v>
      </c>
      <c r="K4184" s="18" t="e">
        <f t="shared" ca="1" si="325"/>
        <v>#N/A</v>
      </c>
      <c r="L4184" t="e">
        <f ca="1">IF(J4184,Charms!B4184,"")</f>
        <v>#N/A</v>
      </c>
      <c r="M4184" t="str">
        <f t="shared" ca="1" si="327"/>
        <v>-</v>
      </c>
      <c r="N4184" s="18" t="str">
        <f t="shared" si="328"/>
        <v>K1622:L5000</v>
      </c>
      <c r="O4184" t="str">
        <f t="shared" si="329"/>
        <v>A1622:A4184</v>
      </c>
    </row>
    <row r="4185" spans="1:15">
      <c r="A4185" s="18">
        <f>Charms!K4185</f>
        <v>0</v>
      </c>
      <c r="B4185">
        <f>Charms!B4185</f>
        <v>0</v>
      </c>
      <c r="C4185" t="b">
        <f ca="1">OR(Values!$S$98&gt;=Charms!M4185,IFERROR(Charms!J4185=OFFSET(Values!$A$24,MATCH("S",Values!$T$25:$T$50,0),0),FALSE))</f>
        <v>1</v>
      </c>
      <c r="D4185" t="e">
        <f>VLOOKUP(Charms!J4185,Values!$A$11:$S$59,19,0)&gt;=Charms!L4185</f>
        <v>#N/A</v>
      </c>
      <c r="E4185" t="e">
        <f>OR(ISBLANK(Charms!I4185),(VLOOKUP(Values!$S$6,Castes!$B$2:$F$25,4,0)=Charms!I4185))</f>
        <v>#N/A</v>
      </c>
      <c r="J4185" t="e">
        <f t="shared" ca="1" si="326"/>
        <v>#N/A</v>
      </c>
      <c r="K4185" s="18" t="e">
        <f t="shared" ca="1" si="325"/>
        <v>#N/A</v>
      </c>
      <c r="L4185" t="e">
        <f ca="1">IF(J4185,Charms!B4185,"")</f>
        <v>#N/A</v>
      </c>
      <c r="M4185" t="str">
        <f t="shared" ca="1" si="327"/>
        <v>-</v>
      </c>
      <c r="N4185" s="18" t="str">
        <f t="shared" si="328"/>
        <v>K1622:L5000</v>
      </c>
      <c r="O4185" t="str">
        <f t="shared" si="329"/>
        <v>A1622:A4185</v>
      </c>
    </row>
    <row r="4186" spans="1:15">
      <c r="A4186" s="18">
        <f>Charms!K4186</f>
        <v>0</v>
      </c>
      <c r="B4186">
        <f>Charms!B4186</f>
        <v>0</v>
      </c>
      <c r="C4186" t="b">
        <f ca="1">OR(Values!$S$98&gt;=Charms!M4186,IFERROR(Charms!J4186=OFFSET(Values!$A$24,MATCH("S",Values!$T$25:$T$50,0),0),FALSE))</f>
        <v>1</v>
      </c>
      <c r="D4186" t="e">
        <f>VLOOKUP(Charms!J4186,Values!$A$11:$S$59,19,0)&gt;=Charms!L4186</f>
        <v>#N/A</v>
      </c>
      <c r="E4186" t="e">
        <f>OR(ISBLANK(Charms!I4186),(VLOOKUP(Values!$S$6,Castes!$B$2:$F$25,4,0)=Charms!I4186))</f>
        <v>#N/A</v>
      </c>
      <c r="J4186" t="e">
        <f t="shared" ca="1" si="326"/>
        <v>#N/A</v>
      </c>
      <c r="K4186" s="18" t="e">
        <f t="shared" ca="1" si="325"/>
        <v>#N/A</v>
      </c>
      <c r="L4186" t="e">
        <f ca="1">IF(J4186,Charms!B4186,"")</f>
        <v>#N/A</v>
      </c>
      <c r="M4186" t="str">
        <f t="shared" ca="1" si="327"/>
        <v>-</v>
      </c>
      <c r="N4186" s="18" t="str">
        <f t="shared" si="328"/>
        <v>K1622:L5000</v>
      </c>
      <c r="O4186" t="str">
        <f t="shared" si="329"/>
        <v>A1622:A4186</v>
      </c>
    </row>
    <row r="4187" spans="1:15">
      <c r="A4187" s="18">
        <f>Charms!K4187</f>
        <v>0</v>
      </c>
      <c r="B4187">
        <f>Charms!B4187</f>
        <v>0</v>
      </c>
      <c r="C4187" t="b">
        <f ca="1">OR(Values!$S$98&gt;=Charms!M4187,IFERROR(Charms!J4187=OFFSET(Values!$A$24,MATCH("S",Values!$T$25:$T$50,0),0),FALSE))</f>
        <v>1</v>
      </c>
      <c r="D4187" t="e">
        <f>VLOOKUP(Charms!J4187,Values!$A$11:$S$59,19,0)&gt;=Charms!L4187</f>
        <v>#N/A</v>
      </c>
      <c r="E4187" t="e">
        <f>OR(ISBLANK(Charms!I4187),(VLOOKUP(Values!$S$6,Castes!$B$2:$F$25,4,0)=Charms!I4187))</f>
        <v>#N/A</v>
      </c>
      <c r="J4187" t="e">
        <f t="shared" ca="1" si="326"/>
        <v>#N/A</v>
      </c>
      <c r="K4187" s="18" t="e">
        <f t="shared" ca="1" si="325"/>
        <v>#N/A</v>
      </c>
      <c r="L4187" t="e">
        <f ca="1">IF(J4187,Charms!B4187,"")</f>
        <v>#N/A</v>
      </c>
      <c r="M4187" t="str">
        <f t="shared" ca="1" si="327"/>
        <v>-</v>
      </c>
      <c r="N4187" s="18" t="str">
        <f t="shared" si="328"/>
        <v>K1622:L5000</v>
      </c>
      <c r="O4187" t="str">
        <f t="shared" si="329"/>
        <v>A1622:A4187</v>
      </c>
    </row>
    <row r="4188" spans="1:15">
      <c r="A4188" s="18">
        <f>Charms!K4188</f>
        <v>0</v>
      </c>
      <c r="B4188">
        <f>Charms!B4188</f>
        <v>0</v>
      </c>
      <c r="C4188" t="b">
        <f ca="1">OR(Values!$S$98&gt;=Charms!M4188,IFERROR(Charms!J4188=OFFSET(Values!$A$24,MATCH("S",Values!$T$25:$T$50,0),0),FALSE))</f>
        <v>1</v>
      </c>
      <c r="D4188" t="e">
        <f>VLOOKUP(Charms!J4188,Values!$A$11:$S$59,19,0)&gt;=Charms!L4188</f>
        <v>#N/A</v>
      </c>
      <c r="E4188" t="e">
        <f>OR(ISBLANK(Charms!I4188),(VLOOKUP(Values!$S$6,Castes!$B$2:$F$25,4,0)=Charms!I4188))</f>
        <v>#N/A</v>
      </c>
      <c r="J4188" t="e">
        <f t="shared" ca="1" si="326"/>
        <v>#N/A</v>
      </c>
      <c r="K4188" s="18" t="e">
        <f t="shared" ca="1" si="325"/>
        <v>#N/A</v>
      </c>
      <c r="L4188" t="e">
        <f ca="1">IF(J4188,Charms!B4188,"")</f>
        <v>#N/A</v>
      </c>
      <c r="M4188" t="str">
        <f t="shared" ca="1" si="327"/>
        <v>-</v>
      </c>
      <c r="N4188" s="18" t="str">
        <f t="shared" si="328"/>
        <v>K1622:L5000</v>
      </c>
      <c r="O4188" t="str">
        <f t="shared" si="329"/>
        <v>A1622:A4188</v>
      </c>
    </row>
    <row r="4189" spans="1:15">
      <c r="A4189" s="18">
        <f>Charms!K4189</f>
        <v>0</v>
      </c>
      <c r="B4189">
        <f>Charms!B4189</f>
        <v>0</v>
      </c>
      <c r="C4189" t="b">
        <f ca="1">OR(Values!$S$98&gt;=Charms!M4189,IFERROR(Charms!J4189=OFFSET(Values!$A$24,MATCH("S",Values!$T$25:$T$50,0),0),FALSE))</f>
        <v>1</v>
      </c>
      <c r="D4189" t="e">
        <f>VLOOKUP(Charms!J4189,Values!$A$11:$S$59,19,0)&gt;=Charms!L4189</f>
        <v>#N/A</v>
      </c>
      <c r="E4189" t="e">
        <f>OR(ISBLANK(Charms!I4189),(VLOOKUP(Values!$S$6,Castes!$B$2:$F$25,4,0)=Charms!I4189))</f>
        <v>#N/A</v>
      </c>
      <c r="J4189" t="e">
        <f t="shared" ca="1" si="326"/>
        <v>#N/A</v>
      </c>
      <c r="K4189" s="18" t="e">
        <f t="shared" ca="1" si="325"/>
        <v>#N/A</v>
      </c>
      <c r="L4189" t="e">
        <f ca="1">IF(J4189,Charms!B4189,"")</f>
        <v>#N/A</v>
      </c>
      <c r="M4189" t="str">
        <f t="shared" ca="1" si="327"/>
        <v>-</v>
      </c>
      <c r="N4189" s="18" t="str">
        <f t="shared" si="328"/>
        <v>K1622:L5000</v>
      </c>
      <c r="O4189" t="str">
        <f t="shared" si="329"/>
        <v>A1622:A4189</v>
      </c>
    </row>
    <row r="4190" spans="1:15">
      <c r="A4190" s="18">
        <f>Charms!K4190</f>
        <v>0</v>
      </c>
      <c r="B4190">
        <f>Charms!B4190</f>
        <v>0</v>
      </c>
      <c r="C4190" t="b">
        <f ca="1">OR(Values!$S$98&gt;=Charms!M4190,IFERROR(Charms!J4190=OFFSET(Values!$A$24,MATCH("S",Values!$T$25:$T$50,0),0),FALSE))</f>
        <v>1</v>
      </c>
      <c r="D4190" t="e">
        <f>VLOOKUP(Charms!J4190,Values!$A$11:$S$59,19,0)&gt;=Charms!L4190</f>
        <v>#N/A</v>
      </c>
      <c r="E4190" t="e">
        <f>OR(ISBLANK(Charms!I4190),(VLOOKUP(Values!$S$6,Castes!$B$2:$F$25,4,0)=Charms!I4190))</f>
        <v>#N/A</v>
      </c>
      <c r="J4190" t="e">
        <f t="shared" ca="1" si="326"/>
        <v>#N/A</v>
      </c>
      <c r="K4190" s="18" t="e">
        <f t="shared" ca="1" si="325"/>
        <v>#N/A</v>
      </c>
      <c r="L4190" t="e">
        <f ca="1">IF(J4190,Charms!B4190,"")</f>
        <v>#N/A</v>
      </c>
      <c r="M4190" t="str">
        <f t="shared" ca="1" si="327"/>
        <v>-</v>
      </c>
      <c r="N4190" s="18" t="str">
        <f t="shared" si="328"/>
        <v>K1622:L5000</v>
      </c>
      <c r="O4190" t="str">
        <f t="shared" si="329"/>
        <v>A1622:A4190</v>
      </c>
    </row>
    <row r="4191" spans="1:15">
      <c r="A4191" s="18">
        <f>Charms!K4191</f>
        <v>0</v>
      </c>
      <c r="B4191">
        <f>Charms!B4191</f>
        <v>0</v>
      </c>
      <c r="C4191" t="b">
        <f ca="1">OR(Values!$S$98&gt;=Charms!M4191,IFERROR(Charms!J4191=OFFSET(Values!$A$24,MATCH("S",Values!$T$25:$T$50,0),0),FALSE))</f>
        <v>1</v>
      </c>
      <c r="D4191" t="e">
        <f>VLOOKUP(Charms!J4191,Values!$A$11:$S$59,19,0)&gt;=Charms!L4191</f>
        <v>#N/A</v>
      </c>
      <c r="E4191" t="e">
        <f>OR(ISBLANK(Charms!I4191),(VLOOKUP(Values!$S$6,Castes!$B$2:$F$25,4,0)=Charms!I4191))</f>
        <v>#N/A</v>
      </c>
      <c r="J4191" t="e">
        <f t="shared" ca="1" si="326"/>
        <v>#N/A</v>
      </c>
      <c r="K4191" s="18" t="e">
        <f t="shared" ca="1" si="325"/>
        <v>#N/A</v>
      </c>
      <c r="L4191" t="e">
        <f ca="1">IF(J4191,Charms!B4191,"")</f>
        <v>#N/A</v>
      </c>
      <c r="M4191" t="str">
        <f t="shared" ca="1" si="327"/>
        <v>-</v>
      </c>
      <c r="N4191" s="18" t="str">
        <f t="shared" si="328"/>
        <v>K1622:L5000</v>
      </c>
      <c r="O4191" t="str">
        <f t="shared" si="329"/>
        <v>A1622:A4191</v>
      </c>
    </row>
    <row r="4192" spans="1:15">
      <c r="A4192" s="18">
        <f>Charms!K4192</f>
        <v>0</v>
      </c>
      <c r="B4192">
        <f>Charms!B4192</f>
        <v>0</v>
      </c>
      <c r="C4192" t="b">
        <f ca="1">OR(Values!$S$98&gt;=Charms!M4192,IFERROR(Charms!J4192=OFFSET(Values!$A$24,MATCH("S",Values!$T$25:$T$50,0),0),FALSE))</f>
        <v>1</v>
      </c>
      <c r="D4192" t="e">
        <f>VLOOKUP(Charms!J4192,Values!$A$11:$S$59,19,0)&gt;=Charms!L4192</f>
        <v>#N/A</v>
      </c>
      <c r="E4192" t="e">
        <f>OR(ISBLANK(Charms!I4192),(VLOOKUP(Values!$S$6,Castes!$B$2:$F$25,4,0)=Charms!I4192))</f>
        <v>#N/A</v>
      </c>
      <c r="J4192" t="e">
        <f t="shared" ca="1" si="326"/>
        <v>#N/A</v>
      </c>
      <c r="K4192" s="18" t="e">
        <f t="shared" ca="1" si="325"/>
        <v>#N/A</v>
      </c>
      <c r="L4192" t="e">
        <f ca="1">IF(J4192,Charms!B4192,"")</f>
        <v>#N/A</v>
      </c>
      <c r="M4192" t="str">
        <f t="shared" ca="1" si="327"/>
        <v>-</v>
      </c>
      <c r="N4192" s="18" t="str">
        <f t="shared" si="328"/>
        <v>K1622:L5000</v>
      </c>
      <c r="O4192" t="str">
        <f t="shared" si="329"/>
        <v>A1622:A4192</v>
      </c>
    </row>
    <row r="4193" spans="1:15">
      <c r="A4193" s="18">
        <f>Charms!K4193</f>
        <v>0</v>
      </c>
      <c r="B4193">
        <f>Charms!B4193</f>
        <v>0</v>
      </c>
      <c r="C4193" t="b">
        <f ca="1">OR(Values!$S$98&gt;=Charms!M4193,IFERROR(Charms!J4193=OFFSET(Values!$A$24,MATCH("S",Values!$T$25:$T$50,0),0),FALSE))</f>
        <v>1</v>
      </c>
      <c r="D4193" t="e">
        <f>VLOOKUP(Charms!J4193,Values!$A$11:$S$59,19,0)&gt;=Charms!L4193</f>
        <v>#N/A</v>
      </c>
      <c r="E4193" t="e">
        <f>OR(ISBLANK(Charms!I4193),(VLOOKUP(Values!$S$6,Castes!$B$2:$F$25,4,0)=Charms!I4193))</f>
        <v>#N/A</v>
      </c>
      <c r="J4193" t="e">
        <f t="shared" ca="1" si="326"/>
        <v>#N/A</v>
      </c>
      <c r="K4193" s="18" t="e">
        <f t="shared" ca="1" si="325"/>
        <v>#N/A</v>
      </c>
      <c r="L4193" t="e">
        <f ca="1">IF(J4193,Charms!B4193,"")</f>
        <v>#N/A</v>
      </c>
      <c r="M4193" t="str">
        <f t="shared" ca="1" si="327"/>
        <v>-</v>
      </c>
      <c r="N4193" s="18" t="str">
        <f t="shared" si="328"/>
        <v>K1622:L5000</v>
      </c>
      <c r="O4193" t="str">
        <f t="shared" si="329"/>
        <v>A1622:A4193</v>
      </c>
    </row>
    <row r="4194" spans="1:15">
      <c r="A4194" s="18">
        <f>Charms!K4194</f>
        <v>0</v>
      </c>
      <c r="B4194">
        <f>Charms!B4194</f>
        <v>0</v>
      </c>
      <c r="C4194" t="b">
        <f ca="1">OR(Values!$S$98&gt;=Charms!M4194,IFERROR(Charms!J4194=OFFSET(Values!$A$24,MATCH("S",Values!$T$25:$T$50,0),0),FALSE))</f>
        <v>1</v>
      </c>
      <c r="D4194" t="e">
        <f>VLOOKUP(Charms!J4194,Values!$A$11:$S$59,19,0)&gt;=Charms!L4194</f>
        <v>#N/A</v>
      </c>
      <c r="E4194" t="e">
        <f>OR(ISBLANK(Charms!I4194),(VLOOKUP(Values!$S$6,Castes!$B$2:$F$25,4,0)=Charms!I4194))</f>
        <v>#N/A</v>
      </c>
      <c r="J4194" t="e">
        <f t="shared" ca="1" si="326"/>
        <v>#N/A</v>
      </c>
      <c r="K4194" s="18" t="e">
        <f t="shared" ca="1" si="325"/>
        <v>#N/A</v>
      </c>
      <c r="L4194" t="e">
        <f ca="1">IF(J4194,Charms!B4194,"")</f>
        <v>#N/A</v>
      </c>
      <c r="M4194" t="str">
        <f t="shared" ca="1" si="327"/>
        <v>-</v>
      </c>
      <c r="N4194" s="18" t="str">
        <f t="shared" si="328"/>
        <v>K1622:L5000</v>
      </c>
      <c r="O4194" t="str">
        <f t="shared" si="329"/>
        <v>A1622:A4194</v>
      </c>
    </row>
    <row r="4195" spans="1:15">
      <c r="A4195" s="18">
        <f>Charms!K4195</f>
        <v>0</v>
      </c>
      <c r="B4195">
        <f>Charms!B4195</f>
        <v>0</v>
      </c>
      <c r="C4195" t="b">
        <f ca="1">OR(Values!$S$98&gt;=Charms!M4195,IFERROR(Charms!J4195=OFFSET(Values!$A$24,MATCH("S",Values!$T$25:$T$50,0),0),FALSE))</f>
        <v>1</v>
      </c>
      <c r="D4195" t="e">
        <f>VLOOKUP(Charms!J4195,Values!$A$11:$S$59,19,0)&gt;=Charms!L4195</f>
        <v>#N/A</v>
      </c>
      <c r="E4195" t="e">
        <f>OR(ISBLANK(Charms!I4195),(VLOOKUP(Values!$S$6,Castes!$B$2:$F$25,4,0)=Charms!I4195))</f>
        <v>#N/A</v>
      </c>
      <c r="J4195" t="e">
        <f t="shared" ca="1" si="326"/>
        <v>#N/A</v>
      </c>
      <c r="K4195" s="18" t="e">
        <f t="shared" ca="1" si="325"/>
        <v>#N/A</v>
      </c>
      <c r="L4195" t="e">
        <f ca="1">IF(J4195,Charms!B4195,"")</f>
        <v>#N/A</v>
      </c>
      <c r="M4195" t="str">
        <f t="shared" ca="1" si="327"/>
        <v>-</v>
      </c>
      <c r="N4195" s="18" t="str">
        <f t="shared" si="328"/>
        <v>K1622:L5000</v>
      </c>
      <c r="O4195" t="str">
        <f t="shared" si="329"/>
        <v>A1622:A4195</v>
      </c>
    </row>
    <row r="4196" spans="1:15">
      <c r="A4196" s="18">
        <f>Charms!K4196</f>
        <v>0</v>
      </c>
      <c r="B4196">
        <f>Charms!B4196</f>
        <v>0</v>
      </c>
      <c r="C4196" t="b">
        <f ca="1">OR(Values!$S$98&gt;=Charms!M4196,IFERROR(Charms!J4196=OFFSET(Values!$A$24,MATCH("S",Values!$T$25:$T$50,0),0),FALSE))</f>
        <v>1</v>
      </c>
      <c r="D4196" t="e">
        <f>VLOOKUP(Charms!J4196,Values!$A$11:$S$59,19,0)&gt;=Charms!L4196</f>
        <v>#N/A</v>
      </c>
      <c r="E4196" t="e">
        <f>OR(ISBLANK(Charms!I4196),(VLOOKUP(Values!$S$6,Castes!$B$2:$F$25,4,0)=Charms!I4196))</f>
        <v>#N/A</v>
      </c>
      <c r="J4196" t="e">
        <f t="shared" ca="1" si="326"/>
        <v>#N/A</v>
      </c>
      <c r="K4196" s="18" t="e">
        <f t="shared" ca="1" si="325"/>
        <v>#N/A</v>
      </c>
      <c r="L4196" t="e">
        <f ca="1">IF(J4196,Charms!B4196,"")</f>
        <v>#N/A</v>
      </c>
      <c r="M4196" t="str">
        <f t="shared" ca="1" si="327"/>
        <v>-</v>
      </c>
      <c r="N4196" s="18" t="str">
        <f t="shared" si="328"/>
        <v>K1622:L5000</v>
      </c>
      <c r="O4196" t="str">
        <f t="shared" si="329"/>
        <v>A1622:A4196</v>
      </c>
    </row>
    <row r="4197" spans="1:15">
      <c r="A4197" s="18">
        <f>Charms!K4197</f>
        <v>0</v>
      </c>
      <c r="B4197">
        <f>Charms!B4197</f>
        <v>0</v>
      </c>
      <c r="C4197" t="b">
        <f ca="1">OR(Values!$S$98&gt;=Charms!M4197,IFERROR(Charms!J4197=OFFSET(Values!$A$24,MATCH("S",Values!$T$25:$T$50,0),0),FALSE))</f>
        <v>1</v>
      </c>
      <c r="D4197" t="e">
        <f>VLOOKUP(Charms!J4197,Values!$A$11:$S$59,19,0)&gt;=Charms!L4197</f>
        <v>#N/A</v>
      </c>
      <c r="E4197" t="e">
        <f>OR(ISBLANK(Charms!I4197),(VLOOKUP(Values!$S$6,Castes!$B$2:$F$25,4,0)=Charms!I4197))</f>
        <v>#N/A</v>
      </c>
      <c r="J4197" t="e">
        <f t="shared" ca="1" si="326"/>
        <v>#N/A</v>
      </c>
      <c r="K4197" s="18" t="e">
        <f t="shared" ca="1" si="325"/>
        <v>#N/A</v>
      </c>
      <c r="L4197" t="e">
        <f ca="1">IF(J4197,Charms!B4197,"")</f>
        <v>#N/A</v>
      </c>
      <c r="M4197" t="str">
        <f t="shared" ca="1" si="327"/>
        <v>-</v>
      </c>
      <c r="N4197" s="18" t="str">
        <f t="shared" si="328"/>
        <v>K1622:L5000</v>
      </c>
      <c r="O4197" t="str">
        <f t="shared" si="329"/>
        <v>A1622:A4197</v>
      </c>
    </row>
    <row r="4198" spans="1:15">
      <c r="A4198" s="18">
        <f>Charms!K4198</f>
        <v>0</v>
      </c>
      <c r="B4198">
        <f>Charms!B4198</f>
        <v>0</v>
      </c>
      <c r="C4198" t="b">
        <f ca="1">OR(Values!$S$98&gt;=Charms!M4198,IFERROR(Charms!J4198=OFFSET(Values!$A$24,MATCH("S",Values!$T$25:$T$50,0),0),FALSE))</f>
        <v>1</v>
      </c>
      <c r="D4198" t="e">
        <f>VLOOKUP(Charms!J4198,Values!$A$11:$S$59,19,0)&gt;=Charms!L4198</f>
        <v>#N/A</v>
      </c>
      <c r="E4198" t="e">
        <f>OR(ISBLANK(Charms!I4198),(VLOOKUP(Values!$S$6,Castes!$B$2:$F$25,4,0)=Charms!I4198))</f>
        <v>#N/A</v>
      </c>
      <c r="J4198" t="e">
        <f t="shared" ca="1" si="326"/>
        <v>#N/A</v>
      </c>
      <c r="K4198" s="18" t="e">
        <f t="shared" ca="1" si="325"/>
        <v>#N/A</v>
      </c>
      <c r="L4198" t="e">
        <f ca="1">IF(J4198,Charms!B4198,"")</f>
        <v>#N/A</v>
      </c>
      <c r="M4198" t="str">
        <f t="shared" ca="1" si="327"/>
        <v>-</v>
      </c>
      <c r="N4198" s="18" t="str">
        <f t="shared" si="328"/>
        <v>K1622:L5000</v>
      </c>
      <c r="O4198" t="str">
        <f t="shared" si="329"/>
        <v>A1622:A4198</v>
      </c>
    </row>
    <row r="4199" spans="1:15">
      <c r="A4199" s="18">
        <f>Charms!K4199</f>
        <v>0</v>
      </c>
      <c r="B4199">
        <f>Charms!B4199</f>
        <v>0</v>
      </c>
      <c r="C4199" t="b">
        <f ca="1">OR(Values!$S$98&gt;=Charms!M4199,IFERROR(Charms!J4199=OFFSET(Values!$A$24,MATCH("S",Values!$T$25:$T$50,0),0),FALSE))</f>
        <v>1</v>
      </c>
      <c r="D4199" t="e">
        <f>VLOOKUP(Charms!J4199,Values!$A$11:$S$59,19,0)&gt;=Charms!L4199</f>
        <v>#N/A</v>
      </c>
      <c r="E4199" t="e">
        <f>OR(ISBLANK(Charms!I4199),(VLOOKUP(Values!$S$6,Castes!$B$2:$F$25,4,0)=Charms!I4199))</f>
        <v>#N/A</v>
      </c>
      <c r="J4199" t="e">
        <f t="shared" ca="1" si="326"/>
        <v>#N/A</v>
      </c>
      <c r="K4199" s="18" t="e">
        <f t="shared" ca="1" si="325"/>
        <v>#N/A</v>
      </c>
      <c r="L4199" t="e">
        <f ca="1">IF(J4199,Charms!B4199,"")</f>
        <v>#N/A</v>
      </c>
      <c r="M4199" t="str">
        <f t="shared" ca="1" si="327"/>
        <v>-</v>
      </c>
      <c r="N4199" s="18" t="str">
        <f t="shared" si="328"/>
        <v>K1622:L5000</v>
      </c>
      <c r="O4199" t="str">
        <f t="shared" si="329"/>
        <v>A1622:A4199</v>
      </c>
    </row>
    <row r="4200" spans="1:15">
      <c r="A4200" s="18">
        <f>Charms!K4200</f>
        <v>0</v>
      </c>
      <c r="B4200">
        <f>Charms!B4200</f>
        <v>0</v>
      </c>
      <c r="C4200" t="b">
        <f ca="1">OR(Values!$S$98&gt;=Charms!M4200,IFERROR(Charms!J4200=OFFSET(Values!$A$24,MATCH("S",Values!$T$25:$T$50,0),0),FALSE))</f>
        <v>1</v>
      </c>
      <c r="D4200" t="e">
        <f>VLOOKUP(Charms!J4200,Values!$A$11:$S$59,19,0)&gt;=Charms!L4200</f>
        <v>#N/A</v>
      </c>
      <c r="E4200" t="e">
        <f>OR(ISBLANK(Charms!I4200),(VLOOKUP(Values!$S$6,Castes!$B$2:$F$25,4,0)=Charms!I4200))</f>
        <v>#N/A</v>
      </c>
      <c r="J4200" t="e">
        <f t="shared" ca="1" si="326"/>
        <v>#N/A</v>
      </c>
      <c r="K4200" s="18" t="e">
        <f t="shared" ca="1" si="325"/>
        <v>#N/A</v>
      </c>
      <c r="L4200" t="e">
        <f ca="1">IF(J4200,Charms!B4200,"")</f>
        <v>#N/A</v>
      </c>
      <c r="M4200" t="str">
        <f t="shared" ca="1" si="327"/>
        <v>-</v>
      </c>
      <c r="N4200" s="18" t="str">
        <f t="shared" si="328"/>
        <v>K1622:L5000</v>
      </c>
      <c r="O4200" t="str">
        <f t="shared" si="329"/>
        <v>A1622:A4200</v>
      </c>
    </row>
    <row r="4201" spans="1:15">
      <c r="A4201" s="18">
        <f>Charms!K4201</f>
        <v>0</v>
      </c>
      <c r="B4201">
        <f>Charms!B4201</f>
        <v>0</v>
      </c>
      <c r="C4201" t="b">
        <f ca="1">OR(Values!$S$98&gt;=Charms!M4201,IFERROR(Charms!J4201=OFFSET(Values!$A$24,MATCH("S",Values!$T$25:$T$50,0),0),FALSE))</f>
        <v>1</v>
      </c>
      <c r="D4201" t="e">
        <f>VLOOKUP(Charms!J4201,Values!$A$11:$S$59,19,0)&gt;=Charms!L4201</f>
        <v>#N/A</v>
      </c>
      <c r="E4201" t="e">
        <f>OR(ISBLANK(Charms!I4201),(VLOOKUP(Values!$S$6,Castes!$B$2:$F$25,4,0)=Charms!I4201))</f>
        <v>#N/A</v>
      </c>
      <c r="J4201" t="e">
        <f t="shared" ca="1" si="326"/>
        <v>#N/A</v>
      </c>
      <c r="K4201" s="18" t="e">
        <f t="shared" ca="1" si="325"/>
        <v>#N/A</v>
      </c>
      <c r="L4201" t="e">
        <f ca="1">IF(J4201,Charms!B4201,"")</f>
        <v>#N/A</v>
      </c>
      <c r="M4201" t="str">
        <f t="shared" ca="1" si="327"/>
        <v>-</v>
      </c>
      <c r="N4201" s="18" t="str">
        <f t="shared" si="328"/>
        <v>K1622:L5000</v>
      </c>
      <c r="O4201" t="str">
        <f t="shared" si="329"/>
        <v>A1622:A4201</v>
      </c>
    </row>
    <row r="4202" spans="1:15">
      <c r="A4202" s="18">
        <f>Charms!K4202</f>
        <v>0</v>
      </c>
      <c r="B4202">
        <f>Charms!B4202</f>
        <v>0</v>
      </c>
      <c r="C4202" t="b">
        <f ca="1">OR(Values!$S$98&gt;=Charms!M4202,IFERROR(Charms!J4202=OFFSET(Values!$A$24,MATCH("S",Values!$T$25:$T$50,0),0),FALSE))</f>
        <v>1</v>
      </c>
      <c r="D4202" t="e">
        <f>VLOOKUP(Charms!J4202,Values!$A$11:$S$59,19,0)&gt;=Charms!L4202</f>
        <v>#N/A</v>
      </c>
      <c r="E4202" t="e">
        <f>OR(ISBLANK(Charms!I4202),(VLOOKUP(Values!$S$6,Castes!$B$2:$F$25,4,0)=Charms!I4202))</f>
        <v>#N/A</v>
      </c>
      <c r="J4202" t="e">
        <f t="shared" ca="1" si="326"/>
        <v>#N/A</v>
      </c>
      <c r="K4202" s="18" t="e">
        <f t="shared" ca="1" si="325"/>
        <v>#N/A</v>
      </c>
      <c r="L4202" t="e">
        <f ca="1">IF(J4202,Charms!B4202,"")</f>
        <v>#N/A</v>
      </c>
      <c r="M4202" t="str">
        <f t="shared" ca="1" si="327"/>
        <v>-</v>
      </c>
      <c r="N4202" s="18" t="str">
        <f t="shared" si="328"/>
        <v>K1622:L5000</v>
      </c>
      <c r="O4202" t="str">
        <f t="shared" si="329"/>
        <v>A1622:A4202</v>
      </c>
    </row>
    <row r="4203" spans="1:15">
      <c r="A4203" s="18">
        <f>Charms!K4203</f>
        <v>0</v>
      </c>
      <c r="B4203">
        <f>Charms!B4203</f>
        <v>0</v>
      </c>
      <c r="C4203" t="b">
        <f ca="1">OR(Values!$S$98&gt;=Charms!M4203,IFERROR(Charms!J4203=OFFSET(Values!$A$24,MATCH("S",Values!$T$25:$T$50,0),0),FALSE))</f>
        <v>1</v>
      </c>
      <c r="D4203" t="e">
        <f>VLOOKUP(Charms!J4203,Values!$A$11:$S$59,19,0)&gt;=Charms!L4203</f>
        <v>#N/A</v>
      </c>
      <c r="E4203" t="e">
        <f>OR(ISBLANK(Charms!I4203),(VLOOKUP(Values!$S$6,Castes!$B$2:$F$25,4,0)=Charms!I4203))</f>
        <v>#N/A</v>
      </c>
      <c r="J4203" t="e">
        <f t="shared" ca="1" si="326"/>
        <v>#N/A</v>
      </c>
      <c r="K4203" s="18" t="e">
        <f t="shared" ca="1" si="325"/>
        <v>#N/A</v>
      </c>
      <c r="L4203" t="e">
        <f ca="1">IF(J4203,Charms!B4203,"")</f>
        <v>#N/A</v>
      </c>
      <c r="M4203" t="str">
        <f t="shared" ca="1" si="327"/>
        <v>-</v>
      </c>
      <c r="N4203" s="18" t="str">
        <f t="shared" si="328"/>
        <v>K1622:L5000</v>
      </c>
      <c r="O4203" t="str">
        <f t="shared" si="329"/>
        <v>A1622:A4203</v>
      </c>
    </row>
    <row r="4204" spans="1:15">
      <c r="A4204" s="18">
        <f>Charms!K4204</f>
        <v>0</v>
      </c>
      <c r="B4204">
        <f>Charms!B4204</f>
        <v>0</v>
      </c>
      <c r="C4204" t="b">
        <f ca="1">OR(Values!$S$98&gt;=Charms!M4204,IFERROR(Charms!J4204=OFFSET(Values!$A$24,MATCH("S",Values!$T$25:$T$50,0),0),FALSE))</f>
        <v>1</v>
      </c>
      <c r="D4204" t="e">
        <f>VLOOKUP(Charms!J4204,Values!$A$11:$S$59,19,0)&gt;=Charms!L4204</f>
        <v>#N/A</v>
      </c>
      <c r="E4204" t="e">
        <f>OR(ISBLANK(Charms!I4204),(VLOOKUP(Values!$S$6,Castes!$B$2:$F$25,4,0)=Charms!I4204))</f>
        <v>#N/A</v>
      </c>
      <c r="J4204" t="e">
        <f t="shared" ca="1" si="326"/>
        <v>#N/A</v>
      </c>
      <c r="K4204" s="18" t="e">
        <f t="shared" ca="1" si="325"/>
        <v>#N/A</v>
      </c>
      <c r="L4204" t="e">
        <f ca="1">IF(J4204,Charms!B4204,"")</f>
        <v>#N/A</v>
      </c>
      <c r="M4204" t="str">
        <f t="shared" ca="1" si="327"/>
        <v>-</v>
      </c>
      <c r="N4204" s="18" t="str">
        <f t="shared" si="328"/>
        <v>K1622:L5000</v>
      </c>
      <c r="O4204" t="str">
        <f t="shared" si="329"/>
        <v>A1622:A4204</v>
      </c>
    </row>
    <row r="4205" spans="1:15">
      <c r="A4205" s="18">
        <f>Charms!K4205</f>
        <v>0</v>
      </c>
      <c r="B4205">
        <f>Charms!B4205</f>
        <v>0</v>
      </c>
      <c r="C4205" t="b">
        <f ca="1">OR(Values!$S$98&gt;=Charms!M4205,IFERROR(Charms!J4205=OFFSET(Values!$A$24,MATCH("S",Values!$T$25:$T$50,0),0),FALSE))</f>
        <v>1</v>
      </c>
      <c r="D4205" t="e">
        <f>VLOOKUP(Charms!J4205,Values!$A$11:$S$59,19,0)&gt;=Charms!L4205</f>
        <v>#N/A</v>
      </c>
      <c r="E4205" t="e">
        <f>OR(ISBLANK(Charms!I4205),(VLOOKUP(Values!$S$6,Castes!$B$2:$F$25,4,0)=Charms!I4205))</f>
        <v>#N/A</v>
      </c>
      <c r="J4205" t="e">
        <f t="shared" ca="1" si="326"/>
        <v>#N/A</v>
      </c>
      <c r="K4205" s="18" t="e">
        <f t="shared" ca="1" si="325"/>
        <v>#N/A</v>
      </c>
      <c r="L4205" t="e">
        <f ca="1">IF(J4205,Charms!B4205,"")</f>
        <v>#N/A</v>
      </c>
      <c r="M4205" t="str">
        <f t="shared" ca="1" si="327"/>
        <v>-</v>
      </c>
      <c r="N4205" s="18" t="str">
        <f t="shared" si="328"/>
        <v>K1622:L5000</v>
      </c>
      <c r="O4205" t="str">
        <f t="shared" si="329"/>
        <v>A1622:A4205</v>
      </c>
    </row>
    <row r="4206" spans="1:15">
      <c r="A4206" s="18">
        <f>Charms!K4206</f>
        <v>0</v>
      </c>
      <c r="B4206">
        <f>Charms!B4206</f>
        <v>0</v>
      </c>
      <c r="C4206" t="b">
        <f ca="1">OR(Values!$S$98&gt;=Charms!M4206,IFERROR(Charms!J4206=OFFSET(Values!$A$24,MATCH("S",Values!$T$25:$T$50,0),0),FALSE))</f>
        <v>1</v>
      </c>
      <c r="D4206" t="e">
        <f>VLOOKUP(Charms!J4206,Values!$A$11:$S$59,19,0)&gt;=Charms!L4206</f>
        <v>#N/A</v>
      </c>
      <c r="E4206" t="e">
        <f>OR(ISBLANK(Charms!I4206),(VLOOKUP(Values!$S$6,Castes!$B$2:$F$25,4,0)=Charms!I4206))</f>
        <v>#N/A</v>
      </c>
      <c r="J4206" t="e">
        <f t="shared" ca="1" si="326"/>
        <v>#N/A</v>
      </c>
      <c r="K4206" s="18" t="e">
        <f t="shared" ca="1" si="325"/>
        <v>#N/A</v>
      </c>
      <c r="L4206" t="e">
        <f ca="1">IF(J4206,Charms!B4206,"")</f>
        <v>#N/A</v>
      </c>
      <c r="M4206" t="str">
        <f t="shared" ca="1" si="327"/>
        <v>-</v>
      </c>
      <c r="N4206" s="18" t="str">
        <f t="shared" si="328"/>
        <v>K1622:L5000</v>
      </c>
      <c r="O4206" t="str">
        <f t="shared" si="329"/>
        <v>A1622:A4206</v>
      </c>
    </row>
    <row r="4207" spans="1:15">
      <c r="A4207" s="18">
        <f>Charms!K4207</f>
        <v>0</v>
      </c>
      <c r="B4207">
        <f>Charms!B4207</f>
        <v>0</v>
      </c>
      <c r="C4207" t="b">
        <f ca="1">OR(Values!$S$98&gt;=Charms!M4207,IFERROR(Charms!J4207=OFFSET(Values!$A$24,MATCH("S",Values!$T$25:$T$50,0),0),FALSE))</f>
        <v>1</v>
      </c>
      <c r="D4207" t="e">
        <f>VLOOKUP(Charms!J4207,Values!$A$11:$S$59,19,0)&gt;=Charms!L4207</f>
        <v>#N/A</v>
      </c>
      <c r="E4207" t="e">
        <f>OR(ISBLANK(Charms!I4207),(VLOOKUP(Values!$S$6,Castes!$B$2:$F$25,4,0)=Charms!I4207))</f>
        <v>#N/A</v>
      </c>
      <c r="J4207" t="e">
        <f t="shared" ca="1" si="326"/>
        <v>#N/A</v>
      </c>
      <c r="K4207" s="18" t="e">
        <f t="shared" ca="1" si="325"/>
        <v>#N/A</v>
      </c>
      <c r="L4207" t="e">
        <f ca="1">IF(J4207,Charms!B4207,"")</f>
        <v>#N/A</v>
      </c>
      <c r="M4207" t="str">
        <f t="shared" ca="1" si="327"/>
        <v>-</v>
      </c>
      <c r="N4207" s="18" t="str">
        <f t="shared" si="328"/>
        <v>K1622:L5000</v>
      </c>
      <c r="O4207" t="str">
        <f t="shared" si="329"/>
        <v>A1622:A4207</v>
      </c>
    </row>
    <row r="4208" spans="1:15">
      <c r="A4208" s="18">
        <f>Charms!K4208</f>
        <v>0</v>
      </c>
      <c r="B4208">
        <f>Charms!B4208</f>
        <v>0</v>
      </c>
      <c r="C4208" t="b">
        <f ca="1">OR(Values!$S$98&gt;=Charms!M4208,IFERROR(Charms!J4208=OFFSET(Values!$A$24,MATCH("S",Values!$T$25:$T$50,0),0),FALSE))</f>
        <v>1</v>
      </c>
      <c r="D4208" t="e">
        <f>VLOOKUP(Charms!J4208,Values!$A$11:$S$59,19,0)&gt;=Charms!L4208</f>
        <v>#N/A</v>
      </c>
      <c r="E4208" t="e">
        <f>OR(ISBLANK(Charms!I4208),(VLOOKUP(Values!$S$6,Castes!$B$2:$F$25,4,0)=Charms!I4208))</f>
        <v>#N/A</v>
      </c>
      <c r="J4208" t="e">
        <f t="shared" ca="1" si="326"/>
        <v>#N/A</v>
      </c>
      <c r="K4208" s="18" t="e">
        <f t="shared" ca="1" si="325"/>
        <v>#N/A</v>
      </c>
      <c r="L4208" t="e">
        <f ca="1">IF(J4208,Charms!B4208,"")</f>
        <v>#N/A</v>
      </c>
      <c r="M4208" t="str">
        <f t="shared" ca="1" si="327"/>
        <v>-</v>
      </c>
      <c r="N4208" s="18" t="str">
        <f t="shared" si="328"/>
        <v>K1622:L5000</v>
      </c>
      <c r="O4208" t="str">
        <f t="shared" si="329"/>
        <v>A1622:A4208</v>
      </c>
    </row>
    <row r="4209" spans="1:15">
      <c r="A4209" s="18">
        <f>Charms!K4209</f>
        <v>0</v>
      </c>
      <c r="B4209">
        <f>Charms!B4209</f>
        <v>0</v>
      </c>
      <c r="C4209" t="b">
        <f ca="1">OR(Values!$S$98&gt;=Charms!M4209,IFERROR(Charms!J4209=OFFSET(Values!$A$24,MATCH("S",Values!$T$25:$T$50,0),0),FALSE))</f>
        <v>1</v>
      </c>
      <c r="D4209" t="e">
        <f>VLOOKUP(Charms!J4209,Values!$A$11:$S$59,19,0)&gt;=Charms!L4209</f>
        <v>#N/A</v>
      </c>
      <c r="E4209" t="e">
        <f>OR(ISBLANK(Charms!I4209),(VLOOKUP(Values!$S$6,Castes!$B$2:$F$25,4,0)=Charms!I4209))</f>
        <v>#N/A</v>
      </c>
      <c r="J4209" t="e">
        <f t="shared" ca="1" si="326"/>
        <v>#N/A</v>
      </c>
      <c r="K4209" s="18" t="e">
        <f t="shared" ca="1" si="325"/>
        <v>#N/A</v>
      </c>
      <c r="L4209" t="e">
        <f ca="1">IF(J4209,Charms!B4209,"")</f>
        <v>#N/A</v>
      </c>
      <c r="M4209" t="str">
        <f t="shared" ca="1" si="327"/>
        <v>-</v>
      </c>
      <c r="N4209" s="18" t="str">
        <f t="shared" si="328"/>
        <v>K1622:L5000</v>
      </c>
      <c r="O4209" t="str">
        <f t="shared" si="329"/>
        <v>A1622:A4209</v>
      </c>
    </row>
    <row r="4210" spans="1:15">
      <c r="A4210" s="18">
        <f>Charms!K4210</f>
        <v>0</v>
      </c>
      <c r="B4210">
        <f>Charms!B4210</f>
        <v>0</v>
      </c>
      <c r="C4210" t="b">
        <f ca="1">OR(Values!$S$98&gt;=Charms!M4210,IFERROR(Charms!J4210=OFFSET(Values!$A$24,MATCH("S",Values!$T$25:$T$50,0),0),FALSE))</f>
        <v>1</v>
      </c>
      <c r="D4210" t="e">
        <f>VLOOKUP(Charms!J4210,Values!$A$11:$S$59,19,0)&gt;=Charms!L4210</f>
        <v>#N/A</v>
      </c>
      <c r="E4210" t="e">
        <f>OR(ISBLANK(Charms!I4210),(VLOOKUP(Values!$S$6,Castes!$B$2:$F$25,4,0)=Charms!I4210))</f>
        <v>#N/A</v>
      </c>
      <c r="J4210" t="e">
        <f t="shared" ca="1" si="326"/>
        <v>#N/A</v>
      </c>
      <c r="K4210" s="18" t="e">
        <f t="shared" ca="1" si="325"/>
        <v>#N/A</v>
      </c>
      <c r="L4210" t="e">
        <f ca="1">IF(J4210,Charms!B4210,"")</f>
        <v>#N/A</v>
      </c>
      <c r="M4210" t="str">
        <f t="shared" ca="1" si="327"/>
        <v>-</v>
      </c>
      <c r="N4210" s="18" t="str">
        <f t="shared" si="328"/>
        <v>K1622:L5000</v>
      </c>
      <c r="O4210" t="str">
        <f t="shared" si="329"/>
        <v>A1622:A4210</v>
      </c>
    </row>
    <row r="4211" spans="1:15">
      <c r="A4211" s="18">
        <f>Charms!K4211</f>
        <v>0</v>
      </c>
      <c r="B4211">
        <f>Charms!B4211</f>
        <v>0</v>
      </c>
      <c r="C4211" t="b">
        <f ca="1">OR(Values!$S$98&gt;=Charms!M4211,IFERROR(Charms!J4211=OFFSET(Values!$A$24,MATCH("S",Values!$T$25:$T$50,0),0),FALSE))</f>
        <v>1</v>
      </c>
      <c r="D4211" t="e">
        <f>VLOOKUP(Charms!J4211,Values!$A$11:$S$59,19,0)&gt;=Charms!L4211</f>
        <v>#N/A</v>
      </c>
      <c r="E4211" t="e">
        <f>OR(ISBLANK(Charms!I4211),(VLOOKUP(Values!$S$6,Castes!$B$2:$F$25,4,0)=Charms!I4211))</f>
        <v>#N/A</v>
      </c>
      <c r="J4211" t="e">
        <f t="shared" ca="1" si="326"/>
        <v>#N/A</v>
      </c>
      <c r="K4211" s="18" t="e">
        <f t="shared" ca="1" si="325"/>
        <v>#N/A</v>
      </c>
      <c r="L4211" t="e">
        <f ca="1">IF(J4211,Charms!B4211,"")</f>
        <v>#N/A</v>
      </c>
      <c r="M4211" t="str">
        <f t="shared" ca="1" si="327"/>
        <v>-</v>
      </c>
      <c r="N4211" s="18" t="str">
        <f t="shared" si="328"/>
        <v>K1622:L5000</v>
      </c>
      <c r="O4211" t="str">
        <f t="shared" si="329"/>
        <v>A1622:A4211</v>
      </c>
    </row>
    <row r="4212" spans="1:15">
      <c r="A4212" s="18">
        <f>Charms!K4212</f>
        <v>0</v>
      </c>
      <c r="B4212">
        <f>Charms!B4212</f>
        <v>0</v>
      </c>
      <c r="C4212" t="b">
        <f ca="1">OR(Values!$S$98&gt;=Charms!M4212,IFERROR(Charms!J4212=OFFSET(Values!$A$24,MATCH("S",Values!$T$25:$T$50,0),0),FALSE))</f>
        <v>1</v>
      </c>
      <c r="D4212" t="e">
        <f>VLOOKUP(Charms!J4212,Values!$A$11:$S$59,19,0)&gt;=Charms!L4212</f>
        <v>#N/A</v>
      </c>
      <c r="E4212" t="e">
        <f>OR(ISBLANK(Charms!I4212),(VLOOKUP(Values!$S$6,Castes!$B$2:$F$25,4,0)=Charms!I4212))</f>
        <v>#N/A</v>
      </c>
      <c r="J4212" t="e">
        <f t="shared" ca="1" si="326"/>
        <v>#N/A</v>
      </c>
      <c r="K4212" s="18" t="e">
        <f t="shared" ca="1" si="325"/>
        <v>#N/A</v>
      </c>
      <c r="L4212" t="e">
        <f ca="1">IF(J4212,Charms!B4212,"")</f>
        <v>#N/A</v>
      </c>
      <c r="M4212" t="str">
        <f t="shared" ca="1" si="327"/>
        <v>-</v>
      </c>
      <c r="N4212" s="18" t="str">
        <f t="shared" si="328"/>
        <v>K1622:L5000</v>
      </c>
      <c r="O4212" t="str">
        <f t="shared" si="329"/>
        <v>A1622:A4212</v>
      </c>
    </row>
    <row r="4213" spans="1:15">
      <c r="A4213" s="18">
        <f>Charms!K4213</f>
        <v>0</v>
      </c>
      <c r="B4213">
        <f>Charms!B4213</f>
        <v>0</v>
      </c>
      <c r="C4213" t="b">
        <f ca="1">OR(Values!$S$98&gt;=Charms!M4213,IFERROR(Charms!J4213=OFFSET(Values!$A$24,MATCH("S",Values!$T$25:$T$50,0),0),FALSE))</f>
        <v>1</v>
      </c>
      <c r="D4213" t="e">
        <f>VLOOKUP(Charms!J4213,Values!$A$11:$S$59,19,0)&gt;=Charms!L4213</f>
        <v>#N/A</v>
      </c>
      <c r="E4213" t="e">
        <f>OR(ISBLANK(Charms!I4213),(VLOOKUP(Values!$S$6,Castes!$B$2:$F$25,4,0)=Charms!I4213))</f>
        <v>#N/A</v>
      </c>
      <c r="J4213" t="e">
        <f t="shared" ca="1" si="326"/>
        <v>#N/A</v>
      </c>
      <c r="K4213" s="18" t="e">
        <f t="shared" ca="1" si="325"/>
        <v>#N/A</v>
      </c>
      <c r="L4213" t="e">
        <f ca="1">IF(J4213,Charms!B4213,"")</f>
        <v>#N/A</v>
      </c>
      <c r="M4213" t="str">
        <f t="shared" ca="1" si="327"/>
        <v>-</v>
      </c>
      <c r="N4213" s="18" t="str">
        <f t="shared" si="328"/>
        <v>K1622:L5000</v>
      </c>
      <c r="O4213" t="str">
        <f t="shared" si="329"/>
        <v>A1622:A4213</v>
      </c>
    </row>
    <row r="4214" spans="1:15">
      <c r="A4214" s="18">
        <f>Charms!K4214</f>
        <v>0</v>
      </c>
      <c r="B4214">
        <f>Charms!B4214</f>
        <v>0</v>
      </c>
      <c r="C4214" t="b">
        <f ca="1">OR(Values!$S$98&gt;=Charms!M4214,IFERROR(Charms!J4214=OFFSET(Values!$A$24,MATCH("S",Values!$T$25:$T$50,0),0),FALSE))</f>
        <v>1</v>
      </c>
      <c r="D4214" t="e">
        <f>VLOOKUP(Charms!J4214,Values!$A$11:$S$59,19,0)&gt;=Charms!L4214</f>
        <v>#N/A</v>
      </c>
      <c r="E4214" t="e">
        <f>OR(ISBLANK(Charms!I4214),(VLOOKUP(Values!$S$6,Castes!$B$2:$F$25,4,0)=Charms!I4214))</f>
        <v>#N/A</v>
      </c>
      <c r="J4214" t="e">
        <f t="shared" ca="1" si="326"/>
        <v>#N/A</v>
      </c>
      <c r="K4214" s="18" t="e">
        <f t="shared" ca="1" si="325"/>
        <v>#N/A</v>
      </c>
      <c r="L4214" t="e">
        <f ca="1">IF(J4214,Charms!B4214,"")</f>
        <v>#N/A</v>
      </c>
      <c r="M4214" t="str">
        <f t="shared" ca="1" si="327"/>
        <v>-</v>
      </c>
      <c r="N4214" s="18" t="str">
        <f t="shared" si="328"/>
        <v>K1622:L5000</v>
      </c>
      <c r="O4214" t="str">
        <f t="shared" si="329"/>
        <v>A1622:A4214</v>
      </c>
    </row>
    <row r="4215" spans="1:15">
      <c r="A4215" s="18">
        <f>Charms!K4215</f>
        <v>0</v>
      </c>
      <c r="B4215">
        <f>Charms!B4215</f>
        <v>0</v>
      </c>
      <c r="C4215" t="b">
        <f ca="1">OR(Values!$S$98&gt;=Charms!M4215,IFERROR(Charms!J4215=OFFSET(Values!$A$24,MATCH("S",Values!$T$25:$T$50,0),0),FALSE))</f>
        <v>1</v>
      </c>
      <c r="D4215" t="e">
        <f>VLOOKUP(Charms!J4215,Values!$A$11:$S$59,19,0)&gt;=Charms!L4215</f>
        <v>#N/A</v>
      </c>
      <c r="E4215" t="e">
        <f>OR(ISBLANK(Charms!I4215),(VLOOKUP(Values!$S$6,Castes!$B$2:$F$25,4,0)=Charms!I4215))</f>
        <v>#N/A</v>
      </c>
      <c r="J4215" t="e">
        <f t="shared" ca="1" si="326"/>
        <v>#N/A</v>
      </c>
      <c r="K4215" s="18" t="e">
        <f t="shared" ca="1" si="325"/>
        <v>#N/A</v>
      </c>
      <c r="L4215" t="e">
        <f ca="1">IF(J4215,Charms!B4215,"")</f>
        <v>#N/A</v>
      </c>
      <c r="M4215" t="str">
        <f t="shared" ca="1" si="327"/>
        <v>-</v>
      </c>
      <c r="N4215" s="18" t="str">
        <f t="shared" si="328"/>
        <v>K1622:L5000</v>
      </c>
      <c r="O4215" t="str">
        <f t="shared" si="329"/>
        <v>A1622:A4215</v>
      </c>
    </row>
    <row r="4216" spans="1:15">
      <c r="A4216" s="18">
        <f>Charms!K4216</f>
        <v>0</v>
      </c>
      <c r="B4216">
        <f>Charms!B4216</f>
        <v>0</v>
      </c>
      <c r="C4216" t="b">
        <f ca="1">OR(Values!$S$98&gt;=Charms!M4216,IFERROR(Charms!J4216=OFFSET(Values!$A$24,MATCH("S",Values!$T$25:$T$50,0),0),FALSE))</f>
        <v>1</v>
      </c>
      <c r="D4216" t="e">
        <f>VLOOKUP(Charms!J4216,Values!$A$11:$S$59,19,0)&gt;=Charms!L4216</f>
        <v>#N/A</v>
      </c>
      <c r="E4216" t="e">
        <f>OR(ISBLANK(Charms!I4216),(VLOOKUP(Values!$S$6,Castes!$B$2:$F$25,4,0)=Charms!I4216))</f>
        <v>#N/A</v>
      </c>
      <c r="J4216" t="e">
        <f t="shared" ca="1" si="326"/>
        <v>#N/A</v>
      </c>
      <c r="K4216" s="18" t="e">
        <f t="shared" ca="1" si="325"/>
        <v>#N/A</v>
      </c>
      <c r="L4216" t="e">
        <f ca="1">IF(J4216,Charms!B4216,"")</f>
        <v>#N/A</v>
      </c>
      <c r="M4216" t="str">
        <f t="shared" ca="1" si="327"/>
        <v>-</v>
      </c>
      <c r="N4216" s="18" t="str">
        <f t="shared" si="328"/>
        <v>K1622:L5000</v>
      </c>
      <c r="O4216" t="str">
        <f t="shared" si="329"/>
        <v>A1622:A4216</v>
      </c>
    </row>
    <row r="4217" spans="1:15">
      <c r="A4217" s="18">
        <f>Charms!K4217</f>
        <v>0</v>
      </c>
      <c r="B4217">
        <f>Charms!B4217</f>
        <v>0</v>
      </c>
      <c r="C4217" t="b">
        <f ca="1">OR(Values!$S$98&gt;=Charms!M4217,IFERROR(Charms!J4217=OFFSET(Values!$A$24,MATCH("S",Values!$T$25:$T$50,0),0),FALSE))</f>
        <v>1</v>
      </c>
      <c r="D4217" t="e">
        <f>VLOOKUP(Charms!J4217,Values!$A$11:$S$59,19,0)&gt;=Charms!L4217</f>
        <v>#N/A</v>
      </c>
      <c r="E4217" t="e">
        <f>OR(ISBLANK(Charms!I4217),(VLOOKUP(Values!$S$6,Castes!$B$2:$F$25,4,0)=Charms!I4217))</f>
        <v>#N/A</v>
      </c>
      <c r="J4217" t="e">
        <f t="shared" ca="1" si="326"/>
        <v>#N/A</v>
      </c>
      <c r="K4217" s="18" t="e">
        <f t="shared" ca="1" si="325"/>
        <v>#N/A</v>
      </c>
      <c r="L4217" t="e">
        <f ca="1">IF(J4217,Charms!B4217,"")</f>
        <v>#N/A</v>
      </c>
      <c r="M4217" t="str">
        <f t="shared" ca="1" si="327"/>
        <v>-</v>
      </c>
      <c r="N4217" s="18" t="str">
        <f t="shared" si="328"/>
        <v>K1622:L5000</v>
      </c>
      <c r="O4217" t="str">
        <f t="shared" si="329"/>
        <v>A1622:A4217</v>
      </c>
    </row>
    <row r="4218" spans="1:15">
      <c r="A4218" s="18">
        <f>Charms!K4218</f>
        <v>0</v>
      </c>
      <c r="B4218">
        <f>Charms!B4218</f>
        <v>0</v>
      </c>
      <c r="C4218" t="b">
        <f ca="1">OR(Values!$S$98&gt;=Charms!M4218,IFERROR(Charms!J4218=OFFSET(Values!$A$24,MATCH("S",Values!$T$25:$T$50,0),0),FALSE))</f>
        <v>1</v>
      </c>
      <c r="D4218" t="e">
        <f>VLOOKUP(Charms!J4218,Values!$A$11:$S$59,19,0)&gt;=Charms!L4218</f>
        <v>#N/A</v>
      </c>
      <c r="E4218" t="e">
        <f>OR(ISBLANK(Charms!I4218),(VLOOKUP(Values!$S$6,Castes!$B$2:$F$25,4,0)=Charms!I4218))</f>
        <v>#N/A</v>
      </c>
      <c r="J4218" t="e">
        <f t="shared" ca="1" si="326"/>
        <v>#N/A</v>
      </c>
      <c r="K4218" s="18" t="e">
        <f t="shared" ca="1" si="325"/>
        <v>#N/A</v>
      </c>
      <c r="L4218" t="e">
        <f ca="1">IF(J4218,Charms!B4218,"")</f>
        <v>#N/A</v>
      </c>
      <c r="M4218" t="str">
        <f t="shared" ca="1" si="327"/>
        <v>-</v>
      </c>
      <c r="N4218" s="18" t="str">
        <f t="shared" si="328"/>
        <v>K1622:L5000</v>
      </c>
      <c r="O4218" t="str">
        <f t="shared" si="329"/>
        <v>A1622:A4218</v>
      </c>
    </row>
    <row r="4219" spans="1:15">
      <c r="A4219" s="18">
        <f>Charms!K4219</f>
        <v>0</v>
      </c>
      <c r="B4219">
        <f>Charms!B4219</f>
        <v>0</v>
      </c>
      <c r="C4219" t="b">
        <f ca="1">OR(Values!$S$98&gt;=Charms!M4219,IFERROR(Charms!J4219=OFFSET(Values!$A$24,MATCH("S",Values!$T$25:$T$50,0),0),FALSE))</f>
        <v>1</v>
      </c>
      <c r="D4219" t="e">
        <f>VLOOKUP(Charms!J4219,Values!$A$11:$S$59,19,0)&gt;=Charms!L4219</f>
        <v>#N/A</v>
      </c>
      <c r="E4219" t="e">
        <f>OR(ISBLANK(Charms!I4219),(VLOOKUP(Values!$S$6,Castes!$B$2:$F$25,4,0)=Charms!I4219))</f>
        <v>#N/A</v>
      </c>
      <c r="J4219" t="e">
        <f t="shared" ca="1" si="326"/>
        <v>#N/A</v>
      </c>
      <c r="K4219" s="18" t="e">
        <f t="shared" ca="1" si="325"/>
        <v>#N/A</v>
      </c>
      <c r="L4219" t="e">
        <f ca="1">IF(J4219,Charms!B4219,"")</f>
        <v>#N/A</v>
      </c>
      <c r="M4219" t="str">
        <f t="shared" ca="1" si="327"/>
        <v>-</v>
      </c>
      <c r="N4219" s="18" t="str">
        <f t="shared" si="328"/>
        <v>K1622:L5000</v>
      </c>
      <c r="O4219" t="str">
        <f t="shared" si="329"/>
        <v>A1622:A4219</v>
      </c>
    </row>
    <row r="4220" spans="1:15">
      <c r="A4220" s="18">
        <f>Charms!K4220</f>
        <v>0</v>
      </c>
      <c r="B4220">
        <f>Charms!B4220</f>
        <v>0</v>
      </c>
      <c r="C4220" t="b">
        <f ca="1">OR(Values!$S$98&gt;=Charms!M4220,IFERROR(Charms!J4220=OFFSET(Values!$A$24,MATCH("S",Values!$T$25:$T$50,0),0),FALSE))</f>
        <v>1</v>
      </c>
      <c r="D4220" t="e">
        <f>VLOOKUP(Charms!J4220,Values!$A$11:$S$59,19,0)&gt;=Charms!L4220</f>
        <v>#N/A</v>
      </c>
      <c r="E4220" t="e">
        <f>OR(ISBLANK(Charms!I4220),(VLOOKUP(Values!$S$6,Castes!$B$2:$F$25,4,0)=Charms!I4220))</f>
        <v>#N/A</v>
      </c>
      <c r="J4220" t="e">
        <f t="shared" ca="1" si="326"/>
        <v>#N/A</v>
      </c>
      <c r="K4220" s="18" t="e">
        <f t="shared" ca="1" si="325"/>
        <v>#N/A</v>
      </c>
      <c r="L4220" t="e">
        <f ca="1">IF(J4220,Charms!B4220,"")</f>
        <v>#N/A</v>
      </c>
      <c r="M4220" t="str">
        <f t="shared" ca="1" si="327"/>
        <v>-</v>
      </c>
      <c r="N4220" s="18" t="str">
        <f t="shared" si="328"/>
        <v>K1622:L5000</v>
      </c>
      <c r="O4220" t="str">
        <f t="shared" si="329"/>
        <v>A1622:A4220</v>
      </c>
    </row>
    <row r="4221" spans="1:15">
      <c r="A4221" s="18">
        <f>Charms!K4221</f>
        <v>0</v>
      </c>
      <c r="B4221">
        <f>Charms!B4221</f>
        <v>0</v>
      </c>
      <c r="C4221" t="b">
        <f ca="1">OR(Values!$S$98&gt;=Charms!M4221,IFERROR(Charms!J4221=OFFSET(Values!$A$24,MATCH("S",Values!$T$25:$T$50,0),0),FALSE))</f>
        <v>1</v>
      </c>
      <c r="D4221" t="e">
        <f>VLOOKUP(Charms!J4221,Values!$A$11:$S$59,19,0)&gt;=Charms!L4221</f>
        <v>#N/A</v>
      </c>
      <c r="E4221" t="e">
        <f>OR(ISBLANK(Charms!I4221),(VLOOKUP(Values!$S$6,Castes!$B$2:$F$25,4,0)=Charms!I4221))</f>
        <v>#N/A</v>
      </c>
      <c r="J4221" t="e">
        <f t="shared" ca="1" si="326"/>
        <v>#N/A</v>
      </c>
      <c r="K4221" s="18" t="e">
        <f t="shared" ca="1" si="325"/>
        <v>#N/A</v>
      </c>
      <c r="L4221" t="e">
        <f ca="1">IF(J4221,Charms!B4221,"")</f>
        <v>#N/A</v>
      </c>
      <c r="M4221" t="str">
        <f t="shared" ca="1" si="327"/>
        <v>-</v>
      </c>
      <c r="N4221" s="18" t="str">
        <f t="shared" si="328"/>
        <v>K1622:L5000</v>
      </c>
      <c r="O4221" t="str">
        <f t="shared" si="329"/>
        <v>A1622:A4221</v>
      </c>
    </row>
    <row r="4222" spans="1:15">
      <c r="A4222" s="18">
        <f>Charms!K4222</f>
        <v>0</v>
      </c>
      <c r="B4222">
        <f>Charms!B4222</f>
        <v>0</v>
      </c>
      <c r="C4222" t="b">
        <f ca="1">OR(Values!$S$98&gt;=Charms!M4222,IFERROR(Charms!J4222=OFFSET(Values!$A$24,MATCH("S",Values!$T$25:$T$50,0),0),FALSE))</f>
        <v>1</v>
      </c>
      <c r="D4222" t="e">
        <f>VLOOKUP(Charms!J4222,Values!$A$11:$S$59,19,0)&gt;=Charms!L4222</f>
        <v>#N/A</v>
      </c>
      <c r="E4222" t="e">
        <f>OR(ISBLANK(Charms!I4222),(VLOOKUP(Values!$S$6,Castes!$B$2:$F$25,4,0)=Charms!I4222))</f>
        <v>#N/A</v>
      </c>
      <c r="J4222" t="e">
        <f t="shared" ca="1" si="326"/>
        <v>#N/A</v>
      </c>
      <c r="K4222" s="18" t="e">
        <f t="shared" ca="1" si="325"/>
        <v>#N/A</v>
      </c>
      <c r="L4222" t="e">
        <f ca="1">IF(J4222,Charms!B4222,"")</f>
        <v>#N/A</v>
      </c>
      <c r="M4222" t="str">
        <f t="shared" ca="1" si="327"/>
        <v>-</v>
      </c>
      <c r="N4222" s="18" t="str">
        <f t="shared" si="328"/>
        <v>K1622:L5000</v>
      </c>
      <c r="O4222" t="str">
        <f t="shared" si="329"/>
        <v>A1622:A4222</v>
      </c>
    </row>
    <row r="4223" spans="1:15">
      <c r="A4223" s="18">
        <f>Charms!K4223</f>
        <v>0</v>
      </c>
      <c r="B4223">
        <f>Charms!B4223</f>
        <v>0</v>
      </c>
      <c r="C4223" t="b">
        <f ca="1">OR(Values!$S$98&gt;=Charms!M4223,IFERROR(Charms!J4223=OFFSET(Values!$A$24,MATCH("S",Values!$T$25:$T$50,0),0),FALSE))</f>
        <v>1</v>
      </c>
      <c r="D4223" t="e">
        <f>VLOOKUP(Charms!J4223,Values!$A$11:$S$59,19,0)&gt;=Charms!L4223</f>
        <v>#N/A</v>
      </c>
      <c r="E4223" t="e">
        <f>OR(ISBLANK(Charms!I4223),(VLOOKUP(Values!$S$6,Castes!$B$2:$F$25,4,0)=Charms!I4223))</f>
        <v>#N/A</v>
      </c>
      <c r="J4223" t="e">
        <f t="shared" ca="1" si="326"/>
        <v>#N/A</v>
      </c>
      <c r="K4223" s="18" t="e">
        <f t="shared" ca="1" si="325"/>
        <v>#N/A</v>
      </c>
      <c r="L4223" t="e">
        <f ca="1">IF(J4223,Charms!B4223,"")</f>
        <v>#N/A</v>
      </c>
      <c r="M4223" t="str">
        <f t="shared" ca="1" si="327"/>
        <v>-</v>
      </c>
      <c r="N4223" s="18" t="str">
        <f t="shared" si="328"/>
        <v>K1622:L5000</v>
      </c>
      <c r="O4223" t="str">
        <f t="shared" si="329"/>
        <v>A1622:A4223</v>
      </c>
    </row>
    <row r="4224" spans="1:15">
      <c r="A4224" s="18">
        <f>Charms!K4224</f>
        <v>0</v>
      </c>
      <c r="B4224">
        <f>Charms!B4224</f>
        <v>0</v>
      </c>
      <c r="C4224" t="b">
        <f ca="1">OR(Values!$S$98&gt;=Charms!M4224,IFERROR(Charms!J4224=OFFSET(Values!$A$24,MATCH("S",Values!$T$25:$T$50,0),0),FALSE))</f>
        <v>1</v>
      </c>
      <c r="D4224" t="e">
        <f>VLOOKUP(Charms!J4224,Values!$A$11:$S$59,19,0)&gt;=Charms!L4224</f>
        <v>#N/A</v>
      </c>
      <c r="E4224" t="e">
        <f>OR(ISBLANK(Charms!I4224),(VLOOKUP(Values!$S$6,Castes!$B$2:$F$25,4,0)=Charms!I4224))</f>
        <v>#N/A</v>
      </c>
      <c r="J4224" t="e">
        <f t="shared" ca="1" si="326"/>
        <v>#N/A</v>
      </c>
      <c r="K4224" s="18" t="e">
        <f t="shared" ca="1" si="325"/>
        <v>#N/A</v>
      </c>
      <c r="L4224" t="e">
        <f ca="1">IF(J4224,Charms!B4224,"")</f>
        <v>#N/A</v>
      </c>
      <c r="M4224" t="str">
        <f t="shared" ca="1" si="327"/>
        <v>-</v>
      </c>
      <c r="N4224" s="18" t="str">
        <f t="shared" si="328"/>
        <v>K1622:L5000</v>
      </c>
      <c r="O4224" t="str">
        <f t="shared" si="329"/>
        <v>A1622:A4224</v>
      </c>
    </row>
    <row r="4225" spans="1:15">
      <c r="A4225" s="18">
        <f>Charms!K4225</f>
        <v>0</v>
      </c>
      <c r="B4225">
        <f>Charms!B4225</f>
        <v>0</v>
      </c>
      <c r="C4225" t="b">
        <f ca="1">OR(Values!$S$98&gt;=Charms!M4225,IFERROR(Charms!J4225=OFFSET(Values!$A$24,MATCH("S",Values!$T$25:$T$50,0),0),FALSE))</f>
        <v>1</v>
      </c>
      <c r="D4225" t="e">
        <f>VLOOKUP(Charms!J4225,Values!$A$11:$S$59,19,0)&gt;=Charms!L4225</f>
        <v>#N/A</v>
      </c>
      <c r="E4225" t="e">
        <f>OR(ISBLANK(Charms!I4225),(VLOOKUP(Values!$S$6,Castes!$B$2:$F$25,4,0)=Charms!I4225))</f>
        <v>#N/A</v>
      </c>
      <c r="J4225" t="e">
        <f t="shared" ca="1" si="326"/>
        <v>#N/A</v>
      </c>
      <c r="K4225" s="18" t="e">
        <f t="shared" ca="1" si="325"/>
        <v>#N/A</v>
      </c>
      <c r="L4225" t="e">
        <f ca="1">IF(J4225,Charms!B4225,"")</f>
        <v>#N/A</v>
      </c>
      <c r="M4225" t="str">
        <f t="shared" ca="1" si="327"/>
        <v>-</v>
      </c>
      <c r="N4225" s="18" t="str">
        <f t="shared" si="328"/>
        <v>K1622:L5000</v>
      </c>
      <c r="O4225" t="str">
        <f t="shared" si="329"/>
        <v>A1622:A4225</v>
      </c>
    </row>
    <row r="4226" spans="1:15">
      <c r="A4226" s="18">
        <f>Charms!K4226</f>
        <v>0</v>
      </c>
      <c r="B4226">
        <f>Charms!B4226</f>
        <v>0</v>
      </c>
      <c r="C4226" t="b">
        <f ca="1">OR(Values!$S$98&gt;=Charms!M4226,IFERROR(Charms!J4226=OFFSET(Values!$A$24,MATCH("S",Values!$T$25:$T$50,0),0),FALSE))</f>
        <v>1</v>
      </c>
      <c r="D4226" t="e">
        <f>VLOOKUP(Charms!J4226,Values!$A$11:$S$59,19,0)&gt;=Charms!L4226</f>
        <v>#N/A</v>
      </c>
      <c r="E4226" t="e">
        <f>OR(ISBLANK(Charms!I4226),(VLOOKUP(Values!$S$6,Castes!$B$2:$F$25,4,0)=Charms!I4226))</f>
        <v>#N/A</v>
      </c>
      <c r="J4226" t="e">
        <f t="shared" ca="1" si="326"/>
        <v>#N/A</v>
      </c>
      <c r="K4226" s="18" t="e">
        <f t="shared" ref="K4226:K4289" ca="1" si="330">IF(L4226="","",COUNTIF(INDIRECT("J"&amp;MATCH(A4226,A:A,0)&amp;":J"&amp;ROW()),J4226))</f>
        <v>#N/A</v>
      </c>
      <c r="L4226" t="e">
        <f ca="1">IF(J4226,Charms!B4226,"")</f>
        <v>#N/A</v>
      </c>
      <c r="M4226" t="str">
        <f t="shared" ca="1" si="327"/>
        <v>-</v>
      </c>
      <c r="N4226" s="18" t="str">
        <f t="shared" si="328"/>
        <v>K1622:L5000</v>
      </c>
      <c r="O4226" t="str">
        <f t="shared" si="329"/>
        <v>A1622:A4226</v>
      </c>
    </row>
    <row r="4227" spans="1:15">
      <c r="A4227" s="18">
        <f>Charms!K4227</f>
        <v>0</v>
      </c>
      <c r="B4227">
        <f>Charms!B4227</f>
        <v>0</v>
      </c>
      <c r="C4227" t="b">
        <f ca="1">OR(Values!$S$98&gt;=Charms!M4227,IFERROR(Charms!J4227=OFFSET(Values!$A$24,MATCH("S",Values!$T$25:$T$50,0),0),FALSE))</f>
        <v>1</v>
      </c>
      <c r="D4227" t="e">
        <f>VLOOKUP(Charms!J4227,Values!$A$11:$S$59,19,0)&gt;=Charms!L4227</f>
        <v>#N/A</v>
      </c>
      <c r="E4227" t="e">
        <f>OR(ISBLANK(Charms!I4227),(VLOOKUP(Values!$S$6,Castes!$B$2:$F$25,4,0)=Charms!I4227))</f>
        <v>#N/A</v>
      </c>
      <c r="J4227" t="e">
        <f t="shared" ref="J4227:J4290" ca="1" si="331">(C4227+D4227+E4227+F4227+G4227+H4227+I4227)=3</f>
        <v>#N/A</v>
      </c>
      <c r="K4227" s="18" t="e">
        <f t="shared" ca="1" si="330"/>
        <v>#N/A</v>
      </c>
      <c r="L4227" t="e">
        <f ca="1">IF(J4227,Charms!B4227,"")</f>
        <v>#N/A</v>
      </c>
      <c r="M4227" t="str">
        <f t="shared" ref="M4227:M4290" ca="1" si="332">IFERROR(VLOOKUP(COUNTIF(INDIRECT(O4227),A4227),INDIRECT(N4227),2,0),"-")</f>
        <v>-</v>
      </c>
      <c r="N4227" s="18" t="str">
        <f t="shared" ref="N4227:N4290" si="333">"K"&amp;MATCH(A4227,A:A,0)&amp;":L"&amp;(MATCH(A4227,A:A,0)+COUNTIF(A:A,A4227)-1)</f>
        <v>K1622:L5000</v>
      </c>
      <c r="O4227" t="str">
        <f t="shared" ref="O4227:O4290" si="334">"A"&amp;MATCH(A4227,A:A,0)&amp;":A"&amp;ROW()</f>
        <v>A1622:A4227</v>
      </c>
    </row>
    <row r="4228" spans="1:15">
      <c r="A4228" s="18">
        <f>Charms!K4228</f>
        <v>0</v>
      </c>
      <c r="B4228">
        <f>Charms!B4228</f>
        <v>0</v>
      </c>
      <c r="C4228" t="b">
        <f ca="1">OR(Values!$S$98&gt;=Charms!M4228,IFERROR(Charms!J4228=OFFSET(Values!$A$24,MATCH("S",Values!$T$25:$T$50,0),0),FALSE))</f>
        <v>1</v>
      </c>
      <c r="D4228" t="e">
        <f>VLOOKUP(Charms!J4228,Values!$A$11:$S$59,19,0)&gt;=Charms!L4228</f>
        <v>#N/A</v>
      </c>
      <c r="E4228" t="e">
        <f>OR(ISBLANK(Charms!I4228),(VLOOKUP(Values!$S$6,Castes!$B$2:$F$25,4,0)=Charms!I4228))</f>
        <v>#N/A</v>
      </c>
      <c r="J4228" t="e">
        <f t="shared" ca="1" si="331"/>
        <v>#N/A</v>
      </c>
      <c r="K4228" s="18" t="e">
        <f t="shared" ca="1" si="330"/>
        <v>#N/A</v>
      </c>
      <c r="L4228" t="e">
        <f ca="1">IF(J4228,Charms!B4228,"")</f>
        <v>#N/A</v>
      </c>
      <c r="M4228" t="str">
        <f t="shared" ca="1" si="332"/>
        <v>-</v>
      </c>
      <c r="N4228" s="18" t="str">
        <f t="shared" si="333"/>
        <v>K1622:L5000</v>
      </c>
      <c r="O4228" t="str">
        <f t="shared" si="334"/>
        <v>A1622:A4228</v>
      </c>
    </row>
    <row r="4229" spans="1:15">
      <c r="A4229" s="18">
        <f>Charms!K4229</f>
        <v>0</v>
      </c>
      <c r="B4229">
        <f>Charms!B4229</f>
        <v>0</v>
      </c>
      <c r="C4229" t="b">
        <f ca="1">OR(Values!$S$98&gt;=Charms!M4229,IFERROR(Charms!J4229=OFFSET(Values!$A$24,MATCH("S",Values!$T$25:$T$50,0),0),FALSE))</f>
        <v>1</v>
      </c>
      <c r="D4229" t="e">
        <f>VLOOKUP(Charms!J4229,Values!$A$11:$S$59,19,0)&gt;=Charms!L4229</f>
        <v>#N/A</v>
      </c>
      <c r="E4229" t="e">
        <f>OR(ISBLANK(Charms!I4229),(VLOOKUP(Values!$S$6,Castes!$B$2:$F$25,4,0)=Charms!I4229))</f>
        <v>#N/A</v>
      </c>
      <c r="J4229" t="e">
        <f t="shared" ca="1" si="331"/>
        <v>#N/A</v>
      </c>
      <c r="K4229" s="18" t="e">
        <f t="shared" ca="1" si="330"/>
        <v>#N/A</v>
      </c>
      <c r="L4229" t="e">
        <f ca="1">IF(J4229,Charms!B4229,"")</f>
        <v>#N/A</v>
      </c>
      <c r="M4229" t="str">
        <f t="shared" ca="1" si="332"/>
        <v>-</v>
      </c>
      <c r="N4229" s="18" t="str">
        <f t="shared" si="333"/>
        <v>K1622:L5000</v>
      </c>
      <c r="O4229" t="str">
        <f t="shared" si="334"/>
        <v>A1622:A4229</v>
      </c>
    </row>
    <row r="4230" spans="1:15">
      <c r="A4230" s="18">
        <f>Charms!K4230</f>
        <v>0</v>
      </c>
      <c r="B4230">
        <f>Charms!B4230</f>
        <v>0</v>
      </c>
      <c r="C4230" t="b">
        <f ca="1">OR(Values!$S$98&gt;=Charms!M4230,IFERROR(Charms!J4230=OFFSET(Values!$A$24,MATCH("S",Values!$T$25:$T$50,0),0),FALSE))</f>
        <v>1</v>
      </c>
      <c r="D4230" t="e">
        <f>VLOOKUP(Charms!J4230,Values!$A$11:$S$59,19,0)&gt;=Charms!L4230</f>
        <v>#N/A</v>
      </c>
      <c r="E4230" t="e">
        <f>OR(ISBLANK(Charms!I4230),(VLOOKUP(Values!$S$6,Castes!$B$2:$F$25,4,0)=Charms!I4230))</f>
        <v>#N/A</v>
      </c>
      <c r="J4230" t="e">
        <f t="shared" ca="1" si="331"/>
        <v>#N/A</v>
      </c>
      <c r="K4230" s="18" t="e">
        <f t="shared" ca="1" si="330"/>
        <v>#N/A</v>
      </c>
      <c r="L4230" t="e">
        <f ca="1">IF(J4230,Charms!B4230,"")</f>
        <v>#N/A</v>
      </c>
      <c r="M4230" t="str">
        <f t="shared" ca="1" si="332"/>
        <v>-</v>
      </c>
      <c r="N4230" s="18" t="str">
        <f t="shared" si="333"/>
        <v>K1622:L5000</v>
      </c>
      <c r="O4230" t="str">
        <f t="shared" si="334"/>
        <v>A1622:A4230</v>
      </c>
    </row>
    <row r="4231" spans="1:15">
      <c r="A4231" s="18">
        <f>Charms!K4231</f>
        <v>0</v>
      </c>
      <c r="B4231">
        <f>Charms!B4231</f>
        <v>0</v>
      </c>
      <c r="C4231" t="b">
        <f ca="1">OR(Values!$S$98&gt;=Charms!M4231,IFERROR(Charms!J4231=OFFSET(Values!$A$24,MATCH("S",Values!$T$25:$T$50,0),0),FALSE))</f>
        <v>1</v>
      </c>
      <c r="D4231" t="e">
        <f>VLOOKUP(Charms!J4231,Values!$A$11:$S$59,19,0)&gt;=Charms!L4231</f>
        <v>#N/A</v>
      </c>
      <c r="E4231" t="e">
        <f>OR(ISBLANK(Charms!I4231),(VLOOKUP(Values!$S$6,Castes!$B$2:$F$25,4,0)=Charms!I4231))</f>
        <v>#N/A</v>
      </c>
      <c r="J4231" t="e">
        <f t="shared" ca="1" si="331"/>
        <v>#N/A</v>
      </c>
      <c r="K4231" s="18" t="e">
        <f t="shared" ca="1" si="330"/>
        <v>#N/A</v>
      </c>
      <c r="L4231" t="e">
        <f ca="1">IF(J4231,Charms!B4231,"")</f>
        <v>#N/A</v>
      </c>
      <c r="M4231" t="str">
        <f t="shared" ca="1" si="332"/>
        <v>-</v>
      </c>
      <c r="N4231" s="18" t="str">
        <f t="shared" si="333"/>
        <v>K1622:L5000</v>
      </c>
      <c r="O4231" t="str">
        <f t="shared" si="334"/>
        <v>A1622:A4231</v>
      </c>
    </row>
    <row r="4232" spans="1:15">
      <c r="A4232" s="18">
        <f>Charms!K4232</f>
        <v>0</v>
      </c>
      <c r="B4232">
        <f>Charms!B4232</f>
        <v>0</v>
      </c>
      <c r="C4232" t="b">
        <f ca="1">OR(Values!$S$98&gt;=Charms!M4232,IFERROR(Charms!J4232=OFFSET(Values!$A$24,MATCH("S",Values!$T$25:$T$50,0),0),FALSE))</f>
        <v>1</v>
      </c>
      <c r="D4232" t="e">
        <f>VLOOKUP(Charms!J4232,Values!$A$11:$S$59,19,0)&gt;=Charms!L4232</f>
        <v>#N/A</v>
      </c>
      <c r="E4232" t="e">
        <f>OR(ISBLANK(Charms!I4232),(VLOOKUP(Values!$S$6,Castes!$B$2:$F$25,4,0)=Charms!I4232))</f>
        <v>#N/A</v>
      </c>
      <c r="J4232" t="e">
        <f t="shared" ca="1" si="331"/>
        <v>#N/A</v>
      </c>
      <c r="K4232" s="18" t="e">
        <f t="shared" ca="1" si="330"/>
        <v>#N/A</v>
      </c>
      <c r="L4232" t="e">
        <f ca="1">IF(J4232,Charms!B4232,"")</f>
        <v>#N/A</v>
      </c>
      <c r="M4232" t="str">
        <f t="shared" ca="1" si="332"/>
        <v>-</v>
      </c>
      <c r="N4232" s="18" t="str">
        <f t="shared" si="333"/>
        <v>K1622:L5000</v>
      </c>
      <c r="O4232" t="str">
        <f t="shared" si="334"/>
        <v>A1622:A4232</v>
      </c>
    </row>
    <row r="4233" spans="1:15">
      <c r="A4233" s="18">
        <f>Charms!K4233</f>
        <v>0</v>
      </c>
      <c r="B4233">
        <f>Charms!B4233</f>
        <v>0</v>
      </c>
      <c r="C4233" t="b">
        <f ca="1">OR(Values!$S$98&gt;=Charms!M4233,IFERROR(Charms!J4233=OFFSET(Values!$A$24,MATCH("S",Values!$T$25:$T$50,0),0),FALSE))</f>
        <v>1</v>
      </c>
      <c r="D4233" t="e">
        <f>VLOOKUP(Charms!J4233,Values!$A$11:$S$59,19,0)&gt;=Charms!L4233</f>
        <v>#N/A</v>
      </c>
      <c r="E4233" t="e">
        <f>OR(ISBLANK(Charms!I4233),(VLOOKUP(Values!$S$6,Castes!$B$2:$F$25,4,0)=Charms!I4233))</f>
        <v>#N/A</v>
      </c>
      <c r="J4233" t="e">
        <f t="shared" ca="1" si="331"/>
        <v>#N/A</v>
      </c>
      <c r="K4233" s="18" t="e">
        <f t="shared" ca="1" si="330"/>
        <v>#N/A</v>
      </c>
      <c r="L4233" t="e">
        <f ca="1">IF(J4233,Charms!B4233,"")</f>
        <v>#N/A</v>
      </c>
      <c r="M4233" t="str">
        <f t="shared" ca="1" si="332"/>
        <v>-</v>
      </c>
      <c r="N4233" s="18" t="str">
        <f t="shared" si="333"/>
        <v>K1622:L5000</v>
      </c>
      <c r="O4233" t="str">
        <f t="shared" si="334"/>
        <v>A1622:A4233</v>
      </c>
    </row>
    <row r="4234" spans="1:15">
      <c r="A4234" s="18">
        <f>Charms!K4234</f>
        <v>0</v>
      </c>
      <c r="B4234">
        <f>Charms!B4234</f>
        <v>0</v>
      </c>
      <c r="C4234" t="b">
        <f ca="1">OR(Values!$S$98&gt;=Charms!M4234,IFERROR(Charms!J4234=OFFSET(Values!$A$24,MATCH("S",Values!$T$25:$T$50,0),0),FALSE))</f>
        <v>1</v>
      </c>
      <c r="D4234" t="e">
        <f>VLOOKUP(Charms!J4234,Values!$A$11:$S$59,19,0)&gt;=Charms!L4234</f>
        <v>#N/A</v>
      </c>
      <c r="E4234" t="e">
        <f>OR(ISBLANK(Charms!I4234),(VLOOKUP(Values!$S$6,Castes!$B$2:$F$25,4,0)=Charms!I4234))</f>
        <v>#N/A</v>
      </c>
      <c r="J4234" t="e">
        <f t="shared" ca="1" si="331"/>
        <v>#N/A</v>
      </c>
      <c r="K4234" s="18" t="e">
        <f t="shared" ca="1" si="330"/>
        <v>#N/A</v>
      </c>
      <c r="L4234" t="e">
        <f ca="1">IF(J4234,Charms!B4234,"")</f>
        <v>#N/A</v>
      </c>
      <c r="M4234" t="str">
        <f t="shared" ca="1" si="332"/>
        <v>-</v>
      </c>
      <c r="N4234" s="18" t="str">
        <f t="shared" si="333"/>
        <v>K1622:L5000</v>
      </c>
      <c r="O4234" t="str">
        <f t="shared" si="334"/>
        <v>A1622:A4234</v>
      </c>
    </row>
    <row r="4235" spans="1:15">
      <c r="A4235" s="18">
        <f>Charms!K4235</f>
        <v>0</v>
      </c>
      <c r="B4235">
        <f>Charms!B4235</f>
        <v>0</v>
      </c>
      <c r="C4235" t="b">
        <f ca="1">OR(Values!$S$98&gt;=Charms!M4235,IFERROR(Charms!J4235=OFFSET(Values!$A$24,MATCH("S",Values!$T$25:$T$50,0),0),FALSE))</f>
        <v>1</v>
      </c>
      <c r="D4235" t="e">
        <f>VLOOKUP(Charms!J4235,Values!$A$11:$S$59,19,0)&gt;=Charms!L4235</f>
        <v>#N/A</v>
      </c>
      <c r="E4235" t="e">
        <f>OR(ISBLANK(Charms!I4235),(VLOOKUP(Values!$S$6,Castes!$B$2:$F$25,4,0)=Charms!I4235))</f>
        <v>#N/A</v>
      </c>
      <c r="J4235" t="e">
        <f t="shared" ca="1" si="331"/>
        <v>#N/A</v>
      </c>
      <c r="K4235" s="18" t="e">
        <f t="shared" ca="1" si="330"/>
        <v>#N/A</v>
      </c>
      <c r="L4235" t="e">
        <f ca="1">IF(J4235,Charms!B4235,"")</f>
        <v>#N/A</v>
      </c>
      <c r="M4235" t="str">
        <f t="shared" ca="1" si="332"/>
        <v>-</v>
      </c>
      <c r="N4235" s="18" t="str">
        <f t="shared" si="333"/>
        <v>K1622:L5000</v>
      </c>
      <c r="O4235" t="str">
        <f t="shared" si="334"/>
        <v>A1622:A4235</v>
      </c>
    </row>
    <row r="4236" spans="1:15">
      <c r="A4236" s="18">
        <f>Charms!K4236</f>
        <v>0</v>
      </c>
      <c r="B4236">
        <f>Charms!B4236</f>
        <v>0</v>
      </c>
      <c r="C4236" t="b">
        <f ca="1">OR(Values!$S$98&gt;=Charms!M4236,IFERROR(Charms!J4236=OFFSET(Values!$A$24,MATCH("S",Values!$T$25:$T$50,0),0),FALSE))</f>
        <v>1</v>
      </c>
      <c r="D4236" t="e">
        <f>VLOOKUP(Charms!J4236,Values!$A$11:$S$59,19,0)&gt;=Charms!L4236</f>
        <v>#N/A</v>
      </c>
      <c r="E4236" t="e">
        <f>OR(ISBLANK(Charms!I4236),(VLOOKUP(Values!$S$6,Castes!$B$2:$F$25,4,0)=Charms!I4236))</f>
        <v>#N/A</v>
      </c>
      <c r="J4236" t="e">
        <f t="shared" ca="1" si="331"/>
        <v>#N/A</v>
      </c>
      <c r="K4236" s="18" t="e">
        <f t="shared" ca="1" si="330"/>
        <v>#N/A</v>
      </c>
      <c r="L4236" t="e">
        <f ca="1">IF(J4236,Charms!B4236,"")</f>
        <v>#N/A</v>
      </c>
      <c r="M4236" t="str">
        <f t="shared" ca="1" si="332"/>
        <v>-</v>
      </c>
      <c r="N4236" s="18" t="str">
        <f t="shared" si="333"/>
        <v>K1622:L5000</v>
      </c>
      <c r="O4236" t="str">
        <f t="shared" si="334"/>
        <v>A1622:A4236</v>
      </c>
    </row>
    <row r="4237" spans="1:15">
      <c r="A4237" s="18">
        <f>Charms!K4237</f>
        <v>0</v>
      </c>
      <c r="B4237">
        <f>Charms!B4237</f>
        <v>0</v>
      </c>
      <c r="C4237" t="b">
        <f ca="1">OR(Values!$S$98&gt;=Charms!M4237,IFERROR(Charms!J4237=OFFSET(Values!$A$24,MATCH("S",Values!$T$25:$T$50,0),0),FALSE))</f>
        <v>1</v>
      </c>
      <c r="D4237" t="e">
        <f>VLOOKUP(Charms!J4237,Values!$A$11:$S$59,19,0)&gt;=Charms!L4237</f>
        <v>#N/A</v>
      </c>
      <c r="E4237" t="e">
        <f>OR(ISBLANK(Charms!I4237),(VLOOKUP(Values!$S$6,Castes!$B$2:$F$25,4,0)=Charms!I4237))</f>
        <v>#N/A</v>
      </c>
      <c r="J4237" t="e">
        <f t="shared" ca="1" si="331"/>
        <v>#N/A</v>
      </c>
      <c r="K4237" s="18" t="e">
        <f t="shared" ca="1" si="330"/>
        <v>#N/A</v>
      </c>
      <c r="L4237" t="e">
        <f ca="1">IF(J4237,Charms!B4237,"")</f>
        <v>#N/A</v>
      </c>
      <c r="M4237" t="str">
        <f t="shared" ca="1" si="332"/>
        <v>-</v>
      </c>
      <c r="N4237" s="18" t="str">
        <f t="shared" si="333"/>
        <v>K1622:L5000</v>
      </c>
      <c r="O4237" t="str">
        <f t="shared" si="334"/>
        <v>A1622:A4237</v>
      </c>
    </row>
    <row r="4238" spans="1:15">
      <c r="A4238" s="18">
        <f>Charms!K4238</f>
        <v>0</v>
      </c>
      <c r="B4238">
        <f>Charms!B4238</f>
        <v>0</v>
      </c>
      <c r="C4238" t="b">
        <f ca="1">OR(Values!$S$98&gt;=Charms!M4238,IFERROR(Charms!J4238=OFFSET(Values!$A$24,MATCH("S",Values!$T$25:$T$50,0),0),FALSE))</f>
        <v>1</v>
      </c>
      <c r="D4238" t="e">
        <f>VLOOKUP(Charms!J4238,Values!$A$11:$S$59,19,0)&gt;=Charms!L4238</f>
        <v>#N/A</v>
      </c>
      <c r="E4238" t="e">
        <f>OR(ISBLANK(Charms!I4238),(VLOOKUP(Values!$S$6,Castes!$B$2:$F$25,4,0)=Charms!I4238))</f>
        <v>#N/A</v>
      </c>
      <c r="J4238" t="e">
        <f t="shared" ca="1" si="331"/>
        <v>#N/A</v>
      </c>
      <c r="K4238" s="18" t="e">
        <f t="shared" ca="1" si="330"/>
        <v>#N/A</v>
      </c>
      <c r="L4238" t="e">
        <f ca="1">IF(J4238,Charms!B4238,"")</f>
        <v>#N/A</v>
      </c>
      <c r="M4238" t="str">
        <f t="shared" ca="1" si="332"/>
        <v>-</v>
      </c>
      <c r="N4238" s="18" t="str">
        <f t="shared" si="333"/>
        <v>K1622:L5000</v>
      </c>
      <c r="O4238" t="str">
        <f t="shared" si="334"/>
        <v>A1622:A4238</v>
      </c>
    </row>
    <row r="4239" spans="1:15">
      <c r="A4239" s="18">
        <f>Charms!K4239</f>
        <v>0</v>
      </c>
      <c r="B4239">
        <f>Charms!B4239</f>
        <v>0</v>
      </c>
      <c r="C4239" t="b">
        <f ca="1">OR(Values!$S$98&gt;=Charms!M4239,IFERROR(Charms!J4239=OFFSET(Values!$A$24,MATCH("S",Values!$T$25:$T$50,0),0),FALSE))</f>
        <v>1</v>
      </c>
      <c r="D4239" t="e">
        <f>VLOOKUP(Charms!J4239,Values!$A$11:$S$59,19,0)&gt;=Charms!L4239</f>
        <v>#N/A</v>
      </c>
      <c r="E4239" t="e">
        <f>OR(ISBLANK(Charms!I4239),(VLOOKUP(Values!$S$6,Castes!$B$2:$F$25,4,0)=Charms!I4239))</f>
        <v>#N/A</v>
      </c>
      <c r="J4239" t="e">
        <f t="shared" ca="1" si="331"/>
        <v>#N/A</v>
      </c>
      <c r="K4239" s="18" t="e">
        <f t="shared" ca="1" si="330"/>
        <v>#N/A</v>
      </c>
      <c r="L4239" t="e">
        <f ca="1">IF(J4239,Charms!B4239,"")</f>
        <v>#N/A</v>
      </c>
      <c r="M4239" t="str">
        <f t="shared" ca="1" si="332"/>
        <v>-</v>
      </c>
      <c r="N4239" s="18" t="str">
        <f t="shared" si="333"/>
        <v>K1622:L5000</v>
      </c>
      <c r="O4239" t="str">
        <f t="shared" si="334"/>
        <v>A1622:A4239</v>
      </c>
    </row>
    <row r="4240" spans="1:15">
      <c r="A4240" s="18">
        <f>Charms!K4240</f>
        <v>0</v>
      </c>
      <c r="B4240">
        <f>Charms!B4240</f>
        <v>0</v>
      </c>
      <c r="C4240" t="b">
        <f ca="1">OR(Values!$S$98&gt;=Charms!M4240,IFERROR(Charms!J4240=OFFSET(Values!$A$24,MATCH("S",Values!$T$25:$T$50,0),0),FALSE))</f>
        <v>1</v>
      </c>
      <c r="D4240" t="e">
        <f>VLOOKUP(Charms!J4240,Values!$A$11:$S$59,19,0)&gt;=Charms!L4240</f>
        <v>#N/A</v>
      </c>
      <c r="E4240" t="e">
        <f>OR(ISBLANK(Charms!I4240),(VLOOKUP(Values!$S$6,Castes!$B$2:$F$25,4,0)=Charms!I4240))</f>
        <v>#N/A</v>
      </c>
      <c r="J4240" t="e">
        <f t="shared" ca="1" si="331"/>
        <v>#N/A</v>
      </c>
      <c r="K4240" s="18" t="e">
        <f t="shared" ca="1" si="330"/>
        <v>#N/A</v>
      </c>
      <c r="L4240" t="e">
        <f ca="1">IF(J4240,Charms!B4240,"")</f>
        <v>#N/A</v>
      </c>
      <c r="M4240" t="str">
        <f t="shared" ca="1" si="332"/>
        <v>-</v>
      </c>
      <c r="N4240" s="18" t="str">
        <f t="shared" si="333"/>
        <v>K1622:L5000</v>
      </c>
      <c r="O4240" t="str">
        <f t="shared" si="334"/>
        <v>A1622:A4240</v>
      </c>
    </row>
    <row r="4241" spans="1:15">
      <c r="A4241" s="18">
        <f>Charms!K4241</f>
        <v>0</v>
      </c>
      <c r="B4241">
        <f>Charms!B4241</f>
        <v>0</v>
      </c>
      <c r="C4241" t="b">
        <f ca="1">OR(Values!$S$98&gt;=Charms!M4241,IFERROR(Charms!J4241=OFFSET(Values!$A$24,MATCH("S",Values!$T$25:$T$50,0),0),FALSE))</f>
        <v>1</v>
      </c>
      <c r="D4241" t="e">
        <f>VLOOKUP(Charms!J4241,Values!$A$11:$S$59,19,0)&gt;=Charms!L4241</f>
        <v>#N/A</v>
      </c>
      <c r="E4241" t="e">
        <f>OR(ISBLANK(Charms!I4241),(VLOOKUP(Values!$S$6,Castes!$B$2:$F$25,4,0)=Charms!I4241))</f>
        <v>#N/A</v>
      </c>
      <c r="J4241" t="e">
        <f t="shared" ca="1" si="331"/>
        <v>#N/A</v>
      </c>
      <c r="K4241" s="18" t="e">
        <f t="shared" ca="1" si="330"/>
        <v>#N/A</v>
      </c>
      <c r="L4241" t="e">
        <f ca="1">IF(J4241,Charms!B4241,"")</f>
        <v>#N/A</v>
      </c>
      <c r="M4241" t="str">
        <f t="shared" ca="1" si="332"/>
        <v>-</v>
      </c>
      <c r="N4241" s="18" t="str">
        <f t="shared" si="333"/>
        <v>K1622:L5000</v>
      </c>
      <c r="O4241" t="str">
        <f t="shared" si="334"/>
        <v>A1622:A4241</v>
      </c>
    </row>
    <row r="4242" spans="1:15">
      <c r="A4242" s="18">
        <f>Charms!K4242</f>
        <v>0</v>
      </c>
      <c r="B4242">
        <f>Charms!B4242</f>
        <v>0</v>
      </c>
      <c r="C4242" t="b">
        <f ca="1">OR(Values!$S$98&gt;=Charms!M4242,IFERROR(Charms!J4242=OFFSET(Values!$A$24,MATCH("S",Values!$T$25:$T$50,0),0),FALSE))</f>
        <v>1</v>
      </c>
      <c r="D4242" t="e">
        <f>VLOOKUP(Charms!J4242,Values!$A$11:$S$59,19,0)&gt;=Charms!L4242</f>
        <v>#N/A</v>
      </c>
      <c r="E4242" t="e">
        <f>OR(ISBLANK(Charms!I4242),(VLOOKUP(Values!$S$6,Castes!$B$2:$F$25,4,0)=Charms!I4242))</f>
        <v>#N/A</v>
      </c>
      <c r="J4242" t="e">
        <f t="shared" ca="1" si="331"/>
        <v>#N/A</v>
      </c>
      <c r="K4242" s="18" t="e">
        <f t="shared" ca="1" si="330"/>
        <v>#N/A</v>
      </c>
      <c r="L4242" t="e">
        <f ca="1">IF(J4242,Charms!B4242,"")</f>
        <v>#N/A</v>
      </c>
      <c r="M4242" t="str">
        <f t="shared" ca="1" si="332"/>
        <v>-</v>
      </c>
      <c r="N4242" s="18" t="str">
        <f t="shared" si="333"/>
        <v>K1622:L5000</v>
      </c>
      <c r="O4242" t="str">
        <f t="shared" si="334"/>
        <v>A1622:A4242</v>
      </c>
    </row>
    <row r="4243" spans="1:15">
      <c r="A4243" s="18">
        <f>Charms!K4243</f>
        <v>0</v>
      </c>
      <c r="B4243">
        <f>Charms!B4243</f>
        <v>0</v>
      </c>
      <c r="C4243" t="b">
        <f ca="1">OR(Values!$S$98&gt;=Charms!M4243,IFERROR(Charms!J4243=OFFSET(Values!$A$24,MATCH("S",Values!$T$25:$T$50,0),0),FALSE))</f>
        <v>1</v>
      </c>
      <c r="D4243" t="e">
        <f>VLOOKUP(Charms!J4243,Values!$A$11:$S$59,19,0)&gt;=Charms!L4243</f>
        <v>#N/A</v>
      </c>
      <c r="E4243" t="e">
        <f>OR(ISBLANK(Charms!I4243),(VLOOKUP(Values!$S$6,Castes!$B$2:$F$25,4,0)=Charms!I4243))</f>
        <v>#N/A</v>
      </c>
      <c r="J4243" t="e">
        <f t="shared" ca="1" si="331"/>
        <v>#N/A</v>
      </c>
      <c r="K4243" s="18" t="e">
        <f t="shared" ca="1" si="330"/>
        <v>#N/A</v>
      </c>
      <c r="L4243" t="e">
        <f ca="1">IF(J4243,Charms!B4243,"")</f>
        <v>#N/A</v>
      </c>
      <c r="M4243" t="str">
        <f t="shared" ca="1" si="332"/>
        <v>-</v>
      </c>
      <c r="N4243" s="18" t="str">
        <f t="shared" si="333"/>
        <v>K1622:L5000</v>
      </c>
      <c r="O4243" t="str">
        <f t="shared" si="334"/>
        <v>A1622:A4243</v>
      </c>
    </row>
    <row r="4244" spans="1:15">
      <c r="A4244" s="18">
        <f>Charms!K4244</f>
        <v>0</v>
      </c>
      <c r="B4244">
        <f>Charms!B4244</f>
        <v>0</v>
      </c>
      <c r="C4244" t="b">
        <f ca="1">OR(Values!$S$98&gt;=Charms!M4244,IFERROR(Charms!J4244=OFFSET(Values!$A$24,MATCH("S",Values!$T$25:$T$50,0),0),FALSE))</f>
        <v>1</v>
      </c>
      <c r="D4244" t="e">
        <f>VLOOKUP(Charms!J4244,Values!$A$11:$S$59,19,0)&gt;=Charms!L4244</f>
        <v>#N/A</v>
      </c>
      <c r="E4244" t="e">
        <f>OR(ISBLANK(Charms!I4244),(VLOOKUP(Values!$S$6,Castes!$B$2:$F$25,4,0)=Charms!I4244))</f>
        <v>#N/A</v>
      </c>
      <c r="J4244" t="e">
        <f t="shared" ca="1" si="331"/>
        <v>#N/A</v>
      </c>
      <c r="K4244" s="18" t="e">
        <f t="shared" ca="1" si="330"/>
        <v>#N/A</v>
      </c>
      <c r="L4244" t="e">
        <f ca="1">IF(J4244,Charms!B4244,"")</f>
        <v>#N/A</v>
      </c>
      <c r="M4244" t="str">
        <f t="shared" ca="1" si="332"/>
        <v>-</v>
      </c>
      <c r="N4244" s="18" t="str">
        <f t="shared" si="333"/>
        <v>K1622:L5000</v>
      </c>
      <c r="O4244" t="str">
        <f t="shared" si="334"/>
        <v>A1622:A4244</v>
      </c>
    </row>
    <row r="4245" spans="1:15">
      <c r="A4245" s="18">
        <f>Charms!K4245</f>
        <v>0</v>
      </c>
      <c r="B4245">
        <f>Charms!B4245</f>
        <v>0</v>
      </c>
      <c r="C4245" t="b">
        <f ca="1">OR(Values!$S$98&gt;=Charms!M4245,IFERROR(Charms!J4245=OFFSET(Values!$A$24,MATCH("S",Values!$T$25:$T$50,0),0),FALSE))</f>
        <v>1</v>
      </c>
      <c r="D4245" t="e">
        <f>VLOOKUP(Charms!J4245,Values!$A$11:$S$59,19,0)&gt;=Charms!L4245</f>
        <v>#N/A</v>
      </c>
      <c r="E4245" t="e">
        <f>OR(ISBLANK(Charms!I4245),(VLOOKUP(Values!$S$6,Castes!$B$2:$F$25,4,0)=Charms!I4245))</f>
        <v>#N/A</v>
      </c>
      <c r="J4245" t="e">
        <f t="shared" ca="1" si="331"/>
        <v>#N/A</v>
      </c>
      <c r="K4245" s="18" t="e">
        <f t="shared" ca="1" si="330"/>
        <v>#N/A</v>
      </c>
      <c r="L4245" t="e">
        <f ca="1">IF(J4245,Charms!B4245,"")</f>
        <v>#N/A</v>
      </c>
      <c r="M4245" t="str">
        <f t="shared" ca="1" si="332"/>
        <v>-</v>
      </c>
      <c r="N4245" s="18" t="str">
        <f t="shared" si="333"/>
        <v>K1622:L5000</v>
      </c>
      <c r="O4245" t="str">
        <f t="shared" si="334"/>
        <v>A1622:A4245</v>
      </c>
    </row>
    <row r="4246" spans="1:15">
      <c r="A4246" s="18">
        <f>Charms!K4246</f>
        <v>0</v>
      </c>
      <c r="B4246">
        <f>Charms!B4246</f>
        <v>0</v>
      </c>
      <c r="C4246" t="b">
        <f ca="1">OR(Values!$S$98&gt;=Charms!M4246,IFERROR(Charms!J4246=OFFSET(Values!$A$24,MATCH("S",Values!$T$25:$T$50,0),0),FALSE))</f>
        <v>1</v>
      </c>
      <c r="D4246" t="e">
        <f>VLOOKUP(Charms!J4246,Values!$A$11:$S$59,19,0)&gt;=Charms!L4246</f>
        <v>#N/A</v>
      </c>
      <c r="E4246" t="e">
        <f>OR(ISBLANK(Charms!I4246),(VLOOKUP(Values!$S$6,Castes!$B$2:$F$25,4,0)=Charms!I4246))</f>
        <v>#N/A</v>
      </c>
      <c r="J4246" t="e">
        <f t="shared" ca="1" si="331"/>
        <v>#N/A</v>
      </c>
      <c r="K4246" s="18" t="e">
        <f t="shared" ca="1" si="330"/>
        <v>#N/A</v>
      </c>
      <c r="L4246" t="e">
        <f ca="1">IF(J4246,Charms!B4246,"")</f>
        <v>#N/A</v>
      </c>
      <c r="M4246" t="str">
        <f t="shared" ca="1" si="332"/>
        <v>-</v>
      </c>
      <c r="N4246" s="18" t="str">
        <f t="shared" si="333"/>
        <v>K1622:L5000</v>
      </c>
      <c r="O4246" t="str">
        <f t="shared" si="334"/>
        <v>A1622:A4246</v>
      </c>
    </row>
    <row r="4247" spans="1:15">
      <c r="A4247" s="18">
        <f>Charms!K4247</f>
        <v>0</v>
      </c>
      <c r="B4247">
        <f>Charms!B4247</f>
        <v>0</v>
      </c>
      <c r="C4247" t="b">
        <f ca="1">OR(Values!$S$98&gt;=Charms!M4247,IFERROR(Charms!J4247=OFFSET(Values!$A$24,MATCH("S",Values!$T$25:$T$50,0),0),FALSE))</f>
        <v>1</v>
      </c>
      <c r="D4247" t="e">
        <f>VLOOKUP(Charms!J4247,Values!$A$11:$S$59,19,0)&gt;=Charms!L4247</f>
        <v>#N/A</v>
      </c>
      <c r="E4247" t="e">
        <f>OR(ISBLANK(Charms!I4247),(VLOOKUP(Values!$S$6,Castes!$B$2:$F$25,4,0)=Charms!I4247))</f>
        <v>#N/A</v>
      </c>
      <c r="J4247" t="e">
        <f t="shared" ca="1" si="331"/>
        <v>#N/A</v>
      </c>
      <c r="K4247" s="18" t="e">
        <f t="shared" ca="1" si="330"/>
        <v>#N/A</v>
      </c>
      <c r="L4247" t="e">
        <f ca="1">IF(J4247,Charms!B4247,"")</f>
        <v>#N/A</v>
      </c>
      <c r="M4247" t="str">
        <f t="shared" ca="1" si="332"/>
        <v>-</v>
      </c>
      <c r="N4247" s="18" t="str">
        <f t="shared" si="333"/>
        <v>K1622:L5000</v>
      </c>
      <c r="O4247" t="str">
        <f t="shared" si="334"/>
        <v>A1622:A4247</v>
      </c>
    </row>
    <row r="4248" spans="1:15">
      <c r="A4248" s="18">
        <f>Charms!K4248</f>
        <v>0</v>
      </c>
      <c r="B4248">
        <f>Charms!B4248</f>
        <v>0</v>
      </c>
      <c r="C4248" t="b">
        <f ca="1">OR(Values!$S$98&gt;=Charms!M4248,IFERROR(Charms!J4248=OFFSET(Values!$A$24,MATCH("S",Values!$T$25:$T$50,0),0),FALSE))</f>
        <v>1</v>
      </c>
      <c r="D4248" t="e">
        <f>VLOOKUP(Charms!J4248,Values!$A$11:$S$59,19,0)&gt;=Charms!L4248</f>
        <v>#N/A</v>
      </c>
      <c r="E4248" t="e">
        <f>OR(ISBLANK(Charms!I4248),(VLOOKUP(Values!$S$6,Castes!$B$2:$F$25,4,0)=Charms!I4248))</f>
        <v>#N/A</v>
      </c>
      <c r="J4248" t="e">
        <f t="shared" ca="1" si="331"/>
        <v>#N/A</v>
      </c>
      <c r="K4248" s="18" t="e">
        <f t="shared" ca="1" si="330"/>
        <v>#N/A</v>
      </c>
      <c r="L4248" t="e">
        <f ca="1">IF(J4248,Charms!B4248,"")</f>
        <v>#N/A</v>
      </c>
      <c r="M4248" t="str">
        <f t="shared" ca="1" si="332"/>
        <v>-</v>
      </c>
      <c r="N4248" s="18" t="str">
        <f t="shared" si="333"/>
        <v>K1622:L5000</v>
      </c>
      <c r="O4248" t="str">
        <f t="shared" si="334"/>
        <v>A1622:A4248</v>
      </c>
    </row>
    <row r="4249" spans="1:15">
      <c r="A4249" s="18">
        <f>Charms!K4249</f>
        <v>0</v>
      </c>
      <c r="B4249">
        <f>Charms!B4249</f>
        <v>0</v>
      </c>
      <c r="C4249" t="b">
        <f ca="1">OR(Values!$S$98&gt;=Charms!M4249,IFERROR(Charms!J4249=OFFSET(Values!$A$24,MATCH("S",Values!$T$25:$T$50,0),0),FALSE))</f>
        <v>1</v>
      </c>
      <c r="D4249" t="e">
        <f>VLOOKUP(Charms!J4249,Values!$A$11:$S$59,19,0)&gt;=Charms!L4249</f>
        <v>#N/A</v>
      </c>
      <c r="E4249" t="e">
        <f>OR(ISBLANK(Charms!I4249),(VLOOKUP(Values!$S$6,Castes!$B$2:$F$25,4,0)=Charms!I4249))</f>
        <v>#N/A</v>
      </c>
      <c r="J4249" t="e">
        <f t="shared" ca="1" si="331"/>
        <v>#N/A</v>
      </c>
      <c r="K4249" s="18" t="e">
        <f t="shared" ca="1" si="330"/>
        <v>#N/A</v>
      </c>
      <c r="L4249" t="e">
        <f ca="1">IF(J4249,Charms!B4249,"")</f>
        <v>#N/A</v>
      </c>
      <c r="M4249" t="str">
        <f t="shared" ca="1" si="332"/>
        <v>-</v>
      </c>
      <c r="N4249" s="18" t="str">
        <f t="shared" si="333"/>
        <v>K1622:L5000</v>
      </c>
      <c r="O4249" t="str">
        <f t="shared" si="334"/>
        <v>A1622:A4249</v>
      </c>
    </row>
    <row r="4250" spans="1:15">
      <c r="A4250" s="18">
        <f>Charms!K4250</f>
        <v>0</v>
      </c>
      <c r="B4250">
        <f>Charms!B4250</f>
        <v>0</v>
      </c>
      <c r="C4250" t="b">
        <f ca="1">OR(Values!$S$98&gt;=Charms!M4250,IFERROR(Charms!J4250=OFFSET(Values!$A$24,MATCH("S",Values!$T$25:$T$50,0),0),FALSE))</f>
        <v>1</v>
      </c>
      <c r="D4250" t="e">
        <f>VLOOKUP(Charms!J4250,Values!$A$11:$S$59,19,0)&gt;=Charms!L4250</f>
        <v>#N/A</v>
      </c>
      <c r="E4250" t="e">
        <f>OR(ISBLANK(Charms!I4250),(VLOOKUP(Values!$S$6,Castes!$B$2:$F$25,4,0)=Charms!I4250))</f>
        <v>#N/A</v>
      </c>
      <c r="J4250" t="e">
        <f t="shared" ca="1" si="331"/>
        <v>#N/A</v>
      </c>
      <c r="K4250" s="18" t="e">
        <f t="shared" ca="1" si="330"/>
        <v>#N/A</v>
      </c>
      <c r="L4250" t="e">
        <f ca="1">IF(J4250,Charms!B4250,"")</f>
        <v>#N/A</v>
      </c>
      <c r="M4250" t="str">
        <f t="shared" ca="1" si="332"/>
        <v>-</v>
      </c>
      <c r="N4250" s="18" t="str">
        <f t="shared" si="333"/>
        <v>K1622:L5000</v>
      </c>
      <c r="O4250" t="str">
        <f t="shared" si="334"/>
        <v>A1622:A4250</v>
      </c>
    </row>
    <row r="4251" spans="1:15">
      <c r="A4251" s="18">
        <f>Charms!K4251</f>
        <v>0</v>
      </c>
      <c r="B4251">
        <f>Charms!B4251</f>
        <v>0</v>
      </c>
      <c r="C4251" t="b">
        <f ca="1">OR(Values!$S$98&gt;=Charms!M4251,IFERROR(Charms!J4251=OFFSET(Values!$A$24,MATCH("S",Values!$T$25:$T$50,0),0),FALSE))</f>
        <v>1</v>
      </c>
      <c r="D4251" t="e">
        <f>VLOOKUP(Charms!J4251,Values!$A$11:$S$59,19,0)&gt;=Charms!L4251</f>
        <v>#N/A</v>
      </c>
      <c r="E4251" t="e">
        <f>OR(ISBLANK(Charms!I4251),(VLOOKUP(Values!$S$6,Castes!$B$2:$F$25,4,0)=Charms!I4251))</f>
        <v>#N/A</v>
      </c>
      <c r="J4251" t="e">
        <f t="shared" ca="1" si="331"/>
        <v>#N/A</v>
      </c>
      <c r="K4251" s="18" t="e">
        <f t="shared" ca="1" si="330"/>
        <v>#N/A</v>
      </c>
      <c r="L4251" t="e">
        <f ca="1">IF(J4251,Charms!B4251,"")</f>
        <v>#N/A</v>
      </c>
      <c r="M4251" t="str">
        <f t="shared" ca="1" si="332"/>
        <v>-</v>
      </c>
      <c r="N4251" s="18" t="str">
        <f t="shared" si="333"/>
        <v>K1622:L5000</v>
      </c>
      <c r="O4251" t="str">
        <f t="shared" si="334"/>
        <v>A1622:A4251</v>
      </c>
    </row>
    <row r="4252" spans="1:15">
      <c r="A4252" s="18">
        <f>Charms!K4252</f>
        <v>0</v>
      </c>
      <c r="B4252">
        <f>Charms!B4252</f>
        <v>0</v>
      </c>
      <c r="C4252" t="b">
        <f ca="1">OR(Values!$S$98&gt;=Charms!M4252,IFERROR(Charms!J4252=OFFSET(Values!$A$24,MATCH("S",Values!$T$25:$T$50,0),0),FALSE))</f>
        <v>1</v>
      </c>
      <c r="D4252" t="e">
        <f>VLOOKUP(Charms!J4252,Values!$A$11:$S$59,19,0)&gt;=Charms!L4252</f>
        <v>#N/A</v>
      </c>
      <c r="E4252" t="e">
        <f>OR(ISBLANK(Charms!I4252),(VLOOKUP(Values!$S$6,Castes!$B$2:$F$25,4,0)=Charms!I4252))</f>
        <v>#N/A</v>
      </c>
      <c r="J4252" t="e">
        <f t="shared" ca="1" si="331"/>
        <v>#N/A</v>
      </c>
      <c r="K4252" s="18" t="e">
        <f t="shared" ca="1" si="330"/>
        <v>#N/A</v>
      </c>
      <c r="L4252" t="e">
        <f ca="1">IF(J4252,Charms!B4252,"")</f>
        <v>#N/A</v>
      </c>
      <c r="M4252" t="str">
        <f t="shared" ca="1" si="332"/>
        <v>-</v>
      </c>
      <c r="N4252" s="18" t="str">
        <f t="shared" si="333"/>
        <v>K1622:L5000</v>
      </c>
      <c r="O4252" t="str">
        <f t="shared" si="334"/>
        <v>A1622:A4252</v>
      </c>
    </row>
    <row r="4253" spans="1:15">
      <c r="A4253" s="18">
        <f>Charms!K4253</f>
        <v>0</v>
      </c>
      <c r="B4253">
        <f>Charms!B4253</f>
        <v>0</v>
      </c>
      <c r="C4253" t="b">
        <f ca="1">OR(Values!$S$98&gt;=Charms!M4253,IFERROR(Charms!J4253=OFFSET(Values!$A$24,MATCH("S",Values!$T$25:$T$50,0),0),FALSE))</f>
        <v>1</v>
      </c>
      <c r="D4253" t="e">
        <f>VLOOKUP(Charms!J4253,Values!$A$11:$S$59,19,0)&gt;=Charms!L4253</f>
        <v>#N/A</v>
      </c>
      <c r="E4253" t="e">
        <f>OR(ISBLANK(Charms!I4253),(VLOOKUP(Values!$S$6,Castes!$B$2:$F$25,4,0)=Charms!I4253))</f>
        <v>#N/A</v>
      </c>
      <c r="J4253" t="e">
        <f t="shared" ca="1" si="331"/>
        <v>#N/A</v>
      </c>
      <c r="K4253" s="18" t="e">
        <f t="shared" ca="1" si="330"/>
        <v>#N/A</v>
      </c>
      <c r="L4253" t="e">
        <f ca="1">IF(J4253,Charms!B4253,"")</f>
        <v>#N/A</v>
      </c>
      <c r="M4253" t="str">
        <f t="shared" ca="1" si="332"/>
        <v>-</v>
      </c>
      <c r="N4253" s="18" t="str">
        <f t="shared" si="333"/>
        <v>K1622:L5000</v>
      </c>
      <c r="O4253" t="str">
        <f t="shared" si="334"/>
        <v>A1622:A4253</v>
      </c>
    </row>
    <row r="4254" spans="1:15">
      <c r="A4254" s="18">
        <f>Charms!K4254</f>
        <v>0</v>
      </c>
      <c r="B4254">
        <f>Charms!B4254</f>
        <v>0</v>
      </c>
      <c r="C4254" t="b">
        <f ca="1">OR(Values!$S$98&gt;=Charms!M4254,IFERROR(Charms!J4254=OFFSET(Values!$A$24,MATCH("S",Values!$T$25:$T$50,0),0),FALSE))</f>
        <v>1</v>
      </c>
      <c r="D4254" t="e">
        <f>VLOOKUP(Charms!J4254,Values!$A$11:$S$59,19,0)&gt;=Charms!L4254</f>
        <v>#N/A</v>
      </c>
      <c r="E4254" t="e">
        <f>OR(ISBLANK(Charms!I4254),(VLOOKUP(Values!$S$6,Castes!$B$2:$F$25,4,0)=Charms!I4254))</f>
        <v>#N/A</v>
      </c>
      <c r="J4254" t="e">
        <f t="shared" ca="1" si="331"/>
        <v>#N/A</v>
      </c>
      <c r="K4254" s="18" t="e">
        <f t="shared" ca="1" si="330"/>
        <v>#N/A</v>
      </c>
      <c r="L4254" t="e">
        <f ca="1">IF(J4254,Charms!B4254,"")</f>
        <v>#N/A</v>
      </c>
      <c r="M4254" t="str">
        <f t="shared" ca="1" si="332"/>
        <v>-</v>
      </c>
      <c r="N4254" s="18" t="str">
        <f t="shared" si="333"/>
        <v>K1622:L5000</v>
      </c>
      <c r="O4254" t="str">
        <f t="shared" si="334"/>
        <v>A1622:A4254</v>
      </c>
    </row>
    <row r="4255" spans="1:15">
      <c r="A4255" s="18">
        <f>Charms!K4255</f>
        <v>0</v>
      </c>
      <c r="B4255">
        <f>Charms!B4255</f>
        <v>0</v>
      </c>
      <c r="C4255" t="b">
        <f ca="1">OR(Values!$S$98&gt;=Charms!M4255,IFERROR(Charms!J4255=OFFSET(Values!$A$24,MATCH("S",Values!$T$25:$T$50,0),0),FALSE))</f>
        <v>1</v>
      </c>
      <c r="D4255" t="e">
        <f>VLOOKUP(Charms!J4255,Values!$A$11:$S$59,19,0)&gt;=Charms!L4255</f>
        <v>#N/A</v>
      </c>
      <c r="E4255" t="e">
        <f>OR(ISBLANK(Charms!I4255),(VLOOKUP(Values!$S$6,Castes!$B$2:$F$25,4,0)=Charms!I4255))</f>
        <v>#N/A</v>
      </c>
      <c r="J4255" t="e">
        <f t="shared" ca="1" si="331"/>
        <v>#N/A</v>
      </c>
      <c r="K4255" s="18" t="e">
        <f t="shared" ca="1" si="330"/>
        <v>#N/A</v>
      </c>
      <c r="L4255" t="e">
        <f ca="1">IF(J4255,Charms!B4255,"")</f>
        <v>#N/A</v>
      </c>
      <c r="M4255" t="str">
        <f t="shared" ca="1" si="332"/>
        <v>-</v>
      </c>
      <c r="N4255" s="18" t="str">
        <f t="shared" si="333"/>
        <v>K1622:L5000</v>
      </c>
      <c r="O4255" t="str">
        <f t="shared" si="334"/>
        <v>A1622:A4255</v>
      </c>
    </row>
    <row r="4256" spans="1:15">
      <c r="A4256" s="18">
        <f>Charms!K4256</f>
        <v>0</v>
      </c>
      <c r="B4256">
        <f>Charms!B4256</f>
        <v>0</v>
      </c>
      <c r="C4256" t="b">
        <f ca="1">OR(Values!$S$98&gt;=Charms!M4256,IFERROR(Charms!J4256=OFFSET(Values!$A$24,MATCH("S",Values!$T$25:$T$50,0),0),FALSE))</f>
        <v>1</v>
      </c>
      <c r="D4256" t="e">
        <f>VLOOKUP(Charms!J4256,Values!$A$11:$S$59,19,0)&gt;=Charms!L4256</f>
        <v>#N/A</v>
      </c>
      <c r="E4256" t="e">
        <f>OR(ISBLANK(Charms!I4256),(VLOOKUP(Values!$S$6,Castes!$B$2:$F$25,4,0)=Charms!I4256))</f>
        <v>#N/A</v>
      </c>
      <c r="J4256" t="e">
        <f t="shared" ca="1" si="331"/>
        <v>#N/A</v>
      </c>
      <c r="K4256" s="18" t="e">
        <f t="shared" ca="1" si="330"/>
        <v>#N/A</v>
      </c>
      <c r="L4256" t="e">
        <f ca="1">IF(J4256,Charms!B4256,"")</f>
        <v>#N/A</v>
      </c>
      <c r="M4256" t="str">
        <f t="shared" ca="1" si="332"/>
        <v>-</v>
      </c>
      <c r="N4256" s="18" t="str">
        <f t="shared" si="333"/>
        <v>K1622:L5000</v>
      </c>
      <c r="O4256" t="str">
        <f t="shared" si="334"/>
        <v>A1622:A4256</v>
      </c>
    </row>
    <row r="4257" spans="1:15">
      <c r="A4257" s="18">
        <f>Charms!K4257</f>
        <v>0</v>
      </c>
      <c r="B4257">
        <f>Charms!B4257</f>
        <v>0</v>
      </c>
      <c r="C4257" t="b">
        <f ca="1">OR(Values!$S$98&gt;=Charms!M4257,IFERROR(Charms!J4257=OFFSET(Values!$A$24,MATCH("S",Values!$T$25:$T$50,0),0),FALSE))</f>
        <v>1</v>
      </c>
      <c r="D4257" t="e">
        <f>VLOOKUP(Charms!J4257,Values!$A$11:$S$59,19,0)&gt;=Charms!L4257</f>
        <v>#N/A</v>
      </c>
      <c r="E4257" t="e">
        <f>OR(ISBLANK(Charms!I4257),(VLOOKUP(Values!$S$6,Castes!$B$2:$F$25,4,0)=Charms!I4257))</f>
        <v>#N/A</v>
      </c>
      <c r="J4257" t="e">
        <f t="shared" ca="1" si="331"/>
        <v>#N/A</v>
      </c>
      <c r="K4257" s="18" t="e">
        <f t="shared" ca="1" si="330"/>
        <v>#N/A</v>
      </c>
      <c r="L4257" t="e">
        <f ca="1">IF(J4257,Charms!B4257,"")</f>
        <v>#N/A</v>
      </c>
      <c r="M4257" t="str">
        <f t="shared" ca="1" si="332"/>
        <v>-</v>
      </c>
      <c r="N4257" s="18" t="str">
        <f t="shared" si="333"/>
        <v>K1622:L5000</v>
      </c>
      <c r="O4257" t="str">
        <f t="shared" si="334"/>
        <v>A1622:A4257</v>
      </c>
    </row>
    <row r="4258" spans="1:15">
      <c r="A4258" s="18">
        <f>Charms!K4258</f>
        <v>0</v>
      </c>
      <c r="B4258">
        <f>Charms!B4258</f>
        <v>0</v>
      </c>
      <c r="C4258" t="b">
        <f ca="1">OR(Values!$S$98&gt;=Charms!M4258,IFERROR(Charms!J4258=OFFSET(Values!$A$24,MATCH("S",Values!$T$25:$T$50,0),0),FALSE))</f>
        <v>1</v>
      </c>
      <c r="D4258" t="e">
        <f>VLOOKUP(Charms!J4258,Values!$A$11:$S$59,19,0)&gt;=Charms!L4258</f>
        <v>#N/A</v>
      </c>
      <c r="E4258" t="e">
        <f>OR(ISBLANK(Charms!I4258),(VLOOKUP(Values!$S$6,Castes!$B$2:$F$25,4,0)=Charms!I4258))</f>
        <v>#N/A</v>
      </c>
      <c r="J4258" t="e">
        <f t="shared" ca="1" si="331"/>
        <v>#N/A</v>
      </c>
      <c r="K4258" s="18" t="e">
        <f t="shared" ca="1" si="330"/>
        <v>#N/A</v>
      </c>
      <c r="L4258" t="e">
        <f ca="1">IF(J4258,Charms!B4258,"")</f>
        <v>#N/A</v>
      </c>
      <c r="M4258" t="str">
        <f t="shared" ca="1" si="332"/>
        <v>-</v>
      </c>
      <c r="N4258" s="18" t="str">
        <f t="shared" si="333"/>
        <v>K1622:L5000</v>
      </c>
      <c r="O4258" t="str">
        <f t="shared" si="334"/>
        <v>A1622:A4258</v>
      </c>
    </row>
    <row r="4259" spans="1:15">
      <c r="A4259" s="18">
        <f>Charms!K4259</f>
        <v>0</v>
      </c>
      <c r="B4259">
        <f>Charms!B4259</f>
        <v>0</v>
      </c>
      <c r="C4259" t="b">
        <f ca="1">OR(Values!$S$98&gt;=Charms!M4259,IFERROR(Charms!J4259=OFFSET(Values!$A$24,MATCH("S",Values!$T$25:$T$50,0),0),FALSE))</f>
        <v>1</v>
      </c>
      <c r="D4259" t="e">
        <f>VLOOKUP(Charms!J4259,Values!$A$11:$S$59,19,0)&gt;=Charms!L4259</f>
        <v>#N/A</v>
      </c>
      <c r="E4259" t="e">
        <f>OR(ISBLANK(Charms!I4259),(VLOOKUP(Values!$S$6,Castes!$B$2:$F$25,4,0)=Charms!I4259))</f>
        <v>#N/A</v>
      </c>
      <c r="J4259" t="e">
        <f t="shared" ca="1" si="331"/>
        <v>#N/A</v>
      </c>
      <c r="K4259" s="18" t="e">
        <f t="shared" ca="1" si="330"/>
        <v>#N/A</v>
      </c>
      <c r="L4259" t="e">
        <f ca="1">IF(J4259,Charms!B4259,"")</f>
        <v>#N/A</v>
      </c>
      <c r="M4259" t="str">
        <f t="shared" ca="1" si="332"/>
        <v>-</v>
      </c>
      <c r="N4259" s="18" t="str">
        <f t="shared" si="333"/>
        <v>K1622:L5000</v>
      </c>
      <c r="O4259" t="str">
        <f t="shared" si="334"/>
        <v>A1622:A4259</v>
      </c>
    </row>
    <row r="4260" spans="1:15">
      <c r="A4260" s="18">
        <f>Charms!K4260</f>
        <v>0</v>
      </c>
      <c r="B4260">
        <f>Charms!B4260</f>
        <v>0</v>
      </c>
      <c r="C4260" t="b">
        <f ca="1">OR(Values!$S$98&gt;=Charms!M4260,IFERROR(Charms!J4260=OFFSET(Values!$A$24,MATCH("S",Values!$T$25:$T$50,0),0),FALSE))</f>
        <v>1</v>
      </c>
      <c r="D4260" t="e">
        <f>VLOOKUP(Charms!J4260,Values!$A$11:$S$59,19,0)&gt;=Charms!L4260</f>
        <v>#N/A</v>
      </c>
      <c r="E4260" t="e">
        <f>OR(ISBLANK(Charms!I4260),(VLOOKUP(Values!$S$6,Castes!$B$2:$F$25,4,0)=Charms!I4260))</f>
        <v>#N/A</v>
      </c>
      <c r="J4260" t="e">
        <f t="shared" ca="1" si="331"/>
        <v>#N/A</v>
      </c>
      <c r="K4260" s="18" t="e">
        <f t="shared" ca="1" si="330"/>
        <v>#N/A</v>
      </c>
      <c r="L4260" t="e">
        <f ca="1">IF(J4260,Charms!B4260,"")</f>
        <v>#N/A</v>
      </c>
      <c r="M4260" t="str">
        <f t="shared" ca="1" si="332"/>
        <v>-</v>
      </c>
      <c r="N4260" s="18" t="str">
        <f t="shared" si="333"/>
        <v>K1622:L5000</v>
      </c>
      <c r="O4260" t="str">
        <f t="shared" si="334"/>
        <v>A1622:A4260</v>
      </c>
    </row>
    <row r="4261" spans="1:15">
      <c r="A4261" s="18">
        <f>Charms!K4261</f>
        <v>0</v>
      </c>
      <c r="B4261">
        <f>Charms!B4261</f>
        <v>0</v>
      </c>
      <c r="C4261" t="b">
        <f ca="1">OR(Values!$S$98&gt;=Charms!M4261,IFERROR(Charms!J4261=OFFSET(Values!$A$24,MATCH("S",Values!$T$25:$T$50,0),0),FALSE))</f>
        <v>1</v>
      </c>
      <c r="D4261" t="e">
        <f>VLOOKUP(Charms!J4261,Values!$A$11:$S$59,19,0)&gt;=Charms!L4261</f>
        <v>#N/A</v>
      </c>
      <c r="E4261" t="e">
        <f>OR(ISBLANK(Charms!I4261),(VLOOKUP(Values!$S$6,Castes!$B$2:$F$25,4,0)=Charms!I4261))</f>
        <v>#N/A</v>
      </c>
      <c r="J4261" t="e">
        <f t="shared" ca="1" si="331"/>
        <v>#N/A</v>
      </c>
      <c r="K4261" s="18" t="e">
        <f t="shared" ca="1" si="330"/>
        <v>#N/A</v>
      </c>
      <c r="L4261" t="e">
        <f ca="1">IF(J4261,Charms!B4261,"")</f>
        <v>#N/A</v>
      </c>
      <c r="M4261" t="str">
        <f t="shared" ca="1" si="332"/>
        <v>-</v>
      </c>
      <c r="N4261" s="18" t="str">
        <f t="shared" si="333"/>
        <v>K1622:L5000</v>
      </c>
      <c r="O4261" t="str">
        <f t="shared" si="334"/>
        <v>A1622:A4261</v>
      </c>
    </row>
    <row r="4262" spans="1:15">
      <c r="A4262" s="18">
        <f>Charms!K4262</f>
        <v>0</v>
      </c>
      <c r="B4262">
        <f>Charms!B4262</f>
        <v>0</v>
      </c>
      <c r="C4262" t="b">
        <f ca="1">OR(Values!$S$98&gt;=Charms!M4262,IFERROR(Charms!J4262=OFFSET(Values!$A$24,MATCH("S",Values!$T$25:$T$50,0),0),FALSE))</f>
        <v>1</v>
      </c>
      <c r="D4262" t="e">
        <f>VLOOKUP(Charms!J4262,Values!$A$11:$S$59,19,0)&gt;=Charms!L4262</f>
        <v>#N/A</v>
      </c>
      <c r="E4262" t="e">
        <f>OR(ISBLANK(Charms!I4262),(VLOOKUP(Values!$S$6,Castes!$B$2:$F$25,4,0)=Charms!I4262))</f>
        <v>#N/A</v>
      </c>
      <c r="J4262" t="e">
        <f t="shared" ca="1" si="331"/>
        <v>#N/A</v>
      </c>
      <c r="K4262" s="18" t="e">
        <f t="shared" ca="1" si="330"/>
        <v>#N/A</v>
      </c>
      <c r="L4262" t="e">
        <f ca="1">IF(J4262,Charms!B4262,"")</f>
        <v>#N/A</v>
      </c>
      <c r="M4262" t="str">
        <f t="shared" ca="1" si="332"/>
        <v>-</v>
      </c>
      <c r="N4262" s="18" t="str">
        <f t="shared" si="333"/>
        <v>K1622:L5000</v>
      </c>
      <c r="O4262" t="str">
        <f t="shared" si="334"/>
        <v>A1622:A4262</v>
      </c>
    </row>
    <row r="4263" spans="1:15">
      <c r="A4263" s="18">
        <f>Charms!K4263</f>
        <v>0</v>
      </c>
      <c r="B4263">
        <f>Charms!B4263</f>
        <v>0</v>
      </c>
      <c r="C4263" t="b">
        <f ca="1">OR(Values!$S$98&gt;=Charms!M4263,IFERROR(Charms!J4263=OFFSET(Values!$A$24,MATCH("S",Values!$T$25:$T$50,0),0),FALSE))</f>
        <v>1</v>
      </c>
      <c r="D4263" t="e">
        <f>VLOOKUP(Charms!J4263,Values!$A$11:$S$59,19,0)&gt;=Charms!L4263</f>
        <v>#N/A</v>
      </c>
      <c r="E4263" t="e">
        <f>OR(ISBLANK(Charms!I4263),(VLOOKUP(Values!$S$6,Castes!$B$2:$F$25,4,0)=Charms!I4263))</f>
        <v>#N/A</v>
      </c>
      <c r="J4263" t="e">
        <f t="shared" ca="1" si="331"/>
        <v>#N/A</v>
      </c>
      <c r="K4263" s="18" t="e">
        <f t="shared" ca="1" si="330"/>
        <v>#N/A</v>
      </c>
      <c r="L4263" t="e">
        <f ca="1">IF(J4263,Charms!B4263,"")</f>
        <v>#N/A</v>
      </c>
      <c r="M4263" t="str">
        <f t="shared" ca="1" si="332"/>
        <v>-</v>
      </c>
      <c r="N4263" s="18" t="str">
        <f t="shared" si="333"/>
        <v>K1622:L5000</v>
      </c>
      <c r="O4263" t="str">
        <f t="shared" si="334"/>
        <v>A1622:A4263</v>
      </c>
    </row>
    <row r="4264" spans="1:15">
      <c r="A4264" s="18">
        <f>Charms!K4264</f>
        <v>0</v>
      </c>
      <c r="B4264">
        <f>Charms!B4264</f>
        <v>0</v>
      </c>
      <c r="C4264" t="b">
        <f ca="1">OR(Values!$S$98&gt;=Charms!M4264,IFERROR(Charms!J4264=OFFSET(Values!$A$24,MATCH("S",Values!$T$25:$T$50,0),0),FALSE))</f>
        <v>1</v>
      </c>
      <c r="D4264" t="e">
        <f>VLOOKUP(Charms!J4264,Values!$A$11:$S$59,19,0)&gt;=Charms!L4264</f>
        <v>#N/A</v>
      </c>
      <c r="E4264" t="e">
        <f>OR(ISBLANK(Charms!I4264),(VLOOKUP(Values!$S$6,Castes!$B$2:$F$25,4,0)=Charms!I4264))</f>
        <v>#N/A</v>
      </c>
      <c r="J4264" t="e">
        <f t="shared" ca="1" si="331"/>
        <v>#N/A</v>
      </c>
      <c r="K4264" s="18" t="e">
        <f t="shared" ca="1" si="330"/>
        <v>#N/A</v>
      </c>
      <c r="L4264" t="e">
        <f ca="1">IF(J4264,Charms!B4264,"")</f>
        <v>#N/A</v>
      </c>
      <c r="M4264" t="str">
        <f t="shared" ca="1" si="332"/>
        <v>-</v>
      </c>
      <c r="N4264" s="18" t="str">
        <f t="shared" si="333"/>
        <v>K1622:L5000</v>
      </c>
      <c r="O4264" t="str">
        <f t="shared" si="334"/>
        <v>A1622:A4264</v>
      </c>
    </row>
    <row r="4265" spans="1:15">
      <c r="A4265" s="18">
        <f>Charms!K4265</f>
        <v>0</v>
      </c>
      <c r="B4265">
        <f>Charms!B4265</f>
        <v>0</v>
      </c>
      <c r="C4265" t="b">
        <f ca="1">OR(Values!$S$98&gt;=Charms!M4265,IFERROR(Charms!J4265=OFFSET(Values!$A$24,MATCH("S",Values!$T$25:$T$50,0),0),FALSE))</f>
        <v>1</v>
      </c>
      <c r="D4265" t="e">
        <f>VLOOKUP(Charms!J4265,Values!$A$11:$S$59,19,0)&gt;=Charms!L4265</f>
        <v>#N/A</v>
      </c>
      <c r="E4265" t="e">
        <f>OR(ISBLANK(Charms!I4265),(VLOOKUP(Values!$S$6,Castes!$B$2:$F$25,4,0)=Charms!I4265))</f>
        <v>#N/A</v>
      </c>
      <c r="J4265" t="e">
        <f t="shared" ca="1" si="331"/>
        <v>#N/A</v>
      </c>
      <c r="K4265" s="18" t="e">
        <f t="shared" ca="1" si="330"/>
        <v>#N/A</v>
      </c>
      <c r="L4265" t="e">
        <f ca="1">IF(J4265,Charms!B4265,"")</f>
        <v>#N/A</v>
      </c>
      <c r="M4265" t="str">
        <f t="shared" ca="1" si="332"/>
        <v>-</v>
      </c>
      <c r="N4265" s="18" t="str">
        <f t="shared" si="333"/>
        <v>K1622:L5000</v>
      </c>
      <c r="O4265" t="str">
        <f t="shared" si="334"/>
        <v>A1622:A4265</v>
      </c>
    </row>
    <row r="4266" spans="1:15">
      <c r="A4266" s="18">
        <f>Charms!K4266</f>
        <v>0</v>
      </c>
      <c r="B4266">
        <f>Charms!B4266</f>
        <v>0</v>
      </c>
      <c r="C4266" t="b">
        <f ca="1">OR(Values!$S$98&gt;=Charms!M4266,IFERROR(Charms!J4266=OFFSET(Values!$A$24,MATCH("S",Values!$T$25:$T$50,0),0),FALSE))</f>
        <v>1</v>
      </c>
      <c r="D4266" t="e">
        <f>VLOOKUP(Charms!J4266,Values!$A$11:$S$59,19,0)&gt;=Charms!L4266</f>
        <v>#N/A</v>
      </c>
      <c r="E4266" t="e">
        <f>OR(ISBLANK(Charms!I4266),(VLOOKUP(Values!$S$6,Castes!$B$2:$F$25,4,0)=Charms!I4266))</f>
        <v>#N/A</v>
      </c>
      <c r="J4266" t="e">
        <f t="shared" ca="1" si="331"/>
        <v>#N/A</v>
      </c>
      <c r="K4266" s="18" t="e">
        <f t="shared" ca="1" si="330"/>
        <v>#N/A</v>
      </c>
      <c r="L4266" t="e">
        <f ca="1">IF(J4266,Charms!B4266,"")</f>
        <v>#N/A</v>
      </c>
      <c r="M4266" t="str">
        <f t="shared" ca="1" si="332"/>
        <v>-</v>
      </c>
      <c r="N4266" s="18" t="str">
        <f t="shared" si="333"/>
        <v>K1622:L5000</v>
      </c>
      <c r="O4266" t="str">
        <f t="shared" si="334"/>
        <v>A1622:A4266</v>
      </c>
    </row>
    <row r="4267" spans="1:15">
      <c r="A4267" s="18">
        <f>Charms!K4267</f>
        <v>0</v>
      </c>
      <c r="B4267">
        <f>Charms!B4267</f>
        <v>0</v>
      </c>
      <c r="C4267" t="b">
        <f ca="1">OR(Values!$S$98&gt;=Charms!M4267,IFERROR(Charms!J4267=OFFSET(Values!$A$24,MATCH("S",Values!$T$25:$T$50,0),0),FALSE))</f>
        <v>1</v>
      </c>
      <c r="D4267" t="e">
        <f>VLOOKUP(Charms!J4267,Values!$A$11:$S$59,19,0)&gt;=Charms!L4267</f>
        <v>#N/A</v>
      </c>
      <c r="E4267" t="e">
        <f>OR(ISBLANK(Charms!I4267),(VLOOKUP(Values!$S$6,Castes!$B$2:$F$25,4,0)=Charms!I4267))</f>
        <v>#N/A</v>
      </c>
      <c r="J4267" t="e">
        <f t="shared" ca="1" si="331"/>
        <v>#N/A</v>
      </c>
      <c r="K4267" s="18" t="e">
        <f t="shared" ca="1" si="330"/>
        <v>#N/A</v>
      </c>
      <c r="L4267" t="e">
        <f ca="1">IF(J4267,Charms!B4267,"")</f>
        <v>#N/A</v>
      </c>
      <c r="M4267" t="str">
        <f t="shared" ca="1" si="332"/>
        <v>-</v>
      </c>
      <c r="N4267" s="18" t="str">
        <f t="shared" si="333"/>
        <v>K1622:L5000</v>
      </c>
      <c r="O4267" t="str">
        <f t="shared" si="334"/>
        <v>A1622:A4267</v>
      </c>
    </row>
    <row r="4268" spans="1:15">
      <c r="A4268" s="18">
        <f>Charms!K4268</f>
        <v>0</v>
      </c>
      <c r="B4268">
        <f>Charms!B4268</f>
        <v>0</v>
      </c>
      <c r="C4268" t="b">
        <f ca="1">OR(Values!$S$98&gt;=Charms!M4268,IFERROR(Charms!J4268=OFFSET(Values!$A$24,MATCH("S",Values!$T$25:$T$50,0),0),FALSE))</f>
        <v>1</v>
      </c>
      <c r="D4268" t="e">
        <f>VLOOKUP(Charms!J4268,Values!$A$11:$S$59,19,0)&gt;=Charms!L4268</f>
        <v>#N/A</v>
      </c>
      <c r="E4268" t="e">
        <f>OR(ISBLANK(Charms!I4268),(VLOOKUP(Values!$S$6,Castes!$B$2:$F$25,4,0)=Charms!I4268))</f>
        <v>#N/A</v>
      </c>
      <c r="J4268" t="e">
        <f t="shared" ca="1" si="331"/>
        <v>#N/A</v>
      </c>
      <c r="K4268" s="18" t="e">
        <f t="shared" ca="1" si="330"/>
        <v>#N/A</v>
      </c>
      <c r="L4268" t="e">
        <f ca="1">IF(J4268,Charms!B4268,"")</f>
        <v>#N/A</v>
      </c>
      <c r="M4268" t="str">
        <f t="shared" ca="1" si="332"/>
        <v>-</v>
      </c>
      <c r="N4268" s="18" t="str">
        <f t="shared" si="333"/>
        <v>K1622:L5000</v>
      </c>
      <c r="O4268" t="str">
        <f t="shared" si="334"/>
        <v>A1622:A4268</v>
      </c>
    </row>
    <row r="4269" spans="1:15">
      <c r="A4269" s="18">
        <f>Charms!K4269</f>
        <v>0</v>
      </c>
      <c r="B4269">
        <f>Charms!B4269</f>
        <v>0</v>
      </c>
      <c r="C4269" t="b">
        <f ca="1">OR(Values!$S$98&gt;=Charms!M4269,IFERROR(Charms!J4269=OFFSET(Values!$A$24,MATCH("S",Values!$T$25:$T$50,0),0),FALSE))</f>
        <v>1</v>
      </c>
      <c r="D4269" t="e">
        <f>VLOOKUP(Charms!J4269,Values!$A$11:$S$59,19,0)&gt;=Charms!L4269</f>
        <v>#N/A</v>
      </c>
      <c r="E4269" t="e">
        <f>OR(ISBLANK(Charms!I4269),(VLOOKUP(Values!$S$6,Castes!$B$2:$F$25,4,0)=Charms!I4269))</f>
        <v>#N/A</v>
      </c>
      <c r="J4269" t="e">
        <f t="shared" ca="1" si="331"/>
        <v>#N/A</v>
      </c>
      <c r="K4269" s="18" t="e">
        <f t="shared" ca="1" si="330"/>
        <v>#N/A</v>
      </c>
      <c r="L4269" t="e">
        <f ca="1">IF(J4269,Charms!B4269,"")</f>
        <v>#N/A</v>
      </c>
      <c r="M4269" t="str">
        <f t="shared" ca="1" si="332"/>
        <v>-</v>
      </c>
      <c r="N4269" s="18" t="str">
        <f t="shared" si="333"/>
        <v>K1622:L5000</v>
      </c>
      <c r="O4269" t="str">
        <f t="shared" si="334"/>
        <v>A1622:A4269</v>
      </c>
    </row>
    <row r="4270" spans="1:15">
      <c r="A4270" s="18">
        <f>Charms!K4270</f>
        <v>0</v>
      </c>
      <c r="B4270">
        <f>Charms!B4270</f>
        <v>0</v>
      </c>
      <c r="C4270" t="b">
        <f ca="1">OR(Values!$S$98&gt;=Charms!M4270,IFERROR(Charms!J4270=OFFSET(Values!$A$24,MATCH("S",Values!$T$25:$T$50,0),0),FALSE))</f>
        <v>1</v>
      </c>
      <c r="D4270" t="e">
        <f>VLOOKUP(Charms!J4270,Values!$A$11:$S$59,19,0)&gt;=Charms!L4270</f>
        <v>#N/A</v>
      </c>
      <c r="E4270" t="e">
        <f>OR(ISBLANK(Charms!I4270),(VLOOKUP(Values!$S$6,Castes!$B$2:$F$25,4,0)=Charms!I4270))</f>
        <v>#N/A</v>
      </c>
      <c r="J4270" t="e">
        <f t="shared" ca="1" si="331"/>
        <v>#N/A</v>
      </c>
      <c r="K4270" s="18" t="e">
        <f t="shared" ca="1" si="330"/>
        <v>#N/A</v>
      </c>
      <c r="L4270" t="e">
        <f ca="1">IF(J4270,Charms!B4270,"")</f>
        <v>#N/A</v>
      </c>
      <c r="M4270" t="str">
        <f t="shared" ca="1" si="332"/>
        <v>-</v>
      </c>
      <c r="N4270" s="18" t="str">
        <f t="shared" si="333"/>
        <v>K1622:L5000</v>
      </c>
      <c r="O4270" t="str">
        <f t="shared" si="334"/>
        <v>A1622:A4270</v>
      </c>
    </row>
    <row r="4271" spans="1:15">
      <c r="A4271" s="18">
        <f>Charms!K4271</f>
        <v>0</v>
      </c>
      <c r="B4271">
        <f>Charms!B4271</f>
        <v>0</v>
      </c>
      <c r="C4271" t="b">
        <f ca="1">OR(Values!$S$98&gt;=Charms!M4271,IFERROR(Charms!J4271=OFFSET(Values!$A$24,MATCH("S",Values!$T$25:$T$50,0),0),FALSE))</f>
        <v>1</v>
      </c>
      <c r="D4271" t="e">
        <f>VLOOKUP(Charms!J4271,Values!$A$11:$S$59,19,0)&gt;=Charms!L4271</f>
        <v>#N/A</v>
      </c>
      <c r="E4271" t="e">
        <f>OR(ISBLANK(Charms!I4271),(VLOOKUP(Values!$S$6,Castes!$B$2:$F$25,4,0)=Charms!I4271))</f>
        <v>#N/A</v>
      </c>
      <c r="J4271" t="e">
        <f t="shared" ca="1" si="331"/>
        <v>#N/A</v>
      </c>
      <c r="K4271" s="18" t="e">
        <f t="shared" ca="1" si="330"/>
        <v>#N/A</v>
      </c>
      <c r="L4271" t="e">
        <f ca="1">IF(J4271,Charms!B4271,"")</f>
        <v>#N/A</v>
      </c>
      <c r="M4271" t="str">
        <f t="shared" ca="1" si="332"/>
        <v>-</v>
      </c>
      <c r="N4271" s="18" t="str">
        <f t="shared" si="333"/>
        <v>K1622:L5000</v>
      </c>
      <c r="O4271" t="str">
        <f t="shared" si="334"/>
        <v>A1622:A4271</v>
      </c>
    </row>
    <row r="4272" spans="1:15">
      <c r="A4272" s="18">
        <f>Charms!K4272</f>
        <v>0</v>
      </c>
      <c r="B4272">
        <f>Charms!B4272</f>
        <v>0</v>
      </c>
      <c r="C4272" t="b">
        <f ca="1">OR(Values!$S$98&gt;=Charms!M4272,IFERROR(Charms!J4272=OFFSET(Values!$A$24,MATCH("S",Values!$T$25:$T$50,0),0),FALSE))</f>
        <v>1</v>
      </c>
      <c r="D4272" t="e">
        <f>VLOOKUP(Charms!J4272,Values!$A$11:$S$59,19,0)&gt;=Charms!L4272</f>
        <v>#N/A</v>
      </c>
      <c r="E4272" t="e">
        <f>OR(ISBLANK(Charms!I4272),(VLOOKUP(Values!$S$6,Castes!$B$2:$F$25,4,0)=Charms!I4272))</f>
        <v>#N/A</v>
      </c>
      <c r="J4272" t="e">
        <f t="shared" ca="1" si="331"/>
        <v>#N/A</v>
      </c>
      <c r="K4272" s="18" t="e">
        <f t="shared" ca="1" si="330"/>
        <v>#N/A</v>
      </c>
      <c r="L4272" t="e">
        <f ca="1">IF(J4272,Charms!B4272,"")</f>
        <v>#N/A</v>
      </c>
      <c r="M4272" t="str">
        <f t="shared" ca="1" si="332"/>
        <v>-</v>
      </c>
      <c r="N4272" s="18" t="str">
        <f t="shared" si="333"/>
        <v>K1622:L5000</v>
      </c>
      <c r="O4272" t="str">
        <f t="shared" si="334"/>
        <v>A1622:A4272</v>
      </c>
    </row>
    <row r="4273" spans="1:15">
      <c r="A4273" s="18">
        <f>Charms!K4273</f>
        <v>0</v>
      </c>
      <c r="B4273">
        <f>Charms!B4273</f>
        <v>0</v>
      </c>
      <c r="C4273" t="b">
        <f ca="1">OR(Values!$S$98&gt;=Charms!M4273,IFERROR(Charms!J4273=OFFSET(Values!$A$24,MATCH("S",Values!$T$25:$T$50,0),0),FALSE))</f>
        <v>1</v>
      </c>
      <c r="D4273" t="e">
        <f>VLOOKUP(Charms!J4273,Values!$A$11:$S$59,19,0)&gt;=Charms!L4273</f>
        <v>#N/A</v>
      </c>
      <c r="E4273" t="e">
        <f>OR(ISBLANK(Charms!I4273),(VLOOKUP(Values!$S$6,Castes!$B$2:$F$25,4,0)=Charms!I4273))</f>
        <v>#N/A</v>
      </c>
      <c r="J4273" t="e">
        <f t="shared" ca="1" si="331"/>
        <v>#N/A</v>
      </c>
      <c r="K4273" s="18" t="e">
        <f t="shared" ca="1" si="330"/>
        <v>#N/A</v>
      </c>
      <c r="L4273" t="e">
        <f ca="1">IF(J4273,Charms!B4273,"")</f>
        <v>#N/A</v>
      </c>
      <c r="M4273" t="str">
        <f t="shared" ca="1" si="332"/>
        <v>-</v>
      </c>
      <c r="N4273" s="18" t="str">
        <f t="shared" si="333"/>
        <v>K1622:L5000</v>
      </c>
      <c r="O4273" t="str">
        <f t="shared" si="334"/>
        <v>A1622:A4273</v>
      </c>
    </row>
    <row r="4274" spans="1:15">
      <c r="A4274" s="18">
        <f>Charms!K4274</f>
        <v>0</v>
      </c>
      <c r="B4274">
        <f>Charms!B4274</f>
        <v>0</v>
      </c>
      <c r="C4274" t="b">
        <f ca="1">OR(Values!$S$98&gt;=Charms!M4274,IFERROR(Charms!J4274=OFFSET(Values!$A$24,MATCH("S",Values!$T$25:$T$50,0),0),FALSE))</f>
        <v>1</v>
      </c>
      <c r="D4274" t="e">
        <f>VLOOKUP(Charms!J4274,Values!$A$11:$S$59,19,0)&gt;=Charms!L4274</f>
        <v>#N/A</v>
      </c>
      <c r="E4274" t="e">
        <f>OR(ISBLANK(Charms!I4274),(VLOOKUP(Values!$S$6,Castes!$B$2:$F$25,4,0)=Charms!I4274))</f>
        <v>#N/A</v>
      </c>
      <c r="J4274" t="e">
        <f t="shared" ca="1" si="331"/>
        <v>#N/A</v>
      </c>
      <c r="K4274" s="18" t="e">
        <f t="shared" ca="1" si="330"/>
        <v>#N/A</v>
      </c>
      <c r="L4274" t="e">
        <f ca="1">IF(J4274,Charms!B4274,"")</f>
        <v>#N/A</v>
      </c>
      <c r="M4274" t="str">
        <f t="shared" ca="1" si="332"/>
        <v>-</v>
      </c>
      <c r="N4274" s="18" t="str">
        <f t="shared" si="333"/>
        <v>K1622:L5000</v>
      </c>
      <c r="O4274" t="str">
        <f t="shared" si="334"/>
        <v>A1622:A4274</v>
      </c>
    </row>
    <row r="4275" spans="1:15">
      <c r="A4275" s="18">
        <f>Charms!K4275</f>
        <v>0</v>
      </c>
      <c r="B4275">
        <f>Charms!B4275</f>
        <v>0</v>
      </c>
      <c r="C4275" t="b">
        <f ca="1">OR(Values!$S$98&gt;=Charms!M4275,IFERROR(Charms!J4275=OFFSET(Values!$A$24,MATCH("S",Values!$T$25:$T$50,0),0),FALSE))</f>
        <v>1</v>
      </c>
      <c r="D4275" t="e">
        <f>VLOOKUP(Charms!J4275,Values!$A$11:$S$59,19,0)&gt;=Charms!L4275</f>
        <v>#N/A</v>
      </c>
      <c r="E4275" t="e">
        <f>OR(ISBLANK(Charms!I4275),(VLOOKUP(Values!$S$6,Castes!$B$2:$F$25,4,0)=Charms!I4275))</f>
        <v>#N/A</v>
      </c>
      <c r="J4275" t="e">
        <f t="shared" ca="1" si="331"/>
        <v>#N/A</v>
      </c>
      <c r="K4275" s="18" t="e">
        <f t="shared" ca="1" si="330"/>
        <v>#N/A</v>
      </c>
      <c r="L4275" t="e">
        <f ca="1">IF(J4275,Charms!B4275,"")</f>
        <v>#N/A</v>
      </c>
      <c r="M4275" t="str">
        <f t="shared" ca="1" si="332"/>
        <v>-</v>
      </c>
      <c r="N4275" s="18" t="str">
        <f t="shared" si="333"/>
        <v>K1622:L5000</v>
      </c>
      <c r="O4275" t="str">
        <f t="shared" si="334"/>
        <v>A1622:A4275</v>
      </c>
    </row>
    <row r="4276" spans="1:15">
      <c r="A4276" s="18">
        <f>Charms!K4276</f>
        <v>0</v>
      </c>
      <c r="B4276">
        <f>Charms!B4276</f>
        <v>0</v>
      </c>
      <c r="C4276" t="b">
        <f ca="1">OR(Values!$S$98&gt;=Charms!M4276,IFERROR(Charms!J4276=OFFSET(Values!$A$24,MATCH("S",Values!$T$25:$T$50,0),0),FALSE))</f>
        <v>1</v>
      </c>
      <c r="D4276" t="e">
        <f>VLOOKUP(Charms!J4276,Values!$A$11:$S$59,19,0)&gt;=Charms!L4276</f>
        <v>#N/A</v>
      </c>
      <c r="E4276" t="e">
        <f>OR(ISBLANK(Charms!I4276),(VLOOKUP(Values!$S$6,Castes!$B$2:$F$25,4,0)=Charms!I4276))</f>
        <v>#N/A</v>
      </c>
      <c r="J4276" t="e">
        <f t="shared" ca="1" si="331"/>
        <v>#N/A</v>
      </c>
      <c r="K4276" s="18" t="e">
        <f t="shared" ca="1" si="330"/>
        <v>#N/A</v>
      </c>
      <c r="L4276" t="e">
        <f ca="1">IF(J4276,Charms!B4276,"")</f>
        <v>#N/A</v>
      </c>
      <c r="M4276" t="str">
        <f t="shared" ca="1" si="332"/>
        <v>-</v>
      </c>
      <c r="N4276" s="18" t="str">
        <f t="shared" si="333"/>
        <v>K1622:L5000</v>
      </c>
      <c r="O4276" t="str">
        <f t="shared" si="334"/>
        <v>A1622:A4276</v>
      </c>
    </row>
    <row r="4277" spans="1:15">
      <c r="A4277" s="18">
        <f>Charms!K4277</f>
        <v>0</v>
      </c>
      <c r="B4277">
        <f>Charms!B4277</f>
        <v>0</v>
      </c>
      <c r="C4277" t="b">
        <f ca="1">OR(Values!$S$98&gt;=Charms!M4277,IFERROR(Charms!J4277=OFFSET(Values!$A$24,MATCH("S",Values!$T$25:$T$50,0),0),FALSE))</f>
        <v>1</v>
      </c>
      <c r="D4277" t="e">
        <f>VLOOKUP(Charms!J4277,Values!$A$11:$S$59,19,0)&gt;=Charms!L4277</f>
        <v>#N/A</v>
      </c>
      <c r="E4277" t="e">
        <f>OR(ISBLANK(Charms!I4277),(VLOOKUP(Values!$S$6,Castes!$B$2:$F$25,4,0)=Charms!I4277))</f>
        <v>#N/A</v>
      </c>
      <c r="J4277" t="e">
        <f t="shared" ca="1" si="331"/>
        <v>#N/A</v>
      </c>
      <c r="K4277" s="18" t="e">
        <f t="shared" ca="1" si="330"/>
        <v>#N/A</v>
      </c>
      <c r="L4277" t="e">
        <f ca="1">IF(J4277,Charms!B4277,"")</f>
        <v>#N/A</v>
      </c>
      <c r="M4277" t="str">
        <f t="shared" ca="1" si="332"/>
        <v>-</v>
      </c>
      <c r="N4277" s="18" t="str">
        <f t="shared" si="333"/>
        <v>K1622:L5000</v>
      </c>
      <c r="O4277" t="str">
        <f t="shared" si="334"/>
        <v>A1622:A4277</v>
      </c>
    </row>
    <row r="4278" spans="1:15">
      <c r="A4278" s="18">
        <f>Charms!K4278</f>
        <v>0</v>
      </c>
      <c r="B4278">
        <f>Charms!B4278</f>
        <v>0</v>
      </c>
      <c r="C4278" t="b">
        <f ca="1">OR(Values!$S$98&gt;=Charms!M4278,IFERROR(Charms!J4278=OFFSET(Values!$A$24,MATCH("S",Values!$T$25:$T$50,0),0),FALSE))</f>
        <v>1</v>
      </c>
      <c r="D4278" t="e">
        <f>VLOOKUP(Charms!J4278,Values!$A$11:$S$59,19,0)&gt;=Charms!L4278</f>
        <v>#N/A</v>
      </c>
      <c r="E4278" t="e">
        <f>OR(ISBLANK(Charms!I4278),(VLOOKUP(Values!$S$6,Castes!$B$2:$F$25,4,0)=Charms!I4278))</f>
        <v>#N/A</v>
      </c>
      <c r="J4278" t="e">
        <f t="shared" ca="1" si="331"/>
        <v>#N/A</v>
      </c>
      <c r="K4278" s="18" t="e">
        <f t="shared" ca="1" si="330"/>
        <v>#N/A</v>
      </c>
      <c r="L4278" t="e">
        <f ca="1">IF(J4278,Charms!B4278,"")</f>
        <v>#N/A</v>
      </c>
      <c r="M4278" t="str">
        <f t="shared" ca="1" si="332"/>
        <v>-</v>
      </c>
      <c r="N4278" s="18" t="str">
        <f t="shared" si="333"/>
        <v>K1622:L5000</v>
      </c>
      <c r="O4278" t="str">
        <f t="shared" si="334"/>
        <v>A1622:A4278</v>
      </c>
    </row>
    <row r="4279" spans="1:15">
      <c r="A4279" s="18">
        <f>Charms!K4279</f>
        <v>0</v>
      </c>
      <c r="B4279">
        <f>Charms!B4279</f>
        <v>0</v>
      </c>
      <c r="C4279" t="b">
        <f ca="1">OR(Values!$S$98&gt;=Charms!M4279,IFERROR(Charms!J4279=OFFSET(Values!$A$24,MATCH("S",Values!$T$25:$T$50,0),0),FALSE))</f>
        <v>1</v>
      </c>
      <c r="D4279" t="e">
        <f>VLOOKUP(Charms!J4279,Values!$A$11:$S$59,19,0)&gt;=Charms!L4279</f>
        <v>#N/A</v>
      </c>
      <c r="E4279" t="e">
        <f>OR(ISBLANK(Charms!I4279),(VLOOKUP(Values!$S$6,Castes!$B$2:$F$25,4,0)=Charms!I4279))</f>
        <v>#N/A</v>
      </c>
      <c r="J4279" t="e">
        <f t="shared" ca="1" si="331"/>
        <v>#N/A</v>
      </c>
      <c r="K4279" s="18" t="e">
        <f t="shared" ca="1" si="330"/>
        <v>#N/A</v>
      </c>
      <c r="L4279" t="e">
        <f ca="1">IF(J4279,Charms!B4279,"")</f>
        <v>#N/A</v>
      </c>
      <c r="M4279" t="str">
        <f t="shared" ca="1" si="332"/>
        <v>-</v>
      </c>
      <c r="N4279" s="18" t="str">
        <f t="shared" si="333"/>
        <v>K1622:L5000</v>
      </c>
      <c r="O4279" t="str">
        <f t="shared" si="334"/>
        <v>A1622:A4279</v>
      </c>
    </row>
    <row r="4280" spans="1:15">
      <c r="A4280" s="18">
        <f>Charms!K4280</f>
        <v>0</v>
      </c>
      <c r="B4280">
        <f>Charms!B4280</f>
        <v>0</v>
      </c>
      <c r="C4280" t="b">
        <f ca="1">OR(Values!$S$98&gt;=Charms!M4280,IFERROR(Charms!J4280=OFFSET(Values!$A$24,MATCH("S",Values!$T$25:$T$50,0),0),FALSE))</f>
        <v>1</v>
      </c>
      <c r="D4280" t="e">
        <f>VLOOKUP(Charms!J4280,Values!$A$11:$S$59,19,0)&gt;=Charms!L4280</f>
        <v>#N/A</v>
      </c>
      <c r="E4280" t="e">
        <f>OR(ISBLANK(Charms!I4280),(VLOOKUP(Values!$S$6,Castes!$B$2:$F$25,4,0)=Charms!I4280))</f>
        <v>#N/A</v>
      </c>
      <c r="J4280" t="e">
        <f t="shared" ca="1" si="331"/>
        <v>#N/A</v>
      </c>
      <c r="K4280" s="18" t="e">
        <f t="shared" ca="1" si="330"/>
        <v>#N/A</v>
      </c>
      <c r="L4280" t="e">
        <f ca="1">IF(J4280,Charms!B4280,"")</f>
        <v>#N/A</v>
      </c>
      <c r="M4280" t="str">
        <f t="shared" ca="1" si="332"/>
        <v>-</v>
      </c>
      <c r="N4280" s="18" t="str">
        <f t="shared" si="333"/>
        <v>K1622:L5000</v>
      </c>
      <c r="O4280" t="str">
        <f t="shared" si="334"/>
        <v>A1622:A4280</v>
      </c>
    </row>
    <row r="4281" spans="1:15">
      <c r="A4281" s="18">
        <f>Charms!K4281</f>
        <v>0</v>
      </c>
      <c r="B4281">
        <f>Charms!B4281</f>
        <v>0</v>
      </c>
      <c r="C4281" t="b">
        <f ca="1">OR(Values!$S$98&gt;=Charms!M4281,IFERROR(Charms!J4281=OFFSET(Values!$A$24,MATCH("S",Values!$T$25:$T$50,0),0),FALSE))</f>
        <v>1</v>
      </c>
      <c r="D4281" t="e">
        <f>VLOOKUP(Charms!J4281,Values!$A$11:$S$59,19,0)&gt;=Charms!L4281</f>
        <v>#N/A</v>
      </c>
      <c r="E4281" t="e">
        <f>OR(ISBLANK(Charms!I4281),(VLOOKUP(Values!$S$6,Castes!$B$2:$F$25,4,0)=Charms!I4281))</f>
        <v>#N/A</v>
      </c>
      <c r="J4281" t="e">
        <f t="shared" ca="1" si="331"/>
        <v>#N/A</v>
      </c>
      <c r="K4281" s="18" t="e">
        <f t="shared" ca="1" si="330"/>
        <v>#N/A</v>
      </c>
      <c r="L4281" t="e">
        <f ca="1">IF(J4281,Charms!B4281,"")</f>
        <v>#N/A</v>
      </c>
      <c r="M4281" t="str">
        <f t="shared" ca="1" si="332"/>
        <v>-</v>
      </c>
      <c r="N4281" s="18" t="str">
        <f t="shared" si="333"/>
        <v>K1622:L5000</v>
      </c>
      <c r="O4281" t="str">
        <f t="shared" si="334"/>
        <v>A1622:A4281</v>
      </c>
    </row>
    <row r="4282" spans="1:15">
      <c r="A4282" s="18">
        <f>Charms!K4282</f>
        <v>0</v>
      </c>
      <c r="B4282">
        <f>Charms!B4282</f>
        <v>0</v>
      </c>
      <c r="C4282" t="b">
        <f ca="1">OR(Values!$S$98&gt;=Charms!M4282,IFERROR(Charms!J4282=OFFSET(Values!$A$24,MATCH("S",Values!$T$25:$T$50,0),0),FALSE))</f>
        <v>1</v>
      </c>
      <c r="D4282" t="e">
        <f>VLOOKUP(Charms!J4282,Values!$A$11:$S$59,19,0)&gt;=Charms!L4282</f>
        <v>#N/A</v>
      </c>
      <c r="E4282" t="e">
        <f>OR(ISBLANK(Charms!I4282),(VLOOKUP(Values!$S$6,Castes!$B$2:$F$25,4,0)=Charms!I4282))</f>
        <v>#N/A</v>
      </c>
      <c r="J4282" t="e">
        <f t="shared" ca="1" si="331"/>
        <v>#N/A</v>
      </c>
      <c r="K4282" s="18" t="e">
        <f t="shared" ca="1" si="330"/>
        <v>#N/A</v>
      </c>
      <c r="L4282" t="e">
        <f ca="1">IF(J4282,Charms!B4282,"")</f>
        <v>#N/A</v>
      </c>
      <c r="M4282" t="str">
        <f t="shared" ca="1" si="332"/>
        <v>-</v>
      </c>
      <c r="N4282" s="18" t="str">
        <f t="shared" si="333"/>
        <v>K1622:L5000</v>
      </c>
      <c r="O4282" t="str">
        <f t="shared" si="334"/>
        <v>A1622:A4282</v>
      </c>
    </row>
    <row r="4283" spans="1:15">
      <c r="A4283" s="18">
        <f>Charms!K4283</f>
        <v>0</v>
      </c>
      <c r="B4283">
        <f>Charms!B4283</f>
        <v>0</v>
      </c>
      <c r="C4283" t="b">
        <f ca="1">OR(Values!$S$98&gt;=Charms!M4283,IFERROR(Charms!J4283=OFFSET(Values!$A$24,MATCH("S",Values!$T$25:$T$50,0),0),FALSE))</f>
        <v>1</v>
      </c>
      <c r="D4283" t="e">
        <f>VLOOKUP(Charms!J4283,Values!$A$11:$S$59,19,0)&gt;=Charms!L4283</f>
        <v>#N/A</v>
      </c>
      <c r="E4283" t="e">
        <f>OR(ISBLANK(Charms!I4283),(VLOOKUP(Values!$S$6,Castes!$B$2:$F$25,4,0)=Charms!I4283))</f>
        <v>#N/A</v>
      </c>
      <c r="J4283" t="e">
        <f t="shared" ca="1" si="331"/>
        <v>#N/A</v>
      </c>
      <c r="K4283" s="18" t="e">
        <f t="shared" ca="1" si="330"/>
        <v>#N/A</v>
      </c>
      <c r="L4283" t="e">
        <f ca="1">IF(J4283,Charms!B4283,"")</f>
        <v>#N/A</v>
      </c>
      <c r="M4283" t="str">
        <f t="shared" ca="1" si="332"/>
        <v>-</v>
      </c>
      <c r="N4283" s="18" t="str">
        <f t="shared" si="333"/>
        <v>K1622:L5000</v>
      </c>
      <c r="O4283" t="str">
        <f t="shared" si="334"/>
        <v>A1622:A4283</v>
      </c>
    </row>
    <row r="4284" spans="1:15">
      <c r="A4284" s="18">
        <f>Charms!K4284</f>
        <v>0</v>
      </c>
      <c r="B4284">
        <f>Charms!B4284</f>
        <v>0</v>
      </c>
      <c r="C4284" t="b">
        <f ca="1">OR(Values!$S$98&gt;=Charms!M4284,IFERROR(Charms!J4284=OFFSET(Values!$A$24,MATCH("S",Values!$T$25:$T$50,0),0),FALSE))</f>
        <v>1</v>
      </c>
      <c r="D4284" t="e">
        <f>VLOOKUP(Charms!J4284,Values!$A$11:$S$59,19,0)&gt;=Charms!L4284</f>
        <v>#N/A</v>
      </c>
      <c r="E4284" t="e">
        <f>OR(ISBLANK(Charms!I4284),(VLOOKUP(Values!$S$6,Castes!$B$2:$F$25,4,0)=Charms!I4284))</f>
        <v>#N/A</v>
      </c>
      <c r="J4284" t="e">
        <f t="shared" ca="1" si="331"/>
        <v>#N/A</v>
      </c>
      <c r="K4284" s="18" t="e">
        <f t="shared" ca="1" si="330"/>
        <v>#N/A</v>
      </c>
      <c r="L4284" t="e">
        <f ca="1">IF(J4284,Charms!B4284,"")</f>
        <v>#N/A</v>
      </c>
      <c r="M4284" t="str">
        <f t="shared" ca="1" si="332"/>
        <v>-</v>
      </c>
      <c r="N4284" s="18" t="str">
        <f t="shared" si="333"/>
        <v>K1622:L5000</v>
      </c>
      <c r="O4284" t="str">
        <f t="shared" si="334"/>
        <v>A1622:A4284</v>
      </c>
    </row>
    <row r="4285" spans="1:15">
      <c r="A4285" s="18">
        <f>Charms!K4285</f>
        <v>0</v>
      </c>
      <c r="B4285">
        <f>Charms!B4285</f>
        <v>0</v>
      </c>
      <c r="C4285" t="b">
        <f ca="1">OR(Values!$S$98&gt;=Charms!M4285,IFERROR(Charms!J4285=OFFSET(Values!$A$24,MATCH("S",Values!$T$25:$T$50,0),0),FALSE))</f>
        <v>1</v>
      </c>
      <c r="D4285" t="e">
        <f>VLOOKUP(Charms!J4285,Values!$A$11:$S$59,19,0)&gt;=Charms!L4285</f>
        <v>#N/A</v>
      </c>
      <c r="E4285" t="e">
        <f>OR(ISBLANK(Charms!I4285),(VLOOKUP(Values!$S$6,Castes!$B$2:$F$25,4,0)=Charms!I4285))</f>
        <v>#N/A</v>
      </c>
      <c r="J4285" t="e">
        <f t="shared" ca="1" si="331"/>
        <v>#N/A</v>
      </c>
      <c r="K4285" s="18" t="e">
        <f t="shared" ca="1" si="330"/>
        <v>#N/A</v>
      </c>
      <c r="L4285" t="e">
        <f ca="1">IF(J4285,Charms!B4285,"")</f>
        <v>#N/A</v>
      </c>
      <c r="M4285" t="str">
        <f t="shared" ca="1" si="332"/>
        <v>-</v>
      </c>
      <c r="N4285" s="18" t="str">
        <f t="shared" si="333"/>
        <v>K1622:L5000</v>
      </c>
      <c r="O4285" t="str">
        <f t="shared" si="334"/>
        <v>A1622:A4285</v>
      </c>
    </row>
    <row r="4286" spans="1:15">
      <c r="A4286" s="18">
        <f>Charms!K4286</f>
        <v>0</v>
      </c>
      <c r="B4286">
        <f>Charms!B4286</f>
        <v>0</v>
      </c>
      <c r="C4286" t="b">
        <f ca="1">OR(Values!$S$98&gt;=Charms!M4286,IFERROR(Charms!J4286=OFFSET(Values!$A$24,MATCH("S",Values!$T$25:$T$50,0),0),FALSE))</f>
        <v>1</v>
      </c>
      <c r="D4286" t="e">
        <f>VLOOKUP(Charms!J4286,Values!$A$11:$S$59,19,0)&gt;=Charms!L4286</f>
        <v>#N/A</v>
      </c>
      <c r="E4286" t="e">
        <f>OR(ISBLANK(Charms!I4286),(VLOOKUP(Values!$S$6,Castes!$B$2:$F$25,4,0)=Charms!I4286))</f>
        <v>#N/A</v>
      </c>
      <c r="J4286" t="e">
        <f t="shared" ca="1" si="331"/>
        <v>#N/A</v>
      </c>
      <c r="K4286" s="18" t="e">
        <f t="shared" ca="1" si="330"/>
        <v>#N/A</v>
      </c>
      <c r="L4286" t="e">
        <f ca="1">IF(J4286,Charms!B4286,"")</f>
        <v>#N/A</v>
      </c>
      <c r="M4286" t="str">
        <f t="shared" ca="1" si="332"/>
        <v>-</v>
      </c>
      <c r="N4286" s="18" t="str">
        <f t="shared" si="333"/>
        <v>K1622:L5000</v>
      </c>
      <c r="O4286" t="str">
        <f t="shared" si="334"/>
        <v>A1622:A4286</v>
      </c>
    </row>
    <row r="4287" spans="1:15">
      <c r="A4287" s="18">
        <f>Charms!K4287</f>
        <v>0</v>
      </c>
      <c r="B4287">
        <f>Charms!B4287</f>
        <v>0</v>
      </c>
      <c r="C4287" t="b">
        <f ca="1">OR(Values!$S$98&gt;=Charms!M4287,IFERROR(Charms!J4287=OFFSET(Values!$A$24,MATCH("S",Values!$T$25:$T$50,0),0),FALSE))</f>
        <v>1</v>
      </c>
      <c r="D4287" t="e">
        <f>VLOOKUP(Charms!J4287,Values!$A$11:$S$59,19,0)&gt;=Charms!L4287</f>
        <v>#N/A</v>
      </c>
      <c r="E4287" t="e">
        <f>OR(ISBLANK(Charms!I4287),(VLOOKUP(Values!$S$6,Castes!$B$2:$F$25,4,0)=Charms!I4287))</f>
        <v>#N/A</v>
      </c>
      <c r="J4287" t="e">
        <f t="shared" ca="1" si="331"/>
        <v>#N/A</v>
      </c>
      <c r="K4287" s="18" t="e">
        <f t="shared" ca="1" si="330"/>
        <v>#N/A</v>
      </c>
      <c r="L4287" t="e">
        <f ca="1">IF(J4287,Charms!B4287,"")</f>
        <v>#N/A</v>
      </c>
      <c r="M4287" t="str">
        <f t="shared" ca="1" si="332"/>
        <v>-</v>
      </c>
      <c r="N4287" s="18" t="str">
        <f t="shared" si="333"/>
        <v>K1622:L5000</v>
      </c>
      <c r="O4287" t="str">
        <f t="shared" si="334"/>
        <v>A1622:A4287</v>
      </c>
    </row>
    <row r="4288" spans="1:15">
      <c r="A4288" s="18">
        <f>Charms!K4288</f>
        <v>0</v>
      </c>
      <c r="B4288">
        <f>Charms!B4288</f>
        <v>0</v>
      </c>
      <c r="C4288" t="b">
        <f ca="1">OR(Values!$S$98&gt;=Charms!M4288,IFERROR(Charms!J4288=OFFSET(Values!$A$24,MATCH("S",Values!$T$25:$T$50,0),0),FALSE))</f>
        <v>1</v>
      </c>
      <c r="D4288" t="e">
        <f>VLOOKUP(Charms!J4288,Values!$A$11:$S$59,19,0)&gt;=Charms!L4288</f>
        <v>#N/A</v>
      </c>
      <c r="E4288" t="e">
        <f>OR(ISBLANK(Charms!I4288),(VLOOKUP(Values!$S$6,Castes!$B$2:$F$25,4,0)=Charms!I4288))</f>
        <v>#N/A</v>
      </c>
      <c r="J4288" t="e">
        <f t="shared" ca="1" si="331"/>
        <v>#N/A</v>
      </c>
      <c r="K4288" s="18" t="e">
        <f t="shared" ca="1" si="330"/>
        <v>#N/A</v>
      </c>
      <c r="L4288" t="e">
        <f ca="1">IF(J4288,Charms!B4288,"")</f>
        <v>#N/A</v>
      </c>
      <c r="M4288" t="str">
        <f t="shared" ca="1" si="332"/>
        <v>-</v>
      </c>
      <c r="N4288" s="18" t="str">
        <f t="shared" si="333"/>
        <v>K1622:L5000</v>
      </c>
      <c r="O4288" t="str">
        <f t="shared" si="334"/>
        <v>A1622:A4288</v>
      </c>
    </row>
    <row r="4289" spans="1:15">
      <c r="A4289" s="18">
        <f>Charms!K4289</f>
        <v>0</v>
      </c>
      <c r="B4289">
        <f>Charms!B4289</f>
        <v>0</v>
      </c>
      <c r="C4289" t="b">
        <f ca="1">OR(Values!$S$98&gt;=Charms!M4289,IFERROR(Charms!J4289=OFFSET(Values!$A$24,MATCH("S",Values!$T$25:$T$50,0),0),FALSE))</f>
        <v>1</v>
      </c>
      <c r="D4289" t="e">
        <f>VLOOKUP(Charms!J4289,Values!$A$11:$S$59,19,0)&gt;=Charms!L4289</f>
        <v>#N/A</v>
      </c>
      <c r="E4289" t="e">
        <f>OR(ISBLANK(Charms!I4289),(VLOOKUP(Values!$S$6,Castes!$B$2:$F$25,4,0)=Charms!I4289))</f>
        <v>#N/A</v>
      </c>
      <c r="J4289" t="e">
        <f t="shared" ca="1" si="331"/>
        <v>#N/A</v>
      </c>
      <c r="K4289" s="18" t="e">
        <f t="shared" ca="1" si="330"/>
        <v>#N/A</v>
      </c>
      <c r="L4289" t="e">
        <f ca="1">IF(J4289,Charms!B4289,"")</f>
        <v>#N/A</v>
      </c>
      <c r="M4289" t="str">
        <f t="shared" ca="1" si="332"/>
        <v>-</v>
      </c>
      <c r="N4289" s="18" t="str">
        <f t="shared" si="333"/>
        <v>K1622:L5000</v>
      </c>
      <c r="O4289" t="str">
        <f t="shared" si="334"/>
        <v>A1622:A4289</v>
      </c>
    </row>
    <row r="4290" spans="1:15">
      <c r="A4290" s="18">
        <f>Charms!K4290</f>
        <v>0</v>
      </c>
      <c r="B4290">
        <f>Charms!B4290</f>
        <v>0</v>
      </c>
      <c r="C4290" t="b">
        <f ca="1">OR(Values!$S$98&gt;=Charms!M4290,IFERROR(Charms!J4290=OFFSET(Values!$A$24,MATCH("S",Values!$T$25:$T$50,0),0),FALSE))</f>
        <v>1</v>
      </c>
      <c r="D4290" t="e">
        <f>VLOOKUP(Charms!J4290,Values!$A$11:$S$59,19,0)&gt;=Charms!L4290</f>
        <v>#N/A</v>
      </c>
      <c r="E4290" t="e">
        <f>OR(ISBLANK(Charms!I4290),(VLOOKUP(Values!$S$6,Castes!$B$2:$F$25,4,0)=Charms!I4290))</f>
        <v>#N/A</v>
      </c>
      <c r="J4290" t="e">
        <f t="shared" ca="1" si="331"/>
        <v>#N/A</v>
      </c>
      <c r="K4290" s="18" t="e">
        <f t="shared" ref="K4290:K4353" ca="1" si="335">IF(L4290="","",COUNTIF(INDIRECT("J"&amp;MATCH(A4290,A:A,0)&amp;":J"&amp;ROW()),J4290))</f>
        <v>#N/A</v>
      </c>
      <c r="L4290" t="e">
        <f ca="1">IF(J4290,Charms!B4290,"")</f>
        <v>#N/A</v>
      </c>
      <c r="M4290" t="str">
        <f t="shared" ca="1" si="332"/>
        <v>-</v>
      </c>
      <c r="N4290" s="18" t="str">
        <f t="shared" si="333"/>
        <v>K1622:L5000</v>
      </c>
      <c r="O4290" t="str">
        <f t="shared" si="334"/>
        <v>A1622:A4290</v>
      </c>
    </row>
    <row r="4291" spans="1:15">
      <c r="A4291" s="18">
        <f>Charms!K4291</f>
        <v>0</v>
      </c>
      <c r="B4291">
        <f>Charms!B4291</f>
        <v>0</v>
      </c>
      <c r="C4291" t="b">
        <f ca="1">OR(Values!$S$98&gt;=Charms!M4291,IFERROR(Charms!J4291=OFFSET(Values!$A$24,MATCH("S",Values!$T$25:$T$50,0),0),FALSE))</f>
        <v>1</v>
      </c>
      <c r="D4291" t="e">
        <f>VLOOKUP(Charms!J4291,Values!$A$11:$S$59,19,0)&gt;=Charms!L4291</f>
        <v>#N/A</v>
      </c>
      <c r="E4291" t="e">
        <f>OR(ISBLANK(Charms!I4291),(VLOOKUP(Values!$S$6,Castes!$B$2:$F$25,4,0)=Charms!I4291))</f>
        <v>#N/A</v>
      </c>
      <c r="J4291" t="e">
        <f t="shared" ref="J4291:J4354" ca="1" si="336">(C4291+D4291+E4291+F4291+G4291+H4291+I4291)=3</f>
        <v>#N/A</v>
      </c>
      <c r="K4291" s="18" t="e">
        <f t="shared" ca="1" si="335"/>
        <v>#N/A</v>
      </c>
      <c r="L4291" t="e">
        <f ca="1">IF(J4291,Charms!B4291,"")</f>
        <v>#N/A</v>
      </c>
      <c r="M4291" t="str">
        <f t="shared" ref="M4291:M4354" ca="1" si="337">IFERROR(VLOOKUP(COUNTIF(INDIRECT(O4291),A4291),INDIRECT(N4291),2,0),"-")</f>
        <v>-</v>
      </c>
      <c r="N4291" s="18" t="str">
        <f t="shared" ref="N4291:N4354" si="338">"K"&amp;MATCH(A4291,A:A,0)&amp;":L"&amp;(MATCH(A4291,A:A,0)+COUNTIF(A:A,A4291)-1)</f>
        <v>K1622:L5000</v>
      </c>
      <c r="O4291" t="str">
        <f t="shared" ref="O4291:O4354" si="339">"A"&amp;MATCH(A4291,A:A,0)&amp;":A"&amp;ROW()</f>
        <v>A1622:A4291</v>
      </c>
    </row>
    <row r="4292" spans="1:15">
      <c r="A4292" s="18">
        <f>Charms!K4292</f>
        <v>0</v>
      </c>
      <c r="B4292">
        <f>Charms!B4292</f>
        <v>0</v>
      </c>
      <c r="C4292" t="b">
        <f ca="1">OR(Values!$S$98&gt;=Charms!M4292,IFERROR(Charms!J4292=OFFSET(Values!$A$24,MATCH("S",Values!$T$25:$T$50,0),0),FALSE))</f>
        <v>1</v>
      </c>
      <c r="D4292" t="e">
        <f>VLOOKUP(Charms!J4292,Values!$A$11:$S$59,19,0)&gt;=Charms!L4292</f>
        <v>#N/A</v>
      </c>
      <c r="E4292" t="e">
        <f>OR(ISBLANK(Charms!I4292),(VLOOKUP(Values!$S$6,Castes!$B$2:$F$25,4,0)=Charms!I4292))</f>
        <v>#N/A</v>
      </c>
      <c r="J4292" t="e">
        <f t="shared" ca="1" si="336"/>
        <v>#N/A</v>
      </c>
      <c r="K4292" s="18" t="e">
        <f t="shared" ca="1" si="335"/>
        <v>#N/A</v>
      </c>
      <c r="L4292" t="e">
        <f ca="1">IF(J4292,Charms!B4292,"")</f>
        <v>#N/A</v>
      </c>
      <c r="M4292" t="str">
        <f t="shared" ca="1" si="337"/>
        <v>-</v>
      </c>
      <c r="N4292" s="18" t="str">
        <f t="shared" si="338"/>
        <v>K1622:L5000</v>
      </c>
      <c r="O4292" t="str">
        <f t="shared" si="339"/>
        <v>A1622:A4292</v>
      </c>
    </row>
    <row r="4293" spans="1:15">
      <c r="A4293" s="18">
        <f>Charms!K4293</f>
        <v>0</v>
      </c>
      <c r="B4293">
        <f>Charms!B4293</f>
        <v>0</v>
      </c>
      <c r="C4293" t="b">
        <f ca="1">OR(Values!$S$98&gt;=Charms!M4293,IFERROR(Charms!J4293=OFFSET(Values!$A$24,MATCH("S",Values!$T$25:$T$50,0),0),FALSE))</f>
        <v>1</v>
      </c>
      <c r="D4293" t="e">
        <f>VLOOKUP(Charms!J4293,Values!$A$11:$S$59,19,0)&gt;=Charms!L4293</f>
        <v>#N/A</v>
      </c>
      <c r="E4293" t="e">
        <f>OR(ISBLANK(Charms!I4293),(VLOOKUP(Values!$S$6,Castes!$B$2:$F$25,4,0)=Charms!I4293))</f>
        <v>#N/A</v>
      </c>
      <c r="J4293" t="e">
        <f t="shared" ca="1" si="336"/>
        <v>#N/A</v>
      </c>
      <c r="K4293" s="18" t="e">
        <f t="shared" ca="1" si="335"/>
        <v>#N/A</v>
      </c>
      <c r="L4293" t="e">
        <f ca="1">IF(J4293,Charms!B4293,"")</f>
        <v>#N/A</v>
      </c>
      <c r="M4293" t="str">
        <f t="shared" ca="1" si="337"/>
        <v>-</v>
      </c>
      <c r="N4293" s="18" t="str">
        <f t="shared" si="338"/>
        <v>K1622:L5000</v>
      </c>
      <c r="O4293" t="str">
        <f t="shared" si="339"/>
        <v>A1622:A4293</v>
      </c>
    </row>
    <row r="4294" spans="1:15">
      <c r="A4294" s="18">
        <f>Charms!K4294</f>
        <v>0</v>
      </c>
      <c r="B4294">
        <f>Charms!B4294</f>
        <v>0</v>
      </c>
      <c r="C4294" t="b">
        <f ca="1">OR(Values!$S$98&gt;=Charms!M4294,IFERROR(Charms!J4294=OFFSET(Values!$A$24,MATCH("S",Values!$T$25:$T$50,0),0),FALSE))</f>
        <v>1</v>
      </c>
      <c r="D4294" t="e">
        <f>VLOOKUP(Charms!J4294,Values!$A$11:$S$59,19,0)&gt;=Charms!L4294</f>
        <v>#N/A</v>
      </c>
      <c r="E4294" t="e">
        <f>OR(ISBLANK(Charms!I4294),(VLOOKUP(Values!$S$6,Castes!$B$2:$F$25,4,0)=Charms!I4294))</f>
        <v>#N/A</v>
      </c>
      <c r="J4294" t="e">
        <f t="shared" ca="1" si="336"/>
        <v>#N/A</v>
      </c>
      <c r="K4294" s="18" t="e">
        <f t="shared" ca="1" si="335"/>
        <v>#N/A</v>
      </c>
      <c r="L4294" t="e">
        <f ca="1">IF(J4294,Charms!B4294,"")</f>
        <v>#N/A</v>
      </c>
      <c r="M4294" t="str">
        <f t="shared" ca="1" si="337"/>
        <v>-</v>
      </c>
      <c r="N4294" s="18" t="str">
        <f t="shared" si="338"/>
        <v>K1622:L5000</v>
      </c>
      <c r="O4294" t="str">
        <f t="shared" si="339"/>
        <v>A1622:A4294</v>
      </c>
    </row>
    <row r="4295" spans="1:15">
      <c r="A4295" s="18">
        <f>Charms!K4295</f>
        <v>0</v>
      </c>
      <c r="B4295">
        <f>Charms!B4295</f>
        <v>0</v>
      </c>
      <c r="C4295" t="b">
        <f ca="1">OR(Values!$S$98&gt;=Charms!M4295,IFERROR(Charms!J4295=OFFSET(Values!$A$24,MATCH("S",Values!$T$25:$T$50,0),0),FALSE))</f>
        <v>1</v>
      </c>
      <c r="D4295" t="e">
        <f>VLOOKUP(Charms!J4295,Values!$A$11:$S$59,19,0)&gt;=Charms!L4295</f>
        <v>#N/A</v>
      </c>
      <c r="E4295" t="e">
        <f>OR(ISBLANK(Charms!I4295),(VLOOKUP(Values!$S$6,Castes!$B$2:$F$25,4,0)=Charms!I4295))</f>
        <v>#N/A</v>
      </c>
      <c r="J4295" t="e">
        <f t="shared" ca="1" si="336"/>
        <v>#N/A</v>
      </c>
      <c r="K4295" s="18" t="e">
        <f t="shared" ca="1" si="335"/>
        <v>#N/A</v>
      </c>
      <c r="L4295" t="e">
        <f ca="1">IF(J4295,Charms!B4295,"")</f>
        <v>#N/A</v>
      </c>
      <c r="M4295" t="str">
        <f t="shared" ca="1" si="337"/>
        <v>-</v>
      </c>
      <c r="N4295" s="18" t="str">
        <f t="shared" si="338"/>
        <v>K1622:L5000</v>
      </c>
      <c r="O4295" t="str">
        <f t="shared" si="339"/>
        <v>A1622:A4295</v>
      </c>
    </row>
    <row r="4296" spans="1:15">
      <c r="A4296" s="18">
        <f>Charms!K4296</f>
        <v>0</v>
      </c>
      <c r="B4296">
        <f>Charms!B4296</f>
        <v>0</v>
      </c>
      <c r="C4296" t="b">
        <f ca="1">OR(Values!$S$98&gt;=Charms!M4296,IFERROR(Charms!J4296=OFFSET(Values!$A$24,MATCH("S",Values!$T$25:$T$50,0),0),FALSE))</f>
        <v>1</v>
      </c>
      <c r="D4296" t="e">
        <f>VLOOKUP(Charms!J4296,Values!$A$11:$S$59,19,0)&gt;=Charms!L4296</f>
        <v>#N/A</v>
      </c>
      <c r="E4296" t="e">
        <f>OR(ISBLANK(Charms!I4296),(VLOOKUP(Values!$S$6,Castes!$B$2:$F$25,4,0)=Charms!I4296))</f>
        <v>#N/A</v>
      </c>
      <c r="J4296" t="e">
        <f t="shared" ca="1" si="336"/>
        <v>#N/A</v>
      </c>
      <c r="K4296" s="18" t="e">
        <f t="shared" ca="1" si="335"/>
        <v>#N/A</v>
      </c>
      <c r="L4296" t="e">
        <f ca="1">IF(J4296,Charms!B4296,"")</f>
        <v>#N/A</v>
      </c>
      <c r="M4296" t="str">
        <f t="shared" ca="1" si="337"/>
        <v>-</v>
      </c>
      <c r="N4296" s="18" t="str">
        <f t="shared" si="338"/>
        <v>K1622:L5000</v>
      </c>
      <c r="O4296" t="str">
        <f t="shared" si="339"/>
        <v>A1622:A4296</v>
      </c>
    </row>
    <row r="4297" spans="1:15">
      <c r="A4297" s="18">
        <f>Charms!K4297</f>
        <v>0</v>
      </c>
      <c r="B4297">
        <f>Charms!B4297</f>
        <v>0</v>
      </c>
      <c r="C4297" t="b">
        <f ca="1">OR(Values!$S$98&gt;=Charms!M4297,IFERROR(Charms!J4297=OFFSET(Values!$A$24,MATCH("S",Values!$T$25:$T$50,0),0),FALSE))</f>
        <v>1</v>
      </c>
      <c r="D4297" t="e">
        <f>VLOOKUP(Charms!J4297,Values!$A$11:$S$59,19,0)&gt;=Charms!L4297</f>
        <v>#N/A</v>
      </c>
      <c r="E4297" t="e">
        <f>OR(ISBLANK(Charms!I4297),(VLOOKUP(Values!$S$6,Castes!$B$2:$F$25,4,0)=Charms!I4297))</f>
        <v>#N/A</v>
      </c>
      <c r="J4297" t="e">
        <f t="shared" ca="1" si="336"/>
        <v>#N/A</v>
      </c>
      <c r="K4297" s="18" t="e">
        <f t="shared" ca="1" si="335"/>
        <v>#N/A</v>
      </c>
      <c r="L4297" t="e">
        <f ca="1">IF(J4297,Charms!B4297,"")</f>
        <v>#N/A</v>
      </c>
      <c r="M4297" t="str">
        <f t="shared" ca="1" si="337"/>
        <v>-</v>
      </c>
      <c r="N4297" s="18" t="str">
        <f t="shared" si="338"/>
        <v>K1622:L5000</v>
      </c>
      <c r="O4297" t="str">
        <f t="shared" si="339"/>
        <v>A1622:A4297</v>
      </c>
    </row>
    <row r="4298" spans="1:15">
      <c r="A4298" s="18">
        <f>Charms!K4298</f>
        <v>0</v>
      </c>
      <c r="B4298">
        <f>Charms!B4298</f>
        <v>0</v>
      </c>
      <c r="C4298" t="b">
        <f ca="1">OR(Values!$S$98&gt;=Charms!M4298,IFERROR(Charms!J4298=OFFSET(Values!$A$24,MATCH("S",Values!$T$25:$T$50,0),0),FALSE))</f>
        <v>1</v>
      </c>
      <c r="D4298" t="e">
        <f>VLOOKUP(Charms!J4298,Values!$A$11:$S$59,19,0)&gt;=Charms!L4298</f>
        <v>#N/A</v>
      </c>
      <c r="E4298" t="e">
        <f>OR(ISBLANK(Charms!I4298),(VLOOKUP(Values!$S$6,Castes!$B$2:$F$25,4,0)=Charms!I4298))</f>
        <v>#N/A</v>
      </c>
      <c r="J4298" t="e">
        <f t="shared" ca="1" si="336"/>
        <v>#N/A</v>
      </c>
      <c r="K4298" s="18" t="e">
        <f t="shared" ca="1" si="335"/>
        <v>#N/A</v>
      </c>
      <c r="L4298" t="e">
        <f ca="1">IF(J4298,Charms!B4298,"")</f>
        <v>#N/A</v>
      </c>
      <c r="M4298" t="str">
        <f t="shared" ca="1" si="337"/>
        <v>-</v>
      </c>
      <c r="N4298" s="18" t="str">
        <f t="shared" si="338"/>
        <v>K1622:L5000</v>
      </c>
      <c r="O4298" t="str">
        <f t="shared" si="339"/>
        <v>A1622:A4298</v>
      </c>
    </row>
    <row r="4299" spans="1:15">
      <c r="A4299" s="18">
        <f>Charms!K4299</f>
        <v>0</v>
      </c>
      <c r="B4299">
        <f>Charms!B4299</f>
        <v>0</v>
      </c>
      <c r="C4299" t="b">
        <f ca="1">OR(Values!$S$98&gt;=Charms!M4299,IFERROR(Charms!J4299=OFFSET(Values!$A$24,MATCH("S",Values!$T$25:$T$50,0),0),FALSE))</f>
        <v>1</v>
      </c>
      <c r="D4299" t="e">
        <f>VLOOKUP(Charms!J4299,Values!$A$11:$S$59,19,0)&gt;=Charms!L4299</f>
        <v>#N/A</v>
      </c>
      <c r="E4299" t="e">
        <f>OR(ISBLANK(Charms!I4299),(VLOOKUP(Values!$S$6,Castes!$B$2:$F$25,4,0)=Charms!I4299))</f>
        <v>#N/A</v>
      </c>
      <c r="J4299" t="e">
        <f t="shared" ca="1" si="336"/>
        <v>#N/A</v>
      </c>
      <c r="K4299" s="18" t="e">
        <f t="shared" ca="1" si="335"/>
        <v>#N/A</v>
      </c>
      <c r="L4299" t="e">
        <f ca="1">IF(J4299,Charms!B4299,"")</f>
        <v>#N/A</v>
      </c>
      <c r="M4299" t="str">
        <f t="shared" ca="1" si="337"/>
        <v>-</v>
      </c>
      <c r="N4299" s="18" t="str">
        <f t="shared" si="338"/>
        <v>K1622:L5000</v>
      </c>
      <c r="O4299" t="str">
        <f t="shared" si="339"/>
        <v>A1622:A4299</v>
      </c>
    </row>
    <row r="4300" spans="1:15">
      <c r="A4300" s="18">
        <f>Charms!K4300</f>
        <v>0</v>
      </c>
      <c r="B4300">
        <f>Charms!B4300</f>
        <v>0</v>
      </c>
      <c r="C4300" t="b">
        <f ca="1">OR(Values!$S$98&gt;=Charms!M4300,IFERROR(Charms!J4300=OFFSET(Values!$A$24,MATCH("S",Values!$T$25:$T$50,0),0),FALSE))</f>
        <v>1</v>
      </c>
      <c r="D4300" t="e">
        <f>VLOOKUP(Charms!J4300,Values!$A$11:$S$59,19,0)&gt;=Charms!L4300</f>
        <v>#N/A</v>
      </c>
      <c r="E4300" t="e">
        <f>OR(ISBLANK(Charms!I4300),(VLOOKUP(Values!$S$6,Castes!$B$2:$F$25,4,0)=Charms!I4300))</f>
        <v>#N/A</v>
      </c>
      <c r="J4300" t="e">
        <f t="shared" ca="1" si="336"/>
        <v>#N/A</v>
      </c>
      <c r="K4300" s="18" t="e">
        <f t="shared" ca="1" si="335"/>
        <v>#N/A</v>
      </c>
      <c r="L4300" t="e">
        <f ca="1">IF(J4300,Charms!B4300,"")</f>
        <v>#N/A</v>
      </c>
      <c r="M4300" t="str">
        <f t="shared" ca="1" si="337"/>
        <v>-</v>
      </c>
      <c r="N4300" s="18" t="str">
        <f t="shared" si="338"/>
        <v>K1622:L5000</v>
      </c>
      <c r="O4300" t="str">
        <f t="shared" si="339"/>
        <v>A1622:A4300</v>
      </c>
    </row>
    <row r="4301" spans="1:15">
      <c r="A4301" s="18">
        <f>Charms!K4301</f>
        <v>0</v>
      </c>
      <c r="B4301">
        <f>Charms!B4301</f>
        <v>0</v>
      </c>
      <c r="C4301" t="b">
        <f ca="1">OR(Values!$S$98&gt;=Charms!M4301,IFERROR(Charms!J4301=OFFSET(Values!$A$24,MATCH("S",Values!$T$25:$T$50,0),0),FALSE))</f>
        <v>1</v>
      </c>
      <c r="D4301" t="e">
        <f>VLOOKUP(Charms!J4301,Values!$A$11:$S$59,19,0)&gt;=Charms!L4301</f>
        <v>#N/A</v>
      </c>
      <c r="E4301" t="e">
        <f>OR(ISBLANK(Charms!I4301),(VLOOKUP(Values!$S$6,Castes!$B$2:$F$25,4,0)=Charms!I4301))</f>
        <v>#N/A</v>
      </c>
      <c r="J4301" t="e">
        <f t="shared" ca="1" si="336"/>
        <v>#N/A</v>
      </c>
      <c r="K4301" s="18" t="e">
        <f t="shared" ca="1" si="335"/>
        <v>#N/A</v>
      </c>
      <c r="L4301" t="e">
        <f ca="1">IF(J4301,Charms!B4301,"")</f>
        <v>#N/A</v>
      </c>
      <c r="M4301" t="str">
        <f t="shared" ca="1" si="337"/>
        <v>-</v>
      </c>
      <c r="N4301" s="18" t="str">
        <f t="shared" si="338"/>
        <v>K1622:L5000</v>
      </c>
      <c r="O4301" t="str">
        <f t="shared" si="339"/>
        <v>A1622:A4301</v>
      </c>
    </row>
    <row r="4302" spans="1:15">
      <c r="A4302" s="18">
        <f>Charms!K4302</f>
        <v>0</v>
      </c>
      <c r="B4302">
        <f>Charms!B4302</f>
        <v>0</v>
      </c>
      <c r="C4302" t="b">
        <f ca="1">OR(Values!$S$98&gt;=Charms!M4302,IFERROR(Charms!J4302=OFFSET(Values!$A$24,MATCH("S",Values!$T$25:$T$50,0),0),FALSE))</f>
        <v>1</v>
      </c>
      <c r="D4302" t="e">
        <f>VLOOKUP(Charms!J4302,Values!$A$11:$S$59,19,0)&gt;=Charms!L4302</f>
        <v>#N/A</v>
      </c>
      <c r="E4302" t="e">
        <f>OR(ISBLANK(Charms!I4302),(VLOOKUP(Values!$S$6,Castes!$B$2:$F$25,4,0)=Charms!I4302))</f>
        <v>#N/A</v>
      </c>
      <c r="J4302" t="e">
        <f t="shared" ca="1" si="336"/>
        <v>#N/A</v>
      </c>
      <c r="K4302" s="18" t="e">
        <f t="shared" ca="1" si="335"/>
        <v>#N/A</v>
      </c>
      <c r="L4302" t="e">
        <f ca="1">IF(J4302,Charms!B4302,"")</f>
        <v>#N/A</v>
      </c>
      <c r="M4302" t="str">
        <f t="shared" ca="1" si="337"/>
        <v>-</v>
      </c>
      <c r="N4302" s="18" t="str">
        <f t="shared" si="338"/>
        <v>K1622:L5000</v>
      </c>
      <c r="O4302" t="str">
        <f t="shared" si="339"/>
        <v>A1622:A4302</v>
      </c>
    </row>
    <row r="4303" spans="1:15">
      <c r="A4303" s="18">
        <f>Charms!K4303</f>
        <v>0</v>
      </c>
      <c r="B4303">
        <f>Charms!B4303</f>
        <v>0</v>
      </c>
      <c r="C4303" t="b">
        <f ca="1">OR(Values!$S$98&gt;=Charms!M4303,IFERROR(Charms!J4303=OFFSET(Values!$A$24,MATCH("S",Values!$T$25:$T$50,0),0),FALSE))</f>
        <v>1</v>
      </c>
      <c r="D4303" t="e">
        <f>VLOOKUP(Charms!J4303,Values!$A$11:$S$59,19,0)&gt;=Charms!L4303</f>
        <v>#N/A</v>
      </c>
      <c r="E4303" t="e">
        <f>OR(ISBLANK(Charms!I4303),(VLOOKUP(Values!$S$6,Castes!$B$2:$F$25,4,0)=Charms!I4303))</f>
        <v>#N/A</v>
      </c>
      <c r="J4303" t="e">
        <f t="shared" ca="1" si="336"/>
        <v>#N/A</v>
      </c>
      <c r="K4303" s="18" t="e">
        <f t="shared" ca="1" si="335"/>
        <v>#N/A</v>
      </c>
      <c r="L4303" t="e">
        <f ca="1">IF(J4303,Charms!B4303,"")</f>
        <v>#N/A</v>
      </c>
      <c r="M4303" t="str">
        <f t="shared" ca="1" si="337"/>
        <v>-</v>
      </c>
      <c r="N4303" s="18" t="str">
        <f t="shared" si="338"/>
        <v>K1622:L5000</v>
      </c>
      <c r="O4303" t="str">
        <f t="shared" si="339"/>
        <v>A1622:A4303</v>
      </c>
    </row>
    <row r="4304" spans="1:15">
      <c r="A4304" s="18">
        <f>Charms!K4304</f>
        <v>0</v>
      </c>
      <c r="B4304">
        <f>Charms!B4304</f>
        <v>0</v>
      </c>
      <c r="C4304" t="b">
        <f ca="1">OR(Values!$S$98&gt;=Charms!M4304,IFERROR(Charms!J4304=OFFSET(Values!$A$24,MATCH("S",Values!$T$25:$T$50,0),0),FALSE))</f>
        <v>1</v>
      </c>
      <c r="D4304" t="e">
        <f>VLOOKUP(Charms!J4304,Values!$A$11:$S$59,19,0)&gt;=Charms!L4304</f>
        <v>#N/A</v>
      </c>
      <c r="E4304" t="e">
        <f>OR(ISBLANK(Charms!I4304),(VLOOKUP(Values!$S$6,Castes!$B$2:$F$25,4,0)=Charms!I4304))</f>
        <v>#N/A</v>
      </c>
      <c r="J4304" t="e">
        <f t="shared" ca="1" si="336"/>
        <v>#N/A</v>
      </c>
      <c r="K4304" s="18" t="e">
        <f t="shared" ca="1" si="335"/>
        <v>#N/A</v>
      </c>
      <c r="L4304" t="e">
        <f ca="1">IF(J4304,Charms!B4304,"")</f>
        <v>#N/A</v>
      </c>
      <c r="M4304" t="str">
        <f t="shared" ca="1" si="337"/>
        <v>-</v>
      </c>
      <c r="N4304" s="18" t="str">
        <f t="shared" si="338"/>
        <v>K1622:L5000</v>
      </c>
      <c r="O4304" t="str">
        <f t="shared" si="339"/>
        <v>A1622:A4304</v>
      </c>
    </row>
    <row r="4305" spans="1:15">
      <c r="A4305" s="18">
        <f>Charms!K4305</f>
        <v>0</v>
      </c>
      <c r="B4305">
        <f>Charms!B4305</f>
        <v>0</v>
      </c>
      <c r="C4305" t="b">
        <f ca="1">OR(Values!$S$98&gt;=Charms!M4305,IFERROR(Charms!J4305=OFFSET(Values!$A$24,MATCH("S",Values!$T$25:$T$50,0),0),FALSE))</f>
        <v>1</v>
      </c>
      <c r="D4305" t="e">
        <f>VLOOKUP(Charms!J4305,Values!$A$11:$S$59,19,0)&gt;=Charms!L4305</f>
        <v>#N/A</v>
      </c>
      <c r="E4305" t="e">
        <f>OR(ISBLANK(Charms!I4305),(VLOOKUP(Values!$S$6,Castes!$B$2:$F$25,4,0)=Charms!I4305))</f>
        <v>#N/A</v>
      </c>
      <c r="J4305" t="e">
        <f t="shared" ca="1" si="336"/>
        <v>#N/A</v>
      </c>
      <c r="K4305" s="18" t="e">
        <f t="shared" ca="1" si="335"/>
        <v>#N/A</v>
      </c>
      <c r="L4305" t="e">
        <f ca="1">IF(J4305,Charms!B4305,"")</f>
        <v>#N/A</v>
      </c>
      <c r="M4305" t="str">
        <f t="shared" ca="1" si="337"/>
        <v>-</v>
      </c>
      <c r="N4305" s="18" t="str">
        <f t="shared" si="338"/>
        <v>K1622:L5000</v>
      </c>
      <c r="O4305" t="str">
        <f t="shared" si="339"/>
        <v>A1622:A4305</v>
      </c>
    </row>
    <row r="4306" spans="1:15">
      <c r="A4306" s="18">
        <f>Charms!K4306</f>
        <v>0</v>
      </c>
      <c r="B4306">
        <f>Charms!B4306</f>
        <v>0</v>
      </c>
      <c r="C4306" t="b">
        <f ca="1">OR(Values!$S$98&gt;=Charms!M4306,IFERROR(Charms!J4306=OFFSET(Values!$A$24,MATCH("S",Values!$T$25:$T$50,0),0),FALSE))</f>
        <v>1</v>
      </c>
      <c r="D4306" t="e">
        <f>VLOOKUP(Charms!J4306,Values!$A$11:$S$59,19,0)&gt;=Charms!L4306</f>
        <v>#N/A</v>
      </c>
      <c r="E4306" t="e">
        <f>OR(ISBLANK(Charms!I4306),(VLOOKUP(Values!$S$6,Castes!$B$2:$F$25,4,0)=Charms!I4306))</f>
        <v>#N/A</v>
      </c>
      <c r="J4306" t="e">
        <f t="shared" ca="1" si="336"/>
        <v>#N/A</v>
      </c>
      <c r="K4306" s="18" t="e">
        <f t="shared" ca="1" si="335"/>
        <v>#N/A</v>
      </c>
      <c r="L4306" t="e">
        <f ca="1">IF(J4306,Charms!B4306,"")</f>
        <v>#N/A</v>
      </c>
      <c r="M4306" t="str">
        <f t="shared" ca="1" si="337"/>
        <v>-</v>
      </c>
      <c r="N4306" s="18" t="str">
        <f t="shared" si="338"/>
        <v>K1622:L5000</v>
      </c>
      <c r="O4306" t="str">
        <f t="shared" si="339"/>
        <v>A1622:A4306</v>
      </c>
    </row>
    <row r="4307" spans="1:15">
      <c r="A4307" s="18">
        <f>Charms!K4307</f>
        <v>0</v>
      </c>
      <c r="B4307">
        <f>Charms!B4307</f>
        <v>0</v>
      </c>
      <c r="C4307" t="b">
        <f ca="1">OR(Values!$S$98&gt;=Charms!M4307,IFERROR(Charms!J4307=OFFSET(Values!$A$24,MATCH("S",Values!$T$25:$T$50,0),0),FALSE))</f>
        <v>1</v>
      </c>
      <c r="D4307" t="e">
        <f>VLOOKUP(Charms!J4307,Values!$A$11:$S$59,19,0)&gt;=Charms!L4307</f>
        <v>#N/A</v>
      </c>
      <c r="E4307" t="e">
        <f>OR(ISBLANK(Charms!I4307),(VLOOKUP(Values!$S$6,Castes!$B$2:$F$25,4,0)=Charms!I4307))</f>
        <v>#N/A</v>
      </c>
      <c r="J4307" t="e">
        <f t="shared" ca="1" si="336"/>
        <v>#N/A</v>
      </c>
      <c r="K4307" s="18" t="e">
        <f t="shared" ca="1" si="335"/>
        <v>#N/A</v>
      </c>
      <c r="L4307" t="e">
        <f ca="1">IF(J4307,Charms!B4307,"")</f>
        <v>#N/A</v>
      </c>
      <c r="M4307" t="str">
        <f t="shared" ca="1" si="337"/>
        <v>-</v>
      </c>
      <c r="N4307" s="18" t="str">
        <f t="shared" si="338"/>
        <v>K1622:L5000</v>
      </c>
      <c r="O4307" t="str">
        <f t="shared" si="339"/>
        <v>A1622:A4307</v>
      </c>
    </row>
    <row r="4308" spans="1:15">
      <c r="A4308" s="18">
        <f>Charms!K4308</f>
        <v>0</v>
      </c>
      <c r="B4308">
        <f>Charms!B4308</f>
        <v>0</v>
      </c>
      <c r="C4308" t="b">
        <f ca="1">OR(Values!$S$98&gt;=Charms!M4308,IFERROR(Charms!J4308=OFFSET(Values!$A$24,MATCH("S",Values!$T$25:$T$50,0),0),FALSE))</f>
        <v>1</v>
      </c>
      <c r="D4308" t="e">
        <f>VLOOKUP(Charms!J4308,Values!$A$11:$S$59,19,0)&gt;=Charms!L4308</f>
        <v>#N/A</v>
      </c>
      <c r="E4308" t="e">
        <f>OR(ISBLANK(Charms!I4308),(VLOOKUP(Values!$S$6,Castes!$B$2:$F$25,4,0)=Charms!I4308))</f>
        <v>#N/A</v>
      </c>
      <c r="J4308" t="e">
        <f t="shared" ca="1" si="336"/>
        <v>#N/A</v>
      </c>
      <c r="K4308" s="18" t="e">
        <f t="shared" ca="1" si="335"/>
        <v>#N/A</v>
      </c>
      <c r="L4308" t="e">
        <f ca="1">IF(J4308,Charms!B4308,"")</f>
        <v>#N/A</v>
      </c>
      <c r="M4308" t="str">
        <f t="shared" ca="1" si="337"/>
        <v>-</v>
      </c>
      <c r="N4308" s="18" t="str">
        <f t="shared" si="338"/>
        <v>K1622:L5000</v>
      </c>
      <c r="O4308" t="str">
        <f t="shared" si="339"/>
        <v>A1622:A4308</v>
      </c>
    </row>
    <row r="4309" spans="1:15">
      <c r="A4309" s="18">
        <f>Charms!K4309</f>
        <v>0</v>
      </c>
      <c r="B4309">
        <f>Charms!B4309</f>
        <v>0</v>
      </c>
      <c r="C4309" t="b">
        <f ca="1">OR(Values!$S$98&gt;=Charms!M4309,IFERROR(Charms!J4309=OFFSET(Values!$A$24,MATCH("S",Values!$T$25:$T$50,0),0),FALSE))</f>
        <v>1</v>
      </c>
      <c r="D4309" t="e">
        <f>VLOOKUP(Charms!J4309,Values!$A$11:$S$59,19,0)&gt;=Charms!L4309</f>
        <v>#N/A</v>
      </c>
      <c r="E4309" t="e">
        <f>OR(ISBLANK(Charms!I4309),(VLOOKUP(Values!$S$6,Castes!$B$2:$F$25,4,0)=Charms!I4309))</f>
        <v>#N/A</v>
      </c>
      <c r="J4309" t="e">
        <f t="shared" ca="1" si="336"/>
        <v>#N/A</v>
      </c>
      <c r="K4309" s="18" t="e">
        <f t="shared" ca="1" si="335"/>
        <v>#N/A</v>
      </c>
      <c r="L4309" t="e">
        <f ca="1">IF(J4309,Charms!B4309,"")</f>
        <v>#N/A</v>
      </c>
      <c r="M4309" t="str">
        <f t="shared" ca="1" si="337"/>
        <v>-</v>
      </c>
      <c r="N4309" s="18" t="str">
        <f t="shared" si="338"/>
        <v>K1622:L5000</v>
      </c>
      <c r="O4309" t="str">
        <f t="shared" si="339"/>
        <v>A1622:A4309</v>
      </c>
    </row>
    <row r="4310" spans="1:15">
      <c r="A4310" s="18">
        <f>Charms!K4310</f>
        <v>0</v>
      </c>
      <c r="B4310">
        <f>Charms!B4310</f>
        <v>0</v>
      </c>
      <c r="C4310" t="b">
        <f ca="1">OR(Values!$S$98&gt;=Charms!M4310,IFERROR(Charms!J4310=OFFSET(Values!$A$24,MATCH("S",Values!$T$25:$T$50,0),0),FALSE))</f>
        <v>1</v>
      </c>
      <c r="D4310" t="e">
        <f>VLOOKUP(Charms!J4310,Values!$A$11:$S$59,19,0)&gt;=Charms!L4310</f>
        <v>#N/A</v>
      </c>
      <c r="E4310" t="e">
        <f>OR(ISBLANK(Charms!I4310),(VLOOKUP(Values!$S$6,Castes!$B$2:$F$25,4,0)=Charms!I4310))</f>
        <v>#N/A</v>
      </c>
      <c r="J4310" t="e">
        <f t="shared" ca="1" si="336"/>
        <v>#N/A</v>
      </c>
      <c r="K4310" s="18" t="e">
        <f t="shared" ca="1" si="335"/>
        <v>#N/A</v>
      </c>
      <c r="L4310" t="e">
        <f ca="1">IF(J4310,Charms!B4310,"")</f>
        <v>#N/A</v>
      </c>
      <c r="M4310" t="str">
        <f t="shared" ca="1" si="337"/>
        <v>-</v>
      </c>
      <c r="N4310" s="18" t="str">
        <f t="shared" si="338"/>
        <v>K1622:L5000</v>
      </c>
      <c r="O4310" t="str">
        <f t="shared" si="339"/>
        <v>A1622:A4310</v>
      </c>
    </row>
    <row r="4311" spans="1:15">
      <c r="A4311" s="18">
        <f>Charms!K4311</f>
        <v>0</v>
      </c>
      <c r="B4311">
        <f>Charms!B4311</f>
        <v>0</v>
      </c>
      <c r="C4311" t="b">
        <f ca="1">OR(Values!$S$98&gt;=Charms!M4311,IFERROR(Charms!J4311=OFFSET(Values!$A$24,MATCH("S",Values!$T$25:$T$50,0),0),FALSE))</f>
        <v>1</v>
      </c>
      <c r="D4311" t="e">
        <f>VLOOKUP(Charms!J4311,Values!$A$11:$S$59,19,0)&gt;=Charms!L4311</f>
        <v>#N/A</v>
      </c>
      <c r="E4311" t="e">
        <f>OR(ISBLANK(Charms!I4311),(VLOOKUP(Values!$S$6,Castes!$B$2:$F$25,4,0)=Charms!I4311))</f>
        <v>#N/A</v>
      </c>
      <c r="J4311" t="e">
        <f t="shared" ca="1" si="336"/>
        <v>#N/A</v>
      </c>
      <c r="K4311" s="18" t="e">
        <f t="shared" ca="1" si="335"/>
        <v>#N/A</v>
      </c>
      <c r="L4311" t="e">
        <f ca="1">IF(J4311,Charms!B4311,"")</f>
        <v>#N/A</v>
      </c>
      <c r="M4311" t="str">
        <f t="shared" ca="1" si="337"/>
        <v>-</v>
      </c>
      <c r="N4311" s="18" t="str">
        <f t="shared" si="338"/>
        <v>K1622:L5000</v>
      </c>
      <c r="O4311" t="str">
        <f t="shared" si="339"/>
        <v>A1622:A4311</v>
      </c>
    </row>
    <row r="4312" spans="1:15">
      <c r="A4312" s="18">
        <f>Charms!K4312</f>
        <v>0</v>
      </c>
      <c r="B4312">
        <f>Charms!B4312</f>
        <v>0</v>
      </c>
      <c r="C4312" t="b">
        <f ca="1">OR(Values!$S$98&gt;=Charms!M4312,IFERROR(Charms!J4312=OFFSET(Values!$A$24,MATCH("S",Values!$T$25:$T$50,0),0),FALSE))</f>
        <v>1</v>
      </c>
      <c r="D4312" t="e">
        <f>VLOOKUP(Charms!J4312,Values!$A$11:$S$59,19,0)&gt;=Charms!L4312</f>
        <v>#N/A</v>
      </c>
      <c r="E4312" t="e">
        <f>OR(ISBLANK(Charms!I4312),(VLOOKUP(Values!$S$6,Castes!$B$2:$F$25,4,0)=Charms!I4312))</f>
        <v>#N/A</v>
      </c>
      <c r="J4312" t="e">
        <f t="shared" ca="1" si="336"/>
        <v>#N/A</v>
      </c>
      <c r="K4312" s="18" t="e">
        <f t="shared" ca="1" si="335"/>
        <v>#N/A</v>
      </c>
      <c r="L4312" t="e">
        <f ca="1">IF(J4312,Charms!B4312,"")</f>
        <v>#N/A</v>
      </c>
      <c r="M4312" t="str">
        <f t="shared" ca="1" si="337"/>
        <v>-</v>
      </c>
      <c r="N4312" s="18" t="str">
        <f t="shared" si="338"/>
        <v>K1622:L5000</v>
      </c>
      <c r="O4312" t="str">
        <f t="shared" si="339"/>
        <v>A1622:A4312</v>
      </c>
    </row>
    <row r="4313" spans="1:15">
      <c r="A4313" s="18">
        <f>Charms!K4313</f>
        <v>0</v>
      </c>
      <c r="B4313">
        <f>Charms!B4313</f>
        <v>0</v>
      </c>
      <c r="C4313" t="b">
        <f ca="1">OR(Values!$S$98&gt;=Charms!M4313,IFERROR(Charms!J4313=OFFSET(Values!$A$24,MATCH("S",Values!$T$25:$T$50,0),0),FALSE))</f>
        <v>1</v>
      </c>
      <c r="D4313" t="e">
        <f>VLOOKUP(Charms!J4313,Values!$A$11:$S$59,19,0)&gt;=Charms!L4313</f>
        <v>#N/A</v>
      </c>
      <c r="E4313" t="e">
        <f>OR(ISBLANK(Charms!I4313),(VLOOKUP(Values!$S$6,Castes!$B$2:$F$25,4,0)=Charms!I4313))</f>
        <v>#N/A</v>
      </c>
      <c r="J4313" t="e">
        <f t="shared" ca="1" si="336"/>
        <v>#N/A</v>
      </c>
      <c r="K4313" s="18" t="e">
        <f t="shared" ca="1" si="335"/>
        <v>#N/A</v>
      </c>
      <c r="L4313" t="e">
        <f ca="1">IF(J4313,Charms!B4313,"")</f>
        <v>#N/A</v>
      </c>
      <c r="M4313" t="str">
        <f t="shared" ca="1" si="337"/>
        <v>-</v>
      </c>
      <c r="N4313" s="18" t="str">
        <f t="shared" si="338"/>
        <v>K1622:L5000</v>
      </c>
      <c r="O4313" t="str">
        <f t="shared" si="339"/>
        <v>A1622:A4313</v>
      </c>
    </row>
    <row r="4314" spans="1:15">
      <c r="A4314" s="18">
        <f>Charms!K4314</f>
        <v>0</v>
      </c>
      <c r="B4314">
        <f>Charms!B4314</f>
        <v>0</v>
      </c>
      <c r="C4314" t="b">
        <f ca="1">OR(Values!$S$98&gt;=Charms!M4314,IFERROR(Charms!J4314=OFFSET(Values!$A$24,MATCH("S",Values!$T$25:$T$50,0),0),FALSE))</f>
        <v>1</v>
      </c>
      <c r="D4314" t="e">
        <f>VLOOKUP(Charms!J4314,Values!$A$11:$S$59,19,0)&gt;=Charms!L4314</f>
        <v>#N/A</v>
      </c>
      <c r="E4314" t="e">
        <f>OR(ISBLANK(Charms!I4314),(VLOOKUP(Values!$S$6,Castes!$B$2:$F$25,4,0)=Charms!I4314))</f>
        <v>#N/A</v>
      </c>
      <c r="J4314" t="e">
        <f t="shared" ca="1" si="336"/>
        <v>#N/A</v>
      </c>
      <c r="K4314" s="18" t="e">
        <f t="shared" ca="1" si="335"/>
        <v>#N/A</v>
      </c>
      <c r="L4314" t="e">
        <f ca="1">IF(J4314,Charms!B4314,"")</f>
        <v>#N/A</v>
      </c>
      <c r="M4314" t="str">
        <f t="shared" ca="1" si="337"/>
        <v>-</v>
      </c>
      <c r="N4314" s="18" t="str">
        <f t="shared" si="338"/>
        <v>K1622:L5000</v>
      </c>
      <c r="O4314" t="str">
        <f t="shared" si="339"/>
        <v>A1622:A4314</v>
      </c>
    </row>
    <row r="4315" spans="1:15">
      <c r="A4315" s="18">
        <f>Charms!K4315</f>
        <v>0</v>
      </c>
      <c r="B4315">
        <f>Charms!B4315</f>
        <v>0</v>
      </c>
      <c r="C4315" t="b">
        <f ca="1">OR(Values!$S$98&gt;=Charms!M4315,IFERROR(Charms!J4315=OFFSET(Values!$A$24,MATCH("S",Values!$T$25:$T$50,0),0),FALSE))</f>
        <v>1</v>
      </c>
      <c r="D4315" t="e">
        <f>VLOOKUP(Charms!J4315,Values!$A$11:$S$59,19,0)&gt;=Charms!L4315</f>
        <v>#N/A</v>
      </c>
      <c r="E4315" t="e">
        <f>OR(ISBLANK(Charms!I4315),(VLOOKUP(Values!$S$6,Castes!$B$2:$F$25,4,0)=Charms!I4315))</f>
        <v>#N/A</v>
      </c>
      <c r="J4315" t="e">
        <f t="shared" ca="1" si="336"/>
        <v>#N/A</v>
      </c>
      <c r="K4315" s="18" t="e">
        <f t="shared" ca="1" si="335"/>
        <v>#N/A</v>
      </c>
      <c r="L4315" t="e">
        <f ca="1">IF(J4315,Charms!B4315,"")</f>
        <v>#N/A</v>
      </c>
      <c r="M4315" t="str">
        <f t="shared" ca="1" si="337"/>
        <v>-</v>
      </c>
      <c r="N4315" s="18" t="str">
        <f t="shared" si="338"/>
        <v>K1622:L5000</v>
      </c>
      <c r="O4315" t="str">
        <f t="shared" si="339"/>
        <v>A1622:A4315</v>
      </c>
    </row>
    <row r="4316" spans="1:15">
      <c r="A4316" s="18">
        <f>Charms!K4316</f>
        <v>0</v>
      </c>
      <c r="B4316">
        <f>Charms!B4316</f>
        <v>0</v>
      </c>
      <c r="C4316" t="b">
        <f ca="1">OR(Values!$S$98&gt;=Charms!M4316,IFERROR(Charms!J4316=OFFSET(Values!$A$24,MATCH("S",Values!$T$25:$T$50,0),0),FALSE))</f>
        <v>1</v>
      </c>
      <c r="D4316" t="e">
        <f>VLOOKUP(Charms!J4316,Values!$A$11:$S$59,19,0)&gt;=Charms!L4316</f>
        <v>#N/A</v>
      </c>
      <c r="E4316" t="e">
        <f>OR(ISBLANK(Charms!I4316),(VLOOKUP(Values!$S$6,Castes!$B$2:$F$25,4,0)=Charms!I4316))</f>
        <v>#N/A</v>
      </c>
      <c r="J4316" t="e">
        <f t="shared" ca="1" si="336"/>
        <v>#N/A</v>
      </c>
      <c r="K4316" s="18" t="e">
        <f t="shared" ca="1" si="335"/>
        <v>#N/A</v>
      </c>
      <c r="L4316" t="e">
        <f ca="1">IF(J4316,Charms!B4316,"")</f>
        <v>#N/A</v>
      </c>
      <c r="M4316" t="str">
        <f t="shared" ca="1" si="337"/>
        <v>-</v>
      </c>
      <c r="N4316" s="18" t="str">
        <f t="shared" si="338"/>
        <v>K1622:L5000</v>
      </c>
      <c r="O4316" t="str">
        <f t="shared" si="339"/>
        <v>A1622:A4316</v>
      </c>
    </row>
    <row r="4317" spans="1:15">
      <c r="A4317" s="18">
        <f>Charms!K4317</f>
        <v>0</v>
      </c>
      <c r="B4317">
        <f>Charms!B4317</f>
        <v>0</v>
      </c>
      <c r="C4317" t="b">
        <f ca="1">OR(Values!$S$98&gt;=Charms!M4317,IFERROR(Charms!J4317=OFFSET(Values!$A$24,MATCH("S",Values!$T$25:$T$50,0),0),FALSE))</f>
        <v>1</v>
      </c>
      <c r="D4317" t="e">
        <f>VLOOKUP(Charms!J4317,Values!$A$11:$S$59,19,0)&gt;=Charms!L4317</f>
        <v>#N/A</v>
      </c>
      <c r="E4317" t="e">
        <f>OR(ISBLANK(Charms!I4317),(VLOOKUP(Values!$S$6,Castes!$B$2:$F$25,4,0)=Charms!I4317))</f>
        <v>#N/A</v>
      </c>
      <c r="J4317" t="e">
        <f t="shared" ca="1" si="336"/>
        <v>#N/A</v>
      </c>
      <c r="K4317" s="18" t="e">
        <f t="shared" ca="1" si="335"/>
        <v>#N/A</v>
      </c>
      <c r="L4317" t="e">
        <f ca="1">IF(J4317,Charms!B4317,"")</f>
        <v>#N/A</v>
      </c>
      <c r="M4317" t="str">
        <f t="shared" ca="1" si="337"/>
        <v>-</v>
      </c>
      <c r="N4317" s="18" t="str">
        <f t="shared" si="338"/>
        <v>K1622:L5000</v>
      </c>
      <c r="O4317" t="str">
        <f t="shared" si="339"/>
        <v>A1622:A4317</v>
      </c>
    </row>
    <row r="4318" spans="1:15">
      <c r="A4318" s="18">
        <f>Charms!K4318</f>
        <v>0</v>
      </c>
      <c r="B4318">
        <f>Charms!B4318</f>
        <v>0</v>
      </c>
      <c r="C4318" t="b">
        <f ca="1">OR(Values!$S$98&gt;=Charms!M4318,IFERROR(Charms!J4318=OFFSET(Values!$A$24,MATCH("S",Values!$T$25:$T$50,0),0),FALSE))</f>
        <v>1</v>
      </c>
      <c r="D4318" t="e">
        <f>VLOOKUP(Charms!J4318,Values!$A$11:$S$59,19,0)&gt;=Charms!L4318</f>
        <v>#N/A</v>
      </c>
      <c r="E4318" t="e">
        <f>OR(ISBLANK(Charms!I4318),(VLOOKUP(Values!$S$6,Castes!$B$2:$F$25,4,0)=Charms!I4318))</f>
        <v>#N/A</v>
      </c>
      <c r="J4318" t="e">
        <f t="shared" ca="1" si="336"/>
        <v>#N/A</v>
      </c>
      <c r="K4318" s="18" t="e">
        <f t="shared" ca="1" si="335"/>
        <v>#N/A</v>
      </c>
      <c r="L4318" t="e">
        <f ca="1">IF(J4318,Charms!B4318,"")</f>
        <v>#N/A</v>
      </c>
      <c r="M4318" t="str">
        <f t="shared" ca="1" si="337"/>
        <v>-</v>
      </c>
      <c r="N4318" s="18" t="str">
        <f t="shared" si="338"/>
        <v>K1622:L5000</v>
      </c>
      <c r="O4318" t="str">
        <f t="shared" si="339"/>
        <v>A1622:A4318</v>
      </c>
    </row>
    <row r="4319" spans="1:15">
      <c r="A4319" s="18">
        <f>Charms!K4319</f>
        <v>0</v>
      </c>
      <c r="B4319">
        <f>Charms!B4319</f>
        <v>0</v>
      </c>
      <c r="C4319" t="b">
        <f ca="1">OR(Values!$S$98&gt;=Charms!M4319,IFERROR(Charms!J4319=OFFSET(Values!$A$24,MATCH("S",Values!$T$25:$T$50,0),0),FALSE))</f>
        <v>1</v>
      </c>
      <c r="D4319" t="e">
        <f>VLOOKUP(Charms!J4319,Values!$A$11:$S$59,19,0)&gt;=Charms!L4319</f>
        <v>#N/A</v>
      </c>
      <c r="E4319" t="e">
        <f>OR(ISBLANK(Charms!I4319),(VLOOKUP(Values!$S$6,Castes!$B$2:$F$25,4,0)=Charms!I4319))</f>
        <v>#N/A</v>
      </c>
      <c r="J4319" t="e">
        <f t="shared" ca="1" si="336"/>
        <v>#N/A</v>
      </c>
      <c r="K4319" s="18" t="e">
        <f t="shared" ca="1" si="335"/>
        <v>#N/A</v>
      </c>
      <c r="L4319" t="e">
        <f ca="1">IF(J4319,Charms!B4319,"")</f>
        <v>#N/A</v>
      </c>
      <c r="M4319" t="str">
        <f t="shared" ca="1" si="337"/>
        <v>-</v>
      </c>
      <c r="N4319" s="18" t="str">
        <f t="shared" si="338"/>
        <v>K1622:L5000</v>
      </c>
      <c r="O4319" t="str">
        <f t="shared" si="339"/>
        <v>A1622:A4319</v>
      </c>
    </row>
    <row r="4320" spans="1:15">
      <c r="A4320" s="18">
        <f>Charms!K4320</f>
        <v>0</v>
      </c>
      <c r="B4320">
        <f>Charms!B4320</f>
        <v>0</v>
      </c>
      <c r="C4320" t="b">
        <f ca="1">OR(Values!$S$98&gt;=Charms!M4320,IFERROR(Charms!J4320=OFFSET(Values!$A$24,MATCH("S",Values!$T$25:$T$50,0),0),FALSE))</f>
        <v>1</v>
      </c>
      <c r="D4320" t="e">
        <f>VLOOKUP(Charms!J4320,Values!$A$11:$S$59,19,0)&gt;=Charms!L4320</f>
        <v>#N/A</v>
      </c>
      <c r="E4320" t="e">
        <f>OR(ISBLANK(Charms!I4320),(VLOOKUP(Values!$S$6,Castes!$B$2:$F$25,4,0)=Charms!I4320))</f>
        <v>#N/A</v>
      </c>
      <c r="J4320" t="e">
        <f t="shared" ca="1" si="336"/>
        <v>#N/A</v>
      </c>
      <c r="K4320" s="18" t="e">
        <f t="shared" ca="1" si="335"/>
        <v>#N/A</v>
      </c>
      <c r="L4320" t="e">
        <f ca="1">IF(J4320,Charms!B4320,"")</f>
        <v>#N/A</v>
      </c>
      <c r="M4320" t="str">
        <f t="shared" ca="1" si="337"/>
        <v>-</v>
      </c>
      <c r="N4320" s="18" t="str">
        <f t="shared" si="338"/>
        <v>K1622:L5000</v>
      </c>
      <c r="O4320" t="str">
        <f t="shared" si="339"/>
        <v>A1622:A4320</v>
      </c>
    </row>
    <row r="4321" spans="1:15">
      <c r="A4321" s="18">
        <f>Charms!K4321</f>
        <v>0</v>
      </c>
      <c r="B4321">
        <f>Charms!B4321</f>
        <v>0</v>
      </c>
      <c r="C4321" t="b">
        <f ca="1">OR(Values!$S$98&gt;=Charms!M4321,IFERROR(Charms!J4321=OFFSET(Values!$A$24,MATCH("S",Values!$T$25:$T$50,0),0),FALSE))</f>
        <v>1</v>
      </c>
      <c r="D4321" t="e">
        <f>VLOOKUP(Charms!J4321,Values!$A$11:$S$59,19,0)&gt;=Charms!L4321</f>
        <v>#N/A</v>
      </c>
      <c r="E4321" t="e">
        <f>OR(ISBLANK(Charms!I4321),(VLOOKUP(Values!$S$6,Castes!$B$2:$F$25,4,0)=Charms!I4321))</f>
        <v>#N/A</v>
      </c>
      <c r="J4321" t="e">
        <f t="shared" ca="1" si="336"/>
        <v>#N/A</v>
      </c>
      <c r="K4321" s="18" t="e">
        <f t="shared" ca="1" si="335"/>
        <v>#N/A</v>
      </c>
      <c r="L4321" t="e">
        <f ca="1">IF(J4321,Charms!B4321,"")</f>
        <v>#N/A</v>
      </c>
      <c r="M4321" t="str">
        <f t="shared" ca="1" si="337"/>
        <v>-</v>
      </c>
      <c r="N4321" s="18" t="str">
        <f t="shared" si="338"/>
        <v>K1622:L5000</v>
      </c>
      <c r="O4321" t="str">
        <f t="shared" si="339"/>
        <v>A1622:A4321</v>
      </c>
    </row>
    <row r="4322" spans="1:15">
      <c r="A4322" s="18">
        <f>Charms!K4322</f>
        <v>0</v>
      </c>
      <c r="B4322">
        <f>Charms!B4322</f>
        <v>0</v>
      </c>
      <c r="C4322" t="b">
        <f ca="1">OR(Values!$S$98&gt;=Charms!M4322,IFERROR(Charms!J4322=OFFSET(Values!$A$24,MATCH("S",Values!$T$25:$T$50,0),0),FALSE))</f>
        <v>1</v>
      </c>
      <c r="D4322" t="e">
        <f>VLOOKUP(Charms!J4322,Values!$A$11:$S$59,19,0)&gt;=Charms!L4322</f>
        <v>#N/A</v>
      </c>
      <c r="E4322" t="e">
        <f>OR(ISBLANK(Charms!I4322),(VLOOKUP(Values!$S$6,Castes!$B$2:$F$25,4,0)=Charms!I4322))</f>
        <v>#N/A</v>
      </c>
      <c r="J4322" t="e">
        <f t="shared" ca="1" si="336"/>
        <v>#N/A</v>
      </c>
      <c r="K4322" s="18" t="e">
        <f t="shared" ca="1" si="335"/>
        <v>#N/A</v>
      </c>
      <c r="L4322" t="e">
        <f ca="1">IF(J4322,Charms!B4322,"")</f>
        <v>#N/A</v>
      </c>
      <c r="M4322" t="str">
        <f t="shared" ca="1" si="337"/>
        <v>-</v>
      </c>
      <c r="N4322" s="18" t="str">
        <f t="shared" si="338"/>
        <v>K1622:L5000</v>
      </c>
      <c r="O4322" t="str">
        <f t="shared" si="339"/>
        <v>A1622:A4322</v>
      </c>
    </row>
    <row r="4323" spans="1:15">
      <c r="A4323" s="18">
        <f>Charms!K4323</f>
        <v>0</v>
      </c>
      <c r="B4323">
        <f>Charms!B4323</f>
        <v>0</v>
      </c>
      <c r="C4323" t="b">
        <f ca="1">OR(Values!$S$98&gt;=Charms!M4323,IFERROR(Charms!J4323=OFFSET(Values!$A$24,MATCH("S",Values!$T$25:$T$50,0),0),FALSE))</f>
        <v>1</v>
      </c>
      <c r="D4323" t="e">
        <f>VLOOKUP(Charms!J4323,Values!$A$11:$S$59,19,0)&gt;=Charms!L4323</f>
        <v>#N/A</v>
      </c>
      <c r="E4323" t="e">
        <f>OR(ISBLANK(Charms!I4323),(VLOOKUP(Values!$S$6,Castes!$B$2:$F$25,4,0)=Charms!I4323))</f>
        <v>#N/A</v>
      </c>
      <c r="J4323" t="e">
        <f t="shared" ca="1" si="336"/>
        <v>#N/A</v>
      </c>
      <c r="K4323" s="18" t="e">
        <f t="shared" ca="1" si="335"/>
        <v>#N/A</v>
      </c>
      <c r="L4323" t="e">
        <f ca="1">IF(J4323,Charms!B4323,"")</f>
        <v>#N/A</v>
      </c>
      <c r="M4323" t="str">
        <f t="shared" ca="1" si="337"/>
        <v>-</v>
      </c>
      <c r="N4323" s="18" t="str">
        <f t="shared" si="338"/>
        <v>K1622:L5000</v>
      </c>
      <c r="O4323" t="str">
        <f t="shared" si="339"/>
        <v>A1622:A4323</v>
      </c>
    </row>
    <row r="4324" spans="1:15">
      <c r="A4324" s="18">
        <f>Charms!K4324</f>
        <v>0</v>
      </c>
      <c r="B4324">
        <f>Charms!B4324</f>
        <v>0</v>
      </c>
      <c r="C4324" t="b">
        <f ca="1">OR(Values!$S$98&gt;=Charms!M4324,IFERROR(Charms!J4324=OFFSET(Values!$A$24,MATCH("S",Values!$T$25:$T$50,0),0),FALSE))</f>
        <v>1</v>
      </c>
      <c r="D4324" t="e">
        <f>VLOOKUP(Charms!J4324,Values!$A$11:$S$59,19,0)&gt;=Charms!L4324</f>
        <v>#N/A</v>
      </c>
      <c r="E4324" t="e">
        <f>OR(ISBLANK(Charms!I4324),(VLOOKUP(Values!$S$6,Castes!$B$2:$F$25,4,0)=Charms!I4324))</f>
        <v>#N/A</v>
      </c>
      <c r="J4324" t="e">
        <f t="shared" ca="1" si="336"/>
        <v>#N/A</v>
      </c>
      <c r="K4324" s="18" t="e">
        <f t="shared" ca="1" si="335"/>
        <v>#N/A</v>
      </c>
      <c r="L4324" t="e">
        <f ca="1">IF(J4324,Charms!B4324,"")</f>
        <v>#N/A</v>
      </c>
      <c r="M4324" t="str">
        <f t="shared" ca="1" si="337"/>
        <v>-</v>
      </c>
      <c r="N4324" s="18" t="str">
        <f t="shared" si="338"/>
        <v>K1622:L5000</v>
      </c>
      <c r="O4324" t="str">
        <f t="shared" si="339"/>
        <v>A1622:A4324</v>
      </c>
    </row>
    <row r="4325" spans="1:15">
      <c r="A4325" s="18">
        <f>Charms!K4325</f>
        <v>0</v>
      </c>
      <c r="B4325">
        <f>Charms!B4325</f>
        <v>0</v>
      </c>
      <c r="C4325" t="b">
        <f ca="1">OR(Values!$S$98&gt;=Charms!M4325,IFERROR(Charms!J4325=OFFSET(Values!$A$24,MATCH("S",Values!$T$25:$T$50,0),0),FALSE))</f>
        <v>1</v>
      </c>
      <c r="D4325" t="e">
        <f>VLOOKUP(Charms!J4325,Values!$A$11:$S$59,19,0)&gt;=Charms!L4325</f>
        <v>#N/A</v>
      </c>
      <c r="E4325" t="e">
        <f>OR(ISBLANK(Charms!I4325),(VLOOKUP(Values!$S$6,Castes!$B$2:$F$25,4,0)=Charms!I4325))</f>
        <v>#N/A</v>
      </c>
      <c r="J4325" t="e">
        <f t="shared" ca="1" si="336"/>
        <v>#N/A</v>
      </c>
      <c r="K4325" s="18" t="e">
        <f t="shared" ca="1" si="335"/>
        <v>#N/A</v>
      </c>
      <c r="L4325" t="e">
        <f ca="1">IF(J4325,Charms!B4325,"")</f>
        <v>#N/A</v>
      </c>
      <c r="M4325" t="str">
        <f t="shared" ca="1" si="337"/>
        <v>-</v>
      </c>
      <c r="N4325" s="18" t="str">
        <f t="shared" si="338"/>
        <v>K1622:L5000</v>
      </c>
      <c r="O4325" t="str">
        <f t="shared" si="339"/>
        <v>A1622:A4325</v>
      </c>
    </row>
    <row r="4326" spans="1:15">
      <c r="A4326" s="18">
        <f>Charms!K4326</f>
        <v>0</v>
      </c>
      <c r="B4326">
        <f>Charms!B4326</f>
        <v>0</v>
      </c>
      <c r="C4326" t="b">
        <f ca="1">OR(Values!$S$98&gt;=Charms!M4326,IFERROR(Charms!J4326=OFFSET(Values!$A$24,MATCH("S",Values!$T$25:$T$50,0),0),FALSE))</f>
        <v>1</v>
      </c>
      <c r="D4326" t="e">
        <f>VLOOKUP(Charms!J4326,Values!$A$11:$S$59,19,0)&gt;=Charms!L4326</f>
        <v>#N/A</v>
      </c>
      <c r="E4326" t="e">
        <f>OR(ISBLANK(Charms!I4326),(VLOOKUP(Values!$S$6,Castes!$B$2:$F$25,4,0)=Charms!I4326))</f>
        <v>#N/A</v>
      </c>
      <c r="J4326" t="e">
        <f t="shared" ca="1" si="336"/>
        <v>#N/A</v>
      </c>
      <c r="K4326" s="18" t="e">
        <f t="shared" ca="1" si="335"/>
        <v>#N/A</v>
      </c>
      <c r="L4326" t="e">
        <f ca="1">IF(J4326,Charms!B4326,"")</f>
        <v>#N/A</v>
      </c>
      <c r="M4326" t="str">
        <f t="shared" ca="1" si="337"/>
        <v>-</v>
      </c>
      <c r="N4326" s="18" t="str">
        <f t="shared" si="338"/>
        <v>K1622:L5000</v>
      </c>
      <c r="O4326" t="str">
        <f t="shared" si="339"/>
        <v>A1622:A4326</v>
      </c>
    </row>
    <row r="4327" spans="1:15">
      <c r="A4327" s="18">
        <f>Charms!K4327</f>
        <v>0</v>
      </c>
      <c r="B4327">
        <f>Charms!B4327</f>
        <v>0</v>
      </c>
      <c r="C4327" t="b">
        <f ca="1">OR(Values!$S$98&gt;=Charms!M4327,IFERROR(Charms!J4327=OFFSET(Values!$A$24,MATCH("S",Values!$T$25:$T$50,0),0),FALSE))</f>
        <v>1</v>
      </c>
      <c r="D4327" t="e">
        <f>VLOOKUP(Charms!J4327,Values!$A$11:$S$59,19,0)&gt;=Charms!L4327</f>
        <v>#N/A</v>
      </c>
      <c r="E4327" t="e">
        <f>OR(ISBLANK(Charms!I4327),(VLOOKUP(Values!$S$6,Castes!$B$2:$F$25,4,0)=Charms!I4327))</f>
        <v>#N/A</v>
      </c>
      <c r="J4327" t="e">
        <f t="shared" ca="1" si="336"/>
        <v>#N/A</v>
      </c>
      <c r="K4327" s="18" t="e">
        <f t="shared" ca="1" si="335"/>
        <v>#N/A</v>
      </c>
      <c r="L4327" t="e">
        <f ca="1">IF(J4327,Charms!B4327,"")</f>
        <v>#N/A</v>
      </c>
      <c r="M4327" t="str">
        <f t="shared" ca="1" si="337"/>
        <v>-</v>
      </c>
      <c r="N4327" s="18" t="str">
        <f t="shared" si="338"/>
        <v>K1622:L5000</v>
      </c>
      <c r="O4327" t="str">
        <f t="shared" si="339"/>
        <v>A1622:A4327</v>
      </c>
    </row>
    <row r="4328" spans="1:15">
      <c r="A4328" s="18">
        <f>Charms!K4328</f>
        <v>0</v>
      </c>
      <c r="B4328">
        <f>Charms!B4328</f>
        <v>0</v>
      </c>
      <c r="C4328" t="b">
        <f ca="1">OR(Values!$S$98&gt;=Charms!M4328,IFERROR(Charms!J4328=OFFSET(Values!$A$24,MATCH("S",Values!$T$25:$T$50,0),0),FALSE))</f>
        <v>1</v>
      </c>
      <c r="D4328" t="e">
        <f>VLOOKUP(Charms!J4328,Values!$A$11:$S$59,19,0)&gt;=Charms!L4328</f>
        <v>#N/A</v>
      </c>
      <c r="E4328" t="e">
        <f>OR(ISBLANK(Charms!I4328),(VLOOKUP(Values!$S$6,Castes!$B$2:$F$25,4,0)=Charms!I4328))</f>
        <v>#N/A</v>
      </c>
      <c r="J4328" t="e">
        <f t="shared" ca="1" si="336"/>
        <v>#N/A</v>
      </c>
      <c r="K4328" s="18" t="e">
        <f t="shared" ca="1" si="335"/>
        <v>#N/A</v>
      </c>
      <c r="L4328" t="e">
        <f ca="1">IF(J4328,Charms!B4328,"")</f>
        <v>#N/A</v>
      </c>
      <c r="M4328" t="str">
        <f t="shared" ca="1" si="337"/>
        <v>-</v>
      </c>
      <c r="N4328" s="18" t="str">
        <f t="shared" si="338"/>
        <v>K1622:L5000</v>
      </c>
      <c r="O4328" t="str">
        <f t="shared" si="339"/>
        <v>A1622:A4328</v>
      </c>
    </row>
    <row r="4329" spans="1:15">
      <c r="A4329" s="18">
        <f>Charms!K4329</f>
        <v>0</v>
      </c>
      <c r="B4329">
        <f>Charms!B4329</f>
        <v>0</v>
      </c>
      <c r="C4329" t="b">
        <f ca="1">OR(Values!$S$98&gt;=Charms!M4329,IFERROR(Charms!J4329=OFFSET(Values!$A$24,MATCH("S",Values!$T$25:$T$50,0),0),FALSE))</f>
        <v>1</v>
      </c>
      <c r="D4329" t="e">
        <f>VLOOKUP(Charms!J4329,Values!$A$11:$S$59,19,0)&gt;=Charms!L4329</f>
        <v>#N/A</v>
      </c>
      <c r="E4329" t="e">
        <f>OR(ISBLANK(Charms!I4329),(VLOOKUP(Values!$S$6,Castes!$B$2:$F$25,4,0)=Charms!I4329))</f>
        <v>#N/A</v>
      </c>
      <c r="J4329" t="e">
        <f t="shared" ca="1" si="336"/>
        <v>#N/A</v>
      </c>
      <c r="K4329" s="18" t="e">
        <f t="shared" ca="1" si="335"/>
        <v>#N/A</v>
      </c>
      <c r="L4329" t="e">
        <f ca="1">IF(J4329,Charms!B4329,"")</f>
        <v>#N/A</v>
      </c>
      <c r="M4329" t="str">
        <f t="shared" ca="1" si="337"/>
        <v>-</v>
      </c>
      <c r="N4329" s="18" t="str">
        <f t="shared" si="338"/>
        <v>K1622:L5000</v>
      </c>
      <c r="O4329" t="str">
        <f t="shared" si="339"/>
        <v>A1622:A4329</v>
      </c>
    </row>
    <row r="4330" spans="1:15">
      <c r="A4330" s="18">
        <f>Charms!K4330</f>
        <v>0</v>
      </c>
      <c r="B4330">
        <f>Charms!B4330</f>
        <v>0</v>
      </c>
      <c r="C4330" t="b">
        <f ca="1">OR(Values!$S$98&gt;=Charms!M4330,IFERROR(Charms!J4330=OFFSET(Values!$A$24,MATCH("S",Values!$T$25:$T$50,0),0),FALSE))</f>
        <v>1</v>
      </c>
      <c r="D4330" t="e">
        <f>VLOOKUP(Charms!J4330,Values!$A$11:$S$59,19,0)&gt;=Charms!L4330</f>
        <v>#N/A</v>
      </c>
      <c r="E4330" t="e">
        <f>OR(ISBLANK(Charms!I4330),(VLOOKUP(Values!$S$6,Castes!$B$2:$F$25,4,0)=Charms!I4330))</f>
        <v>#N/A</v>
      </c>
      <c r="J4330" t="e">
        <f t="shared" ca="1" si="336"/>
        <v>#N/A</v>
      </c>
      <c r="K4330" s="18" t="e">
        <f t="shared" ca="1" si="335"/>
        <v>#N/A</v>
      </c>
      <c r="L4330" t="e">
        <f ca="1">IF(J4330,Charms!B4330,"")</f>
        <v>#N/A</v>
      </c>
      <c r="M4330" t="str">
        <f t="shared" ca="1" si="337"/>
        <v>-</v>
      </c>
      <c r="N4330" s="18" t="str">
        <f t="shared" si="338"/>
        <v>K1622:L5000</v>
      </c>
      <c r="O4330" t="str">
        <f t="shared" si="339"/>
        <v>A1622:A4330</v>
      </c>
    </row>
    <row r="4331" spans="1:15">
      <c r="A4331" s="18">
        <f>Charms!K4331</f>
        <v>0</v>
      </c>
      <c r="B4331">
        <f>Charms!B4331</f>
        <v>0</v>
      </c>
      <c r="C4331" t="b">
        <f ca="1">OR(Values!$S$98&gt;=Charms!M4331,IFERROR(Charms!J4331=OFFSET(Values!$A$24,MATCH("S",Values!$T$25:$T$50,0),0),FALSE))</f>
        <v>1</v>
      </c>
      <c r="D4331" t="e">
        <f>VLOOKUP(Charms!J4331,Values!$A$11:$S$59,19,0)&gt;=Charms!L4331</f>
        <v>#N/A</v>
      </c>
      <c r="E4331" t="e">
        <f>OR(ISBLANK(Charms!I4331),(VLOOKUP(Values!$S$6,Castes!$B$2:$F$25,4,0)=Charms!I4331))</f>
        <v>#N/A</v>
      </c>
      <c r="J4331" t="e">
        <f t="shared" ca="1" si="336"/>
        <v>#N/A</v>
      </c>
      <c r="K4331" s="18" t="e">
        <f t="shared" ca="1" si="335"/>
        <v>#N/A</v>
      </c>
      <c r="L4331" t="e">
        <f ca="1">IF(J4331,Charms!B4331,"")</f>
        <v>#N/A</v>
      </c>
      <c r="M4331" t="str">
        <f t="shared" ca="1" si="337"/>
        <v>-</v>
      </c>
      <c r="N4331" s="18" t="str">
        <f t="shared" si="338"/>
        <v>K1622:L5000</v>
      </c>
      <c r="O4331" t="str">
        <f t="shared" si="339"/>
        <v>A1622:A4331</v>
      </c>
    </row>
    <row r="4332" spans="1:15">
      <c r="A4332" s="18">
        <f>Charms!K4332</f>
        <v>0</v>
      </c>
      <c r="B4332">
        <f>Charms!B4332</f>
        <v>0</v>
      </c>
      <c r="C4332" t="b">
        <f ca="1">OR(Values!$S$98&gt;=Charms!M4332,IFERROR(Charms!J4332=OFFSET(Values!$A$24,MATCH("S",Values!$T$25:$T$50,0),0),FALSE))</f>
        <v>1</v>
      </c>
      <c r="D4332" t="e">
        <f>VLOOKUP(Charms!J4332,Values!$A$11:$S$59,19,0)&gt;=Charms!L4332</f>
        <v>#N/A</v>
      </c>
      <c r="E4332" t="e">
        <f>OR(ISBLANK(Charms!I4332),(VLOOKUP(Values!$S$6,Castes!$B$2:$F$25,4,0)=Charms!I4332))</f>
        <v>#N/A</v>
      </c>
      <c r="J4332" t="e">
        <f t="shared" ca="1" si="336"/>
        <v>#N/A</v>
      </c>
      <c r="K4332" s="18" t="e">
        <f t="shared" ca="1" si="335"/>
        <v>#N/A</v>
      </c>
      <c r="L4332" t="e">
        <f ca="1">IF(J4332,Charms!B4332,"")</f>
        <v>#N/A</v>
      </c>
      <c r="M4332" t="str">
        <f t="shared" ca="1" si="337"/>
        <v>-</v>
      </c>
      <c r="N4332" s="18" t="str">
        <f t="shared" si="338"/>
        <v>K1622:L5000</v>
      </c>
      <c r="O4332" t="str">
        <f t="shared" si="339"/>
        <v>A1622:A4332</v>
      </c>
    </row>
    <row r="4333" spans="1:15">
      <c r="A4333" s="18">
        <f>Charms!K4333</f>
        <v>0</v>
      </c>
      <c r="B4333">
        <f>Charms!B4333</f>
        <v>0</v>
      </c>
      <c r="C4333" t="b">
        <f ca="1">OR(Values!$S$98&gt;=Charms!M4333,IFERROR(Charms!J4333=OFFSET(Values!$A$24,MATCH("S",Values!$T$25:$T$50,0),0),FALSE))</f>
        <v>1</v>
      </c>
      <c r="D4333" t="e">
        <f>VLOOKUP(Charms!J4333,Values!$A$11:$S$59,19,0)&gt;=Charms!L4333</f>
        <v>#N/A</v>
      </c>
      <c r="E4333" t="e">
        <f>OR(ISBLANK(Charms!I4333),(VLOOKUP(Values!$S$6,Castes!$B$2:$F$25,4,0)=Charms!I4333))</f>
        <v>#N/A</v>
      </c>
      <c r="J4333" t="e">
        <f t="shared" ca="1" si="336"/>
        <v>#N/A</v>
      </c>
      <c r="K4333" s="18" t="e">
        <f t="shared" ca="1" si="335"/>
        <v>#N/A</v>
      </c>
      <c r="L4333" t="e">
        <f ca="1">IF(J4333,Charms!B4333,"")</f>
        <v>#N/A</v>
      </c>
      <c r="M4333" t="str">
        <f t="shared" ca="1" si="337"/>
        <v>-</v>
      </c>
      <c r="N4333" s="18" t="str">
        <f t="shared" si="338"/>
        <v>K1622:L5000</v>
      </c>
      <c r="O4333" t="str">
        <f t="shared" si="339"/>
        <v>A1622:A4333</v>
      </c>
    </row>
    <row r="4334" spans="1:15">
      <c r="A4334" s="18">
        <f>Charms!K4334</f>
        <v>0</v>
      </c>
      <c r="B4334">
        <f>Charms!B4334</f>
        <v>0</v>
      </c>
      <c r="C4334" t="b">
        <f ca="1">OR(Values!$S$98&gt;=Charms!M4334,IFERROR(Charms!J4334=OFFSET(Values!$A$24,MATCH("S",Values!$T$25:$T$50,0),0),FALSE))</f>
        <v>1</v>
      </c>
      <c r="D4334" t="e">
        <f>VLOOKUP(Charms!J4334,Values!$A$11:$S$59,19,0)&gt;=Charms!L4334</f>
        <v>#N/A</v>
      </c>
      <c r="E4334" t="e">
        <f>OR(ISBLANK(Charms!I4334),(VLOOKUP(Values!$S$6,Castes!$B$2:$F$25,4,0)=Charms!I4334))</f>
        <v>#N/A</v>
      </c>
      <c r="J4334" t="e">
        <f t="shared" ca="1" si="336"/>
        <v>#N/A</v>
      </c>
      <c r="K4334" s="18" t="e">
        <f t="shared" ca="1" si="335"/>
        <v>#N/A</v>
      </c>
      <c r="L4334" t="e">
        <f ca="1">IF(J4334,Charms!B4334,"")</f>
        <v>#N/A</v>
      </c>
      <c r="M4334" t="str">
        <f t="shared" ca="1" si="337"/>
        <v>-</v>
      </c>
      <c r="N4334" s="18" t="str">
        <f t="shared" si="338"/>
        <v>K1622:L5000</v>
      </c>
      <c r="O4334" t="str">
        <f t="shared" si="339"/>
        <v>A1622:A4334</v>
      </c>
    </row>
    <row r="4335" spans="1:15">
      <c r="A4335" s="18">
        <f>Charms!K4335</f>
        <v>0</v>
      </c>
      <c r="B4335">
        <f>Charms!B4335</f>
        <v>0</v>
      </c>
      <c r="C4335" t="b">
        <f ca="1">OR(Values!$S$98&gt;=Charms!M4335,IFERROR(Charms!J4335=OFFSET(Values!$A$24,MATCH("S",Values!$T$25:$T$50,0),0),FALSE))</f>
        <v>1</v>
      </c>
      <c r="D4335" t="e">
        <f>VLOOKUP(Charms!J4335,Values!$A$11:$S$59,19,0)&gt;=Charms!L4335</f>
        <v>#N/A</v>
      </c>
      <c r="E4335" t="e">
        <f>OR(ISBLANK(Charms!I4335),(VLOOKUP(Values!$S$6,Castes!$B$2:$F$25,4,0)=Charms!I4335))</f>
        <v>#N/A</v>
      </c>
      <c r="J4335" t="e">
        <f t="shared" ca="1" si="336"/>
        <v>#N/A</v>
      </c>
      <c r="K4335" s="18" t="e">
        <f t="shared" ca="1" si="335"/>
        <v>#N/A</v>
      </c>
      <c r="L4335" t="e">
        <f ca="1">IF(J4335,Charms!B4335,"")</f>
        <v>#N/A</v>
      </c>
      <c r="M4335" t="str">
        <f t="shared" ca="1" si="337"/>
        <v>-</v>
      </c>
      <c r="N4335" s="18" t="str">
        <f t="shared" si="338"/>
        <v>K1622:L5000</v>
      </c>
      <c r="O4335" t="str">
        <f t="shared" si="339"/>
        <v>A1622:A4335</v>
      </c>
    </row>
    <row r="4336" spans="1:15">
      <c r="A4336" s="18">
        <f>Charms!K4336</f>
        <v>0</v>
      </c>
      <c r="B4336">
        <f>Charms!B4336</f>
        <v>0</v>
      </c>
      <c r="C4336" t="b">
        <f ca="1">OR(Values!$S$98&gt;=Charms!M4336,IFERROR(Charms!J4336=OFFSET(Values!$A$24,MATCH("S",Values!$T$25:$T$50,0),0),FALSE))</f>
        <v>1</v>
      </c>
      <c r="D4336" t="e">
        <f>VLOOKUP(Charms!J4336,Values!$A$11:$S$59,19,0)&gt;=Charms!L4336</f>
        <v>#N/A</v>
      </c>
      <c r="E4336" t="e">
        <f>OR(ISBLANK(Charms!I4336),(VLOOKUP(Values!$S$6,Castes!$B$2:$F$25,4,0)=Charms!I4336))</f>
        <v>#N/A</v>
      </c>
      <c r="J4336" t="e">
        <f t="shared" ca="1" si="336"/>
        <v>#N/A</v>
      </c>
      <c r="K4336" s="18" t="e">
        <f t="shared" ca="1" si="335"/>
        <v>#N/A</v>
      </c>
      <c r="L4336" t="e">
        <f ca="1">IF(J4336,Charms!B4336,"")</f>
        <v>#N/A</v>
      </c>
      <c r="M4336" t="str">
        <f t="shared" ca="1" si="337"/>
        <v>-</v>
      </c>
      <c r="N4336" s="18" t="str">
        <f t="shared" si="338"/>
        <v>K1622:L5000</v>
      </c>
      <c r="O4336" t="str">
        <f t="shared" si="339"/>
        <v>A1622:A4336</v>
      </c>
    </row>
    <row r="4337" spans="1:15">
      <c r="A4337" s="18">
        <f>Charms!K4337</f>
        <v>0</v>
      </c>
      <c r="B4337">
        <f>Charms!B4337</f>
        <v>0</v>
      </c>
      <c r="C4337" t="b">
        <f ca="1">OR(Values!$S$98&gt;=Charms!M4337,IFERROR(Charms!J4337=OFFSET(Values!$A$24,MATCH("S",Values!$T$25:$T$50,0),0),FALSE))</f>
        <v>1</v>
      </c>
      <c r="D4337" t="e">
        <f>VLOOKUP(Charms!J4337,Values!$A$11:$S$59,19,0)&gt;=Charms!L4337</f>
        <v>#N/A</v>
      </c>
      <c r="E4337" t="e">
        <f>OR(ISBLANK(Charms!I4337),(VLOOKUP(Values!$S$6,Castes!$B$2:$F$25,4,0)=Charms!I4337))</f>
        <v>#N/A</v>
      </c>
      <c r="J4337" t="e">
        <f t="shared" ca="1" si="336"/>
        <v>#N/A</v>
      </c>
      <c r="K4337" s="18" t="e">
        <f t="shared" ca="1" si="335"/>
        <v>#N/A</v>
      </c>
      <c r="L4337" t="e">
        <f ca="1">IF(J4337,Charms!B4337,"")</f>
        <v>#N/A</v>
      </c>
      <c r="M4337" t="str">
        <f t="shared" ca="1" si="337"/>
        <v>-</v>
      </c>
      <c r="N4337" s="18" t="str">
        <f t="shared" si="338"/>
        <v>K1622:L5000</v>
      </c>
      <c r="O4337" t="str">
        <f t="shared" si="339"/>
        <v>A1622:A4337</v>
      </c>
    </row>
    <row r="4338" spans="1:15">
      <c r="A4338" s="18">
        <f>Charms!K4338</f>
        <v>0</v>
      </c>
      <c r="B4338">
        <f>Charms!B4338</f>
        <v>0</v>
      </c>
      <c r="C4338" t="b">
        <f ca="1">OR(Values!$S$98&gt;=Charms!M4338,IFERROR(Charms!J4338=OFFSET(Values!$A$24,MATCH("S",Values!$T$25:$T$50,0),0),FALSE))</f>
        <v>1</v>
      </c>
      <c r="D4338" t="e">
        <f>VLOOKUP(Charms!J4338,Values!$A$11:$S$59,19,0)&gt;=Charms!L4338</f>
        <v>#N/A</v>
      </c>
      <c r="E4338" t="e">
        <f>OR(ISBLANK(Charms!I4338),(VLOOKUP(Values!$S$6,Castes!$B$2:$F$25,4,0)=Charms!I4338))</f>
        <v>#N/A</v>
      </c>
      <c r="J4338" t="e">
        <f t="shared" ca="1" si="336"/>
        <v>#N/A</v>
      </c>
      <c r="K4338" s="18" t="e">
        <f t="shared" ca="1" si="335"/>
        <v>#N/A</v>
      </c>
      <c r="L4338" t="e">
        <f ca="1">IF(J4338,Charms!B4338,"")</f>
        <v>#N/A</v>
      </c>
      <c r="M4338" t="str">
        <f t="shared" ca="1" si="337"/>
        <v>-</v>
      </c>
      <c r="N4338" s="18" t="str">
        <f t="shared" si="338"/>
        <v>K1622:L5000</v>
      </c>
      <c r="O4338" t="str">
        <f t="shared" si="339"/>
        <v>A1622:A4338</v>
      </c>
    </row>
    <row r="4339" spans="1:15">
      <c r="A4339" s="18">
        <f>Charms!K4339</f>
        <v>0</v>
      </c>
      <c r="B4339">
        <f>Charms!B4339</f>
        <v>0</v>
      </c>
      <c r="C4339" t="b">
        <f ca="1">OR(Values!$S$98&gt;=Charms!M4339,IFERROR(Charms!J4339=OFFSET(Values!$A$24,MATCH("S",Values!$T$25:$T$50,0),0),FALSE))</f>
        <v>1</v>
      </c>
      <c r="D4339" t="e">
        <f>VLOOKUP(Charms!J4339,Values!$A$11:$S$59,19,0)&gt;=Charms!L4339</f>
        <v>#N/A</v>
      </c>
      <c r="E4339" t="e">
        <f>OR(ISBLANK(Charms!I4339),(VLOOKUP(Values!$S$6,Castes!$B$2:$F$25,4,0)=Charms!I4339))</f>
        <v>#N/A</v>
      </c>
      <c r="J4339" t="e">
        <f t="shared" ca="1" si="336"/>
        <v>#N/A</v>
      </c>
      <c r="K4339" s="18" t="e">
        <f t="shared" ca="1" si="335"/>
        <v>#N/A</v>
      </c>
      <c r="L4339" t="e">
        <f ca="1">IF(J4339,Charms!B4339,"")</f>
        <v>#N/A</v>
      </c>
      <c r="M4339" t="str">
        <f t="shared" ca="1" si="337"/>
        <v>-</v>
      </c>
      <c r="N4339" s="18" t="str">
        <f t="shared" si="338"/>
        <v>K1622:L5000</v>
      </c>
      <c r="O4339" t="str">
        <f t="shared" si="339"/>
        <v>A1622:A4339</v>
      </c>
    </row>
    <row r="4340" spans="1:15">
      <c r="A4340" s="18">
        <f>Charms!K4340</f>
        <v>0</v>
      </c>
      <c r="B4340">
        <f>Charms!B4340</f>
        <v>0</v>
      </c>
      <c r="C4340" t="b">
        <f ca="1">OR(Values!$S$98&gt;=Charms!M4340,IFERROR(Charms!J4340=OFFSET(Values!$A$24,MATCH("S",Values!$T$25:$T$50,0),0),FALSE))</f>
        <v>1</v>
      </c>
      <c r="D4340" t="e">
        <f>VLOOKUP(Charms!J4340,Values!$A$11:$S$59,19,0)&gt;=Charms!L4340</f>
        <v>#N/A</v>
      </c>
      <c r="E4340" t="e">
        <f>OR(ISBLANK(Charms!I4340),(VLOOKUP(Values!$S$6,Castes!$B$2:$F$25,4,0)=Charms!I4340))</f>
        <v>#N/A</v>
      </c>
      <c r="J4340" t="e">
        <f t="shared" ca="1" si="336"/>
        <v>#N/A</v>
      </c>
      <c r="K4340" s="18" t="e">
        <f t="shared" ca="1" si="335"/>
        <v>#N/A</v>
      </c>
      <c r="L4340" t="e">
        <f ca="1">IF(J4340,Charms!B4340,"")</f>
        <v>#N/A</v>
      </c>
      <c r="M4340" t="str">
        <f t="shared" ca="1" si="337"/>
        <v>-</v>
      </c>
      <c r="N4340" s="18" t="str">
        <f t="shared" si="338"/>
        <v>K1622:L5000</v>
      </c>
      <c r="O4340" t="str">
        <f t="shared" si="339"/>
        <v>A1622:A4340</v>
      </c>
    </row>
    <row r="4341" spans="1:15">
      <c r="A4341" s="18">
        <f>Charms!K4341</f>
        <v>0</v>
      </c>
      <c r="B4341">
        <f>Charms!B4341</f>
        <v>0</v>
      </c>
      <c r="C4341" t="b">
        <f ca="1">OR(Values!$S$98&gt;=Charms!M4341,IFERROR(Charms!J4341=OFFSET(Values!$A$24,MATCH("S",Values!$T$25:$T$50,0),0),FALSE))</f>
        <v>1</v>
      </c>
      <c r="D4341" t="e">
        <f>VLOOKUP(Charms!J4341,Values!$A$11:$S$59,19,0)&gt;=Charms!L4341</f>
        <v>#N/A</v>
      </c>
      <c r="E4341" t="e">
        <f>OR(ISBLANK(Charms!I4341),(VLOOKUP(Values!$S$6,Castes!$B$2:$F$25,4,0)=Charms!I4341))</f>
        <v>#N/A</v>
      </c>
      <c r="J4341" t="e">
        <f t="shared" ca="1" si="336"/>
        <v>#N/A</v>
      </c>
      <c r="K4341" s="18" t="e">
        <f t="shared" ca="1" si="335"/>
        <v>#N/A</v>
      </c>
      <c r="L4341" t="e">
        <f ca="1">IF(J4341,Charms!B4341,"")</f>
        <v>#N/A</v>
      </c>
      <c r="M4341" t="str">
        <f t="shared" ca="1" si="337"/>
        <v>-</v>
      </c>
      <c r="N4341" s="18" t="str">
        <f t="shared" si="338"/>
        <v>K1622:L5000</v>
      </c>
      <c r="O4341" t="str">
        <f t="shared" si="339"/>
        <v>A1622:A4341</v>
      </c>
    </row>
    <row r="4342" spans="1:15">
      <c r="A4342" s="18">
        <f>Charms!K4342</f>
        <v>0</v>
      </c>
      <c r="B4342">
        <f>Charms!B4342</f>
        <v>0</v>
      </c>
      <c r="C4342" t="b">
        <f ca="1">OR(Values!$S$98&gt;=Charms!M4342,IFERROR(Charms!J4342=OFFSET(Values!$A$24,MATCH("S",Values!$T$25:$T$50,0),0),FALSE))</f>
        <v>1</v>
      </c>
      <c r="D4342" t="e">
        <f>VLOOKUP(Charms!J4342,Values!$A$11:$S$59,19,0)&gt;=Charms!L4342</f>
        <v>#N/A</v>
      </c>
      <c r="E4342" t="e">
        <f>OR(ISBLANK(Charms!I4342),(VLOOKUP(Values!$S$6,Castes!$B$2:$F$25,4,0)=Charms!I4342))</f>
        <v>#N/A</v>
      </c>
      <c r="J4342" t="e">
        <f t="shared" ca="1" si="336"/>
        <v>#N/A</v>
      </c>
      <c r="K4342" s="18" t="e">
        <f t="shared" ca="1" si="335"/>
        <v>#N/A</v>
      </c>
      <c r="L4342" t="e">
        <f ca="1">IF(J4342,Charms!B4342,"")</f>
        <v>#N/A</v>
      </c>
      <c r="M4342" t="str">
        <f t="shared" ca="1" si="337"/>
        <v>-</v>
      </c>
      <c r="N4342" s="18" t="str">
        <f t="shared" si="338"/>
        <v>K1622:L5000</v>
      </c>
      <c r="O4342" t="str">
        <f t="shared" si="339"/>
        <v>A1622:A4342</v>
      </c>
    </row>
    <row r="4343" spans="1:15">
      <c r="A4343" s="18">
        <f>Charms!K4343</f>
        <v>0</v>
      </c>
      <c r="B4343">
        <f>Charms!B4343</f>
        <v>0</v>
      </c>
      <c r="C4343" t="b">
        <f ca="1">OR(Values!$S$98&gt;=Charms!M4343,IFERROR(Charms!J4343=OFFSET(Values!$A$24,MATCH("S",Values!$T$25:$T$50,0),0),FALSE))</f>
        <v>1</v>
      </c>
      <c r="D4343" t="e">
        <f>VLOOKUP(Charms!J4343,Values!$A$11:$S$59,19,0)&gt;=Charms!L4343</f>
        <v>#N/A</v>
      </c>
      <c r="E4343" t="e">
        <f>OR(ISBLANK(Charms!I4343),(VLOOKUP(Values!$S$6,Castes!$B$2:$F$25,4,0)=Charms!I4343))</f>
        <v>#N/A</v>
      </c>
      <c r="J4343" t="e">
        <f t="shared" ca="1" si="336"/>
        <v>#N/A</v>
      </c>
      <c r="K4343" s="18" t="e">
        <f t="shared" ca="1" si="335"/>
        <v>#N/A</v>
      </c>
      <c r="L4343" t="e">
        <f ca="1">IF(J4343,Charms!B4343,"")</f>
        <v>#N/A</v>
      </c>
      <c r="M4343" t="str">
        <f t="shared" ca="1" si="337"/>
        <v>-</v>
      </c>
      <c r="N4343" s="18" t="str">
        <f t="shared" si="338"/>
        <v>K1622:L5000</v>
      </c>
      <c r="O4343" t="str">
        <f t="shared" si="339"/>
        <v>A1622:A4343</v>
      </c>
    </row>
    <row r="4344" spans="1:15">
      <c r="A4344" s="18">
        <f>Charms!K4344</f>
        <v>0</v>
      </c>
      <c r="B4344">
        <f>Charms!B4344</f>
        <v>0</v>
      </c>
      <c r="C4344" t="b">
        <f ca="1">OR(Values!$S$98&gt;=Charms!M4344,IFERROR(Charms!J4344=OFFSET(Values!$A$24,MATCH("S",Values!$T$25:$T$50,0),0),FALSE))</f>
        <v>1</v>
      </c>
      <c r="D4344" t="e">
        <f>VLOOKUP(Charms!J4344,Values!$A$11:$S$59,19,0)&gt;=Charms!L4344</f>
        <v>#N/A</v>
      </c>
      <c r="E4344" t="e">
        <f>OR(ISBLANK(Charms!I4344),(VLOOKUP(Values!$S$6,Castes!$B$2:$F$25,4,0)=Charms!I4344))</f>
        <v>#N/A</v>
      </c>
      <c r="J4344" t="e">
        <f t="shared" ca="1" si="336"/>
        <v>#N/A</v>
      </c>
      <c r="K4344" s="18" t="e">
        <f t="shared" ca="1" si="335"/>
        <v>#N/A</v>
      </c>
      <c r="L4344" t="e">
        <f ca="1">IF(J4344,Charms!B4344,"")</f>
        <v>#N/A</v>
      </c>
      <c r="M4344" t="str">
        <f t="shared" ca="1" si="337"/>
        <v>-</v>
      </c>
      <c r="N4344" s="18" t="str">
        <f t="shared" si="338"/>
        <v>K1622:L5000</v>
      </c>
      <c r="O4344" t="str">
        <f t="shared" si="339"/>
        <v>A1622:A4344</v>
      </c>
    </row>
    <row r="4345" spans="1:15">
      <c r="A4345" s="18">
        <f>Charms!K4345</f>
        <v>0</v>
      </c>
      <c r="B4345">
        <f>Charms!B4345</f>
        <v>0</v>
      </c>
      <c r="C4345" t="b">
        <f ca="1">OR(Values!$S$98&gt;=Charms!M4345,IFERROR(Charms!J4345=OFFSET(Values!$A$24,MATCH("S",Values!$T$25:$T$50,0),0),FALSE))</f>
        <v>1</v>
      </c>
      <c r="D4345" t="e">
        <f>VLOOKUP(Charms!J4345,Values!$A$11:$S$59,19,0)&gt;=Charms!L4345</f>
        <v>#N/A</v>
      </c>
      <c r="E4345" t="e">
        <f>OR(ISBLANK(Charms!I4345),(VLOOKUP(Values!$S$6,Castes!$B$2:$F$25,4,0)=Charms!I4345))</f>
        <v>#N/A</v>
      </c>
      <c r="J4345" t="e">
        <f t="shared" ca="1" si="336"/>
        <v>#N/A</v>
      </c>
      <c r="K4345" s="18" t="e">
        <f t="shared" ca="1" si="335"/>
        <v>#N/A</v>
      </c>
      <c r="L4345" t="e">
        <f ca="1">IF(J4345,Charms!B4345,"")</f>
        <v>#N/A</v>
      </c>
      <c r="M4345" t="str">
        <f t="shared" ca="1" si="337"/>
        <v>-</v>
      </c>
      <c r="N4345" s="18" t="str">
        <f t="shared" si="338"/>
        <v>K1622:L5000</v>
      </c>
      <c r="O4345" t="str">
        <f t="shared" si="339"/>
        <v>A1622:A4345</v>
      </c>
    </row>
    <row r="4346" spans="1:15">
      <c r="A4346" s="18">
        <f>Charms!K4346</f>
        <v>0</v>
      </c>
      <c r="B4346">
        <f>Charms!B4346</f>
        <v>0</v>
      </c>
      <c r="C4346" t="b">
        <f ca="1">OR(Values!$S$98&gt;=Charms!M4346,IFERROR(Charms!J4346=OFFSET(Values!$A$24,MATCH("S",Values!$T$25:$T$50,0),0),FALSE))</f>
        <v>1</v>
      </c>
      <c r="D4346" t="e">
        <f>VLOOKUP(Charms!J4346,Values!$A$11:$S$59,19,0)&gt;=Charms!L4346</f>
        <v>#N/A</v>
      </c>
      <c r="E4346" t="e">
        <f>OR(ISBLANK(Charms!I4346),(VLOOKUP(Values!$S$6,Castes!$B$2:$F$25,4,0)=Charms!I4346))</f>
        <v>#N/A</v>
      </c>
      <c r="J4346" t="e">
        <f t="shared" ca="1" si="336"/>
        <v>#N/A</v>
      </c>
      <c r="K4346" s="18" t="e">
        <f t="shared" ca="1" si="335"/>
        <v>#N/A</v>
      </c>
      <c r="L4346" t="e">
        <f ca="1">IF(J4346,Charms!B4346,"")</f>
        <v>#N/A</v>
      </c>
      <c r="M4346" t="str">
        <f t="shared" ca="1" si="337"/>
        <v>-</v>
      </c>
      <c r="N4346" s="18" t="str">
        <f t="shared" si="338"/>
        <v>K1622:L5000</v>
      </c>
      <c r="O4346" t="str">
        <f t="shared" si="339"/>
        <v>A1622:A4346</v>
      </c>
    </row>
    <row r="4347" spans="1:15">
      <c r="A4347" s="18">
        <f>Charms!K4347</f>
        <v>0</v>
      </c>
      <c r="B4347">
        <f>Charms!B4347</f>
        <v>0</v>
      </c>
      <c r="C4347" t="b">
        <f ca="1">OR(Values!$S$98&gt;=Charms!M4347,IFERROR(Charms!J4347=OFFSET(Values!$A$24,MATCH("S",Values!$T$25:$T$50,0),0),FALSE))</f>
        <v>1</v>
      </c>
      <c r="D4347" t="e">
        <f>VLOOKUP(Charms!J4347,Values!$A$11:$S$59,19,0)&gt;=Charms!L4347</f>
        <v>#N/A</v>
      </c>
      <c r="E4347" t="e">
        <f>OR(ISBLANK(Charms!I4347),(VLOOKUP(Values!$S$6,Castes!$B$2:$F$25,4,0)=Charms!I4347))</f>
        <v>#N/A</v>
      </c>
      <c r="J4347" t="e">
        <f t="shared" ca="1" si="336"/>
        <v>#N/A</v>
      </c>
      <c r="K4347" s="18" t="e">
        <f t="shared" ca="1" si="335"/>
        <v>#N/A</v>
      </c>
      <c r="L4347" t="e">
        <f ca="1">IF(J4347,Charms!B4347,"")</f>
        <v>#N/A</v>
      </c>
      <c r="M4347" t="str">
        <f t="shared" ca="1" si="337"/>
        <v>-</v>
      </c>
      <c r="N4347" s="18" t="str">
        <f t="shared" si="338"/>
        <v>K1622:L5000</v>
      </c>
      <c r="O4347" t="str">
        <f t="shared" si="339"/>
        <v>A1622:A4347</v>
      </c>
    </row>
    <row r="4348" spans="1:15">
      <c r="A4348" s="18">
        <f>Charms!K4348</f>
        <v>0</v>
      </c>
      <c r="B4348">
        <f>Charms!B4348</f>
        <v>0</v>
      </c>
      <c r="C4348" t="b">
        <f ca="1">OR(Values!$S$98&gt;=Charms!M4348,IFERROR(Charms!J4348=OFFSET(Values!$A$24,MATCH("S",Values!$T$25:$T$50,0),0),FALSE))</f>
        <v>1</v>
      </c>
      <c r="D4348" t="e">
        <f>VLOOKUP(Charms!J4348,Values!$A$11:$S$59,19,0)&gt;=Charms!L4348</f>
        <v>#N/A</v>
      </c>
      <c r="E4348" t="e">
        <f>OR(ISBLANK(Charms!I4348),(VLOOKUP(Values!$S$6,Castes!$B$2:$F$25,4,0)=Charms!I4348))</f>
        <v>#N/A</v>
      </c>
      <c r="J4348" t="e">
        <f t="shared" ca="1" si="336"/>
        <v>#N/A</v>
      </c>
      <c r="K4348" s="18" t="e">
        <f t="shared" ca="1" si="335"/>
        <v>#N/A</v>
      </c>
      <c r="L4348" t="e">
        <f ca="1">IF(J4348,Charms!B4348,"")</f>
        <v>#N/A</v>
      </c>
      <c r="M4348" t="str">
        <f t="shared" ca="1" si="337"/>
        <v>-</v>
      </c>
      <c r="N4348" s="18" t="str">
        <f t="shared" si="338"/>
        <v>K1622:L5000</v>
      </c>
      <c r="O4348" t="str">
        <f t="shared" si="339"/>
        <v>A1622:A4348</v>
      </c>
    </row>
    <row r="4349" spans="1:15">
      <c r="A4349" s="18">
        <f>Charms!K4349</f>
        <v>0</v>
      </c>
      <c r="B4349">
        <f>Charms!B4349</f>
        <v>0</v>
      </c>
      <c r="C4349" t="b">
        <f ca="1">OR(Values!$S$98&gt;=Charms!M4349,IFERROR(Charms!J4349=OFFSET(Values!$A$24,MATCH("S",Values!$T$25:$T$50,0),0),FALSE))</f>
        <v>1</v>
      </c>
      <c r="D4349" t="e">
        <f>VLOOKUP(Charms!J4349,Values!$A$11:$S$59,19,0)&gt;=Charms!L4349</f>
        <v>#N/A</v>
      </c>
      <c r="E4349" t="e">
        <f>OR(ISBLANK(Charms!I4349),(VLOOKUP(Values!$S$6,Castes!$B$2:$F$25,4,0)=Charms!I4349))</f>
        <v>#N/A</v>
      </c>
      <c r="J4349" t="e">
        <f t="shared" ca="1" si="336"/>
        <v>#N/A</v>
      </c>
      <c r="K4349" s="18" t="e">
        <f t="shared" ca="1" si="335"/>
        <v>#N/A</v>
      </c>
      <c r="L4349" t="e">
        <f ca="1">IF(J4349,Charms!B4349,"")</f>
        <v>#N/A</v>
      </c>
      <c r="M4349" t="str">
        <f t="shared" ca="1" si="337"/>
        <v>-</v>
      </c>
      <c r="N4349" s="18" t="str">
        <f t="shared" si="338"/>
        <v>K1622:L5000</v>
      </c>
      <c r="O4349" t="str">
        <f t="shared" si="339"/>
        <v>A1622:A4349</v>
      </c>
    </row>
    <row r="4350" spans="1:15">
      <c r="A4350" s="18">
        <f>Charms!K4350</f>
        <v>0</v>
      </c>
      <c r="B4350">
        <f>Charms!B4350</f>
        <v>0</v>
      </c>
      <c r="C4350" t="b">
        <f ca="1">OR(Values!$S$98&gt;=Charms!M4350,IFERROR(Charms!J4350=OFFSET(Values!$A$24,MATCH("S",Values!$T$25:$T$50,0),0),FALSE))</f>
        <v>1</v>
      </c>
      <c r="D4350" t="e">
        <f>VLOOKUP(Charms!J4350,Values!$A$11:$S$59,19,0)&gt;=Charms!L4350</f>
        <v>#N/A</v>
      </c>
      <c r="E4350" t="e">
        <f>OR(ISBLANK(Charms!I4350),(VLOOKUP(Values!$S$6,Castes!$B$2:$F$25,4,0)=Charms!I4350))</f>
        <v>#N/A</v>
      </c>
      <c r="J4350" t="e">
        <f t="shared" ca="1" si="336"/>
        <v>#N/A</v>
      </c>
      <c r="K4350" s="18" t="e">
        <f t="shared" ca="1" si="335"/>
        <v>#N/A</v>
      </c>
      <c r="L4350" t="e">
        <f ca="1">IF(J4350,Charms!B4350,"")</f>
        <v>#N/A</v>
      </c>
      <c r="M4350" t="str">
        <f t="shared" ca="1" si="337"/>
        <v>-</v>
      </c>
      <c r="N4350" s="18" t="str">
        <f t="shared" si="338"/>
        <v>K1622:L5000</v>
      </c>
      <c r="O4350" t="str">
        <f t="shared" si="339"/>
        <v>A1622:A4350</v>
      </c>
    </row>
    <row r="4351" spans="1:15">
      <c r="A4351" s="18">
        <f>Charms!K4351</f>
        <v>0</v>
      </c>
      <c r="B4351">
        <f>Charms!B4351</f>
        <v>0</v>
      </c>
      <c r="C4351" t="b">
        <f ca="1">OR(Values!$S$98&gt;=Charms!M4351,IFERROR(Charms!J4351=OFFSET(Values!$A$24,MATCH("S",Values!$T$25:$T$50,0),0),FALSE))</f>
        <v>1</v>
      </c>
      <c r="D4351" t="e">
        <f>VLOOKUP(Charms!J4351,Values!$A$11:$S$59,19,0)&gt;=Charms!L4351</f>
        <v>#N/A</v>
      </c>
      <c r="E4351" t="e">
        <f>OR(ISBLANK(Charms!I4351),(VLOOKUP(Values!$S$6,Castes!$B$2:$F$25,4,0)=Charms!I4351))</f>
        <v>#N/A</v>
      </c>
      <c r="J4351" t="e">
        <f t="shared" ca="1" si="336"/>
        <v>#N/A</v>
      </c>
      <c r="K4351" s="18" t="e">
        <f t="shared" ca="1" si="335"/>
        <v>#N/A</v>
      </c>
      <c r="L4351" t="e">
        <f ca="1">IF(J4351,Charms!B4351,"")</f>
        <v>#N/A</v>
      </c>
      <c r="M4351" t="str">
        <f t="shared" ca="1" si="337"/>
        <v>-</v>
      </c>
      <c r="N4351" s="18" t="str">
        <f t="shared" si="338"/>
        <v>K1622:L5000</v>
      </c>
      <c r="O4351" t="str">
        <f t="shared" si="339"/>
        <v>A1622:A4351</v>
      </c>
    </row>
    <row r="4352" spans="1:15">
      <c r="A4352" s="18">
        <f>Charms!K4352</f>
        <v>0</v>
      </c>
      <c r="B4352">
        <f>Charms!B4352</f>
        <v>0</v>
      </c>
      <c r="C4352" t="b">
        <f ca="1">OR(Values!$S$98&gt;=Charms!M4352,IFERROR(Charms!J4352=OFFSET(Values!$A$24,MATCH("S",Values!$T$25:$T$50,0),0),FALSE))</f>
        <v>1</v>
      </c>
      <c r="D4352" t="e">
        <f>VLOOKUP(Charms!J4352,Values!$A$11:$S$59,19,0)&gt;=Charms!L4352</f>
        <v>#N/A</v>
      </c>
      <c r="E4352" t="e">
        <f>OR(ISBLANK(Charms!I4352),(VLOOKUP(Values!$S$6,Castes!$B$2:$F$25,4,0)=Charms!I4352))</f>
        <v>#N/A</v>
      </c>
      <c r="J4352" t="e">
        <f t="shared" ca="1" si="336"/>
        <v>#N/A</v>
      </c>
      <c r="K4352" s="18" t="e">
        <f t="shared" ca="1" si="335"/>
        <v>#N/A</v>
      </c>
      <c r="L4352" t="e">
        <f ca="1">IF(J4352,Charms!B4352,"")</f>
        <v>#N/A</v>
      </c>
      <c r="M4352" t="str">
        <f t="shared" ca="1" si="337"/>
        <v>-</v>
      </c>
      <c r="N4352" s="18" t="str">
        <f t="shared" si="338"/>
        <v>K1622:L5000</v>
      </c>
      <c r="O4352" t="str">
        <f t="shared" si="339"/>
        <v>A1622:A4352</v>
      </c>
    </row>
    <row r="4353" spans="1:15">
      <c r="A4353" s="18">
        <f>Charms!K4353</f>
        <v>0</v>
      </c>
      <c r="B4353">
        <f>Charms!B4353</f>
        <v>0</v>
      </c>
      <c r="C4353" t="b">
        <f ca="1">OR(Values!$S$98&gt;=Charms!M4353,IFERROR(Charms!J4353=OFFSET(Values!$A$24,MATCH("S",Values!$T$25:$T$50,0),0),FALSE))</f>
        <v>1</v>
      </c>
      <c r="D4353" t="e">
        <f>VLOOKUP(Charms!J4353,Values!$A$11:$S$59,19,0)&gt;=Charms!L4353</f>
        <v>#N/A</v>
      </c>
      <c r="E4353" t="e">
        <f>OR(ISBLANK(Charms!I4353),(VLOOKUP(Values!$S$6,Castes!$B$2:$F$25,4,0)=Charms!I4353))</f>
        <v>#N/A</v>
      </c>
      <c r="J4353" t="e">
        <f t="shared" ca="1" si="336"/>
        <v>#N/A</v>
      </c>
      <c r="K4353" s="18" t="e">
        <f t="shared" ca="1" si="335"/>
        <v>#N/A</v>
      </c>
      <c r="L4353" t="e">
        <f ca="1">IF(J4353,Charms!B4353,"")</f>
        <v>#N/A</v>
      </c>
      <c r="M4353" t="str">
        <f t="shared" ca="1" si="337"/>
        <v>-</v>
      </c>
      <c r="N4353" s="18" t="str">
        <f t="shared" si="338"/>
        <v>K1622:L5000</v>
      </c>
      <c r="O4353" t="str">
        <f t="shared" si="339"/>
        <v>A1622:A4353</v>
      </c>
    </row>
    <row r="4354" spans="1:15">
      <c r="A4354" s="18">
        <f>Charms!K4354</f>
        <v>0</v>
      </c>
      <c r="B4354">
        <f>Charms!B4354</f>
        <v>0</v>
      </c>
      <c r="C4354" t="b">
        <f ca="1">OR(Values!$S$98&gt;=Charms!M4354,IFERROR(Charms!J4354=OFFSET(Values!$A$24,MATCH("S",Values!$T$25:$T$50,0),0),FALSE))</f>
        <v>1</v>
      </c>
      <c r="D4354" t="e">
        <f>VLOOKUP(Charms!J4354,Values!$A$11:$S$59,19,0)&gt;=Charms!L4354</f>
        <v>#N/A</v>
      </c>
      <c r="E4354" t="e">
        <f>OR(ISBLANK(Charms!I4354),(VLOOKUP(Values!$S$6,Castes!$B$2:$F$25,4,0)=Charms!I4354))</f>
        <v>#N/A</v>
      </c>
      <c r="J4354" t="e">
        <f t="shared" ca="1" si="336"/>
        <v>#N/A</v>
      </c>
      <c r="K4354" s="18" t="e">
        <f t="shared" ref="K4354:K4417" ca="1" si="340">IF(L4354="","",COUNTIF(INDIRECT("J"&amp;MATCH(A4354,A:A,0)&amp;":J"&amp;ROW()),J4354))</f>
        <v>#N/A</v>
      </c>
      <c r="L4354" t="e">
        <f ca="1">IF(J4354,Charms!B4354,"")</f>
        <v>#N/A</v>
      </c>
      <c r="M4354" t="str">
        <f t="shared" ca="1" si="337"/>
        <v>-</v>
      </c>
      <c r="N4354" s="18" t="str">
        <f t="shared" si="338"/>
        <v>K1622:L5000</v>
      </c>
      <c r="O4354" t="str">
        <f t="shared" si="339"/>
        <v>A1622:A4354</v>
      </c>
    </row>
    <row r="4355" spans="1:15">
      <c r="A4355" s="18">
        <f>Charms!K4355</f>
        <v>0</v>
      </c>
      <c r="B4355">
        <f>Charms!B4355</f>
        <v>0</v>
      </c>
      <c r="C4355" t="b">
        <f ca="1">OR(Values!$S$98&gt;=Charms!M4355,IFERROR(Charms!J4355=OFFSET(Values!$A$24,MATCH("S",Values!$T$25:$T$50,0),0),FALSE))</f>
        <v>1</v>
      </c>
      <c r="D4355" t="e">
        <f>VLOOKUP(Charms!J4355,Values!$A$11:$S$59,19,0)&gt;=Charms!L4355</f>
        <v>#N/A</v>
      </c>
      <c r="E4355" t="e">
        <f>OR(ISBLANK(Charms!I4355),(VLOOKUP(Values!$S$6,Castes!$B$2:$F$25,4,0)=Charms!I4355))</f>
        <v>#N/A</v>
      </c>
      <c r="J4355" t="e">
        <f t="shared" ref="J4355:J4418" ca="1" si="341">(C4355+D4355+E4355+F4355+G4355+H4355+I4355)=3</f>
        <v>#N/A</v>
      </c>
      <c r="K4355" s="18" t="e">
        <f t="shared" ca="1" si="340"/>
        <v>#N/A</v>
      </c>
      <c r="L4355" t="e">
        <f ca="1">IF(J4355,Charms!B4355,"")</f>
        <v>#N/A</v>
      </c>
      <c r="M4355" t="str">
        <f t="shared" ref="M4355:M4418" ca="1" si="342">IFERROR(VLOOKUP(COUNTIF(INDIRECT(O4355),A4355),INDIRECT(N4355),2,0),"-")</f>
        <v>-</v>
      </c>
      <c r="N4355" s="18" t="str">
        <f t="shared" ref="N4355:N4418" si="343">"K"&amp;MATCH(A4355,A:A,0)&amp;":L"&amp;(MATCH(A4355,A:A,0)+COUNTIF(A:A,A4355)-1)</f>
        <v>K1622:L5000</v>
      </c>
      <c r="O4355" t="str">
        <f t="shared" ref="O4355:O4418" si="344">"A"&amp;MATCH(A4355,A:A,0)&amp;":A"&amp;ROW()</f>
        <v>A1622:A4355</v>
      </c>
    </row>
    <row r="4356" spans="1:15">
      <c r="A4356" s="18">
        <f>Charms!K4356</f>
        <v>0</v>
      </c>
      <c r="B4356">
        <f>Charms!B4356</f>
        <v>0</v>
      </c>
      <c r="C4356" t="b">
        <f ca="1">OR(Values!$S$98&gt;=Charms!M4356,IFERROR(Charms!J4356=OFFSET(Values!$A$24,MATCH("S",Values!$T$25:$T$50,0),0),FALSE))</f>
        <v>1</v>
      </c>
      <c r="D4356" t="e">
        <f>VLOOKUP(Charms!J4356,Values!$A$11:$S$59,19,0)&gt;=Charms!L4356</f>
        <v>#N/A</v>
      </c>
      <c r="E4356" t="e">
        <f>OR(ISBLANK(Charms!I4356),(VLOOKUP(Values!$S$6,Castes!$B$2:$F$25,4,0)=Charms!I4356))</f>
        <v>#N/A</v>
      </c>
      <c r="J4356" t="e">
        <f t="shared" ca="1" si="341"/>
        <v>#N/A</v>
      </c>
      <c r="K4356" s="18" t="e">
        <f t="shared" ca="1" si="340"/>
        <v>#N/A</v>
      </c>
      <c r="L4356" t="e">
        <f ca="1">IF(J4356,Charms!B4356,"")</f>
        <v>#N/A</v>
      </c>
      <c r="M4356" t="str">
        <f t="shared" ca="1" si="342"/>
        <v>-</v>
      </c>
      <c r="N4356" s="18" t="str">
        <f t="shared" si="343"/>
        <v>K1622:L5000</v>
      </c>
      <c r="O4356" t="str">
        <f t="shared" si="344"/>
        <v>A1622:A4356</v>
      </c>
    </row>
    <row r="4357" spans="1:15">
      <c r="A4357" s="18">
        <f>Charms!K4357</f>
        <v>0</v>
      </c>
      <c r="B4357">
        <f>Charms!B4357</f>
        <v>0</v>
      </c>
      <c r="C4357" t="b">
        <f ca="1">OR(Values!$S$98&gt;=Charms!M4357,IFERROR(Charms!J4357=OFFSET(Values!$A$24,MATCH("S",Values!$T$25:$T$50,0),0),FALSE))</f>
        <v>1</v>
      </c>
      <c r="D4357" t="e">
        <f>VLOOKUP(Charms!J4357,Values!$A$11:$S$59,19,0)&gt;=Charms!L4357</f>
        <v>#N/A</v>
      </c>
      <c r="E4357" t="e">
        <f>OR(ISBLANK(Charms!I4357),(VLOOKUP(Values!$S$6,Castes!$B$2:$F$25,4,0)=Charms!I4357))</f>
        <v>#N/A</v>
      </c>
      <c r="J4357" t="e">
        <f t="shared" ca="1" si="341"/>
        <v>#N/A</v>
      </c>
      <c r="K4357" s="18" t="e">
        <f t="shared" ca="1" si="340"/>
        <v>#N/A</v>
      </c>
      <c r="L4357" t="e">
        <f ca="1">IF(J4357,Charms!B4357,"")</f>
        <v>#N/A</v>
      </c>
      <c r="M4357" t="str">
        <f t="shared" ca="1" si="342"/>
        <v>-</v>
      </c>
      <c r="N4357" s="18" t="str">
        <f t="shared" si="343"/>
        <v>K1622:L5000</v>
      </c>
      <c r="O4357" t="str">
        <f t="shared" si="344"/>
        <v>A1622:A4357</v>
      </c>
    </row>
    <row r="4358" spans="1:15">
      <c r="A4358" s="18">
        <f>Charms!K4358</f>
        <v>0</v>
      </c>
      <c r="B4358">
        <f>Charms!B4358</f>
        <v>0</v>
      </c>
      <c r="C4358" t="b">
        <f ca="1">OR(Values!$S$98&gt;=Charms!M4358,IFERROR(Charms!J4358=OFFSET(Values!$A$24,MATCH("S",Values!$T$25:$T$50,0),0),FALSE))</f>
        <v>1</v>
      </c>
      <c r="D4358" t="e">
        <f>VLOOKUP(Charms!J4358,Values!$A$11:$S$59,19,0)&gt;=Charms!L4358</f>
        <v>#N/A</v>
      </c>
      <c r="E4358" t="e">
        <f>OR(ISBLANK(Charms!I4358),(VLOOKUP(Values!$S$6,Castes!$B$2:$F$25,4,0)=Charms!I4358))</f>
        <v>#N/A</v>
      </c>
      <c r="J4358" t="e">
        <f t="shared" ca="1" si="341"/>
        <v>#N/A</v>
      </c>
      <c r="K4358" s="18" t="e">
        <f t="shared" ca="1" si="340"/>
        <v>#N/A</v>
      </c>
      <c r="L4358" t="e">
        <f ca="1">IF(J4358,Charms!B4358,"")</f>
        <v>#N/A</v>
      </c>
      <c r="M4358" t="str">
        <f t="shared" ca="1" si="342"/>
        <v>-</v>
      </c>
      <c r="N4358" s="18" t="str">
        <f t="shared" si="343"/>
        <v>K1622:L5000</v>
      </c>
      <c r="O4358" t="str">
        <f t="shared" si="344"/>
        <v>A1622:A4358</v>
      </c>
    </row>
    <row r="4359" spans="1:15">
      <c r="A4359" s="18">
        <f>Charms!K4359</f>
        <v>0</v>
      </c>
      <c r="B4359">
        <f>Charms!B4359</f>
        <v>0</v>
      </c>
      <c r="C4359" t="b">
        <f ca="1">OR(Values!$S$98&gt;=Charms!M4359,IFERROR(Charms!J4359=OFFSET(Values!$A$24,MATCH("S",Values!$T$25:$T$50,0),0),FALSE))</f>
        <v>1</v>
      </c>
      <c r="D4359" t="e">
        <f>VLOOKUP(Charms!J4359,Values!$A$11:$S$59,19,0)&gt;=Charms!L4359</f>
        <v>#N/A</v>
      </c>
      <c r="E4359" t="e">
        <f>OR(ISBLANK(Charms!I4359),(VLOOKUP(Values!$S$6,Castes!$B$2:$F$25,4,0)=Charms!I4359))</f>
        <v>#N/A</v>
      </c>
      <c r="J4359" t="e">
        <f t="shared" ca="1" si="341"/>
        <v>#N/A</v>
      </c>
      <c r="K4359" s="18" t="e">
        <f t="shared" ca="1" si="340"/>
        <v>#N/A</v>
      </c>
      <c r="L4359" t="e">
        <f ca="1">IF(J4359,Charms!B4359,"")</f>
        <v>#N/A</v>
      </c>
      <c r="M4359" t="str">
        <f t="shared" ca="1" si="342"/>
        <v>-</v>
      </c>
      <c r="N4359" s="18" t="str">
        <f t="shared" si="343"/>
        <v>K1622:L5000</v>
      </c>
      <c r="O4359" t="str">
        <f t="shared" si="344"/>
        <v>A1622:A4359</v>
      </c>
    </row>
    <row r="4360" spans="1:15">
      <c r="A4360" s="18">
        <f>Charms!K4360</f>
        <v>0</v>
      </c>
      <c r="B4360">
        <f>Charms!B4360</f>
        <v>0</v>
      </c>
      <c r="C4360" t="b">
        <f ca="1">OR(Values!$S$98&gt;=Charms!M4360,IFERROR(Charms!J4360=OFFSET(Values!$A$24,MATCH("S",Values!$T$25:$T$50,0),0),FALSE))</f>
        <v>1</v>
      </c>
      <c r="D4360" t="e">
        <f>VLOOKUP(Charms!J4360,Values!$A$11:$S$59,19,0)&gt;=Charms!L4360</f>
        <v>#N/A</v>
      </c>
      <c r="E4360" t="e">
        <f>OR(ISBLANK(Charms!I4360),(VLOOKUP(Values!$S$6,Castes!$B$2:$F$25,4,0)=Charms!I4360))</f>
        <v>#N/A</v>
      </c>
      <c r="J4360" t="e">
        <f t="shared" ca="1" si="341"/>
        <v>#N/A</v>
      </c>
      <c r="K4360" s="18" t="e">
        <f t="shared" ca="1" si="340"/>
        <v>#N/A</v>
      </c>
      <c r="L4360" t="e">
        <f ca="1">IF(J4360,Charms!B4360,"")</f>
        <v>#N/A</v>
      </c>
      <c r="M4360" t="str">
        <f t="shared" ca="1" si="342"/>
        <v>-</v>
      </c>
      <c r="N4360" s="18" t="str">
        <f t="shared" si="343"/>
        <v>K1622:L5000</v>
      </c>
      <c r="O4360" t="str">
        <f t="shared" si="344"/>
        <v>A1622:A4360</v>
      </c>
    </row>
    <row r="4361" spans="1:15">
      <c r="A4361" s="18">
        <f>Charms!K4361</f>
        <v>0</v>
      </c>
      <c r="B4361">
        <f>Charms!B4361</f>
        <v>0</v>
      </c>
      <c r="C4361" t="b">
        <f ca="1">OR(Values!$S$98&gt;=Charms!M4361,IFERROR(Charms!J4361=OFFSET(Values!$A$24,MATCH("S",Values!$T$25:$T$50,0),0),FALSE))</f>
        <v>1</v>
      </c>
      <c r="D4361" t="e">
        <f>VLOOKUP(Charms!J4361,Values!$A$11:$S$59,19,0)&gt;=Charms!L4361</f>
        <v>#N/A</v>
      </c>
      <c r="E4361" t="e">
        <f>OR(ISBLANK(Charms!I4361),(VLOOKUP(Values!$S$6,Castes!$B$2:$F$25,4,0)=Charms!I4361))</f>
        <v>#N/A</v>
      </c>
      <c r="J4361" t="e">
        <f t="shared" ca="1" si="341"/>
        <v>#N/A</v>
      </c>
      <c r="K4361" s="18" t="e">
        <f t="shared" ca="1" si="340"/>
        <v>#N/A</v>
      </c>
      <c r="L4361" t="e">
        <f ca="1">IF(J4361,Charms!B4361,"")</f>
        <v>#N/A</v>
      </c>
      <c r="M4361" t="str">
        <f t="shared" ca="1" si="342"/>
        <v>-</v>
      </c>
      <c r="N4361" s="18" t="str">
        <f t="shared" si="343"/>
        <v>K1622:L5000</v>
      </c>
      <c r="O4361" t="str">
        <f t="shared" si="344"/>
        <v>A1622:A4361</v>
      </c>
    </row>
    <row r="4362" spans="1:15">
      <c r="A4362" s="18">
        <f>Charms!K4362</f>
        <v>0</v>
      </c>
      <c r="B4362">
        <f>Charms!B4362</f>
        <v>0</v>
      </c>
      <c r="C4362" t="b">
        <f ca="1">OR(Values!$S$98&gt;=Charms!M4362,IFERROR(Charms!J4362=OFFSET(Values!$A$24,MATCH("S",Values!$T$25:$T$50,0),0),FALSE))</f>
        <v>1</v>
      </c>
      <c r="D4362" t="e">
        <f>VLOOKUP(Charms!J4362,Values!$A$11:$S$59,19,0)&gt;=Charms!L4362</f>
        <v>#N/A</v>
      </c>
      <c r="E4362" t="e">
        <f>OR(ISBLANK(Charms!I4362),(VLOOKUP(Values!$S$6,Castes!$B$2:$F$25,4,0)=Charms!I4362))</f>
        <v>#N/A</v>
      </c>
      <c r="J4362" t="e">
        <f t="shared" ca="1" si="341"/>
        <v>#N/A</v>
      </c>
      <c r="K4362" s="18" t="e">
        <f t="shared" ca="1" si="340"/>
        <v>#N/A</v>
      </c>
      <c r="L4362" t="e">
        <f ca="1">IF(J4362,Charms!B4362,"")</f>
        <v>#N/A</v>
      </c>
      <c r="M4362" t="str">
        <f t="shared" ca="1" si="342"/>
        <v>-</v>
      </c>
      <c r="N4362" s="18" t="str">
        <f t="shared" si="343"/>
        <v>K1622:L5000</v>
      </c>
      <c r="O4362" t="str">
        <f t="shared" si="344"/>
        <v>A1622:A4362</v>
      </c>
    </row>
    <row r="4363" spans="1:15">
      <c r="A4363" s="18">
        <f>Charms!K4363</f>
        <v>0</v>
      </c>
      <c r="B4363">
        <f>Charms!B4363</f>
        <v>0</v>
      </c>
      <c r="C4363" t="b">
        <f ca="1">OR(Values!$S$98&gt;=Charms!M4363,IFERROR(Charms!J4363=OFFSET(Values!$A$24,MATCH("S",Values!$T$25:$T$50,0),0),FALSE))</f>
        <v>1</v>
      </c>
      <c r="D4363" t="e">
        <f>VLOOKUP(Charms!J4363,Values!$A$11:$S$59,19,0)&gt;=Charms!L4363</f>
        <v>#N/A</v>
      </c>
      <c r="E4363" t="e">
        <f>OR(ISBLANK(Charms!I4363),(VLOOKUP(Values!$S$6,Castes!$B$2:$F$25,4,0)=Charms!I4363))</f>
        <v>#N/A</v>
      </c>
      <c r="J4363" t="e">
        <f t="shared" ca="1" si="341"/>
        <v>#N/A</v>
      </c>
      <c r="K4363" s="18" t="e">
        <f t="shared" ca="1" si="340"/>
        <v>#N/A</v>
      </c>
      <c r="L4363" t="e">
        <f ca="1">IF(J4363,Charms!B4363,"")</f>
        <v>#N/A</v>
      </c>
      <c r="M4363" t="str">
        <f t="shared" ca="1" si="342"/>
        <v>-</v>
      </c>
      <c r="N4363" s="18" t="str">
        <f t="shared" si="343"/>
        <v>K1622:L5000</v>
      </c>
      <c r="O4363" t="str">
        <f t="shared" si="344"/>
        <v>A1622:A4363</v>
      </c>
    </row>
    <row r="4364" spans="1:15">
      <c r="A4364" s="18">
        <f>Charms!K4364</f>
        <v>0</v>
      </c>
      <c r="B4364">
        <f>Charms!B4364</f>
        <v>0</v>
      </c>
      <c r="C4364" t="b">
        <f ca="1">OR(Values!$S$98&gt;=Charms!M4364,IFERROR(Charms!J4364=OFFSET(Values!$A$24,MATCH("S",Values!$T$25:$T$50,0),0),FALSE))</f>
        <v>1</v>
      </c>
      <c r="D4364" t="e">
        <f>VLOOKUP(Charms!J4364,Values!$A$11:$S$59,19,0)&gt;=Charms!L4364</f>
        <v>#N/A</v>
      </c>
      <c r="E4364" t="e">
        <f>OR(ISBLANK(Charms!I4364),(VLOOKUP(Values!$S$6,Castes!$B$2:$F$25,4,0)=Charms!I4364))</f>
        <v>#N/A</v>
      </c>
      <c r="J4364" t="e">
        <f t="shared" ca="1" si="341"/>
        <v>#N/A</v>
      </c>
      <c r="K4364" s="18" t="e">
        <f t="shared" ca="1" si="340"/>
        <v>#N/A</v>
      </c>
      <c r="L4364" t="e">
        <f ca="1">IF(J4364,Charms!B4364,"")</f>
        <v>#N/A</v>
      </c>
      <c r="M4364" t="str">
        <f t="shared" ca="1" si="342"/>
        <v>-</v>
      </c>
      <c r="N4364" s="18" t="str">
        <f t="shared" si="343"/>
        <v>K1622:L5000</v>
      </c>
      <c r="O4364" t="str">
        <f t="shared" si="344"/>
        <v>A1622:A4364</v>
      </c>
    </row>
    <row r="4365" spans="1:15">
      <c r="A4365" s="18">
        <f>Charms!K4365</f>
        <v>0</v>
      </c>
      <c r="B4365">
        <f>Charms!B4365</f>
        <v>0</v>
      </c>
      <c r="C4365" t="b">
        <f ca="1">OR(Values!$S$98&gt;=Charms!M4365,IFERROR(Charms!J4365=OFFSET(Values!$A$24,MATCH("S",Values!$T$25:$T$50,0),0),FALSE))</f>
        <v>1</v>
      </c>
      <c r="D4365" t="e">
        <f>VLOOKUP(Charms!J4365,Values!$A$11:$S$59,19,0)&gt;=Charms!L4365</f>
        <v>#N/A</v>
      </c>
      <c r="E4365" t="e">
        <f>OR(ISBLANK(Charms!I4365),(VLOOKUP(Values!$S$6,Castes!$B$2:$F$25,4,0)=Charms!I4365))</f>
        <v>#N/A</v>
      </c>
      <c r="J4365" t="e">
        <f t="shared" ca="1" si="341"/>
        <v>#N/A</v>
      </c>
      <c r="K4365" s="18" t="e">
        <f t="shared" ca="1" si="340"/>
        <v>#N/A</v>
      </c>
      <c r="L4365" t="e">
        <f ca="1">IF(J4365,Charms!B4365,"")</f>
        <v>#N/A</v>
      </c>
      <c r="M4365" t="str">
        <f t="shared" ca="1" si="342"/>
        <v>-</v>
      </c>
      <c r="N4365" s="18" t="str">
        <f t="shared" si="343"/>
        <v>K1622:L5000</v>
      </c>
      <c r="O4365" t="str">
        <f t="shared" si="344"/>
        <v>A1622:A4365</v>
      </c>
    </row>
    <row r="4366" spans="1:15">
      <c r="A4366" s="18">
        <f>Charms!K4366</f>
        <v>0</v>
      </c>
      <c r="B4366">
        <f>Charms!B4366</f>
        <v>0</v>
      </c>
      <c r="C4366" t="b">
        <f ca="1">OR(Values!$S$98&gt;=Charms!M4366,IFERROR(Charms!J4366=OFFSET(Values!$A$24,MATCH("S",Values!$T$25:$T$50,0),0),FALSE))</f>
        <v>1</v>
      </c>
      <c r="D4366" t="e">
        <f>VLOOKUP(Charms!J4366,Values!$A$11:$S$59,19,0)&gt;=Charms!L4366</f>
        <v>#N/A</v>
      </c>
      <c r="E4366" t="e">
        <f>OR(ISBLANK(Charms!I4366),(VLOOKUP(Values!$S$6,Castes!$B$2:$F$25,4,0)=Charms!I4366))</f>
        <v>#N/A</v>
      </c>
      <c r="J4366" t="e">
        <f t="shared" ca="1" si="341"/>
        <v>#N/A</v>
      </c>
      <c r="K4366" s="18" t="e">
        <f t="shared" ca="1" si="340"/>
        <v>#N/A</v>
      </c>
      <c r="L4366" t="e">
        <f ca="1">IF(J4366,Charms!B4366,"")</f>
        <v>#N/A</v>
      </c>
      <c r="M4366" t="str">
        <f t="shared" ca="1" si="342"/>
        <v>-</v>
      </c>
      <c r="N4366" s="18" t="str">
        <f t="shared" si="343"/>
        <v>K1622:L5000</v>
      </c>
      <c r="O4366" t="str">
        <f t="shared" si="344"/>
        <v>A1622:A4366</v>
      </c>
    </row>
    <row r="4367" spans="1:15">
      <c r="A4367" s="18">
        <f>Charms!K4367</f>
        <v>0</v>
      </c>
      <c r="B4367">
        <f>Charms!B4367</f>
        <v>0</v>
      </c>
      <c r="C4367" t="b">
        <f ca="1">OR(Values!$S$98&gt;=Charms!M4367,IFERROR(Charms!J4367=OFFSET(Values!$A$24,MATCH("S",Values!$T$25:$T$50,0),0),FALSE))</f>
        <v>1</v>
      </c>
      <c r="D4367" t="e">
        <f>VLOOKUP(Charms!J4367,Values!$A$11:$S$59,19,0)&gt;=Charms!L4367</f>
        <v>#N/A</v>
      </c>
      <c r="E4367" t="e">
        <f>OR(ISBLANK(Charms!I4367),(VLOOKUP(Values!$S$6,Castes!$B$2:$F$25,4,0)=Charms!I4367))</f>
        <v>#N/A</v>
      </c>
      <c r="J4367" t="e">
        <f t="shared" ca="1" si="341"/>
        <v>#N/A</v>
      </c>
      <c r="K4367" s="18" t="e">
        <f t="shared" ca="1" si="340"/>
        <v>#N/A</v>
      </c>
      <c r="L4367" t="e">
        <f ca="1">IF(J4367,Charms!B4367,"")</f>
        <v>#N/A</v>
      </c>
      <c r="M4367" t="str">
        <f t="shared" ca="1" si="342"/>
        <v>-</v>
      </c>
      <c r="N4367" s="18" t="str">
        <f t="shared" si="343"/>
        <v>K1622:L5000</v>
      </c>
      <c r="O4367" t="str">
        <f t="shared" si="344"/>
        <v>A1622:A4367</v>
      </c>
    </row>
    <row r="4368" spans="1:15">
      <c r="A4368" s="18">
        <f>Charms!K4368</f>
        <v>0</v>
      </c>
      <c r="B4368">
        <f>Charms!B4368</f>
        <v>0</v>
      </c>
      <c r="C4368" t="b">
        <f ca="1">OR(Values!$S$98&gt;=Charms!M4368,IFERROR(Charms!J4368=OFFSET(Values!$A$24,MATCH("S",Values!$T$25:$T$50,0),0),FALSE))</f>
        <v>1</v>
      </c>
      <c r="D4368" t="e">
        <f>VLOOKUP(Charms!J4368,Values!$A$11:$S$59,19,0)&gt;=Charms!L4368</f>
        <v>#N/A</v>
      </c>
      <c r="E4368" t="e">
        <f>OR(ISBLANK(Charms!I4368),(VLOOKUP(Values!$S$6,Castes!$B$2:$F$25,4,0)=Charms!I4368))</f>
        <v>#N/A</v>
      </c>
      <c r="J4368" t="e">
        <f t="shared" ca="1" si="341"/>
        <v>#N/A</v>
      </c>
      <c r="K4368" s="18" t="e">
        <f t="shared" ca="1" si="340"/>
        <v>#N/A</v>
      </c>
      <c r="L4368" t="e">
        <f ca="1">IF(J4368,Charms!B4368,"")</f>
        <v>#N/A</v>
      </c>
      <c r="M4368" t="str">
        <f t="shared" ca="1" si="342"/>
        <v>-</v>
      </c>
      <c r="N4368" s="18" t="str">
        <f t="shared" si="343"/>
        <v>K1622:L5000</v>
      </c>
      <c r="O4368" t="str">
        <f t="shared" si="344"/>
        <v>A1622:A4368</v>
      </c>
    </row>
    <row r="4369" spans="1:15">
      <c r="A4369" s="18">
        <f>Charms!K4369</f>
        <v>0</v>
      </c>
      <c r="B4369">
        <f>Charms!B4369</f>
        <v>0</v>
      </c>
      <c r="C4369" t="b">
        <f ca="1">OR(Values!$S$98&gt;=Charms!M4369,IFERROR(Charms!J4369=OFFSET(Values!$A$24,MATCH("S",Values!$T$25:$T$50,0),0),FALSE))</f>
        <v>1</v>
      </c>
      <c r="D4369" t="e">
        <f>VLOOKUP(Charms!J4369,Values!$A$11:$S$59,19,0)&gt;=Charms!L4369</f>
        <v>#N/A</v>
      </c>
      <c r="E4369" t="e">
        <f>OR(ISBLANK(Charms!I4369),(VLOOKUP(Values!$S$6,Castes!$B$2:$F$25,4,0)=Charms!I4369))</f>
        <v>#N/A</v>
      </c>
      <c r="J4369" t="e">
        <f t="shared" ca="1" si="341"/>
        <v>#N/A</v>
      </c>
      <c r="K4369" s="18" t="e">
        <f t="shared" ca="1" si="340"/>
        <v>#N/A</v>
      </c>
      <c r="L4369" t="e">
        <f ca="1">IF(J4369,Charms!B4369,"")</f>
        <v>#N/A</v>
      </c>
      <c r="M4369" t="str">
        <f t="shared" ca="1" si="342"/>
        <v>-</v>
      </c>
      <c r="N4369" s="18" t="str">
        <f t="shared" si="343"/>
        <v>K1622:L5000</v>
      </c>
      <c r="O4369" t="str">
        <f t="shared" si="344"/>
        <v>A1622:A4369</v>
      </c>
    </row>
    <row r="4370" spans="1:15">
      <c r="A4370" s="18">
        <f>Charms!K4370</f>
        <v>0</v>
      </c>
      <c r="B4370">
        <f>Charms!B4370</f>
        <v>0</v>
      </c>
      <c r="C4370" t="b">
        <f ca="1">OR(Values!$S$98&gt;=Charms!M4370,IFERROR(Charms!J4370=OFFSET(Values!$A$24,MATCH("S",Values!$T$25:$T$50,0),0),FALSE))</f>
        <v>1</v>
      </c>
      <c r="D4370" t="e">
        <f>VLOOKUP(Charms!J4370,Values!$A$11:$S$59,19,0)&gt;=Charms!L4370</f>
        <v>#N/A</v>
      </c>
      <c r="E4370" t="e">
        <f>OR(ISBLANK(Charms!I4370),(VLOOKUP(Values!$S$6,Castes!$B$2:$F$25,4,0)=Charms!I4370))</f>
        <v>#N/A</v>
      </c>
      <c r="J4370" t="e">
        <f t="shared" ca="1" si="341"/>
        <v>#N/A</v>
      </c>
      <c r="K4370" s="18" t="e">
        <f t="shared" ca="1" si="340"/>
        <v>#N/A</v>
      </c>
      <c r="L4370" t="e">
        <f ca="1">IF(J4370,Charms!B4370,"")</f>
        <v>#N/A</v>
      </c>
      <c r="M4370" t="str">
        <f t="shared" ca="1" si="342"/>
        <v>-</v>
      </c>
      <c r="N4370" s="18" t="str">
        <f t="shared" si="343"/>
        <v>K1622:L5000</v>
      </c>
      <c r="O4370" t="str">
        <f t="shared" si="344"/>
        <v>A1622:A4370</v>
      </c>
    </row>
    <row r="4371" spans="1:15">
      <c r="A4371" s="18">
        <f>Charms!K4371</f>
        <v>0</v>
      </c>
      <c r="B4371">
        <f>Charms!B4371</f>
        <v>0</v>
      </c>
      <c r="C4371" t="b">
        <f ca="1">OR(Values!$S$98&gt;=Charms!M4371,IFERROR(Charms!J4371=OFFSET(Values!$A$24,MATCH("S",Values!$T$25:$T$50,0),0),FALSE))</f>
        <v>1</v>
      </c>
      <c r="D4371" t="e">
        <f>VLOOKUP(Charms!J4371,Values!$A$11:$S$59,19,0)&gt;=Charms!L4371</f>
        <v>#N/A</v>
      </c>
      <c r="E4371" t="e">
        <f>OR(ISBLANK(Charms!I4371),(VLOOKUP(Values!$S$6,Castes!$B$2:$F$25,4,0)=Charms!I4371))</f>
        <v>#N/A</v>
      </c>
      <c r="J4371" t="e">
        <f t="shared" ca="1" si="341"/>
        <v>#N/A</v>
      </c>
      <c r="K4371" s="18" t="e">
        <f t="shared" ca="1" si="340"/>
        <v>#N/A</v>
      </c>
      <c r="L4371" t="e">
        <f ca="1">IF(J4371,Charms!B4371,"")</f>
        <v>#N/A</v>
      </c>
      <c r="M4371" t="str">
        <f t="shared" ca="1" si="342"/>
        <v>-</v>
      </c>
      <c r="N4371" s="18" t="str">
        <f t="shared" si="343"/>
        <v>K1622:L5000</v>
      </c>
      <c r="O4371" t="str">
        <f t="shared" si="344"/>
        <v>A1622:A4371</v>
      </c>
    </row>
    <row r="4372" spans="1:15">
      <c r="A4372" s="18">
        <f>Charms!K4372</f>
        <v>0</v>
      </c>
      <c r="B4372">
        <f>Charms!B4372</f>
        <v>0</v>
      </c>
      <c r="C4372" t="b">
        <f ca="1">OR(Values!$S$98&gt;=Charms!M4372,IFERROR(Charms!J4372=OFFSET(Values!$A$24,MATCH("S",Values!$T$25:$T$50,0),0),FALSE))</f>
        <v>1</v>
      </c>
      <c r="D4372" t="e">
        <f>VLOOKUP(Charms!J4372,Values!$A$11:$S$59,19,0)&gt;=Charms!L4372</f>
        <v>#N/A</v>
      </c>
      <c r="E4372" t="e">
        <f>OR(ISBLANK(Charms!I4372),(VLOOKUP(Values!$S$6,Castes!$B$2:$F$25,4,0)=Charms!I4372))</f>
        <v>#N/A</v>
      </c>
      <c r="J4372" t="e">
        <f t="shared" ca="1" si="341"/>
        <v>#N/A</v>
      </c>
      <c r="K4372" s="18" t="e">
        <f t="shared" ca="1" si="340"/>
        <v>#N/A</v>
      </c>
      <c r="L4372" t="e">
        <f ca="1">IF(J4372,Charms!B4372,"")</f>
        <v>#N/A</v>
      </c>
      <c r="M4372" t="str">
        <f t="shared" ca="1" si="342"/>
        <v>-</v>
      </c>
      <c r="N4372" s="18" t="str">
        <f t="shared" si="343"/>
        <v>K1622:L5000</v>
      </c>
      <c r="O4372" t="str">
        <f t="shared" si="344"/>
        <v>A1622:A4372</v>
      </c>
    </row>
    <row r="4373" spans="1:15">
      <c r="A4373" s="18">
        <f>Charms!K4373</f>
        <v>0</v>
      </c>
      <c r="B4373">
        <f>Charms!B4373</f>
        <v>0</v>
      </c>
      <c r="C4373" t="b">
        <f ca="1">OR(Values!$S$98&gt;=Charms!M4373,IFERROR(Charms!J4373=OFFSET(Values!$A$24,MATCH("S",Values!$T$25:$T$50,0),0),FALSE))</f>
        <v>1</v>
      </c>
      <c r="D4373" t="e">
        <f>VLOOKUP(Charms!J4373,Values!$A$11:$S$59,19,0)&gt;=Charms!L4373</f>
        <v>#N/A</v>
      </c>
      <c r="E4373" t="e">
        <f>OR(ISBLANK(Charms!I4373),(VLOOKUP(Values!$S$6,Castes!$B$2:$F$25,4,0)=Charms!I4373))</f>
        <v>#N/A</v>
      </c>
      <c r="J4373" t="e">
        <f t="shared" ca="1" si="341"/>
        <v>#N/A</v>
      </c>
      <c r="K4373" s="18" t="e">
        <f t="shared" ca="1" si="340"/>
        <v>#N/A</v>
      </c>
      <c r="L4373" t="e">
        <f ca="1">IF(J4373,Charms!B4373,"")</f>
        <v>#N/A</v>
      </c>
      <c r="M4373" t="str">
        <f t="shared" ca="1" si="342"/>
        <v>-</v>
      </c>
      <c r="N4373" s="18" t="str">
        <f t="shared" si="343"/>
        <v>K1622:L5000</v>
      </c>
      <c r="O4373" t="str">
        <f t="shared" si="344"/>
        <v>A1622:A4373</v>
      </c>
    </row>
    <row r="4374" spans="1:15">
      <c r="A4374" s="18">
        <f>Charms!K4374</f>
        <v>0</v>
      </c>
      <c r="B4374">
        <f>Charms!B4374</f>
        <v>0</v>
      </c>
      <c r="C4374" t="b">
        <f ca="1">OR(Values!$S$98&gt;=Charms!M4374,IFERROR(Charms!J4374=OFFSET(Values!$A$24,MATCH("S",Values!$T$25:$T$50,0),0),FALSE))</f>
        <v>1</v>
      </c>
      <c r="D4374" t="e">
        <f>VLOOKUP(Charms!J4374,Values!$A$11:$S$59,19,0)&gt;=Charms!L4374</f>
        <v>#N/A</v>
      </c>
      <c r="E4374" t="e">
        <f>OR(ISBLANK(Charms!I4374),(VLOOKUP(Values!$S$6,Castes!$B$2:$F$25,4,0)=Charms!I4374))</f>
        <v>#N/A</v>
      </c>
      <c r="J4374" t="e">
        <f t="shared" ca="1" si="341"/>
        <v>#N/A</v>
      </c>
      <c r="K4374" s="18" t="e">
        <f t="shared" ca="1" si="340"/>
        <v>#N/A</v>
      </c>
      <c r="L4374" t="e">
        <f ca="1">IF(J4374,Charms!B4374,"")</f>
        <v>#N/A</v>
      </c>
      <c r="M4374" t="str">
        <f t="shared" ca="1" si="342"/>
        <v>-</v>
      </c>
      <c r="N4374" s="18" t="str">
        <f t="shared" si="343"/>
        <v>K1622:L5000</v>
      </c>
      <c r="O4374" t="str">
        <f t="shared" si="344"/>
        <v>A1622:A4374</v>
      </c>
    </row>
    <row r="4375" spans="1:15">
      <c r="A4375" s="18">
        <f>Charms!K4375</f>
        <v>0</v>
      </c>
      <c r="B4375">
        <f>Charms!B4375</f>
        <v>0</v>
      </c>
      <c r="C4375" t="b">
        <f ca="1">OR(Values!$S$98&gt;=Charms!M4375,IFERROR(Charms!J4375=OFFSET(Values!$A$24,MATCH("S",Values!$T$25:$T$50,0),0),FALSE))</f>
        <v>1</v>
      </c>
      <c r="D4375" t="e">
        <f>VLOOKUP(Charms!J4375,Values!$A$11:$S$59,19,0)&gt;=Charms!L4375</f>
        <v>#N/A</v>
      </c>
      <c r="E4375" t="e">
        <f>OR(ISBLANK(Charms!I4375),(VLOOKUP(Values!$S$6,Castes!$B$2:$F$25,4,0)=Charms!I4375))</f>
        <v>#N/A</v>
      </c>
      <c r="J4375" t="e">
        <f t="shared" ca="1" si="341"/>
        <v>#N/A</v>
      </c>
      <c r="K4375" s="18" t="e">
        <f t="shared" ca="1" si="340"/>
        <v>#N/A</v>
      </c>
      <c r="L4375" t="e">
        <f ca="1">IF(J4375,Charms!B4375,"")</f>
        <v>#N/A</v>
      </c>
      <c r="M4375" t="str">
        <f t="shared" ca="1" si="342"/>
        <v>-</v>
      </c>
      <c r="N4375" s="18" t="str">
        <f t="shared" si="343"/>
        <v>K1622:L5000</v>
      </c>
      <c r="O4375" t="str">
        <f t="shared" si="344"/>
        <v>A1622:A4375</v>
      </c>
    </row>
    <row r="4376" spans="1:15">
      <c r="A4376" s="18">
        <f>Charms!K4376</f>
        <v>0</v>
      </c>
      <c r="B4376">
        <f>Charms!B4376</f>
        <v>0</v>
      </c>
      <c r="C4376" t="b">
        <f ca="1">OR(Values!$S$98&gt;=Charms!M4376,IFERROR(Charms!J4376=OFFSET(Values!$A$24,MATCH("S",Values!$T$25:$T$50,0),0),FALSE))</f>
        <v>1</v>
      </c>
      <c r="D4376" t="e">
        <f>VLOOKUP(Charms!J4376,Values!$A$11:$S$59,19,0)&gt;=Charms!L4376</f>
        <v>#N/A</v>
      </c>
      <c r="E4376" t="e">
        <f>OR(ISBLANK(Charms!I4376),(VLOOKUP(Values!$S$6,Castes!$B$2:$F$25,4,0)=Charms!I4376))</f>
        <v>#N/A</v>
      </c>
      <c r="J4376" t="e">
        <f t="shared" ca="1" si="341"/>
        <v>#N/A</v>
      </c>
      <c r="K4376" s="18" t="e">
        <f t="shared" ca="1" si="340"/>
        <v>#N/A</v>
      </c>
      <c r="L4376" t="e">
        <f ca="1">IF(J4376,Charms!B4376,"")</f>
        <v>#N/A</v>
      </c>
      <c r="M4376" t="str">
        <f t="shared" ca="1" si="342"/>
        <v>-</v>
      </c>
      <c r="N4376" s="18" t="str">
        <f t="shared" si="343"/>
        <v>K1622:L5000</v>
      </c>
      <c r="O4376" t="str">
        <f t="shared" si="344"/>
        <v>A1622:A4376</v>
      </c>
    </row>
    <row r="4377" spans="1:15">
      <c r="A4377" s="18">
        <f>Charms!K4377</f>
        <v>0</v>
      </c>
      <c r="B4377">
        <f>Charms!B4377</f>
        <v>0</v>
      </c>
      <c r="C4377" t="b">
        <f ca="1">OR(Values!$S$98&gt;=Charms!M4377,IFERROR(Charms!J4377=OFFSET(Values!$A$24,MATCH("S",Values!$T$25:$T$50,0),0),FALSE))</f>
        <v>1</v>
      </c>
      <c r="D4377" t="e">
        <f>VLOOKUP(Charms!J4377,Values!$A$11:$S$59,19,0)&gt;=Charms!L4377</f>
        <v>#N/A</v>
      </c>
      <c r="E4377" t="e">
        <f>OR(ISBLANK(Charms!I4377),(VLOOKUP(Values!$S$6,Castes!$B$2:$F$25,4,0)=Charms!I4377))</f>
        <v>#N/A</v>
      </c>
      <c r="J4377" t="e">
        <f t="shared" ca="1" si="341"/>
        <v>#N/A</v>
      </c>
      <c r="K4377" s="18" t="e">
        <f t="shared" ca="1" si="340"/>
        <v>#N/A</v>
      </c>
      <c r="L4377" t="e">
        <f ca="1">IF(J4377,Charms!B4377,"")</f>
        <v>#N/A</v>
      </c>
      <c r="M4377" t="str">
        <f t="shared" ca="1" si="342"/>
        <v>-</v>
      </c>
      <c r="N4377" s="18" t="str">
        <f t="shared" si="343"/>
        <v>K1622:L5000</v>
      </c>
      <c r="O4377" t="str">
        <f t="shared" si="344"/>
        <v>A1622:A4377</v>
      </c>
    </row>
    <row r="4378" spans="1:15">
      <c r="A4378" s="18">
        <f>Charms!K4378</f>
        <v>0</v>
      </c>
      <c r="B4378">
        <f>Charms!B4378</f>
        <v>0</v>
      </c>
      <c r="C4378" t="b">
        <f ca="1">OR(Values!$S$98&gt;=Charms!M4378,IFERROR(Charms!J4378=OFFSET(Values!$A$24,MATCH("S",Values!$T$25:$T$50,0),0),FALSE))</f>
        <v>1</v>
      </c>
      <c r="D4378" t="e">
        <f>VLOOKUP(Charms!J4378,Values!$A$11:$S$59,19,0)&gt;=Charms!L4378</f>
        <v>#N/A</v>
      </c>
      <c r="E4378" t="e">
        <f>OR(ISBLANK(Charms!I4378),(VLOOKUP(Values!$S$6,Castes!$B$2:$F$25,4,0)=Charms!I4378))</f>
        <v>#N/A</v>
      </c>
      <c r="J4378" t="e">
        <f t="shared" ca="1" si="341"/>
        <v>#N/A</v>
      </c>
      <c r="K4378" s="18" t="e">
        <f t="shared" ca="1" si="340"/>
        <v>#N/A</v>
      </c>
      <c r="L4378" t="e">
        <f ca="1">IF(J4378,Charms!B4378,"")</f>
        <v>#N/A</v>
      </c>
      <c r="M4378" t="str">
        <f t="shared" ca="1" si="342"/>
        <v>-</v>
      </c>
      <c r="N4378" s="18" t="str">
        <f t="shared" si="343"/>
        <v>K1622:L5000</v>
      </c>
      <c r="O4378" t="str">
        <f t="shared" si="344"/>
        <v>A1622:A4378</v>
      </c>
    </row>
    <row r="4379" spans="1:15">
      <c r="A4379" s="18">
        <f>Charms!K4379</f>
        <v>0</v>
      </c>
      <c r="B4379">
        <f>Charms!B4379</f>
        <v>0</v>
      </c>
      <c r="C4379" t="b">
        <f ca="1">OR(Values!$S$98&gt;=Charms!M4379,IFERROR(Charms!J4379=OFFSET(Values!$A$24,MATCH("S",Values!$T$25:$T$50,0),0),FALSE))</f>
        <v>1</v>
      </c>
      <c r="D4379" t="e">
        <f>VLOOKUP(Charms!J4379,Values!$A$11:$S$59,19,0)&gt;=Charms!L4379</f>
        <v>#N/A</v>
      </c>
      <c r="E4379" t="e">
        <f>OR(ISBLANK(Charms!I4379),(VLOOKUP(Values!$S$6,Castes!$B$2:$F$25,4,0)=Charms!I4379))</f>
        <v>#N/A</v>
      </c>
      <c r="J4379" t="e">
        <f t="shared" ca="1" si="341"/>
        <v>#N/A</v>
      </c>
      <c r="K4379" s="18" t="e">
        <f t="shared" ca="1" si="340"/>
        <v>#N/A</v>
      </c>
      <c r="L4379" t="e">
        <f ca="1">IF(J4379,Charms!B4379,"")</f>
        <v>#N/A</v>
      </c>
      <c r="M4379" t="str">
        <f t="shared" ca="1" si="342"/>
        <v>-</v>
      </c>
      <c r="N4379" s="18" t="str">
        <f t="shared" si="343"/>
        <v>K1622:L5000</v>
      </c>
      <c r="O4379" t="str">
        <f t="shared" si="344"/>
        <v>A1622:A4379</v>
      </c>
    </row>
    <row r="4380" spans="1:15">
      <c r="A4380" s="18">
        <f>Charms!K4380</f>
        <v>0</v>
      </c>
      <c r="B4380">
        <f>Charms!B4380</f>
        <v>0</v>
      </c>
      <c r="C4380" t="b">
        <f ca="1">OR(Values!$S$98&gt;=Charms!M4380,IFERROR(Charms!J4380=OFFSET(Values!$A$24,MATCH("S",Values!$T$25:$T$50,0),0),FALSE))</f>
        <v>1</v>
      </c>
      <c r="D4380" t="e">
        <f>VLOOKUP(Charms!J4380,Values!$A$11:$S$59,19,0)&gt;=Charms!L4380</f>
        <v>#N/A</v>
      </c>
      <c r="E4380" t="e">
        <f>OR(ISBLANK(Charms!I4380),(VLOOKUP(Values!$S$6,Castes!$B$2:$F$25,4,0)=Charms!I4380))</f>
        <v>#N/A</v>
      </c>
      <c r="J4380" t="e">
        <f t="shared" ca="1" si="341"/>
        <v>#N/A</v>
      </c>
      <c r="K4380" s="18" t="e">
        <f t="shared" ca="1" si="340"/>
        <v>#N/A</v>
      </c>
      <c r="L4380" t="e">
        <f ca="1">IF(J4380,Charms!B4380,"")</f>
        <v>#N/A</v>
      </c>
      <c r="M4380" t="str">
        <f t="shared" ca="1" si="342"/>
        <v>-</v>
      </c>
      <c r="N4380" s="18" t="str">
        <f t="shared" si="343"/>
        <v>K1622:L5000</v>
      </c>
      <c r="O4380" t="str">
        <f t="shared" si="344"/>
        <v>A1622:A4380</v>
      </c>
    </row>
    <row r="4381" spans="1:15">
      <c r="A4381" s="18">
        <f>Charms!K4381</f>
        <v>0</v>
      </c>
      <c r="B4381">
        <f>Charms!B4381</f>
        <v>0</v>
      </c>
      <c r="C4381" t="b">
        <f ca="1">OR(Values!$S$98&gt;=Charms!M4381,IFERROR(Charms!J4381=OFFSET(Values!$A$24,MATCH("S",Values!$T$25:$T$50,0),0),FALSE))</f>
        <v>1</v>
      </c>
      <c r="D4381" t="e">
        <f>VLOOKUP(Charms!J4381,Values!$A$11:$S$59,19,0)&gt;=Charms!L4381</f>
        <v>#N/A</v>
      </c>
      <c r="E4381" t="e">
        <f>OR(ISBLANK(Charms!I4381),(VLOOKUP(Values!$S$6,Castes!$B$2:$F$25,4,0)=Charms!I4381))</f>
        <v>#N/A</v>
      </c>
      <c r="J4381" t="e">
        <f t="shared" ca="1" si="341"/>
        <v>#N/A</v>
      </c>
      <c r="K4381" s="18" t="e">
        <f t="shared" ca="1" si="340"/>
        <v>#N/A</v>
      </c>
      <c r="L4381" t="e">
        <f ca="1">IF(J4381,Charms!B4381,"")</f>
        <v>#N/A</v>
      </c>
      <c r="M4381" t="str">
        <f t="shared" ca="1" si="342"/>
        <v>-</v>
      </c>
      <c r="N4381" s="18" t="str">
        <f t="shared" si="343"/>
        <v>K1622:L5000</v>
      </c>
      <c r="O4381" t="str">
        <f t="shared" si="344"/>
        <v>A1622:A4381</v>
      </c>
    </row>
    <row r="4382" spans="1:15">
      <c r="A4382" s="18">
        <f>Charms!K4382</f>
        <v>0</v>
      </c>
      <c r="B4382">
        <f>Charms!B4382</f>
        <v>0</v>
      </c>
      <c r="C4382" t="b">
        <f ca="1">OR(Values!$S$98&gt;=Charms!M4382,IFERROR(Charms!J4382=OFFSET(Values!$A$24,MATCH("S",Values!$T$25:$T$50,0),0),FALSE))</f>
        <v>1</v>
      </c>
      <c r="D4382" t="e">
        <f>VLOOKUP(Charms!J4382,Values!$A$11:$S$59,19,0)&gt;=Charms!L4382</f>
        <v>#N/A</v>
      </c>
      <c r="E4382" t="e">
        <f>OR(ISBLANK(Charms!I4382),(VLOOKUP(Values!$S$6,Castes!$B$2:$F$25,4,0)=Charms!I4382))</f>
        <v>#N/A</v>
      </c>
      <c r="J4382" t="e">
        <f t="shared" ca="1" si="341"/>
        <v>#N/A</v>
      </c>
      <c r="K4382" s="18" t="e">
        <f t="shared" ca="1" si="340"/>
        <v>#N/A</v>
      </c>
      <c r="L4382" t="e">
        <f ca="1">IF(J4382,Charms!B4382,"")</f>
        <v>#N/A</v>
      </c>
      <c r="M4382" t="str">
        <f t="shared" ca="1" si="342"/>
        <v>-</v>
      </c>
      <c r="N4382" s="18" t="str">
        <f t="shared" si="343"/>
        <v>K1622:L5000</v>
      </c>
      <c r="O4382" t="str">
        <f t="shared" si="344"/>
        <v>A1622:A4382</v>
      </c>
    </row>
    <row r="4383" spans="1:15">
      <c r="A4383" s="18">
        <f>Charms!K4383</f>
        <v>0</v>
      </c>
      <c r="B4383">
        <f>Charms!B4383</f>
        <v>0</v>
      </c>
      <c r="C4383" t="b">
        <f ca="1">OR(Values!$S$98&gt;=Charms!M4383,IFERROR(Charms!J4383=OFFSET(Values!$A$24,MATCH("S",Values!$T$25:$T$50,0),0),FALSE))</f>
        <v>1</v>
      </c>
      <c r="D4383" t="e">
        <f>VLOOKUP(Charms!J4383,Values!$A$11:$S$59,19,0)&gt;=Charms!L4383</f>
        <v>#N/A</v>
      </c>
      <c r="E4383" t="e">
        <f>OR(ISBLANK(Charms!I4383),(VLOOKUP(Values!$S$6,Castes!$B$2:$F$25,4,0)=Charms!I4383))</f>
        <v>#N/A</v>
      </c>
      <c r="J4383" t="e">
        <f t="shared" ca="1" si="341"/>
        <v>#N/A</v>
      </c>
      <c r="K4383" s="18" t="e">
        <f t="shared" ca="1" si="340"/>
        <v>#N/A</v>
      </c>
      <c r="L4383" t="e">
        <f ca="1">IF(J4383,Charms!B4383,"")</f>
        <v>#N/A</v>
      </c>
      <c r="M4383" t="str">
        <f t="shared" ca="1" si="342"/>
        <v>-</v>
      </c>
      <c r="N4383" s="18" t="str">
        <f t="shared" si="343"/>
        <v>K1622:L5000</v>
      </c>
      <c r="O4383" t="str">
        <f t="shared" si="344"/>
        <v>A1622:A4383</v>
      </c>
    </row>
    <row r="4384" spans="1:15">
      <c r="A4384" s="18">
        <f>Charms!K4384</f>
        <v>0</v>
      </c>
      <c r="B4384">
        <f>Charms!B4384</f>
        <v>0</v>
      </c>
      <c r="C4384" t="b">
        <f ca="1">OR(Values!$S$98&gt;=Charms!M4384,IFERROR(Charms!J4384=OFFSET(Values!$A$24,MATCH("S",Values!$T$25:$T$50,0),0),FALSE))</f>
        <v>1</v>
      </c>
      <c r="D4384" t="e">
        <f>VLOOKUP(Charms!J4384,Values!$A$11:$S$59,19,0)&gt;=Charms!L4384</f>
        <v>#N/A</v>
      </c>
      <c r="E4384" t="e">
        <f>OR(ISBLANK(Charms!I4384),(VLOOKUP(Values!$S$6,Castes!$B$2:$F$25,4,0)=Charms!I4384))</f>
        <v>#N/A</v>
      </c>
      <c r="J4384" t="e">
        <f t="shared" ca="1" si="341"/>
        <v>#N/A</v>
      </c>
      <c r="K4384" s="18" t="e">
        <f t="shared" ca="1" si="340"/>
        <v>#N/A</v>
      </c>
      <c r="L4384" t="e">
        <f ca="1">IF(J4384,Charms!B4384,"")</f>
        <v>#N/A</v>
      </c>
      <c r="M4384" t="str">
        <f t="shared" ca="1" si="342"/>
        <v>-</v>
      </c>
      <c r="N4384" s="18" t="str">
        <f t="shared" si="343"/>
        <v>K1622:L5000</v>
      </c>
      <c r="O4384" t="str">
        <f t="shared" si="344"/>
        <v>A1622:A4384</v>
      </c>
    </row>
    <row r="4385" spans="1:15">
      <c r="A4385" s="18">
        <f>Charms!K4385</f>
        <v>0</v>
      </c>
      <c r="B4385">
        <f>Charms!B4385</f>
        <v>0</v>
      </c>
      <c r="C4385" t="b">
        <f ca="1">OR(Values!$S$98&gt;=Charms!M4385,IFERROR(Charms!J4385=OFFSET(Values!$A$24,MATCH("S",Values!$T$25:$T$50,0),0),FALSE))</f>
        <v>1</v>
      </c>
      <c r="D4385" t="e">
        <f>VLOOKUP(Charms!J4385,Values!$A$11:$S$59,19,0)&gt;=Charms!L4385</f>
        <v>#N/A</v>
      </c>
      <c r="E4385" t="e">
        <f>OR(ISBLANK(Charms!I4385),(VLOOKUP(Values!$S$6,Castes!$B$2:$F$25,4,0)=Charms!I4385))</f>
        <v>#N/A</v>
      </c>
      <c r="J4385" t="e">
        <f t="shared" ca="1" si="341"/>
        <v>#N/A</v>
      </c>
      <c r="K4385" s="18" t="e">
        <f t="shared" ca="1" si="340"/>
        <v>#N/A</v>
      </c>
      <c r="L4385" t="e">
        <f ca="1">IF(J4385,Charms!B4385,"")</f>
        <v>#N/A</v>
      </c>
      <c r="M4385" t="str">
        <f t="shared" ca="1" si="342"/>
        <v>-</v>
      </c>
      <c r="N4385" s="18" t="str">
        <f t="shared" si="343"/>
        <v>K1622:L5000</v>
      </c>
      <c r="O4385" t="str">
        <f t="shared" si="344"/>
        <v>A1622:A4385</v>
      </c>
    </row>
    <row r="4386" spans="1:15">
      <c r="A4386" s="18">
        <f>Charms!K4386</f>
        <v>0</v>
      </c>
      <c r="B4386">
        <f>Charms!B4386</f>
        <v>0</v>
      </c>
      <c r="C4386" t="b">
        <f ca="1">OR(Values!$S$98&gt;=Charms!M4386,IFERROR(Charms!J4386=OFFSET(Values!$A$24,MATCH("S",Values!$T$25:$T$50,0),0),FALSE))</f>
        <v>1</v>
      </c>
      <c r="D4386" t="e">
        <f>VLOOKUP(Charms!J4386,Values!$A$11:$S$59,19,0)&gt;=Charms!L4386</f>
        <v>#N/A</v>
      </c>
      <c r="E4386" t="e">
        <f>OR(ISBLANK(Charms!I4386),(VLOOKUP(Values!$S$6,Castes!$B$2:$F$25,4,0)=Charms!I4386))</f>
        <v>#N/A</v>
      </c>
      <c r="J4386" t="e">
        <f t="shared" ca="1" si="341"/>
        <v>#N/A</v>
      </c>
      <c r="K4386" s="18" t="e">
        <f t="shared" ca="1" si="340"/>
        <v>#N/A</v>
      </c>
      <c r="L4386" t="e">
        <f ca="1">IF(J4386,Charms!B4386,"")</f>
        <v>#N/A</v>
      </c>
      <c r="M4386" t="str">
        <f t="shared" ca="1" si="342"/>
        <v>-</v>
      </c>
      <c r="N4386" s="18" t="str">
        <f t="shared" si="343"/>
        <v>K1622:L5000</v>
      </c>
      <c r="O4386" t="str">
        <f t="shared" si="344"/>
        <v>A1622:A4386</v>
      </c>
    </row>
    <row r="4387" spans="1:15">
      <c r="A4387" s="18">
        <f>Charms!K4387</f>
        <v>0</v>
      </c>
      <c r="B4387">
        <f>Charms!B4387</f>
        <v>0</v>
      </c>
      <c r="C4387" t="b">
        <f ca="1">OR(Values!$S$98&gt;=Charms!M4387,IFERROR(Charms!J4387=OFFSET(Values!$A$24,MATCH("S",Values!$T$25:$T$50,0),0),FALSE))</f>
        <v>1</v>
      </c>
      <c r="D4387" t="e">
        <f>VLOOKUP(Charms!J4387,Values!$A$11:$S$59,19,0)&gt;=Charms!L4387</f>
        <v>#N/A</v>
      </c>
      <c r="E4387" t="e">
        <f>OR(ISBLANK(Charms!I4387),(VLOOKUP(Values!$S$6,Castes!$B$2:$F$25,4,0)=Charms!I4387))</f>
        <v>#N/A</v>
      </c>
      <c r="J4387" t="e">
        <f t="shared" ca="1" si="341"/>
        <v>#N/A</v>
      </c>
      <c r="K4387" s="18" t="e">
        <f t="shared" ca="1" si="340"/>
        <v>#N/A</v>
      </c>
      <c r="L4387" t="e">
        <f ca="1">IF(J4387,Charms!B4387,"")</f>
        <v>#N/A</v>
      </c>
      <c r="M4387" t="str">
        <f t="shared" ca="1" si="342"/>
        <v>-</v>
      </c>
      <c r="N4387" s="18" t="str">
        <f t="shared" si="343"/>
        <v>K1622:L5000</v>
      </c>
      <c r="O4387" t="str">
        <f t="shared" si="344"/>
        <v>A1622:A4387</v>
      </c>
    </row>
    <row r="4388" spans="1:15">
      <c r="A4388" s="18">
        <f>Charms!K4388</f>
        <v>0</v>
      </c>
      <c r="B4388">
        <f>Charms!B4388</f>
        <v>0</v>
      </c>
      <c r="C4388" t="b">
        <f ca="1">OR(Values!$S$98&gt;=Charms!M4388,IFERROR(Charms!J4388=OFFSET(Values!$A$24,MATCH("S",Values!$T$25:$T$50,0),0),FALSE))</f>
        <v>1</v>
      </c>
      <c r="D4388" t="e">
        <f>VLOOKUP(Charms!J4388,Values!$A$11:$S$59,19,0)&gt;=Charms!L4388</f>
        <v>#N/A</v>
      </c>
      <c r="E4388" t="e">
        <f>OR(ISBLANK(Charms!I4388),(VLOOKUP(Values!$S$6,Castes!$B$2:$F$25,4,0)=Charms!I4388))</f>
        <v>#N/A</v>
      </c>
      <c r="J4388" t="e">
        <f t="shared" ca="1" si="341"/>
        <v>#N/A</v>
      </c>
      <c r="K4388" s="18" t="e">
        <f t="shared" ca="1" si="340"/>
        <v>#N/A</v>
      </c>
      <c r="L4388" t="e">
        <f ca="1">IF(J4388,Charms!B4388,"")</f>
        <v>#N/A</v>
      </c>
      <c r="M4388" t="str">
        <f t="shared" ca="1" si="342"/>
        <v>-</v>
      </c>
      <c r="N4388" s="18" t="str">
        <f t="shared" si="343"/>
        <v>K1622:L5000</v>
      </c>
      <c r="O4388" t="str">
        <f t="shared" si="344"/>
        <v>A1622:A4388</v>
      </c>
    </row>
    <row r="4389" spans="1:15">
      <c r="A4389" s="18">
        <f>Charms!K4389</f>
        <v>0</v>
      </c>
      <c r="B4389">
        <f>Charms!B4389</f>
        <v>0</v>
      </c>
      <c r="C4389" t="b">
        <f ca="1">OR(Values!$S$98&gt;=Charms!M4389,IFERROR(Charms!J4389=OFFSET(Values!$A$24,MATCH("S",Values!$T$25:$T$50,0),0),FALSE))</f>
        <v>1</v>
      </c>
      <c r="D4389" t="e">
        <f>VLOOKUP(Charms!J4389,Values!$A$11:$S$59,19,0)&gt;=Charms!L4389</f>
        <v>#N/A</v>
      </c>
      <c r="E4389" t="e">
        <f>OR(ISBLANK(Charms!I4389),(VLOOKUP(Values!$S$6,Castes!$B$2:$F$25,4,0)=Charms!I4389))</f>
        <v>#N/A</v>
      </c>
      <c r="J4389" t="e">
        <f t="shared" ca="1" si="341"/>
        <v>#N/A</v>
      </c>
      <c r="K4389" s="18" t="e">
        <f t="shared" ca="1" si="340"/>
        <v>#N/A</v>
      </c>
      <c r="L4389" t="e">
        <f ca="1">IF(J4389,Charms!B4389,"")</f>
        <v>#N/A</v>
      </c>
      <c r="M4389" t="str">
        <f t="shared" ca="1" si="342"/>
        <v>-</v>
      </c>
      <c r="N4389" s="18" t="str">
        <f t="shared" si="343"/>
        <v>K1622:L5000</v>
      </c>
      <c r="O4389" t="str">
        <f t="shared" si="344"/>
        <v>A1622:A4389</v>
      </c>
    </row>
    <row r="4390" spans="1:15">
      <c r="A4390" s="18">
        <f>Charms!K4390</f>
        <v>0</v>
      </c>
      <c r="B4390">
        <f>Charms!B4390</f>
        <v>0</v>
      </c>
      <c r="C4390" t="b">
        <f ca="1">OR(Values!$S$98&gt;=Charms!M4390,IFERROR(Charms!J4390=OFFSET(Values!$A$24,MATCH("S",Values!$T$25:$T$50,0),0),FALSE))</f>
        <v>1</v>
      </c>
      <c r="D4390" t="e">
        <f>VLOOKUP(Charms!J4390,Values!$A$11:$S$59,19,0)&gt;=Charms!L4390</f>
        <v>#N/A</v>
      </c>
      <c r="E4390" t="e">
        <f>OR(ISBLANK(Charms!I4390),(VLOOKUP(Values!$S$6,Castes!$B$2:$F$25,4,0)=Charms!I4390))</f>
        <v>#N/A</v>
      </c>
      <c r="J4390" t="e">
        <f t="shared" ca="1" si="341"/>
        <v>#N/A</v>
      </c>
      <c r="K4390" s="18" t="e">
        <f t="shared" ca="1" si="340"/>
        <v>#N/A</v>
      </c>
      <c r="L4390" t="e">
        <f ca="1">IF(J4390,Charms!B4390,"")</f>
        <v>#N/A</v>
      </c>
      <c r="M4390" t="str">
        <f t="shared" ca="1" si="342"/>
        <v>-</v>
      </c>
      <c r="N4390" s="18" t="str">
        <f t="shared" si="343"/>
        <v>K1622:L5000</v>
      </c>
      <c r="O4390" t="str">
        <f t="shared" si="344"/>
        <v>A1622:A4390</v>
      </c>
    </row>
    <row r="4391" spans="1:15">
      <c r="A4391" s="18">
        <f>Charms!K4391</f>
        <v>0</v>
      </c>
      <c r="B4391">
        <f>Charms!B4391</f>
        <v>0</v>
      </c>
      <c r="C4391" t="b">
        <f ca="1">OR(Values!$S$98&gt;=Charms!M4391,IFERROR(Charms!J4391=OFFSET(Values!$A$24,MATCH("S",Values!$T$25:$T$50,0),0),FALSE))</f>
        <v>1</v>
      </c>
      <c r="D4391" t="e">
        <f>VLOOKUP(Charms!J4391,Values!$A$11:$S$59,19,0)&gt;=Charms!L4391</f>
        <v>#N/A</v>
      </c>
      <c r="E4391" t="e">
        <f>OR(ISBLANK(Charms!I4391),(VLOOKUP(Values!$S$6,Castes!$B$2:$F$25,4,0)=Charms!I4391))</f>
        <v>#N/A</v>
      </c>
      <c r="J4391" t="e">
        <f t="shared" ca="1" si="341"/>
        <v>#N/A</v>
      </c>
      <c r="K4391" s="18" t="e">
        <f t="shared" ca="1" si="340"/>
        <v>#N/A</v>
      </c>
      <c r="L4391" t="e">
        <f ca="1">IF(J4391,Charms!B4391,"")</f>
        <v>#N/A</v>
      </c>
      <c r="M4391" t="str">
        <f t="shared" ca="1" si="342"/>
        <v>-</v>
      </c>
      <c r="N4391" s="18" t="str">
        <f t="shared" si="343"/>
        <v>K1622:L5000</v>
      </c>
      <c r="O4391" t="str">
        <f t="shared" si="344"/>
        <v>A1622:A4391</v>
      </c>
    </row>
    <row r="4392" spans="1:15">
      <c r="A4392" s="18">
        <f>Charms!K4392</f>
        <v>0</v>
      </c>
      <c r="B4392">
        <f>Charms!B4392</f>
        <v>0</v>
      </c>
      <c r="C4392" t="b">
        <f ca="1">OR(Values!$S$98&gt;=Charms!M4392,IFERROR(Charms!J4392=OFFSET(Values!$A$24,MATCH("S",Values!$T$25:$T$50,0),0),FALSE))</f>
        <v>1</v>
      </c>
      <c r="D4392" t="e">
        <f>VLOOKUP(Charms!J4392,Values!$A$11:$S$59,19,0)&gt;=Charms!L4392</f>
        <v>#N/A</v>
      </c>
      <c r="E4392" t="e">
        <f>OR(ISBLANK(Charms!I4392),(VLOOKUP(Values!$S$6,Castes!$B$2:$F$25,4,0)=Charms!I4392))</f>
        <v>#N/A</v>
      </c>
      <c r="J4392" t="e">
        <f t="shared" ca="1" si="341"/>
        <v>#N/A</v>
      </c>
      <c r="K4392" s="18" t="e">
        <f t="shared" ca="1" si="340"/>
        <v>#N/A</v>
      </c>
      <c r="L4392" t="e">
        <f ca="1">IF(J4392,Charms!B4392,"")</f>
        <v>#N/A</v>
      </c>
      <c r="M4392" t="str">
        <f t="shared" ca="1" si="342"/>
        <v>-</v>
      </c>
      <c r="N4392" s="18" t="str">
        <f t="shared" si="343"/>
        <v>K1622:L5000</v>
      </c>
      <c r="O4392" t="str">
        <f t="shared" si="344"/>
        <v>A1622:A4392</v>
      </c>
    </row>
    <row r="4393" spans="1:15">
      <c r="A4393" s="18">
        <f>Charms!K4393</f>
        <v>0</v>
      </c>
      <c r="B4393">
        <f>Charms!B4393</f>
        <v>0</v>
      </c>
      <c r="C4393" t="b">
        <f ca="1">OR(Values!$S$98&gt;=Charms!M4393,IFERROR(Charms!J4393=OFFSET(Values!$A$24,MATCH("S",Values!$T$25:$T$50,0),0),FALSE))</f>
        <v>1</v>
      </c>
      <c r="D4393" t="e">
        <f>VLOOKUP(Charms!J4393,Values!$A$11:$S$59,19,0)&gt;=Charms!L4393</f>
        <v>#N/A</v>
      </c>
      <c r="E4393" t="e">
        <f>OR(ISBLANK(Charms!I4393),(VLOOKUP(Values!$S$6,Castes!$B$2:$F$25,4,0)=Charms!I4393))</f>
        <v>#N/A</v>
      </c>
      <c r="J4393" t="e">
        <f t="shared" ca="1" si="341"/>
        <v>#N/A</v>
      </c>
      <c r="K4393" s="18" t="e">
        <f t="shared" ca="1" si="340"/>
        <v>#N/A</v>
      </c>
      <c r="L4393" t="e">
        <f ca="1">IF(J4393,Charms!B4393,"")</f>
        <v>#N/A</v>
      </c>
      <c r="M4393" t="str">
        <f t="shared" ca="1" si="342"/>
        <v>-</v>
      </c>
      <c r="N4393" s="18" t="str">
        <f t="shared" si="343"/>
        <v>K1622:L5000</v>
      </c>
      <c r="O4393" t="str">
        <f t="shared" si="344"/>
        <v>A1622:A4393</v>
      </c>
    </row>
    <row r="4394" spans="1:15">
      <c r="A4394" s="18">
        <f>Charms!K4394</f>
        <v>0</v>
      </c>
      <c r="B4394">
        <f>Charms!B4394</f>
        <v>0</v>
      </c>
      <c r="C4394" t="b">
        <f ca="1">OR(Values!$S$98&gt;=Charms!M4394,IFERROR(Charms!J4394=OFFSET(Values!$A$24,MATCH("S",Values!$T$25:$T$50,0),0),FALSE))</f>
        <v>1</v>
      </c>
      <c r="D4394" t="e">
        <f>VLOOKUP(Charms!J4394,Values!$A$11:$S$59,19,0)&gt;=Charms!L4394</f>
        <v>#N/A</v>
      </c>
      <c r="E4394" t="e">
        <f>OR(ISBLANK(Charms!I4394),(VLOOKUP(Values!$S$6,Castes!$B$2:$F$25,4,0)=Charms!I4394))</f>
        <v>#N/A</v>
      </c>
      <c r="J4394" t="e">
        <f t="shared" ca="1" si="341"/>
        <v>#N/A</v>
      </c>
      <c r="K4394" s="18" t="e">
        <f t="shared" ca="1" si="340"/>
        <v>#N/A</v>
      </c>
      <c r="L4394" t="e">
        <f ca="1">IF(J4394,Charms!B4394,"")</f>
        <v>#N/A</v>
      </c>
      <c r="M4394" t="str">
        <f t="shared" ca="1" si="342"/>
        <v>-</v>
      </c>
      <c r="N4394" s="18" t="str">
        <f t="shared" si="343"/>
        <v>K1622:L5000</v>
      </c>
      <c r="O4394" t="str">
        <f t="shared" si="344"/>
        <v>A1622:A4394</v>
      </c>
    </row>
    <row r="4395" spans="1:15">
      <c r="A4395" s="18">
        <f>Charms!K4395</f>
        <v>0</v>
      </c>
      <c r="B4395">
        <f>Charms!B4395</f>
        <v>0</v>
      </c>
      <c r="C4395" t="b">
        <f ca="1">OR(Values!$S$98&gt;=Charms!M4395,IFERROR(Charms!J4395=OFFSET(Values!$A$24,MATCH("S",Values!$T$25:$T$50,0),0),FALSE))</f>
        <v>1</v>
      </c>
      <c r="D4395" t="e">
        <f>VLOOKUP(Charms!J4395,Values!$A$11:$S$59,19,0)&gt;=Charms!L4395</f>
        <v>#N/A</v>
      </c>
      <c r="E4395" t="e">
        <f>OR(ISBLANK(Charms!I4395),(VLOOKUP(Values!$S$6,Castes!$B$2:$F$25,4,0)=Charms!I4395))</f>
        <v>#N/A</v>
      </c>
      <c r="J4395" t="e">
        <f t="shared" ca="1" si="341"/>
        <v>#N/A</v>
      </c>
      <c r="K4395" s="18" t="e">
        <f t="shared" ca="1" si="340"/>
        <v>#N/A</v>
      </c>
      <c r="L4395" t="e">
        <f ca="1">IF(J4395,Charms!B4395,"")</f>
        <v>#N/A</v>
      </c>
      <c r="M4395" t="str">
        <f t="shared" ca="1" si="342"/>
        <v>-</v>
      </c>
      <c r="N4395" s="18" t="str">
        <f t="shared" si="343"/>
        <v>K1622:L5000</v>
      </c>
      <c r="O4395" t="str">
        <f t="shared" si="344"/>
        <v>A1622:A4395</v>
      </c>
    </row>
    <row r="4396" spans="1:15">
      <c r="A4396" s="18">
        <f>Charms!K4396</f>
        <v>0</v>
      </c>
      <c r="B4396">
        <f>Charms!B4396</f>
        <v>0</v>
      </c>
      <c r="C4396" t="b">
        <f ca="1">OR(Values!$S$98&gt;=Charms!M4396,IFERROR(Charms!J4396=OFFSET(Values!$A$24,MATCH("S",Values!$T$25:$T$50,0),0),FALSE))</f>
        <v>1</v>
      </c>
      <c r="D4396" t="e">
        <f>VLOOKUP(Charms!J4396,Values!$A$11:$S$59,19,0)&gt;=Charms!L4396</f>
        <v>#N/A</v>
      </c>
      <c r="E4396" t="e">
        <f>OR(ISBLANK(Charms!I4396),(VLOOKUP(Values!$S$6,Castes!$B$2:$F$25,4,0)=Charms!I4396))</f>
        <v>#N/A</v>
      </c>
      <c r="J4396" t="e">
        <f t="shared" ca="1" si="341"/>
        <v>#N/A</v>
      </c>
      <c r="K4396" s="18" t="e">
        <f t="shared" ca="1" si="340"/>
        <v>#N/A</v>
      </c>
      <c r="L4396" t="e">
        <f ca="1">IF(J4396,Charms!B4396,"")</f>
        <v>#N/A</v>
      </c>
      <c r="M4396" t="str">
        <f t="shared" ca="1" si="342"/>
        <v>-</v>
      </c>
      <c r="N4396" s="18" t="str">
        <f t="shared" si="343"/>
        <v>K1622:L5000</v>
      </c>
      <c r="O4396" t="str">
        <f t="shared" si="344"/>
        <v>A1622:A4396</v>
      </c>
    </row>
    <row r="4397" spans="1:15">
      <c r="A4397" s="18">
        <f>Charms!K4397</f>
        <v>0</v>
      </c>
      <c r="B4397">
        <f>Charms!B4397</f>
        <v>0</v>
      </c>
      <c r="C4397" t="b">
        <f ca="1">OR(Values!$S$98&gt;=Charms!M4397,IFERROR(Charms!J4397=OFFSET(Values!$A$24,MATCH("S",Values!$T$25:$T$50,0),0),FALSE))</f>
        <v>1</v>
      </c>
      <c r="D4397" t="e">
        <f>VLOOKUP(Charms!J4397,Values!$A$11:$S$59,19,0)&gt;=Charms!L4397</f>
        <v>#N/A</v>
      </c>
      <c r="E4397" t="e">
        <f>OR(ISBLANK(Charms!I4397),(VLOOKUP(Values!$S$6,Castes!$B$2:$F$25,4,0)=Charms!I4397))</f>
        <v>#N/A</v>
      </c>
      <c r="J4397" t="e">
        <f t="shared" ca="1" si="341"/>
        <v>#N/A</v>
      </c>
      <c r="K4397" s="18" t="e">
        <f t="shared" ca="1" si="340"/>
        <v>#N/A</v>
      </c>
      <c r="L4397" t="e">
        <f ca="1">IF(J4397,Charms!B4397,"")</f>
        <v>#N/A</v>
      </c>
      <c r="M4397" t="str">
        <f t="shared" ca="1" si="342"/>
        <v>-</v>
      </c>
      <c r="N4397" s="18" t="str">
        <f t="shared" si="343"/>
        <v>K1622:L5000</v>
      </c>
      <c r="O4397" t="str">
        <f t="shared" si="344"/>
        <v>A1622:A4397</v>
      </c>
    </row>
    <row r="4398" spans="1:15">
      <c r="A4398" s="18">
        <f>Charms!K4398</f>
        <v>0</v>
      </c>
      <c r="B4398">
        <f>Charms!B4398</f>
        <v>0</v>
      </c>
      <c r="C4398" t="b">
        <f ca="1">OR(Values!$S$98&gt;=Charms!M4398,IFERROR(Charms!J4398=OFFSET(Values!$A$24,MATCH("S",Values!$T$25:$T$50,0),0),FALSE))</f>
        <v>1</v>
      </c>
      <c r="D4398" t="e">
        <f>VLOOKUP(Charms!J4398,Values!$A$11:$S$59,19,0)&gt;=Charms!L4398</f>
        <v>#N/A</v>
      </c>
      <c r="E4398" t="e">
        <f>OR(ISBLANK(Charms!I4398),(VLOOKUP(Values!$S$6,Castes!$B$2:$F$25,4,0)=Charms!I4398))</f>
        <v>#N/A</v>
      </c>
      <c r="J4398" t="e">
        <f t="shared" ca="1" si="341"/>
        <v>#N/A</v>
      </c>
      <c r="K4398" s="18" t="e">
        <f t="shared" ca="1" si="340"/>
        <v>#N/A</v>
      </c>
      <c r="L4398" t="e">
        <f ca="1">IF(J4398,Charms!B4398,"")</f>
        <v>#N/A</v>
      </c>
      <c r="M4398" t="str">
        <f t="shared" ca="1" si="342"/>
        <v>-</v>
      </c>
      <c r="N4398" s="18" t="str">
        <f t="shared" si="343"/>
        <v>K1622:L5000</v>
      </c>
      <c r="O4398" t="str">
        <f t="shared" si="344"/>
        <v>A1622:A4398</v>
      </c>
    </row>
    <row r="4399" spans="1:15">
      <c r="A4399" s="18">
        <f>Charms!K4399</f>
        <v>0</v>
      </c>
      <c r="B4399">
        <f>Charms!B4399</f>
        <v>0</v>
      </c>
      <c r="C4399" t="b">
        <f ca="1">OR(Values!$S$98&gt;=Charms!M4399,IFERROR(Charms!J4399=OFFSET(Values!$A$24,MATCH("S",Values!$T$25:$T$50,0),0),FALSE))</f>
        <v>1</v>
      </c>
      <c r="D4399" t="e">
        <f>VLOOKUP(Charms!J4399,Values!$A$11:$S$59,19,0)&gt;=Charms!L4399</f>
        <v>#N/A</v>
      </c>
      <c r="E4399" t="e">
        <f>OR(ISBLANK(Charms!I4399),(VLOOKUP(Values!$S$6,Castes!$B$2:$F$25,4,0)=Charms!I4399))</f>
        <v>#N/A</v>
      </c>
      <c r="J4399" t="e">
        <f t="shared" ca="1" si="341"/>
        <v>#N/A</v>
      </c>
      <c r="K4399" s="18" t="e">
        <f t="shared" ca="1" si="340"/>
        <v>#N/A</v>
      </c>
      <c r="L4399" t="e">
        <f ca="1">IF(J4399,Charms!B4399,"")</f>
        <v>#N/A</v>
      </c>
      <c r="M4399" t="str">
        <f t="shared" ca="1" si="342"/>
        <v>-</v>
      </c>
      <c r="N4399" s="18" t="str">
        <f t="shared" si="343"/>
        <v>K1622:L5000</v>
      </c>
      <c r="O4399" t="str">
        <f t="shared" si="344"/>
        <v>A1622:A4399</v>
      </c>
    </row>
    <row r="4400" spans="1:15">
      <c r="A4400" s="18">
        <f>Charms!K4400</f>
        <v>0</v>
      </c>
      <c r="B4400">
        <f>Charms!B4400</f>
        <v>0</v>
      </c>
      <c r="C4400" t="b">
        <f ca="1">OR(Values!$S$98&gt;=Charms!M4400,IFERROR(Charms!J4400=OFFSET(Values!$A$24,MATCH("S",Values!$T$25:$T$50,0),0),FALSE))</f>
        <v>1</v>
      </c>
      <c r="D4400" t="e">
        <f>VLOOKUP(Charms!J4400,Values!$A$11:$S$59,19,0)&gt;=Charms!L4400</f>
        <v>#N/A</v>
      </c>
      <c r="E4400" t="e">
        <f>OR(ISBLANK(Charms!I4400),(VLOOKUP(Values!$S$6,Castes!$B$2:$F$25,4,0)=Charms!I4400))</f>
        <v>#N/A</v>
      </c>
      <c r="J4400" t="e">
        <f t="shared" ca="1" si="341"/>
        <v>#N/A</v>
      </c>
      <c r="K4400" s="18" t="e">
        <f t="shared" ca="1" si="340"/>
        <v>#N/A</v>
      </c>
      <c r="L4400" t="e">
        <f ca="1">IF(J4400,Charms!B4400,"")</f>
        <v>#N/A</v>
      </c>
      <c r="M4400" t="str">
        <f t="shared" ca="1" si="342"/>
        <v>-</v>
      </c>
      <c r="N4400" s="18" t="str">
        <f t="shared" si="343"/>
        <v>K1622:L5000</v>
      </c>
      <c r="O4400" t="str">
        <f t="shared" si="344"/>
        <v>A1622:A4400</v>
      </c>
    </row>
    <row r="4401" spans="1:15">
      <c r="A4401" s="18">
        <f>Charms!K4401</f>
        <v>0</v>
      </c>
      <c r="B4401">
        <f>Charms!B4401</f>
        <v>0</v>
      </c>
      <c r="C4401" t="b">
        <f ca="1">OR(Values!$S$98&gt;=Charms!M4401,IFERROR(Charms!J4401=OFFSET(Values!$A$24,MATCH("S",Values!$T$25:$T$50,0),0),FALSE))</f>
        <v>1</v>
      </c>
      <c r="D4401" t="e">
        <f>VLOOKUP(Charms!J4401,Values!$A$11:$S$59,19,0)&gt;=Charms!L4401</f>
        <v>#N/A</v>
      </c>
      <c r="E4401" t="e">
        <f>OR(ISBLANK(Charms!I4401),(VLOOKUP(Values!$S$6,Castes!$B$2:$F$25,4,0)=Charms!I4401))</f>
        <v>#N/A</v>
      </c>
      <c r="J4401" t="e">
        <f t="shared" ca="1" si="341"/>
        <v>#N/A</v>
      </c>
      <c r="K4401" s="18" t="e">
        <f t="shared" ca="1" si="340"/>
        <v>#N/A</v>
      </c>
      <c r="L4401" t="e">
        <f ca="1">IF(J4401,Charms!B4401,"")</f>
        <v>#N/A</v>
      </c>
      <c r="M4401" t="str">
        <f t="shared" ca="1" si="342"/>
        <v>-</v>
      </c>
      <c r="N4401" s="18" t="str">
        <f t="shared" si="343"/>
        <v>K1622:L5000</v>
      </c>
      <c r="O4401" t="str">
        <f t="shared" si="344"/>
        <v>A1622:A4401</v>
      </c>
    </row>
    <row r="4402" spans="1:15">
      <c r="A4402" s="18">
        <f>Charms!K4402</f>
        <v>0</v>
      </c>
      <c r="B4402">
        <f>Charms!B4402</f>
        <v>0</v>
      </c>
      <c r="C4402" t="b">
        <f ca="1">OR(Values!$S$98&gt;=Charms!M4402,IFERROR(Charms!J4402=OFFSET(Values!$A$24,MATCH("S",Values!$T$25:$T$50,0),0),FALSE))</f>
        <v>1</v>
      </c>
      <c r="D4402" t="e">
        <f>VLOOKUP(Charms!J4402,Values!$A$11:$S$59,19,0)&gt;=Charms!L4402</f>
        <v>#N/A</v>
      </c>
      <c r="E4402" t="e">
        <f>OR(ISBLANK(Charms!I4402),(VLOOKUP(Values!$S$6,Castes!$B$2:$F$25,4,0)=Charms!I4402))</f>
        <v>#N/A</v>
      </c>
      <c r="J4402" t="e">
        <f t="shared" ca="1" si="341"/>
        <v>#N/A</v>
      </c>
      <c r="K4402" s="18" t="e">
        <f t="shared" ca="1" si="340"/>
        <v>#N/A</v>
      </c>
      <c r="L4402" t="e">
        <f ca="1">IF(J4402,Charms!B4402,"")</f>
        <v>#N/A</v>
      </c>
      <c r="M4402" t="str">
        <f t="shared" ca="1" si="342"/>
        <v>-</v>
      </c>
      <c r="N4402" s="18" t="str">
        <f t="shared" si="343"/>
        <v>K1622:L5000</v>
      </c>
      <c r="O4402" t="str">
        <f t="shared" si="344"/>
        <v>A1622:A4402</v>
      </c>
    </row>
    <row r="4403" spans="1:15">
      <c r="A4403" s="18">
        <f>Charms!K4403</f>
        <v>0</v>
      </c>
      <c r="B4403">
        <f>Charms!B4403</f>
        <v>0</v>
      </c>
      <c r="C4403" t="b">
        <f ca="1">OR(Values!$S$98&gt;=Charms!M4403,IFERROR(Charms!J4403=OFFSET(Values!$A$24,MATCH("S",Values!$T$25:$T$50,0),0),FALSE))</f>
        <v>1</v>
      </c>
      <c r="D4403" t="e">
        <f>VLOOKUP(Charms!J4403,Values!$A$11:$S$59,19,0)&gt;=Charms!L4403</f>
        <v>#N/A</v>
      </c>
      <c r="E4403" t="e">
        <f>OR(ISBLANK(Charms!I4403),(VLOOKUP(Values!$S$6,Castes!$B$2:$F$25,4,0)=Charms!I4403))</f>
        <v>#N/A</v>
      </c>
      <c r="J4403" t="e">
        <f t="shared" ca="1" si="341"/>
        <v>#N/A</v>
      </c>
      <c r="K4403" s="18" t="e">
        <f t="shared" ca="1" si="340"/>
        <v>#N/A</v>
      </c>
      <c r="L4403" t="e">
        <f ca="1">IF(J4403,Charms!B4403,"")</f>
        <v>#N/A</v>
      </c>
      <c r="M4403" t="str">
        <f t="shared" ca="1" si="342"/>
        <v>-</v>
      </c>
      <c r="N4403" s="18" t="str">
        <f t="shared" si="343"/>
        <v>K1622:L5000</v>
      </c>
      <c r="O4403" t="str">
        <f t="shared" si="344"/>
        <v>A1622:A4403</v>
      </c>
    </row>
    <row r="4404" spans="1:15">
      <c r="A4404" s="18">
        <f>Charms!K4404</f>
        <v>0</v>
      </c>
      <c r="B4404">
        <f>Charms!B4404</f>
        <v>0</v>
      </c>
      <c r="C4404" t="b">
        <f ca="1">OR(Values!$S$98&gt;=Charms!M4404,IFERROR(Charms!J4404=OFFSET(Values!$A$24,MATCH("S",Values!$T$25:$T$50,0),0),FALSE))</f>
        <v>1</v>
      </c>
      <c r="D4404" t="e">
        <f>VLOOKUP(Charms!J4404,Values!$A$11:$S$59,19,0)&gt;=Charms!L4404</f>
        <v>#N/A</v>
      </c>
      <c r="E4404" t="e">
        <f>OR(ISBLANK(Charms!I4404),(VLOOKUP(Values!$S$6,Castes!$B$2:$F$25,4,0)=Charms!I4404))</f>
        <v>#N/A</v>
      </c>
      <c r="J4404" t="e">
        <f t="shared" ca="1" si="341"/>
        <v>#N/A</v>
      </c>
      <c r="K4404" s="18" t="e">
        <f t="shared" ca="1" si="340"/>
        <v>#N/A</v>
      </c>
      <c r="L4404" t="e">
        <f ca="1">IF(J4404,Charms!B4404,"")</f>
        <v>#N/A</v>
      </c>
      <c r="M4404" t="str">
        <f t="shared" ca="1" si="342"/>
        <v>-</v>
      </c>
      <c r="N4404" s="18" t="str">
        <f t="shared" si="343"/>
        <v>K1622:L5000</v>
      </c>
      <c r="O4404" t="str">
        <f t="shared" si="344"/>
        <v>A1622:A4404</v>
      </c>
    </row>
    <row r="4405" spans="1:15">
      <c r="A4405" s="18">
        <f>Charms!K4405</f>
        <v>0</v>
      </c>
      <c r="B4405">
        <f>Charms!B4405</f>
        <v>0</v>
      </c>
      <c r="C4405" t="b">
        <f ca="1">OR(Values!$S$98&gt;=Charms!M4405,IFERROR(Charms!J4405=OFFSET(Values!$A$24,MATCH("S",Values!$T$25:$T$50,0),0),FALSE))</f>
        <v>1</v>
      </c>
      <c r="D4405" t="e">
        <f>VLOOKUP(Charms!J4405,Values!$A$11:$S$59,19,0)&gt;=Charms!L4405</f>
        <v>#N/A</v>
      </c>
      <c r="E4405" t="e">
        <f>OR(ISBLANK(Charms!I4405),(VLOOKUP(Values!$S$6,Castes!$B$2:$F$25,4,0)=Charms!I4405))</f>
        <v>#N/A</v>
      </c>
      <c r="J4405" t="e">
        <f t="shared" ca="1" si="341"/>
        <v>#N/A</v>
      </c>
      <c r="K4405" s="18" t="e">
        <f t="shared" ca="1" si="340"/>
        <v>#N/A</v>
      </c>
      <c r="L4405" t="e">
        <f ca="1">IF(J4405,Charms!B4405,"")</f>
        <v>#N/A</v>
      </c>
      <c r="M4405" t="str">
        <f t="shared" ca="1" si="342"/>
        <v>-</v>
      </c>
      <c r="N4405" s="18" t="str">
        <f t="shared" si="343"/>
        <v>K1622:L5000</v>
      </c>
      <c r="O4405" t="str">
        <f t="shared" si="344"/>
        <v>A1622:A4405</v>
      </c>
    </row>
    <row r="4406" spans="1:15">
      <c r="A4406" s="18">
        <f>Charms!K4406</f>
        <v>0</v>
      </c>
      <c r="B4406">
        <f>Charms!B4406</f>
        <v>0</v>
      </c>
      <c r="C4406" t="b">
        <f ca="1">OR(Values!$S$98&gt;=Charms!M4406,IFERROR(Charms!J4406=OFFSET(Values!$A$24,MATCH("S",Values!$T$25:$T$50,0),0),FALSE))</f>
        <v>1</v>
      </c>
      <c r="D4406" t="e">
        <f>VLOOKUP(Charms!J4406,Values!$A$11:$S$59,19,0)&gt;=Charms!L4406</f>
        <v>#N/A</v>
      </c>
      <c r="E4406" t="e">
        <f>OR(ISBLANK(Charms!I4406),(VLOOKUP(Values!$S$6,Castes!$B$2:$F$25,4,0)=Charms!I4406))</f>
        <v>#N/A</v>
      </c>
      <c r="J4406" t="e">
        <f t="shared" ca="1" si="341"/>
        <v>#N/A</v>
      </c>
      <c r="K4406" s="18" t="e">
        <f t="shared" ca="1" si="340"/>
        <v>#N/A</v>
      </c>
      <c r="L4406" t="e">
        <f ca="1">IF(J4406,Charms!B4406,"")</f>
        <v>#N/A</v>
      </c>
      <c r="M4406" t="str">
        <f t="shared" ca="1" si="342"/>
        <v>-</v>
      </c>
      <c r="N4406" s="18" t="str">
        <f t="shared" si="343"/>
        <v>K1622:L5000</v>
      </c>
      <c r="O4406" t="str">
        <f t="shared" si="344"/>
        <v>A1622:A4406</v>
      </c>
    </row>
    <row r="4407" spans="1:15">
      <c r="A4407" s="18">
        <f>Charms!K4407</f>
        <v>0</v>
      </c>
      <c r="B4407">
        <f>Charms!B4407</f>
        <v>0</v>
      </c>
      <c r="C4407" t="b">
        <f ca="1">OR(Values!$S$98&gt;=Charms!M4407,IFERROR(Charms!J4407=OFFSET(Values!$A$24,MATCH("S",Values!$T$25:$T$50,0),0),FALSE))</f>
        <v>1</v>
      </c>
      <c r="D4407" t="e">
        <f>VLOOKUP(Charms!J4407,Values!$A$11:$S$59,19,0)&gt;=Charms!L4407</f>
        <v>#N/A</v>
      </c>
      <c r="E4407" t="e">
        <f>OR(ISBLANK(Charms!I4407),(VLOOKUP(Values!$S$6,Castes!$B$2:$F$25,4,0)=Charms!I4407))</f>
        <v>#N/A</v>
      </c>
      <c r="J4407" t="e">
        <f t="shared" ca="1" si="341"/>
        <v>#N/A</v>
      </c>
      <c r="K4407" s="18" t="e">
        <f t="shared" ca="1" si="340"/>
        <v>#N/A</v>
      </c>
      <c r="L4407" t="e">
        <f ca="1">IF(J4407,Charms!B4407,"")</f>
        <v>#N/A</v>
      </c>
      <c r="M4407" t="str">
        <f t="shared" ca="1" si="342"/>
        <v>-</v>
      </c>
      <c r="N4407" s="18" t="str">
        <f t="shared" si="343"/>
        <v>K1622:L5000</v>
      </c>
      <c r="O4407" t="str">
        <f t="shared" si="344"/>
        <v>A1622:A4407</v>
      </c>
    </row>
    <row r="4408" spans="1:15">
      <c r="A4408" s="18">
        <f>Charms!K4408</f>
        <v>0</v>
      </c>
      <c r="B4408">
        <f>Charms!B4408</f>
        <v>0</v>
      </c>
      <c r="C4408" t="b">
        <f ca="1">OR(Values!$S$98&gt;=Charms!M4408,IFERROR(Charms!J4408=OFFSET(Values!$A$24,MATCH("S",Values!$T$25:$T$50,0),0),FALSE))</f>
        <v>1</v>
      </c>
      <c r="D4408" t="e">
        <f>VLOOKUP(Charms!J4408,Values!$A$11:$S$59,19,0)&gt;=Charms!L4408</f>
        <v>#N/A</v>
      </c>
      <c r="E4408" t="e">
        <f>OR(ISBLANK(Charms!I4408),(VLOOKUP(Values!$S$6,Castes!$B$2:$F$25,4,0)=Charms!I4408))</f>
        <v>#N/A</v>
      </c>
      <c r="J4408" t="e">
        <f t="shared" ca="1" si="341"/>
        <v>#N/A</v>
      </c>
      <c r="K4408" s="18" t="e">
        <f t="shared" ca="1" si="340"/>
        <v>#N/A</v>
      </c>
      <c r="L4408" t="e">
        <f ca="1">IF(J4408,Charms!B4408,"")</f>
        <v>#N/A</v>
      </c>
      <c r="M4408" t="str">
        <f t="shared" ca="1" si="342"/>
        <v>-</v>
      </c>
      <c r="N4408" s="18" t="str">
        <f t="shared" si="343"/>
        <v>K1622:L5000</v>
      </c>
      <c r="O4408" t="str">
        <f t="shared" si="344"/>
        <v>A1622:A4408</v>
      </c>
    </row>
    <row r="4409" spans="1:15">
      <c r="A4409" s="18">
        <f>Charms!K4409</f>
        <v>0</v>
      </c>
      <c r="B4409">
        <f>Charms!B4409</f>
        <v>0</v>
      </c>
      <c r="C4409" t="b">
        <f ca="1">OR(Values!$S$98&gt;=Charms!M4409,IFERROR(Charms!J4409=OFFSET(Values!$A$24,MATCH("S",Values!$T$25:$T$50,0),0),FALSE))</f>
        <v>1</v>
      </c>
      <c r="D4409" t="e">
        <f>VLOOKUP(Charms!J4409,Values!$A$11:$S$59,19,0)&gt;=Charms!L4409</f>
        <v>#N/A</v>
      </c>
      <c r="E4409" t="e">
        <f>OR(ISBLANK(Charms!I4409),(VLOOKUP(Values!$S$6,Castes!$B$2:$F$25,4,0)=Charms!I4409))</f>
        <v>#N/A</v>
      </c>
      <c r="J4409" t="e">
        <f t="shared" ca="1" si="341"/>
        <v>#N/A</v>
      </c>
      <c r="K4409" s="18" t="e">
        <f t="shared" ca="1" si="340"/>
        <v>#N/A</v>
      </c>
      <c r="L4409" t="e">
        <f ca="1">IF(J4409,Charms!B4409,"")</f>
        <v>#N/A</v>
      </c>
      <c r="M4409" t="str">
        <f t="shared" ca="1" si="342"/>
        <v>-</v>
      </c>
      <c r="N4409" s="18" t="str">
        <f t="shared" si="343"/>
        <v>K1622:L5000</v>
      </c>
      <c r="O4409" t="str">
        <f t="shared" si="344"/>
        <v>A1622:A4409</v>
      </c>
    </row>
    <row r="4410" spans="1:15">
      <c r="A4410" s="18">
        <f>Charms!K4410</f>
        <v>0</v>
      </c>
      <c r="B4410">
        <f>Charms!B4410</f>
        <v>0</v>
      </c>
      <c r="C4410" t="b">
        <f ca="1">OR(Values!$S$98&gt;=Charms!M4410,IFERROR(Charms!J4410=OFFSET(Values!$A$24,MATCH("S",Values!$T$25:$T$50,0),0),FALSE))</f>
        <v>1</v>
      </c>
      <c r="D4410" t="e">
        <f>VLOOKUP(Charms!J4410,Values!$A$11:$S$59,19,0)&gt;=Charms!L4410</f>
        <v>#N/A</v>
      </c>
      <c r="E4410" t="e">
        <f>OR(ISBLANK(Charms!I4410),(VLOOKUP(Values!$S$6,Castes!$B$2:$F$25,4,0)=Charms!I4410))</f>
        <v>#N/A</v>
      </c>
      <c r="J4410" t="e">
        <f t="shared" ca="1" si="341"/>
        <v>#N/A</v>
      </c>
      <c r="K4410" s="18" t="e">
        <f t="shared" ca="1" si="340"/>
        <v>#N/A</v>
      </c>
      <c r="L4410" t="e">
        <f ca="1">IF(J4410,Charms!B4410,"")</f>
        <v>#N/A</v>
      </c>
      <c r="M4410" t="str">
        <f t="shared" ca="1" si="342"/>
        <v>-</v>
      </c>
      <c r="N4410" s="18" t="str">
        <f t="shared" si="343"/>
        <v>K1622:L5000</v>
      </c>
      <c r="O4410" t="str">
        <f t="shared" si="344"/>
        <v>A1622:A4410</v>
      </c>
    </row>
    <row r="4411" spans="1:15">
      <c r="A4411" s="18">
        <f>Charms!K4411</f>
        <v>0</v>
      </c>
      <c r="B4411">
        <f>Charms!B4411</f>
        <v>0</v>
      </c>
      <c r="C4411" t="b">
        <f ca="1">OR(Values!$S$98&gt;=Charms!M4411,IFERROR(Charms!J4411=OFFSET(Values!$A$24,MATCH("S",Values!$T$25:$T$50,0),0),FALSE))</f>
        <v>1</v>
      </c>
      <c r="D4411" t="e">
        <f>VLOOKUP(Charms!J4411,Values!$A$11:$S$59,19,0)&gt;=Charms!L4411</f>
        <v>#N/A</v>
      </c>
      <c r="E4411" t="e">
        <f>OR(ISBLANK(Charms!I4411),(VLOOKUP(Values!$S$6,Castes!$B$2:$F$25,4,0)=Charms!I4411))</f>
        <v>#N/A</v>
      </c>
      <c r="J4411" t="e">
        <f t="shared" ca="1" si="341"/>
        <v>#N/A</v>
      </c>
      <c r="K4411" s="18" t="e">
        <f t="shared" ca="1" si="340"/>
        <v>#N/A</v>
      </c>
      <c r="L4411" t="e">
        <f ca="1">IF(J4411,Charms!B4411,"")</f>
        <v>#N/A</v>
      </c>
      <c r="M4411" t="str">
        <f t="shared" ca="1" si="342"/>
        <v>-</v>
      </c>
      <c r="N4411" s="18" t="str">
        <f t="shared" si="343"/>
        <v>K1622:L5000</v>
      </c>
      <c r="O4411" t="str">
        <f t="shared" si="344"/>
        <v>A1622:A4411</v>
      </c>
    </row>
    <row r="4412" spans="1:15">
      <c r="A4412" s="18">
        <f>Charms!K4412</f>
        <v>0</v>
      </c>
      <c r="B4412">
        <f>Charms!B4412</f>
        <v>0</v>
      </c>
      <c r="C4412" t="b">
        <f ca="1">OR(Values!$S$98&gt;=Charms!M4412,IFERROR(Charms!J4412=OFFSET(Values!$A$24,MATCH("S",Values!$T$25:$T$50,0),0),FALSE))</f>
        <v>1</v>
      </c>
      <c r="D4412" t="e">
        <f>VLOOKUP(Charms!J4412,Values!$A$11:$S$59,19,0)&gt;=Charms!L4412</f>
        <v>#N/A</v>
      </c>
      <c r="E4412" t="e">
        <f>OR(ISBLANK(Charms!I4412),(VLOOKUP(Values!$S$6,Castes!$B$2:$F$25,4,0)=Charms!I4412))</f>
        <v>#N/A</v>
      </c>
      <c r="J4412" t="e">
        <f t="shared" ca="1" si="341"/>
        <v>#N/A</v>
      </c>
      <c r="K4412" s="18" t="e">
        <f t="shared" ca="1" si="340"/>
        <v>#N/A</v>
      </c>
      <c r="L4412" t="e">
        <f ca="1">IF(J4412,Charms!B4412,"")</f>
        <v>#N/A</v>
      </c>
      <c r="M4412" t="str">
        <f t="shared" ca="1" si="342"/>
        <v>-</v>
      </c>
      <c r="N4412" s="18" t="str">
        <f t="shared" si="343"/>
        <v>K1622:L5000</v>
      </c>
      <c r="O4412" t="str">
        <f t="shared" si="344"/>
        <v>A1622:A4412</v>
      </c>
    </row>
    <row r="4413" spans="1:15">
      <c r="A4413" s="18">
        <f>Charms!K4413</f>
        <v>0</v>
      </c>
      <c r="B4413">
        <f>Charms!B4413</f>
        <v>0</v>
      </c>
      <c r="C4413" t="b">
        <f ca="1">OR(Values!$S$98&gt;=Charms!M4413,IFERROR(Charms!J4413=OFFSET(Values!$A$24,MATCH("S",Values!$T$25:$T$50,0),0),FALSE))</f>
        <v>1</v>
      </c>
      <c r="D4413" t="e">
        <f>VLOOKUP(Charms!J4413,Values!$A$11:$S$59,19,0)&gt;=Charms!L4413</f>
        <v>#N/A</v>
      </c>
      <c r="E4413" t="e">
        <f>OR(ISBLANK(Charms!I4413),(VLOOKUP(Values!$S$6,Castes!$B$2:$F$25,4,0)=Charms!I4413))</f>
        <v>#N/A</v>
      </c>
      <c r="J4413" t="e">
        <f t="shared" ca="1" si="341"/>
        <v>#N/A</v>
      </c>
      <c r="K4413" s="18" t="e">
        <f t="shared" ca="1" si="340"/>
        <v>#N/A</v>
      </c>
      <c r="L4413" t="e">
        <f ca="1">IF(J4413,Charms!B4413,"")</f>
        <v>#N/A</v>
      </c>
      <c r="M4413" t="str">
        <f t="shared" ca="1" si="342"/>
        <v>-</v>
      </c>
      <c r="N4413" s="18" t="str">
        <f t="shared" si="343"/>
        <v>K1622:L5000</v>
      </c>
      <c r="O4413" t="str">
        <f t="shared" si="344"/>
        <v>A1622:A4413</v>
      </c>
    </row>
    <row r="4414" spans="1:15">
      <c r="A4414" s="18">
        <f>Charms!K4414</f>
        <v>0</v>
      </c>
      <c r="B4414">
        <f>Charms!B4414</f>
        <v>0</v>
      </c>
      <c r="C4414" t="b">
        <f ca="1">OR(Values!$S$98&gt;=Charms!M4414,IFERROR(Charms!J4414=OFFSET(Values!$A$24,MATCH("S",Values!$T$25:$T$50,0),0),FALSE))</f>
        <v>1</v>
      </c>
      <c r="D4414" t="e">
        <f>VLOOKUP(Charms!J4414,Values!$A$11:$S$59,19,0)&gt;=Charms!L4414</f>
        <v>#N/A</v>
      </c>
      <c r="E4414" t="e">
        <f>OR(ISBLANK(Charms!I4414),(VLOOKUP(Values!$S$6,Castes!$B$2:$F$25,4,0)=Charms!I4414))</f>
        <v>#N/A</v>
      </c>
      <c r="J4414" t="e">
        <f t="shared" ca="1" si="341"/>
        <v>#N/A</v>
      </c>
      <c r="K4414" s="18" t="e">
        <f t="shared" ca="1" si="340"/>
        <v>#N/A</v>
      </c>
      <c r="L4414" t="e">
        <f ca="1">IF(J4414,Charms!B4414,"")</f>
        <v>#N/A</v>
      </c>
      <c r="M4414" t="str">
        <f t="shared" ca="1" si="342"/>
        <v>-</v>
      </c>
      <c r="N4414" s="18" t="str">
        <f t="shared" si="343"/>
        <v>K1622:L5000</v>
      </c>
      <c r="O4414" t="str">
        <f t="shared" si="344"/>
        <v>A1622:A4414</v>
      </c>
    </row>
    <row r="4415" spans="1:15">
      <c r="A4415" s="18">
        <f>Charms!K4415</f>
        <v>0</v>
      </c>
      <c r="B4415">
        <f>Charms!B4415</f>
        <v>0</v>
      </c>
      <c r="C4415" t="b">
        <f ca="1">OR(Values!$S$98&gt;=Charms!M4415,IFERROR(Charms!J4415=OFFSET(Values!$A$24,MATCH("S",Values!$T$25:$T$50,0),0),FALSE))</f>
        <v>1</v>
      </c>
      <c r="D4415" t="e">
        <f>VLOOKUP(Charms!J4415,Values!$A$11:$S$59,19,0)&gt;=Charms!L4415</f>
        <v>#N/A</v>
      </c>
      <c r="E4415" t="e">
        <f>OR(ISBLANK(Charms!I4415),(VLOOKUP(Values!$S$6,Castes!$B$2:$F$25,4,0)=Charms!I4415))</f>
        <v>#N/A</v>
      </c>
      <c r="J4415" t="e">
        <f t="shared" ca="1" si="341"/>
        <v>#N/A</v>
      </c>
      <c r="K4415" s="18" t="e">
        <f t="shared" ca="1" si="340"/>
        <v>#N/A</v>
      </c>
      <c r="L4415" t="e">
        <f ca="1">IF(J4415,Charms!B4415,"")</f>
        <v>#N/A</v>
      </c>
      <c r="M4415" t="str">
        <f t="shared" ca="1" si="342"/>
        <v>-</v>
      </c>
      <c r="N4415" s="18" t="str">
        <f t="shared" si="343"/>
        <v>K1622:L5000</v>
      </c>
      <c r="O4415" t="str">
        <f t="shared" si="344"/>
        <v>A1622:A4415</v>
      </c>
    </row>
    <row r="4416" spans="1:15">
      <c r="A4416" s="18">
        <f>Charms!K4416</f>
        <v>0</v>
      </c>
      <c r="B4416">
        <f>Charms!B4416</f>
        <v>0</v>
      </c>
      <c r="C4416" t="b">
        <f ca="1">OR(Values!$S$98&gt;=Charms!M4416,IFERROR(Charms!J4416=OFFSET(Values!$A$24,MATCH("S",Values!$T$25:$T$50,0),0),FALSE))</f>
        <v>1</v>
      </c>
      <c r="D4416" t="e">
        <f>VLOOKUP(Charms!J4416,Values!$A$11:$S$59,19,0)&gt;=Charms!L4416</f>
        <v>#N/A</v>
      </c>
      <c r="E4416" t="e">
        <f>OR(ISBLANK(Charms!I4416),(VLOOKUP(Values!$S$6,Castes!$B$2:$F$25,4,0)=Charms!I4416))</f>
        <v>#N/A</v>
      </c>
      <c r="J4416" t="e">
        <f t="shared" ca="1" si="341"/>
        <v>#N/A</v>
      </c>
      <c r="K4416" s="18" t="e">
        <f t="shared" ca="1" si="340"/>
        <v>#N/A</v>
      </c>
      <c r="L4416" t="e">
        <f ca="1">IF(J4416,Charms!B4416,"")</f>
        <v>#N/A</v>
      </c>
      <c r="M4416" t="str">
        <f t="shared" ca="1" si="342"/>
        <v>-</v>
      </c>
      <c r="N4416" s="18" t="str">
        <f t="shared" si="343"/>
        <v>K1622:L5000</v>
      </c>
      <c r="O4416" t="str">
        <f t="shared" si="344"/>
        <v>A1622:A4416</v>
      </c>
    </row>
    <row r="4417" spans="1:15">
      <c r="A4417" s="18">
        <f>Charms!K4417</f>
        <v>0</v>
      </c>
      <c r="B4417">
        <f>Charms!B4417</f>
        <v>0</v>
      </c>
      <c r="C4417" t="b">
        <f ca="1">OR(Values!$S$98&gt;=Charms!M4417,IFERROR(Charms!J4417=OFFSET(Values!$A$24,MATCH("S",Values!$T$25:$T$50,0),0),FALSE))</f>
        <v>1</v>
      </c>
      <c r="D4417" t="e">
        <f>VLOOKUP(Charms!J4417,Values!$A$11:$S$59,19,0)&gt;=Charms!L4417</f>
        <v>#N/A</v>
      </c>
      <c r="E4417" t="e">
        <f>OR(ISBLANK(Charms!I4417),(VLOOKUP(Values!$S$6,Castes!$B$2:$F$25,4,0)=Charms!I4417))</f>
        <v>#N/A</v>
      </c>
      <c r="J4417" t="e">
        <f t="shared" ca="1" si="341"/>
        <v>#N/A</v>
      </c>
      <c r="K4417" s="18" t="e">
        <f t="shared" ca="1" si="340"/>
        <v>#N/A</v>
      </c>
      <c r="L4417" t="e">
        <f ca="1">IF(J4417,Charms!B4417,"")</f>
        <v>#N/A</v>
      </c>
      <c r="M4417" t="str">
        <f t="shared" ca="1" si="342"/>
        <v>-</v>
      </c>
      <c r="N4417" s="18" t="str">
        <f t="shared" si="343"/>
        <v>K1622:L5000</v>
      </c>
      <c r="O4417" t="str">
        <f t="shared" si="344"/>
        <v>A1622:A4417</v>
      </c>
    </row>
    <row r="4418" spans="1:15">
      <c r="A4418" s="18">
        <f>Charms!K4418</f>
        <v>0</v>
      </c>
      <c r="B4418">
        <f>Charms!B4418</f>
        <v>0</v>
      </c>
      <c r="C4418" t="b">
        <f ca="1">OR(Values!$S$98&gt;=Charms!M4418,IFERROR(Charms!J4418=OFFSET(Values!$A$24,MATCH("S",Values!$T$25:$T$50,0),0),FALSE))</f>
        <v>1</v>
      </c>
      <c r="D4418" t="e">
        <f>VLOOKUP(Charms!J4418,Values!$A$11:$S$59,19,0)&gt;=Charms!L4418</f>
        <v>#N/A</v>
      </c>
      <c r="E4418" t="e">
        <f>OR(ISBLANK(Charms!I4418),(VLOOKUP(Values!$S$6,Castes!$B$2:$F$25,4,0)=Charms!I4418))</f>
        <v>#N/A</v>
      </c>
      <c r="J4418" t="e">
        <f t="shared" ca="1" si="341"/>
        <v>#N/A</v>
      </c>
      <c r="K4418" s="18" t="e">
        <f t="shared" ref="K4418:K4481" ca="1" si="345">IF(L4418="","",COUNTIF(INDIRECT("J"&amp;MATCH(A4418,A:A,0)&amp;":J"&amp;ROW()),J4418))</f>
        <v>#N/A</v>
      </c>
      <c r="L4418" t="e">
        <f ca="1">IF(J4418,Charms!B4418,"")</f>
        <v>#N/A</v>
      </c>
      <c r="M4418" t="str">
        <f t="shared" ca="1" si="342"/>
        <v>-</v>
      </c>
      <c r="N4418" s="18" t="str">
        <f t="shared" si="343"/>
        <v>K1622:L5000</v>
      </c>
      <c r="O4418" t="str">
        <f t="shared" si="344"/>
        <v>A1622:A4418</v>
      </c>
    </row>
    <row r="4419" spans="1:15">
      <c r="A4419" s="18">
        <f>Charms!K4419</f>
        <v>0</v>
      </c>
      <c r="B4419">
        <f>Charms!B4419</f>
        <v>0</v>
      </c>
      <c r="C4419" t="b">
        <f ca="1">OR(Values!$S$98&gt;=Charms!M4419,IFERROR(Charms!J4419=OFFSET(Values!$A$24,MATCH("S",Values!$T$25:$T$50,0),0),FALSE))</f>
        <v>1</v>
      </c>
      <c r="D4419" t="e">
        <f>VLOOKUP(Charms!J4419,Values!$A$11:$S$59,19,0)&gt;=Charms!L4419</f>
        <v>#N/A</v>
      </c>
      <c r="E4419" t="e">
        <f>OR(ISBLANK(Charms!I4419),(VLOOKUP(Values!$S$6,Castes!$B$2:$F$25,4,0)=Charms!I4419))</f>
        <v>#N/A</v>
      </c>
      <c r="J4419" t="e">
        <f t="shared" ref="J4419:J4482" ca="1" si="346">(C4419+D4419+E4419+F4419+G4419+H4419+I4419)=3</f>
        <v>#N/A</v>
      </c>
      <c r="K4419" s="18" t="e">
        <f t="shared" ca="1" si="345"/>
        <v>#N/A</v>
      </c>
      <c r="L4419" t="e">
        <f ca="1">IF(J4419,Charms!B4419,"")</f>
        <v>#N/A</v>
      </c>
      <c r="M4419" t="str">
        <f t="shared" ref="M4419:M4482" ca="1" si="347">IFERROR(VLOOKUP(COUNTIF(INDIRECT(O4419),A4419),INDIRECT(N4419),2,0),"-")</f>
        <v>-</v>
      </c>
      <c r="N4419" s="18" t="str">
        <f t="shared" ref="N4419:N4482" si="348">"K"&amp;MATCH(A4419,A:A,0)&amp;":L"&amp;(MATCH(A4419,A:A,0)+COUNTIF(A:A,A4419)-1)</f>
        <v>K1622:L5000</v>
      </c>
      <c r="O4419" t="str">
        <f t="shared" ref="O4419:O4482" si="349">"A"&amp;MATCH(A4419,A:A,0)&amp;":A"&amp;ROW()</f>
        <v>A1622:A4419</v>
      </c>
    </row>
    <row r="4420" spans="1:15">
      <c r="A4420" s="18">
        <f>Charms!K4420</f>
        <v>0</v>
      </c>
      <c r="B4420">
        <f>Charms!B4420</f>
        <v>0</v>
      </c>
      <c r="C4420" t="b">
        <f ca="1">OR(Values!$S$98&gt;=Charms!M4420,IFERROR(Charms!J4420=OFFSET(Values!$A$24,MATCH("S",Values!$T$25:$T$50,0),0),FALSE))</f>
        <v>1</v>
      </c>
      <c r="D4420" t="e">
        <f>VLOOKUP(Charms!J4420,Values!$A$11:$S$59,19,0)&gt;=Charms!L4420</f>
        <v>#N/A</v>
      </c>
      <c r="E4420" t="e">
        <f>OR(ISBLANK(Charms!I4420),(VLOOKUP(Values!$S$6,Castes!$B$2:$F$25,4,0)=Charms!I4420))</f>
        <v>#N/A</v>
      </c>
      <c r="J4420" t="e">
        <f t="shared" ca="1" si="346"/>
        <v>#N/A</v>
      </c>
      <c r="K4420" s="18" t="e">
        <f t="shared" ca="1" si="345"/>
        <v>#N/A</v>
      </c>
      <c r="L4420" t="e">
        <f ca="1">IF(J4420,Charms!B4420,"")</f>
        <v>#N/A</v>
      </c>
      <c r="M4420" t="str">
        <f t="shared" ca="1" si="347"/>
        <v>-</v>
      </c>
      <c r="N4420" s="18" t="str">
        <f t="shared" si="348"/>
        <v>K1622:L5000</v>
      </c>
      <c r="O4420" t="str">
        <f t="shared" si="349"/>
        <v>A1622:A4420</v>
      </c>
    </row>
    <row r="4421" spans="1:15">
      <c r="A4421" s="18">
        <f>Charms!K4421</f>
        <v>0</v>
      </c>
      <c r="B4421">
        <f>Charms!B4421</f>
        <v>0</v>
      </c>
      <c r="C4421" t="b">
        <f ca="1">OR(Values!$S$98&gt;=Charms!M4421,IFERROR(Charms!J4421=OFFSET(Values!$A$24,MATCH("S",Values!$T$25:$T$50,0),0),FALSE))</f>
        <v>1</v>
      </c>
      <c r="D4421" t="e">
        <f>VLOOKUP(Charms!J4421,Values!$A$11:$S$59,19,0)&gt;=Charms!L4421</f>
        <v>#N/A</v>
      </c>
      <c r="E4421" t="e">
        <f>OR(ISBLANK(Charms!I4421),(VLOOKUP(Values!$S$6,Castes!$B$2:$F$25,4,0)=Charms!I4421))</f>
        <v>#N/A</v>
      </c>
      <c r="J4421" t="e">
        <f t="shared" ca="1" si="346"/>
        <v>#N/A</v>
      </c>
      <c r="K4421" s="18" t="e">
        <f t="shared" ca="1" si="345"/>
        <v>#N/A</v>
      </c>
      <c r="L4421" t="e">
        <f ca="1">IF(J4421,Charms!B4421,"")</f>
        <v>#N/A</v>
      </c>
      <c r="M4421" t="str">
        <f t="shared" ca="1" si="347"/>
        <v>-</v>
      </c>
      <c r="N4421" s="18" t="str">
        <f t="shared" si="348"/>
        <v>K1622:L5000</v>
      </c>
      <c r="O4421" t="str">
        <f t="shared" si="349"/>
        <v>A1622:A4421</v>
      </c>
    </row>
    <row r="4422" spans="1:15">
      <c r="A4422" s="18">
        <f>Charms!K4422</f>
        <v>0</v>
      </c>
      <c r="B4422">
        <f>Charms!B4422</f>
        <v>0</v>
      </c>
      <c r="C4422" t="b">
        <f ca="1">OR(Values!$S$98&gt;=Charms!M4422,IFERROR(Charms!J4422=OFFSET(Values!$A$24,MATCH("S",Values!$T$25:$T$50,0),0),FALSE))</f>
        <v>1</v>
      </c>
      <c r="D4422" t="e">
        <f>VLOOKUP(Charms!J4422,Values!$A$11:$S$59,19,0)&gt;=Charms!L4422</f>
        <v>#N/A</v>
      </c>
      <c r="E4422" t="e">
        <f>OR(ISBLANK(Charms!I4422),(VLOOKUP(Values!$S$6,Castes!$B$2:$F$25,4,0)=Charms!I4422))</f>
        <v>#N/A</v>
      </c>
      <c r="J4422" t="e">
        <f t="shared" ca="1" si="346"/>
        <v>#N/A</v>
      </c>
      <c r="K4422" s="18" t="e">
        <f t="shared" ca="1" si="345"/>
        <v>#N/A</v>
      </c>
      <c r="L4422" t="e">
        <f ca="1">IF(J4422,Charms!B4422,"")</f>
        <v>#N/A</v>
      </c>
      <c r="M4422" t="str">
        <f t="shared" ca="1" si="347"/>
        <v>-</v>
      </c>
      <c r="N4422" s="18" t="str">
        <f t="shared" si="348"/>
        <v>K1622:L5000</v>
      </c>
      <c r="O4422" t="str">
        <f t="shared" si="349"/>
        <v>A1622:A4422</v>
      </c>
    </row>
    <row r="4423" spans="1:15">
      <c r="A4423" s="18">
        <f>Charms!K4423</f>
        <v>0</v>
      </c>
      <c r="B4423">
        <f>Charms!B4423</f>
        <v>0</v>
      </c>
      <c r="C4423" t="b">
        <f ca="1">OR(Values!$S$98&gt;=Charms!M4423,IFERROR(Charms!J4423=OFFSET(Values!$A$24,MATCH("S",Values!$T$25:$T$50,0),0),FALSE))</f>
        <v>1</v>
      </c>
      <c r="D4423" t="e">
        <f>VLOOKUP(Charms!J4423,Values!$A$11:$S$59,19,0)&gt;=Charms!L4423</f>
        <v>#N/A</v>
      </c>
      <c r="E4423" t="e">
        <f>OR(ISBLANK(Charms!I4423),(VLOOKUP(Values!$S$6,Castes!$B$2:$F$25,4,0)=Charms!I4423))</f>
        <v>#N/A</v>
      </c>
      <c r="J4423" t="e">
        <f t="shared" ca="1" si="346"/>
        <v>#N/A</v>
      </c>
      <c r="K4423" s="18" t="e">
        <f t="shared" ca="1" si="345"/>
        <v>#N/A</v>
      </c>
      <c r="L4423" t="e">
        <f ca="1">IF(J4423,Charms!B4423,"")</f>
        <v>#N/A</v>
      </c>
      <c r="M4423" t="str">
        <f t="shared" ca="1" si="347"/>
        <v>-</v>
      </c>
      <c r="N4423" s="18" t="str">
        <f t="shared" si="348"/>
        <v>K1622:L5000</v>
      </c>
      <c r="O4423" t="str">
        <f t="shared" si="349"/>
        <v>A1622:A4423</v>
      </c>
    </row>
    <row r="4424" spans="1:15">
      <c r="A4424" s="18">
        <f>Charms!K4424</f>
        <v>0</v>
      </c>
      <c r="B4424">
        <f>Charms!B4424</f>
        <v>0</v>
      </c>
      <c r="C4424" t="b">
        <f ca="1">OR(Values!$S$98&gt;=Charms!M4424,IFERROR(Charms!J4424=OFFSET(Values!$A$24,MATCH("S",Values!$T$25:$T$50,0),0),FALSE))</f>
        <v>1</v>
      </c>
      <c r="D4424" t="e">
        <f>VLOOKUP(Charms!J4424,Values!$A$11:$S$59,19,0)&gt;=Charms!L4424</f>
        <v>#N/A</v>
      </c>
      <c r="E4424" t="e">
        <f>OR(ISBLANK(Charms!I4424),(VLOOKUP(Values!$S$6,Castes!$B$2:$F$25,4,0)=Charms!I4424))</f>
        <v>#N/A</v>
      </c>
      <c r="J4424" t="e">
        <f t="shared" ca="1" si="346"/>
        <v>#N/A</v>
      </c>
      <c r="K4424" s="18" t="e">
        <f t="shared" ca="1" si="345"/>
        <v>#N/A</v>
      </c>
      <c r="L4424" t="e">
        <f ca="1">IF(J4424,Charms!B4424,"")</f>
        <v>#N/A</v>
      </c>
      <c r="M4424" t="str">
        <f t="shared" ca="1" si="347"/>
        <v>-</v>
      </c>
      <c r="N4424" s="18" t="str">
        <f t="shared" si="348"/>
        <v>K1622:L5000</v>
      </c>
      <c r="O4424" t="str">
        <f t="shared" si="349"/>
        <v>A1622:A4424</v>
      </c>
    </row>
    <row r="4425" spans="1:15">
      <c r="A4425" s="18">
        <f>Charms!K4425</f>
        <v>0</v>
      </c>
      <c r="B4425">
        <f>Charms!B4425</f>
        <v>0</v>
      </c>
      <c r="C4425" t="b">
        <f ca="1">OR(Values!$S$98&gt;=Charms!M4425,IFERROR(Charms!J4425=OFFSET(Values!$A$24,MATCH("S",Values!$T$25:$T$50,0),0),FALSE))</f>
        <v>1</v>
      </c>
      <c r="D4425" t="e">
        <f>VLOOKUP(Charms!J4425,Values!$A$11:$S$59,19,0)&gt;=Charms!L4425</f>
        <v>#N/A</v>
      </c>
      <c r="E4425" t="e">
        <f>OR(ISBLANK(Charms!I4425),(VLOOKUP(Values!$S$6,Castes!$B$2:$F$25,4,0)=Charms!I4425))</f>
        <v>#N/A</v>
      </c>
      <c r="J4425" t="e">
        <f t="shared" ca="1" si="346"/>
        <v>#N/A</v>
      </c>
      <c r="K4425" s="18" t="e">
        <f t="shared" ca="1" si="345"/>
        <v>#N/A</v>
      </c>
      <c r="L4425" t="e">
        <f ca="1">IF(J4425,Charms!B4425,"")</f>
        <v>#N/A</v>
      </c>
      <c r="M4425" t="str">
        <f t="shared" ca="1" si="347"/>
        <v>-</v>
      </c>
      <c r="N4425" s="18" t="str">
        <f t="shared" si="348"/>
        <v>K1622:L5000</v>
      </c>
      <c r="O4425" t="str">
        <f t="shared" si="349"/>
        <v>A1622:A4425</v>
      </c>
    </row>
    <row r="4426" spans="1:15">
      <c r="A4426" s="18">
        <f>Charms!K4426</f>
        <v>0</v>
      </c>
      <c r="B4426">
        <f>Charms!B4426</f>
        <v>0</v>
      </c>
      <c r="C4426" t="b">
        <f ca="1">OR(Values!$S$98&gt;=Charms!M4426,IFERROR(Charms!J4426=OFFSET(Values!$A$24,MATCH("S",Values!$T$25:$T$50,0),0),FALSE))</f>
        <v>1</v>
      </c>
      <c r="D4426" t="e">
        <f>VLOOKUP(Charms!J4426,Values!$A$11:$S$59,19,0)&gt;=Charms!L4426</f>
        <v>#N/A</v>
      </c>
      <c r="E4426" t="e">
        <f>OR(ISBLANK(Charms!I4426),(VLOOKUP(Values!$S$6,Castes!$B$2:$F$25,4,0)=Charms!I4426))</f>
        <v>#N/A</v>
      </c>
      <c r="J4426" t="e">
        <f t="shared" ca="1" si="346"/>
        <v>#N/A</v>
      </c>
      <c r="K4426" s="18" t="e">
        <f t="shared" ca="1" si="345"/>
        <v>#N/A</v>
      </c>
      <c r="L4426" t="e">
        <f ca="1">IF(J4426,Charms!B4426,"")</f>
        <v>#N/A</v>
      </c>
      <c r="M4426" t="str">
        <f t="shared" ca="1" si="347"/>
        <v>-</v>
      </c>
      <c r="N4426" s="18" t="str">
        <f t="shared" si="348"/>
        <v>K1622:L5000</v>
      </c>
      <c r="O4426" t="str">
        <f t="shared" si="349"/>
        <v>A1622:A4426</v>
      </c>
    </row>
    <row r="4427" spans="1:15">
      <c r="A4427" s="18">
        <f>Charms!K4427</f>
        <v>0</v>
      </c>
      <c r="B4427">
        <f>Charms!B4427</f>
        <v>0</v>
      </c>
      <c r="C4427" t="b">
        <f ca="1">OR(Values!$S$98&gt;=Charms!M4427,IFERROR(Charms!J4427=OFFSET(Values!$A$24,MATCH("S",Values!$T$25:$T$50,0),0),FALSE))</f>
        <v>1</v>
      </c>
      <c r="D4427" t="e">
        <f>VLOOKUP(Charms!J4427,Values!$A$11:$S$59,19,0)&gt;=Charms!L4427</f>
        <v>#N/A</v>
      </c>
      <c r="E4427" t="e">
        <f>OR(ISBLANK(Charms!I4427),(VLOOKUP(Values!$S$6,Castes!$B$2:$F$25,4,0)=Charms!I4427))</f>
        <v>#N/A</v>
      </c>
      <c r="J4427" t="e">
        <f t="shared" ca="1" si="346"/>
        <v>#N/A</v>
      </c>
      <c r="K4427" s="18" t="e">
        <f t="shared" ca="1" si="345"/>
        <v>#N/A</v>
      </c>
      <c r="L4427" t="e">
        <f ca="1">IF(J4427,Charms!B4427,"")</f>
        <v>#N/A</v>
      </c>
      <c r="M4427" t="str">
        <f t="shared" ca="1" si="347"/>
        <v>-</v>
      </c>
      <c r="N4427" s="18" t="str">
        <f t="shared" si="348"/>
        <v>K1622:L5000</v>
      </c>
      <c r="O4427" t="str">
        <f t="shared" si="349"/>
        <v>A1622:A4427</v>
      </c>
    </row>
    <row r="4428" spans="1:15">
      <c r="A4428" s="18">
        <f>Charms!K4428</f>
        <v>0</v>
      </c>
      <c r="B4428">
        <f>Charms!B4428</f>
        <v>0</v>
      </c>
      <c r="C4428" t="b">
        <f ca="1">OR(Values!$S$98&gt;=Charms!M4428,IFERROR(Charms!J4428=OFFSET(Values!$A$24,MATCH("S",Values!$T$25:$T$50,0),0),FALSE))</f>
        <v>1</v>
      </c>
      <c r="D4428" t="e">
        <f>VLOOKUP(Charms!J4428,Values!$A$11:$S$59,19,0)&gt;=Charms!L4428</f>
        <v>#N/A</v>
      </c>
      <c r="E4428" t="e">
        <f>OR(ISBLANK(Charms!I4428),(VLOOKUP(Values!$S$6,Castes!$B$2:$F$25,4,0)=Charms!I4428))</f>
        <v>#N/A</v>
      </c>
      <c r="J4428" t="e">
        <f t="shared" ca="1" si="346"/>
        <v>#N/A</v>
      </c>
      <c r="K4428" s="18" t="e">
        <f t="shared" ca="1" si="345"/>
        <v>#N/A</v>
      </c>
      <c r="L4428" t="e">
        <f ca="1">IF(J4428,Charms!B4428,"")</f>
        <v>#N/A</v>
      </c>
      <c r="M4428" t="str">
        <f t="shared" ca="1" si="347"/>
        <v>-</v>
      </c>
      <c r="N4428" s="18" t="str">
        <f t="shared" si="348"/>
        <v>K1622:L5000</v>
      </c>
      <c r="O4428" t="str">
        <f t="shared" si="349"/>
        <v>A1622:A4428</v>
      </c>
    </row>
    <row r="4429" spans="1:15">
      <c r="A4429" s="18">
        <f>Charms!K4429</f>
        <v>0</v>
      </c>
      <c r="B4429">
        <f>Charms!B4429</f>
        <v>0</v>
      </c>
      <c r="C4429" t="b">
        <f ca="1">OR(Values!$S$98&gt;=Charms!M4429,IFERROR(Charms!J4429=OFFSET(Values!$A$24,MATCH("S",Values!$T$25:$T$50,0),0),FALSE))</f>
        <v>1</v>
      </c>
      <c r="D4429" t="e">
        <f>VLOOKUP(Charms!J4429,Values!$A$11:$S$59,19,0)&gt;=Charms!L4429</f>
        <v>#N/A</v>
      </c>
      <c r="E4429" t="e">
        <f>OR(ISBLANK(Charms!I4429),(VLOOKUP(Values!$S$6,Castes!$B$2:$F$25,4,0)=Charms!I4429))</f>
        <v>#N/A</v>
      </c>
      <c r="J4429" t="e">
        <f t="shared" ca="1" si="346"/>
        <v>#N/A</v>
      </c>
      <c r="K4429" s="18" t="e">
        <f t="shared" ca="1" si="345"/>
        <v>#N/A</v>
      </c>
      <c r="L4429" t="e">
        <f ca="1">IF(J4429,Charms!B4429,"")</f>
        <v>#N/A</v>
      </c>
      <c r="M4429" t="str">
        <f t="shared" ca="1" si="347"/>
        <v>-</v>
      </c>
      <c r="N4429" s="18" t="str">
        <f t="shared" si="348"/>
        <v>K1622:L5000</v>
      </c>
      <c r="O4429" t="str">
        <f t="shared" si="349"/>
        <v>A1622:A4429</v>
      </c>
    </row>
    <row r="4430" spans="1:15">
      <c r="A4430" s="18">
        <f>Charms!K4430</f>
        <v>0</v>
      </c>
      <c r="B4430">
        <f>Charms!B4430</f>
        <v>0</v>
      </c>
      <c r="C4430" t="b">
        <f ca="1">OR(Values!$S$98&gt;=Charms!M4430,IFERROR(Charms!J4430=OFFSET(Values!$A$24,MATCH("S",Values!$T$25:$T$50,0),0),FALSE))</f>
        <v>1</v>
      </c>
      <c r="D4430" t="e">
        <f>VLOOKUP(Charms!J4430,Values!$A$11:$S$59,19,0)&gt;=Charms!L4430</f>
        <v>#N/A</v>
      </c>
      <c r="E4430" t="e">
        <f>OR(ISBLANK(Charms!I4430),(VLOOKUP(Values!$S$6,Castes!$B$2:$F$25,4,0)=Charms!I4430))</f>
        <v>#N/A</v>
      </c>
      <c r="J4430" t="e">
        <f t="shared" ca="1" si="346"/>
        <v>#N/A</v>
      </c>
      <c r="K4430" s="18" t="e">
        <f t="shared" ca="1" si="345"/>
        <v>#N/A</v>
      </c>
      <c r="L4430" t="e">
        <f ca="1">IF(J4430,Charms!B4430,"")</f>
        <v>#N/A</v>
      </c>
      <c r="M4430" t="str">
        <f t="shared" ca="1" si="347"/>
        <v>-</v>
      </c>
      <c r="N4430" s="18" t="str">
        <f t="shared" si="348"/>
        <v>K1622:L5000</v>
      </c>
      <c r="O4430" t="str">
        <f t="shared" si="349"/>
        <v>A1622:A4430</v>
      </c>
    </row>
    <row r="4431" spans="1:15">
      <c r="A4431" s="18">
        <f>Charms!K4431</f>
        <v>0</v>
      </c>
      <c r="B4431">
        <f>Charms!B4431</f>
        <v>0</v>
      </c>
      <c r="C4431" t="b">
        <f ca="1">OR(Values!$S$98&gt;=Charms!M4431,IFERROR(Charms!J4431=OFFSET(Values!$A$24,MATCH("S",Values!$T$25:$T$50,0),0),FALSE))</f>
        <v>1</v>
      </c>
      <c r="D4431" t="e">
        <f>VLOOKUP(Charms!J4431,Values!$A$11:$S$59,19,0)&gt;=Charms!L4431</f>
        <v>#N/A</v>
      </c>
      <c r="E4431" t="e">
        <f>OR(ISBLANK(Charms!I4431),(VLOOKUP(Values!$S$6,Castes!$B$2:$F$25,4,0)=Charms!I4431))</f>
        <v>#N/A</v>
      </c>
      <c r="J4431" t="e">
        <f t="shared" ca="1" si="346"/>
        <v>#N/A</v>
      </c>
      <c r="K4431" s="18" t="e">
        <f t="shared" ca="1" si="345"/>
        <v>#N/A</v>
      </c>
      <c r="L4431" t="e">
        <f ca="1">IF(J4431,Charms!B4431,"")</f>
        <v>#N/A</v>
      </c>
      <c r="M4431" t="str">
        <f t="shared" ca="1" si="347"/>
        <v>-</v>
      </c>
      <c r="N4431" s="18" t="str">
        <f t="shared" si="348"/>
        <v>K1622:L5000</v>
      </c>
      <c r="O4431" t="str">
        <f t="shared" si="349"/>
        <v>A1622:A4431</v>
      </c>
    </row>
    <row r="4432" spans="1:15">
      <c r="A4432" s="18">
        <f>Charms!K4432</f>
        <v>0</v>
      </c>
      <c r="B4432">
        <f>Charms!B4432</f>
        <v>0</v>
      </c>
      <c r="C4432" t="b">
        <f ca="1">OR(Values!$S$98&gt;=Charms!M4432,IFERROR(Charms!J4432=OFFSET(Values!$A$24,MATCH("S",Values!$T$25:$T$50,0),0),FALSE))</f>
        <v>1</v>
      </c>
      <c r="D4432" t="e">
        <f>VLOOKUP(Charms!J4432,Values!$A$11:$S$59,19,0)&gt;=Charms!L4432</f>
        <v>#N/A</v>
      </c>
      <c r="E4432" t="e">
        <f>OR(ISBLANK(Charms!I4432),(VLOOKUP(Values!$S$6,Castes!$B$2:$F$25,4,0)=Charms!I4432))</f>
        <v>#N/A</v>
      </c>
      <c r="J4432" t="e">
        <f t="shared" ca="1" si="346"/>
        <v>#N/A</v>
      </c>
      <c r="K4432" s="18" t="e">
        <f t="shared" ca="1" si="345"/>
        <v>#N/A</v>
      </c>
      <c r="L4432" t="e">
        <f ca="1">IF(J4432,Charms!B4432,"")</f>
        <v>#N/A</v>
      </c>
      <c r="M4432" t="str">
        <f t="shared" ca="1" si="347"/>
        <v>-</v>
      </c>
      <c r="N4432" s="18" t="str">
        <f t="shared" si="348"/>
        <v>K1622:L5000</v>
      </c>
      <c r="O4432" t="str">
        <f t="shared" si="349"/>
        <v>A1622:A4432</v>
      </c>
    </row>
    <row r="4433" spans="1:15">
      <c r="A4433" s="18">
        <f>Charms!K4433</f>
        <v>0</v>
      </c>
      <c r="B4433">
        <f>Charms!B4433</f>
        <v>0</v>
      </c>
      <c r="C4433" t="b">
        <f ca="1">OR(Values!$S$98&gt;=Charms!M4433,IFERROR(Charms!J4433=OFFSET(Values!$A$24,MATCH("S",Values!$T$25:$T$50,0),0),FALSE))</f>
        <v>1</v>
      </c>
      <c r="D4433" t="e">
        <f>VLOOKUP(Charms!J4433,Values!$A$11:$S$59,19,0)&gt;=Charms!L4433</f>
        <v>#N/A</v>
      </c>
      <c r="E4433" t="e">
        <f>OR(ISBLANK(Charms!I4433),(VLOOKUP(Values!$S$6,Castes!$B$2:$F$25,4,0)=Charms!I4433))</f>
        <v>#N/A</v>
      </c>
      <c r="J4433" t="e">
        <f t="shared" ca="1" si="346"/>
        <v>#N/A</v>
      </c>
      <c r="K4433" s="18" t="e">
        <f t="shared" ca="1" si="345"/>
        <v>#N/A</v>
      </c>
      <c r="L4433" t="e">
        <f ca="1">IF(J4433,Charms!B4433,"")</f>
        <v>#N/A</v>
      </c>
      <c r="M4433" t="str">
        <f t="shared" ca="1" si="347"/>
        <v>-</v>
      </c>
      <c r="N4433" s="18" t="str">
        <f t="shared" si="348"/>
        <v>K1622:L5000</v>
      </c>
      <c r="O4433" t="str">
        <f t="shared" si="349"/>
        <v>A1622:A4433</v>
      </c>
    </row>
    <row r="4434" spans="1:15">
      <c r="A4434" s="18">
        <f>Charms!K4434</f>
        <v>0</v>
      </c>
      <c r="B4434">
        <f>Charms!B4434</f>
        <v>0</v>
      </c>
      <c r="C4434" t="b">
        <f ca="1">OR(Values!$S$98&gt;=Charms!M4434,IFERROR(Charms!J4434=OFFSET(Values!$A$24,MATCH("S",Values!$T$25:$T$50,0),0),FALSE))</f>
        <v>1</v>
      </c>
      <c r="D4434" t="e">
        <f>VLOOKUP(Charms!J4434,Values!$A$11:$S$59,19,0)&gt;=Charms!L4434</f>
        <v>#N/A</v>
      </c>
      <c r="E4434" t="e">
        <f>OR(ISBLANK(Charms!I4434),(VLOOKUP(Values!$S$6,Castes!$B$2:$F$25,4,0)=Charms!I4434))</f>
        <v>#N/A</v>
      </c>
      <c r="J4434" t="e">
        <f t="shared" ca="1" si="346"/>
        <v>#N/A</v>
      </c>
      <c r="K4434" s="18" t="e">
        <f t="shared" ca="1" si="345"/>
        <v>#N/A</v>
      </c>
      <c r="L4434" t="e">
        <f ca="1">IF(J4434,Charms!B4434,"")</f>
        <v>#N/A</v>
      </c>
      <c r="M4434" t="str">
        <f t="shared" ca="1" si="347"/>
        <v>-</v>
      </c>
      <c r="N4434" s="18" t="str">
        <f t="shared" si="348"/>
        <v>K1622:L5000</v>
      </c>
      <c r="O4434" t="str">
        <f t="shared" si="349"/>
        <v>A1622:A4434</v>
      </c>
    </row>
    <row r="4435" spans="1:15">
      <c r="A4435" s="18">
        <f>Charms!K4435</f>
        <v>0</v>
      </c>
      <c r="B4435">
        <f>Charms!B4435</f>
        <v>0</v>
      </c>
      <c r="C4435" t="b">
        <f ca="1">OR(Values!$S$98&gt;=Charms!M4435,IFERROR(Charms!J4435=OFFSET(Values!$A$24,MATCH("S",Values!$T$25:$T$50,0),0),FALSE))</f>
        <v>1</v>
      </c>
      <c r="D4435" t="e">
        <f>VLOOKUP(Charms!J4435,Values!$A$11:$S$59,19,0)&gt;=Charms!L4435</f>
        <v>#N/A</v>
      </c>
      <c r="E4435" t="e">
        <f>OR(ISBLANK(Charms!I4435),(VLOOKUP(Values!$S$6,Castes!$B$2:$F$25,4,0)=Charms!I4435))</f>
        <v>#N/A</v>
      </c>
      <c r="J4435" t="e">
        <f t="shared" ca="1" si="346"/>
        <v>#N/A</v>
      </c>
      <c r="K4435" s="18" t="e">
        <f t="shared" ca="1" si="345"/>
        <v>#N/A</v>
      </c>
      <c r="L4435" t="e">
        <f ca="1">IF(J4435,Charms!B4435,"")</f>
        <v>#N/A</v>
      </c>
      <c r="M4435" t="str">
        <f t="shared" ca="1" si="347"/>
        <v>-</v>
      </c>
      <c r="N4435" s="18" t="str">
        <f t="shared" si="348"/>
        <v>K1622:L5000</v>
      </c>
      <c r="O4435" t="str">
        <f t="shared" si="349"/>
        <v>A1622:A4435</v>
      </c>
    </row>
    <row r="4436" spans="1:15">
      <c r="A4436" s="18">
        <f>Charms!K4436</f>
        <v>0</v>
      </c>
      <c r="B4436">
        <f>Charms!B4436</f>
        <v>0</v>
      </c>
      <c r="C4436" t="b">
        <f ca="1">OR(Values!$S$98&gt;=Charms!M4436,IFERROR(Charms!J4436=OFFSET(Values!$A$24,MATCH("S",Values!$T$25:$T$50,0),0),FALSE))</f>
        <v>1</v>
      </c>
      <c r="D4436" t="e">
        <f>VLOOKUP(Charms!J4436,Values!$A$11:$S$59,19,0)&gt;=Charms!L4436</f>
        <v>#N/A</v>
      </c>
      <c r="E4436" t="e">
        <f>OR(ISBLANK(Charms!I4436),(VLOOKUP(Values!$S$6,Castes!$B$2:$F$25,4,0)=Charms!I4436))</f>
        <v>#N/A</v>
      </c>
      <c r="J4436" t="e">
        <f t="shared" ca="1" si="346"/>
        <v>#N/A</v>
      </c>
      <c r="K4436" s="18" t="e">
        <f t="shared" ca="1" si="345"/>
        <v>#N/A</v>
      </c>
      <c r="L4436" t="e">
        <f ca="1">IF(J4436,Charms!B4436,"")</f>
        <v>#N/A</v>
      </c>
      <c r="M4436" t="str">
        <f t="shared" ca="1" si="347"/>
        <v>-</v>
      </c>
      <c r="N4436" s="18" t="str">
        <f t="shared" si="348"/>
        <v>K1622:L5000</v>
      </c>
      <c r="O4436" t="str">
        <f t="shared" si="349"/>
        <v>A1622:A4436</v>
      </c>
    </row>
    <row r="4437" spans="1:15">
      <c r="A4437" s="18">
        <f>Charms!K4437</f>
        <v>0</v>
      </c>
      <c r="B4437">
        <f>Charms!B4437</f>
        <v>0</v>
      </c>
      <c r="C4437" t="b">
        <f ca="1">OR(Values!$S$98&gt;=Charms!M4437,IFERROR(Charms!J4437=OFFSET(Values!$A$24,MATCH("S",Values!$T$25:$T$50,0),0),FALSE))</f>
        <v>1</v>
      </c>
      <c r="D4437" t="e">
        <f>VLOOKUP(Charms!J4437,Values!$A$11:$S$59,19,0)&gt;=Charms!L4437</f>
        <v>#N/A</v>
      </c>
      <c r="E4437" t="e">
        <f>OR(ISBLANK(Charms!I4437),(VLOOKUP(Values!$S$6,Castes!$B$2:$F$25,4,0)=Charms!I4437))</f>
        <v>#N/A</v>
      </c>
      <c r="J4437" t="e">
        <f t="shared" ca="1" si="346"/>
        <v>#N/A</v>
      </c>
      <c r="K4437" s="18" t="e">
        <f t="shared" ca="1" si="345"/>
        <v>#N/A</v>
      </c>
      <c r="L4437" t="e">
        <f ca="1">IF(J4437,Charms!B4437,"")</f>
        <v>#N/A</v>
      </c>
      <c r="M4437" t="str">
        <f t="shared" ca="1" si="347"/>
        <v>-</v>
      </c>
      <c r="N4437" s="18" t="str">
        <f t="shared" si="348"/>
        <v>K1622:L5000</v>
      </c>
      <c r="O4437" t="str">
        <f t="shared" si="349"/>
        <v>A1622:A4437</v>
      </c>
    </row>
    <row r="4438" spans="1:15">
      <c r="A4438" s="18">
        <f>Charms!K4438</f>
        <v>0</v>
      </c>
      <c r="B4438">
        <f>Charms!B4438</f>
        <v>0</v>
      </c>
      <c r="C4438" t="b">
        <f ca="1">OR(Values!$S$98&gt;=Charms!M4438,IFERROR(Charms!J4438=OFFSET(Values!$A$24,MATCH("S",Values!$T$25:$T$50,0),0),FALSE))</f>
        <v>1</v>
      </c>
      <c r="D4438" t="e">
        <f>VLOOKUP(Charms!J4438,Values!$A$11:$S$59,19,0)&gt;=Charms!L4438</f>
        <v>#N/A</v>
      </c>
      <c r="E4438" t="e">
        <f>OR(ISBLANK(Charms!I4438),(VLOOKUP(Values!$S$6,Castes!$B$2:$F$25,4,0)=Charms!I4438))</f>
        <v>#N/A</v>
      </c>
      <c r="J4438" t="e">
        <f t="shared" ca="1" si="346"/>
        <v>#N/A</v>
      </c>
      <c r="K4438" s="18" t="e">
        <f t="shared" ca="1" si="345"/>
        <v>#N/A</v>
      </c>
      <c r="L4438" t="e">
        <f ca="1">IF(J4438,Charms!B4438,"")</f>
        <v>#N/A</v>
      </c>
      <c r="M4438" t="str">
        <f t="shared" ca="1" si="347"/>
        <v>-</v>
      </c>
      <c r="N4438" s="18" t="str">
        <f t="shared" si="348"/>
        <v>K1622:L5000</v>
      </c>
      <c r="O4438" t="str">
        <f t="shared" si="349"/>
        <v>A1622:A4438</v>
      </c>
    </row>
    <row r="4439" spans="1:15">
      <c r="A4439" s="18">
        <f>Charms!K4439</f>
        <v>0</v>
      </c>
      <c r="B4439">
        <f>Charms!B4439</f>
        <v>0</v>
      </c>
      <c r="C4439" t="b">
        <f ca="1">OR(Values!$S$98&gt;=Charms!M4439,IFERROR(Charms!J4439=OFFSET(Values!$A$24,MATCH("S",Values!$T$25:$T$50,0),0),FALSE))</f>
        <v>1</v>
      </c>
      <c r="D4439" t="e">
        <f>VLOOKUP(Charms!J4439,Values!$A$11:$S$59,19,0)&gt;=Charms!L4439</f>
        <v>#N/A</v>
      </c>
      <c r="E4439" t="e">
        <f>OR(ISBLANK(Charms!I4439),(VLOOKUP(Values!$S$6,Castes!$B$2:$F$25,4,0)=Charms!I4439))</f>
        <v>#N/A</v>
      </c>
      <c r="J4439" t="e">
        <f t="shared" ca="1" si="346"/>
        <v>#N/A</v>
      </c>
      <c r="K4439" s="18" t="e">
        <f t="shared" ca="1" si="345"/>
        <v>#N/A</v>
      </c>
      <c r="L4439" t="e">
        <f ca="1">IF(J4439,Charms!B4439,"")</f>
        <v>#N/A</v>
      </c>
      <c r="M4439" t="str">
        <f t="shared" ca="1" si="347"/>
        <v>-</v>
      </c>
      <c r="N4439" s="18" t="str">
        <f t="shared" si="348"/>
        <v>K1622:L5000</v>
      </c>
      <c r="O4439" t="str">
        <f t="shared" si="349"/>
        <v>A1622:A4439</v>
      </c>
    </row>
    <row r="4440" spans="1:15">
      <c r="A4440" s="18">
        <f>Charms!K4440</f>
        <v>0</v>
      </c>
      <c r="B4440">
        <f>Charms!B4440</f>
        <v>0</v>
      </c>
      <c r="C4440" t="b">
        <f ca="1">OR(Values!$S$98&gt;=Charms!M4440,IFERROR(Charms!J4440=OFFSET(Values!$A$24,MATCH("S",Values!$T$25:$T$50,0),0),FALSE))</f>
        <v>1</v>
      </c>
      <c r="D4440" t="e">
        <f>VLOOKUP(Charms!J4440,Values!$A$11:$S$59,19,0)&gt;=Charms!L4440</f>
        <v>#N/A</v>
      </c>
      <c r="E4440" t="e">
        <f>OR(ISBLANK(Charms!I4440),(VLOOKUP(Values!$S$6,Castes!$B$2:$F$25,4,0)=Charms!I4440))</f>
        <v>#N/A</v>
      </c>
      <c r="J4440" t="e">
        <f t="shared" ca="1" si="346"/>
        <v>#N/A</v>
      </c>
      <c r="K4440" s="18" t="e">
        <f t="shared" ca="1" si="345"/>
        <v>#N/A</v>
      </c>
      <c r="L4440" t="e">
        <f ca="1">IF(J4440,Charms!B4440,"")</f>
        <v>#N/A</v>
      </c>
      <c r="M4440" t="str">
        <f t="shared" ca="1" si="347"/>
        <v>-</v>
      </c>
      <c r="N4440" s="18" t="str">
        <f t="shared" si="348"/>
        <v>K1622:L5000</v>
      </c>
      <c r="O4440" t="str">
        <f t="shared" si="349"/>
        <v>A1622:A4440</v>
      </c>
    </row>
    <row r="4441" spans="1:15">
      <c r="A4441" s="18">
        <f>Charms!K4441</f>
        <v>0</v>
      </c>
      <c r="B4441">
        <f>Charms!B4441</f>
        <v>0</v>
      </c>
      <c r="C4441" t="b">
        <f ca="1">OR(Values!$S$98&gt;=Charms!M4441,IFERROR(Charms!J4441=OFFSET(Values!$A$24,MATCH("S",Values!$T$25:$T$50,0),0),FALSE))</f>
        <v>1</v>
      </c>
      <c r="D4441" t="e">
        <f>VLOOKUP(Charms!J4441,Values!$A$11:$S$59,19,0)&gt;=Charms!L4441</f>
        <v>#N/A</v>
      </c>
      <c r="E4441" t="e">
        <f>OR(ISBLANK(Charms!I4441),(VLOOKUP(Values!$S$6,Castes!$B$2:$F$25,4,0)=Charms!I4441))</f>
        <v>#N/A</v>
      </c>
      <c r="J4441" t="e">
        <f t="shared" ca="1" si="346"/>
        <v>#N/A</v>
      </c>
      <c r="K4441" s="18" t="e">
        <f t="shared" ca="1" si="345"/>
        <v>#N/A</v>
      </c>
      <c r="L4441" t="e">
        <f ca="1">IF(J4441,Charms!B4441,"")</f>
        <v>#N/A</v>
      </c>
      <c r="M4441" t="str">
        <f t="shared" ca="1" si="347"/>
        <v>-</v>
      </c>
      <c r="N4441" s="18" t="str">
        <f t="shared" si="348"/>
        <v>K1622:L5000</v>
      </c>
      <c r="O4441" t="str">
        <f t="shared" si="349"/>
        <v>A1622:A4441</v>
      </c>
    </row>
    <row r="4442" spans="1:15">
      <c r="A4442" s="18">
        <f>Charms!K4442</f>
        <v>0</v>
      </c>
      <c r="B4442">
        <f>Charms!B4442</f>
        <v>0</v>
      </c>
      <c r="C4442" t="b">
        <f ca="1">OR(Values!$S$98&gt;=Charms!M4442,IFERROR(Charms!J4442=OFFSET(Values!$A$24,MATCH("S",Values!$T$25:$T$50,0),0),FALSE))</f>
        <v>1</v>
      </c>
      <c r="D4442" t="e">
        <f>VLOOKUP(Charms!J4442,Values!$A$11:$S$59,19,0)&gt;=Charms!L4442</f>
        <v>#N/A</v>
      </c>
      <c r="E4442" t="e">
        <f>OR(ISBLANK(Charms!I4442),(VLOOKUP(Values!$S$6,Castes!$B$2:$F$25,4,0)=Charms!I4442))</f>
        <v>#N/A</v>
      </c>
      <c r="J4442" t="e">
        <f t="shared" ca="1" si="346"/>
        <v>#N/A</v>
      </c>
      <c r="K4442" s="18" t="e">
        <f t="shared" ca="1" si="345"/>
        <v>#N/A</v>
      </c>
      <c r="L4442" t="e">
        <f ca="1">IF(J4442,Charms!B4442,"")</f>
        <v>#N/A</v>
      </c>
      <c r="M4442" t="str">
        <f t="shared" ca="1" si="347"/>
        <v>-</v>
      </c>
      <c r="N4442" s="18" t="str">
        <f t="shared" si="348"/>
        <v>K1622:L5000</v>
      </c>
      <c r="O4442" t="str">
        <f t="shared" si="349"/>
        <v>A1622:A4442</v>
      </c>
    </row>
    <row r="4443" spans="1:15">
      <c r="A4443" s="18">
        <f>Charms!K4443</f>
        <v>0</v>
      </c>
      <c r="B4443">
        <f>Charms!B4443</f>
        <v>0</v>
      </c>
      <c r="C4443" t="b">
        <f ca="1">OR(Values!$S$98&gt;=Charms!M4443,IFERROR(Charms!J4443=OFFSET(Values!$A$24,MATCH("S",Values!$T$25:$T$50,0),0),FALSE))</f>
        <v>1</v>
      </c>
      <c r="D4443" t="e">
        <f>VLOOKUP(Charms!J4443,Values!$A$11:$S$59,19,0)&gt;=Charms!L4443</f>
        <v>#N/A</v>
      </c>
      <c r="E4443" t="e">
        <f>OR(ISBLANK(Charms!I4443),(VLOOKUP(Values!$S$6,Castes!$B$2:$F$25,4,0)=Charms!I4443))</f>
        <v>#N/A</v>
      </c>
      <c r="J4443" t="e">
        <f t="shared" ca="1" si="346"/>
        <v>#N/A</v>
      </c>
      <c r="K4443" s="18" t="e">
        <f t="shared" ca="1" si="345"/>
        <v>#N/A</v>
      </c>
      <c r="L4443" t="e">
        <f ca="1">IF(J4443,Charms!B4443,"")</f>
        <v>#N/A</v>
      </c>
      <c r="M4443" t="str">
        <f t="shared" ca="1" si="347"/>
        <v>-</v>
      </c>
      <c r="N4443" s="18" t="str">
        <f t="shared" si="348"/>
        <v>K1622:L5000</v>
      </c>
      <c r="O4443" t="str">
        <f t="shared" si="349"/>
        <v>A1622:A4443</v>
      </c>
    </row>
    <row r="4444" spans="1:15">
      <c r="A4444" s="18">
        <f>Charms!K4444</f>
        <v>0</v>
      </c>
      <c r="B4444">
        <f>Charms!B4444</f>
        <v>0</v>
      </c>
      <c r="C4444" t="b">
        <f ca="1">OR(Values!$S$98&gt;=Charms!M4444,IFERROR(Charms!J4444=OFFSET(Values!$A$24,MATCH("S",Values!$T$25:$T$50,0),0),FALSE))</f>
        <v>1</v>
      </c>
      <c r="D4444" t="e">
        <f>VLOOKUP(Charms!J4444,Values!$A$11:$S$59,19,0)&gt;=Charms!L4444</f>
        <v>#N/A</v>
      </c>
      <c r="E4444" t="e">
        <f>OR(ISBLANK(Charms!I4444),(VLOOKUP(Values!$S$6,Castes!$B$2:$F$25,4,0)=Charms!I4444))</f>
        <v>#N/A</v>
      </c>
      <c r="J4444" t="e">
        <f t="shared" ca="1" si="346"/>
        <v>#N/A</v>
      </c>
      <c r="K4444" s="18" t="e">
        <f t="shared" ca="1" si="345"/>
        <v>#N/A</v>
      </c>
      <c r="L4444" t="e">
        <f ca="1">IF(J4444,Charms!B4444,"")</f>
        <v>#N/A</v>
      </c>
      <c r="M4444" t="str">
        <f t="shared" ca="1" si="347"/>
        <v>-</v>
      </c>
      <c r="N4444" s="18" t="str">
        <f t="shared" si="348"/>
        <v>K1622:L5000</v>
      </c>
      <c r="O4444" t="str">
        <f t="shared" si="349"/>
        <v>A1622:A4444</v>
      </c>
    </row>
    <row r="4445" spans="1:15">
      <c r="A4445" s="18">
        <f>Charms!K4445</f>
        <v>0</v>
      </c>
      <c r="B4445">
        <f>Charms!B4445</f>
        <v>0</v>
      </c>
      <c r="C4445" t="b">
        <f ca="1">OR(Values!$S$98&gt;=Charms!M4445,IFERROR(Charms!J4445=OFFSET(Values!$A$24,MATCH("S",Values!$T$25:$T$50,0),0),FALSE))</f>
        <v>1</v>
      </c>
      <c r="D4445" t="e">
        <f>VLOOKUP(Charms!J4445,Values!$A$11:$S$59,19,0)&gt;=Charms!L4445</f>
        <v>#N/A</v>
      </c>
      <c r="E4445" t="e">
        <f>OR(ISBLANK(Charms!I4445),(VLOOKUP(Values!$S$6,Castes!$B$2:$F$25,4,0)=Charms!I4445))</f>
        <v>#N/A</v>
      </c>
      <c r="J4445" t="e">
        <f t="shared" ca="1" si="346"/>
        <v>#N/A</v>
      </c>
      <c r="K4445" s="18" t="e">
        <f t="shared" ca="1" si="345"/>
        <v>#N/A</v>
      </c>
      <c r="L4445" t="e">
        <f ca="1">IF(J4445,Charms!B4445,"")</f>
        <v>#N/A</v>
      </c>
      <c r="M4445" t="str">
        <f t="shared" ca="1" si="347"/>
        <v>-</v>
      </c>
      <c r="N4445" s="18" t="str">
        <f t="shared" si="348"/>
        <v>K1622:L5000</v>
      </c>
      <c r="O4445" t="str">
        <f t="shared" si="349"/>
        <v>A1622:A4445</v>
      </c>
    </row>
    <row r="4446" spans="1:15">
      <c r="A4446" s="18">
        <f>Charms!K4446</f>
        <v>0</v>
      </c>
      <c r="B4446">
        <f>Charms!B4446</f>
        <v>0</v>
      </c>
      <c r="C4446" t="b">
        <f ca="1">OR(Values!$S$98&gt;=Charms!M4446,IFERROR(Charms!J4446=OFFSET(Values!$A$24,MATCH("S",Values!$T$25:$T$50,0),0),FALSE))</f>
        <v>1</v>
      </c>
      <c r="D4446" t="e">
        <f>VLOOKUP(Charms!J4446,Values!$A$11:$S$59,19,0)&gt;=Charms!L4446</f>
        <v>#N/A</v>
      </c>
      <c r="E4446" t="e">
        <f>OR(ISBLANK(Charms!I4446),(VLOOKUP(Values!$S$6,Castes!$B$2:$F$25,4,0)=Charms!I4446))</f>
        <v>#N/A</v>
      </c>
      <c r="J4446" t="e">
        <f t="shared" ca="1" si="346"/>
        <v>#N/A</v>
      </c>
      <c r="K4446" s="18" t="e">
        <f t="shared" ca="1" si="345"/>
        <v>#N/A</v>
      </c>
      <c r="L4446" t="e">
        <f ca="1">IF(J4446,Charms!B4446,"")</f>
        <v>#N/A</v>
      </c>
      <c r="M4446" t="str">
        <f t="shared" ca="1" si="347"/>
        <v>-</v>
      </c>
      <c r="N4446" s="18" t="str">
        <f t="shared" si="348"/>
        <v>K1622:L5000</v>
      </c>
      <c r="O4446" t="str">
        <f t="shared" si="349"/>
        <v>A1622:A4446</v>
      </c>
    </row>
    <row r="4447" spans="1:15">
      <c r="A4447" s="18">
        <f>Charms!K4447</f>
        <v>0</v>
      </c>
      <c r="B4447">
        <f>Charms!B4447</f>
        <v>0</v>
      </c>
      <c r="C4447" t="b">
        <f ca="1">OR(Values!$S$98&gt;=Charms!M4447,IFERROR(Charms!J4447=OFFSET(Values!$A$24,MATCH("S",Values!$T$25:$T$50,0),0),FALSE))</f>
        <v>1</v>
      </c>
      <c r="D4447" t="e">
        <f>VLOOKUP(Charms!J4447,Values!$A$11:$S$59,19,0)&gt;=Charms!L4447</f>
        <v>#N/A</v>
      </c>
      <c r="E4447" t="e">
        <f>OR(ISBLANK(Charms!I4447),(VLOOKUP(Values!$S$6,Castes!$B$2:$F$25,4,0)=Charms!I4447))</f>
        <v>#N/A</v>
      </c>
      <c r="J4447" t="e">
        <f t="shared" ca="1" si="346"/>
        <v>#N/A</v>
      </c>
      <c r="K4447" s="18" t="e">
        <f t="shared" ca="1" si="345"/>
        <v>#N/A</v>
      </c>
      <c r="L4447" t="e">
        <f ca="1">IF(J4447,Charms!B4447,"")</f>
        <v>#N/A</v>
      </c>
      <c r="M4447" t="str">
        <f t="shared" ca="1" si="347"/>
        <v>-</v>
      </c>
      <c r="N4447" s="18" t="str">
        <f t="shared" si="348"/>
        <v>K1622:L5000</v>
      </c>
      <c r="O4447" t="str">
        <f t="shared" si="349"/>
        <v>A1622:A4447</v>
      </c>
    </row>
    <row r="4448" spans="1:15">
      <c r="A4448" s="18">
        <f>Charms!K4448</f>
        <v>0</v>
      </c>
      <c r="B4448">
        <f>Charms!B4448</f>
        <v>0</v>
      </c>
      <c r="C4448" t="b">
        <f ca="1">OR(Values!$S$98&gt;=Charms!M4448,IFERROR(Charms!J4448=OFFSET(Values!$A$24,MATCH("S",Values!$T$25:$T$50,0),0),FALSE))</f>
        <v>1</v>
      </c>
      <c r="D4448" t="e">
        <f>VLOOKUP(Charms!J4448,Values!$A$11:$S$59,19,0)&gt;=Charms!L4448</f>
        <v>#N/A</v>
      </c>
      <c r="E4448" t="e">
        <f>OR(ISBLANK(Charms!I4448),(VLOOKUP(Values!$S$6,Castes!$B$2:$F$25,4,0)=Charms!I4448))</f>
        <v>#N/A</v>
      </c>
      <c r="J4448" t="e">
        <f t="shared" ca="1" si="346"/>
        <v>#N/A</v>
      </c>
      <c r="K4448" s="18" t="e">
        <f t="shared" ca="1" si="345"/>
        <v>#N/A</v>
      </c>
      <c r="L4448" t="e">
        <f ca="1">IF(J4448,Charms!B4448,"")</f>
        <v>#N/A</v>
      </c>
      <c r="M4448" t="str">
        <f t="shared" ca="1" si="347"/>
        <v>-</v>
      </c>
      <c r="N4448" s="18" t="str">
        <f t="shared" si="348"/>
        <v>K1622:L5000</v>
      </c>
      <c r="O4448" t="str">
        <f t="shared" si="349"/>
        <v>A1622:A4448</v>
      </c>
    </row>
    <row r="4449" spans="1:15">
      <c r="A4449" s="18">
        <f>Charms!K4449</f>
        <v>0</v>
      </c>
      <c r="B4449">
        <f>Charms!B4449</f>
        <v>0</v>
      </c>
      <c r="C4449" t="b">
        <f ca="1">OR(Values!$S$98&gt;=Charms!M4449,IFERROR(Charms!J4449=OFFSET(Values!$A$24,MATCH("S",Values!$T$25:$T$50,0),0),FALSE))</f>
        <v>1</v>
      </c>
      <c r="D4449" t="e">
        <f>VLOOKUP(Charms!J4449,Values!$A$11:$S$59,19,0)&gt;=Charms!L4449</f>
        <v>#N/A</v>
      </c>
      <c r="E4449" t="e">
        <f>OR(ISBLANK(Charms!I4449),(VLOOKUP(Values!$S$6,Castes!$B$2:$F$25,4,0)=Charms!I4449))</f>
        <v>#N/A</v>
      </c>
      <c r="J4449" t="e">
        <f t="shared" ca="1" si="346"/>
        <v>#N/A</v>
      </c>
      <c r="K4449" s="18" t="e">
        <f t="shared" ca="1" si="345"/>
        <v>#N/A</v>
      </c>
      <c r="L4449" t="e">
        <f ca="1">IF(J4449,Charms!B4449,"")</f>
        <v>#N/A</v>
      </c>
      <c r="M4449" t="str">
        <f t="shared" ca="1" si="347"/>
        <v>-</v>
      </c>
      <c r="N4449" s="18" t="str">
        <f t="shared" si="348"/>
        <v>K1622:L5000</v>
      </c>
      <c r="O4449" t="str">
        <f t="shared" si="349"/>
        <v>A1622:A4449</v>
      </c>
    </row>
    <row r="4450" spans="1:15">
      <c r="A4450" s="18">
        <f>Charms!K4450</f>
        <v>0</v>
      </c>
      <c r="B4450">
        <f>Charms!B4450</f>
        <v>0</v>
      </c>
      <c r="C4450" t="b">
        <f ca="1">OR(Values!$S$98&gt;=Charms!M4450,IFERROR(Charms!J4450=OFFSET(Values!$A$24,MATCH("S",Values!$T$25:$T$50,0),0),FALSE))</f>
        <v>1</v>
      </c>
      <c r="D4450" t="e">
        <f>VLOOKUP(Charms!J4450,Values!$A$11:$S$59,19,0)&gt;=Charms!L4450</f>
        <v>#N/A</v>
      </c>
      <c r="E4450" t="e">
        <f>OR(ISBLANK(Charms!I4450),(VLOOKUP(Values!$S$6,Castes!$B$2:$F$25,4,0)=Charms!I4450))</f>
        <v>#N/A</v>
      </c>
      <c r="J4450" t="e">
        <f t="shared" ca="1" si="346"/>
        <v>#N/A</v>
      </c>
      <c r="K4450" s="18" t="e">
        <f t="shared" ca="1" si="345"/>
        <v>#N/A</v>
      </c>
      <c r="L4450" t="e">
        <f ca="1">IF(J4450,Charms!B4450,"")</f>
        <v>#N/A</v>
      </c>
      <c r="M4450" t="str">
        <f t="shared" ca="1" si="347"/>
        <v>-</v>
      </c>
      <c r="N4450" s="18" t="str">
        <f t="shared" si="348"/>
        <v>K1622:L5000</v>
      </c>
      <c r="O4450" t="str">
        <f t="shared" si="349"/>
        <v>A1622:A4450</v>
      </c>
    </row>
    <row r="4451" spans="1:15">
      <c r="A4451" s="18">
        <f>Charms!K4451</f>
        <v>0</v>
      </c>
      <c r="B4451">
        <f>Charms!B4451</f>
        <v>0</v>
      </c>
      <c r="C4451" t="b">
        <f ca="1">OR(Values!$S$98&gt;=Charms!M4451,IFERROR(Charms!J4451=OFFSET(Values!$A$24,MATCH("S",Values!$T$25:$T$50,0),0),FALSE))</f>
        <v>1</v>
      </c>
      <c r="D4451" t="e">
        <f>VLOOKUP(Charms!J4451,Values!$A$11:$S$59,19,0)&gt;=Charms!L4451</f>
        <v>#N/A</v>
      </c>
      <c r="E4451" t="e">
        <f>OR(ISBLANK(Charms!I4451),(VLOOKUP(Values!$S$6,Castes!$B$2:$F$25,4,0)=Charms!I4451))</f>
        <v>#N/A</v>
      </c>
      <c r="J4451" t="e">
        <f t="shared" ca="1" si="346"/>
        <v>#N/A</v>
      </c>
      <c r="K4451" s="18" t="e">
        <f t="shared" ca="1" si="345"/>
        <v>#N/A</v>
      </c>
      <c r="L4451" t="e">
        <f ca="1">IF(J4451,Charms!B4451,"")</f>
        <v>#N/A</v>
      </c>
      <c r="M4451" t="str">
        <f t="shared" ca="1" si="347"/>
        <v>-</v>
      </c>
      <c r="N4451" s="18" t="str">
        <f t="shared" si="348"/>
        <v>K1622:L5000</v>
      </c>
      <c r="O4451" t="str">
        <f t="shared" si="349"/>
        <v>A1622:A4451</v>
      </c>
    </row>
    <row r="4452" spans="1:15">
      <c r="A4452" s="18">
        <f>Charms!K4452</f>
        <v>0</v>
      </c>
      <c r="B4452">
        <f>Charms!B4452</f>
        <v>0</v>
      </c>
      <c r="C4452" t="b">
        <f ca="1">OR(Values!$S$98&gt;=Charms!M4452,IFERROR(Charms!J4452=OFFSET(Values!$A$24,MATCH("S",Values!$T$25:$T$50,0),0),FALSE))</f>
        <v>1</v>
      </c>
      <c r="D4452" t="e">
        <f>VLOOKUP(Charms!J4452,Values!$A$11:$S$59,19,0)&gt;=Charms!L4452</f>
        <v>#N/A</v>
      </c>
      <c r="E4452" t="e">
        <f>OR(ISBLANK(Charms!I4452),(VLOOKUP(Values!$S$6,Castes!$B$2:$F$25,4,0)=Charms!I4452))</f>
        <v>#N/A</v>
      </c>
      <c r="J4452" t="e">
        <f t="shared" ca="1" si="346"/>
        <v>#N/A</v>
      </c>
      <c r="K4452" s="18" t="e">
        <f t="shared" ca="1" si="345"/>
        <v>#N/A</v>
      </c>
      <c r="L4452" t="e">
        <f ca="1">IF(J4452,Charms!B4452,"")</f>
        <v>#N/A</v>
      </c>
      <c r="M4452" t="str">
        <f t="shared" ca="1" si="347"/>
        <v>-</v>
      </c>
      <c r="N4452" s="18" t="str">
        <f t="shared" si="348"/>
        <v>K1622:L5000</v>
      </c>
      <c r="O4452" t="str">
        <f t="shared" si="349"/>
        <v>A1622:A4452</v>
      </c>
    </row>
    <row r="4453" spans="1:15">
      <c r="A4453" s="18">
        <f>Charms!K4453</f>
        <v>0</v>
      </c>
      <c r="B4453">
        <f>Charms!B4453</f>
        <v>0</v>
      </c>
      <c r="C4453" t="b">
        <f ca="1">OR(Values!$S$98&gt;=Charms!M4453,IFERROR(Charms!J4453=OFFSET(Values!$A$24,MATCH("S",Values!$T$25:$T$50,0),0),FALSE))</f>
        <v>1</v>
      </c>
      <c r="D4453" t="e">
        <f>VLOOKUP(Charms!J4453,Values!$A$11:$S$59,19,0)&gt;=Charms!L4453</f>
        <v>#N/A</v>
      </c>
      <c r="E4453" t="e">
        <f>OR(ISBLANK(Charms!I4453),(VLOOKUP(Values!$S$6,Castes!$B$2:$F$25,4,0)=Charms!I4453))</f>
        <v>#N/A</v>
      </c>
      <c r="J4453" t="e">
        <f t="shared" ca="1" si="346"/>
        <v>#N/A</v>
      </c>
      <c r="K4453" s="18" t="e">
        <f t="shared" ca="1" si="345"/>
        <v>#N/A</v>
      </c>
      <c r="L4453" t="e">
        <f ca="1">IF(J4453,Charms!B4453,"")</f>
        <v>#N/A</v>
      </c>
      <c r="M4453" t="str">
        <f t="shared" ca="1" si="347"/>
        <v>-</v>
      </c>
      <c r="N4453" s="18" t="str">
        <f t="shared" si="348"/>
        <v>K1622:L5000</v>
      </c>
      <c r="O4453" t="str">
        <f t="shared" si="349"/>
        <v>A1622:A4453</v>
      </c>
    </row>
    <row r="4454" spans="1:15">
      <c r="A4454" s="18">
        <f>Charms!K4454</f>
        <v>0</v>
      </c>
      <c r="B4454">
        <f>Charms!B4454</f>
        <v>0</v>
      </c>
      <c r="C4454" t="b">
        <f ca="1">OR(Values!$S$98&gt;=Charms!M4454,IFERROR(Charms!J4454=OFFSET(Values!$A$24,MATCH("S",Values!$T$25:$T$50,0),0),FALSE))</f>
        <v>1</v>
      </c>
      <c r="D4454" t="e">
        <f>VLOOKUP(Charms!J4454,Values!$A$11:$S$59,19,0)&gt;=Charms!L4454</f>
        <v>#N/A</v>
      </c>
      <c r="E4454" t="e">
        <f>OR(ISBLANK(Charms!I4454),(VLOOKUP(Values!$S$6,Castes!$B$2:$F$25,4,0)=Charms!I4454))</f>
        <v>#N/A</v>
      </c>
      <c r="J4454" t="e">
        <f t="shared" ca="1" si="346"/>
        <v>#N/A</v>
      </c>
      <c r="K4454" s="18" t="e">
        <f t="shared" ca="1" si="345"/>
        <v>#N/A</v>
      </c>
      <c r="L4454" t="e">
        <f ca="1">IF(J4454,Charms!B4454,"")</f>
        <v>#N/A</v>
      </c>
      <c r="M4454" t="str">
        <f t="shared" ca="1" si="347"/>
        <v>-</v>
      </c>
      <c r="N4454" s="18" t="str">
        <f t="shared" si="348"/>
        <v>K1622:L5000</v>
      </c>
      <c r="O4454" t="str">
        <f t="shared" si="349"/>
        <v>A1622:A4454</v>
      </c>
    </row>
    <row r="4455" spans="1:15">
      <c r="A4455" s="18">
        <f>Charms!K4455</f>
        <v>0</v>
      </c>
      <c r="B4455">
        <f>Charms!B4455</f>
        <v>0</v>
      </c>
      <c r="C4455" t="b">
        <f ca="1">OR(Values!$S$98&gt;=Charms!M4455,IFERROR(Charms!J4455=OFFSET(Values!$A$24,MATCH("S",Values!$T$25:$T$50,0),0),FALSE))</f>
        <v>1</v>
      </c>
      <c r="D4455" t="e">
        <f>VLOOKUP(Charms!J4455,Values!$A$11:$S$59,19,0)&gt;=Charms!L4455</f>
        <v>#N/A</v>
      </c>
      <c r="E4455" t="e">
        <f>OR(ISBLANK(Charms!I4455),(VLOOKUP(Values!$S$6,Castes!$B$2:$F$25,4,0)=Charms!I4455))</f>
        <v>#N/A</v>
      </c>
      <c r="J4455" t="e">
        <f t="shared" ca="1" si="346"/>
        <v>#N/A</v>
      </c>
      <c r="K4455" s="18" t="e">
        <f t="shared" ca="1" si="345"/>
        <v>#N/A</v>
      </c>
      <c r="L4455" t="e">
        <f ca="1">IF(J4455,Charms!B4455,"")</f>
        <v>#N/A</v>
      </c>
      <c r="M4455" t="str">
        <f t="shared" ca="1" si="347"/>
        <v>-</v>
      </c>
      <c r="N4455" s="18" t="str">
        <f t="shared" si="348"/>
        <v>K1622:L5000</v>
      </c>
      <c r="O4455" t="str">
        <f t="shared" si="349"/>
        <v>A1622:A4455</v>
      </c>
    </row>
    <row r="4456" spans="1:15">
      <c r="A4456" s="18">
        <f>Charms!K4456</f>
        <v>0</v>
      </c>
      <c r="B4456">
        <f>Charms!B4456</f>
        <v>0</v>
      </c>
      <c r="C4456" t="b">
        <f ca="1">OR(Values!$S$98&gt;=Charms!M4456,IFERROR(Charms!J4456=OFFSET(Values!$A$24,MATCH("S",Values!$T$25:$T$50,0),0),FALSE))</f>
        <v>1</v>
      </c>
      <c r="D4456" t="e">
        <f>VLOOKUP(Charms!J4456,Values!$A$11:$S$59,19,0)&gt;=Charms!L4456</f>
        <v>#N/A</v>
      </c>
      <c r="E4456" t="e">
        <f>OR(ISBLANK(Charms!I4456),(VLOOKUP(Values!$S$6,Castes!$B$2:$F$25,4,0)=Charms!I4456))</f>
        <v>#N/A</v>
      </c>
      <c r="J4456" t="e">
        <f t="shared" ca="1" si="346"/>
        <v>#N/A</v>
      </c>
      <c r="K4456" s="18" t="e">
        <f t="shared" ca="1" si="345"/>
        <v>#N/A</v>
      </c>
      <c r="L4456" t="e">
        <f ca="1">IF(J4456,Charms!B4456,"")</f>
        <v>#N/A</v>
      </c>
      <c r="M4456" t="str">
        <f t="shared" ca="1" si="347"/>
        <v>-</v>
      </c>
      <c r="N4456" s="18" t="str">
        <f t="shared" si="348"/>
        <v>K1622:L5000</v>
      </c>
      <c r="O4456" t="str">
        <f t="shared" si="349"/>
        <v>A1622:A4456</v>
      </c>
    </row>
    <row r="4457" spans="1:15">
      <c r="A4457" s="18">
        <f>Charms!K4457</f>
        <v>0</v>
      </c>
      <c r="B4457">
        <f>Charms!B4457</f>
        <v>0</v>
      </c>
      <c r="C4457" t="b">
        <f ca="1">OR(Values!$S$98&gt;=Charms!M4457,IFERROR(Charms!J4457=OFFSET(Values!$A$24,MATCH("S",Values!$T$25:$T$50,0),0),FALSE))</f>
        <v>1</v>
      </c>
      <c r="D4457" t="e">
        <f>VLOOKUP(Charms!J4457,Values!$A$11:$S$59,19,0)&gt;=Charms!L4457</f>
        <v>#N/A</v>
      </c>
      <c r="E4457" t="e">
        <f>OR(ISBLANK(Charms!I4457),(VLOOKUP(Values!$S$6,Castes!$B$2:$F$25,4,0)=Charms!I4457))</f>
        <v>#N/A</v>
      </c>
      <c r="J4457" t="e">
        <f t="shared" ca="1" si="346"/>
        <v>#N/A</v>
      </c>
      <c r="K4457" s="18" t="e">
        <f t="shared" ca="1" si="345"/>
        <v>#N/A</v>
      </c>
      <c r="L4457" t="e">
        <f ca="1">IF(J4457,Charms!B4457,"")</f>
        <v>#N/A</v>
      </c>
      <c r="M4457" t="str">
        <f t="shared" ca="1" si="347"/>
        <v>-</v>
      </c>
      <c r="N4457" s="18" t="str">
        <f t="shared" si="348"/>
        <v>K1622:L5000</v>
      </c>
      <c r="O4457" t="str">
        <f t="shared" si="349"/>
        <v>A1622:A4457</v>
      </c>
    </row>
    <row r="4458" spans="1:15">
      <c r="A4458" s="18">
        <f>Charms!K4458</f>
        <v>0</v>
      </c>
      <c r="B4458">
        <f>Charms!B4458</f>
        <v>0</v>
      </c>
      <c r="C4458" t="b">
        <f ca="1">OR(Values!$S$98&gt;=Charms!M4458,IFERROR(Charms!J4458=OFFSET(Values!$A$24,MATCH("S",Values!$T$25:$T$50,0),0),FALSE))</f>
        <v>1</v>
      </c>
      <c r="D4458" t="e">
        <f>VLOOKUP(Charms!J4458,Values!$A$11:$S$59,19,0)&gt;=Charms!L4458</f>
        <v>#N/A</v>
      </c>
      <c r="E4458" t="e">
        <f>OR(ISBLANK(Charms!I4458),(VLOOKUP(Values!$S$6,Castes!$B$2:$F$25,4,0)=Charms!I4458))</f>
        <v>#N/A</v>
      </c>
      <c r="J4458" t="e">
        <f t="shared" ca="1" si="346"/>
        <v>#N/A</v>
      </c>
      <c r="K4458" s="18" t="e">
        <f t="shared" ca="1" si="345"/>
        <v>#N/A</v>
      </c>
      <c r="L4458" t="e">
        <f ca="1">IF(J4458,Charms!B4458,"")</f>
        <v>#N/A</v>
      </c>
      <c r="M4458" t="str">
        <f t="shared" ca="1" si="347"/>
        <v>-</v>
      </c>
      <c r="N4458" s="18" t="str">
        <f t="shared" si="348"/>
        <v>K1622:L5000</v>
      </c>
      <c r="O4458" t="str">
        <f t="shared" si="349"/>
        <v>A1622:A4458</v>
      </c>
    </row>
    <row r="4459" spans="1:15">
      <c r="A4459" s="18">
        <f>Charms!K4459</f>
        <v>0</v>
      </c>
      <c r="B4459">
        <f>Charms!B4459</f>
        <v>0</v>
      </c>
      <c r="C4459" t="b">
        <f ca="1">OR(Values!$S$98&gt;=Charms!M4459,IFERROR(Charms!J4459=OFFSET(Values!$A$24,MATCH("S",Values!$T$25:$T$50,0),0),FALSE))</f>
        <v>1</v>
      </c>
      <c r="D4459" t="e">
        <f>VLOOKUP(Charms!J4459,Values!$A$11:$S$59,19,0)&gt;=Charms!L4459</f>
        <v>#N/A</v>
      </c>
      <c r="E4459" t="e">
        <f>OR(ISBLANK(Charms!I4459),(VLOOKUP(Values!$S$6,Castes!$B$2:$F$25,4,0)=Charms!I4459))</f>
        <v>#N/A</v>
      </c>
      <c r="J4459" t="e">
        <f t="shared" ca="1" si="346"/>
        <v>#N/A</v>
      </c>
      <c r="K4459" s="18" t="e">
        <f t="shared" ca="1" si="345"/>
        <v>#N/A</v>
      </c>
      <c r="L4459" t="e">
        <f ca="1">IF(J4459,Charms!B4459,"")</f>
        <v>#N/A</v>
      </c>
      <c r="M4459" t="str">
        <f t="shared" ca="1" si="347"/>
        <v>-</v>
      </c>
      <c r="N4459" s="18" t="str">
        <f t="shared" si="348"/>
        <v>K1622:L5000</v>
      </c>
      <c r="O4459" t="str">
        <f t="shared" si="349"/>
        <v>A1622:A4459</v>
      </c>
    </row>
    <row r="4460" spans="1:15">
      <c r="A4460" s="18">
        <f>Charms!K4460</f>
        <v>0</v>
      </c>
      <c r="B4460">
        <f>Charms!B4460</f>
        <v>0</v>
      </c>
      <c r="C4460" t="b">
        <f ca="1">OR(Values!$S$98&gt;=Charms!M4460,IFERROR(Charms!J4460=OFFSET(Values!$A$24,MATCH("S",Values!$T$25:$T$50,0),0),FALSE))</f>
        <v>1</v>
      </c>
      <c r="D4460" t="e">
        <f>VLOOKUP(Charms!J4460,Values!$A$11:$S$59,19,0)&gt;=Charms!L4460</f>
        <v>#N/A</v>
      </c>
      <c r="E4460" t="e">
        <f>OR(ISBLANK(Charms!I4460),(VLOOKUP(Values!$S$6,Castes!$B$2:$F$25,4,0)=Charms!I4460))</f>
        <v>#N/A</v>
      </c>
      <c r="J4460" t="e">
        <f t="shared" ca="1" si="346"/>
        <v>#N/A</v>
      </c>
      <c r="K4460" s="18" t="e">
        <f t="shared" ca="1" si="345"/>
        <v>#N/A</v>
      </c>
      <c r="L4460" t="e">
        <f ca="1">IF(J4460,Charms!B4460,"")</f>
        <v>#N/A</v>
      </c>
      <c r="M4460" t="str">
        <f t="shared" ca="1" si="347"/>
        <v>-</v>
      </c>
      <c r="N4460" s="18" t="str">
        <f t="shared" si="348"/>
        <v>K1622:L5000</v>
      </c>
      <c r="O4460" t="str">
        <f t="shared" si="349"/>
        <v>A1622:A4460</v>
      </c>
    </row>
    <row r="4461" spans="1:15">
      <c r="A4461" s="18">
        <f>Charms!K4461</f>
        <v>0</v>
      </c>
      <c r="B4461">
        <f>Charms!B4461</f>
        <v>0</v>
      </c>
      <c r="C4461" t="b">
        <f ca="1">OR(Values!$S$98&gt;=Charms!M4461,IFERROR(Charms!J4461=OFFSET(Values!$A$24,MATCH("S",Values!$T$25:$T$50,0),0),FALSE))</f>
        <v>1</v>
      </c>
      <c r="D4461" t="e">
        <f>VLOOKUP(Charms!J4461,Values!$A$11:$S$59,19,0)&gt;=Charms!L4461</f>
        <v>#N/A</v>
      </c>
      <c r="E4461" t="e">
        <f>OR(ISBLANK(Charms!I4461),(VLOOKUP(Values!$S$6,Castes!$B$2:$F$25,4,0)=Charms!I4461))</f>
        <v>#N/A</v>
      </c>
      <c r="J4461" t="e">
        <f t="shared" ca="1" si="346"/>
        <v>#N/A</v>
      </c>
      <c r="K4461" s="18" t="e">
        <f t="shared" ca="1" si="345"/>
        <v>#N/A</v>
      </c>
      <c r="L4461" t="e">
        <f ca="1">IF(J4461,Charms!B4461,"")</f>
        <v>#N/A</v>
      </c>
      <c r="M4461" t="str">
        <f t="shared" ca="1" si="347"/>
        <v>-</v>
      </c>
      <c r="N4461" s="18" t="str">
        <f t="shared" si="348"/>
        <v>K1622:L5000</v>
      </c>
      <c r="O4461" t="str">
        <f t="shared" si="349"/>
        <v>A1622:A4461</v>
      </c>
    </row>
    <row r="4462" spans="1:15">
      <c r="A4462" s="18">
        <f>Charms!K4462</f>
        <v>0</v>
      </c>
      <c r="B4462">
        <f>Charms!B4462</f>
        <v>0</v>
      </c>
      <c r="C4462" t="b">
        <f ca="1">OR(Values!$S$98&gt;=Charms!M4462,IFERROR(Charms!J4462=OFFSET(Values!$A$24,MATCH("S",Values!$T$25:$T$50,0),0),FALSE))</f>
        <v>1</v>
      </c>
      <c r="D4462" t="e">
        <f>VLOOKUP(Charms!J4462,Values!$A$11:$S$59,19,0)&gt;=Charms!L4462</f>
        <v>#N/A</v>
      </c>
      <c r="E4462" t="e">
        <f>OR(ISBLANK(Charms!I4462),(VLOOKUP(Values!$S$6,Castes!$B$2:$F$25,4,0)=Charms!I4462))</f>
        <v>#N/A</v>
      </c>
      <c r="J4462" t="e">
        <f t="shared" ca="1" si="346"/>
        <v>#N/A</v>
      </c>
      <c r="K4462" s="18" t="e">
        <f t="shared" ca="1" si="345"/>
        <v>#N/A</v>
      </c>
      <c r="L4462" t="e">
        <f ca="1">IF(J4462,Charms!B4462,"")</f>
        <v>#N/A</v>
      </c>
      <c r="M4462" t="str">
        <f t="shared" ca="1" si="347"/>
        <v>-</v>
      </c>
      <c r="N4462" s="18" t="str">
        <f t="shared" si="348"/>
        <v>K1622:L5000</v>
      </c>
      <c r="O4462" t="str">
        <f t="shared" si="349"/>
        <v>A1622:A4462</v>
      </c>
    </row>
    <row r="4463" spans="1:15">
      <c r="A4463" s="18">
        <f>Charms!K4463</f>
        <v>0</v>
      </c>
      <c r="B4463">
        <f>Charms!B4463</f>
        <v>0</v>
      </c>
      <c r="C4463" t="b">
        <f ca="1">OR(Values!$S$98&gt;=Charms!M4463,IFERROR(Charms!J4463=OFFSET(Values!$A$24,MATCH("S",Values!$T$25:$T$50,0),0),FALSE))</f>
        <v>1</v>
      </c>
      <c r="D4463" t="e">
        <f>VLOOKUP(Charms!J4463,Values!$A$11:$S$59,19,0)&gt;=Charms!L4463</f>
        <v>#N/A</v>
      </c>
      <c r="E4463" t="e">
        <f>OR(ISBLANK(Charms!I4463),(VLOOKUP(Values!$S$6,Castes!$B$2:$F$25,4,0)=Charms!I4463))</f>
        <v>#N/A</v>
      </c>
      <c r="J4463" t="e">
        <f t="shared" ca="1" si="346"/>
        <v>#N/A</v>
      </c>
      <c r="K4463" s="18" t="e">
        <f t="shared" ca="1" si="345"/>
        <v>#N/A</v>
      </c>
      <c r="L4463" t="e">
        <f ca="1">IF(J4463,Charms!B4463,"")</f>
        <v>#N/A</v>
      </c>
      <c r="M4463" t="str">
        <f t="shared" ca="1" si="347"/>
        <v>-</v>
      </c>
      <c r="N4463" s="18" t="str">
        <f t="shared" si="348"/>
        <v>K1622:L5000</v>
      </c>
      <c r="O4463" t="str">
        <f t="shared" si="349"/>
        <v>A1622:A4463</v>
      </c>
    </row>
    <row r="4464" spans="1:15">
      <c r="A4464" s="18">
        <f>Charms!K4464</f>
        <v>0</v>
      </c>
      <c r="B4464">
        <f>Charms!B4464</f>
        <v>0</v>
      </c>
      <c r="C4464" t="b">
        <f ca="1">OR(Values!$S$98&gt;=Charms!M4464,IFERROR(Charms!J4464=OFFSET(Values!$A$24,MATCH("S",Values!$T$25:$T$50,0),0),FALSE))</f>
        <v>1</v>
      </c>
      <c r="D4464" t="e">
        <f>VLOOKUP(Charms!J4464,Values!$A$11:$S$59,19,0)&gt;=Charms!L4464</f>
        <v>#N/A</v>
      </c>
      <c r="E4464" t="e">
        <f>OR(ISBLANK(Charms!I4464),(VLOOKUP(Values!$S$6,Castes!$B$2:$F$25,4,0)=Charms!I4464))</f>
        <v>#N/A</v>
      </c>
      <c r="J4464" t="e">
        <f t="shared" ca="1" si="346"/>
        <v>#N/A</v>
      </c>
      <c r="K4464" s="18" t="e">
        <f t="shared" ca="1" si="345"/>
        <v>#N/A</v>
      </c>
      <c r="L4464" t="e">
        <f ca="1">IF(J4464,Charms!B4464,"")</f>
        <v>#N/A</v>
      </c>
      <c r="M4464" t="str">
        <f t="shared" ca="1" si="347"/>
        <v>-</v>
      </c>
      <c r="N4464" s="18" t="str">
        <f t="shared" si="348"/>
        <v>K1622:L5000</v>
      </c>
      <c r="O4464" t="str">
        <f t="shared" si="349"/>
        <v>A1622:A4464</v>
      </c>
    </row>
    <row r="4465" spans="1:15">
      <c r="A4465" s="18">
        <f>Charms!K4465</f>
        <v>0</v>
      </c>
      <c r="B4465">
        <f>Charms!B4465</f>
        <v>0</v>
      </c>
      <c r="C4465" t="b">
        <f ca="1">OR(Values!$S$98&gt;=Charms!M4465,IFERROR(Charms!J4465=OFFSET(Values!$A$24,MATCH("S",Values!$T$25:$T$50,0),0),FALSE))</f>
        <v>1</v>
      </c>
      <c r="D4465" t="e">
        <f>VLOOKUP(Charms!J4465,Values!$A$11:$S$59,19,0)&gt;=Charms!L4465</f>
        <v>#N/A</v>
      </c>
      <c r="E4465" t="e">
        <f>OR(ISBLANK(Charms!I4465),(VLOOKUP(Values!$S$6,Castes!$B$2:$F$25,4,0)=Charms!I4465))</f>
        <v>#N/A</v>
      </c>
      <c r="J4465" t="e">
        <f t="shared" ca="1" si="346"/>
        <v>#N/A</v>
      </c>
      <c r="K4465" s="18" t="e">
        <f t="shared" ca="1" si="345"/>
        <v>#N/A</v>
      </c>
      <c r="L4465" t="e">
        <f ca="1">IF(J4465,Charms!B4465,"")</f>
        <v>#N/A</v>
      </c>
      <c r="M4465" t="str">
        <f t="shared" ca="1" si="347"/>
        <v>-</v>
      </c>
      <c r="N4465" s="18" t="str">
        <f t="shared" si="348"/>
        <v>K1622:L5000</v>
      </c>
      <c r="O4465" t="str">
        <f t="shared" si="349"/>
        <v>A1622:A4465</v>
      </c>
    </row>
    <row r="4466" spans="1:15">
      <c r="A4466" s="18">
        <f>Charms!K4466</f>
        <v>0</v>
      </c>
      <c r="B4466">
        <f>Charms!B4466</f>
        <v>0</v>
      </c>
      <c r="C4466" t="b">
        <f ca="1">OR(Values!$S$98&gt;=Charms!M4466,IFERROR(Charms!J4466=OFFSET(Values!$A$24,MATCH("S",Values!$T$25:$T$50,0),0),FALSE))</f>
        <v>1</v>
      </c>
      <c r="D4466" t="e">
        <f>VLOOKUP(Charms!J4466,Values!$A$11:$S$59,19,0)&gt;=Charms!L4466</f>
        <v>#N/A</v>
      </c>
      <c r="E4466" t="e">
        <f>OR(ISBLANK(Charms!I4466),(VLOOKUP(Values!$S$6,Castes!$B$2:$F$25,4,0)=Charms!I4466))</f>
        <v>#N/A</v>
      </c>
      <c r="J4466" t="e">
        <f t="shared" ca="1" si="346"/>
        <v>#N/A</v>
      </c>
      <c r="K4466" s="18" t="e">
        <f t="shared" ca="1" si="345"/>
        <v>#N/A</v>
      </c>
      <c r="L4466" t="e">
        <f ca="1">IF(J4466,Charms!B4466,"")</f>
        <v>#N/A</v>
      </c>
      <c r="M4466" t="str">
        <f t="shared" ca="1" si="347"/>
        <v>-</v>
      </c>
      <c r="N4466" s="18" t="str">
        <f t="shared" si="348"/>
        <v>K1622:L5000</v>
      </c>
      <c r="O4466" t="str">
        <f t="shared" si="349"/>
        <v>A1622:A4466</v>
      </c>
    </row>
    <row r="4467" spans="1:15">
      <c r="A4467" s="18">
        <f>Charms!K4467</f>
        <v>0</v>
      </c>
      <c r="B4467">
        <f>Charms!B4467</f>
        <v>0</v>
      </c>
      <c r="C4467" t="b">
        <f ca="1">OR(Values!$S$98&gt;=Charms!M4467,IFERROR(Charms!J4467=OFFSET(Values!$A$24,MATCH("S",Values!$T$25:$T$50,0),0),FALSE))</f>
        <v>1</v>
      </c>
      <c r="D4467" t="e">
        <f>VLOOKUP(Charms!J4467,Values!$A$11:$S$59,19,0)&gt;=Charms!L4467</f>
        <v>#N/A</v>
      </c>
      <c r="E4467" t="e">
        <f>OR(ISBLANK(Charms!I4467),(VLOOKUP(Values!$S$6,Castes!$B$2:$F$25,4,0)=Charms!I4467))</f>
        <v>#N/A</v>
      </c>
      <c r="J4467" t="e">
        <f t="shared" ca="1" si="346"/>
        <v>#N/A</v>
      </c>
      <c r="K4467" s="18" t="e">
        <f t="shared" ca="1" si="345"/>
        <v>#N/A</v>
      </c>
      <c r="L4467" t="e">
        <f ca="1">IF(J4467,Charms!B4467,"")</f>
        <v>#N/A</v>
      </c>
      <c r="M4467" t="str">
        <f t="shared" ca="1" si="347"/>
        <v>-</v>
      </c>
      <c r="N4467" s="18" t="str">
        <f t="shared" si="348"/>
        <v>K1622:L5000</v>
      </c>
      <c r="O4467" t="str">
        <f t="shared" si="349"/>
        <v>A1622:A4467</v>
      </c>
    </row>
    <row r="4468" spans="1:15">
      <c r="A4468" s="18">
        <f>Charms!K4468</f>
        <v>0</v>
      </c>
      <c r="B4468">
        <f>Charms!B4468</f>
        <v>0</v>
      </c>
      <c r="C4468" t="b">
        <f ca="1">OR(Values!$S$98&gt;=Charms!M4468,IFERROR(Charms!J4468=OFFSET(Values!$A$24,MATCH("S",Values!$T$25:$T$50,0),0),FALSE))</f>
        <v>1</v>
      </c>
      <c r="D4468" t="e">
        <f>VLOOKUP(Charms!J4468,Values!$A$11:$S$59,19,0)&gt;=Charms!L4468</f>
        <v>#N/A</v>
      </c>
      <c r="E4468" t="e">
        <f>OR(ISBLANK(Charms!I4468),(VLOOKUP(Values!$S$6,Castes!$B$2:$F$25,4,0)=Charms!I4468))</f>
        <v>#N/A</v>
      </c>
      <c r="J4468" t="e">
        <f t="shared" ca="1" si="346"/>
        <v>#N/A</v>
      </c>
      <c r="K4468" s="18" t="e">
        <f t="shared" ca="1" si="345"/>
        <v>#N/A</v>
      </c>
      <c r="L4468" t="e">
        <f ca="1">IF(J4468,Charms!B4468,"")</f>
        <v>#N/A</v>
      </c>
      <c r="M4468" t="str">
        <f t="shared" ca="1" si="347"/>
        <v>-</v>
      </c>
      <c r="N4468" s="18" t="str">
        <f t="shared" si="348"/>
        <v>K1622:L5000</v>
      </c>
      <c r="O4468" t="str">
        <f t="shared" si="349"/>
        <v>A1622:A4468</v>
      </c>
    </row>
    <row r="4469" spans="1:15">
      <c r="A4469" s="18">
        <f>Charms!K4469</f>
        <v>0</v>
      </c>
      <c r="B4469">
        <f>Charms!B4469</f>
        <v>0</v>
      </c>
      <c r="C4469" t="b">
        <f ca="1">OR(Values!$S$98&gt;=Charms!M4469,IFERROR(Charms!J4469=OFFSET(Values!$A$24,MATCH("S",Values!$T$25:$T$50,0),0),FALSE))</f>
        <v>1</v>
      </c>
      <c r="D4469" t="e">
        <f>VLOOKUP(Charms!J4469,Values!$A$11:$S$59,19,0)&gt;=Charms!L4469</f>
        <v>#N/A</v>
      </c>
      <c r="E4469" t="e">
        <f>OR(ISBLANK(Charms!I4469),(VLOOKUP(Values!$S$6,Castes!$B$2:$F$25,4,0)=Charms!I4469))</f>
        <v>#N/A</v>
      </c>
      <c r="J4469" t="e">
        <f t="shared" ca="1" si="346"/>
        <v>#N/A</v>
      </c>
      <c r="K4469" s="18" t="e">
        <f t="shared" ca="1" si="345"/>
        <v>#N/A</v>
      </c>
      <c r="L4469" t="e">
        <f ca="1">IF(J4469,Charms!B4469,"")</f>
        <v>#N/A</v>
      </c>
      <c r="M4469" t="str">
        <f t="shared" ca="1" si="347"/>
        <v>-</v>
      </c>
      <c r="N4469" s="18" t="str">
        <f t="shared" si="348"/>
        <v>K1622:L5000</v>
      </c>
      <c r="O4469" t="str">
        <f t="shared" si="349"/>
        <v>A1622:A4469</v>
      </c>
    </row>
    <row r="4470" spans="1:15">
      <c r="A4470" s="18">
        <f>Charms!K4470</f>
        <v>0</v>
      </c>
      <c r="B4470">
        <f>Charms!B4470</f>
        <v>0</v>
      </c>
      <c r="C4470" t="b">
        <f ca="1">OR(Values!$S$98&gt;=Charms!M4470,IFERROR(Charms!J4470=OFFSET(Values!$A$24,MATCH("S",Values!$T$25:$T$50,0),0),FALSE))</f>
        <v>1</v>
      </c>
      <c r="D4470" t="e">
        <f>VLOOKUP(Charms!J4470,Values!$A$11:$S$59,19,0)&gt;=Charms!L4470</f>
        <v>#N/A</v>
      </c>
      <c r="E4470" t="e">
        <f>OR(ISBLANK(Charms!I4470),(VLOOKUP(Values!$S$6,Castes!$B$2:$F$25,4,0)=Charms!I4470))</f>
        <v>#N/A</v>
      </c>
      <c r="J4470" t="e">
        <f t="shared" ca="1" si="346"/>
        <v>#N/A</v>
      </c>
      <c r="K4470" s="18" t="e">
        <f t="shared" ca="1" si="345"/>
        <v>#N/A</v>
      </c>
      <c r="L4470" t="e">
        <f ca="1">IF(J4470,Charms!B4470,"")</f>
        <v>#N/A</v>
      </c>
      <c r="M4470" t="str">
        <f t="shared" ca="1" si="347"/>
        <v>-</v>
      </c>
      <c r="N4470" s="18" t="str">
        <f t="shared" si="348"/>
        <v>K1622:L5000</v>
      </c>
      <c r="O4470" t="str">
        <f t="shared" si="349"/>
        <v>A1622:A4470</v>
      </c>
    </row>
    <row r="4471" spans="1:15">
      <c r="A4471" s="18">
        <f>Charms!K4471</f>
        <v>0</v>
      </c>
      <c r="B4471">
        <f>Charms!B4471</f>
        <v>0</v>
      </c>
      <c r="C4471" t="b">
        <f ca="1">OR(Values!$S$98&gt;=Charms!M4471,IFERROR(Charms!J4471=OFFSET(Values!$A$24,MATCH("S",Values!$T$25:$T$50,0),0),FALSE))</f>
        <v>1</v>
      </c>
      <c r="D4471" t="e">
        <f>VLOOKUP(Charms!J4471,Values!$A$11:$S$59,19,0)&gt;=Charms!L4471</f>
        <v>#N/A</v>
      </c>
      <c r="E4471" t="e">
        <f>OR(ISBLANK(Charms!I4471),(VLOOKUP(Values!$S$6,Castes!$B$2:$F$25,4,0)=Charms!I4471))</f>
        <v>#N/A</v>
      </c>
      <c r="J4471" t="e">
        <f t="shared" ca="1" si="346"/>
        <v>#N/A</v>
      </c>
      <c r="K4471" s="18" t="e">
        <f t="shared" ca="1" si="345"/>
        <v>#N/A</v>
      </c>
      <c r="L4471" t="e">
        <f ca="1">IF(J4471,Charms!B4471,"")</f>
        <v>#N/A</v>
      </c>
      <c r="M4471" t="str">
        <f t="shared" ca="1" si="347"/>
        <v>-</v>
      </c>
      <c r="N4471" s="18" t="str">
        <f t="shared" si="348"/>
        <v>K1622:L5000</v>
      </c>
      <c r="O4471" t="str">
        <f t="shared" si="349"/>
        <v>A1622:A4471</v>
      </c>
    </row>
    <row r="4472" spans="1:15">
      <c r="A4472" s="18">
        <f>Charms!K4472</f>
        <v>0</v>
      </c>
      <c r="B4472">
        <f>Charms!B4472</f>
        <v>0</v>
      </c>
      <c r="C4472" t="b">
        <f ca="1">OR(Values!$S$98&gt;=Charms!M4472,IFERROR(Charms!J4472=OFFSET(Values!$A$24,MATCH("S",Values!$T$25:$T$50,0),0),FALSE))</f>
        <v>1</v>
      </c>
      <c r="D4472" t="e">
        <f>VLOOKUP(Charms!J4472,Values!$A$11:$S$59,19,0)&gt;=Charms!L4472</f>
        <v>#N/A</v>
      </c>
      <c r="E4472" t="e">
        <f>OR(ISBLANK(Charms!I4472),(VLOOKUP(Values!$S$6,Castes!$B$2:$F$25,4,0)=Charms!I4472))</f>
        <v>#N/A</v>
      </c>
      <c r="J4472" t="e">
        <f t="shared" ca="1" si="346"/>
        <v>#N/A</v>
      </c>
      <c r="K4472" s="18" t="e">
        <f t="shared" ca="1" si="345"/>
        <v>#N/A</v>
      </c>
      <c r="L4472" t="e">
        <f ca="1">IF(J4472,Charms!B4472,"")</f>
        <v>#N/A</v>
      </c>
      <c r="M4472" t="str">
        <f t="shared" ca="1" si="347"/>
        <v>-</v>
      </c>
      <c r="N4472" s="18" t="str">
        <f t="shared" si="348"/>
        <v>K1622:L5000</v>
      </c>
      <c r="O4472" t="str">
        <f t="shared" si="349"/>
        <v>A1622:A4472</v>
      </c>
    </row>
    <row r="4473" spans="1:15">
      <c r="A4473" s="18">
        <f>Charms!K4473</f>
        <v>0</v>
      </c>
      <c r="B4473">
        <f>Charms!B4473</f>
        <v>0</v>
      </c>
      <c r="C4473" t="b">
        <f ca="1">OR(Values!$S$98&gt;=Charms!M4473,IFERROR(Charms!J4473=OFFSET(Values!$A$24,MATCH("S",Values!$T$25:$T$50,0),0),FALSE))</f>
        <v>1</v>
      </c>
      <c r="D4473" t="e">
        <f>VLOOKUP(Charms!J4473,Values!$A$11:$S$59,19,0)&gt;=Charms!L4473</f>
        <v>#N/A</v>
      </c>
      <c r="E4473" t="e">
        <f>OR(ISBLANK(Charms!I4473),(VLOOKUP(Values!$S$6,Castes!$B$2:$F$25,4,0)=Charms!I4473))</f>
        <v>#N/A</v>
      </c>
      <c r="J4473" t="e">
        <f t="shared" ca="1" si="346"/>
        <v>#N/A</v>
      </c>
      <c r="K4473" s="18" t="e">
        <f t="shared" ca="1" si="345"/>
        <v>#N/A</v>
      </c>
      <c r="L4473" t="e">
        <f ca="1">IF(J4473,Charms!B4473,"")</f>
        <v>#N/A</v>
      </c>
      <c r="M4473" t="str">
        <f t="shared" ca="1" si="347"/>
        <v>-</v>
      </c>
      <c r="N4473" s="18" t="str">
        <f t="shared" si="348"/>
        <v>K1622:L5000</v>
      </c>
      <c r="O4473" t="str">
        <f t="shared" si="349"/>
        <v>A1622:A4473</v>
      </c>
    </row>
    <row r="4474" spans="1:15">
      <c r="A4474" s="18">
        <f>Charms!K4474</f>
        <v>0</v>
      </c>
      <c r="B4474">
        <f>Charms!B4474</f>
        <v>0</v>
      </c>
      <c r="C4474" t="b">
        <f ca="1">OR(Values!$S$98&gt;=Charms!M4474,IFERROR(Charms!J4474=OFFSET(Values!$A$24,MATCH("S",Values!$T$25:$T$50,0),0),FALSE))</f>
        <v>1</v>
      </c>
      <c r="D4474" t="e">
        <f>VLOOKUP(Charms!J4474,Values!$A$11:$S$59,19,0)&gt;=Charms!L4474</f>
        <v>#N/A</v>
      </c>
      <c r="E4474" t="e">
        <f>OR(ISBLANK(Charms!I4474),(VLOOKUP(Values!$S$6,Castes!$B$2:$F$25,4,0)=Charms!I4474))</f>
        <v>#N/A</v>
      </c>
      <c r="J4474" t="e">
        <f t="shared" ca="1" si="346"/>
        <v>#N/A</v>
      </c>
      <c r="K4474" s="18" t="e">
        <f t="shared" ca="1" si="345"/>
        <v>#N/A</v>
      </c>
      <c r="L4474" t="e">
        <f ca="1">IF(J4474,Charms!B4474,"")</f>
        <v>#N/A</v>
      </c>
      <c r="M4474" t="str">
        <f t="shared" ca="1" si="347"/>
        <v>-</v>
      </c>
      <c r="N4474" s="18" t="str">
        <f t="shared" si="348"/>
        <v>K1622:L5000</v>
      </c>
      <c r="O4474" t="str">
        <f t="shared" si="349"/>
        <v>A1622:A4474</v>
      </c>
    </row>
    <row r="4475" spans="1:15">
      <c r="A4475" s="18">
        <f>Charms!K4475</f>
        <v>0</v>
      </c>
      <c r="B4475">
        <f>Charms!B4475</f>
        <v>0</v>
      </c>
      <c r="C4475" t="b">
        <f ca="1">OR(Values!$S$98&gt;=Charms!M4475,IFERROR(Charms!J4475=OFFSET(Values!$A$24,MATCH("S",Values!$T$25:$T$50,0),0),FALSE))</f>
        <v>1</v>
      </c>
      <c r="D4475" t="e">
        <f>VLOOKUP(Charms!J4475,Values!$A$11:$S$59,19,0)&gt;=Charms!L4475</f>
        <v>#N/A</v>
      </c>
      <c r="E4475" t="e">
        <f>OR(ISBLANK(Charms!I4475),(VLOOKUP(Values!$S$6,Castes!$B$2:$F$25,4,0)=Charms!I4475))</f>
        <v>#N/A</v>
      </c>
      <c r="J4475" t="e">
        <f t="shared" ca="1" si="346"/>
        <v>#N/A</v>
      </c>
      <c r="K4475" s="18" t="e">
        <f t="shared" ca="1" si="345"/>
        <v>#N/A</v>
      </c>
      <c r="L4475" t="e">
        <f ca="1">IF(J4475,Charms!B4475,"")</f>
        <v>#N/A</v>
      </c>
      <c r="M4475" t="str">
        <f t="shared" ca="1" si="347"/>
        <v>-</v>
      </c>
      <c r="N4475" s="18" t="str">
        <f t="shared" si="348"/>
        <v>K1622:L5000</v>
      </c>
      <c r="O4475" t="str">
        <f t="shared" si="349"/>
        <v>A1622:A4475</v>
      </c>
    </row>
    <row r="4476" spans="1:15">
      <c r="A4476" s="18">
        <f>Charms!K4476</f>
        <v>0</v>
      </c>
      <c r="B4476">
        <f>Charms!B4476</f>
        <v>0</v>
      </c>
      <c r="C4476" t="b">
        <f ca="1">OR(Values!$S$98&gt;=Charms!M4476,IFERROR(Charms!J4476=OFFSET(Values!$A$24,MATCH("S",Values!$T$25:$T$50,0),0),FALSE))</f>
        <v>1</v>
      </c>
      <c r="D4476" t="e">
        <f>VLOOKUP(Charms!J4476,Values!$A$11:$S$59,19,0)&gt;=Charms!L4476</f>
        <v>#N/A</v>
      </c>
      <c r="E4476" t="e">
        <f>OR(ISBLANK(Charms!I4476),(VLOOKUP(Values!$S$6,Castes!$B$2:$F$25,4,0)=Charms!I4476))</f>
        <v>#N/A</v>
      </c>
      <c r="J4476" t="e">
        <f t="shared" ca="1" si="346"/>
        <v>#N/A</v>
      </c>
      <c r="K4476" s="18" t="e">
        <f t="shared" ca="1" si="345"/>
        <v>#N/A</v>
      </c>
      <c r="L4476" t="e">
        <f ca="1">IF(J4476,Charms!B4476,"")</f>
        <v>#N/A</v>
      </c>
      <c r="M4476" t="str">
        <f t="shared" ca="1" si="347"/>
        <v>-</v>
      </c>
      <c r="N4476" s="18" t="str">
        <f t="shared" si="348"/>
        <v>K1622:L5000</v>
      </c>
      <c r="O4476" t="str">
        <f t="shared" si="349"/>
        <v>A1622:A4476</v>
      </c>
    </row>
    <row r="4477" spans="1:15">
      <c r="A4477" s="18">
        <f>Charms!K4477</f>
        <v>0</v>
      </c>
      <c r="B4477">
        <f>Charms!B4477</f>
        <v>0</v>
      </c>
      <c r="C4477" t="b">
        <f ca="1">OR(Values!$S$98&gt;=Charms!M4477,IFERROR(Charms!J4477=OFFSET(Values!$A$24,MATCH("S",Values!$T$25:$T$50,0),0),FALSE))</f>
        <v>1</v>
      </c>
      <c r="D4477" t="e">
        <f>VLOOKUP(Charms!J4477,Values!$A$11:$S$59,19,0)&gt;=Charms!L4477</f>
        <v>#N/A</v>
      </c>
      <c r="E4477" t="e">
        <f>OR(ISBLANK(Charms!I4477),(VLOOKUP(Values!$S$6,Castes!$B$2:$F$25,4,0)=Charms!I4477))</f>
        <v>#N/A</v>
      </c>
      <c r="J4477" t="e">
        <f t="shared" ca="1" si="346"/>
        <v>#N/A</v>
      </c>
      <c r="K4477" s="18" t="e">
        <f t="shared" ca="1" si="345"/>
        <v>#N/A</v>
      </c>
      <c r="L4477" t="e">
        <f ca="1">IF(J4477,Charms!B4477,"")</f>
        <v>#N/A</v>
      </c>
      <c r="M4477" t="str">
        <f t="shared" ca="1" si="347"/>
        <v>-</v>
      </c>
      <c r="N4477" s="18" t="str">
        <f t="shared" si="348"/>
        <v>K1622:L5000</v>
      </c>
      <c r="O4477" t="str">
        <f t="shared" si="349"/>
        <v>A1622:A4477</v>
      </c>
    </row>
    <row r="4478" spans="1:15">
      <c r="A4478" s="18">
        <f>Charms!K4478</f>
        <v>0</v>
      </c>
      <c r="B4478">
        <f>Charms!B4478</f>
        <v>0</v>
      </c>
      <c r="C4478" t="b">
        <f ca="1">OR(Values!$S$98&gt;=Charms!M4478,IFERROR(Charms!J4478=OFFSET(Values!$A$24,MATCH("S",Values!$T$25:$T$50,0),0),FALSE))</f>
        <v>1</v>
      </c>
      <c r="D4478" t="e">
        <f>VLOOKUP(Charms!J4478,Values!$A$11:$S$59,19,0)&gt;=Charms!L4478</f>
        <v>#N/A</v>
      </c>
      <c r="E4478" t="e">
        <f>OR(ISBLANK(Charms!I4478),(VLOOKUP(Values!$S$6,Castes!$B$2:$F$25,4,0)=Charms!I4478))</f>
        <v>#N/A</v>
      </c>
      <c r="J4478" t="e">
        <f t="shared" ca="1" si="346"/>
        <v>#N/A</v>
      </c>
      <c r="K4478" s="18" t="e">
        <f t="shared" ca="1" si="345"/>
        <v>#N/A</v>
      </c>
      <c r="L4478" t="e">
        <f ca="1">IF(J4478,Charms!B4478,"")</f>
        <v>#N/A</v>
      </c>
      <c r="M4478" t="str">
        <f t="shared" ca="1" si="347"/>
        <v>-</v>
      </c>
      <c r="N4478" s="18" t="str">
        <f t="shared" si="348"/>
        <v>K1622:L5000</v>
      </c>
      <c r="O4478" t="str">
        <f t="shared" si="349"/>
        <v>A1622:A4478</v>
      </c>
    </row>
    <row r="4479" spans="1:15">
      <c r="A4479" s="18">
        <f>Charms!K4479</f>
        <v>0</v>
      </c>
      <c r="B4479">
        <f>Charms!B4479</f>
        <v>0</v>
      </c>
      <c r="C4479" t="b">
        <f ca="1">OR(Values!$S$98&gt;=Charms!M4479,IFERROR(Charms!J4479=OFFSET(Values!$A$24,MATCH("S",Values!$T$25:$T$50,0),0),FALSE))</f>
        <v>1</v>
      </c>
      <c r="D4479" t="e">
        <f>VLOOKUP(Charms!J4479,Values!$A$11:$S$59,19,0)&gt;=Charms!L4479</f>
        <v>#N/A</v>
      </c>
      <c r="E4479" t="e">
        <f>OR(ISBLANK(Charms!I4479),(VLOOKUP(Values!$S$6,Castes!$B$2:$F$25,4,0)=Charms!I4479))</f>
        <v>#N/A</v>
      </c>
      <c r="J4479" t="e">
        <f t="shared" ca="1" si="346"/>
        <v>#N/A</v>
      </c>
      <c r="K4479" s="18" t="e">
        <f t="shared" ca="1" si="345"/>
        <v>#N/A</v>
      </c>
      <c r="L4479" t="e">
        <f ca="1">IF(J4479,Charms!B4479,"")</f>
        <v>#N/A</v>
      </c>
      <c r="M4479" t="str">
        <f t="shared" ca="1" si="347"/>
        <v>-</v>
      </c>
      <c r="N4479" s="18" t="str">
        <f t="shared" si="348"/>
        <v>K1622:L5000</v>
      </c>
      <c r="O4479" t="str">
        <f t="shared" si="349"/>
        <v>A1622:A4479</v>
      </c>
    </row>
    <row r="4480" spans="1:15">
      <c r="A4480" s="18">
        <f>Charms!K4480</f>
        <v>0</v>
      </c>
      <c r="B4480">
        <f>Charms!B4480</f>
        <v>0</v>
      </c>
      <c r="C4480" t="b">
        <f ca="1">OR(Values!$S$98&gt;=Charms!M4480,IFERROR(Charms!J4480=OFFSET(Values!$A$24,MATCH("S",Values!$T$25:$T$50,0),0),FALSE))</f>
        <v>1</v>
      </c>
      <c r="D4480" t="e">
        <f>VLOOKUP(Charms!J4480,Values!$A$11:$S$59,19,0)&gt;=Charms!L4480</f>
        <v>#N/A</v>
      </c>
      <c r="E4480" t="e">
        <f>OR(ISBLANK(Charms!I4480),(VLOOKUP(Values!$S$6,Castes!$B$2:$F$25,4,0)=Charms!I4480))</f>
        <v>#N/A</v>
      </c>
      <c r="J4480" t="e">
        <f t="shared" ca="1" si="346"/>
        <v>#N/A</v>
      </c>
      <c r="K4480" s="18" t="e">
        <f t="shared" ca="1" si="345"/>
        <v>#N/A</v>
      </c>
      <c r="L4480" t="e">
        <f ca="1">IF(J4480,Charms!B4480,"")</f>
        <v>#N/A</v>
      </c>
      <c r="M4480" t="str">
        <f t="shared" ca="1" si="347"/>
        <v>-</v>
      </c>
      <c r="N4480" s="18" t="str">
        <f t="shared" si="348"/>
        <v>K1622:L5000</v>
      </c>
      <c r="O4480" t="str">
        <f t="shared" si="349"/>
        <v>A1622:A4480</v>
      </c>
    </row>
    <row r="4481" spans="1:15">
      <c r="A4481" s="18">
        <f>Charms!K4481</f>
        <v>0</v>
      </c>
      <c r="B4481">
        <f>Charms!B4481</f>
        <v>0</v>
      </c>
      <c r="C4481" t="b">
        <f ca="1">OR(Values!$S$98&gt;=Charms!M4481,IFERROR(Charms!J4481=OFFSET(Values!$A$24,MATCH("S",Values!$T$25:$T$50,0),0),FALSE))</f>
        <v>1</v>
      </c>
      <c r="D4481" t="e">
        <f>VLOOKUP(Charms!J4481,Values!$A$11:$S$59,19,0)&gt;=Charms!L4481</f>
        <v>#N/A</v>
      </c>
      <c r="E4481" t="e">
        <f>OR(ISBLANK(Charms!I4481),(VLOOKUP(Values!$S$6,Castes!$B$2:$F$25,4,0)=Charms!I4481))</f>
        <v>#N/A</v>
      </c>
      <c r="J4481" t="e">
        <f t="shared" ca="1" si="346"/>
        <v>#N/A</v>
      </c>
      <c r="K4481" s="18" t="e">
        <f t="shared" ca="1" si="345"/>
        <v>#N/A</v>
      </c>
      <c r="L4481" t="e">
        <f ca="1">IF(J4481,Charms!B4481,"")</f>
        <v>#N/A</v>
      </c>
      <c r="M4481" t="str">
        <f t="shared" ca="1" si="347"/>
        <v>-</v>
      </c>
      <c r="N4481" s="18" t="str">
        <f t="shared" si="348"/>
        <v>K1622:L5000</v>
      </c>
      <c r="O4481" t="str">
        <f t="shared" si="349"/>
        <v>A1622:A4481</v>
      </c>
    </row>
    <row r="4482" spans="1:15">
      <c r="A4482" s="18">
        <f>Charms!K4482</f>
        <v>0</v>
      </c>
      <c r="B4482">
        <f>Charms!B4482</f>
        <v>0</v>
      </c>
      <c r="C4482" t="b">
        <f ca="1">OR(Values!$S$98&gt;=Charms!M4482,IFERROR(Charms!J4482=OFFSET(Values!$A$24,MATCH("S",Values!$T$25:$T$50,0),0),FALSE))</f>
        <v>1</v>
      </c>
      <c r="D4482" t="e">
        <f>VLOOKUP(Charms!J4482,Values!$A$11:$S$59,19,0)&gt;=Charms!L4482</f>
        <v>#N/A</v>
      </c>
      <c r="E4482" t="e">
        <f>OR(ISBLANK(Charms!I4482),(VLOOKUP(Values!$S$6,Castes!$B$2:$F$25,4,0)=Charms!I4482))</f>
        <v>#N/A</v>
      </c>
      <c r="J4482" t="e">
        <f t="shared" ca="1" si="346"/>
        <v>#N/A</v>
      </c>
      <c r="K4482" s="18" t="e">
        <f t="shared" ref="K4482:K4545" ca="1" si="350">IF(L4482="","",COUNTIF(INDIRECT("J"&amp;MATCH(A4482,A:A,0)&amp;":J"&amp;ROW()),J4482))</f>
        <v>#N/A</v>
      </c>
      <c r="L4482" t="e">
        <f ca="1">IF(J4482,Charms!B4482,"")</f>
        <v>#N/A</v>
      </c>
      <c r="M4482" t="str">
        <f t="shared" ca="1" si="347"/>
        <v>-</v>
      </c>
      <c r="N4482" s="18" t="str">
        <f t="shared" si="348"/>
        <v>K1622:L5000</v>
      </c>
      <c r="O4482" t="str">
        <f t="shared" si="349"/>
        <v>A1622:A4482</v>
      </c>
    </row>
    <row r="4483" spans="1:15">
      <c r="A4483" s="18">
        <f>Charms!K4483</f>
        <v>0</v>
      </c>
      <c r="B4483">
        <f>Charms!B4483</f>
        <v>0</v>
      </c>
      <c r="C4483" t="b">
        <f ca="1">OR(Values!$S$98&gt;=Charms!M4483,IFERROR(Charms!J4483=OFFSET(Values!$A$24,MATCH("S",Values!$T$25:$T$50,0),0),FALSE))</f>
        <v>1</v>
      </c>
      <c r="D4483" t="e">
        <f>VLOOKUP(Charms!J4483,Values!$A$11:$S$59,19,0)&gt;=Charms!L4483</f>
        <v>#N/A</v>
      </c>
      <c r="E4483" t="e">
        <f>OR(ISBLANK(Charms!I4483),(VLOOKUP(Values!$S$6,Castes!$B$2:$F$25,4,0)=Charms!I4483))</f>
        <v>#N/A</v>
      </c>
      <c r="J4483" t="e">
        <f t="shared" ref="J4483:J4546" ca="1" si="351">(C4483+D4483+E4483+F4483+G4483+H4483+I4483)=3</f>
        <v>#N/A</v>
      </c>
      <c r="K4483" s="18" t="e">
        <f t="shared" ca="1" si="350"/>
        <v>#N/A</v>
      </c>
      <c r="L4483" t="e">
        <f ca="1">IF(J4483,Charms!B4483,"")</f>
        <v>#N/A</v>
      </c>
      <c r="M4483" t="str">
        <f t="shared" ref="M4483:M4546" ca="1" si="352">IFERROR(VLOOKUP(COUNTIF(INDIRECT(O4483),A4483),INDIRECT(N4483),2,0),"-")</f>
        <v>-</v>
      </c>
      <c r="N4483" s="18" t="str">
        <f t="shared" ref="N4483:N4546" si="353">"K"&amp;MATCH(A4483,A:A,0)&amp;":L"&amp;(MATCH(A4483,A:A,0)+COUNTIF(A:A,A4483)-1)</f>
        <v>K1622:L5000</v>
      </c>
      <c r="O4483" t="str">
        <f t="shared" ref="O4483:O4546" si="354">"A"&amp;MATCH(A4483,A:A,0)&amp;":A"&amp;ROW()</f>
        <v>A1622:A4483</v>
      </c>
    </row>
    <row r="4484" spans="1:15">
      <c r="A4484" s="18">
        <f>Charms!K4484</f>
        <v>0</v>
      </c>
      <c r="B4484">
        <f>Charms!B4484</f>
        <v>0</v>
      </c>
      <c r="C4484" t="b">
        <f ca="1">OR(Values!$S$98&gt;=Charms!M4484,IFERROR(Charms!J4484=OFFSET(Values!$A$24,MATCH("S",Values!$T$25:$T$50,0),0),FALSE))</f>
        <v>1</v>
      </c>
      <c r="D4484" t="e">
        <f>VLOOKUP(Charms!J4484,Values!$A$11:$S$59,19,0)&gt;=Charms!L4484</f>
        <v>#N/A</v>
      </c>
      <c r="E4484" t="e">
        <f>OR(ISBLANK(Charms!I4484),(VLOOKUP(Values!$S$6,Castes!$B$2:$F$25,4,0)=Charms!I4484))</f>
        <v>#N/A</v>
      </c>
      <c r="J4484" t="e">
        <f t="shared" ca="1" si="351"/>
        <v>#N/A</v>
      </c>
      <c r="K4484" s="18" t="e">
        <f t="shared" ca="1" si="350"/>
        <v>#N/A</v>
      </c>
      <c r="L4484" t="e">
        <f ca="1">IF(J4484,Charms!B4484,"")</f>
        <v>#N/A</v>
      </c>
      <c r="M4484" t="str">
        <f t="shared" ca="1" si="352"/>
        <v>-</v>
      </c>
      <c r="N4484" s="18" t="str">
        <f t="shared" si="353"/>
        <v>K1622:L5000</v>
      </c>
      <c r="O4484" t="str">
        <f t="shared" si="354"/>
        <v>A1622:A4484</v>
      </c>
    </row>
    <row r="4485" spans="1:15">
      <c r="A4485" s="18">
        <f>Charms!K4485</f>
        <v>0</v>
      </c>
      <c r="B4485">
        <f>Charms!B4485</f>
        <v>0</v>
      </c>
      <c r="C4485" t="b">
        <f ca="1">OR(Values!$S$98&gt;=Charms!M4485,IFERROR(Charms!J4485=OFFSET(Values!$A$24,MATCH("S",Values!$T$25:$T$50,0),0),FALSE))</f>
        <v>1</v>
      </c>
      <c r="D4485" t="e">
        <f>VLOOKUP(Charms!J4485,Values!$A$11:$S$59,19,0)&gt;=Charms!L4485</f>
        <v>#N/A</v>
      </c>
      <c r="E4485" t="e">
        <f>OR(ISBLANK(Charms!I4485),(VLOOKUP(Values!$S$6,Castes!$B$2:$F$25,4,0)=Charms!I4485))</f>
        <v>#N/A</v>
      </c>
      <c r="J4485" t="e">
        <f t="shared" ca="1" si="351"/>
        <v>#N/A</v>
      </c>
      <c r="K4485" s="18" t="e">
        <f t="shared" ca="1" si="350"/>
        <v>#N/A</v>
      </c>
      <c r="L4485" t="e">
        <f ca="1">IF(J4485,Charms!B4485,"")</f>
        <v>#N/A</v>
      </c>
      <c r="M4485" t="str">
        <f t="shared" ca="1" si="352"/>
        <v>-</v>
      </c>
      <c r="N4485" s="18" t="str">
        <f t="shared" si="353"/>
        <v>K1622:L5000</v>
      </c>
      <c r="O4485" t="str">
        <f t="shared" si="354"/>
        <v>A1622:A4485</v>
      </c>
    </row>
    <row r="4486" spans="1:15">
      <c r="A4486" s="18">
        <f>Charms!K4486</f>
        <v>0</v>
      </c>
      <c r="B4486">
        <f>Charms!B4486</f>
        <v>0</v>
      </c>
      <c r="C4486" t="b">
        <f ca="1">OR(Values!$S$98&gt;=Charms!M4486,IFERROR(Charms!J4486=OFFSET(Values!$A$24,MATCH("S",Values!$T$25:$T$50,0),0),FALSE))</f>
        <v>1</v>
      </c>
      <c r="D4486" t="e">
        <f>VLOOKUP(Charms!J4486,Values!$A$11:$S$59,19,0)&gt;=Charms!L4486</f>
        <v>#N/A</v>
      </c>
      <c r="E4486" t="e">
        <f>OR(ISBLANK(Charms!I4486),(VLOOKUP(Values!$S$6,Castes!$B$2:$F$25,4,0)=Charms!I4486))</f>
        <v>#N/A</v>
      </c>
      <c r="J4486" t="e">
        <f t="shared" ca="1" si="351"/>
        <v>#N/A</v>
      </c>
      <c r="K4486" s="18" t="e">
        <f t="shared" ca="1" si="350"/>
        <v>#N/A</v>
      </c>
      <c r="L4486" t="e">
        <f ca="1">IF(J4486,Charms!B4486,"")</f>
        <v>#N/A</v>
      </c>
      <c r="M4486" t="str">
        <f t="shared" ca="1" si="352"/>
        <v>-</v>
      </c>
      <c r="N4486" s="18" t="str">
        <f t="shared" si="353"/>
        <v>K1622:L5000</v>
      </c>
      <c r="O4486" t="str">
        <f t="shared" si="354"/>
        <v>A1622:A4486</v>
      </c>
    </row>
    <row r="4487" spans="1:15">
      <c r="A4487" s="18">
        <f>Charms!K4487</f>
        <v>0</v>
      </c>
      <c r="B4487">
        <f>Charms!B4487</f>
        <v>0</v>
      </c>
      <c r="C4487" t="b">
        <f ca="1">OR(Values!$S$98&gt;=Charms!M4487,IFERROR(Charms!J4487=OFFSET(Values!$A$24,MATCH("S",Values!$T$25:$T$50,0),0),FALSE))</f>
        <v>1</v>
      </c>
      <c r="D4487" t="e">
        <f>VLOOKUP(Charms!J4487,Values!$A$11:$S$59,19,0)&gt;=Charms!L4487</f>
        <v>#N/A</v>
      </c>
      <c r="E4487" t="e">
        <f>OR(ISBLANK(Charms!I4487),(VLOOKUP(Values!$S$6,Castes!$B$2:$F$25,4,0)=Charms!I4487))</f>
        <v>#N/A</v>
      </c>
      <c r="J4487" t="e">
        <f t="shared" ca="1" si="351"/>
        <v>#N/A</v>
      </c>
      <c r="K4487" s="18" t="e">
        <f t="shared" ca="1" si="350"/>
        <v>#N/A</v>
      </c>
      <c r="L4487" t="e">
        <f ca="1">IF(J4487,Charms!B4487,"")</f>
        <v>#N/A</v>
      </c>
      <c r="M4487" t="str">
        <f t="shared" ca="1" si="352"/>
        <v>-</v>
      </c>
      <c r="N4487" s="18" t="str">
        <f t="shared" si="353"/>
        <v>K1622:L5000</v>
      </c>
      <c r="O4487" t="str">
        <f t="shared" si="354"/>
        <v>A1622:A4487</v>
      </c>
    </row>
    <row r="4488" spans="1:15">
      <c r="A4488" s="18">
        <f>Charms!K4488</f>
        <v>0</v>
      </c>
      <c r="B4488">
        <f>Charms!B4488</f>
        <v>0</v>
      </c>
      <c r="C4488" t="b">
        <f ca="1">OR(Values!$S$98&gt;=Charms!M4488,IFERROR(Charms!J4488=OFFSET(Values!$A$24,MATCH("S",Values!$T$25:$T$50,0),0),FALSE))</f>
        <v>1</v>
      </c>
      <c r="D4488" t="e">
        <f>VLOOKUP(Charms!J4488,Values!$A$11:$S$59,19,0)&gt;=Charms!L4488</f>
        <v>#N/A</v>
      </c>
      <c r="E4488" t="e">
        <f>OR(ISBLANK(Charms!I4488),(VLOOKUP(Values!$S$6,Castes!$B$2:$F$25,4,0)=Charms!I4488))</f>
        <v>#N/A</v>
      </c>
      <c r="J4488" t="e">
        <f t="shared" ca="1" si="351"/>
        <v>#N/A</v>
      </c>
      <c r="K4488" s="18" t="e">
        <f t="shared" ca="1" si="350"/>
        <v>#N/A</v>
      </c>
      <c r="L4488" t="e">
        <f ca="1">IF(J4488,Charms!B4488,"")</f>
        <v>#N/A</v>
      </c>
      <c r="M4488" t="str">
        <f t="shared" ca="1" si="352"/>
        <v>-</v>
      </c>
      <c r="N4488" s="18" t="str">
        <f t="shared" si="353"/>
        <v>K1622:L5000</v>
      </c>
      <c r="O4488" t="str">
        <f t="shared" si="354"/>
        <v>A1622:A4488</v>
      </c>
    </row>
    <row r="4489" spans="1:15">
      <c r="A4489" s="18">
        <f>Charms!K4489</f>
        <v>0</v>
      </c>
      <c r="B4489">
        <f>Charms!B4489</f>
        <v>0</v>
      </c>
      <c r="C4489" t="b">
        <f ca="1">OR(Values!$S$98&gt;=Charms!M4489,IFERROR(Charms!J4489=OFFSET(Values!$A$24,MATCH("S",Values!$T$25:$T$50,0),0),FALSE))</f>
        <v>1</v>
      </c>
      <c r="D4489" t="e">
        <f>VLOOKUP(Charms!J4489,Values!$A$11:$S$59,19,0)&gt;=Charms!L4489</f>
        <v>#N/A</v>
      </c>
      <c r="E4489" t="e">
        <f>OR(ISBLANK(Charms!I4489),(VLOOKUP(Values!$S$6,Castes!$B$2:$F$25,4,0)=Charms!I4489))</f>
        <v>#N/A</v>
      </c>
      <c r="J4489" t="e">
        <f t="shared" ca="1" si="351"/>
        <v>#N/A</v>
      </c>
      <c r="K4489" s="18" t="e">
        <f t="shared" ca="1" si="350"/>
        <v>#N/A</v>
      </c>
      <c r="L4489" t="e">
        <f ca="1">IF(J4489,Charms!B4489,"")</f>
        <v>#N/A</v>
      </c>
      <c r="M4489" t="str">
        <f t="shared" ca="1" si="352"/>
        <v>-</v>
      </c>
      <c r="N4489" s="18" t="str">
        <f t="shared" si="353"/>
        <v>K1622:L5000</v>
      </c>
      <c r="O4489" t="str">
        <f t="shared" si="354"/>
        <v>A1622:A4489</v>
      </c>
    </row>
    <row r="4490" spans="1:15">
      <c r="A4490" s="18">
        <f>Charms!K4490</f>
        <v>0</v>
      </c>
      <c r="B4490">
        <f>Charms!B4490</f>
        <v>0</v>
      </c>
      <c r="C4490" t="b">
        <f ca="1">OR(Values!$S$98&gt;=Charms!M4490,IFERROR(Charms!J4490=OFFSET(Values!$A$24,MATCH("S",Values!$T$25:$T$50,0),0),FALSE))</f>
        <v>1</v>
      </c>
      <c r="D4490" t="e">
        <f>VLOOKUP(Charms!J4490,Values!$A$11:$S$59,19,0)&gt;=Charms!L4490</f>
        <v>#N/A</v>
      </c>
      <c r="E4490" t="e">
        <f>OR(ISBLANK(Charms!I4490),(VLOOKUP(Values!$S$6,Castes!$B$2:$F$25,4,0)=Charms!I4490))</f>
        <v>#N/A</v>
      </c>
      <c r="J4490" t="e">
        <f t="shared" ca="1" si="351"/>
        <v>#N/A</v>
      </c>
      <c r="K4490" s="18" t="e">
        <f t="shared" ca="1" si="350"/>
        <v>#N/A</v>
      </c>
      <c r="L4490" t="e">
        <f ca="1">IF(J4490,Charms!B4490,"")</f>
        <v>#N/A</v>
      </c>
      <c r="M4490" t="str">
        <f t="shared" ca="1" si="352"/>
        <v>-</v>
      </c>
      <c r="N4490" s="18" t="str">
        <f t="shared" si="353"/>
        <v>K1622:L5000</v>
      </c>
      <c r="O4490" t="str">
        <f t="shared" si="354"/>
        <v>A1622:A4490</v>
      </c>
    </row>
    <row r="4491" spans="1:15">
      <c r="A4491" s="18">
        <f>Charms!K4491</f>
        <v>0</v>
      </c>
      <c r="B4491">
        <f>Charms!B4491</f>
        <v>0</v>
      </c>
      <c r="C4491" t="b">
        <f ca="1">OR(Values!$S$98&gt;=Charms!M4491,IFERROR(Charms!J4491=OFFSET(Values!$A$24,MATCH("S",Values!$T$25:$T$50,0),0),FALSE))</f>
        <v>1</v>
      </c>
      <c r="D4491" t="e">
        <f>VLOOKUP(Charms!J4491,Values!$A$11:$S$59,19,0)&gt;=Charms!L4491</f>
        <v>#N/A</v>
      </c>
      <c r="E4491" t="e">
        <f>OR(ISBLANK(Charms!I4491),(VLOOKUP(Values!$S$6,Castes!$B$2:$F$25,4,0)=Charms!I4491))</f>
        <v>#N/A</v>
      </c>
      <c r="J4491" t="e">
        <f t="shared" ca="1" si="351"/>
        <v>#N/A</v>
      </c>
      <c r="K4491" s="18" t="e">
        <f t="shared" ca="1" si="350"/>
        <v>#N/A</v>
      </c>
      <c r="L4491" t="e">
        <f ca="1">IF(J4491,Charms!B4491,"")</f>
        <v>#N/A</v>
      </c>
      <c r="M4491" t="str">
        <f t="shared" ca="1" si="352"/>
        <v>-</v>
      </c>
      <c r="N4491" s="18" t="str">
        <f t="shared" si="353"/>
        <v>K1622:L5000</v>
      </c>
      <c r="O4491" t="str">
        <f t="shared" si="354"/>
        <v>A1622:A4491</v>
      </c>
    </row>
    <row r="4492" spans="1:15">
      <c r="A4492" s="18">
        <f>Charms!K4492</f>
        <v>0</v>
      </c>
      <c r="B4492">
        <f>Charms!B4492</f>
        <v>0</v>
      </c>
      <c r="C4492" t="b">
        <f ca="1">OR(Values!$S$98&gt;=Charms!M4492,IFERROR(Charms!J4492=OFFSET(Values!$A$24,MATCH("S",Values!$T$25:$T$50,0),0),FALSE))</f>
        <v>1</v>
      </c>
      <c r="D4492" t="e">
        <f>VLOOKUP(Charms!J4492,Values!$A$11:$S$59,19,0)&gt;=Charms!L4492</f>
        <v>#N/A</v>
      </c>
      <c r="E4492" t="e">
        <f>OR(ISBLANK(Charms!I4492),(VLOOKUP(Values!$S$6,Castes!$B$2:$F$25,4,0)=Charms!I4492))</f>
        <v>#N/A</v>
      </c>
      <c r="J4492" t="e">
        <f t="shared" ca="1" si="351"/>
        <v>#N/A</v>
      </c>
      <c r="K4492" s="18" t="e">
        <f t="shared" ca="1" si="350"/>
        <v>#N/A</v>
      </c>
      <c r="L4492" t="e">
        <f ca="1">IF(J4492,Charms!B4492,"")</f>
        <v>#N/A</v>
      </c>
      <c r="M4492" t="str">
        <f t="shared" ca="1" si="352"/>
        <v>-</v>
      </c>
      <c r="N4492" s="18" t="str">
        <f t="shared" si="353"/>
        <v>K1622:L5000</v>
      </c>
      <c r="O4492" t="str">
        <f t="shared" si="354"/>
        <v>A1622:A4492</v>
      </c>
    </row>
    <row r="4493" spans="1:15">
      <c r="A4493" s="18">
        <f>Charms!K4493</f>
        <v>0</v>
      </c>
      <c r="B4493">
        <f>Charms!B4493</f>
        <v>0</v>
      </c>
      <c r="C4493" t="b">
        <f ca="1">OR(Values!$S$98&gt;=Charms!M4493,IFERROR(Charms!J4493=OFFSET(Values!$A$24,MATCH("S",Values!$T$25:$T$50,0),0),FALSE))</f>
        <v>1</v>
      </c>
      <c r="D4493" t="e">
        <f>VLOOKUP(Charms!J4493,Values!$A$11:$S$59,19,0)&gt;=Charms!L4493</f>
        <v>#N/A</v>
      </c>
      <c r="E4493" t="e">
        <f>OR(ISBLANK(Charms!I4493),(VLOOKUP(Values!$S$6,Castes!$B$2:$F$25,4,0)=Charms!I4493))</f>
        <v>#N/A</v>
      </c>
      <c r="J4493" t="e">
        <f t="shared" ca="1" si="351"/>
        <v>#N/A</v>
      </c>
      <c r="K4493" s="18" t="e">
        <f t="shared" ca="1" si="350"/>
        <v>#N/A</v>
      </c>
      <c r="L4493" t="e">
        <f ca="1">IF(J4493,Charms!B4493,"")</f>
        <v>#N/A</v>
      </c>
      <c r="M4493" t="str">
        <f t="shared" ca="1" si="352"/>
        <v>-</v>
      </c>
      <c r="N4493" s="18" t="str">
        <f t="shared" si="353"/>
        <v>K1622:L5000</v>
      </c>
      <c r="O4493" t="str">
        <f t="shared" si="354"/>
        <v>A1622:A4493</v>
      </c>
    </row>
    <row r="4494" spans="1:15">
      <c r="A4494" s="18">
        <f>Charms!K4494</f>
        <v>0</v>
      </c>
      <c r="B4494">
        <f>Charms!B4494</f>
        <v>0</v>
      </c>
      <c r="C4494" t="b">
        <f ca="1">OR(Values!$S$98&gt;=Charms!M4494,IFERROR(Charms!J4494=OFFSET(Values!$A$24,MATCH("S",Values!$T$25:$T$50,0),0),FALSE))</f>
        <v>1</v>
      </c>
      <c r="D4494" t="e">
        <f>VLOOKUP(Charms!J4494,Values!$A$11:$S$59,19,0)&gt;=Charms!L4494</f>
        <v>#N/A</v>
      </c>
      <c r="E4494" t="e">
        <f>OR(ISBLANK(Charms!I4494),(VLOOKUP(Values!$S$6,Castes!$B$2:$F$25,4,0)=Charms!I4494))</f>
        <v>#N/A</v>
      </c>
      <c r="J4494" t="e">
        <f t="shared" ca="1" si="351"/>
        <v>#N/A</v>
      </c>
      <c r="K4494" s="18" t="e">
        <f t="shared" ca="1" si="350"/>
        <v>#N/A</v>
      </c>
      <c r="L4494" t="e">
        <f ca="1">IF(J4494,Charms!B4494,"")</f>
        <v>#N/A</v>
      </c>
      <c r="M4494" t="str">
        <f t="shared" ca="1" si="352"/>
        <v>-</v>
      </c>
      <c r="N4494" s="18" t="str">
        <f t="shared" si="353"/>
        <v>K1622:L5000</v>
      </c>
      <c r="O4494" t="str">
        <f t="shared" si="354"/>
        <v>A1622:A4494</v>
      </c>
    </row>
    <row r="4495" spans="1:15">
      <c r="A4495" s="18">
        <f>Charms!K4495</f>
        <v>0</v>
      </c>
      <c r="B4495">
        <f>Charms!B4495</f>
        <v>0</v>
      </c>
      <c r="C4495" t="b">
        <f ca="1">OR(Values!$S$98&gt;=Charms!M4495,IFERROR(Charms!J4495=OFFSET(Values!$A$24,MATCH("S",Values!$T$25:$T$50,0),0),FALSE))</f>
        <v>1</v>
      </c>
      <c r="D4495" t="e">
        <f>VLOOKUP(Charms!J4495,Values!$A$11:$S$59,19,0)&gt;=Charms!L4495</f>
        <v>#N/A</v>
      </c>
      <c r="E4495" t="e">
        <f>OR(ISBLANK(Charms!I4495),(VLOOKUP(Values!$S$6,Castes!$B$2:$F$25,4,0)=Charms!I4495))</f>
        <v>#N/A</v>
      </c>
      <c r="J4495" t="e">
        <f t="shared" ca="1" si="351"/>
        <v>#N/A</v>
      </c>
      <c r="K4495" s="18" t="e">
        <f t="shared" ca="1" si="350"/>
        <v>#N/A</v>
      </c>
      <c r="L4495" t="e">
        <f ca="1">IF(J4495,Charms!B4495,"")</f>
        <v>#N/A</v>
      </c>
      <c r="M4495" t="str">
        <f t="shared" ca="1" si="352"/>
        <v>-</v>
      </c>
      <c r="N4495" s="18" t="str">
        <f t="shared" si="353"/>
        <v>K1622:L5000</v>
      </c>
      <c r="O4495" t="str">
        <f t="shared" si="354"/>
        <v>A1622:A4495</v>
      </c>
    </row>
    <row r="4496" spans="1:15">
      <c r="A4496" s="18">
        <f>Charms!K4496</f>
        <v>0</v>
      </c>
      <c r="B4496">
        <f>Charms!B4496</f>
        <v>0</v>
      </c>
      <c r="C4496" t="b">
        <f ca="1">OR(Values!$S$98&gt;=Charms!M4496,IFERROR(Charms!J4496=OFFSET(Values!$A$24,MATCH("S",Values!$T$25:$T$50,0),0),FALSE))</f>
        <v>1</v>
      </c>
      <c r="D4496" t="e">
        <f>VLOOKUP(Charms!J4496,Values!$A$11:$S$59,19,0)&gt;=Charms!L4496</f>
        <v>#N/A</v>
      </c>
      <c r="E4496" t="e">
        <f>OR(ISBLANK(Charms!I4496),(VLOOKUP(Values!$S$6,Castes!$B$2:$F$25,4,0)=Charms!I4496))</f>
        <v>#N/A</v>
      </c>
      <c r="J4496" t="e">
        <f t="shared" ca="1" si="351"/>
        <v>#N/A</v>
      </c>
      <c r="K4496" s="18" t="e">
        <f t="shared" ca="1" si="350"/>
        <v>#N/A</v>
      </c>
      <c r="L4496" t="e">
        <f ca="1">IF(J4496,Charms!B4496,"")</f>
        <v>#N/A</v>
      </c>
      <c r="M4496" t="str">
        <f t="shared" ca="1" si="352"/>
        <v>-</v>
      </c>
      <c r="N4496" s="18" t="str">
        <f t="shared" si="353"/>
        <v>K1622:L5000</v>
      </c>
      <c r="O4496" t="str">
        <f t="shared" si="354"/>
        <v>A1622:A4496</v>
      </c>
    </row>
    <row r="4497" spans="1:15">
      <c r="A4497" s="18">
        <f>Charms!K4497</f>
        <v>0</v>
      </c>
      <c r="B4497">
        <f>Charms!B4497</f>
        <v>0</v>
      </c>
      <c r="C4497" t="b">
        <f ca="1">OR(Values!$S$98&gt;=Charms!M4497,IFERROR(Charms!J4497=OFFSET(Values!$A$24,MATCH("S",Values!$T$25:$T$50,0),0),FALSE))</f>
        <v>1</v>
      </c>
      <c r="D4497" t="e">
        <f>VLOOKUP(Charms!J4497,Values!$A$11:$S$59,19,0)&gt;=Charms!L4497</f>
        <v>#N/A</v>
      </c>
      <c r="E4497" t="e">
        <f>OR(ISBLANK(Charms!I4497),(VLOOKUP(Values!$S$6,Castes!$B$2:$F$25,4,0)=Charms!I4497))</f>
        <v>#N/A</v>
      </c>
      <c r="J4497" t="e">
        <f t="shared" ca="1" si="351"/>
        <v>#N/A</v>
      </c>
      <c r="K4497" s="18" t="e">
        <f t="shared" ca="1" si="350"/>
        <v>#N/A</v>
      </c>
      <c r="L4497" t="e">
        <f ca="1">IF(J4497,Charms!B4497,"")</f>
        <v>#N/A</v>
      </c>
      <c r="M4497" t="str">
        <f t="shared" ca="1" si="352"/>
        <v>-</v>
      </c>
      <c r="N4497" s="18" t="str">
        <f t="shared" si="353"/>
        <v>K1622:L5000</v>
      </c>
      <c r="O4497" t="str">
        <f t="shared" si="354"/>
        <v>A1622:A4497</v>
      </c>
    </row>
    <row r="4498" spans="1:15">
      <c r="A4498" s="18">
        <f>Charms!K4498</f>
        <v>0</v>
      </c>
      <c r="B4498">
        <f>Charms!B4498</f>
        <v>0</v>
      </c>
      <c r="C4498" t="b">
        <f ca="1">OR(Values!$S$98&gt;=Charms!M4498,IFERROR(Charms!J4498=OFFSET(Values!$A$24,MATCH("S",Values!$T$25:$T$50,0),0),FALSE))</f>
        <v>1</v>
      </c>
      <c r="D4498" t="e">
        <f>VLOOKUP(Charms!J4498,Values!$A$11:$S$59,19,0)&gt;=Charms!L4498</f>
        <v>#N/A</v>
      </c>
      <c r="E4498" t="e">
        <f>OR(ISBLANK(Charms!I4498),(VLOOKUP(Values!$S$6,Castes!$B$2:$F$25,4,0)=Charms!I4498))</f>
        <v>#N/A</v>
      </c>
      <c r="J4498" t="e">
        <f t="shared" ca="1" si="351"/>
        <v>#N/A</v>
      </c>
      <c r="K4498" s="18" t="e">
        <f t="shared" ca="1" si="350"/>
        <v>#N/A</v>
      </c>
      <c r="L4498" t="e">
        <f ca="1">IF(J4498,Charms!B4498,"")</f>
        <v>#N/A</v>
      </c>
      <c r="M4498" t="str">
        <f t="shared" ca="1" si="352"/>
        <v>-</v>
      </c>
      <c r="N4498" s="18" t="str">
        <f t="shared" si="353"/>
        <v>K1622:L5000</v>
      </c>
      <c r="O4498" t="str">
        <f t="shared" si="354"/>
        <v>A1622:A4498</v>
      </c>
    </row>
    <row r="4499" spans="1:15">
      <c r="A4499" s="18">
        <f>Charms!K4499</f>
        <v>0</v>
      </c>
      <c r="B4499">
        <f>Charms!B4499</f>
        <v>0</v>
      </c>
      <c r="C4499" t="b">
        <f ca="1">OR(Values!$S$98&gt;=Charms!M4499,IFERROR(Charms!J4499=OFFSET(Values!$A$24,MATCH("S",Values!$T$25:$T$50,0),0),FALSE))</f>
        <v>1</v>
      </c>
      <c r="D4499" t="e">
        <f>VLOOKUP(Charms!J4499,Values!$A$11:$S$59,19,0)&gt;=Charms!L4499</f>
        <v>#N/A</v>
      </c>
      <c r="E4499" t="e">
        <f>OR(ISBLANK(Charms!I4499),(VLOOKUP(Values!$S$6,Castes!$B$2:$F$25,4,0)=Charms!I4499))</f>
        <v>#N/A</v>
      </c>
      <c r="J4499" t="e">
        <f t="shared" ca="1" si="351"/>
        <v>#N/A</v>
      </c>
      <c r="K4499" s="18" t="e">
        <f t="shared" ca="1" si="350"/>
        <v>#N/A</v>
      </c>
      <c r="L4499" t="e">
        <f ca="1">IF(J4499,Charms!B4499,"")</f>
        <v>#N/A</v>
      </c>
      <c r="M4499" t="str">
        <f t="shared" ca="1" si="352"/>
        <v>-</v>
      </c>
      <c r="N4499" s="18" t="str">
        <f t="shared" si="353"/>
        <v>K1622:L5000</v>
      </c>
      <c r="O4499" t="str">
        <f t="shared" si="354"/>
        <v>A1622:A4499</v>
      </c>
    </row>
    <row r="4500" spans="1:15">
      <c r="A4500" s="18">
        <f>Charms!K4500</f>
        <v>0</v>
      </c>
      <c r="B4500">
        <f>Charms!B4500</f>
        <v>0</v>
      </c>
      <c r="C4500" t="b">
        <f ca="1">OR(Values!$S$98&gt;=Charms!M4500,IFERROR(Charms!J4500=OFFSET(Values!$A$24,MATCH("S",Values!$T$25:$T$50,0),0),FALSE))</f>
        <v>1</v>
      </c>
      <c r="D4500" t="e">
        <f>VLOOKUP(Charms!J4500,Values!$A$11:$S$59,19,0)&gt;=Charms!L4500</f>
        <v>#N/A</v>
      </c>
      <c r="E4500" t="e">
        <f>OR(ISBLANK(Charms!I4500),(VLOOKUP(Values!$S$6,Castes!$B$2:$F$25,4,0)=Charms!I4500))</f>
        <v>#N/A</v>
      </c>
      <c r="J4500" t="e">
        <f t="shared" ca="1" si="351"/>
        <v>#N/A</v>
      </c>
      <c r="K4500" s="18" t="e">
        <f t="shared" ca="1" si="350"/>
        <v>#N/A</v>
      </c>
      <c r="L4500" t="e">
        <f ca="1">IF(J4500,Charms!B4500,"")</f>
        <v>#N/A</v>
      </c>
      <c r="M4500" t="str">
        <f t="shared" ca="1" si="352"/>
        <v>-</v>
      </c>
      <c r="N4500" s="18" t="str">
        <f t="shared" si="353"/>
        <v>K1622:L5000</v>
      </c>
      <c r="O4500" t="str">
        <f t="shared" si="354"/>
        <v>A1622:A4500</v>
      </c>
    </row>
    <row r="4501" spans="1:15">
      <c r="A4501" s="18">
        <f>Charms!K4501</f>
        <v>0</v>
      </c>
      <c r="B4501">
        <f>Charms!B4501</f>
        <v>0</v>
      </c>
      <c r="C4501" t="b">
        <f ca="1">OR(Values!$S$98&gt;=Charms!M4501,IFERROR(Charms!J4501=OFFSET(Values!$A$24,MATCH("S",Values!$T$25:$T$50,0),0),FALSE))</f>
        <v>1</v>
      </c>
      <c r="D4501" t="e">
        <f>VLOOKUP(Charms!J4501,Values!$A$11:$S$59,19,0)&gt;=Charms!L4501</f>
        <v>#N/A</v>
      </c>
      <c r="E4501" t="e">
        <f>OR(ISBLANK(Charms!I4501),(VLOOKUP(Values!$S$6,Castes!$B$2:$F$25,4,0)=Charms!I4501))</f>
        <v>#N/A</v>
      </c>
      <c r="J4501" t="e">
        <f t="shared" ca="1" si="351"/>
        <v>#N/A</v>
      </c>
      <c r="K4501" s="18" t="e">
        <f t="shared" ca="1" si="350"/>
        <v>#N/A</v>
      </c>
      <c r="L4501" t="e">
        <f ca="1">IF(J4501,Charms!B4501,"")</f>
        <v>#N/A</v>
      </c>
      <c r="M4501" t="str">
        <f t="shared" ca="1" si="352"/>
        <v>-</v>
      </c>
      <c r="N4501" s="18" t="str">
        <f t="shared" si="353"/>
        <v>K1622:L5000</v>
      </c>
      <c r="O4501" t="str">
        <f t="shared" si="354"/>
        <v>A1622:A4501</v>
      </c>
    </row>
    <row r="4502" spans="1:15">
      <c r="A4502" s="18">
        <f>Charms!K4502</f>
        <v>0</v>
      </c>
      <c r="B4502">
        <f>Charms!B4502</f>
        <v>0</v>
      </c>
      <c r="C4502" t="b">
        <f ca="1">OR(Values!$S$98&gt;=Charms!M4502,IFERROR(Charms!J4502=OFFSET(Values!$A$24,MATCH("S",Values!$T$25:$T$50,0),0),FALSE))</f>
        <v>1</v>
      </c>
      <c r="D4502" t="e">
        <f>VLOOKUP(Charms!J4502,Values!$A$11:$S$59,19,0)&gt;=Charms!L4502</f>
        <v>#N/A</v>
      </c>
      <c r="E4502" t="e">
        <f>OR(ISBLANK(Charms!I4502),(VLOOKUP(Values!$S$6,Castes!$B$2:$F$25,4,0)=Charms!I4502))</f>
        <v>#N/A</v>
      </c>
      <c r="J4502" t="e">
        <f t="shared" ca="1" si="351"/>
        <v>#N/A</v>
      </c>
      <c r="K4502" s="18" t="e">
        <f t="shared" ca="1" si="350"/>
        <v>#N/A</v>
      </c>
      <c r="L4502" t="e">
        <f ca="1">IF(J4502,Charms!B4502,"")</f>
        <v>#N/A</v>
      </c>
      <c r="M4502" t="str">
        <f t="shared" ca="1" si="352"/>
        <v>-</v>
      </c>
      <c r="N4502" s="18" t="str">
        <f t="shared" si="353"/>
        <v>K1622:L5000</v>
      </c>
      <c r="O4502" t="str">
        <f t="shared" si="354"/>
        <v>A1622:A4502</v>
      </c>
    </row>
    <row r="4503" spans="1:15">
      <c r="A4503" s="18">
        <f>Charms!K4503</f>
        <v>0</v>
      </c>
      <c r="B4503">
        <f>Charms!B4503</f>
        <v>0</v>
      </c>
      <c r="C4503" t="b">
        <f ca="1">OR(Values!$S$98&gt;=Charms!M4503,IFERROR(Charms!J4503=OFFSET(Values!$A$24,MATCH("S",Values!$T$25:$T$50,0),0),FALSE))</f>
        <v>1</v>
      </c>
      <c r="D4503" t="e">
        <f>VLOOKUP(Charms!J4503,Values!$A$11:$S$59,19,0)&gt;=Charms!L4503</f>
        <v>#N/A</v>
      </c>
      <c r="E4503" t="e">
        <f>OR(ISBLANK(Charms!I4503),(VLOOKUP(Values!$S$6,Castes!$B$2:$F$25,4,0)=Charms!I4503))</f>
        <v>#N/A</v>
      </c>
      <c r="J4503" t="e">
        <f t="shared" ca="1" si="351"/>
        <v>#N/A</v>
      </c>
      <c r="K4503" s="18" t="e">
        <f t="shared" ca="1" si="350"/>
        <v>#N/A</v>
      </c>
      <c r="L4503" t="e">
        <f ca="1">IF(J4503,Charms!B4503,"")</f>
        <v>#N/A</v>
      </c>
      <c r="M4503" t="str">
        <f t="shared" ca="1" si="352"/>
        <v>-</v>
      </c>
      <c r="N4503" s="18" t="str">
        <f t="shared" si="353"/>
        <v>K1622:L5000</v>
      </c>
      <c r="O4503" t="str">
        <f t="shared" si="354"/>
        <v>A1622:A4503</v>
      </c>
    </row>
    <row r="4504" spans="1:15">
      <c r="A4504" s="18">
        <f>Charms!K4504</f>
        <v>0</v>
      </c>
      <c r="B4504">
        <f>Charms!B4504</f>
        <v>0</v>
      </c>
      <c r="C4504" t="b">
        <f ca="1">OR(Values!$S$98&gt;=Charms!M4504,IFERROR(Charms!J4504=OFFSET(Values!$A$24,MATCH("S",Values!$T$25:$T$50,0),0),FALSE))</f>
        <v>1</v>
      </c>
      <c r="D4504" t="e">
        <f>VLOOKUP(Charms!J4504,Values!$A$11:$S$59,19,0)&gt;=Charms!L4504</f>
        <v>#N/A</v>
      </c>
      <c r="E4504" t="e">
        <f>OR(ISBLANK(Charms!I4504),(VLOOKUP(Values!$S$6,Castes!$B$2:$F$25,4,0)=Charms!I4504))</f>
        <v>#N/A</v>
      </c>
      <c r="J4504" t="e">
        <f t="shared" ca="1" si="351"/>
        <v>#N/A</v>
      </c>
      <c r="K4504" s="18" t="e">
        <f t="shared" ca="1" si="350"/>
        <v>#N/A</v>
      </c>
      <c r="L4504" t="e">
        <f ca="1">IF(J4504,Charms!B4504,"")</f>
        <v>#N/A</v>
      </c>
      <c r="M4504" t="str">
        <f t="shared" ca="1" si="352"/>
        <v>-</v>
      </c>
      <c r="N4504" s="18" t="str">
        <f t="shared" si="353"/>
        <v>K1622:L5000</v>
      </c>
      <c r="O4504" t="str">
        <f t="shared" si="354"/>
        <v>A1622:A4504</v>
      </c>
    </row>
    <row r="4505" spans="1:15">
      <c r="A4505" s="18">
        <f>Charms!K4505</f>
        <v>0</v>
      </c>
      <c r="B4505">
        <f>Charms!B4505</f>
        <v>0</v>
      </c>
      <c r="C4505" t="b">
        <f ca="1">OR(Values!$S$98&gt;=Charms!M4505,IFERROR(Charms!J4505=OFFSET(Values!$A$24,MATCH("S",Values!$T$25:$T$50,0),0),FALSE))</f>
        <v>1</v>
      </c>
      <c r="D4505" t="e">
        <f>VLOOKUP(Charms!J4505,Values!$A$11:$S$59,19,0)&gt;=Charms!L4505</f>
        <v>#N/A</v>
      </c>
      <c r="E4505" t="e">
        <f>OR(ISBLANK(Charms!I4505),(VLOOKUP(Values!$S$6,Castes!$B$2:$F$25,4,0)=Charms!I4505))</f>
        <v>#N/A</v>
      </c>
      <c r="J4505" t="e">
        <f t="shared" ca="1" si="351"/>
        <v>#N/A</v>
      </c>
      <c r="K4505" s="18" t="e">
        <f t="shared" ca="1" si="350"/>
        <v>#N/A</v>
      </c>
      <c r="L4505" t="e">
        <f ca="1">IF(J4505,Charms!B4505,"")</f>
        <v>#N/A</v>
      </c>
      <c r="M4505" t="str">
        <f t="shared" ca="1" si="352"/>
        <v>-</v>
      </c>
      <c r="N4505" s="18" t="str">
        <f t="shared" si="353"/>
        <v>K1622:L5000</v>
      </c>
      <c r="O4505" t="str">
        <f t="shared" si="354"/>
        <v>A1622:A4505</v>
      </c>
    </row>
    <row r="4506" spans="1:15">
      <c r="A4506" s="18">
        <f>Charms!K4506</f>
        <v>0</v>
      </c>
      <c r="B4506">
        <f>Charms!B4506</f>
        <v>0</v>
      </c>
      <c r="C4506" t="b">
        <f ca="1">OR(Values!$S$98&gt;=Charms!M4506,IFERROR(Charms!J4506=OFFSET(Values!$A$24,MATCH("S",Values!$T$25:$T$50,0),0),FALSE))</f>
        <v>1</v>
      </c>
      <c r="D4506" t="e">
        <f>VLOOKUP(Charms!J4506,Values!$A$11:$S$59,19,0)&gt;=Charms!L4506</f>
        <v>#N/A</v>
      </c>
      <c r="E4506" t="e">
        <f>OR(ISBLANK(Charms!I4506),(VLOOKUP(Values!$S$6,Castes!$B$2:$F$25,4,0)=Charms!I4506))</f>
        <v>#N/A</v>
      </c>
      <c r="J4506" t="e">
        <f t="shared" ca="1" si="351"/>
        <v>#N/A</v>
      </c>
      <c r="K4506" s="18" t="e">
        <f t="shared" ca="1" si="350"/>
        <v>#N/A</v>
      </c>
      <c r="L4506" t="e">
        <f ca="1">IF(J4506,Charms!B4506,"")</f>
        <v>#N/A</v>
      </c>
      <c r="M4506" t="str">
        <f t="shared" ca="1" si="352"/>
        <v>-</v>
      </c>
      <c r="N4506" s="18" t="str">
        <f t="shared" si="353"/>
        <v>K1622:L5000</v>
      </c>
      <c r="O4506" t="str">
        <f t="shared" si="354"/>
        <v>A1622:A4506</v>
      </c>
    </row>
    <row r="4507" spans="1:15">
      <c r="A4507" s="18">
        <f>Charms!K4507</f>
        <v>0</v>
      </c>
      <c r="B4507">
        <f>Charms!B4507</f>
        <v>0</v>
      </c>
      <c r="C4507" t="b">
        <f ca="1">OR(Values!$S$98&gt;=Charms!M4507,IFERROR(Charms!J4507=OFFSET(Values!$A$24,MATCH("S",Values!$T$25:$T$50,0),0),FALSE))</f>
        <v>1</v>
      </c>
      <c r="D4507" t="e">
        <f>VLOOKUP(Charms!J4507,Values!$A$11:$S$59,19,0)&gt;=Charms!L4507</f>
        <v>#N/A</v>
      </c>
      <c r="E4507" t="e">
        <f>OR(ISBLANK(Charms!I4507),(VLOOKUP(Values!$S$6,Castes!$B$2:$F$25,4,0)=Charms!I4507))</f>
        <v>#N/A</v>
      </c>
      <c r="J4507" t="e">
        <f t="shared" ca="1" si="351"/>
        <v>#N/A</v>
      </c>
      <c r="K4507" s="18" t="e">
        <f t="shared" ca="1" si="350"/>
        <v>#N/A</v>
      </c>
      <c r="L4507" t="e">
        <f ca="1">IF(J4507,Charms!B4507,"")</f>
        <v>#N/A</v>
      </c>
      <c r="M4507" t="str">
        <f t="shared" ca="1" si="352"/>
        <v>-</v>
      </c>
      <c r="N4507" s="18" t="str">
        <f t="shared" si="353"/>
        <v>K1622:L5000</v>
      </c>
      <c r="O4507" t="str">
        <f t="shared" si="354"/>
        <v>A1622:A4507</v>
      </c>
    </row>
    <row r="4508" spans="1:15">
      <c r="A4508" s="18">
        <f>Charms!K4508</f>
        <v>0</v>
      </c>
      <c r="B4508">
        <f>Charms!B4508</f>
        <v>0</v>
      </c>
      <c r="C4508" t="b">
        <f ca="1">OR(Values!$S$98&gt;=Charms!M4508,IFERROR(Charms!J4508=OFFSET(Values!$A$24,MATCH("S",Values!$T$25:$T$50,0),0),FALSE))</f>
        <v>1</v>
      </c>
      <c r="D4508" t="e">
        <f>VLOOKUP(Charms!J4508,Values!$A$11:$S$59,19,0)&gt;=Charms!L4508</f>
        <v>#N/A</v>
      </c>
      <c r="E4508" t="e">
        <f>OR(ISBLANK(Charms!I4508),(VLOOKUP(Values!$S$6,Castes!$B$2:$F$25,4,0)=Charms!I4508))</f>
        <v>#N/A</v>
      </c>
      <c r="J4508" t="e">
        <f t="shared" ca="1" si="351"/>
        <v>#N/A</v>
      </c>
      <c r="K4508" s="18" t="e">
        <f t="shared" ca="1" si="350"/>
        <v>#N/A</v>
      </c>
      <c r="L4508" t="e">
        <f ca="1">IF(J4508,Charms!B4508,"")</f>
        <v>#N/A</v>
      </c>
      <c r="M4508" t="str">
        <f t="shared" ca="1" si="352"/>
        <v>-</v>
      </c>
      <c r="N4508" s="18" t="str">
        <f t="shared" si="353"/>
        <v>K1622:L5000</v>
      </c>
      <c r="O4508" t="str">
        <f t="shared" si="354"/>
        <v>A1622:A4508</v>
      </c>
    </row>
    <row r="4509" spans="1:15">
      <c r="A4509" s="18">
        <f>Charms!K4509</f>
        <v>0</v>
      </c>
      <c r="B4509">
        <f>Charms!B4509</f>
        <v>0</v>
      </c>
      <c r="C4509" t="b">
        <f ca="1">OR(Values!$S$98&gt;=Charms!M4509,IFERROR(Charms!J4509=OFFSET(Values!$A$24,MATCH("S",Values!$T$25:$T$50,0),0),FALSE))</f>
        <v>1</v>
      </c>
      <c r="D4509" t="e">
        <f>VLOOKUP(Charms!J4509,Values!$A$11:$S$59,19,0)&gt;=Charms!L4509</f>
        <v>#N/A</v>
      </c>
      <c r="E4509" t="e">
        <f>OR(ISBLANK(Charms!I4509),(VLOOKUP(Values!$S$6,Castes!$B$2:$F$25,4,0)=Charms!I4509))</f>
        <v>#N/A</v>
      </c>
      <c r="J4509" t="e">
        <f t="shared" ca="1" si="351"/>
        <v>#N/A</v>
      </c>
      <c r="K4509" s="18" t="e">
        <f t="shared" ca="1" si="350"/>
        <v>#N/A</v>
      </c>
      <c r="L4509" t="e">
        <f ca="1">IF(J4509,Charms!B4509,"")</f>
        <v>#N/A</v>
      </c>
      <c r="M4509" t="str">
        <f t="shared" ca="1" si="352"/>
        <v>-</v>
      </c>
      <c r="N4509" s="18" t="str">
        <f t="shared" si="353"/>
        <v>K1622:L5000</v>
      </c>
      <c r="O4509" t="str">
        <f t="shared" si="354"/>
        <v>A1622:A4509</v>
      </c>
    </row>
    <row r="4510" spans="1:15">
      <c r="A4510" s="18">
        <f>Charms!K4510</f>
        <v>0</v>
      </c>
      <c r="B4510">
        <f>Charms!B4510</f>
        <v>0</v>
      </c>
      <c r="C4510" t="b">
        <f ca="1">OR(Values!$S$98&gt;=Charms!M4510,IFERROR(Charms!J4510=OFFSET(Values!$A$24,MATCH("S",Values!$T$25:$T$50,0),0),FALSE))</f>
        <v>1</v>
      </c>
      <c r="D4510" t="e">
        <f>VLOOKUP(Charms!J4510,Values!$A$11:$S$59,19,0)&gt;=Charms!L4510</f>
        <v>#N/A</v>
      </c>
      <c r="E4510" t="e">
        <f>OR(ISBLANK(Charms!I4510),(VLOOKUP(Values!$S$6,Castes!$B$2:$F$25,4,0)=Charms!I4510))</f>
        <v>#N/A</v>
      </c>
      <c r="J4510" t="e">
        <f t="shared" ca="1" si="351"/>
        <v>#N/A</v>
      </c>
      <c r="K4510" s="18" t="e">
        <f t="shared" ca="1" si="350"/>
        <v>#N/A</v>
      </c>
      <c r="L4510" t="e">
        <f ca="1">IF(J4510,Charms!B4510,"")</f>
        <v>#N/A</v>
      </c>
      <c r="M4510" t="str">
        <f t="shared" ca="1" si="352"/>
        <v>-</v>
      </c>
      <c r="N4510" s="18" t="str">
        <f t="shared" si="353"/>
        <v>K1622:L5000</v>
      </c>
      <c r="O4510" t="str">
        <f t="shared" si="354"/>
        <v>A1622:A4510</v>
      </c>
    </row>
    <row r="4511" spans="1:15">
      <c r="A4511" s="18">
        <f>Charms!K4511</f>
        <v>0</v>
      </c>
      <c r="B4511">
        <f>Charms!B4511</f>
        <v>0</v>
      </c>
      <c r="C4511" t="b">
        <f ca="1">OR(Values!$S$98&gt;=Charms!M4511,IFERROR(Charms!J4511=OFFSET(Values!$A$24,MATCH("S",Values!$T$25:$T$50,0),0),FALSE))</f>
        <v>1</v>
      </c>
      <c r="D4511" t="e">
        <f>VLOOKUP(Charms!J4511,Values!$A$11:$S$59,19,0)&gt;=Charms!L4511</f>
        <v>#N/A</v>
      </c>
      <c r="E4511" t="e">
        <f>OR(ISBLANK(Charms!I4511),(VLOOKUP(Values!$S$6,Castes!$B$2:$F$25,4,0)=Charms!I4511))</f>
        <v>#N/A</v>
      </c>
      <c r="J4511" t="e">
        <f t="shared" ca="1" si="351"/>
        <v>#N/A</v>
      </c>
      <c r="K4511" s="18" t="e">
        <f t="shared" ca="1" si="350"/>
        <v>#N/A</v>
      </c>
      <c r="L4511" t="e">
        <f ca="1">IF(J4511,Charms!B4511,"")</f>
        <v>#N/A</v>
      </c>
      <c r="M4511" t="str">
        <f t="shared" ca="1" si="352"/>
        <v>-</v>
      </c>
      <c r="N4511" s="18" t="str">
        <f t="shared" si="353"/>
        <v>K1622:L5000</v>
      </c>
      <c r="O4511" t="str">
        <f t="shared" si="354"/>
        <v>A1622:A4511</v>
      </c>
    </row>
    <row r="4512" spans="1:15">
      <c r="A4512" s="18">
        <f>Charms!K4512</f>
        <v>0</v>
      </c>
      <c r="B4512">
        <f>Charms!B4512</f>
        <v>0</v>
      </c>
      <c r="C4512" t="b">
        <f ca="1">OR(Values!$S$98&gt;=Charms!M4512,IFERROR(Charms!J4512=OFFSET(Values!$A$24,MATCH("S",Values!$T$25:$T$50,0),0),FALSE))</f>
        <v>1</v>
      </c>
      <c r="D4512" t="e">
        <f>VLOOKUP(Charms!J4512,Values!$A$11:$S$59,19,0)&gt;=Charms!L4512</f>
        <v>#N/A</v>
      </c>
      <c r="E4512" t="e">
        <f>OR(ISBLANK(Charms!I4512),(VLOOKUP(Values!$S$6,Castes!$B$2:$F$25,4,0)=Charms!I4512))</f>
        <v>#N/A</v>
      </c>
      <c r="J4512" t="e">
        <f t="shared" ca="1" si="351"/>
        <v>#N/A</v>
      </c>
      <c r="K4512" s="18" t="e">
        <f t="shared" ca="1" si="350"/>
        <v>#N/A</v>
      </c>
      <c r="L4512" t="e">
        <f ca="1">IF(J4512,Charms!B4512,"")</f>
        <v>#N/A</v>
      </c>
      <c r="M4512" t="str">
        <f t="shared" ca="1" si="352"/>
        <v>-</v>
      </c>
      <c r="N4512" s="18" t="str">
        <f t="shared" si="353"/>
        <v>K1622:L5000</v>
      </c>
      <c r="O4512" t="str">
        <f t="shared" si="354"/>
        <v>A1622:A4512</v>
      </c>
    </row>
    <row r="4513" spans="1:15">
      <c r="A4513" s="18">
        <f>Charms!K4513</f>
        <v>0</v>
      </c>
      <c r="B4513">
        <f>Charms!B4513</f>
        <v>0</v>
      </c>
      <c r="C4513" t="b">
        <f ca="1">OR(Values!$S$98&gt;=Charms!M4513,IFERROR(Charms!J4513=OFFSET(Values!$A$24,MATCH("S",Values!$T$25:$T$50,0),0),FALSE))</f>
        <v>1</v>
      </c>
      <c r="D4513" t="e">
        <f>VLOOKUP(Charms!J4513,Values!$A$11:$S$59,19,0)&gt;=Charms!L4513</f>
        <v>#N/A</v>
      </c>
      <c r="E4513" t="e">
        <f>OR(ISBLANK(Charms!I4513),(VLOOKUP(Values!$S$6,Castes!$B$2:$F$25,4,0)=Charms!I4513))</f>
        <v>#N/A</v>
      </c>
      <c r="J4513" t="e">
        <f t="shared" ca="1" si="351"/>
        <v>#N/A</v>
      </c>
      <c r="K4513" s="18" t="e">
        <f t="shared" ca="1" si="350"/>
        <v>#N/A</v>
      </c>
      <c r="L4513" t="e">
        <f ca="1">IF(J4513,Charms!B4513,"")</f>
        <v>#N/A</v>
      </c>
      <c r="M4513" t="str">
        <f t="shared" ca="1" si="352"/>
        <v>-</v>
      </c>
      <c r="N4513" s="18" t="str">
        <f t="shared" si="353"/>
        <v>K1622:L5000</v>
      </c>
      <c r="O4513" t="str">
        <f t="shared" si="354"/>
        <v>A1622:A4513</v>
      </c>
    </row>
    <row r="4514" spans="1:15">
      <c r="A4514" s="18">
        <f>Charms!K4514</f>
        <v>0</v>
      </c>
      <c r="B4514">
        <f>Charms!B4514</f>
        <v>0</v>
      </c>
      <c r="C4514" t="b">
        <f ca="1">OR(Values!$S$98&gt;=Charms!M4514,IFERROR(Charms!J4514=OFFSET(Values!$A$24,MATCH("S",Values!$T$25:$T$50,0),0),FALSE))</f>
        <v>1</v>
      </c>
      <c r="D4514" t="e">
        <f>VLOOKUP(Charms!J4514,Values!$A$11:$S$59,19,0)&gt;=Charms!L4514</f>
        <v>#N/A</v>
      </c>
      <c r="E4514" t="e">
        <f>OR(ISBLANK(Charms!I4514),(VLOOKUP(Values!$S$6,Castes!$B$2:$F$25,4,0)=Charms!I4514))</f>
        <v>#N/A</v>
      </c>
      <c r="J4514" t="e">
        <f t="shared" ca="1" si="351"/>
        <v>#N/A</v>
      </c>
      <c r="K4514" s="18" t="e">
        <f t="shared" ca="1" si="350"/>
        <v>#N/A</v>
      </c>
      <c r="L4514" t="e">
        <f ca="1">IF(J4514,Charms!B4514,"")</f>
        <v>#N/A</v>
      </c>
      <c r="M4514" t="str">
        <f t="shared" ca="1" si="352"/>
        <v>-</v>
      </c>
      <c r="N4514" s="18" t="str">
        <f t="shared" si="353"/>
        <v>K1622:L5000</v>
      </c>
      <c r="O4514" t="str">
        <f t="shared" si="354"/>
        <v>A1622:A4514</v>
      </c>
    </row>
    <row r="4515" spans="1:15">
      <c r="A4515" s="18">
        <f>Charms!K4515</f>
        <v>0</v>
      </c>
      <c r="B4515">
        <f>Charms!B4515</f>
        <v>0</v>
      </c>
      <c r="C4515" t="b">
        <f ca="1">OR(Values!$S$98&gt;=Charms!M4515,IFERROR(Charms!J4515=OFFSET(Values!$A$24,MATCH("S",Values!$T$25:$T$50,0),0),FALSE))</f>
        <v>1</v>
      </c>
      <c r="D4515" t="e">
        <f>VLOOKUP(Charms!J4515,Values!$A$11:$S$59,19,0)&gt;=Charms!L4515</f>
        <v>#N/A</v>
      </c>
      <c r="E4515" t="e">
        <f>OR(ISBLANK(Charms!I4515),(VLOOKUP(Values!$S$6,Castes!$B$2:$F$25,4,0)=Charms!I4515))</f>
        <v>#N/A</v>
      </c>
      <c r="J4515" t="e">
        <f t="shared" ca="1" si="351"/>
        <v>#N/A</v>
      </c>
      <c r="K4515" s="18" t="e">
        <f t="shared" ca="1" si="350"/>
        <v>#N/A</v>
      </c>
      <c r="L4515" t="e">
        <f ca="1">IF(J4515,Charms!B4515,"")</f>
        <v>#N/A</v>
      </c>
      <c r="M4515" t="str">
        <f t="shared" ca="1" si="352"/>
        <v>-</v>
      </c>
      <c r="N4515" s="18" t="str">
        <f t="shared" si="353"/>
        <v>K1622:L5000</v>
      </c>
      <c r="O4515" t="str">
        <f t="shared" si="354"/>
        <v>A1622:A4515</v>
      </c>
    </row>
    <row r="4516" spans="1:15">
      <c r="A4516" s="18">
        <f>Charms!K4516</f>
        <v>0</v>
      </c>
      <c r="B4516">
        <f>Charms!B4516</f>
        <v>0</v>
      </c>
      <c r="C4516" t="b">
        <f ca="1">OR(Values!$S$98&gt;=Charms!M4516,IFERROR(Charms!J4516=OFFSET(Values!$A$24,MATCH("S",Values!$T$25:$T$50,0),0),FALSE))</f>
        <v>1</v>
      </c>
      <c r="D4516" t="e">
        <f>VLOOKUP(Charms!J4516,Values!$A$11:$S$59,19,0)&gt;=Charms!L4516</f>
        <v>#N/A</v>
      </c>
      <c r="E4516" t="e">
        <f>OR(ISBLANK(Charms!I4516),(VLOOKUP(Values!$S$6,Castes!$B$2:$F$25,4,0)=Charms!I4516))</f>
        <v>#N/A</v>
      </c>
      <c r="J4516" t="e">
        <f t="shared" ca="1" si="351"/>
        <v>#N/A</v>
      </c>
      <c r="K4516" s="18" t="e">
        <f t="shared" ca="1" si="350"/>
        <v>#N/A</v>
      </c>
      <c r="L4516" t="e">
        <f ca="1">IF(J4516,Charms!B4516,"")</f>
        <v>#N/A</v>
      </c>
      <c r="M4516" t="str">
        <f t="shared" ca="1" si="352"/>
        <v>-</v>
      </c>
      <c r="N4516" s="18" t="str">
        <f t="shared" si="353"/>
        <v>K1622:L5000</v>
      </c>
      <c r="O4516" t="str">
        <f t="shared" si="354"/>
        <v>A1622:A4516</v>
      </c>
    </row>
    <row r="4517" spans="1:15">
      <c r="A4517" s="18">
        <f>Charms!K4517</f>
        <v>0</v>
      </c>
      <c r="B4517">
        <f>Charms!B4517</f>
        <v>0</v>
      </c>
      <c r="C4517" t="b">
        <f ca="1">OR(Values!$S$98&gt;=Charms!M4517,IFERROR(Charms!J4517=OFFSET(Values!$A$24,MATCH("S",Values!$T$25:$T$50,0),0),FALSE))</f>
        <v>1</v>
      </c>
      <c r="D4517" t="e">
        <f>VLOOKUP(Charms!J4517,Values!$A$11:$S$59,19,0)&gt;=Charms!L4517</f>
        <v>#N/A</v>
      </c>
      <c r="E4517" t="e">
        <f>OR(ISBLANK(Charms!I4517),(VLOOKUP(Values!$S$6,Castes!$B$2:$F$25,4,0)=Charms!I4517))</f>
        <v>#N/A</v>
      </c>
      <c r="J4517" t="e">
        <f t="shared" ca="1" si="351"/>
        <v>#N/A</v>
      </c>
      <c r="K4517" s="18" t="e">
        <f t="shared" ca="1" si="350"/>
        <v>#N/A</v>
      </c>
      <c r="L4517" t="e">
        <f ca="1">IF(J4517,Charms!B4517,"")</f>
        <v>#N/A</v>
      </c>
      <c r="M4517" t="str">
        <f t="shared" ca="1" si="352"/>
        <v>-</v>
      </c>
      <c r="N4517" s="18" t="str">
        <f t="shared" si="353"/>
        <v>K1622:L5000</v>
      </c>
      <c r="O4517" t="str">
        <f t="shared" si="354"/>
        <v>A1622:A4517</v>
      </c>
    </row>
    <row r="4518" spans="1:15">
      <c r="A4518" s="18">
        <f>Charms!K4518</f>
        <v>0</v>
      </c>
      <c r="B4518">
        <f>Charms!B4518</f>
        <v>0</v>
      </c>
      <c r="C4518" t="b">
        <f ca="1">OR(Values!$S$98&gt;=Charms!M4518,IFERROR(Charms!J4518=OFFSET(Values!$A$24,MATCH("S",Values!$T$25:$T$50,0),0),FALSE))</f>
        <v>1</v>
      </c>
      <c r="D4518" t="e">
        <f>VLOOKUP(Charms!J4518,Values!$A$11:$S$59,19,0)&gt;=Charms!L4518</f>
        <v>#N/A</v>
      </c>
      <c r="E4518" t="e">
        <f>OR(ISBLANK(Charms!I4518),(VLOOKUP(Values!$S$6,Castes!$B$2:$F$25,4,0)=Charms!I4518))</f>
        <v>#N/A</v>
      </c>
      <c r="J4518" t="e">
        <f t="shared" ca="1" si="351"/>
        <v>#N/A</v>
      </c>
      <c r="K4518" s="18" t="e">
        <f t="shared" ca="1" si="350"/>
        <v>#N/A</v>
      </c>
      <c r="L4518" t="e">
        <f ca="1">IF(J4518,Charms!B4518,"")</f>
        <v>#N/A</v>
      </c>
      <c r="M4518" t="str">
        <f t="shared" ca="1" si="352"/>
        <v>-</v>
      </c>
      <c r="N4518" s="18" t="str">
        <f t="shared" si="353"/>
        <v>K1622:L5000</v>
      </c>
      <c r="O4518" t="str">
        <f t="shared" si="354"/>
        <v>A1622:A4518</v>
      </c>
    </row>
    <row r="4519" spans="1:15">
      <c r="A4519" s="18">
        <f>Charms!K4519</f>
        <v>0</v>
      </c>
      <c r="B4519">
        <f>Charms!B4519</f>
        <v>0</v>
      </c>
      <c r="C4519" t="b">
        <f ca="1">OR(Values!$S$98&gt;=Charms!M4519,IFERROR(Charms!J4519=OFFSET(Values!$A$24,MATCH("S",Values!$T$25:$T$50,0),0),FALSE))</f>
        <v>1</v>
      </c>
      <c r="D4519" t="e">
        <f>VLOOKUP(Charms!J4519,Values!$A$11:$S$59,19,0)&gt;=Charms!L4519</f>
        <v>#N/A</v>
      </c>
      <c r="E4519" t="e">
        <f>OR(ISBLANK(Charms!I4519),(VLOOKUP(Values!$S$6,Castes!$B$2:$F$25,4,0)=Charms!I4519))</f>
        <v>#N/A</v>
      </c>
      <c r="J4519" t="e">
        <f t="shared" ca="1" si="351"/>
        <v>#N/A</v>
      </c>
      <c r="K4519" s="18" t="e">
        <f t="shared" ca="1" si="350"/>
        <v>#N/A</v>
      </c>
      <c r="L4519" t="e">
        <f ca="1">IF(J4519,Charms!B4519,"")</f>
        <v>#N/A</v>
      </c>
      <c r="M4519" t="str">
        <f t="shared" ca="1" si="352"/>
        <v>-</v>
      </c>
      <c r="N4519" s="18" t="str">
        <f t="shared" si="353"/>
        <v>K1622:L5000</v>
      </c>
      <c r="O4519" t="str">
        <f t="shared" si="354"/>
        <v>A1622:A4519</v>
      </c>
    </row>
    <row r="4520" spans="1:15">
      <c r="A4520" s="18">
        <f>Charms!K4520</f>
        <v>0</v>
      </c>
      <c r="B4520">
        <f>Charms!B4520</f>
        <v>0</v>
      </c>
      <c r="C4520" t="b">
        <f ca="1">OR(Values!$S$98&gt;=Charms!M4520,IFERROR(Charms!J4520=OFFSET(Values!$A$24,MATCH("S",Values!$T$25:$T$50,0),0),FALSE))</f>
        <v>1</v>
      </c>
      <c r="D4520" t="e">
        <f>VLOOKUP(Charms!J4520,Values!$A$11:$S$59,19,0)&gt;=Charms!L4520</f>
        <v>#N/A</v>
      </c>
      <c r="E4520" t="e">
        <f>OR(ISBLANK(Charms!I4520),(VLOOKUP(Values!$S$6,Castes!$B$2:$F$25,4,0)=Charms!I4520))</f>
        <v>#N/A</v>
      </c>
      <c r="J4520" t="e">
        <f t="shared" ca="1" si="351"/>
        <v>#N/A</v>
      </c>
      <c r="K4520" s="18" t="e">
        <f t="shared" ca="1" si="350"/>
        <v>#N/A</v>
      </c>
      <c r="L4520" t="e">
        <f ca="1">IF(J4520,Charms!B4520,"")</f>
        <v>#N/A</v>
      </c>
      <c r="M4520" t="str">
        <f t="shared" ca="1" si="352"/>
        <v>-</v>
      </c>
      <c r="N4520" s="18" t="str">
        <f t="shared" si="353"/>
        <v>K1622:L5000</v>
      </c>
      <c r="O4520" t="str">
        <f t="shared" si="354"/>
        <v>A1622:A4520</v>
      </c>
    </row>
    <row r="4521" spans="1:15">
      <c r="A4521" s="18">
        <f>Charms!K4521</f>
        <v>0</v>
      </c>
      <c r="B4521">
        <f>Charms!B4521</f>
        <v>0</v>
      </c>
      <c r="C4521" t="b">
        <f ca="1">OR(Values!$S$98&gt;=Charms!M4521,IFERROR(Charms!J4521=OFFSET(Values!$A$24,MATCH("S",Values!$T$25:$T$50,0),0),FALSE))</f>
        <v>1</v>
      </c>
      <c r="D4521" t="e">
        <f>VLOOKUP(Charms!J4521,Values!$A$11:$S$59,19,0)&gt;=Charms!L4521</f>
        <v>#N/A</v>
      </c>
      <c r="E4521" t="e">
        <f>OR(ISBLANK(Charms!I4521),(VLOOKUP(Values!$S$6,Castes!$B$2:$F$25,4,0)=Charms!I4521))</f>
        <v>#N/A</v>
      </c>
      <c r="J4521" t="e">
        <f t="shared" ca="1" si="351"/>
        <v>#N/A</v>
      </c>
      <c r="K4521" s="18" t="e">
        <f t="shared" ca="1" si="350"/>
        <v>#N/A</v>
      </c>
      <c r="L4521" t="e">
        <f ca="1">IF(J4521,Charms!B4521,"")</f>
        <v>#N/A</v>
      </c>
      <c r="M4521" t="str">
        <f t="shared" ca="1" si="352"/>
        <v>-</v>
      </c>
      <c r="N4521" s="18" t="str">
        <f t="shared" si="353"/>
        <v>K1622:L5000</v>
      </c>
      <c r="O4521" t="str">
        <f t="shared" si="354"/>
        <v>A1622:A4521</v>
      </c>
    </row>
    <row r="4522" spans="1:15">
      <c r="A4522" s="18">
        <f>Charms!K4522</f>
        <v>0</v>
      </c>
      <c r="B4522">
        <f>Charms!B4522</f>
        <v>0</v>
      </c>
      <c r="C4522" t="b">
        <f ca="1">OR(Values!$S$98&gt;=Charms!M4522,IFERROR(Charms!J4522=OFFSET(Values!$A$24,MATCH("S",Values!$T$25:$T$50,0),0),FALSE))</f>
        <v>1</v>
      </c>
      <c r="D4522" t="e">
        <f>VLOOKUP(Charms!J4522,Values!$A$11:$S$59,19,0)&gt;=Charms!L4522</f>
        <v>#N/A</v>
      </c>
      <c r="E4522" t="e">
        <f>OR(ISBLANK(Charms!I4522),(VLOOKUP(Values!$S$6,Castes!$B$2:$F$25,4,0)=Charms!I4522))</f>
        <v>#N/A</v>
      </c>
      <c r="J4522" t="e">
        <f t="shared" ca="1" si="351"/>
        <v>#N/A</v>
      </c>
      <c r="K4522" s="18" t="e">
        <f t="shared" ca="1" si="350"/>
        <v>#N/A</v>
      </c>
      <c r="L4522" t="e">
        <f ca="1">IF(J4522,Charms!B4522,"")</f>
        <v>#N/A</v>
      </c>
      <c r="M4522" t="str">
        <f t="shared" ca="1" si="352"/>
        <v>-</v>
      </c>
      <c r="N4522" s="18" t="str">
        <f t="shared" si="353"/>
        <v>K1622:L5000</v>
      </c>
      <c r="O4522" t="str">
        <f t="shared" si="354"/>
        <v>A1622:A4522</v>
      </c>
    </row>
    <row r="4523" spans="1:15">
      <c r="A4523" s="18">
        <f>Charms!K4523</f>
        <v>0</v>
      </c>
      <c r="B4523">
        <f>Charms!B4523</f>
        <v>0</v>
      </c>
      <c r="C4523" t="b">
        <f ca="1">OR(Values!$S$98&gt;=Charms!M4523,IFERROR(Charms!J4523=OFFSET(Values!$A$24,MATCH("S",Values!$T$25:$T$50,0),0),FALSE))</f>
        <v>1</v>
      </c>
      <c r="D4523" t="e">
        <f>VLOOKUP(Charms!J4523,Values!$A$11:$S$59,19,0)&gt;=Charms!L4523</f>
        <v>#N/A</v>
      </c>
      <c r="E4523" t="e">
        <f>OR(ISBLANK(Charms!I4523),(VLOOKUP(Values!$S$6,Castes!$B$2:$F$25,4,0)=Charms!I4523))</f>
        <v>#N/A</v>
      </c>
      <c r="J4523" t="e">
        <f t="shared" ca="1" si="351"/>
        <v>#N/A</v>
      </c>
      <c r="K4523" s="18" t="e">
        <f t="shared" ca="1" si="350"/>
        <v>#N/A</v>
      </c>
      <c r="L4523" t="e">
        <f ca="1">IF(J4523,Charms!B4523,"")</f>
        <v>#N/A</v>
      </c>
      <c r="M4523" t="str">
        <f t="shared" ca="1" si="352"/>
        <v>-</v>
      </c>
      <c r="N4523" s="18" t="str">
        <f t="shared" si="353"/>
        <v>K1622:L5000</v>
      </c>
      <c r="O4523" t="str">
        <f t="shared" si="354"/>
        <v>A1622:A4523</v>
      </c>
    </row>
    <row r="4524" spans="1:15">
      <c r="A4524" s="18">
        <f>Charms!K4524</f>
        <v>0</v>
      </c>
      <c r="B4524">
        <f>Charms!B4524</f>
        <v>0</v>
      </c>
      <c r="C4524" t="b">
        <f ca="1">OR(Values!$S$98&gt;=Charms!M4524,IFERROR(Charms!J4524=OFFSET(Values!$A$24,MATCH("S",Values!$T$25:$T$50,0),0),FALSE))</f>
        <v>1</v>
      </c>
      <c r="D4524" t="e">
        <f>VLOOKUP(Charms!J4524,Values!$A$11:$S$59,19,0)&gt;=Charms!L4524</f>
        <v>#N/A</v>
      </c>
      <c r="E4524" t="e">
        <f>OR(ISBLANK(Charms!I4524),(VLOOKUP(Values!$S$6,Castes!$B$2:$F$25,4,0)=Charms!I4524))</f>
        <v>#N/A</v>
      </c>
      <c r="J4524" t="e">
        <f t="shared" ca="1" si="351"/>
        <v>#N/A</v>
      </c>
      <c r="K4524" s="18" t="e">
        <f t="shared" ca="1" si="350"/>
        <v>#N/A</v>
      </c>
      <c r="L4524" t="e">
        <f ca="1">IF(J4524,Charms!B4524,"")</f>
        <v>#N/A</v>
      </c>
      <c r="M4524" t="str">
        <f t="shared" ca="1" si="352"/>
        <v>-</v>
      </c>
      <c r="N4524" s="18" t="str">
        <f t="shared" si="353"/>
        <v>K1622:L5000</v>
      </c>
      <c r="O4524" t="str">
        <f t="shared" si="354"/>
        <v>A1622:A4524</v>
      </c>
    </row>
    <row r="4525" spans="1:15">
      <c r="A4525" s="18">
        <f>Charms!K4525</f>
        <v>0</v>
      </c>
      <c r="B4525">
        <f>Charms!B4525</f>
        <v>0</v>
      </c>
      <c r="C4525" t="b">
        <f ca="1">OR(Values!$S$98&gt;=Charms!M4525,IFERROR(Charms!J4525=OFFSET(Values!$A$24,MATCH("S",Values!$T$25:$T$50,0),0),FALSE))</f>
        <v>1</v>
      </c>
      <c r="D4525" t="e">
        <f>VLOOKUP(Charms!J4525,Values!$A$11:$S$59,19,0)&gt;=Charms!L4525</f>
        <v>#N/A</v>
      </c>
      <c r="E4525" t="e">
        <f>OR(ISBLANK(Charms!I4525),(VLOOKUP(Values!$S$6,Castes!$B$2:$F$25,4,0)=Charms!I4525))</f>
        <v>#N/A</v>
      </c>
      <c r="J4525" t="e">
        <f t="shared" ca="1" si="351"/>
        <v>#N/A</v>
      </c>
      <c r="K4525" s="18" t="e">
        <f t="shared" ca="1" si="350"/>
        <v>#N/A</v>
      </c>
      <c r="L4525" t="e">
        <f ca="1">IF(J4525,Charms!B4525,"")</f>
        <v>#N/A</v>
      </c>
      <c r="M4525" t="str">
        <f t="shared" ca="1" si="352"/>
        <v>-</v>
      </c>
      <c r="N4525" s="18" t="str">
        <f t="shared" si="353"/>
        <v>K1622:L5000</v>
      </c>
      <c r="O4525" t="str">
        <f t="shared" si="354"/>
        <v>A1622:A4525</v>
      </c>
    </row>
    <row r="4526" spans="1:15">
      <c r="A4526" s="18">
        <f>Charms!K4526</f>
        <v>0</v>
      </c>
      <c r="B4526">
        <f>Charms!B4526</f>
        <v>0</v>
      </c>
      <c r="C4526" t="b">
        <f ca="1">OR(Values!$S$98&gt;=Charms!M4526,IFERROR(Charms!J4526=OFFSET(Values!$A$24,MATCH("S",Values!$T$25:$T$50,0),0),FALSE))</f>
        <v>1</v>
      </c>
      <c r="D4526" t="e">
        <f>VLOOKUP(Charms!J4526,Values!$A$11:$S$59,19,0)&gt;=Charms!L4526</f>
        <v>#N/A</v>
      </c>
      <c r="E4526" t="e">
        <f>OR(ISBLANK(Charms!I4526),(VLOOKUP(Values!$S$6,Castes!$B$2:$F$25,4,0)=Charms!I4526))</f>
        <v>#N/A</v>
      </c>
      <c r="J4526" t="e">
        <f t="shared" ca="1" si="351"/>
        <v>#N/A</v>
      </c>
      <c r="K4526" s="18" t="e">
        <f t="shared" ca="1" si="350"/>
        <v>#N/A</v>
      </c>
      <c r="L4526" t="e">
        <f ca="1">IF(J4526,Charms!B4526,"")</f>
        <v>#N/A</v>
      </c>
      <c r="M4526" t="str">
        <f t="shared" ca="1" si="352"/>
        <v>-</v>
      </c>
      <c r="N4526" s="18" t="str">
        <f t="shared" si="353"/>
        <v>K1622:L5000</v>
      </c>
      <c r="O4526" t="str">
        <f t="shared" si="354"/>
        <v>A1622:A4526</v>
      </c>
    </row>
    <row r="4527" spans="1:15">
      <c r="A4527" s="18">
        <f>Charms!K4527</f>
        <v>0</v>
      </c>
      <c r="B4527">
        <f>Charms!B4527</f>
        <v>0</v>
      </c>
      <c r="C4527" t="b">
        <f ca="1">OR(Values!$S$98&gt;=Charms!M4527,IFERROR(Charms!J4527=OFFSET(Values!$A$24,MATCH("S",Values!$T$25:$T$50,0),0),FALSE))</f>
        <v>1</v>
      </c>
      <c r="D4527" t="e">
        <f>VLOOKUP(Charms!J4527,Values!$A$11:$S$59,19,0)&gt;=Charms!L4527</f>
        <v>#N/A</v>
      </c>
      <c r="E4527" t="e">
        <f>OR(ISBLANK(Charms!I4527),(VLOOKUP(Values!$S$6,Castes!$B$2:$F$25,4,0)=Charms!I4527))</f>
        <v>#N/A</v>
      </c>
      <c r="J4527" t="e">
        <f t="shared" ca="1" si="351"/>
        <v>#N/A</v>
      </c>
      <c r="K4527" s="18" t="e">
        <f t="shared" ca="1" si="350"/>
        <v>#N/A</v>
      </c>
      <c r="L4527" t="e">
        <f ca="1">IF(J4527,Charms!B4527,"")</f>
        <v>#N/A</v>
      </c>
      <c r="M4527" t="str">
        <f t="shared" ca="1" si="352"/>
        <v>-</v>
      </c>
      <c r="N4527" s="18" t="str">
        <f t="shared" si="353"/>
        <v>K1622:L5000</v>
      </c>
      <c r="O4527" t="str">
        <f t="shared" si="354"/>
        <v>A1622:A4527</v>
      </c>
    </row>
    <row r="4528" spans="1:15">
      <c r="A4528" s="18">
        <f>Charms!K4528</f>
        <v>0</v>
      </c>
      <c r="B4528">
        <f>Charms!B4528</f>
        <v>0</v>
      </c>
      <c r="C4528" t="b">
        <f ca="1">OR(Values!$S$98&gt;=Charms!M4528,IFERROR(Charms!J4528=OFFSET(Values!$A$24,MATCH("S",Values!$T$25:$T$50,0),0),FALSE))</f>
        <v>1</v>
      </c>
      <c r="D4528" t="e">
        <f>VLOOKUP(Charms!J4528,Values!$A$11:$S$59,19,0)&gt;=Charms!L4528</f>
        <v>#N/A</v>
      </c>
      <c r="E4528" t="e">
        <f>OR(ISBLANK(Charms!I4528),(VLOOKUP(Values!$S$6,Castes!$B$2:$F$25,4,0)=Charms!I4528))</f>
        <v>#N/A</v>
      </c>
      <c r="J4528" t="e">
        <f t="shared" ca="1" si="351"/>
        <v>#N/A</v>
      </c>
      <c r="K4528" s="18" t="e">
        <f t="shared" ca="1" si="350"/>
        <v>#N/A</v>
      </c>
      <c r="L4528" t="e">
        <f ca="1">IF(J4528,Charms!B4528,"")</f>
        <v>#N/A</v>
      </c>
      <c r="M4528" t="str">
        <f t="shared" ca="1" si="352"/>
        <v>-</v>
      </c>
      <c r="N4528" s="18" t="str">
        <f t="shared" si="353"/>
        <v>K1622:L5000</v>
      </c>
      <c r="O4528" t="str">
        <f t="shared" si="354"/>
        <v>A1622:A4528</v>
      </c>
    </row>
    <row r="4529" spans="1:15">
      <c r="A4529" s="18">
        <f>Charms!K4529</f>
        <v>0</v>
      </c>
      <c r="B4529">
        <f>Charms!B4529</f>
        <v>0</v>
      </c>
      <c r="C4529" t="b">
        <f ca="1">OR(Values!$S$98&gt;=Charms!M4529,IFERROR(Charms!J4529=OFFSET(Values!$A$24,MATCH("S",Values!$T$25:$T$50,0),0),FALSE))</f>
        <v>1</v>
      </c>
      <c r="D4529" t="e">
        <f>VLOOKUP(Charms!J4529,Values!$A$11:$S$59,19,0)&gt;=Charms!L4529</f>
        <v>#N/A</v>
      </c>
      <c r="E4529" t="e">
        <f>OR(ISBLANK(Charms!I4529),(VLOOKUP(Values!$S$6,Castes!$B$2:$F$25,4,0)=Charms!I4529))</f>
        <v>#N/A</v>
      </c>
      <c r="J4529" t="e">
        <f t="shared" ca="1" si="351"/>
        <v>#N/A</v>
      </c>
      <c r="K4529" s="18" t="e">
        <f t="shared" ca="1" si="350"/>
        <v>#N/A</v>
      </c>
      <c r="L4529" t="e">
        <f ca="1">IF(J4529,Charms!B4529,"")</f>
        <v>#N/A</v>
      </c>
      <c r="M4529" t="str">
        <f t="shared" ca="1" si="352"/>
        <v>-</v>
      </c>
      <c r="N4529" s="18" t="str">
        <f t="shared" si="353"/>
        <v>K1622:L5000</v>
      </c>
      <c r="O4529" t="str">
        <f t="shared" si="354"/>
        <v>A1622:A4529</v>
      </c>
    </row>
    <row r="4530" spans="1:15">
      <c r="A4530" s="18">
        <f>Charms!K4530</f>
        <v>0</v>
      </c>
      <c r="B4530">
        <f>Charms!B4530</f>
        <v>0</v>
      </c>
      <c r="C4530" t="b">
        <f ca="1">OR(Values!$S$98&gt;=Charms!M4530,IFERROR(Charms!J4530=OFFSET(Values!$A$24,MATCH("S",Values!$T$25:$T$50,0),0),FALSE))</f>
        <v>1</v>
      </c>
      <c r="D4530" t="e">
        <f>VLOOKUP(Charms!J4530,Values!$A$11:$S$59,19,0)&gt;=Charms!L4530</f>
        <v>#N/A</v>
      </c>
      <c r="E4530" t="e">
        <f>OR(ISBLANK(Charms!I4530),(VLOOKUP(Values!$S$6,Castes!$B$2:$F$25,4,0)=Charms!I4530))</f>
        <v>#N/A</v>
      </c>
      <c r="J4530" t="e">
        <f t="shared" ca="1" si="351"/>
        <v>#N/A</v>
      </c>
      <c r="K4530" s="18" t="e">
        <f t="shared" ca="1" si="350"/>
        <v>#N/A</v>
      </c>
      <c r="L4530" t="e">
        <f ca="1">IF(J4530,Charms!B4530,"")</f>
        <v>#N/A</v>
      </c>
      <c r="M4530" t="str">
        <f t="shared" ca="1" si="352"/>
        <v>-</v>
      </c>
      <c r="N4530" s="18" t="str">
        <f t="shared" si="353"/>
        <v>K1622:L5000</v>
      </c>
      <c r="O4530" t="str">
        <f t="shared" si="354"/>
        <v>A1622:A4530</v>
      </c>
    </row>
    <row r="4531" spans="1:15">
      <c r="A4531" s="18">
        <f>Charms!K4531</f>
        <v>0</v>
      </c>
      <c r="B4531">
        <f>Charms!B4531</f>
        <v>0</v>
      </c>
      <c r="C4531" t="b">
        <f ca="1">OR(Values!$S$98&gt;=Charms!M4531,IFERROR(Charms!J4531=OFFSET(Values!$A$24,MATCH("S",Values!$T$25:$T$50,0),0),FALSE))</f>
        <v>1</v>
      </c>
      <c r="D4531" t="e">
        <f>VLOOKUP(Charms!J4531,Values!$A$11:$S$59,19,0)&gt;=Charms!L4531</f>
        <v>#N/A</v>
      </c>
      <c r="E4531" t="e">
        <f>OR(ISBLANK(Charms!I4531),(VLOOKUP(Values!$S$6,Castes!$B$2:$F$25,4,0)=Charms!I4531))</f>
        <v>#N/A</v>
      </c>
      <c r="J4531" t="e">
        <f t="shared" ca="1" si="351"/>
        <v>#N/A</v>
      </c>
      <c r="K4531" s="18" t="e">
        <f t="shared" ca="1" si="350"/>
        <v>#N/A</v>
      </c>
      <c r="L4531" t="e">
        <f ca="1">IF(J4531,Charms!B4531,"")</f>
        <v>#N/A</v>
      </c>
      <c r="M4531" t="str">
        <f t="shared" ca="1" si="352"/>
        <v>-</v>
      </c>
      <c r="N4531" s="18" t="str">
        <f t="shared" si="353"/>
        <v>K1622:L5000</v>
      </c>
      <c r="O4531" t="str">
        <f t="shared" si="354"/>
        <v>A1622:A4531</v>
      </c>
    </row>
    <row r="4532" spans="1:15">
      <c r="A4532" s="18">
        <f>Charms!K4532</f>
        <v>0</v>
      </c>
      <c r="B4532">
        <f>Charms!B4532</f>
        <v>0</v>
      </c>
      <c r="C4532" t="b">
        <f ca="1">OR(Values!$S$98&gt;=Charms!M4532,IFERROR(Charms!J4532=OFFSET(Values!$A$24,MATCH("S",Values!$T$25:$T$50,0),0),FALSE))</f>
        <v>1</v>
      </c>
      <c r="D4532" t="e">
        <f>VLOOKUP(Charms!J4532,Values!$A$11:$S$59,19,0)&gt;=Charms!L4532</f>
        <v>#N/A</v>
      </c>
      <c r="E4532" t="e">
        <f>OR(ISBLANK(Charms!I4532),(VLOOKUP(Values!$S$6,Castes!$B$2:$F$25,4,0)=Charms!I4532))</f>
        <v>#N/A</v>
      </c>
      <c r="J4532" t="e">
        <f t="shared" ca="1" si="351"/>
        <v>#N/A</v>
      </c>
      <c r="K4532" s="18" t="e">
        <f t="shared" ca="1" si="350"/>
        <v>#N/A</v>
      </c>
      <c r="L4532" t="e">
        <f ca="1">IF(J4532,Charms!B4532,"")</f>
        <v>#N/A</v>
      </c>
      <c r="M4532" t="str">
        <f t="shared" ca="1" si="352"/>
        <v>-</v>
      </c>
      <c r="N4532" s="18" t="str">
        <f t="shared" si="353"/>
        <v>K1622:L5000</v>
      </c>
      <c r="O4532" t="str">
        <f t="shared" si="354"/>
        <v>A1622:A4532</v>
      </c>
    </row>
    <row r="4533" spans="1:15">
      <c r="A4533" s="18">
        <f>Charms!K4533</f>
        <v>0</v>
      </c>
      <c r="B4533">
        <f>Charms!B4533</f>
        <v>0</v>
      </c>
      <c r="C4533" t="b">
        <f ca="1">OR(Values!$S$98&gt;=Charms!M4533,IFERROR(Charms!J4533=OFFSET(Values!$A$24,MATCH("S",Values!$T$25:$T$50,0),0),FALSE))</f>
        <v>1</v>
      </c>
      <c r="D4533" t="e">
        <f>VLOOKUP(Charms!J4533,Values!$A$11:$S$59,19,0)&gt;=Charms!L4533</f>
        <v>#N/A</v>
      </c>
      <c r="E4533" t="e">
        <f>OR(ISBLANK(Charms!I4533),(VLOOKUP(Values!$S$6,Castes!$B$2:$F$25,4,0)=Charms!I4533))</f>
        <v>#N/A</v>
      </c>
      <c r="J4533" t="e">
        <f t="shared" ca="1" si="351"/>
        <v>#N/A</v>
      </c>
      <c r="K4533" s="18" t="e">
        <f t="shared" ca="1" si="350"/>
        <v>#N/A</v>
      </c>
      <c r="L4533" t="e">
        <f ca="1">IF(J4533,Charms!B4533,"")</f>
        <v>#N/A</v>
      </c>
      <c r="M4533" t="str">
        <f t="shared" ca="1" si="352"/>
        <v>-</v>
      </c>
      <c r="N4533" s="18" t="str">
        <f t="shared" si="353"/>
        <v>K1622:L5000</v>
      </c>
      <c r="O4533" t="str">
        <f t="shared" si="354"/>
        <v>A1622:A4533</v>
      </c>
    </row>
    <row r="4534" spans="1:15">
      <c r="A4534" s="18">
        <f>Charms!K4534</f>
        <v>0</v>
      </c>
      <c r="B4534">
        <f>Charms!B4534</f>
        <v>0</v>
      </c>
      <c r="C4534" t="b">
        <f ca="1">OR(Values!$S$98&gt;=Charms!M4534,IFERROR(Charms!J4534=OFFSET(Values!$A$24,MATCH("S",Values!$T$25:$T$50,0),0),FALSE))</f>
        <v>1</v>
      </c>
      <c r="D4534" t="e">
        <f>VLOOKUP(Charms!J4534,Values!$A$11:$S$59,19,0)&gt;=Charms!L4534</f>
        <v>#N/A</v>
      </c>
      <c r="E4534" t="e">
        <f>OR(ISBLANK(Charms!I4534),(VLOOKUP(Values!$S$6,Castes!$B$2:$F$25,4,0)=Charms!I4534))</f>
        <v>#N/A</v>
      </c>
      <c r="J4534" t="e">
        <f t="shared" ca="1" si="351"/>
        <v>#N/A</v>
      </c>
      <c r="K4534" s="18" t="e">
        <f t="shared" ca="1" si="350"/>
        <v>#N/A</v>
      </c>
      <c r="L4534" t="e">
        <f ca="1">IF(J4534,Charms!B4534,"")</f>
        <v>#N/A</v>
      </c>
      <c r="M4534" t="str">
        <f t="shared" ca="1" si="352"/>
        <v>-</v>
      </c>
      <c r="N4534" s="18" t="str">
        <f t="shared" si="353"/>
        <v>K1622:L5000</v>
      </c>
      <c r="O4534" t="str">
        <f t="shared" si="354"/>
        <v>A1622:A4534</v>
      </c>
    </row>
    <row r="4535" spans="1:15">
      <c r="A4535" s="18">
        <f>Charms!K4535</f>
        <v>0</v>
      </c>
      <c r="B4535">
        <f>Charms!B4535</f>
        <v>0</v>
      </c>
      <c r="C4535" t="b">
        <f ca="1">OR(Values!$S$98&gt;=Charms!M4535,IFERROR(Charms!J4535=OFFSET(Values!$A$24,MATCH("S",Values!$T$25:$T$50,0),0),FALSE))</f>
        <v>1</v>
      </c>
      <c r="D4535" t="e">
        <f>VLOOKUP(Charms!J4535,Values!$A$11:$S$59,19,0)&gt;=Charms!L4535</f>
        <v>#N/A</v>
      </c>
      <c r="E4535" t="e">
        <f>OR(ISBLANK(Charms!I4535),(VLOOKUP(Values!$S$6,Castes!$B$2:$F$25,4,0)=Charms!I4535))</f>
        <v>#N/A</v>
      </c>
      <c r="J4535" t="e">
        <f t="shared" ca="1" si="351"/>
        <v>#N/A</v>
      </c>
      <c r="K4535" s="18" t="e">
        <f t="shared" ca="1" si="350"/>
        <v>#N/A</v>
      </c>
      <c r="L4535" t="e">
        <f ca="1">IF(J4535,Charms!B4535,"")</f>
        <v>#N/A</v>
      </c>
      <c r="M4535" t="str">
        <f t="shared" ca="1" si="352"/>
        <v>-</v>
      </c>
      <c r="N4535" s="18" t="str">
        <f t="shared" si="353"/>
        <v>K1622:L5000</v>
      </c>
      <c r="O4535" t="str">
        <f t="shared" si="354"/>
        <v>A1622:A4535</v>
      </c>
    </row>
    <row r="4536" spans="1:15">
      <c r="A4536" s="18">
        <f>Charms!K4536</f>
        <v>0</v>
      </c>
      <c r="B4536">
        <f>Charms!B4536</f>
        <v>0</v>
      </c>
      <c r="C4536" t="b">
        <f ca="1">OR(Values!$S$98&gt;=Charms!M4536,IFERROR(Charms!J4536=OFFSET(Values!$A$24,MATCH("S",Values!$T$25:$T$50,0),0),FALSE))</f>
        <v>1</v>
      </c>
      <c r="D4536" t="e">
        <f>VLOOKUP(Charms!J4536,Values!$A$11:$S$59,19,0)&gt;=Charms!L4536</f>
        <v>#N/A</v>
      </c>
      <c r="E4536" t="e">
        <f>OR(ISBLANK(Charms!I4536),(VLOOKUP(Values!$S$6,Castes!$B$2:$F$25,4,0)=Charms!I4536))</f>
        <v>#N/A</v>
      </c>
      <c r="J4536" t="e">
        <f t="shared" ca="1" si="351"/>
        <v>#N/A</v>
      </c>
      <c r="K4536" s="18" t="e">
        <f t="shared" ca="1" si="350"/>
        <v>#N/A</v>
      </c>
      <c r="L4536" t="e">
        <f ca="1">IF(J4536,Charms!B4536,"")</f>
        <v>#N/A</v>
      </c>
      <c r="M4536" t="str">
        <f t="shared" ca="1" si="352"/>
        <v>-</v>
      </c>
      <c r="N4536" s="18" t="str">
        <f t="shared" si="353"/>
        <v>K1622:L5000</v>
      </c>
      <c r="O4536" t="str">
        <f t="shared" si="354"/>
        <v>A1622:A4536</v>
      </c>
    </row>
    <row r="4537" spans="1:15">
      <c r="A4537" s="18">
        <f>Charms!K4537</f>
        <v>0</v>
      </c>
      <c r="B4537">
        <f>Charms!B4537</f>
        <v>0</v>
      </c>
      <c r="C4537" t="b">
        <f ca="1">OR(Values!$S$98&gt;=Charms!M4537,IFERROR(Charms!J4537=OFFSET(Values!$A$24,MATCH("S",Values!$T$25:$T$50,0),0),FALSE))</f>
        <v>1</v>
      </c>
      <c r="D4537" t="e">
        <f>VLOOKUP(Charms!J4537,Values!$A$11:$S$59,19,0)&gt;=Charms!L4537</f>
        <v>#N/A</v>
      </c>
      <c r="E4537" t="e">
        <f>OR(ISBLANK(Charms!I4537),(VLOOKUP(Values!$S$6,Castes!$B$2:$F$25,4,0)=Charms!I4537))</f>
        <v>#N/A</v>
      </c>
      <c r="J4537" t="e">
        <f t="shared" ca="1" si="351"/>
        <v>#N/A</v>
      </c>
      <c r="K4537" s="18" t="e">
        <f t="shared" ca="1" si="350"/>
        <v>#N/A</v>
      </c>
      <c r="L4537" t="e">
        <f ca="1">IF(J4537,Charms!B4537,"")</f>
        <v>#N/A</v>
      </c>
      <c r="M4537" t="str">
        <f t="shared" ca="1" si="352"/>
        <v>-</v>
      </c>
      <c r="N4537" s="18" t="str">
        <f t="shared" si="353"/>
        <v>K1622:L5000</v>
      </c>
      <c r="O4537" t="str">
        <f t="shared" si="354"/>
        <v>A1622:A4537</v>
      </c>
    </row>
    <row r="4538" spans="1:15">
      <c r="A4538" s="18">
        <f>Charms!K4538</f>
        <v>0</v>
      </c>
      <c r="B4538">
        <f>Charms!B4538</f>
        <v>0</v>
      </c>
      <c r="C4538" t="b">
        <f ca="1">OR(Values!$S$98&gt;=Charms!M4538,IFERROR(Charms!J4538=OFFSET(Values!$A$24,MATCH("S",Values!$T$25:$T$50,0),0),FALSE))</f>
        <v>1</v>
      </c>
      <c r="D4538" t="e">
        <f>VLOOKUP(Charms!J4538,Values!$A$11:$S$59,19,0)&gt;=Charms!L4538</f>
        <v>#N/A</v>
      </c>
      <c r="E4538" t="e">
        <f>OR(ISBLANK(Charms!I4538),(VLOOKUP(Values!$S$6,Castes!$B$2:$F$25,4,0)=Charms!I4538))</f>
        <v>#N/A</v>
      </c>
      <c r="J4538" t="e">
        <f t="shared" ca="1" si="351"/>
        <v>#N/A</v>
      </c>
      <c r="K4538" s="18" t="e">
        <f t="shared" ca="1" si="350"/>
        <v>#N/A</v>
      </c>
      <c r="L4538" t="e">
        <f ca="1">IF(J4538,Charms!B4538,"")</f>
        <v>#N/A</v>
      </c>
      <c r="M4538" t="str">
        <f t="shared" ca="1" si="352"/>
        <v>-</v>
      </c>
      <c r="N4538" s="18" t="str">
        <f t="shared" si="353"/>
        <v>K1622:L5000</v>
      </c>
      <c r="O4538" t="str">
        <f t="shared" si="354"/>
        <v>A1622:A4538</v>
      </c>
    </row>
    <row r="4539" spans="1:15">
      <c r="A4539" s="18">
        <f>Charms!K4539</f>
        <v>0</v>
      </c>
      <c r="B4539">
        <f>Charms!B4539</f>
        <v>0</v>
      </c>
      <c r="C4539" t="b">
        <f ca="1">OR(Values!$S$98&gt;=Charms!M4539,IFERROR(Charms!J4539=OFFSET(Values!$A$24,MATCH("S",Values!$T$25:$T$50,0),0),FALSE))</f>
        <v>1</v>
      </c>
      <c r="D4539" t="e">
        <f>VLOOKUP(Charms!J4539,Values!$A$11:$S$59,19,0)&gt;=Charms!L4539</f>
        <v>#N/A</v>
      </c>
      <c r="E4539" t="e">
        <f>OR(ISBLANK(Charms!I4539),(VLOOKUP(Values!$S$6,Castes!$B$2:$F$25,4,0)=Charms!I4539))</f>
        <v>#N/A</v>
      </c>
      <c r="J4539" t="e">
        <f t="shared" ca="1" si="351"/>
        <v>#N/A</v>
      </c>
      <c r="K4539" s="18" t="e">
        <f t="shared" ca="1" si="350"/>
        <v>#N/A</v>
      </c>
      <c r="L4539" t="e">
        <f ca="1">IF(J4539,Charms!B4539,"")</f>
        <v>#N/A</v>
      </c>
      <c r="M4539" t="str">
        <f t="shared" ca="1" si="352"/>
        <v>-</v>
      </c>
      <c r="N4539" s="18" t="str">
        <f t="shared" si="353"/>
        <v>K1622:L5000</v>
      </c>
      <c r="O4539" t="str">
        <f t="shared" si="354"/>
        <v>A1622:A4539</v>
      </c>
    </row>
    <row r="4540" spans="1:15">
      <c r="A4540" s="18">
        <f>Charms!K4540</f>
        <v>0</v>
      </c>
      <c r="B4540">
        <f>Charms!B4540</f>
        <v>0</v>
      </c>
      <c r="C4540" t="b">
        <f ca="1">OR(Values!$S$98&gt;=Charms!M4540,IFERROR(Charms!J4540=OFFSET(Values!$A$24,MATCH("S",Values!$T$25:$T$50,0),0),FALSE))</f>
        <v>1</v>
      </c>
      <c r="D4540" t="e">
        <f>VLOOKUP(Charms!J4540,Values!$A$11:$S$59,19,0)&gt;=Charms!L4540</f>
        <v>#N/A</v>
      </c>
      <c r="E4540" t="e">
        <f>OR(ISBLANK(Charms!I4540),(VLOOKUP(Values!$S$6,Castes!$B$2:$F$25,4,0)=Charms!I4540))</f>
        <v>#N/A</v>
      </c>
      <c r="J4540" t="e">
        <f t="shared" ca="1" si="351"/>
        <v>#N/A</v>
      </c>
      <c r="K4540" s="18" t="e">
        <f t="shared" ca="1" si="350"/>
        <v>#N/A</v>
      </c>
      <c r="L4540" t="e">
        <f ca="1">IF(J4540,Charms!B4540,"")</f>
        <v>#N/A</v>
      </c>
      <c r="M4540" t="str">
        <f t="shared" ca="1" si="352"/>
        <v>-</v>
      </c>
      <c r="N4540" s="18" t="str">
        <f t="shared" si="353"/>
        <v>K1622:L5000</v>
      </c>
      <c r="O4540" t="str">
        <f t="shared" si="354"/>
        <v>A1622:A4540</v>
      </c>
    </row>
    <row r="4541" spans="1:15">
      <c r="A4541" s="18">
        <f>Charms!K4541</f>
        <v>0</v>
      </c>
      <c r="B4541">
        <f>Charms!B4541</f>
        <v>0</v>
      </c>
      <c r="C4541" t="b">
        <f ca="1">OR(Values!$S$98&gt;=Charms!M4541,IFERROR(Charms!J4541=OFFSET(Values!$A$24,MATCH("S",Values!$T$25:$T$50,0),0),FALSE))</f>
        <v>1</v>
      </c>
      <c r="D4541" t="e">
        <f>VLOOKUP(Charms!J4541,Values!$A$11:$S$59,19,0)&gt;=Charms!L4541</f>
        <v>#N/A</v>
      </c>
      <c r="E4541" t="e">
        <f>OR(ISBLANK(Charms!I4541),(VLOOKUP(Values!$S$6,Castes!$B$2:$F$25,4,0)=Charms!I4541))</f>
        <v>#N/A</v>
      </c>
      <c r="J4541" t="e">
        <f t="shared" ca="1" si="351"/>
        <v>#N/A</v>
      </c>
      <c r="K4541" s="18" t="e">
        <f t="shared" ca="1" si="350"/>
        <v>#N/A</v>
      </c>
      <c r="L4541" t="e">
        <f ca="1">IF(J4541,Charms!B4541,"")</f>
        <v>#N/A</v>
      </c>
      <c r="M4541" t="str">
        <f t="shared" ca="1" si="352"/>
        <v>-</v>
      </c>
      <c r="N4541" s="18" t="str">
        <f t="shared" si="353"/>
        <v>K1622:L5000</v>
      </c>
      <c r="O4541" t="str">
        <f t="shared" si="354"/>
        <v>A1622:A4541</v>
      </c>
    </row>
    <row r="4542" spans="1:15">
      <c r="A4542" s="18">
        <f>Charms!K4542</f>
        <v>0</v>
      </c>
      <c r="B4542">
        <f>Charms!B4542</f>
        <v>0</v>
      </c>
      <c r="C4542" t="b">
        <f ca="1">OR(Values!$S$98&gt;=Charms!M4542,IFERROR(Charms!J4542=OFFSET(Values!$A$24,MATCH("S",Values!$T$25:$T$50,0),0),FALSE))</f>
        <v>1</v>
      </c>
      <c r="D4542" t="e">
        <f>VLOOKUP(Charms!J4542,Values!$A$11:$S$59,19,0)&gt;=Charms!L4542</f>
        <v>#N/A</v>
      </c>
      <c r="E4542" t="e">
        <f>OR(ISBLANK(Charms!I4542),(VLOOKUP(Values!$S$6,Castes!$B$2:$F$25,4,0)=Charms!I4542))</f>
        <v>#N/A</v>
      </c>
      <c r="J4542" t="e">
        <f t="shared" ca="1" si="351"/>
        <v>#N/A</v>
      </c>
      <c r="K4542" s="18" t="e">
        <f t="shared" ca="1" si="350"/>
        <v>#N/A</v>
      </c>
      <c r="L4542" t="e">
        <f ca="1">IF(J4542,Charms!B4542,"")</f>
        <v>#N/A</v>
      </c>
      <c r="M4542" t="str">
        <f t="shared" ca="1" si="352"/>
        <v>-</v>
      </c>
      <c r="N4542" s="18" t="str">
        <f t="shared" si="353"/>
        <v>K1622:L5000</v>
      </c>
      <c r="O4542" t="str">
        <f t="shared" si="354"/>
        <v>A1622:A4542</v>
      </c>
    </row>
    <row r="4543" spans="1:15">
      <c r="A4543" s="18">
        <f>Charms!K4543</f>
        <v>0</v>
      </c>
      <c r="B4543">
        <f>Charms!B4543</f>
        <v>0</v>
      </c>
      <c r="C4543" t="b">
        <f ca="1">OR(Values!$S$98&gt;=Charms!M4543,IFERROR(Charms!J4543=OFFSET(Values!$A$24,MATCH("S",Values!$T$25:$T$50,0),0),FALSE))</f>
        <v>1</v>
      </c>
      <c r="D4543" t="e">
        <f>VLOOKUP(Charms!J4543,Values!$A$11:$S$59,19,0)&gt;=Charms!L4543</f>
        <v>#N/A</v>
      </c>
      <c r="E4543" t="e">
        <f>OR(ISBLANK(Charms!I4543),(VLOOKUP(Values!$S$6,Castes!$B$2:$F$25,4,0)=Charms!I4543))</f>
        <v>#N/A</v>
      </c>
      <c r="J4543" t="e">
        <f t="shared" ca="1" si="351"/>
        <v>#N/A</v>
      </c>
      <c r="K4543" s="18" t="e">
        <f t="shared" ca="1" si="350"/>
        <v>#N/A</v>
      </c>
      <c r="L4543" t="e">
        <f ca="1">IF(J4543,Charms!B4543,"")</f>
        <v>#N/A</v>
      </c>
      <c r="M4543" t="str">
        <f t="shared" ca="1" si="352"/>
        <v>-</v>
      </c>
      <c r="N4543" s="18" t="str">
        <f t="shared" si="353"/>
        <v>K1622:L5000</v>
      </c>
      <c r="O4543" t="str">
        <f t="shared" si="354"/>
        <v>A1622:A4543</v>
      </c>
    </row>
    <row r="4544" spans="1:15">
      <c r="A4544" s="18">
        <f>Charms!K4544</f>
        <v>0</v>
      </c>
      <c r="B4544">
        <f>Charms!B4544</f>
        <v>0</v>
      </c>
      <c r="C4544" t="b">
        <f ca="1">OR(Values!$S$98&gt;=Charms!M4544,IFERROR(Charms!J4544=OFFSET(Values!$A$24,MATCH("S",Values!$T$25:$T$50,0),0),FALSE))</f>
        <v>1</v>
      </c>
      <c r="D4544" t="e">
        <f>VLOOKUP(Charms!J4544,Values!$A$11:$S$59,19,0)&gt;=Charms!L4544</f>
        <v>#N/A</v>
      </c>
      <c r="E4544" t="e">
        <f>OR(ISBLANK(Charms!I4544),(VLOOKUP(Values!$S$6,Castes!$B$2:$F$25,4,0)=Charms!I4544))</f>
        <v>#N/A</v>
      </c>
      <c r="J4544" t="e">
        <f t="shared" ca="1" si="351"/>
        <v>#N/A</v>
      </c>
      <c r="K4544" s="18" t="e">
        <f t="shared" ca="1" si="350"/>
        <v>#N/A</v>
      </c>
      <c r="L4544" t="e">
        <f ca="1">IF(J4544,Charms!B4544,"")</f>
        <v>#N/A</v>
      </c>
      <c r="M4544" t="str">
        <f t="shared" ca="1" si="352"/>
        <v>-</v>
      </c>
      <c r="N4544" s="18" t="str">
        <f t="shared" si="353"/>
        <v>K1622:L5000</v>
      </c>
      <c r="O4544" t="str">
        <f t="shared" si="354"/>
        <v>A1622:A4544</v>
      </c>
    </row>
    <row r="4545" spans="1:15">
      <c r="A4545" s="18">
        <f>Charms!K4545</f>
        <v>0</v>
      </c>
      <c r="B4545">
        <f>Charms!B4545</f>
        <v>0</v>
      </c>
      <c r="C4545" t="b">
        <f ca="1">OR(Values!$S$98&gt;=Charms!M4545,IFERROR(Charms!J4545=OFFSET(Values!$A$24,MATCH("S",Values!$T$25:$T$50,0),0),FALSE))</f>
        <v>1</v>
      </c>
      <c r="D4545" t="e">
        <f>VLOOKUP(Charms!J4545,Values!$A$11:$S$59,19,0)&gt;=Charms!L4545</f>
        <v>#N/A</v>
      </c>
      <c r="E4545" t="e">
        <f>OR(ISBLANK(Charms!I4545),(VLOOKUP(Values!$S$6,Castes!$B$2:$F$25,4,0)=Charms!I4545))</f>
        <v>#N/A</v>
      </c>
      <c r="J4545" t="e">
        <f t="shared" ca="1" si="351"/>
        <v>#N/A</v>
      </c>
      <c r="K4545" s="18" t="e">
        <f t="shared" ca="1" si="350"/>
        <v>#N/A</v>
      </c>
      <c r="L4545" t="e">
        <f ca="1">IF(J4545,Charms!B4545,"")</f>
        <v>#N/A</v>
      </c>
      <c r="M4545" t="str">
        <f t="shared" ca="1" si="352"/>
        <v>-</v>
      </c>
      <c r="N4545" s="18" t="str">
        <f t="shared" si="353"/>
        <v>K1622:L5000</v>
      </c>
      <c r="O4545" t="str">
        <f t="shared" si="354"/>
        <v>A1622:A4545</v>
      </c>
    </row>
    <row r="4546" spans="1:15">
      <c r="A4546" s="18">
        <f>Charms!K4546</f>
        <v>0</v>
      </c>
      <c r="B4546">
        <f>Charms!B4546</f>
        <v>0</v>
      </c>
      <c r="C4546" t="b">
        <f ca="1">OR(Values!$S$98&gt;=Charms!M4546,IFERROR(Charms!J4546=OFFSET(Values!$A$24,MATCH("S",Values!$T$25:$T$50,0),0),FALSE))</f>
        <v>1</v>
      </c>
      <c r="D4546" t="e">
        <f>VLOOKUP(Charms!J4546,Values!$A$11:$S$59,19,0)&gt;=Charms!L4546</f>
        <v>#N/A</v>
      </c>
      <c r="E4546" t="e">
        <f>OR(ISBLANK(Charms!I4546),(VLOOKUP(Values!$S$6,Castes!$B$2:$F$25,4,0)=Charms!I4546))</f>
        <v>#N/A</v>
      </c>
      <c r="J4546" t="e">
        <f t="shared" ca="1" si="351"/>
        <v>#N/A</v>
      </c>
      <c r="K4546" s="18" t="e">
        <f t="shared" ref="K4546:K4609" ca="1" si="355">IF(L4546="","",COUNTIF(INDIRECT("J"&amp;MATCH(A4546,A:A,0)&amp;":J"&amp;ROW()),J4546))</f>
        <v>#N/A</v>
      </c>
      <c r="L4546" t="e">
        <f ca="1">IF(J4546,Charms!B4546,"")</f>
        <v>#N/A</v>
      </c>
      <c r="M4546" t="str">
        <f t="shared" ca="1" si="352"/>
        <v>-</v>
      </c>
      <c r="N4546" s="18" t="str">
        <f t="shared" si="353"/>
        <v>K1622:L5000</v>
      </c>
      <c r="O4546" t="str">
        <f t="shared" si="354"/>
        <v>A1622:A4546</v>
      </c>
    </row>
    <row r="4547" spans="1:15">
      <c r="A4547" s="18">
        <f>Charms!K4547</f>
        <v>0</v>
      </c>
      <c r="B4547">
        <f>Charms!B4547</f>
        <v>0</v>
      </c>
      <c r="C4547" t="b">
        <f ca="1">OR(Values!$S$98&gt;=Charms!M4547,IFERROR(Charms!J4547=OFFSET(Values!$A$24,MATCH("S",Values!$T$25:$T$50,0),0),FALSE))</f>
        <v>1</v>
      </c>
      <c r="D4547" t="e">
        <f>VLOOKUP(Charms!J4547,Values!$A$11:$S$59,19,0)&gt;=Charms!L4547</f>
        <v>#N/A</v>
      </c>
      <c r="E4547" t="e">
        <f>OR(ISBLANK(Charms!I4547),(VLOOKUP(Values!$S$6,Castes!$B$2:$F$25,4,0)=Charms!I4547))</f>
        <v>#N/A</v>
      </c>
      <c r="J4547" t="e">
        <f t="shared" ref="J4547:J4610" ca="1" si="356">(C4547+D4547+E4547+F4547+G4547+H4547+I4547)=3</f>
        <v>#N/A</v>
      </c>
      <c r="K4547" s="18" t="e">
        <f t="shared" ca="1" si="355"/>
        <v>#N/A</v>
      </c>
      <c r="L4547" t="e">
        <f ca="1">IF(J4547,Charms!B4547,"")</f>
        <v>#N/A</v>
      </c>
      <c r="M4547" t="str">
        <f t="shared" ref="M4547:M4610" ca="1" si="357">IFERROR(VLOOKUP(COUNTIF(INDIRECT(O4547),A4547),INDIRECT(N4547),2,0),"-")</f>
        <v>-</v>
      </c>
      <c r="N4547" s="18" t="str">
        <f t="shared" ref="N4547:N4610" si="358">"K"&amp;MATCH(A4547,A:A,0)&amp;":L"&amp;(MATCH(A4547,A:A,0)+COUNTIF(A:A,A4547)-1)</f>
        <v>K1622:L5000</v>
      </c>
      <c r="O4547" t="str">
        <f t="shared" ref="O4547:O4610" si="359">"A"&amp;MATCH(A4547,A:A,0)&amp;":A"&amp;ROW()</f>
        <v>A1622:A4547</v>
      </c>
    </row>
    <row r="4548" spans="1:15">
      <c r="A4548" s="18">
        <f>Charms!K4548</f>
        <v>0</v>
      </c>
      <c r="B4548">
        <f>Charms!B4548</f>
        <v>0</v>
      </c>
      <c r="C4548" t="b">
        <f ca="1">OR(Values!$S$98&gt;=Charms!M4548,IFERROR(Charms!J4548=OFFSET(Values!$A$24,MATCH("S",Values!$T$25:$T$50,0),0),FALSE))</f>
        <v>1</v>
      </c>
      <c r="D4548" t="e">
        <f>VLOOKUP(Charms!J4548,Values!$A$11:$S$59,19,0)&gt;=Charms!L4548</f>
        <v>#N/A</v>
      </c>
      <c r="E4548" t="e">
        <f>OR(ISBLANK(Charms!I4548),(VLOOKUP(Values!$S$6,Castes!$B$2:$F$25,4,0)=Charms!I4548))</f>
        <v>#N/A</v>
      </c>
      <c r="J4548" t="e">
        <f t="shared" ca="1" si="356"/>
        <v>#N/A</v>
      </c>
      <c r="K4548" s="18" t="e">
        <f t="shared" ca="1" si="355"/>
        <v>#N/A</v>
      </c>
      <c r="L4548" t="e">
        <f ca="1">IF(J4548,Charms!B4548,"")</f>
        <v>#N/A</v>
      </c>
      <c r="M4548" t="str">
        <f t="shared" ca="1" si="357"/>
        <v>-</v>
      </c>
      <c r="N4548" s="18" t="str">
        <f t="shared" si="358"/>
        <v>K1622:L5000</v>
      </c>
      <c r="O4548" t="str">
        <f t="shared" si="359"/>
        <v>A1622:A4548</v>
      </c>
    </row>
    <row r="4549" spans="1:15">
      <c r="A4549" s="18">
        <f>Charms!K4549</f>
        <v>0</v>
      </c>
      <c r="B4549">
        <f>Charms!B4549</f>
        <v>0</v>
      </c>
      <c r="C4549" t="b">
        <f ca="1">OR(Values!$S$98&gt;=Charms!M4549,IFERROR(Charms!J4549=OFFSET(Values!$A$24,MATCH("S",Values!$T$25:$T$50,0),0),FALSE))</f>
        <v>1</v>
      </c>
      <c r="D4549" t="e">
        <f>VLOOKUP(Charms!J4549,Values!$A$11:$S$59,19,0)&gt;=Charms!L4549</f>
        <v>#N/A</v>
      </c>
      <c r="E4549" t="e">
        <f>OR(ISBLANK(Charms!I4549),(VLOOKUP(Values!$S$6,Castes!$B$2:$F$25,4,0)=Charms!I4549))</f>
        <v>#N/A</v>
      </c>
      <c r="J4549" t="e">
        <f t="shared" ca="1" si="356"/>
        <v>#N/A</v>
      </c>
      <c r="K4549" s="18" t="e">
        <f t="shared" ca="1" si="355"/>
        <v>#N/A</v>
      </c>
      <c r="L4549" t="e">
        <f ca="1">IF(J4549,Charms!B4549,"")</f>
        <v>#N/A</v>
      </c>
      <c r="M4549" t="str">
        <f t="shared" ca="1" si="357"/>
        <v>-</v>
      </c>
      <c r="N4549" s="18" t="str">
        <f t="shared" si="358"/>
        <v>K1622:L5000</v>
      </c>
      <c r="O4549" t="str">
        <f t="shared" si="359"/>
        <v>A1622:A4549</v>
      </c>
    </row>
    <row r="4550" spans="1:15">
      <c r="A4550" s="18">
        <f>Charms!K4550</f>
        <v>0</v>
      </c>
      <c r="B4550">
        <f>Charms!B4550</f>
        <v>0</v>
      </c>
      <c r="C4550" t="b">
        <f ca="1">OR(Values!$S$98&gt;=Charms!M4550,IFERROR(Charms!J4550=OFFSET(Values!$A$24,MATCH("S",Values!$T$25:$T$50,0),0),FALSE))</f>
        <v>1</v>
      </c>
      <c r="D4550" t="e">
        <f>VLOOKUP(Charms!J4550,Values!$A$11:$S$59,19,0)&gt;=Charms!L4550</f>
        <v>#N/A</v>
      </c>
      <c r="E4550" t="e">
        <f>OR(ISBLANK(Charms!I4550),(VLOOKUP(Values!$S$6,Castes!$B$2:$F$25,4,0)=Charms!I4550))</f>
        <v>#N/A</v>
      </c>
      <c r="J4550" t="e">
        <f t="shared" ca="1" si="356"/>
        <v>#N/A</v>
      </c>
      <c r="K4550" s="18" t="e">
        <f t="shared" ca="1" si="355"/>
        <v>#N/A</v>
      </c>
      <c r="L4550" t="e">
        <f ca="1">IF(J4550,Charms!B4550,"")</f>
        <v>#N/A</v>
      </c>
      <c r="M4550" t="str">
        <f t="shared" ca="1" si="357"/>
        <v>-</v>
      </c>
      <c r="N4550" s="18" t="str">
        <f t="shared" si="358"/>
        <v>K1622:L5000</v>
      </c>
      <c r="O4550" t="str">
        <f t="shared" si="359"/>
        <v>A1622:A4550</v>
      </c>
    </row>
    <row r="4551" spans="1:15">
      <c r="A4551" s="18">
        <f>Charms!K4551</f>
        <v>0</v>
      </c>
      <c r="B4551">
        <f>Charms!B4551</f>
        <v>0</v>
      </c>
      <c r="C4551" t="b">
        <f ca="1">OR(Values!$S$98&gt;=Charms!M4551,IFERROR(Charms!J4551=OFFSET(Values!$A$24,MATCH("S",Values!$T$25:$T$50,0),0),FALSE))</f>
        <v>1</v>
      </c>
      <c r="D4551" t="e">
        <f>VLOOKUP(Charms!J4551,Values!$A$11:$S$59,19,0)&gt;=Charms!L4551</f>
        <v>#N/A</v>
      </c>
      <c r="E4551" t="e">
        <f>OR(ISBLANK(Charms!I4551),(VLOOKUP(Values!$S$6,Castes!$B$2:$F$25,4,0)=Charms!I4551))</f>
        <v>#N/A</v>
      </c>
      <c r="J4551" t="e">
        <f t="shared" ca="1" si="356"/>
        <v>#N/A</v>
      </c>
      <c r="K4551" s="18" t="e">
        <f t="shared" ca="1" si="355"/>
        <v>#N/A</v>
      </c>
      <c r="L4551" t="e">
        <f ca="1">IF(J4551,Charms!B4551,"")</f>
        <v>#N/A</v>
      </c>
      <c r="M4551" t="str">
        <f t="shared" ca="1" si="357"/>
        <v>-</v>
      </c>
      <c r="N4551" s="18" t="str">
        <f t="shared" si="358"/>
        <v>K1622:L5000</v>
      </c>
      <c r="O4551" t="str">
        <f t="shared" si="359"/>
        <v>A1622:A4551</v>
      </c>
    </row>
    <row r="4552" spans="1:15">
      <c r="A4552" s="18">
        <f>Charms!K4552</f>
        <v>0</v>
      </c>
      <c r="B4552">
        <f>Charms!B4552</f>
        <v>0</v>
      </c>
      <c r="C4552" t="b">
        <f ca="1">OR(Values!$S$98&gt;=Charms!M4552,IFERROR(Charms!J4552=OFFSET(Values!$A$24,MATCH("S",Values!$T$25:$T$50,0),0),FALSE))</f>
        <v>1</v>
      </c>
      <c r="D4552" t="e">
        <f>VLOOKUP(Charms!J4552,Values!$A$11:$S$59,19,0)&gt;=Charms!L4552</f>
        <v>#N/A</v>
      </c>
      <c r="E4552" t="e">
        <f>OR(ISBLANK(Charms!I4552),(VLOOKUP(Values!$S$6,Castes!$B$2:$F$25,4,0)=Charms!I4552))</f>
        <v>#N/A</v>
      </c>
      <c r="J4552" t="e">
        <f t="shared" ca="1" si="356"/>
        <v>#N/A</v>
      </c>
      <c r="K4552" s="18" t="e">
        <f t="shared" ca="1" si="355"/>
        <v>#N/A</v>
      </c>
      <c r="L4552" t="e">
        <f ca="1">IF(J4552,Charms!B4552,"")</f>
        <v>#N/A</v>
      </c>
      <c r="M4552" t="str">
        <f t="shared" ca="1" si="357"/>
        <v>-</v>
      </c>
      <c r="N4552" s="18" t="str">
        <f t="shared" si="358"/>
        <v>K1622:L5000</v>
      </c>
      <c r="O4552" t="str">
        <f t="shared" si="359"/>
        <v>A1622:A4552</v>
      </c>
    </row>
    <row r="4553" spans="1:15">
      <c r="A4553" s="18">
        <f>Charms!K4553</f>
        <v>0</v>
      </c>
      <c r="B4553">
        <f>Charms!B4553</f>
        <v>0</v>
      </c>
      <c r="C4553" t="b">
        <f ca="1">OR(Values!$S$98&gt;=Charms!M4553,IFERROR(Charms!J4553=OFFSET(Values!$A$24,MATCH("S",Values!$T$25:$T$50,0),0),FALSE))</f>
        <v>1</v>
      </c>
      <c r="D4553" t="e">
        <f>VLOOKUP(Charms!J4553,Values!$A$11:$S$59,19,0)&gt;=Charms!L4553</f>
        <v>#N/A</v>
      </c>
      <c r="E4553" t="e">
        <f>OR(ISBLANK(Charms!I4553),(VLOOKUP(Values!$S$6,Castes!$B$2:$F$25,4,0)=Charms!I4553))</f>
        <v>#N/A</v>
      </c>
      <c r="J4553" t="e">
        <f t="shared" ca="1" si="356"/>
        <v>#N/A</v>
      </c>
      <c r="K4553" s="18" t="e">
        <f t="shared" ca="1" si="355"/>
        <v>#N/A</v>
      </c>
      <c r="L4553" t="e">
        <f ca="1">IF(J4553,Charms!B4553,"")</f>
        <v>#N/A</v>
      </c>
      <c r="M4553" t="str">
        <f t="shared" ca="1" si="357"/>
        <v>-</v>
      </c>
      <c r="N4553" s="18" t="str">
        <f t="shared" si="358"/>
        <v>K1622:L5000</v>
      </c>
      <c r="O4553" t="str">
        <f t="shared" si="359"/>
        <v>A1622:A4553</v>
      </c>
    </row>
    <row r="4554" spans="1:15">
      <c r="A4554" s="18">
        <f>Charms!K4554</f>
        <v>0</v>
      </c>
      <c r="B4554">
        <f>Charms!B4554</f>
        <v>0</v>
      </c>
      <c r="C4554" t="b">
        <f ca="1">OR(Values!$S$98&gt;=Charms!M4554,IFERROR(Charms!J4554=OFFSET(Values!$A$24,MATCH("S",Values!$T$25:$T$50,0),0),FALSE))</f>
        <v>1</v>
      </c>
      <c r="D4554" t="e">
        <f>VLOOKUP(Charms!J4554,Values!$A$11:$S$59,19,0)&gt;=Charms!L4554</f>
        <v>#N/A</v>
      </c>
      <c r="E4554" t="e">
        <f>OR(ISBLANK(Charms!I4554),(VLOOKUP(Values!$S$6,Castes!$B$2:$F$25,4,0)=Charms!I4554))</f>
        <v>#N/A</v>
      </c>
      <c r="J4554" t="e">
        <f t="shared" ca="1" si="356"/>
        <v>#N/A</v>
      </c>
      <c r="K4554" s="18" t="e">
        <f t="shared" ca="1" si="355"/>
        <v>#N/A</v>
      </c>
      <c r="L4554" t="e">
        <f ca="1">IF(J4554,Charms!B4554,"")</f>
        <v>#N/A</v>
      </c>
      <c r="M4554" t="str">
        <f t="shared" ca="1" si="357"/>
        <v>-</v>
      </c>
      <c r="N4554" s="18" t="str">
        <f t="shared" si="358"/>
        <v>K1622:L5000</v>
      </c>
      <c r="O4554" t="str">
        <f t="shared" si="359"/>
        <v>A1622:A4554</v>
      </c>
    </row>
    <row r="4555" spans="1:15">
      <c r="A4555" s="18">
        <f>Charms!K4555</f>
        <v>0</v>
      </c>
      <c r="B4555">
        <f>Charms!B4555</f>
        <v>0</v>
      </c>
      <c r="C4555" t="b">
        <f ca="1">OR(Values!$S$98&gt;=Charms!M4555,IFERROR(Charms!J4555=OFFSET(Values!$A$24,MATCH("S",Values!$T$25:$T$50,0),0),FALSE))</f>
        <v>1</v>
      </c>
      <c r="D4555" t="e">
        <f>VLOOKUP(Charms!J4555,Values!$A$11:$S$59,19,0)&gt;=Charms!L4555</f>
        <v>#N/A</v>
      </c>
      <c r="E4555" t="e">
        <f>OR(ISBLANK(Charms!I4555),(VLOOKUP(Values!$S$6,Castes!$B$2:$F$25,4,0)=Charms!I4555))</f>
        <v>#N/A</v>
      </c>
      <c r="J4555" t="e">
        <f t="shared" ca="1" si="356"/>
        <v>#N/A</v>
      </c>
      <c r="K4555" s="18" t="e">
        <f t="shared" ca="1" si="355"/>
        <v>#N/A</v>
      </c>
      <c r="L4555" t="e">
        <f ca="1">IF(J4555,Charms!B4555,"")</f>
        <v>#N/A</v>
      </c>
      <c r="M4555" t="str">
        <f t="shared" ca="1" si="357"/>
        <v>-</v>
      </c>
      <c r="N4555" s="18" t="str">
        <f t="shared" si="358"/>
        <v>K1622:L5000</v>
      </c>
      <c r="O4555" t="str">
        <f t="shared" si="359"/>
        <v>A1622:A4555</v>
      </c>
    </row>
    <row r="4556" spans="1:15">
      <c r="A4556" s="18">
        <f>Charms!K4556</f>
        <v>0</v>
      </c>
      <c r="B4556">
        <f>Charms!B4556</f>
        <v>0</v>
      </c>
      <c r="C4556" t="b">
        <f ca="1">OR(Values!$S$98&gt;=Charms!M4556,IFERROR(Charms!J4556=OFFSET(Values!$A$24,MATCH("S",Values!$T$25:$T$50,0),0),FALSE))</f>
        <v>1</v>
      </c>
      <c r="D4556" t="e">
        <f>VLOOKUP(Charms!J4556,Values!$A$11:$S$59,19,0)&gt;=Charms!L4556</f>
        <v>#N/A</v>
      </c>
      <c r="E4556" t="e">
        <f>OR(ISBLANK(Charms!I4556),(VLOOKUP(Values!$S$6,Castes!$B$2:$F$25,4,0)=Charms!I4556))</f>
        <v>#N/A</v>
      </c>
      <c r="J4556" t="e">
        <f t="shared" ca="1" si="356"/>
        <v>#N/A</v>
      </c>
      <c r="K4556" s="18" t="e">
        <f t="shared" ca="1" si="355"/>
        <v>#N/A</v>
      </c>
      <c r="L4556" t="e">
        <f ca="1">IF(J4556,Charms!B4556,"")</f>
        <v>#N/A</v>
      </c>
      <c r="M4556" t="str">
        <f t="shared" ca="1" si="357"/>
        <v>-</v>
      </c>
      <c r="N4556" s="18" t="str">
        <f t="shared" si="358"/>
        <v>K1622:L5000</v>
      </c>
      <c r="O4556" t="str">
        <f t="shared" si="359"/>
        <v>A1622:A4556</v>
      </c>
    </row>
    <row r="4557" spans="1:15">
      <c r="A4557" s="18">
        <f>Charms!K4557</f>
        <v>0</v>
      </c>
      <c r="B4557">
        <f>Charms!B4557</f>
        <v>0</v>
      </c>
      <c r="C4557" t="b">
        <f ca="1">OR(Values!$S$98&gt;=Charms!M4557,IFERROR(Charms!J4557=OFFSET(Values!$A$24,MATCH("S",Values!$T$25:$T$50,0),0),FALSE))</f>
        <v>1</v>
      </c>
      <c r="D4557" t="e">
        <f>VLOOKUP(Charms!J4557,Values!$A$11:$S$59,19,0)&gt;=Charms!L4557</f>
        <v>#N/A</v>
      </c>
      <c r="E4557" t="e">
        <f>OR(ISBLANK(Charms!I4557),(VLOOKUP(Values!$S$6,Castes!$B$2:$F$25,4,0)=Charms!I4557))</f>
        <v>#N/A</v>
      </c>
      <c r="J4557" t="e">
        <f t="shared" ca="1" si="356"/>
        <v>#N/A</v>
      </c>
      <c r="K4557" s="18" t="e">
        <f t="shared" ca="1" si="355"/>
        <v>#N/A</v>
      </c>
      <c r="L4557" t="e">
        <f ca="1">IF(J4557,Charms!B4557,"")</f>
        <v>#N/A</v>
      </c>
      <c r="M4557" t="str">
        <f t="shared" ca="1" si="357"/>
        <v>-</v>
      </c>
      <c r="N4557" s="18" t="str">
        <f t="shared" si="358"/>
        <v>K1622:L5000</v>
      </c>
      <c r="O4557" t="str">
        <f t="shared" si="359"/>
        <v>A1622:A4557</v>
      </c>
    </row>
    <row r="4558" spans="1:15">
      <c r="A4558" s="18">
        <f>Charms!K4558</f>
        <v>0</v>
      </c>
      <c r="B4558">
        <f>Charms!B4558</f>
        <v>0</v>
      </c>
      <c r="C4558" t="b">
        <f ca="1">OR(Values!$S$98&gt;=Charms!M4558,IFERROR(Charms!J4558=OFFSET(Values!$A$24,MATCH("S",Values!$T$25:$T$50,0),0),FALSE))</f>
        <v>1</v>
      </c>
      <c r="D4558" t="e">
        <f>VLOOKUP(Charms!J4558,Values!$A$11:$S$59,19,0)&gt;=Charms!L4558</f>
        <v>#N/A</v>
      </c>
      <c r="E4558" t="e">
        <f>OR(ISBLANK(Charms!I4558),(VLOOKUP(Values!$S$6,Castes!$B$2:$F$25,4,0)=Charms!I4558))</f>
        <v>#N/A</v>
      </c>
      <c r="J4558" t="e">
        <f t="shared" ca="1" si="356"/>
        <v>#N/A</v>
      </c>
      <c r="K4558" s="18" t="e">
        <f t="shared" ca="1" si="355"/>
        <v>#N/A</v>
      </c>
      <c r="L4558" t="e">
        <f ca="1">IF(J4558,Charms!B4558,"")</f>
        <v>#N/A</v>
      </c>
      <c r="M4558" t="str">
        <f t="shared" ca="1" si="357"/>
        <v>-</v>
      </c>
      <c r="N4558" s="18" t="str">
        <f t="shared" si="358"/>
        <v>K1622:L5000</v>
      </c>
      <c r="O4558" t="str">
        <f t="shared" si="359"/>
        <v>A1622:A4558</v>
      </c>
    </row>
    <row r="4559" spans="1:15">
      <c r="A4559" s="18">
        <f>Charms!K4559</f>
        <v>0</v>
      </c>
      <c r="B4559">
        <f>Charms!B4559</f>
        <v>0</v>
      </c>
      <c r="C4559" t="b">
        <f ca="1">OR(Values!$S$98&gt;=Charms!M4559,IFERROR(Charms!J4559=OFFSET(Values!$A$24,MATCH("S",Values!$T$25:$T$50,0),0),FALSE))</f>
        <v>1</v>
      </c>
      <c r="D4559" t="e">
        <f>VLOOKUP(Charms!J4559,Values!$A$11:$S$59,19,0)&gt;=Charms!L4559</f>
        <v>#N/A</v>
      </c>
      <c r="E4559" t="e">
        <f>OR(ISBLANK(Charms!I4559),(VLOOKUP(Values!$S$6,Castes!$B$2:$F$25,4,0)=Charms!I4559))</f>
        <v>#N/A</v>
      </c>
      <c r="J4559" t="e">
        <f t="shared" ca="1" si="356"/>
        <v>#N/A</v>
      </c>
      <c r="K4559" s="18" t="e">
        <f t="shared" ca="1" si="355"/>
        <v>#N/A</v>
      </c>
      <c r="L4559" t="e">
        <f ca="1">IF(J4559,Charms!B4559,"")</f>
        <v>#N/A</v>
      </c>
      <c r="M4559" t="str">
        <f t="shared" ca="1" si="357"/>
        <v>-</v>
      </c>
      <c r="N4559" s="18" t="str">
        <f t="shared" si="358"/>
        <v>K1622:L5000</v>
      </c>
      <c r="O4559" t="str">
        <f t="shared" si="359"/>
        <v>A1622:A4559</v>
      </c>
    </row>
    <row r="4560" spans="1:15">
      <c r="A4560" s="18">
        <f>Charms!K4560</f>
        <v>0</v>
      </c>
      <c r="B4560">
        <f>Charms!B4560</f>
        <v>0</v>
      </c>
      <c r="C4560" t="b">
        <f ca="1">OR(Values!$S$98&gt;=Charms!M4560,IFERROR(Charms!J4560=OFFSET(Values!$A$24,MATCH("S",Values!$T$25:$T$50,0),0),FALSE))</f>
        <v>1</v>
      </c>
      <c r="D4560" t="e">
        <f>VLOOKUP(Charms!J4560,Values!$A$11:$S$59,19,0)&gt;=Charms!L4560</f>
        <v>#N/A</v>
      </c>
      <c r="E4560" t="e">
        <f>OR(ISBLANK(Charms!I4560),(VLOOKUP(Values!$S$6,Castes!$B$2:$F$25,4,0)=Charms!I4560))</f>
        <v>#N/A</v>
      </c>
      <c r="J4560" t="e">
        <f t="shared" ca="1" si="356"/>
        <v>#N/A</v>
      </c>
      <c r="K4560" s="18" t="e">
        <f t="shared" ca="1" si="355"/>
        <v>#N/A</v>
      </c>
      <c r="L4560" t="e">
        <f ca="1">IF(J4560,Charms!B4560,"")</f>
        <v>#N/A</v>
      </c>
      <c r="M4560" t="str">
        <f t="shared" ca="1" si="357"/>
        <v>-</v>
      </c>
      <c r="N4560" s="18" t="str">
        <f t="shared" si="358"/>
        <v>K1622:L5000</v>
      </c>
      <c r="O4560" t="str">
        <f t="shared" si="359"/>
        <v>A1622:A4560</v>
      </c>
    </row>
    <row r="4561" spans="1:15">
      <c r="A4561" s="18">
        <f>Charms!K4561</f>
        <v>0</v>
      </c>
      <c r="B4561">
        <f>Charms!B4561</f>
        <v>0</v>
      </c>
      <c r="C4561" t="b">
        <f ca="1">OR(Values!$S$98&gt;=Charms!M4561,IFERROR(Charms!J4561=OFFSET(Values!$A$24,MATCH("S",Values!$T$25:$T$50,0),0),FALSE))</f>
        <v>1</v>
      </c>
      <c r="D4561" t="e">
        <f>VLOOKUP(Charms!J4561,Values!$A$11:$S$59,19,0)&gt;=Charms!L4561</f>
        <v>#N/A</v>
      </c>
      <c r="E4561" t="e">
        <f>OR(ISBLANK(Charms!I4561),(VLOOKUP(Values!$S$6,Castes!$B$2:$F$25,4,0)=Charms!I4561))</f>
        <v>#N/A</v>
      </c>
      <c r="J4561" t="e">
        <f t="shared" ca="1" si="356"/>
        <v>#N/A</v>
      </c>
      <c r="K4561" s="18" t="e">
        <f t="shared" ca="1" si="355"/>
        <v>#N/A</v>
      </c>
      <c r="L4561" t="e">
        <f ca="1">IF(J4561,Charms!B4561,"")</f>
        <v>#N/A</v>
      </c>
      <c r="M4561" t="str">
        <f t="shared" ca="1" si="357"/>
        <v>-</v>
      </c>
      <c r="N4561" s="18" t="str">
        <f t="shared" si="358"/>
        <v>K1622:L5000</v>
      </c>
      <c r="O4561" t="str">
        <f t="shared" si="359"/>
        <v>A1622:A4561</v>
      </c>
    </row>
    <row r="4562" spans="1:15">
      <c r="A4562" s="18">
        <f>Charms!K4562</f>
        <v>0</v>
      </c>
      <c r="B4562">
        <f>Charms!B4562</f>
        <v>0</v>
      </c>
      <c r="C4562" t="b">
        <f ca="1">OR(Values!$S$98&gt;=Charms!M4562,IFERROR(Charms!J4562=OFFSET(Values!$A$24,MATCH("S",Values!$T$25:$T$50,0),0),FALSE))</f>
        <v>1</v>
      </c>
      <c r="D4562" t="e">
        <f>VLOOKUP(Charms!J4562,Values!$A$11:$S$59,19,0)&gt;=Charms!L4562</f>
        <v>#N/A</v>
      </c>
      <c r="E4562" t="e">
        <f>OR(ISBLANK(Charms!I4562),(VLOOKUP(Values!$S$6,Castes!$B$2:$F$25,4,0)=Charms!I4562))</f>
        <v>#N/A</v>
      </c>
      <c r="J4562" t="e">
        <f t="shared" ca="1" si="356"/>
        <v>#N/A</v>
      </c>
      <c r="K4562" s="18" t="e">
        <f t="shared" ca="1" si="355"/>
        <v>#N/A</v>
      </c>
      <c r="L4562" t="e">
        <f ca="1">IF(J4562,Charms!B4562,"")</f>
        <v>#N/A</v>
      </c>
      <c r="M4562" t="str">
        <f t="shared" ca="1" si="357"/>
        <v>-</v>
      </c>
      <c r="N4562" s="18" t="str">
        <f t="shared" si="358"/>
        <v>K1622:L5000</v>
      </c>
      <c r="O4562" t="str">
        <f t="shared" si="359"/>
        <v>A1622:A4562</v>
      </c>
    </row>
    <row r="4563" spans="1:15">
      <c r="A4563" s="18">
        <f>Charms!K4563</f>
        <v>0</v>
      </c>
      <c r="B4563">
        <f>Charms!B4563</f>
        <v>0</v>
      </c>
      <c r="C4563" t="b">
        <f ca="1">OR(Values!$S$98&gt;=Charms!M4563,IFERROR(Charms!J4563=OFFSET(Values!$A$24,MATCH("S",Values!$T$25:$T$50,0),0),FALSE))</f>
        <v>1</v>
      </c>
      <c r="D4563" t="e">
        <f>VLOOKUP(Charms!J4563,Values!$A$11:$S$59,19,0)&gt;=Charms!L4563</f>
        <v>#N/A</v>
      </c>
      <c r="E4563" t="e">
        <f>OR(ISBLANK(Charms!I4563),(VLOOKUP(Values!$S$6,Castes!$B$2:$F$25,4,0)=Charms!I4563))</f>
        <v>#N/A</v>
      </c>
      <c r="J4563" t="e">
        <f t="shared" ca="1" si="356"/>
        <v>#N/A</v>
      </c>
      <c r="K4563" s="18" t="e">
        <f t="shared" ca="1" si="355"/>
        <v>#N/A</v>
      </c>
      <c r="L4563" t="e">
        <f ca="1">IF(J4563,Charms!B4563,"")</f>
        <v>#N/A</v>
      </c>
      <c r="M4563" t="str">
        <f t="shared" ca="1" si="357"/>
        <v>-</v>
      </c>
      <c r="N4563" s="18" t="str">
        <f t="shared" si="358"/>
        <v>K1622:L5000</v>
      </c>
      <c r="O4563" t="str">
        <f t="shared" si="359"/>
        <v>A1622:A4563</v>
      </c>
    </row>
    <row r="4564" spans="1:15">
      <c r="A4564" s="18">
        <f>Charms!K4564</f>
        <v>0</v>
      </c>
      <c r="B4564">
        <f>Charms!B4564</f>
        <v>0</v>
      </c>
      <c r="C4564" t="b">
        <f ca="1">OR(Values!$S$98&gt;=Charms!M4564,IFERROR(Charms!J4564=OFFSET(Values!$A$24,MATCH("S",Values!$T$25:$T$50,0),0),FALSE))</f>
        <v>1</v>
      </c>
      <c r="D4564" t="e">
        <f>VLOOKUP(Charms!J4564,Values!$A$11:$S$59,19,0)&gt;=Charms!L4564</f>
        <v>#N/A</v>
      </c>
      <c r="E4564" t="e">
        <f>OR(ISBLANK(Charms!I4564),(VLOOKUP(Values!$S$6,Castes!$B$2:$F$25,4,0)=Charms!I4564))</f>
        <v>#N/A</v>
      </c>
      <c r="J4564" t="e">
        <f t="shared" ca="1" si="356"/>
        <v>#N/A</v>
      </c>
      <c r="K4564" s="18" t="e">
        <f t="shared" ca="1" si="355"/>
        <v>#N/A</v>
      </c>
      <c r="L4564" t="e">
        <f ca="1">IF(J4564,Charms!B4564,"")</f>
        <v>#N/A</v>
      </c>
      <c r="M4564" t="str">
        <f t="shared" ca="1" si="357"/>
        <v>-</v>
      </c>
      <c r="N4564" s="18" t="str">
        <f t="shared" si="358"/>
        <v>K1622:L5000</v>
      </c>
      <c r="O4564" t="str">
        <f t="shared" si="359"/>
        <v>A1622:A4564</v>
      </c>
    </row>
    <row r="4565" spans="1:15">
      <c r="A4565" s="18">
        <f>Charms!K4565</f>
        <v>0</v>
      </c>
      <c r="B4565">
        <f>Charms!B4565</f>
        <v>0</v>
      </c>
      <c r="C4565" t="b">
        <f ca="1">OR(Values!$S$98&gt;=Charms!M4565,IFERROR(Charms!J4565=OFFSET(Values!$A$24,MATCH("S",Values!$T$25:$T$50,0),0),FALSE))</f>
        <v>1</v>
      </c>
      <c r="D4565" t="e">
        <f>VLOOKUP(Charms!J4565,Values!$A$11:$S$59,19,0)&gt;=Charms!L4565</f>
        <v>#N/A</v>
      </c>
      <c r="E4565" t="e">
        <f>OR(ISBLANK(Charms!I4565),(VLOOKUP(Values!$S$6,Castes!$B$2:$F$25,4,0)=Charms!I4565))</f>
        <v>#N/A</v>
      </c>
      <c r="J4565" t="e">
        <f t="shared" ca="1" si="356"/>
        <v>#N/A</v>
      </c>
      <c r="K4565" s="18" t="e">
        <f t="shared" ca="1" si="355"/>
        <v>#N/A</v>
      </c>
      <c r="L4565" t="e">
        <f ca="1">IF(J4565,Charms!B4565,"")</f>
        <v>#N/A</v>
      </c>
      <c r="M4565" t="str">
        <f t="shared" ca="1" si="357"/>
        <v>-</v>
      </c>
      <c r="N4565" s="18" t="str">
        <f t="shared" si="358"/>
        <v>K1622:L5000</v>
      </c>
      <c r="O4565" t="str">
        <f t="shared" si="359"/>
        <v>A1622:A4565</v>
      </c>
    </row>
    <row r="4566" spans="1:15">
      <c r="A4566" s="18">
        <f>Charms!K4566</f>
        <v>0</v>
      </c>
      <c r="B4566">
        <f>Charms!B4566</f>
        <v>0</v>
      </c>
      <c r="C4566" t="b">
        <f ca="1">OR(Values!$S$98&gt;=Charms!M4566,IFERROR(Charms!J4566=OFFSET(Values!$A$24,MATCH("S",Values!$T$25:$T$50,0),0),FALSE))</f>
        <v>1</v>
      </c>
      <c r="D4566" t="e">
        <f>VLOOKUP(Charms!J4566,Values!$A$11:$S$59,19,0)&gt;=Charms!L4566</f>
        <v>#N/A</v>
      </c>
      <c r="E4566" t="e">
        <f>OR(ISBLANK(Charms!I4566),(VLOOKUP(Values!$S$6,Castes!$B$2:$F$25,4,0)=Charms!I4566))</f>
        <v>#N/A</v>
      </c>
      <c r="J4566" t="e">
        <f t="shared" ca="1" si="356"/>
        <v>#N/A</v>
      </c>
      <c r="K4566" s="18" t="e">
        <f t="shared" ca="1" si="355"/>
        <v>#N/A</v>
      </c>
      <c r="L4566" t="e">
        <f ca="1">IF(J4566,Charms!B4566,"")</f>
        <v>#N/A</v>
      </c>
      <c r="M4566" t="str">
        <f t="shared" ca="1" si="357"/>
        <v>-</v>
      </c>
      <c r="N4566" s="18" t="str">
        <f t="shared" si="358"/>
        <v>K1622:L5000</v>
      </c>
      <c r="O4566" t="str">
        <f t="shared" si="359"/>
        <v>A1622:A4566</v>
      </c>
    </row>
    <row r="4567" spans="1:15">
      <c r="A4567" s="18">
        <f>Charms!K4567</f>
        <v>0</v>
      </c>
      <c r="B4567">
        <f>Charms!B4567</f>
        <v>0</v>
      </c>
      <c r="C4567" t="b">
        <f ca="1">OR(Values!$S$98&gt;=Charms!M4567,IFERROR(Charms!J4567=OFFSET(Values!$A$24,MATCH("S",Values!$T$25:$T$50,0),0),FALSE))</f>
        <v>1</v>
      </c>
      <c r="D4567" t="e">
        <f>VLOOKUP(Charms!J4567,Values!$A$11:$S$59,19,0)&gt;=Charms!L4567</f>
        <v>#N/A</v>
      </c>
      <c r="E4567" t="e">
        <f>OR(ISBLANK(Charms!I4567),(VLOOKUP(Values!$S$6,Castes!$B$2:$F$25,4,0)=Charms!I4567))</f>
        <v>#N/A</v>
      </c>
      <c r="J4567" t="e">
        <f t="shared" ca="1" si="356"/>
        <v>#N/A</v>
      </c>
      <c r="K4567" s="18" t="e">
        <f t="shared" ca="1" si="355"/>
        <v>#N/A</v>
      </c>
      <c r="L4567" t="e">
        <f ca="1">IF(J4567,Charms!B4567,"")</f>
        <v>#N/A</v>
      </c>
      <c r="M4567" t="str">
        <f t="shared" ca="1" si="357"/>
        <v>-</v>
      </c>
      <c r="N4567" s="18" t="str">
        <f t="shared" si="358"/>
        <v>K1622:L5000</v>
      </c>
      <c r="O4567" t="str">
        <f t="shared" si="359"/>
        <v>A1622:A4567</v>
      </c>
    </row>
    <row r="4568" spans="1:15">
      <c r="A4568" s="18">
        <f>Charms!K4568</f>
        <v>0</v>
      </c>
      <c r="B4568">
        <f>Charms!B4568</f>
        <v>0</v>
      </c>
      <c r="C4568" t="b">
        <f ca="1">OR(Values!$S$98&gt;=Charms!M4568,IFERROR(Charms!J4568=OFFSET(Values!$A$24,MATCH("S",Values!$T$25:$T$50,0),0),FALSE))</f>
        <v>1</v>
      </c>
      <c r="D4568" t="e">
        <f>VLOOKUP(Charms!J4568,Values!$A$11:$S$59,19,0)&gt;=Charms!L4568</f>
        <v>#N/A</v>
      </c>
      <c r="E4568" t="e">
        <f>OR(ISBLANK(Charms!I4568),(VLOOKUP(Values!$S$6,Castes!$B$2:$F$25,4,0)=Charms!I4568))</f>
        <v>#N/A</v>
      </c>
      <c r="J4568" t="e">
        <f t="shared" ca="1" si="356"/>
        <v>#N/A</v>
      </c>
      <c r="K4568" s="18" t="e">
        <f t="shared" ca="1" si="355"/>
        <v>#N/A</v>
      </c>
      <c r="L4568" t="e">
        <f ca="1">IF(J4568,Charms!B4568,"")</f>
        <v>#N/A</v>
      </c>
      <c r="M4568" t="str">
        <f t="shared" ca="1" si="357"/>
        <v>-</v>
      </c>
      <c r="N4568" s="18" t="str">
        <f t="shared" si="358"/>
        <v>K1622:L5000</v>
      </c>
      <c r="O4568" t="str">
        <f t="shared" si="359"/>
        <v>A1622:A4568</v>
      </c>
    </row>
    <row r="4569" spans="1:15">
      <c r="A4569" s="18">
        <f>Charms!K4569</f>
        <v>0</v>
      </c>
      <c r="B4569">
        <f>Charms!B4569</f>
        <v>0</v>
      </c>
      <c r="C4569" t="b">
        <f ca="1">OR(Values!$S$98&gt;=Charms!M4569,IFERROR(Charms!J4569=OFFSET(Values!$A$24,MATCH("S",Values!$T$25:$T$50,0),0),FALSE))</f>
        <v>1</v>
      </c>
      <c r="D4569" t="e">
        <f>VLOOKUP(Charms!J4569,Values!$A$11:$S$59,19,0)&gt;=Charms!L4569</f>
        <v>#N/A</v>
      </c>
      <c r="E4569" t="e">
        <f>OR(ISBLANK(Charms!I4569),(VLOOKUP(Values!$S$6,Castes!$B$2:$F$25,4,0)=Charms!I4569))</f>
        <v>#N/A</v>
      </c>
      <c r="J4569" t="e">
        <f t="shared" ca="1" si="356"/>
        <v>#N/A</v>
      </c>
      <c r="K4569" s="18" t="e">
        <f t="shared" ca="1" si="355"/>
        <v>#N/A</v>
      </c>
      <c r="L4569" t="e">
        <f ca="1">IF(J4569,Charms!B4569,"")</f>
        <v>#N/A</v>
      </c>
      <c r="M4569" t="str">
        <f t="shared" ca="1" si="357"/>
        <v>-</v>
      </c>
      <c r="N4569" s="18" t="str">
        <f t="shared" si="358"/>
        <v>K1622:L5000</v>
      </c>
      <c r="O4569" t="str">
        <f t="shared" si="359"/>
        <v>A1622:A4569</v>
      </c>
    </row>
    <row r="4570" spans="1:15">
      <c r="A4570" s="18">
        <f>Charms!K4570</f>
        <v>0</v>
      </c>
      <c r="B4570">
        <f>Charms!B4570</f>
        <v>0</v>
      </c>
      <c r="C4570" t="b">
        <f ca="1">OR(Values!$S$98&gt;=Charms!M4570,IFERROR(Charms!J4570=OFFSET(Values!$A$24,MATCH("S",Values!$T$25:$T$50,0),0),FALSE))</f>
        <v>1</v>
      </c>
      <c r="D4570" t="e">
        <f>VLOOKUP(Charms!J4570,Values!$A$11:$S$59,19,0)&gt;=Charms!L4570</f>
        <v>#N/A</v>
      </c>
      <c r="E4570" t="e">
        <f>OR(ISBLANK(Charms!I4570),(VLOOKUP(Values!$S$6,Castes!$B$2:$F$25,4,0)=Charms!I4570))</f>
        <v>#N/A</v>
      </c>
      <c r="J4570" t="e">
        <f t="shared" ca="1" si="356"/>
        <v>#N/A</v>
      </c>
      <c r="K4570" s="18" t="e">
        <f t="shared" ca="1" si="355"/>
        <v>#N/A</v>
      </c>
      <c r="L4570" t="e">
        <f ca="1">IF(J4570,Charms!B4570,"")</f>
        <v>#N/A</v>
      </c>
      <c r="M4570" t="str">
        <f t="shared" ca="1" si="357"/>
        <v>-</v>
      </c>
      <c r="N4570" s="18" t="str">
        <f t="shared" si="358"/>
        <v>K1622:L5000</v>
      </c>
      <c r="O4570" t="str">
        <f t="shared" si="359"/>
        <v>A1622:A4570</v>
      </c>
    </row>
    <row r="4571" spans="1:15">
      <c r="A4571" s="18">
        <f>Charms!K4571</f>
        <v>0</v>
      </c>
      <c r="B4571">
        <f>Charms!B4571</f>
        <v>0</v>
      </c>
      <c r="C4571" t="b">
        <f ca="1">OR(Values!$S$98&gt;=Charms!M4571,IFERROR(Charms!J4571=OFFSET(Values!$A$24,MATCH("S",Values!$T$25:$T$50,0),0),FALSE))</f>
        <v>1</v>
      </c>
      <c r="D4571" t="e">
        <f>VLOOKUP(Charms!J4571,Values!$A$11:$S$59,19,0)&gt;=Charms!L4571</f>
        <v>#N/A</v>
      </c>
      <c r="E4571" t="e">
        <f>OR(ISBLANK(Charms!I4571),(VLOOKUP(Values!$S$6,Castes!$B$2:$F$25,4,0)=Charms!I4571))</f>
        <v>#N/A</v>
      </c>
      <c r="J4571" t="e">
        <f t="shared" ca="1" si="356"/>
        <v>#N/A</v>
      </c>
      <c r="K4571" s="18" t="e">
        <f t="shared" ca="1" si="355"/>
        <v>#N/A</v>
      </c>
      <c r="L4571" t="e">
        <f ca="1">IF(J4571,Charms!B4571,"")</f>
        <v>#N/A</v>
      </c>
      <c r="M4571" t="str">
        <f t="shared" ca="1" si="357"/>
        <v>-</v>
      </c>
      <c r="N4571" s="18" t="str">
        <f t="shared" si="358"/>
        <v>K1622:L5000</v>
      </c>
      <c r="O4571" t="str">
        <f t="shared" si="359"/>
        <v>A1622:A4571</v>
      </c>
    </row>
    <row r="4572" spans="1:15">
      <c r="A4572" s="18">
        <f>Charms!K4572</f>
        <v>0</v>
      </c>
      <c r="B4572">
        <f>Charms!B4572</f>
        <v>0</v>
      </c>
      <c r="C4572" t="b">
        <f ca="1">OR(Values!$S$98&gt;=Charms!M4572,IFERROR(Charms!J4572=OFFSET(Values!$A$24,MATCH("S",Values!$T$25:$T$50,0),0),FALSE))</f>
        <v>1</v>
      </c>
      <c r="D4572" t="e">
        <f>VLOOKUP(Charms!J4572,Values!$A$11:$S$59,19,0)&gt;=Charms!L4572</f>
        <v>#N/A</v>
      </c>
      <c r="E4572" t="e">
        <f>OR(ISBLANK(Charms!I4572),(VLOOKUP(Values!$S$6,Castes!$B$2:$F$25,4,0)=Charms!I4572))</f>
        <v>#N/A</v>
      </c>
      <c r="J4572" t="e">
        <f t="shared" ca="1" si="356"/>
        <v>#N/A</v>
      </c>
      <c r="K4572" s="18" t="e">
        <f t="shared" ca="1" si="355"/>
        <v>#N/A</v>
      </c>
      <c r="L4572" t="e">
        <f ca="1">IF(J4572,Charms!B4572,"")</f>
        <v>#N/A</v>
      </c>
      <c r="M4572" t="str">
        <f t="shared" ca="1" si="357"/>
        <v>-</v>
      </c>
      <c r="N4572" s="18" t="str">
        <f t="shared" si="358"/>
        <v>K1622:L5000</v>
      </c>
      <c r="O4572" t="str">
        <f t="shared" si="359"/>
        <v>A1622:A4572</v>
      </c>
    </row>
    <row r="4573" spans="1:15">
      <c r="A4573" s="18">
        <f>Charms!K4573</f>
        <v>0</v>
      </c>
      <c r="B4573">
        <f>Charms!B4573</f>
        <v>0</v>
      </c>
      <c r="C4573" t="b">
        <f ca="1">OR(Values!$S$98&gt;=Charms!M4573,IFERROR(Charms!J4573=OFFSET(Values!$A$24,MATCH("S",Values!$T$25:$T$50,0),0),FALSE))</f>
        <v>1</v>
      </c>
      <c r="D4573" t="e">
        <f>VLOOKUP(Charms!J4573,Values!$A$11:$S$59,19,0)&gt;=Charms!L4573</f>
        <v>#N/A</v>
      </c>
      <c r="E4573" t="e">
        <f>OR(ISBLANK(Charms!I4573),(VLOOKUP(Values!$S$6,Castes!$B$2:$F$25,4,0)=Charms!I4573))</f>
        <v>#N/A</v>
      </c>
      <c r="J4573" t="e">
        <f t="shared" ca="1" si="356"/>
        <v>#N/A</v>
      </c>
      <c r="K4573" s="18" t="e">
        <f t="shared" ca="1" si="355"/>
        <v>#N/A</v>
      </c>
      <c r="L4573" t="e">
        <f ca="1">IF(J4573,Charms!B4573,"")</f>
        <v>#N/A</v>
      </c>
      <c r="M4573" t="str">
        <f t="shared" ca="1" si="357"/>
        <v>-</v>
      </c>
      <c r="N4573" s="18" t="str">
        <f t="shared" si="358"/>
        <v>K1622:L5000</v>
      </c>
      <c r="O4573" t="str">
        <f t="shared" si="359"/>
        <v>A1622:A4573</v>
      </c>
    </row>
    <row r="4574" spans="1:15">
      <c r="A4574" s="18">
        <f>Charms!K4574</f>
        <v>0</v>
      </c>
      <c r="B4574">
        <f>Charms!B4574</f>
        <v>0</v>
      </c>
      <c r="C4574" t="b">
        <f ca="1">OR(Values!$S$98&gt;=Charms!M4574,IFERROR(Charms!J4574=OFFSET(Values!$A$24,MATCH("S",Values!$T$25:$T$50,0),0),FALSE))</f>
        <v>1</v>
      </c>
      <c r="D4574" t="e">
        <f>VLOOKUP(Charms!J4574,Values!$A$11:$S$59,19,0)&gt;=Charms!L4574</f>
        <v>#N/A</v>
      </c>
      <c r="E4574" t="e">
        <f>OR(ISBLANK(Charms!I4574),(VLOOKUP(Values!$S$6,Castes!$B$2:$F$25,4,0)=Charms!I4574))</f>
        <v>#N/A</v>
      </c>
      <c r="J4574" t="e">
        <f t="shared" ca="1" si="356"/>
        <v>#N/A</v>
      </c>
      <c r="K4574" s="18" t="e">
        <f t="shared" ca="1" si="355"/>
        <v>#N/A</v>
      </c>
      <c r="L4574" t="e">
        <f ca="1">IF(J4574,Charms!B4574,"")</f>
        <v>#N/A</v>
      </c>
      <c r="M4574" t="str">
        <f t="shared" ca="1" si="357"/>
        <v>-</v>
      </c>
      <c r="N4574" s="18" t="str">
        <f t="shared" si="358"/>
        <v>K1622:L5000</v>
      </c>
      <c r="O4574" t="str">
        <f t="shared" si="359"/>
        <v>A1622:A4574</v>
      </c>
    </row>
    <row r="4575" spans="1:15">
      <c r="A4575" s="18">
        <f>Charms!K4575</f>
        <v>0</v>
      </c>
      <c r="B4575">
        <f>Charms!B4575</f>
        <v>0</v>
      </c>
      <c r="C4575" t="b">
        <f ca="1">OR(Values!$S$98&gt;=Charms!M4575,IFERROR(Charms!J4575=OFFSET(Values!$A$24,MATCH("S",Values!$T$25:$T$50,0),0),FALSE))</f>
        <v>1</v>
      </c>
      <c r="D4575" t="e">
        <f>VLOOKUP(Charms!J4575,Values!$A$11:$S$59,19,0)&gt;=Charms!L4575</f>
        <v>#N/A</v>
      </c>
      <c r="E4575" t="e">
        <f>OR(ISBLANK(Charms!I4575),(VLOOKUP(Values!$S$6,Castes!$B$2:$F$25,4,0)=Charms!I4575))</f>
        <v>#N/A</v>
      </c>
      <c r="J4575" t="e">
        <f t="shared" ca="1" si="356"/>
        <v>#N/A</v>
      </c>
      <c r="K4575" s="18" t="e">
        <f t="shared" ca="1" si="355"/>
        <v>#N/A</v>
      </c>
      <c r="L4575" t="e">
        <f ca="1">IF(J4575,Charms!B4575,"")</f>
        <v>#N/A</v>
      </c>
      <c r="M4575" t="str">
        <f t="shared" ca="1" si="357"/>
        <v>-</v>
      </c>
      <c r="N4575" s="18" t="str">
        <f t="shared" si="358"/>
        <v>K1622:L5000</v>
      </c>
      <c r="O4575" t="str">
        <f t="shared" si="359"/>
        <v>A1622:A4575</v>
      </c>
    </row>
    <row r="4576" spans="1:15">
      <c r="A4576" s="18">
        <f>Charms!K4576</f>
        <v>0</v>
      </c>
      <c r="B4576">
        <f>Charms!B4576</f>
        <v>0</v>
      </c>
      <c r="C4576" t="b">
        <f ca="1">OR(Values!$S$98&gt;=Charms!M4576,IFERROR(Charms!J4576=OFFSET(Values!$A$24,MATCH("S",Values!$T$25:$T$50,0),0),FALSE))</f>
        <v>1</v>
      </c>
      <c r="D4576" t="e">
        <f>VLOOKUP(Charms!J4576,Values!$A$11:$S$59,19,0)&gt;=Charms!L4576</f>
        <v>#N/A</v>
      </c>
      <c r="E4576" t="e">
        <f>OR(ISBLANK(Charms!I4576),(VLOOKUP(Values!$S$6,Castes!$B$2:$F$25,4,0)=Charms!I4576))</f>
        <v>#N/A</v>
      </c>
      <c r="J4576" t="e">
        <f t="shared" ca="1" si="356"/>
        <v>#N/A</v>
      </c>
      <c r="K4576" s="18" t="e">
        <f t="shared" ca="1" si="355"/>
        <v>#N/A</v>
      </c>
      <c r="L4576" t="e">
        <f ca="1">IF(J4576,Charms!B4576,"")</f>
        <v>#N/A</v>
      </c>
      <c r="M4576" t="str">
        <f t="shared" ca="1" si="357"/>
        <v>-</v>
      </c>
      <c r="N4576" s="18" t="str">
        <f t="shared" si="358"/>
        <v>K1622:L5000</v>
      </c>
      <c r="O4576" t="str">
        <f t="shared" si="359"/>
        <v>A1622:A4576</v>
      </c>
    </row>
    <row r="4577" spans="1:15">
      <c r="A4577" s="18">
        <f>Charms!K4577</f>
        <v>0</v>
      </c>
      <c r="B4577">
        <f>Charms!B4577</f>
        <v>0</v>
      </c>
      <c r="C4577" t="b">
        <f ca="1">OR(Values!$S$98&gt;=Charms!M4577,IFERROR(Charms!J4577=OFFSET(Values!$A$24,MATCH("S",Values!$T$25:$T$50,0),0),FALSE))</f>
        <v>1</v>
      </c>
      <c r="D4577" t="e">
        <f>VLOOKUP(Charms!J4577,Values!$A$11:$S$59,19,0)&gt;=Charms!L4577</f>
        <v>#N/A</v>
      </c>
      <c r="E4577" t="e">
        <f>OR(ISBLANK(Charms!I4577),(VLOOKUP(Values!$S$6,Castes!$B$2:$F$25,4,0)=Charms!I4577))</f>
        <v>#N/A</v>
      </c>
      <c r="J4577" t="e">
        <f t="shared" ca="1" si="356"/>
        <v>#N/A</v>
      </c>
      <c r="K4577" s="18" t="e">
        <f t="shared" ca="1" si="355"/>
        <v>#N/A</v>
      </c>
      <c r="L4577" t="e">
        <f ca="1">IF(J4577,Charms!B4577,"")</f>
        <v>#N/A</v>
      </c>
      <c r="M4577" t="str">
        <f t="shared" ca="1" si="357"/>
        <v>-</v>
      </c>
      <c r="N4577" s="18" t="str">
        <f t="shared" si="358"/>
        <v>K1622:L5000</v>
      </c>
      <c r="O4577" t="str">
        <f t="shared" si="359"/>
        <v>A1622:A4577</v>
      </c>
    </row>
    <row r="4578" spans="1:15">
      <c r="A4578" s="18">
        <f>Charms!K4578</f>
        <v>0</v>
      </c>
      <c r="B4578">
        <f>Charms!B4578</f>
        <v>0</v>
      </c>
      <c r="C4578" t="b">
        <f ca="1">OR(Values!$S$98&gt;=Charms!M4578,IFERROR(Charms!J4578=OFFSET(Values!$A$24,MATCH("S",Values!$T$25:$T$50,0),0),FALSE))</f>
        <v>1</v>
      </c>
      <c r="D4578" t="e">
        <f>VLOOKUP(Charms!J4578,Values!$A$11:$S$59,19,0)&gt;=Charms!L4578</f>
        <v>#N/A</v>
      </c>
      <c r="E4578" t="e">
        <f>OR(ISBLANK(Charms!I4578),(VLOOKUP(Values!$S$6,Castes!$B$2:$F$25,4,0)=Charms!I4578))</f>
        <v>#N/A</v>
      </c>
      <c r="J4578" t="e">
        <f t="shared" ca="1" si="356"/>
        <v>#N/A</v>
      </c>
      <c r="K4578" s="18" t="e">
        <f t="shared" ca="1" si="355"/>
        <v>#N/A</v>
      </c>
      <c r="L4578" t="e">
        <f ca="1">IF(J4578,Charms!B4578,"")</f>
        <v>#N/A</v>
      </c>
      <c r="M4578" t="str">
        <f t="shared" ca="1" si="357"/>
        <v>-</v>
      </c>
      <c r="N4578" s="18" t="str">
        <f t="shared" si="358"/>
        <v>K1622:L5000</v>
      </c>
      <c r="O4578" t="str">
        <f t="shared" si="359"/>
        <v>A1622:A4578</v>
      </c>
    </row>
    <row r="4579" spans="1:15">
      <c r="A4579" s="18">
        <f>Charms!K4579</f>
        <v>0</v>
      </c>
      <c r="B4579">
        <f>Charms!B4579</f>
        <v>0</v>
      </c>
      <c r="C4579" t="b">
        <f ca="1">OR(Values!$S$98&gt;=Charms!M4579,IFERROR(Charms!J4579=OFFSET(Values!$A$24,MATCH("S",Values!$T$25:$T$50,0),0),FALSE))</f>
        <v>1</v>
      </c>
      <c r="D4579" t="e">
        <f>VLOOKUP(Charms!J4579,Values!$A$11:$S$59,19,0)&gt;=Charms!L4579</f>
        <v>#N/A</v>
      </c>
      <c r="E4579" t="e">
        <f>OR(ISBLANK(Charms!I4579),(VLOOKUP(Values!$S$6,Castes!$B$2:$F$25,4,0)=Charms!I4579))</f>
        <v>#N/A</v>
      </c>
      <c r="J4579" t="e">
        <f t="shared" ca="1" si="356"/>
        <v>#N/A</v>
      </c>
      <c r="K4579" s="18" t="e">
        <f t="shared" ca="1" si="355"/>
        <v>#N/A</v>
      </c>
      <c r="L4579" t="e">
        <f ca="1">IF(J4579,Charms!B4579,"")</f>
        <v>#N/A</v>
      </c>
      <c r="M4579" t="str">
        <f t="shared" ca="1" si="357"/>
        <v>-</v>
      </c>
      <c r="N4579" s="18" t="str">
        <f t="shared" si="358"/>
        <v>K1622:L5000</v>
      </c>
      <c r="O4579" t="str">
        <f t="shared" si="359"/>
        <v>A1622:A4579</v>
      </c>
    </row>
    <row r="4580" spans="1:15">
      <c r="A4580" s="18">
        <f>Charms!K4580</f>
        <v>0</v>
      </c>
      <c r="B4580">
        <f>Charms!B4580</f>
        <v>0</v>
      </c>
      <c r="C4580" t="b">
        <f ca="1">OR(Values!$S$98&gt;=Charms!M4580,IFERROR(Charms!J4580=OFFSET(Values!$A$24,MATCH("S",Values!$T$25:$T$50,0),0),FALSE))</f>
        <v>1</v>
      </c>
      <c r="D4580" t="e">
        <f>VLOOKUP(Charms!J4580,Values!$A$11:$S$59,19,0)&gt;=Charms!L4580</f>
        <v>#N/A</v>
      </c>
      <c r="E4580" t="e">
        <f>OR(ISBLANK(Charms!I4580),(VLOOKUP(Values!$S$6,Castes!$B$2:$F$25,4,0)=Charms!I4580))</f>
        <v>#N/A</v>
      </c>
      <c r="J4580" t="e">
        <f t="shared" ca="1" si="356"/>
        <v>#N/A</v>
      </c>
      <c r="K4580" s="18" t="e">
        <f t="shared" ca="1" si="355"/>
        <v>#N/A</v>
      </c>
      <c r="L4580" t="e">
        <f ca="1">IF(J4580,Charms!B4580,"")</f>
        <v>#N/A</v>
      </c>
      <c r="M4580" t="str">
        <f t="shared" ca="1" si="357"/>
        <v>-</v>
      </c>
      <c r="N4580" s="18" t="str">
        <f t="shared" si="358"/>
        <v>K1622:L5000</v>
      </c>
      <c r="O4580" t="str">
        <f t="shared" si="359"/>
        <v>A1622:A4580</v>
      </c>
    </row>
    <row r="4581" spans="1:15">
      <c r="A4581" s="18">
        <f>Charms!K4581</f>
        <v>0</v>
      </c>
      <c r="B4581">
        <f>Charms!B4581</f>
        <v>0</v>
      </c>
      <c r="C4581" t="b">
        <f ca="1">OR(Values!$S$98&gt;=Charms!M4581,IFERROR(Charms!J4581=OFFSET(Values!$A$24,MATCH("S",Values!$T$25:$T$50,0),0),FALSE))</f>
        <v>1</v>
      </c>
      <c r="D4581" t="e">
        <f>VLOOKUP(Charms!J4581,Values!$A$11:$S$59,19,0)&gt;=Charms!L4581</f>
        <v>#N/A</v>
      </c>
      <c r="E4581" t="e">
        <f>OR(ISBLANK(Charms!I4581),(VLOOKUP(Values!$S$6,Castes!$B$2:$F$25,4,0)=Charms!I4581))</f>
        <v>#N/A</v>
      </c>
      <c r="J4581" t="e">
        <f t="shared" ca="1" si="356"/>
        <v>#N/A</v>
      </c>
      <c r="K4581" s="18" t="e">
        <f t="shared" ca="1" si="355"/>
        <v>#N/A</v>
      </c>
      <c r="L4581" t="e">
        <f ca="1">IF(J4581,Charms!B4581,"")</f>
        <v>#N/A</v>
      </c>
      <c r="M4581" t="str">
        <f t="shared" ca="1" si="357"/>
        <v>-</v>
      </c>
      <c r="N4581" s="18" t="str">
        <f t="shared" si="358"/>
        <v>K1622:L5000</v>
      </c>
      <c r="O4581" t="str">
        <f t="shared" si="359"/>
        <v>A1622:A4581</v>
      </c>
    </row>
    <row r="4582" spans="1:15">
      <c r="A4582" s="18">
        <f>Charms!K4582</f>
        <v>0</v>
      </c>
      <c r="B4582">
        <f>Charms!B4582</f>
        <v>0</v>
      </c>
      <c r="C4582" t="b">
        <f ca="1">OR(Values!$S$98&gt;=Charms!M4582,IFERROR(Charms!J4582=OFFSET(Values!$A$24,MATCH("S",Values!$T$25:$T$50,0),0),FALSE))</f>
        <v>1</v>
      </c>
      <c r="D4582" t="e">
        <f>VLOOKUP(Charms!J4582,Values!$A$11:$S$59,19,0)&gt;=Charms!L4582</f>
        <v>#N/A</v>
      </c>
      <c r="E4582" t="e">
        <f>OR(ISBLANK(Charms!I4582),(VLOOKUP(Values!$S$6,Castes!$B$2:$F$25,4,0)=Charms!I4582))</f>
        <v>#N/A</v>
      </c>
      <c r="J4582" t="e">
        <f t="shared" ca="1" si="356"/>
        <v>#N/A</v>
      </c>
      <c r="K4582" s="18" t="e">
        <f t="shared" ca="1" si="355"/>
        <v>#N/A</v>
      </c>
      <c r="L4582" t="e">
        <f ca="1">IF(J4582,Charms!B4582,"")</f>
        <v>#N/A</v>
      </c>
      <c r="M4582" t="str">
        <f t="shared" ca="1" si="357"/>
        <v>-</v>
      </c>
      <c r="N4582" s="18" t="str">
        <f t="shared" si="358"/>
        <v>K1622:L5000</v>
      </c>
      <c r="O4582" t="str">
        <f t="shared" si="359"/>
        <v>A1622:A4582</v>
      </c>
    </row>
    <row r="4583" spans="1:15">
      <c r="A4583" s="18">
        <f>Charms!K4583</f>
        <v>0</v>
      </c>
      <c r="B4583">
        <f>Charms!B4583</f>
        <v>0</v>
      </c>
      <c r="C4583" t="b">
        <f ca="1">OR(Values!$S$98&gt;=Charms!M4583,IFERROR(Charms!J4583=OFFSET(Values!$A$24,MATCH("S",Values!$T$25:$T$50,0),0),FALSE))</f>
        <v>1</v>
      </c>
      <c r="D4583" t="e">
        <f>VLOOKUP(Charms!J4583,Values!$A$11:$S$59,19,0)&gt;=Charms!L4583</f>
        <v>#N/A</v>
      </c>
      <c r="E4583" t="e">
        <f>OR(ISBLANK(Charms!I4583),(VLOOKUP(Values!$S$6,Castes!$B$2:$F$25,4,0)=Charms!I4583))</f>
        <v>#N/A</v>
      </c>
      <c r="J4583" t="e">
        <f t="shared" ca="1" si="356"/>
        <v>#N/A</v>
      </c>
      <c r="K4583" s="18" t="e">
        <f t="shared" ca="1" si="355"/>
        <v>#N/A</v>
      </c>
      <c r="L4583" t="e">
        <f ca="1">IF(J4583,Charms!B4583,"")</f>
        <v>#N/A</v>
      </c>
      <c r="M4583" t="str">
        <f t="shared" ca="1" si="357"/>
        <v>-</v>
      </c>
      <c r="N4583" s="18" t="str">
        <f t="shared" si="358"/>
        <v>K1622:L5000</v>
      </c>
      <c r="O4583" t="str">
        <f t="shared" si="359"/>
        <v>A1622:A4583</v>
      </c>
    </row>
    <row r="4584" spans="1:15">
      <c r="A4584" s="18">
        <f>Charms!K4584</f>
        <v>0</v>
      </c>
      <c r="B4584">
        <f>Charms!B4584</f>
        <v>0</v>
      </c>
      <c r="C4584" t="b">
        <f ca="1">OR(Values!$S$98&gt;=Charms!M4584,IFERROR(Charms!J4584=OFFSET(Values!$A$24,MATCH("S",Values!$T$25:$T$50,0),0),FALSE))</f>
        <v>1</v>
      </c>
      <c r="D4584" t="e">
        <f>VLOOKUP(Charms!J4584,Values!$A$11:$S$59,19,0)&gt;=Charms!L4584</f>
        <v>#N/A</v>
      </c>
      <c r="E4584" t="e">
        <f>OR(ISBLANK(Charms!I4584),(VLOOKUP(Values!$S$6,Castes!$B$2:$F$25,4,0)=Charms!I4584))</f>
        <v>#N/A</v>
      </c>
      <c r="J4584" t="e">
        <f t="shared" ca="1" si="356"/>
        <v>#N/A</v>
      </c>
      <c r="K4584" s="18" t="e">
        <f t="shared" ca="1" si="355"/>
        <v>#N/A</v>
      </c>
      <c r="L4584" t="e">
        <f ca="1">IF(J4584,Charms!B4584,"")</f>
        <v>#N/A</v>
      </c>
      <c r="M4584" t="str">
        <f t="shared" ca="1" si="357"/>
        <v>-</v>
      </c>
      <c r="N4584" s="18" t="str">
        <f t="shared" si="358"/>
        <v>K1622:L5000</v>
      </c>
      <c r="O4584" t="str">
        <f t="shared" si="359"/>
        <v>A1622:A4584</v>
      </c>
    </row>
    <row r="4585" spans="1:15">
      <c r="A4585" s="18">
        <f>Charms!K4585</f>
        <v>0</v>
      </c>
      <c r="B4585">
        <f>Charms!B4585</f>
        <v>0</v>
      </c>
      <c r="C4585" t="b">
        <f ca="1">OR(Values!$S$98&gt;=Charms!M4585,IFERROR(Charms!J4585=OFFSET(Values!$A$24,MATCH("S",Values!$T$25:$T$50,0),0),FALSE))</f>
        <v>1</v>
      </c>
      <c r="D4585" t="e">
        <f>VLOOKUP(Charms!J4585,Values!$A$11:$S$59,19,0)&gt;=Charms!L4585</f>
        <v>#N/A</v>
      </c>
      <c r="E4585" t="e">
        <f>OR(ISBLANK(Charms!I4585),(VLOOKUP(Values!$S$6,Castes!$B$2:$F$25,4,0)=Charms!I4585))</f>
        <v>#N/A</v>
      </c>
      <c r="J4585" t="e">
        <f t="shared" ca="1" si="356"/>
        <v>#N/A</v>
      </c>
      <c r="K4585" s="18" t="e">
        <f t="shared" ca="1" si="355"/>
        <v>#N/A</v>
      </c>
      <c r="L4585" t="e">
        <f ca="1">IF(J4585,Charms!B4585,"")</f>
        <v>#N/A</v>
      </c>
      <c r="M4585" t="str">
        <f t="shared" ca="1" si="357"/>
        <v>-</v>
      </c>
      <c r="N4585" s="18" t="str">
        <f t="shared" si="358"/>
        <v>K1622:L5000</v>
      </c>
      <c r="O4585" t="str">
        <f t="shared" si="359"/>
        <v>A1622:A4585</v>
      </c>
    </row>
    <row r="4586" spans="1:15">
      <c r="A4586" s="18">
        <f>Charms!K4586</f>
        <v>0</v>
      </c>
      <c r="B4586">
        <f>Charms!B4586</f>
        <v>0</v>
      </c>
      <c r="C4586" t="b">
        <f ca="1">OR(Values!$S$98&gt;=Charms!M4586,IFERROR(Charms!J4586=OFFSET(Values!$A$24,MATCH("S",Values!$T$25:$T$50,0),0),FALSE))</f>
        <v>1</v>
      </c>
      <c r="D4586" t="e">
        <f>VLOOKUP(Charms!J4586,Values!$A$11:$S$59,19,0)&gt;=Charms!L4586</f>
        <v>#N/A</v>
      </c>
      <c r="E4586" t="e">
        <f>OR(ISBLANK(Charms!I4586),(VLOOKUP(Values!$S$6,Castes!$B$2:$F$25,4,0)=Charms!I4586))</f>
        <v>#N/A</v>
      </c>
      <c r="J4586" t="e">
        <f t="shared" ca="1" si="356"/>
        <v>#N/A</v>
      </c>
      <c r="K4586" s="18" t="e">
        <f t="shared" ca="1" si="355"/>
        <v>#N/A</v>
      </c>
      <c r="L4586" t="e">
        <f ca="1">IF(J4586,Charms!B4586,"")</f>
        <v>#N/A</v>
      </c>
      <c r="M4586" t="str">
        <f t="shared" ca="1" si="357"/>
        <v>-</v>
      </c>
      <c r="N4586" s="18" t="str">
        <f t="shared" si="358"/>
        <v>K1622:L5000</v>
      </c>
      <c r="O4586" t="str">
        <f t="shared" si="359"/>
        <v>A1622:A4586</v>
      </c>
    </row>
    <row r="4587" spans="1:15">
      <c r="A4587" s="18">
        <f>Charms!K4587</f>
        <v>0</v>
      </c>
      <c r="B4587">
        <f>Charms!B4587</f>
        <v>0</v>
      </c>
      <c r="C4587" t="b">
        <f ca="1">OR(Values!$S$98&gt;=Charms!M4587,IFERROR(Charms!J4587=OFFSET(Values!$A$24,MATCH("S",Values!$T$25:$T$50,0),0),FALSE))</f>
        <v>1</v>
      </c>
      <c r="D4587" t="e">
        <f>VLOOKUP(Charms!J4587,Values!$A$11:$S$59,19,0)&gt;=Charms!L4587</f>
        <v>#N/A</v>
      </c>
      <c r="E4587" t="e">
        <f>OR(ISBLANK(Charms!I4587),(VLOOKUP(Values!$S$6,Castes!$B$2:$F$25,4,0)=Charms!I4587))</f>
        <v>#N/A</v>
      </c>
      <c r="J4587" t="e">
        <f t="shared" ca="1" si="356"/>
        <v>#N/A</v>
      </c>
      <c r="K4587" s="18" t="e">
        <f t="shared" ca="1" si="355"/>
        <v>#N/A</v>
      </c>
      <c r="L4587" t="e">
        <f ca="1">IF(J4587,Charms!B4587,"")</f>
        <v>#N/A</v>
      </c>
      <c r="M4587" t="str">
        <f t="shared" ca="1" si="357"/>
        <v>-</v>
      </c>
      <c r="N4587" s="18" t="str">
        <f t="shared" si="358"/>
        <v>K1622:L5000</v>
      </c>
      <c r="O4587" t="str">
        <f t="shared" si="359"/>
        <v>A1622:A4587</v>
      </c>
    </row>
    <row r="4588" spans="1:15">
      <c r="A4588" s="18">
        <f>Charms!K4588</f>
        <v>0</v>
      </c>
      <c r="B4588">
        <f>Charms!B4588</f>
        <v>0</v>
      </c>
      <c r="C4588" t="b">
        <f ca="1">OR(Values!$S$98&gt;=Charms!M4588,IFERROR(Charms!J4588=OFFSET(Values!$A$24,MATCH("S",Values!$T$25:$T$50,0),0),FALSE))</f>
        <v>1</v>
      </c>
      <c r="D4588" t="e">
        <f>VLOOKUP(Charms!J4588,Values!$A$11:$S$59,19,0)&gt;=Charms!L4588</f>
        <v>#N/A</v>
      </c>
      <c r="E4588" t="e">
        <f>OR(ISBLANK(Charms!I4588),(VLOOKUP(Values!$S$6,Castes!$B$2:$F$25,4,0)=Charms!I4588))</f>
        <v>#N/A</v>
      </c>
      <c r="J4588" t="e">
        <f t="shared" ca="1" si="356"/>
        <v>#N/A</v>
      </c>
      <c r="K4588" s="18" t="e">
        <f t="shared" ca="1" si="355"/>
        <v>#N/A</v>
      </c>
      <c r="L4588" t="e">
        <f ca="1">IF(J4588,Charms!B4588,"")</f>
        <v>#N/A</v>
      </c>
      <c r="M4588" t="str">
        <f t="shared" ca="1" si="357"/>
        <v>-</v>
      </c>
      <c r="N4588" s="18" t="str">
        <f t="shared" si="358"/>
        <v>K1622:L5000</v>
      </c>
      <c r="O4588" t="str">
        <f t="shared" si="359"/>
        <v>A1622:A4588</v>
      </c>
    </row>
    <row r="4589" spans="1:15">
      <c r="A4589" s="18">
        <f>Charms!K4589</f>
        <v>0</v>
      </c>
      <c r="B4589">
        <f>Charms!B4589</f>
        <v>0</v>
      </c>
      <c r="C4589" t="b">
        <f ca="1">OR(Values!$S$98&gt;=Charms!M4589,IFERROR(Charms!J4589=OFFSET(Values!$A$24,MATCH("S",Values!$T$25:$T$50,0),0),FALSE))</f>
        <v>1</v>
      </c>
      <c r="D4589" t="e">
        <f>VLOOKUP(Charms!J4589,Values!$A$11:$S$59,19,0)&gt;=Charms!L4589</f>
        <v>#N/A</v>
      </c>
      <c r="E4589" t="e">
        <f>OR(ISBLANK(Charms!I4589),(VLOOKUP(Values!$S$6,Castes!$B$2:$F$25,4,0)=Charms!I4589))</f>
        <v>#N/A</v>
      </c>
      <c r="J4589" t="e">
        <f t="shared" ca="1" si="356"/>
        <v>#N/A</v>
      </c>
      <c r="K4589" s="18" t="e">
        <f t="shared" ca="1" si="355"/>
        <v>#N/A</v>
      </c>
      <c r="L4589" t="e">
        <f ca="1">IF(J4589,Charms!B4589,"")</f>
        <v>#N/A</v>
      </c>
      <c r="M4589" t="str">
        <f t="shared" ca="1" si="357"/>
        <v>-</v>
      </c>
      <c r="N4589" s="18" t="str">
        <f t="shared" si="358"/>
        <v>K1622:L5000</v>
      </c>
      <c r="O4589" t="str">
        <f t="shared" si="359"/>
        <v>A1622:A4589</v>
      </c>
    </row>
    <row r="4590" spans="1:15">
      <c r="A4590" s="18">
        <f>Charms!K4590</f>
        <v>0</v>
      </c>
      <c r="B4590">
        <f>Charms!B4590</f>
        <v>0</v>
      </c>
      <c r="C4590" t="b">
        <f ca="1">OR(Values!$S$98&gt;=Charms!M4590,IFERROR(Charms!J4590=OFFSET(Values!$A$24,MATCH("S",Values!$T$25:$T$50,0),0),FALSE))</f>
        <v>1</v>
      </c>
      <c r="D4590" t="e">
        <f>VLOOKUP(Charms!J4590,Values!$A$11:$S$59,19,0)&gt;=Charms!L4590</f>
        <v>#N/A</v>
      </c>
      <c r="E4590" t="e">
        <f>OR(ISBLANK(Charms!I4590),(VLOOKUP(Values!$S$6,Castes!$B$2:$F$25,4,0)=Charms!I4590))</f>
        <v>#N/A</v>
      </c>
      <c r="J4590" t="e">
        <f t="shared" ca="1" si="356"/>
        <v>#N/A</v>
      </c>
      <c r="K4590" s="18" t="e">
        <f t="shared" ca="1" si="355"/>
        <v>#N/A</v>
      </c>
      <c r="L4590" t="e">
        <f ca="1">IF(J4590,Charms!B4590,"")</f>
        <v>#N/A</v>
      </c>
      <c r="M4590" t="str">
        <f t="shared" ca="1" si="357"/>
        <v>-</v>
      </c>
      <c r="N4590" s="18" t="str">
        <f t="shared" si="358"/>
        <v>K1622:L5000</v>
      </c>
      <c r="O4590" t="str">
        <f t="shared" si="359"/>
        <v>A1622:A4590</v>
      </c>
    </row>
    <row r="4591" spans="1:15">
      <c r="A4591" s="18">
        <f>Charms!K4591</f>
        <v>0</v>
      </c>
      <c r="B4591">
        <f>Charms!B4591</f>
        <v>0</v>
      </c>
      <c r="C4591" t="b">
        <f ca="1">OR(Values!$S$98&gt;=Charms!M4591,IFERROR(Charms!J4591=OFFSET(Values!$A$24,MATCH("S",Values!$T$25:$T$50,0),0),FALSE))</f>
        <v>1</v>
      </c>
      <c r="D4591" t="e">
        <f>VLOOKUP(Charms!J4591,Values!$A$11:$S$59,19,0)&gt;=Charms!L4591</f>
        <v>#N/A</v>
      </c>
      <c r="E4591" t="e">
        <f>OR(ISBLANK(Charms!I4591),(VLOOKUP(Values!$S$6,Castes!$B$2:$F$25,4,0)=Charms!I4591))</f>
        <v>#N/A</v>
      </c>
      <c r="J4591" t="e">
        <f t="shared" ca="1" si="356"/>
        <v>#N/A</v>
      </c>
      <c r="K4591" s="18" t="e">
        <f t="shared" ca="1" si="355"/>
        <v>#N/A</v>
      </c>
      <c r="L4591" t="e">
        <f ca="1">IF(J4591,Charms!B4591,"")</f>
        <v>#N/A</v>
      </c>
      <c r="M4591" t="str">
        <f t="shared" ca="1" si="357"/>
        <v>-</v>
      </c>
      <c r="N4591" s="18" t="str">
        <f t="shared" si="358"/>
        <v>K1622:L5000</v>
      </c>
      <c r="O4591" t="str">
        <f t="shared" si="359"/>
        <v>A1622:A4591</v>
      </c>
    </row>
    <row r="4592" spans="1:15">
      <c r="A4592" s="18">
        <f>Charms!K4592</f>
        <v>0</v>
      </c>
      <c r="B4592">
        <f>Charms!B4592</f>
        <v>0</v>
      </c>
      <c r="C4592" t="b">
        <f ca="1">OR(Values!$S$98&gt;=Charms!M4592,IFERROR(Charms!J4592=OFFSET(Values!$A$24,MATCH("S",Values!$T$25:$T$50,0),0),FALSE))</f>
        <v>1</v>
      </c>
      <c r="D4592" t="e">
        <f>VLOOKUP(Charms!J4592,Values!$A$11:$S$59,19,0)&gt;=Charms!L4592</f>
        <v>#N/A</v>
      </c>
      <c r="E4592" t="e">
        <f>OR(ISBLANK(Charms!I4592),(VLOOKUP(Values!$S$6,Castes!$B$2:$F$25,4,0)=Charms!I4592))</f>
        <v>#N/A</v>
      </c>
      <c r="J4592" t="e">
        <f t="shared" ca="1" si="356"/>
        <v>#N/A</v>
      </c>
      <c r="K4592" s="18" t="e">
        <f t="shared" ca="1" si="355"/>
        <v>#N/A</v>
      </c>
      <c r="L4592" t="e">
        <f ca="1">IF(J4592,Charms!B4592,"")</f>
        <v>#N/A</v>
      </c>
      <c r="M4592" t="str">
        <f t="shared" ca="1" si="357"/>
        <v>-</v>
      </c>
      <c r="N4592" s="18" t="str">
        <f t="shared" si="358"/>
        <v>K1622:L5000</v>
      </c>
      <c r="O4592" t="str">
        <f t="shared" si="359"/>
        <v>A1622:A4592</v>
      </c>
    </row>
    <row r="4593" spans="1:15">
      <c r="A4593" s="18">
        <f>Charms!K4593</f>
        <v>0</v>
      </c>
      <c r="B4593">
        <f>Charms!B4593</f>
        <v>0</v>
      </c>
      <c r="C4593" t="b">
        <f ca="1">OR(Values!$S$98&gt;=Charms!M4593,IFERROR(Charms!J4593=OFFSET(Values!$A$24,MATCH("S",Values!$T$25:$T$50,0),0),FALSE))</f>
        <v>1</v>
      </c>
      <c r="D4593" t="e">
        <f>VLOOKUP(Charms!J4593,Values!$A$11:$S$59,19,0)&gt;=Charms!L4593</f>
        <v>#N/A</v>
      </c>
      <c r="E4593" t="e">
        <f>OR(ISBLANK(Charms!I4593),(VLOOKUP(Values!$S$6,Castes!$B$2:$F$25,4,0)=Charms!I4593))</f>
        <v>#N/A</v>
      </c>
      <c r="J4593" t="e">
        <f t="shared" ca="1" si="356"/>
        <v>#N/A</v>
      </c>
      <c r="K4593" s="18" t="e">
        <f t="shared" ca="1" si="355"/>
        <v>#N/A</v>
      </c>
      <c r="L4593" t="e">
        <f ca="1">IF(J4593,Charms!B4593,"")</f>
        <v>#N/A</v>
      </c>
      <c r="M4593" t="str">
        <f t="shared" ca="1" si="357"/>
        <v>-</v>
      </c>
      <c r="N4593" s="18" t="str">
        <f t="shared" si="358"/>
        <v>K1622:L5000</v>
      </c>
      <c r="O4593" t="str">
        <f t="shared" si="359"/>
        <v>A1622:A4593</v>
      </c>
    </row>
    <row r="4594" spans="1:15">
      <c r="A4594" s="18">
        <f>Charms!K4594</f>
        <v>0</v>
      </c>
      <c r="B4594">
        <f>Charms!B4594</f>
        <v>0</v>
      </c>
      <c r="C4594" t="b">
        <f ca="1">OR(Values!$S$98&gt;=Charms!M4594,IFERROR(Charms!J4594=OFFSET(Values!$A$24,MATCH("S",Values!$T$25:$T$50,0),0),FALSE))</f>
        <v>1</v>
      </c>
      <c r="D4594" t="e">
        <f>VLOOKUP(Charms!J4594,Values!$A$11:$S$59,19,0)&gt;=Charms!L4594</f>
        <v>#N/A</v>
      </c>
      <c r="E4594" t="e">
        <f>OR(ISBLANK(Charms!I4594),(VLOOKUP(Values!$S$6,Castes!$B$2:$F$25,4,0)=Charms!I4594))</f>
        <v>#N/A</v>
      </c>
      <c r="J4594" t="e">
        <f t="shared" ca="1" si="356"/>
        <v>#N/A</v>
      </c>
      <c r="K4594" s="18" t="e">
        <f t="shared" ca="1" si="355"/>
        <v>#N/A</v>
      </c>
      <c r="L4594" t="e">
        <f ca="1">IF(J4594,Charms!B4594,"")</f>
        <v>#N/A</v>
      </c>
      <c r="M4594" t="str">
        <f t="shared" ca="1" si="357"/>
        <v>-</v>
      </c>
      <c r="N4594" s="18" t="str">
        <f t="shared" si="358"/>
        <v>K1622:L5000</v>
      </c>
      <c r="O4594" t="str">
        <f t="shared" si="359"/>
        <v>A1622:A4594</v>
      </c>
    </row>
    <row r="4595" spans="1:15">
      <c r="A4595" s="18">
        <f>Charms!K4595</f>
        <v>0</v>
      </c>
      <c r="B4595">
        <f>Charms!B4595</f>
        <v>0</v>
      </c>
      <c r="C4595" t="b">
        <f ca="1">OR(Values!$S$98&gt;=Charms!M4595,IFERROR(Charms!J4595=OFFSET(Values!$A$24,MATCH("S",Values!$T$25:$T$50,0),0),FALSE))</f>
        <v>1</v>
      </c>
      <c r="D4595" t="e">
        <f>VLOOKUP(Charms!J4595,Values!$A$11:$S$59,19,0)&gt;=Charms!L4595</f>
        <v>#N/A</v>
      </c>
      <c r="E4595" t="e">
        <f>OR(ISBLANK(Charms!I4595),(VLOOKUP(Values!$S$6,Castes!$B$2:$F$25,4,0)=Charms!I4595))</f>
        <v>#N/A</v>
      </c>
      <c r="J4595" t="e">
        <f t="shared" ca="1" si="356"/>
        <v>#N/A</v>
      </c>
      <c r="K4595" s="18" t="e">
        <f t="shared" ca="1" si="355"/>
        <v>#N/A</v>
      </c>
      <c r="L4595" t="e">
        <f ca="1">IF(J4595,Charms!B4595,"")</f>
        <v>#N/A</v>
      </c>
      <c r="M4595" t="str">
        <f t="shared" ca="1" si="357"/>
        <v>-</v>
      </c>
      <c r="N4595" s="18" t="str">
        <f t="shared" si="358"/>
        <v>K1622:L5000</v>
      </c>
      <c r="O4595" t="str">
        <f t="shared" si="359"/>
        <v>A1622:A4595</v>
      </c>
    </row>
    <row r="4596" spans="1:15">
      <c r="A4596" s="18">
        <f>Charms!K4596</f>
        <v>0</v>
      </c>
      <c r="B4596">
        <f>Charms!B4596</f>
        <v>0</v>
      </c>
      <c r="C4596" t="b">
        <f ca="1">OR(Values!$S$98&gt;=Charms!M4596,IFERROR(Charms!J4596=OFFSET(Values!$A$24,MATCH("S",Values!$T$25:$T$50,0),0),FALSE))</f>
        <v>1</v>
      </c>
      <c r="D4596" t="e">
        <f>VLOOKUP(Charms!J4596,Values!$A$11:$S$59,19,0)&gt;=Charms!L4596</f>
        <v>#N/A</v>
      </c>
      <c r="E4596" t="e">
        <f>OR(ISBLANK(Charms!I4596),(VLOOKUP(Values!$S$6,Castes!$B$2:$F$25,4,0)=Charms!I4596))</f>
        <v>#N/A</v>
      </c>
      <c r="J4596" t="e">
        <f t="shared" ca="1" si="356"/>
        <v>#N/A</v>
      </c>
      <c r="K4596" s="18" t="e">
        <f t="shared" ca="1" si="355"/>
        <v>#N/A</v>
      </c>
      <c r="L4596" t="e">
        <f ca="1">IF(J4596,Charms!B4596,"")</f>
        <v>#N/A</v>
      </c>
      <c r="M4596" t="str">
        <f t="shared" ca="1" si="357"/>
        <v>-</v>
      </c>
      <c r="N4596" s="18" t="str">
        <f t="shared" si="358"/>
        <v>K1622:L5000</v>
      </c>
      <c r="O4596" t="str">
        <f t="shared" si="359"/>
        <v>A1622:A4596</v>
      </c>
    </row>
    <row r="4597" spans="1:15">
      <c r="A4597" s="18">
        <f>Charms!K4597</f>
        <v>0</v>
      </c>
      <c r="B4597">
        <f>Charms!B4597</f>
        <v>0</v>
      </c>
      <c r="C4597" t="b">
        <f ca="1">OR(Values!$S$98&gt;=Charms!M4597,IFERROR(Charms!J4597=OFFSET(Values!$A$24,MATCH("S",Values!$T$25:$T$50,0),0),FALSE))</f>
        <v>1</v>
      </c>
      <c r="D4597" t="e">
        <f>VLOOKUP(Charms!J4597,Values!$A$11:$S$59,19,0)&gt;=Charms!L4597</f>
        <v>#N/A</v>
      </c>
      <c r="E4597" t="e">
        <f>OR(ISBLANK(Charms!I4597),(VLOOKUP(Values!$S$6,Castes!$B$2:$F$25,4,0)=Charms!I4597))</f>
        <v>#N/A</v>
      </c>
      <c r="J4597" t="e">
        <f t="shared" ca="1" si="356"/>
        <v>#N/A</v>
      </c>
      <c r="K4597" s="18" t="e">
        <f t="shared" ca="1" si="355"/>
        <v>#N/A</v>
      </c>
      <c r="L4597" t="e">
        <f ca="1">IF(J4597,Charms!B4597,"")</f>
        <v>#N/A</v>
      </c>
      <c r="M4597" t="str">
        <f t="shared" ca="1" si="357"/>
        <v>-</v>
      </c>
      <c r="N4597" s="18" t="str">
        <f t="shared" si="358"/>
        <v>K1622:L5000</v>
      </c>
      <c r="O4597" t="str">
        <f t="shared" si="359"/>
        <v>A1622:A4597</v>
      </c>
    </row>
    <row r="4598" spans="1:15">
      <c r="A4598" s="18">
        <f>Charms!K4598</f>
        <v>0</v>
      </c>
      <c r="B4598">
        <f>Charms!B4598</f>
        <v>0</v>
      </c>
      <c r="C4598" t="b">
        <f ca="1">OR(Values!$S$98&gt;=Charms!M4598,IFERROR(Charms!J4598=OFFSET(Values!$A$24,MATCH("S",Values!$T$25:$T$50,0),0),FALSE))</f>
        <v>1</v>
      </c>
      <c r="D4598" t="e">
        <f>VLOOKUP(Charms!J4598,Values!$A$11:$S$59,19,0)&gt;=Charms!L4598</f>
        <v>#N/A</v>
      </c>
      <c r="E4598" t="e">
        <f>OR(ISBLANK(Charms!I4598),(VLOOKUP(Values!$S$6,Castes!$B$2:$F$25,4,0)=Charms!I4598))</f>
        <v>#N/A</v>
      </c>
      <c r="J4598" t="e">
        <f t="shared" ca="1" si="356"/>
        <v>#N/A</v>
      </c>
      <c r="K4598" s="18" t="e">
        <f t="shared" ca="1" si="355"/>
        <v>#N/A</v>
      </c>
      <c r="L4598" t="e">
        <f ca="1">IF(J4598,Charms!B4598,"")</f>
        <v>#N/A</v>
      </c>
      <c r="M4598" t="str">
        <f t="shared" ca="1" si="357"/>
        <v>-</v>
      </c>
      <c r="N4598" s="18" t="str">
        <f t="shared" si="358"/>
        <v>K1622:L5000</v>
      </c>
      <c r="O4598" t="str">
        <f t="shared" si="359"/>
        <v>A1622:A4598</v>
      </c>
    </row>
    <row r="4599" spans="1:15">
      <c r="A4599" s="18">
        <f>Charms!K4599</f>
        <v>0</v>
      </c>
      <c r="B4599">
        <f>Charms!B4599</f>
        <v>0</v>
      </c>
      <c r="C4599" t="b">
        <f ca="1">OR(Values!$S$98&gt;=Charms!M4599,IFERROR(Charms!J4599=OFFSET(Values!$A$24,MATCH("S",Values!$T$25:$T$50,0),0),FALSE))</f>
        <v>1</v>
      </c>
      <c r="D4599" t="e">
        <f>VLOOKUP(Charms!J4599,Values!$A$11:$S$59,19,0)&gt;=Charms!L4599</f>
        <v>#N/A</v>
      </c>
      <c r="E4599" t="e">
        <f>OR(ISBLANK(Charms!I4599),(VLOOKUP(Values!$S$6,Castes!$B$2:$F$25,4,0)=Charms!I4599))</f>
        <v>#N/A</v>
      </c>
      <c r="J4599" t="e">
        <f t="shared" ca="1" si="356"/>
        <v>#N/A</v>
      </c>
      <c r="K4599" s="18" t="e">
        <f t="shared" ca="1" si="355"/>
        <v>#N/A</v>
      </c>
      <c r="L4599" t="e">
        <f ca="1">IF(J4599,Charms!B4599,"")</f>
        <v>#N/A</v>
      </c>
      <c r="M4599" t="str">
        <f t="shared" ca="1" si="357"/>
        <v>-</v>
      </c>
      <c r="N4599" s="18" t="str">
        <f t="shared" si="358"/>
        <v>K1622:L5000</v>
      </c>
      <c r="O4599" t="str">
        <f t="shared" si="359"/>
        <v>A1622:A4599</v>
      </c>
    </row>
    <row r="4600" spans="1:15">
      <c r="A4600" s="18">
        <f>Charms!K4600</f>
        <v>0</v>
      </c>
      <c r="B4600">
        <f>Charms!B4600</f>
        <v>0</v>
      </c>
      <c r="C4600" t="b">
        <f ca="1">OR(Values!$S$98&gt;=Charms!M4600,IFERROR(Charms!J4600=OFFSET(Values!$A$24,MATCH("S",Values!$T$25:$T$50,0),0),FALSE))</f>
        <v>1</v>
      </c>
      <c r="D4600" t="e">
        <f>VLOOKUP(Charms!J4600,Values!$A$11:$S$59,19,0)&gt;=Charms!L4600</f>
        <v>#N/A</v>
      </c>
      <c r="E4600" t="e">
        <f>OR(ISBLANK(Charms!I4600),(VLOOKUP(Values!$S$6,Castes!$B$2:$F$25,4,0)=Charms!I4600))</f>
        <v>#N/A</v>
      </c>
      <c r="J4600" t="e">
        <f t="shared" ca="1" si="356"/>
        <v>#N/A</v>
      </c>
      <c r="K4600" s="18" t="e">
        <f t="shared" ca="1" si="355"/>
        <v>#N/A</v>
      </c>
      <c r="L4600" t="e">
        <f ca="1">IF(J4600,Charms!B4600,"")</f>
        <v>#N/A</v>
      </c>
      <c r="M4600" t="str">
        <f t="shared" ca="1" si="357"/>
        <v>-</v>
      </c>
      <c r="N4600" s="18" t="str">
        <f t="shared" si="358"/>
        <v>K1622:L5000</v>
      </c>
      <c r="O4600" t="str">
        <f t="shared" si="359"/>
        <v>A1622:A4600</v>
      </c>
    </row>
    <row r="4601" spans="1:15">
      <c r="A4601" s="18">
        <f>Charms!K4601</f>
        <v>0</v>
      </c>
      <c r="B4601">
        <f>Charms!B4601</f>
        <v>0</v>
      </c>
      <c r="C4601" t="b">
        <f ca="1">OR(Values!$S$98&gt;=Charms!M4601,IFERROR(Charms!J4601=OFFSET(Values!$A$24,MATCH("S",Values!$T$25:$T$50,0),0),FALSE))</f>
        <v>1</v>
      </c>
      <c r="D4601" t="e">
        <f>VLOOKUP(Charms!J4601,Values!$A$11:$S$59,19,0)&gt;=Charms!L4601</f>
        <v>#N/A</v>
      </c>
      <c r="E4601" t="e">
        <f>OR(ISBLANK(Charms!I4601),(VLOOKUP(Values!$S$6,Castes!$B$2:$F$25,4,0)=Charms!I4601))</f>
        <v>#N/A</v>
      </c>
      <c r="J4601" t="e">
        <f t="shared" ca="1" si="356"/>
        <v>#N/A</v>
      </c>
      <c r="K4601" s="18" t="e">
        <f t="shared" ca="1" si="355"/>
        <v>#N/A</v>
      </c>
      <c r="L4601" t="e">
        <f ca="1">IF(J4601,Charms!B4601,"")</f>
        <v>#N/A</v>
      </c>
      <c r="M4601" t="str">
        <f t="shared" ca="1" si="357"/>
        <v>-</v>
      </c>
      <c r="N4601" s="18" t="str">
        <f t="shared" si="358"/>
        <v>K1622:L5000</v>
      </c>
      <c r="O4601" t="str">
        <f t="shared" si="359"/>
        <v>A1622:A4601</v>
      </c>
    </row>
    <row r="4602" spans="1:15">
      <c r="A4602" s="18">
        <f>Charms!K4602</f>
        <v>0</v>
      </c>
      <c r="B4602">
        <f>Charms!B4602</f>
        <v>0</v>
      </c>
      <c r="C4602" t="b">
        <f ca="1">OR(Values!$S$98&gt;=Charms!M4602,IFERROR(Charms!J4602=OFFSET(Values!$A$24,MATCH("S",Values!$T$25:$T$50,0),0),FALSE))</f>
        <v>1</v>
      </c>
      <c r="D4602" t="e">
        <f>VLOOKUP(Charms!J4602,Values!$A$11:$S$59,19,0)&gt;=Charms!L4602</f>
        <v>#N/A</v>
      </c>
      <c r="E4602" t="e">
        <f>OR(ISBLANK(Charms!I4602),(VLOOKUP(Values!$S$6,Castes!$B$2:$F$25,4,0)=Charms!I4602))</f>
        <v>#N/A</v>
      </c>
      <c r="J4602" t="e">
        <f t="shared" ca="1" si="356"/>
        <v>#N/A</v>
      </c>
      <c r="K4602" s="18" t="e">
        <f t="shared" ca="1" si="355"/>
        <v>#N/A</v>
      </c>
      <c r="L4602" t="e">
        <f ca="1">IF(J4602,Charms!B4602,"")</f>
        <v>#N/A</v>
      </c>
      <c r="M4602" t="str">
        <f t="shared" ca="1" si="357"/>
        <v>-</v>
      </c>
      <c r="N4602" s="18" t="str">
        <f t="shared" si="358"/>
        <v>K1622:L5000</v>
      </c>
      <c r="O4602" t="str">
        <f t="shared" si="359"/>
        <v>A1622:A4602</v>
      </c>
    </row>
    <row r="4603" spans="1:15">
      <c r="A4603" s="18">
        <f>Charms!K4603</f>
        <v>0</v>
      </c>
      <c r="B4603">
        <f>Charms!B4603</f>
        <v>0</v>
      </c>
      <c r="C4603" t="b">
        <f ca="1">OR(Values!$S$98&gt;=Charms!M4603,IFERROR(Charms!J4603=OFFSET(Values!$A$24,MATCH("S",Values!$T$25:$T$50,0),0),FALSE))</f>
        <v>1</v>
      </c>
      <c r="D4603" t="e">
        <f>VLOOKUP(Charms!J4603,Values!$A$11:$S$59,19,0)&gt;=Charms!L4603</f>
        <v>#N/A</v>
      </c>
      <c r="E4603" t="e">
        <f>OR(ISBLANK(Charms!I4603),(VLOOKUP(Values!$S$6,Castes!$B$2:$F$25,4,0)=Charms!I4603))</f>
        <v>#N/A</v>
      </c>
      <c r="J4603" t="e">
        <f t="shared" ca="1" si="356"/>
        <v>#N/A</v>
      </c>
      <c r="K4603" s="18" t="e">
        <f t="shared" ca="1" si="355"/>
        <v>#N/A</v>
      </c>
      <c r="L4603" t="e">
        <f ca="1">IF(J4603,Charms!B4603,"")</f>
        <v>#N/A</v>
      </c>
      <c r="M4603" t="str">
        <f t="shared" ca="1" si="357"/>
        <v>-</v>
      </c>
      <c r="N4603" s="18" t="str">
        <f t="shared" si="358"/>
        <v>K1622:L5000</v>
      </c>
      <c r="O4603" t="str">
        <f t="shared" si="359"/>
        <v>A1622:A4603</v>
      </c>
    </row>
    <row r="4604" spans="1:15">
      <c r="A4604" s="18">
        <f>Charms!K4604</f>
        <v>0</v>
      </c>
      <c r="B4604">
        <f>Charms!B4604</f>
        <v>0</v>
      </c>
      <c r="C4604" t="b">
        <f ca="1">OR(Values!$S$98&gt;=Charms!M4604,IFERROR(Charms!J4604=OFFSET(Values!$A$24,MATCH("S",Values!$T$25:$T$50,0),0),FALSE))</f>
        <v>1</v>
      </c>
      <c r="D4604" t="e">
        <f>VLOOKUP(Charms!J4604,Values!$A$11:$S$59,19,0)&gt;=Charms!L4604</f>
        <v>#N/A</v>
      </c>
      <c r="E4604" t="e">
        <f>OR(ISBLANK(Charms!I4604),(VLOOKUP(Values!$S$6,Castes!$B$2:$F$25,4,0)=Charms!I4604))</f>
        <v>#N/A</v>
      </c>
      <c r="J4604" t="e">
        <f t="shared" ca="1" si="356"/>
        <v>#N/A</v>
      </c>
      <c r="K4604" s="18" t="e">
        <f t="shared" ca="1" si="355"/>
        <v>#N/A</v>
      </c>
      <c r="L4604" t="e">
        <f ca="1">IF(J4604,Charms!B4604,"")</f>
        <v>#N/A</v>
      </c>
      <c r="M4604" t="str">
        <f t="shared" ca="1" si="357"/>
        <v>-</v>
      </c>
      <c r="N4604" s="18" t="str">
        <f t="shared" si="358"/>
        <v>K1622:L5000</v>
      </c>
      <c r="O4604" t="str">
        <f t="shared" si="359"/>
        <v>A1622:A4604</v>
      </c>
    </row>
    <row r="4605" spans="1:15">
      <c r="A4605" s="18">
        <f>Charms!K4605</f>
        <v>0</v>
      </c>
      <c r="B4605">
        <f>Charms!B4605</f>
        <v>0</v>
      </c>
      <c r="C4605" t="b">
        <f ca="1">OR(Values!$S$98&gt;=Charms!M4605,IFERROR(Charms!J4605=OFFSET(Values!$A$24,MATCH("S",Values!$T$25:$T$50,0),0),FALSE))</f>
        <v>1</v>
      </c>
      <c r="D4605" t="e">
        <f>VLOOKUP(Charms!J4605,Values!$A$11:$S$59,19,0)&gt;=Charms!L4605</f>
        <v>#N/A</v>
      </c>
      <c r="E4605" t="e">
        <f>OR(ISBLANK(Charms!I4605),(VLOOKUP(Values!$S$6,Castes!$B$2:$F$25,4,0)=Charms!I4605))</f>
        <v>#N/A</v>
      </c>
      <c r="J4605" t="e">
        <f t="shared" ca="1" si="356"/>
        <v>#N/A</v>
      </c>
      <c r="K4605" s="18" t="e">
        <f t="shared" ca="1" si="355"/>
        <v>#N/A</v>
      </c>
      <c r="L4605" t="e">
        <f ca="1">IF(J4605,Charms!B4605,"")</f>
        <v>#N/A</v>
      </c>
      <c r="M4605" t="str">
        <f t="shared" ca="1" si="357"/>
        <v>-</v>
      </c>
      <c r="N4605" s="18" t="str">
        <f t="shared" si="358"/>
        <v>K1622:L5000</v>
      </c>
      <c r="O4605" t="str">
        <f t="shared" si="359"/>
        <v>A1622:A4605</v>
      </c>
    </row>
    <row r="4606" spans="1:15">
      <c r="A4606" s="18">
        <f>Charms!K4606</f>
        <v>0</v>
      </c>
      <c r="B4606">
        <f>Charms!B4606</f>
        <v>0</v>
      </c>
      <c r="C4606" t="b">
        <f ca="1">OR(Values!$S$98&gt;=Charms!M4606,IFERROR(Charms!J4606=OFFSET(Values!$A$24,MATCH("S",Values!$T$25:$T$50,0),0),FALSE))</f>
        <v>1</v>
      </c>
      <c r="D4606" t="e">
        <f>VLOOKUP(Charms!J4606,Values!$A$11:$S$59,19,0)&gt;=Charms!L4606</f>
        <v>#N/A</v>
      </c>
      <c r="E4606" t="e">
        <f>OR(ISBLANK(Charms!I4606),(VLOOKUP(Values!$S$6,Castes!$B$2:$F$25,4,0)=Charms!I4606))</f>
        <v>#N/A</v>
      </c>
      <c r="J4606" t="e">
        <f t="shared" ca="1" si="356"/>
        <v>#N/A</v>
      </c>
      <c r="K4606" s="18" t="e">
        <f t="shared" ca="1" si="355"/>
        <v>#N/A</v>
      </c>
      <c r="L4606" t="e">
        <f ca="1">IF(J4606,Charms!B4606,"")</f>
        <v>#N/A</v>
      </c>
      <c r="M4606" t="str">
        <f t="shared" ca="1" si="357"/>
        <v>-</v>
      </c>
      <c r="N4606" s="18" t="str">
        <f t="shared" si="358"/>
        <v>K1622:L5000</v>
      </c>
      <c r="O4606" t="str">
        <f t="shared" si="359"/>
        <v>A1622:A4606</v>
      </c>
    </row>
    <row r="4607" spans="1:15">
      <c r="A4607" s="18">
        <f>Charms!K4607</f>
        <v>0</v>
      </c>
      <c r="B4607">
        <f>Charms!B4607</f>
        <v>0</v>
      </c>
      <c r="C4607" t="b">
        <f ca="1">OR(Values!$S$98&gt;=Charms!M4607,IFERROR(Charms!J4607=OFFSET(Values!$A$24,MATCH("S",Values!$T$25:$T$50,0),0),FALSE))</f>
        <v>1</v>
      </c>
      <c r="D4607" t="e">
        <f>VLOOKUP(Charms!J4607,Values!$A$11:$S$59,19,0)&gt;=Charms!L4607</f>
        <v>#N/A</v>
      </c>
      <c r="E4607" t="e">
        <f>OR(ISBLANK(Charms!I4607),(VLOOKUP(Values!$S$6,Castes!$B$2:$F$25,4,0)=Charms!I4607))</f>
        <v>#N/A</v>
      </c>
      <c r="J4607" t="e">
        <f t="shared" ca="1" si="356"/>
        <v>#N/A</v>
      </c>
      <c r="K4607" s="18" t="e">
        <f t="shared" ca="1" si="355"/>
        <v>#N/A</v>
      </c>
      <c r="L4607" t="e">
        <f ca="1">IF(J4607,Charms!B4607,"")</f>
        <v>#N/A</v>
      </c>
      <c r="M4607" t="str">
        <f t="shared" ca="1" si="357"/>
        <v>-</v>
      </c>
      <c r="N4607" s="18" t="str">
        <f t="shared" si="358"/>
        <v>K1622:L5000</v>
      </c>
      <c r="O4607" t="str">
        <f t="shared" si="359"/>
        <v>A1622:A4607</v>
      </c>
    </row>
    <row r="4608" spans="1:15">
      <c r="A4608" s="18">
        <f>Charms!K4608</f>
        <v>0</v>
      </c>
      <c r="B4608">
        <f>Charms!B4608</f>
        <v>0</v>
      </c>
      <c r="C4608" t="b">
        <f ca="1">OR(Values!$S$98&gt;=Charms!M4608,IFERROR(Charms!J4608=OFFSET(Values!$A$24,MATCH("S",Values!$T$25:$T$50,0),0),FALSE))</f>
        <v>1</v>
      </c>
      <c r="D4608" t="e">
        <f>VLOOKUP(Charms!J4608,Values!$A$11:$S$59,19,0)&gt;=Charms!L4608</f>
        <v>#N/A</v>
      </c>
      <c r="E4608" t="e">
        <f>OR(ISBLANK(Charms!I4608),(VLOOKUP(Values!$S$6,Castes!$B$2:$F$25,4,0)=Charms!I4608))</f>
        <v>#N/A</v>
      </c>
      <c r="J4608" t="e">
        <f t="shared" ca="1" si="356"/>
        <v>#N/A</v>
      </c>
      <c r="K4608" s="18" t="e">
        <f t="shared" ca="1" si="355"/>
        <v>#N/A</v>
      </c>
      <c r="L4608" t="e">
        <f ca="1">IF(J4608,Charms!B4608,"")</f>
        <v>#N/A</v>
      </c>
      <c r="M4608" t="str">
        <f t="shared" ca="1" si="357"/>
        <v>-</v>
      </c>
      <c r="N4608" s="18" t="str">
        <f t="shared" si="358"/>
        <v>K1622:L5000</v>
      </c>
      <c r="O4608" t="str">
        <f t="shared" si="359"/>
        <v>A1622:A4608</v>
      </c>
    </row>
    <row r="4609" spans="1:15">
      <c r="A4609" s="18">
        <f>Charms!K4609</f>
        <v>0</v>
      </c>
      <c r="B4609">
        <f>Charms!B4609</f>
        <v>0</v>
      </c>
      <c r="C4609" t="b">
        <f ca="1">OR(Values!$S$98&gt;=Charms!M4609,IFERROR(Charms!J4609=OFFSET(Values!$A$24,MATCH("S",Values!$T$25:$T$50,0),0),FALSE))</f>
        <v>1</v>
      </c>
      <c r="D4609" t="e">
        <f>VLOOKUP(Charms!J4609,Values!$A$11:$S$59,19,0)&gt;=Charms!L4609</f>
        <v>#N/A</v>
      </c>
      <c r="E4609" t="e">
        <f>OR(ISBLANK(Charms!I4609),(VLOOKUP(Values!$S$6,Castes!$B$2:$F$25,4,0)=Charms!I4609))</f>
        <v>#N/A</v>
      </c>
      <c r="J4609" t="e">
        <f t="shared" ca="1" si="356"/>
        <v>#N/A</v>
      </c>
      <c r="K4609" s="18" t="e">
        <f t="shared" ca="1" si="355"/>
        <v>#N/A</v>
      </c>
      <c r="L4609" t="e">
        <f ca="1">IF(J4609,Charms!B4609,"")</f>
        <v>#N/A</v>
      </c>
      <c r="M4609" t="str">
        <f t="shared" ca="1" si="357"/>
        <v>-</v>
      </c>
      <c r="N4609" s="18" t="str">
        <f t="shared" si="358"/>
        <v>K1622:L5000</v>
      </c>
      <c r="O4609" t="str">
        <f t="shared" si="359"/>
        <v>A1622:A4609</v>
      </c>
    </row>
    <row r="4610" spans="1:15">
      <c r="A4610" s="18">
        <f>Charms!K4610</f>
        <v>0</v>
      </c>
      <c r="B4610">
        <f>Charms!B4610</f>
        <v>0</v>
      </c>
      <c r="C4610" t="b">
        <f ca="1">OR(Values!$S$98&gt;=Charms!M4610,IFERROR(Charms!J4610=OFFSET(Values!$A$24,MATCH("S",Values!$T$25:$T$50,0),0),FALSE))</f>
        <v>1</v>
      </c>
      <c r="D4610" t="e">
        <f>VLOOKUP(Charms!J4610,Values!$A$11:$S$59,19,0)&gt;=Charms!L4610</f>
        <v>#N/A</v>
      </c>
      <c r="E4610" t="e">
        <f>OR(ISBLANK(Charms!I4610),(VLOOKUP(Values!$S$6,Castes!$B$2:$F$25,4,0)=Charms!I4610))</f>
        <v>#N/A</v>
      </c>
      <c r="J4610" t="e">
        <f t="shared" ca="1" si="356"/>
        <v>#N/A</v>
      </c>
      <c r="K4610" s="18" t="e">
        <f t="shared" ref="K4610:K4673" ca="1" si="360">IF(L4610="","",COUNTIF(INDIRECT("J"&amp;MATCH(A4610,A:A,0)&amp;":J"&amp;ROW()),J4610))</f>
        <v>#N/A</v>
      </c>
      <c r="L4610" t="e">
        <f ca="1">IF(J4610,Charms!B4610,"")</f>
        <v>#N/A</v>
      </c>
      <c r="M4610" t="str">
        <f t="shared" ca="1" si="357"/>
        <v>-</v>
      </c>
      <c r="N4610" s="18" t="str">
        <f t="shared" si="358"/>
        <v>K1622:L5000</v>
      </c>
      <c r="O4610" t="str">
        <f t="shared" si="359"/>
        <v>A1622:A4610</v>
      </c>
    </row>
    <row r="4611" spans="1:15">
      <c r="A4611" s="18">
        <f>Charms!K4611</f>
        <v>0</v>
      </c>
      <c r="B4611">
        <f>Charms!B4611</f>
        <v>0</v>
      </c>
      <c r="C4611" t="b">
        <f ca="1">OR(Values!$S$98&gt;=Charms!M4611,IFERROR(Charms!J4611=OFFSET(Values!$A$24,MATCH("S",Values!$T$25:$T$50,0),0),FALSE))</f>
        <v>1</v>
      </c>
      <c r="D4611" t="e">
        <f>VLOOKUP(Charms!J4611,Values!$A$11:$S$59,19,0)&gt;=Charms!L4611</f>
        <v>#N/A</v>
      </c>
      <c r="E4611" t="e">
        <f>OR(ISBLANK(Charms!I4611),(VLOOKUP(Values!$S$6,Castes!$B$2:$F$25,4,0)=Charms!I4611))</f>
        <v>#N/A</v>
      </c>
      <c r="J4611" t="e">
        <f t="shared" ref="J4611:J4674" ca="1" si="361">(C4611+D4611+E4611+F4611+G4611+H4611+I4611)=3</f>
        <v>#N/A</v>
      </c>
      <c r="K4611" s="18" t="e">
        <f t="shared" ca="1" si="360"/>
        <v>#N/A</v>
      </c>
      <c r="L4611" t="e">
        <f ca="1">IF(J4611,Charms!B4611,"")</f>
        <v>#N/A</v>
      </c>
      <c r="M4611" t="str">
        <f t="shared" ref="M4611:M4674" ca="1" si="362">IFERROR(VLOOKUP(COUNTIF(INDIRECT(O4611),A4611),INDIRECT(N4611),2,0),"-")</f>
        <v>-</v>
      </c>
      <c r="N4611" s="18" t="str">
        <f t="shared" ref="N4611:N4674" si="363">"K"&amp;MATCH(A4611,A:A,0)&amp;":L"&amp;(MATCH(A4611,A:A,0)+COUNTIF(A:A,A4611)-1)</f>
        <v>K1622:L5000</v>
      </c>
      <c r="O4611" t="str">
        <f t="shared" ref="O4611:O4674" si="364">"A"&amp;MATCH(A4611,A:A,0)&amp;":A"&amp;ROW()</f>
        <v>A1622:A4611</v>
      </c>
    </row>
    <row r="4612" spans="1:15">
      <c r="A4612" s="18">
        <f>Charms!K4612</f>
        <v>0</v>
      </c>
      <c r="B4612">
        <f>Charms!B4612</f>
        <v>0</v>
      </c>
      <c r="C4612" t="b">
        <f ca="1">OR(Values!$S$98&gt;=Charms!M4612,IFERROR(Charms!J4612=OFFSET(Values!$A$24,MATCH("S",Values!$T$25:$T$50,0),0),FALSE))</f>
        <v>1</v>
      </c>
      <c r="D4612" t="e">
        <f>VLOOKUP(Charms!J4612,Values!$A$11:$S$59,19,0)&gt;=Charms!L4612</f>
        <v>#N/A</v>
      </c>
      <c r="E4612" t="e">
        <f>OR(ISBLANK(Charms!I4612),(VLOOKUP(Values!$S$6,Castes!$B$2:$F$25,4,0)=Charms!I4612))</f>
        <v>#N/A</v>
      </c>
      <c r="J4612" t="e">
        <f t="shared" ca="1" si="361"/>
        <v>#N/A</v>
      </c>
      <c r="K4612" s="18" t="e">
        <f t="shared" ca="1" si="360"/>
        <v>#N/A</v>
      </c>
      <c r="L4612" t="e">
        <f ca="1">IF(J4612,Charms!B4612,"")</f>
        <v>#N/A</v>
      </c>
      <c r="M4612" t="str">
        <f t="shared" ca="1" si="362"/>
        <v>-</v>
      </c>
      <c r="N4612" s="18" t="str">
        <f t="shared" si="363"/>
        <v>K1622:L5000</v>
      </c>
      <c r="O4612" t="str">
        <f t="shared" si="364"/>
        <v>A1622:A4612</v>
      </c>
    </row>
    <row r="4613" spans="1:15">
      <c r="A4613" s="18">
        <f>Charms!K4613</f>
        <v>0</v>
      </c>
      <c r="B4613">
        <f>Charms!B4613</f>
        <v>0</v>
      </c>
      <c r="C4613" t="b">
        <f ca="1">OR(Values!$S$98&gt;=Charms!M4613,IFERROR(Charms!J4613=OFFSET(Values!$A$24,MATCH("S",Values!$T$25:$T$50,0),0),FALSE))</f>
        <v>1</v>
      </c>
      <c r="D4613" t="e">
        <f>VLOOKUP(Charms!J4613,Values!$A$11:$S$59,19,0)&gt;=Charms!L4613</f>
        <v>#N/A</v>
      </c>
      <c r="E4613" t="e">
        <f>OR(ISBLANK(Charms!I4613),(VLOOKUP(Values!$S$6,Castes!$B$2:$F$25,4,0)=Charms!I4613))</f>
        <v>#N/A</v>
      </c>
      <c r="J4613" t="e">
        <f t="shared" ca="1" si="361"/>
        <v>#N/A</v>
      </c>
      <c r="K4613" s="18" t="e">
        <f t="shared" ca="1" si="360"/>
        <v>#N/A</v>
      </c>
      <c r="L4613" t="e">
        <f ca="1">IF(J4613,Charms!B4613,"")</f>
        <v>#N/A</v>
      </c>
      <c r="M4613" t="str">
        <f t="shared" ca="1" si="362"/>
        <v>-</v>
      </c>
      <c r="N4613" s="18" t="str">
        <f t="shared" si="363"/>
        <v>K1622:L5000</v>
      </c>
      <c r="O4613" t="str">
        <f t="shared" si="364"/>
        <v>A1622:A4613</v>
      </c>
    </row>
    <row r="4614" spans="1:15">
      <c r="A4614" s="18">
        <f>Charms!K4614</f>
        <v>0</v>
      </c>
      <c r="B4614">
        <f>Charms!B4614</f>
        <v>0</v>
      </c>
      <c r="C4614" t="b">
        <f ca="1">OR(Values!$S$98&gt;=Charms!M4614,IFERROR(Charms!J4614=OFFSET(Values!$A$24,MATCH("S",Values!$T$25:$T$50,0),0),FALSE))</f>
        <v>1</v>
      </c>
      <c r="D4614" t="e">
        <f>VLOOKUP(Charms!J4614,Values!$A$11:$S$59,19,0)&gt;=Charms!L4614</f>
        <v>#N/A</v>
      </c>
      <c r="E4614" t="e">
        <f>OR(ISBLANK(Charms!I4614),(VLOOKUP(Values!$S$6,Castes!$B$2:$F$25,4,0)=Charms!I4614))</f>
        <v>#N/A</v>
      </c>
      <c r="J4614" t="e">
        <f t="shared" ca="1" si="361"/>
        <v>#N/A</v>
      </c>
      <c r="K4614" s="18" t="e">
        <f t="shared" ca="1" si="360"/>
        <v>#N/A</v>
      </c>
      <c r="L4614" t="e">
        <f ca="1">IF(J4614,Charms!B4614,"")</f>
        <v>#N/A</v>
      </c>
      <c r="M4614" t="str">
        <f t="shared" ca="1" si="362"/>
        <v>-</v>
      </c>
      <c r="N4614" s="18" t="str">
        <f t="shared" si="363"/>
        <v>K1622:L5000</v>
      </c>
      <c r="O4614" t="str">
        <f t="shared" si="364"/>
        <v>A1622:A4614</v>
      </c>
    </row>
    <row r="4615" spans="1:15">
      <c r="A4615" s="18">
        <f>Charms!K4615</f>
        <v>0</v>
      </c>
      <c r="B4615">
        <f>Charms!B4615</f>
        <v>0</v>
      </c>
      <c r="C4615" t="b">
        <f ca="1">OR(Values!$S$98&gt;=Charms!M4615,IFERROR(Charms!J4615=OFFSET(Values!$A$24,MATCH("S",Values!$T$25:$T$50,0),0),FALSE))</f>
        <v>1</v>
      </c>
      <c r="D4615" t="e">
        <f>VLOOKUP(Charms!J4615,Values!$A$11:$S$59,19,0)&gt;=Charms!L4615</f>
        <v>#N/A</v>
      </c>
      <c r="E4615" t="e">
        <f>OR(ISBLANK(Charms!I4615),(VLOOKUP(Values!$S$6,Castes!$B$2:$F$25,4,0)=Charms!I4615))</f>
        <v>#N/A</v>
      </c>
      <c r="J4615" t="e">
        <f t="shared" ca="1" si="361"/>
        <v>#N/A</v>
      </c>
      <c r="K4615" s="18" t="e">
        <f t="shared" ca="1" si="360"/>
        <v>#N/A</v>
      </c>
      <c r="L4615" t="e">
        <f ca="1">IF(J4615,Charms!B4615,"")</f>
        <v>#N/A</v>
      </c>
      <c r="M4615" t="str">
        <f t="shared" ca="1" si="362"/>
        <v>-</v>
      </c>
      <c r="N4615" s="18" t="str">
        <f t="shared" si="363"/>
        <v>K1622:L5000</v>
      </c>
      <c r="O4615" t="str">
        <f t="shared" si="364"/>
        <v>A1622:A4615</v>
      </c>
    </row>
    <row r="4616" spans="1:15">
      <c r="A4616" s="18">
        <f>Charms!K4616</f>
        <v>0</v>
      </c>
      <c r="B4616">
        <f>Charms!B4616</f>
        <v>0</v>
      </c>
      <c r="C4616" t="b">
        <f ca="1">OR(Values!$S$98&gt;=Charms!M4616,IFERROR(Charms!J4616=OFFSET(Values!$A$24,MATCH("S",Values!$T$25:$T$50,0),0),FALSE))</f>
        <v>1</v>
      </c>
      <c r="D4616" t="e">
        <f>VLOOKUP(Charms!J4616,Values!$A$11:$S$59,19,0)&gt;=Charms!L4616</f>
        <v>#N/A</v>
      </c>
      <c r="E4616" t="e">
        <f>OR(ISBLANK(Charms!I4616),(VLOOKUP(Values!$S$6,Castes!$B$2:$F$25,4,0)=Charms!I4616))</f>
        <v>#N/A</v>
      </c>
      <c r="J4616" t="e">
        <f t="shared" ca="1" si="361"/>
        <v>#N/A</v>
      </c>
      <c r="K4616" s="18" t="e">
        <f t="shared" ca="1" si="360"/>
        <v>#N/A</v>
      </c>
      <c r="L4616" t="e">
        <f ca="1">IF(J4616,Charms!B4616,"")</f>
        <v>#N/A</v>
      </c>
      <c r="M4616" t="str">
        <f t="shared" ca="1" si="362"/>
        <v>-</v>
      </c>
      <c r="N4616" s="18" t="str">
        <f t="shared" si="363"/>
        <v>K1622:L5000</v>
      </c>
      <c r="O4616" t="str">
        <f t="shared" si="364"/>
        <v>A1622:A4616</v>
      </c>
    </row>
    <row r="4617" spans="1:15">
      <c r="A4617" s="18">
        <f>Charms!K4617</f>
        <v>0</v>
      </c>
      <c r="B4617">
        <f>Charms!B4617</f>
        <v>0</v>
      </c>
      <c r="C4617" t="b">
        <f ca="1">OR(Values!$S$98&gt;=Charms!M4617,IFERROR(Charms!J4617=OFFSET(Values!$A$24,MATCH("S",Values!$T$25:$T$50,0),0),FALSE))</f>
        <v>1</v>
      </c>
      <c r="D4617" t="e">
        <f>VLOOKUP(Charms!J4617,Values!$A$11:$S$59,19,0)&gt;=Charms!L4617</f>
        <v>#N/A</v>
      </c>
      <c r="E4617" t="e">
        <f>OR(ISBLANK(Charms!I4617),(VLOOKUP(Values!$S$6,Castes!$B$2:$F$25,4,0)=Charms!I4617))</f>
        <v>#N/A</v>
      </c>
      <c r="J4617" t="e">
        <f t="shared" ca="1" si="361"/>
        <v>#N/A</v>
      </c>
      <c r="K4617" s="18" t="e">
        <f t="shared" ca="1" si="360"/>
        <v>#N/A</v>
      </c>
      <c r="L4617" t="e">
        <f ca="1">IF(J4617,Charms!B4617,"")</f>
        <v>#N/A</v>
      </c>
      <c r="M4617" t="str">
        <f t="shared" ca="1" si="362"/>
        <v>-</v>
      </c>
      <c r="N4617" s="18" t="str">
        <f t="shared" si="363"/>
        <v>K1622:L5000</v>
      </c>
      <c r="O4617" t="str">
        <f t="shared" si="364"/>
        <v>A1622:A4617</v>
      </c>
    </row>
    <row r="4618" spans="1:15">
      <c r="A4618" s="18">
        <f>Charms!K4618</f>
        <v>0</v>
      </c>
      <c r="B4618">
        <f>Charms!B4618</f>
        <v>0</v>
      </c>
      <c r="C4618" t="b">
        <f ca="1">OR(Values!$S$98&gt;=Charms!M4618,IFERROR(Charms!J4618=OFFSET(Values!$A$24,MATCH("S",Values!$T$25:$T$50,0),0),FALSE))</f>
        <v>1</v>
      </c>
      <c r="D4618" t="e">
        <f>VLOOKUP(Charms!J4618,Values!$A$11:$S$59,19,0)&gt;=Charms!L4618</f>
        <v>#N/A</v>
      </c>
      <c r="E4618" t="e">
        <f>OR(ISBLANK(Charms!I4618),(VLOOKUP(Values!$S$6,Castes!$B$2:$F$25,4,0)=Charms!I4618))</f>
        <v>#N/A</v>
      </c>
      <c r="J4618" t="e">
        <f t="shared" ca="1" si="361"/>
        <v>#N/A</v>
      </c>
      <c r="K4618" s="18" t="e">
        <f t="shared" ca="1" si="360"/>
        <v>#N/A</v>
      </c>
      <c r="L4618" t="e">
        <f ca="1">IF(J4618,Charms!B4618,"")</f>
        <v>#N/A</v>
      </c>
      <c r="M4618" t="str">
        <f t="shared" ca="1" si="362"/>
        <v>-</v>
      </c>
      <c r="N4618" s="18" t="str">
        <f t="shared" si="363"/>
        <v>K1622:L5000</v>
      </c>
      <c r="O4618" t="str">
        <f t="shared" si="364"/>
        <v>A1622:A4618</v>
      </c>
    </row>
    <row r="4619" spans="1:15">
      <c r="A4619" s="18">
        <f>Charms!K4619</f>
        <v>0</v>
      </c>
      <c r="B4619">
        <f>Charms!B4619</f>
        <v>0</v>
      </c>
      <c r="C4619" t="b">
        <f ca="1">OR(Values!$S$98&gt;=Charms!M4619,IFERROR(Charms!J4619=OFFSET(Values!$A$24,MATCH("S",Values!$T$25:$T$50,0),0),FALSE))</f>
        <v>1</v>
      </c>
      <c r="D4619" t="e">
        <f>VLOOKUP(Charms!J4619,Values!$A$11:$S$59,19,0)&gt;=Charms!L4619</f>
        <v>#N/A</v>
      </c>
      <c r="E4619" t="e">
        <f>OR(ISBLANK(Charms!I4619),(VLOOKUP(Values!$S$6,Castes!$B$2:$F$25,4,0)=Charms!I4619))</f>
        <v>#N/A</v>
      </c>
      <c r="J4619" t="e">
        <f t="shared" ca="1" si="361"/>
        <v>#N/A</v>
      </c>
      <c r="K4619" s="18" t="e">
        <f t="shared" ca="1" si="360"/>
        <v>#N/A</v>
      </c>
      <c r="L4619" t="e">
        <f ca="1">IF(J4619,Charms!B4619,"")</f>
        <v>#N/A</v>
      </c>
      <c r="M4619" t="str">
        <f t="shared" ca="1" si="362"/>
        <v>-</v>
      </c>
      <c r="N4619" s="18" t="str">
        <f t="shared" si="363"/>
        <v>K1622:L5000</v>
      </c>
      <c r="O4619" t="str">
        <f t="shared" si="364"/>
        <v>A1622:A4619</v>
      </c>
    </row>
    <row r="4620" spans="1:15">
      <c r="A4620" s="18">
        <f>Charms!K4620</f>
        <v>0</v>
      </c>
      <c r="B4620">
        <f>Charms!B4620</f>
        <v>0</v>
      </c>
      <c r="C4620" t="b">
        <f ca="1">OR(Values!$S$98&gt;=Charms!M4620,IFERROR(Charms!J4620=OFFSET(Values!$A$24,MATCH("S",Values!$T$25:$T$50,0),0),FALSE))</f>
        <v>1</v>
      </c>
      <c r="D4620" t="e">
        <f>VLOOKUP(Charms!J4620,Values!$A$11:$S$59,19,0)&gt;=Charms!L4620</f>
        <v>#N/A</v>
      </c>
      <c r="E4620" t="e">
        <f>OR(ISBLANK(Charms!I4620),(VLOOKUP(Values!$S$6,Castes!$B$2:$F$25,4,0)=Charms!I4620))</f>
        <v>#N/A</v>
      </c>
      <c r="J4620" t="e">
        <f t="shared" ca="1" si="361"/>
        <v>#N/A</v>
      </c>
      <c r="K4620" s="18" t="e">
        <f t="shared" ca="1" si="360"/>
        <v>#N/A</v>
      </c>
      <c r="L4620" t="e">
        <f ca="1">IF(J4620,Charms!B4620,"")</f>
        <v>#N/A</v>
      </c>
      <c r="M4620" t="str">
        <f t="shared" ca="1" si="362"/>
        <v>-</v>
      </c>
      <c r="N4620" s="18" t="str">
        <f t="shared" si="363"/>
        <v>K1622:L5000</v>
      </c>
      <c r="O4620" t="str">
        <f t="shared" si="364"/>
        <v>A1622:A4620</v>
      </c>
    </row>
    <row r="4621" spans="1:15">
      <c r="A4621" s="18">
        <f>Charms!K4621</f>
        <v>0</v>
      </c>
      <c r="B4621">
        <f>Charms!B4621</f>
        <v>0</v>
      </c>
      <c r="C4621" t="b">
        <f ca="1">OR(Values!$S$98&gt;=Charms!M4621,IFERROR(Charms!J4621=OFFSET(Values!$A$24,MATCH("S",Values!$T$25:$T$50,0),0),FALSE))</f>
        <v>1</v>
      </c>
      <c r="D4621" t="e">
        <f>VLOOKUP(Charms!J4621,Values!$A$11:$S$59,19,0)&gt;=Charms!L4621</f>
        <v>#N/A</v>
      </c>
      <c r="E4621" t="e">
        <f>OR(ISBLANK(Charms!I4621),(VLOOKUP(Values!$S$6,Castes!$B$2:$F$25,4,0)=Charms!I4621))</f>
        <v>#N/A</v>
      </c>
      <c r="J4621" t="e">
        <f t="shared" ca="1" si="361"/>
        <v>#N/A</v>
      </c>
      <c r="K4621" s="18" t="e">
        <f t="shared" ca="1" si="360"/>
        <v>#N/A</v>
      </c>
      <c r="L4621" t="e">
        <f ca="1">IF(J4621,Charms!B4621,"")</f>
        <v>#N/A</v>
      </c>
      <c r="M4621" t="str">
        <f t="shared" ca="1" si="362"/>
        <v>-</v>
      </c>
      <c r="N4621" s="18" t="str">
        <f t="shared" si="363"/>
        <v>K1622:L5000</v>
      </c>
      <c r="O4621" t="str">
        <f t="shared" si="364"/>
        <v>A1622:A4621</v>
      </c>
    </row>
    <row r="4622" spans="1:15">
      <c r="A4622" s="18">
        <f>Charms!K4622</f>
        <v>0</v>
      </c>
      <c r="B4622">
        <f>Charms!B4622</f>
        <v>0</v>
      </c>
      <c r="C4622" t="b">
        <f ca="1">OR(Values!$S$98&gt;=Charms!M4622,IFERROR(Charms!J4622=OFFSET(Values!$A$24,MATCH("S",Values!$T$25:$T$50,0),0),FALSE))</f>
        <v>1</v>
      </c>
      <c r="D4622" t="e">
        <f>VLOOKUP(Charms!J4622,Values!$A$11:$S$59,19,0)&gt;=Charms!L4622</f>
        <v>#N/A</v>
      </c>
      <c r="E4622" t="e">
        <f>OR(ISBLANK(Charms!I4622),(VLOOKUP(Values!$S$6,Castes!$B$2:$F$25,4,0)=Charms!I4622))</f>
        <v>#N/A</v>
      </c>
      <c r="J4622" t="e">
        <f t="shared" ca="1" si="361"/>
        <v>#N/A</v>
      </c>
      <c r="K4622" s="18" t="e">
        <f t="shared" ca="1" si="360"/>
        <v>#N/A</v>
      </c>
      <c r="L4622" t="e">
        <f ca="1">IF(J4622,Charms!B4622,"")</f>
        <v>#N/A</v>
      </c>
      <c r="M4622" t="str">
        <f t="shared" ca="1" si="362"/>
        <v>-</v>
      </c>
      <c r="N4622" s="18" t="str">
        <f t="shared" si="363"/>
        <v>K1622:L5000</v>
      </c>
      <c r="O4622" t="str">
        <f t="shared" si="364"/>
        <v>A1622:A4622</v>
      </c>
    </row>
    <row r="4623" spans="1:15">
      <c r="A4623" s="18">
        <f>Charms!K4623</f>
        <v>0</v>
      </c>
      <c r="B4623">
        <f>Charms!B4623</f>
        <v>0</v>
      </c>
      <c r="C4623" t="b">
        <f ca="1">OR(Values!$S$98&gt;=Charms!M4623,IFERROR(Charms!J4623=OFFSET(Values!$A$24,MATCH("S",Values!$T$25:$T$50,0),0),FALSE))</f>
        <v>1</v>
      </c>
      <c r="D4623" t="e">
        <f>VLOOKUP(Charms!J4623,Values!$A$11:$S$59,19,0)&gt;=Charms!L4623</f>
        <v>#N/A</v>
      </c>
      <c r="E4623" t="e">
        <f>OR(ISBLANK(Charms!I4623),(VLOOKUP(Values!$S$6,Castes!$B$2:$F$25,4,0)=Charms!I4623))</f>
        <v>#N/A</v>
      </c>
      <c r="J4623" t="e">
        <f t="shared" ca="1" si="361"/>
        <v>#N/A</v>
      </c>
      <c r="K4623" s="18" t="e">
        <f t="shared" ca="1" si="360"/>
        <v>#N/A</v>
      </c>
      <c r="L4623" t="e">
        <f ca="1">IF(J4623,Charms!B4623,"")</f>
        <v>#N/A</v>
      </c>
      <c r="M4623" t="str">
        <f t="shared" ca="1" si="362"/>
        <v>-</v>
      </c>
      <c r="N4623" s="18" t="str">
        <f t="shared" si="363"/>
        <v>K1622:L5000</v>
      </c>
      <c r="O4623" t="str">
        <f t="shared" si="364"/>
        <v>A1622:A4623</v>
      </c>
    </row>
    <row r="4624" spans="1:15">
      <c r="A4624" s="18">
        <f>Charms!K4624</f>
        <v>0</v>
      </c>
      <c r="B4624">
        <f>Charms!B4624</f>
        <v>0</v>
      </c>
      <c r="C4624" t="b">
        <f ca="1">OR(Values!$S$98&gt;=Charms!M4624,IFERROR(Charms!J4624=OFFSET(Values!$A$24,MATCH("S",Values!$T$25:$T$50,0),0),FALSE))</f>
        <v>1</v>
      </c>
      <c r="D4624" t="e">
        <f>VLOOKUP(Charms!J4624,Values!$A$11:$S$59,19,0)&gt;=Charms!L4624</f>
        <v>#N/A</v>
      </c>
      <c r="E4624" t="e">
        <f>OR(ISBLANK(Charms!I4624),(VLOOKUP(Values!$S$6,Castes!$B$2:$F$25,4,0)=Charms!I4624))</f>
        <v>#N/A</v>
      </c>
      <c r="J4624" t="e">
        <f t="shared" ca="1" si="361"/>
        <v>#N/A</v>
      </c>
      <c r="K4624" s="18" t="e">
        <f t="shared" ca="1" si="360"/>
        <v>#N/A</v>
      </c>
      <c r="L4624" t="e">
        <f ca="1">IF(J4624,Charms!B4624,"")</f>
        <v>#N/A</v>
      </c>
      <c r="M4624" t="str">
        <f t="shared" ca="1" si="362"/>
        <v>-</v>
      </c>
      <c r="N4624" s="18" t="str">
        <f t="shared" si="363"/>
        <v>K1622:L5000</v>
      </c>
      <c r="O4624" t="str">
        <f t="shared" si="364"/>
        <v>A1622:A4624</v>
      </c>
    </row>
    <row r="4625" spans="1:15">
      <c r="A4625" s="18">
        <f>Charms!K4625</f>
        <v>0</v>
      </c>
      <c r="B4625">
        <f>Charms!B4625</f>
        <v>0</v>
      </c>
      <c r="C4625" t="b">
        <f ca="1">OR(Values!$S$98&gt;=Charms!M4625,IFERROR(Charms!J4625=OFFSET(Values!$A$24,MATCH("S",Values!$T$25:$T$50,0),0),FALSE))</f>
        <v>1</v>
      </c>
      <c r="D4625" t="e">
        <f>VLOOKUP(Charms!J4625,Values!$A$11:$S$59,19,0)&gt;=Charms!L4625</f>
        <v>#N/A</v>
      </c>
      <c r="E4625" t="e">
        <f>OR(ISBLANK(Charms!I4625),(VLOOKUP(Values!$S$6,Castes!$B$2:$F$25,4,0)=Charms!I4625))</f>
        <v>#N/A</v>
      </c>
      <c r="J4625" t="e">
        <f t="shared" ca="1" si="361"/>
        <v>#N/A</v>
      </c>
      <c r="K4625" s="18" t="e">
        <f t="shared" ca="1" si="360"/>
        <v>#N/A</v>
      </c>
      <c r="L4625" t="e">
        <f ca="1">IF(J4625,Charms!B4625,"")</f>
        <v>#N/A</v>
      </c>
      <c r="M4625" t="str">
        <f t="shared" ca="1" si="362"/>
        <v>-</v>
      </c>
      <c r="N4625" s="18" t="str">
        <f t="shared" si="363"/>
        <v>K1622:L5000</v>
      </c>
      <c r="O4625" t="str">
        <f t="shared" si="364"/>
        <v>A1622:A4625</v>
      </c>
    </row>
    <row r="4626" spans="1:15">
      <c r="A4626" s="18">
        <f>Charms!K4626</f>
        <v>0</v>
      </c>
      <c r="B4626">
        <f>Charms!B4626</f>
        <v>0</v>
      </c>
      <c r="C4626" t="b">
        <f ca="1">OR(Values!$S$98&gt;=Charms!M4626,IFERROR(Charms!J4626=OFFSET(Values!$A$24,MATCH("S",Values!$T$25:$T$50,0),0),FALSE))</f>
        <v>1</v>
      </c>
      <c r="D4626" t="e">
        <f>VLOOKUP(Charms!J4626,Values!$A$11:$S$59,19,0)&gt;=Charms!L4626</f>
        <v>#N/A</v>
      </c>
      <c r="E4626" t="e">
        <f>OR(ISBLANK(Charms!I4626),(VLOOKUP(Values!$S$6,Castes!$B$2:$F$25,4,0)=Charms!I4626))</f>
        <v>#N/A</v>
      </c>
      <c r="J4626" t="e">
        <f t="shared" ca="1" si="361"/>
        <v>#N/A</v>
      </c>
      <c r="K4626" s="18" t="e">
        <f t="shared" ca="1" si="360"/>
        <v>#N/A</v>
      </c>
      <c r="L4626" t="e">
        <f ca="1">IF(J4626,Charms!B4626,"")</f>
        <v>#N/A</v>
      </c>
      <c r="M4626" t="str">
        <f t="shared" ca="1" si="362"/>
        <v>-</v>
      </c>
      <c r="N4626" s="18" t="str">
        <f t="shared" si="363"/>
        <v>K1622:L5000</v>
      </c>
      <c r="O4626" t="str">
        <f t="shared" si="364"/>
        <v>A1622:A4626</v>
      </c>
    </row>
    <row r="4627" spans="1:15">
      <c r="A4627" s="18">
        <f>Charms!K4627</f>
        <v>0</v>
      </c>
      <c r="B4627">
        <f>Charms!B4627</f>
        <v>0</v>
      </c>
      <c r="C4627" t="b">
        <f ca="1">OR(Values!$S$98&gt;=Charms!M4627,IFERROR(Charms!J4627=OFFSET(Values!$A$24,MATCH("S",Values!$T$25:$T$50,0),0),FALSE))</f>
        <v>1</v>
      </c>
      <c r="D4627" t="e">
        <f>VLOOKUP(Charms!J4627,Values!$A$11:$S$59,19,0)&gt;=Charms!L4627</f>
        <v>#N/A</v>
      </c>
      <c r="E4627" t="e">
        <f>OR(ISBLANK(Charms!I4627),(VLOOKUP(Values!$S$6,Castes!$B$2:$F$25,4,0)=Charms!I4627))</f>
        <v>#N/A</v>
      </c>
      <c r="J4627" t="e">
        <f t="shared" ca="1" si="361"/>
        <v>#N/A</v>
      </c>
      <c r="K4627" s="18" t="e">
        <f t="shared" ca="1" si="360"/>
        <v>#N/A</v>
      </c>
      <c r="L4627" t="e">
        <f ca="1">IF(J4627,Charms!B4627,"")</f>
        <v>#N/A</v>
      </c>
      <c r="M4627" t="str">
        <f t="shared" ca="1" si="362"/>
        <v>-</v>
      </c>
      <c r="N4627" s="18" t="str">
        <f t="shared" si="363"/>
        <v>K1622:L5000</v>
      </c>
      <c r="O4627" t="str">
        <f t="shared" si="364"/>
        <v>A1622:A4627</v>
      </c>
    </row>
    <row r="4628" spans="1:15">
      <c r="A4628" s="18">
        <f>Charms!K4628</f>
        <v>0</v>
      </c>
      <c r="B4628">
        <f>Charms!B4628</f>
        <v>0</v>
      </c>
      <c r="C4628" t="b">
        <f ca="1">OR(Values!$S$98&gt;=Charms!M4628,IFERROR(Charms!J4628=OFFSET(Values!$A$24,MATCH("S",Values!$T$25:$T$50,0),0),FALSE))</f>
        <v>1</v>
      </c>
      <c r="D4628" t="e">
        <f>VLOOKUP(Charms!J4628,Values!$A$11:$S$59,19,0)&gt;=Charms!L4628</f>
        <v>#N/A</v>
      </c>
      <c r="E4628" t="e">
        <f>OR(ISBLANK(Charms!I4628),(VLOOKUP(Values!$S$6,Castes!$B$2:$F$25,4,0)=Charms!I4628))</f>
        <v>#N/A</v>
      </c>
      <c r="J4628" t="e">
        <f t="shared" ca="1" si="361"/>
        <v>#N/A</v>
      </c>
      <c r="K4628" s="18" t="e">
        <f t="shared" ca="1" si="360"/>
        <v>#N/A</v>
      </c>
      <c r="L4628" t="e">
        <f ca="1">IF(J4628,Charms!B4628,"")</f>
        <v>#N/A</v>
      </c>
      <c r="M4628" t="str">
        <f t="shared" ca="1" si="362"/>
        <v>-</v>
      </c>
      <c r="N4628" s="18" t="str">
        <f t="shared" si="363"/>
        <v>K1622:L5000</v>
      </c>
      <c r="O4628" t="str">
        <f t="shared" si="364"/>
        <v>A1622:A4628</v>
      </c>
    </row>
    <row r="4629" spans="1:15">
      <c r="A4629" s="18">
        <f>Charms!K4629</f>
        <v>0</v>
      </c>
      <c r="B4629">
        <f>Charms!B4629</f>
        <v>0</v>
      </c>
      <c r="C4629" t="b">
        <f ca="1">OR(Values!$S$98&gt;=Charms!M4629,IFERROR(Charms!J4629=OFFSET(Values!$A$24,MATCH("S",Values!$T$25:$T$50,0),0),FALSE))</f>
        <v>1</v>
      </c>
      <c r="D4629" t="e">
        <f>VLOOKUP(Charms!J4629,Values!$A$11:$S$59,19,0)&gt;=Charms!L4629</f>
        <v>#N/A</v>
      </c>
      <c r="E4629" t="e">
        <f>OR(ISBLANK(Charms!I4629),(VLOOKUP(Values!$S$6,Castes!$B$2:$F$25,4,0)=Charms!I4629))</f>
        <v>#N/A</v>
      </c>
      <c r="J4629" t="e">
        <f t="shared" ca="1" si="361"/>
        <v>#N/A</v>
      </c>
      <c r="K4629" s="18" t="e">
        <f t="shared" ca="1" si="360"/>
        <v>#N/A</v>
      </c>
      <c r="L4629" t="e">
        <f ca="1">IF(J4629,Charms!B4629,"")</f>
        <v>#N/A</v>
      </c>
      <c r="M4629" t="str">
        <f t="shared" ca="1" si="362"/>
        <v>-</v>
      </c>
      <c r="N4629" s="18" t="str">
        <f t="shared" si="363"/>
        <v>K1622:L5000</v>
      </c>
      <c r="O4629" t="str">
        <f t="shared" si="364"/>
        <v>A1622:A4629</v>
      </c>
    </row>
    <row r="4630" spans="1:15">
      <c r="A4630" s="18">
        <f>Charms!K4630</f>
        <v>0</v>
      </c>
      <c r="B4630">
        <f>Charms!B4630</f>
        <v>0</v>
      </c>
      <c r="C4630" t="b">
        <f ca="1">OR(Values!$S$98&gt;=Charms!M4630,IFERROR(Charms!J4630=OFFSET(Values!$A$24,MATCH("S",Values!$T$25:$T$50,0),0),FALSE))</f>
        <v>1</v>
      </c>
      <c r="D4630" t="e">
        <f>VLOOKUP(Charms!J4630,Values!$A$11:$S$59,19,0)&gt;=Charms!L4630</f>
        <v>#N/A</v>
      </c>
      <c r="E4630" t="e">
        <f>OR(ISBLANK(Charms!I4630),(VLOOKUP(Values!$S$6,Castes!$B$2:$F$25,4,0)=Charms!I4630))</f>
        <v>#N/A</v>
      </c>
      <c r="J4630" t="e">
        <f t="shared" ca="1" si="361"/>
        <v>#N/A</v>
      </c>
      <c r="K4630" s="18" t="e">
        <f t="shared" ca="1" si="360"/>
        <v>#N/A</v>
      </c>
      <c r="L4630" t="e">
        <f ca="1">IF(J4630,Charms!B4630,"")</f>
        <v>#N/A</v>
      </c>
      <c r="M4630" t="str">
        <f t="shared" ca="1" si="362"/>
        <v>-</v>
      </c>
      <c r="N4630" s="18" t="str">
        <f t="shared" si="363"/>
        <v>K1622:L5000</v>
      </c>
      <c r="O4630" t="str">
        <f t="shared" si="364"/>
        <v>A1622:A4630</v>
      </c>
    </row>
    <row r="4631" spans="1:15">
      <c r="A4631" s="18">
        <f>Charms!K4631</f>
        <v>0</v>
      </c>
      <c r="B4631">
        <f>Charms!B4631</f>
        <v>0</v>
      </c>
      <c r="C4631" t="b">
        <f ca="1">OR(Values!$S$98&gt;=Charms!M4631,IFERROR(Charms!J4631=OFFSET(Values!$A$24,MATCH("S",Values!$T$25:$T$50,0),0),FALSE))</f>
        <v>1</v>
      </c>
      <c r="D4631" t="e">
        <f>VLOOKUP(Charms!J4631,Values!$A$11:$S$59,19,0)&gt;=Charms!L4631</f>
        <v>#N/A</v>
      </c>
      <c r="E4631" t="e">
        <f>OR(ISBLANK(Charms!I4631),(VLOOKUP(Values!$S$6,Castes!$B$2:$F$25,4,0)=Charms!I4631))</f>
        <v>#N/A</v>
      </c>
      <c r="J4631" t="e">
        <f t="shared" ca="1" si="361"/>
        <v>#N/A</v>
      </c>
      <c r="K4631" s="18" t="e">
        <f t="shared" ca="1" si="360"/>
        <v>#N/A</v>
      </c>
      <c r="L4631" t="e">
        <f ca="1">IF(J4631,Charms!B4631,"")</f>
        <v>#N/A</v>
      </c>
      <c r="M4631" t="str">
        <f t="shared" ca="1" si="362"/>
        <v>-</v>
      </c>
      <c r="N4631" s="18" t="str">
        <f t="shared" si="363"/>
        <v>K1622:L5000</v>
      </c>
      <c r="O4631" t="str">
        <f t="shared" si="364"/>
        <v>A1622:A4631</v>
      </c>
    </row>
    <row r="4632" spans="1:15">
      <c r="A4632" s="18">
        <f>Charms!K4632</f>
        <v>0</v>
      </c>
      <c r="B4632">
        <f>Charms!B4632</f>
        <v>0</v>
      </c>
      <c r="C4632" t="b">
        <f ca="1">OR(Values!$S$98&gt;=Charms!M4632,IFERROR(Charms!J4632=OFFSET(Values!$A$24,MATCH("S",Values!$T$25:$T$50,0),0),FALSE))</f>
        <v>1</v>
      </c>
      <c r="D4632" t="e">
        <f>VLOOKUP(Charms!J4632,Values!$A$11:$S$59,19,0)&gt;=Charms!L4632</f>
        <v>#N/A</v>
      </c>
      <c r="E4632" t="e">
        <f>OR(ISBLANK(Charms!I4632),(VLOOKUP(Values!$S$6,Castes!$B$2:$F$25,4,0)=Charms!I4632))</f>
        <v>#N/A</v>
      </c>
      <c r="J4632" t="e">
        <f t="shared" ca="1" si="361"/>
        <v>#N/A</v>
      </c>
      <c r="K4632" s="18" t="e">
        <f t="shared" ca="1" si="360"/>
        <v>#N/A</v>
      </c>
      <c r="L4632" t="e">
        <f ca="1">IF(J4632,Charms!B4632,"")</f>
        <v>#N/A</v>
      </c>
      <c r="M4632" t="str">
        <f t="shared" ca="1" si="362"/>
        <v>-</v>
      </c>
      <c r="N4632" s="18" t="str">
        <f t="shared" si="363"/>
        <v>K1622:L5000</v>
      </c>
      <c r="O4632" t="str">
        <f t="shared" si="364"/>
        <v>A1622:A4632</v>
      </c>
    </row>
    <row r="4633" spans="1:15">
      <c r="A4633" s="18">
        <f>Charms!K4633</f>
        <v>0</v>
      </c>
      <c r="B4633">
        <f>Charms!B4633</f>
        <v>0</v>
      </c>
      <c r="C4633" t="b">
        <f ca="1">OR(Values!$S$98&gt;=Charms!M4633,IFERROR(Charms!J4633=OFFSET(Values!$A$24,MATCH("S",Values!$T$25:$T$50,0),0),FALSE))</f>
        <v>1</v>
      </c>
      <c r="D4633" t="e">
        <f>VLOOKUP(Charms!J4633,Values!$A$11:$S$59,19,0)&gt;=Charms!L4633</f>
        <v>#N/A</v>
      </c>
      <c r="E4633" t="e">
        <f>OR(ISBLANK(Charms!I4633),(VLOOKUP(Values!$S$6,Castes!$B$2:$F$25,4,0)=Charms!I4633))</f>
        <v>#N/A</v>
      </c>
      <c r="J4633" t="e">
        <f t="shared" ca="1" si="361"/>
        <v>#N/A</v>
      </c>
      <c r="K4633" s="18" t="e">
        <f t="shared" ca="1" si="360"/>
        <v>#N/A</v>
      </c>
      <c r="L4633" t="e">
        <f ca="1">IF(J4633,Charms!B4633,"")</f>
        <v>#N/A</v>
      </c>
      <c r="M4633" t="str">
        <f t="shared" ca="1" si="362"/>
        <v>-</v>
      </c>
      <c r="N4633" s="18" t="str">
        <f t="shared" si="363"/>
        <v>K1622:L5000</v>
      </c>
      <c r="O4633" t="str">
        <f t="shared" si="364"/>
        <v>A1622:A4633</v>
      </c>
    </row>
    <row r="4634" spans="1:15">
      <c r="A4634" s="18">
        <f>Charms!K4634</f>
        <v>0</v>
      </c>
      <c r="B4634">
        <f>Charms!B4634</f>
        <v>0</v>
      </c>
      <c r="C4634" t="b">
        <f ca="1">OR(Values!$S$98&gt;=Charms!M4634,IFERROR(Charms!J4634=OFFSET(Values!$A$24,MATCH("S",Values!$T$25:$T$50,0),0),FALSE))</f>
        <v>1</v>
      </c>
      <c r="D4634" t="e">
        <f>VLOOKUP(Charms!J4634,Values!$A$11:$S$59,19,0)&gt;=Charms!L4634</f>
        <v>#N/A</v>
      </c>
      <c r="E4634" t="e">
        <f>OR(ISBLANK(Charms!I4634),(VLOOKUP(Values!$S$6,Castes!$B$2:$F$25,4,0)=Charms!I4634))</f>
        <v>#N/A</v>
      </c>
      <c r="J4634" t="e">
        <f t="shared" ca="1" si="361"/>
        <v>#N/A</v>
      </c>
      <c r="K4634" s="18" t="e">
        <f t="shared" ca="1" si="360"/>
        <v>#N/A</v>
      </c>
      <c r="L4634" t="e">
        <f ca="1">IF(J4634,Charms!B4634,"")</f>
        <v>#N/A</v>
      </c>
      <c r="M4634" t="str">
        <f t="shared" ca="1" si="362"/>
        <v>-</v>
      </c>
      <c r="N4634" s="18" t="str">
        <f t="shared" si="363"/>
        <v>K1622:L5000</v>
      </c>
      <c r="O4634" t="str">
        <f t="shared" si="364"/>
        <v>A1622:A4634</v>
      </c>
    </row>
    <row r="4635" spans="1:15">
      <c r="A4635" s="18">
        <f>Charms!K4635</f>
        <v>0</v>
      </c>
      <c r="B4635">
        <f>Charms!B4635</f>
        <v>0</v>
      </c>
      <c r="C4635" t="b">
        <f ca="1">OR(Values!$S$98&gt;=Charms!M4635,IFERROR(Charms!J4635=OFFSET(Values!$A$24,MATCH("S",Values!$T$25:$T$50,0),0),FALSE))</f>
        <v>1</v>
      </c>
      <c r="D4635" t="e">
        <f>VLOOKUP(Charms!J4635,Values!$A$11:$S$59,19,0)&gt;=Charms!L4635</f>
        <v>#N/A</v>
      </c>
      <c r="E4635" t="e">
        <f>OR(ISBLANK(Charms!I4635),(VLOOKUP(Values!$S$6,Castes!$B$2:$F$25,4,0)=Charms!I4635))</f>
        <v>#N/A</v>
      </c>
      <c r="J4635" t="e">
        <f t="shared" ca="1" si="361"/>
        <v>#N/A</v>
      </c>
      <c r="K4635" s="18" t="e">
        <f t="shared" ca="1" si="360"/>
        <v>#N/A</v>
      </c>
      <c r="L4635" t="e">
        <f ca="1">IF(J4635,Charms!B4635,"")</f>
        <v>#N/A</v>
      </c>
      <c r="M4635" t="str">
        <f t="shared" ca="1" si="362"/>
        <v>-</v>
      </c>
      <c r="N4635" s="18" t="str">
        <f t="shared" si="363"/>
        <v>K1622:L5000</v>
      </c>
      <c r="O4635" t="str">
        <f t="shared" si="364"/>
        <v>A1622:A4635</v>
      </c>
    </row>
    <row r="4636" spans="1:15">
      <c r="A4636" s="18">
        <f>Charms!K4636</f>
        <v>0</v>
      </c>
      <c r="B4636">
        <f>Charms!B4636</f>
        <v>0</v>
      </c>
      <c r="C4636" t="b">
        <f ca="1">OR(Values!$S$98&gt;=Charms!M4636,IFERROR(Charms!J4636=OFFSET(Values!$A$24,MATCH("S",Values!$T$25:$T$50,0),0),FALSE))</f>
        <v>1</v>
      </c>
      <c r="D4636" t="e">
        <f>VLOOKUP(Charms!J4636,Values!$A$11:$S$59,19,0)&gt;=Charms!L4636</f>
        <v>#N/A</v>
      </c>
      <c r="E4636" t="e">
        <f>OR(ISBLANK(Charms!I4636),(VLOOKUP(Values!$S$6,Castes!$B$2:$F$25,4,0)=Charms!I4636))</f>
        <v>#N/A</v>
      </c>
      <c r="J4636" t="e">
        <f t="shared" ca="1" si="361"/>
        <v>#N/A</v>
      </c>
      <c r="K4636" s="18" t="e">
        <f t="shared" ca="1" si="360"/>
        <v>#N/A</v>
      </c>
      <c r="L4636" t="e">
        <f ca="1">IF(J4636,Charms!B4636,"")</f>
        <v>#N/A</v>
      </c>
      <c r="M4636" t="str">
        <f t="shared" ca="1" si="362"/>
        <v>-</v>
      </c>
      <c r="N4636" s="18" t="str">
        <f t="shared" si="363"/>
        <v>K1622:L5000</v>
      </c>
      <c r="O4636" t="str">
        <f t="shared" si="364"/>
        <v>A1622:A4636</v>
      </c>
    </row>
    <row r="4637" spans="1:15">
      <c r="A4637" s="18">
        <f>Charms!K4637</f>
        <v>0</v>
      </c>
      <c r="B4637">
        <f>Charms!B4637</f>
        <v>0</v>
      </c>
      <c r="C4637" t="b">
        <f ca="1">OR(Values!$S$98&gt;=Charms!M4637,IFERROR(Charms!J4637=OFFSET(Values!$A$24,MATCH("S",Values!$T$25:$T$50,0),0),FALSE))</f>
        <v>1</v>
      </c>
      <c r="D4637" t="e">
        <f>VLOOKUP(Charms!J4637,Values!$A$11:$S$59,19,0)&gt;=Charms!L4637</f>
        <v>#N/A</v>
      </c>
      <c r="E4637" t="e">
        <f>OR(ISBLANK(Charms!I4637),(VLOOKUP(Values!$S$6,Castes!$B$2:$F$25,4,0)=Charms!I4637))</f>
        <v>#N/A</v>
      </c>
      <c r="J4637" t="e">
        <f t="shared" ca="1" si="361"/>
        <v>#N/A</v>
      </c>
      <c r="K4637" s="18" t="e">
        <f t="shared" ca="1" si="360"/>
        <v>#N/A</v>
      </c>
      <c r="L4637" t="e">
        <f ca="1">IF(J4637,Charms!B4637,"")</f>
        <v>#N/A</v>
      </c>
      <c r="M4637" t="str">
        <f t="shared" ca="1" si="362"/>
        <v>-</v>
      </c>
      <c r="N4637" s="18" t="str">
        <f t="shared" si="363"/>
        <v>K1622:L5000</v>
      </c>
      <c r="O4637" t="str">
        <f t="shared" si="364"/>
        <v>A1622:A4637</v>
      </c>
    </row>
    <row r="4638" spans="1:15">
      <c r="A4638" s="18">
        <f>Charms!K4638</f>
        <v>0</v>
      </c>
      <c r="B4638">
        <f>Charms!B4638</f>
        <v>0</v>
      </c>
      <c r="C4638" t="b">
        <f ca="1">OR(Values!$S$98&gt;=Charms!M4638,IFERROR(Charms!J4638=OFFSET(Values!$A$24,MATCH("S",Values!$T$25:$T$50,0),0),FALSE))</f>
        <v>1</v>
      </c>
      <c r="D4638" t="e">
        <f>VLOOKUP(Charms!J4638,Values!$A$11:$S$59,19,0)&gt;=Charms!L4638</f>
        <v>#N/A</v>
      </c>
      <c r="E4638" t="e">
        <f>OR(ISBLANK(Charms!I4638),(VLOOKUP(Values!$S$6,Castes!$B$2:$F$25,4,0)=Charms!I4638))</f>
        <v>#N/A</v>
      </c>
      <c r="J4638" t="e">
        <f t="shared" ca="1" si="361"/>
        <v>#N/A</v>
      </c>
      <c r="K4638" s="18" t="e">
        <f t="shared" ca="1" si="360"/>
        <v>#N/A</v>
      </c>
      <c r="L4638" t="e">
        <f ca="1">IF(J4638,Charms!B4638,"")</f>
        <v>#N/A</v>
      </c>
      <c r="M4638" t="str">
        <f t="shared" ca="1" si="362"/>
        <v>-</v>
      </c>
      <c r="N4638" s="18" t="str">
        <f t="shared" si="363"/>
        <v>K1622:L5000</v>
      </c>
      <c r="O4638" t="str">
        <f t="shared" si="364"/>
        <v>A1622:A4638</v>
      </c>
    </row>
    <row r="4639" spans="1:15">
      <c r="A4639" s="18">
        <f>Charms!K4639</f>
        <v>0</v>
      </c>
      <c r="B4639">
        <f>Charms!B4639</f>
        <v>0</v>
      </c>
      <c r="C4639" t="b">
        <f ca="1">OR(Values!$S$98&gt;=Charms!M4639,IFERROR(Charms!J4639=OFFSET(Values!$A$24,MATCH("S",Values!$T$25:$T$50,0),0),FALSE))</f>
        <v>1</v>
      </c>
      <c r="D4639" t="e">
        <f>VLOOKUP(Charms!J4639,Values!$A$11:$S$59,19,0)&gt;=Charms!L4639</f>
        <v>#N/A</v>
      </c>
      <c r="E4639" t="e">
        <f>OR(ISBLANK(Charms!I4639),(VLOOKUP(Values!$S$6,Castes!$B$2:$F$25,4,0)=Charms!I4639))</f>
        <v>#N/A</v>
      </c>
      <c r="J4639" t="e">
        <f t="shared" ca="1" si="361"/>
        <v>#N/A</v>
      </c>
      <c r="K4639" s="18" t="e">
        <f t="shared" ca="1" si="360"/>
        <v>#N/A</v>
      </c>
      <c r="L4639" t="e">
        <f ca="1">IF(J4639,Charms!B4639,"")</f>
        <v>#N/A</v>
      </c>
      <c r="M4639" t="str">
        <f t="shared" ca="1" si="362"/>
        <v>-</v>
      </c>
      <c r="N4639" s="18" t="str">
        <f t="shared" si="363"/>
        <v>K1622:L5000</v>
      </c>
      <c r="O4639" t="str">
        <f t="shared" si="364"/>
        <v>A1622:A4639</v>
      </c>
    </row>
    <row r="4640" spans="1:15">
      <c r="A4640" s="18">
        <f>Charms!K4640</f>
        <v>0</v>
      </c>
      <c r="B4640">
        <f>Charms!B4640</f>
        <v>0</v>
      </c>
      <c r="C4640" t="b">
        <f ca="1">OR(Values!$S$98&gt;=Charms!M4640,IFERROR(Charms!J4640=OFFSET(Values!$A$24,MATCH("S",Values!$T$25:$T$50,0),0),FALSE))</f>
        <v>1</v>
      </c>
      <c r="D4640" t="e">
        <f>VLOOKUP(Charms!J4640,Values!$A$11:$S$59,19,0)&gt;=Charms!L4640</f>
        <v>#N/A</v>
      </c>
      <c r="E4640" t="e">
        <f>OR(ISBLANK(Charms!I4640),(VLOOKUP(Values!$S$6,Castes!$B$2:$F$25,4,0)=Charms!I4640))</f>
        <v>#N/A</v>
      </c>
      <c r="J4640" t="e">
        <f t="shared" ca="1" si="361"/>
        <v>#N/A</v>
      </c>
      <c r="K4640" s="18" t="e">
        <f t="shared" ca="1" si="360"/>
        <v>#N/A</v>
      </c>
      <c r="L4640" t="e">
        <f ca="1">IF(J4640,Charms!B4640,"")</f>
        <v>#N/A</v>
      </c>
      <c r="M4640" t="str">
        <f t="shared" ca="1" si="362"/>
        <v>-</v>
      </c>
      <c r="N4640" s="18" t="str">
        <f t="shared" si="363"/>
        <v>K1622:L5000</v>
      </c>
      <c r="O4640" t="str">
        <f t="shared" si="364"/>
        <v>A1622:A4640</v>
      </c>
    </row>
    <row r="4641" spans="1:15">
      <c r="A4641" s="18">
        <f>Charms!K4641</f>
        <v>0</v>
      </c>
      <c r="B4641">
        <f>Charms!B4641</f>
        <v>0</v>
      </c>
      <c r="C4641" t="b">
        <f ca="1">OR(Values!$S$98&gt;=Charms!M4641,IFERROR(Charms!J4641=OFFSET(Values!$A$24,MATCH("S",Values!$T$25:$T$50,0),0),FALSE))</f>
        <v>1</v>
      </c>
      <c r="D4641" t="e">
        <f>VLOOKUP(Charms!J4641,Values!$A$11:$S$59,19,0)&gt;=Charms!L4641</f>
        <v>#N/A</v>
      </c>
      <c r="E4641" t="e">
        <f>OR(ISBLANK(Charms!I4641),(VLOOKUP(Values!$S$6,Castes!$B$2:$F$25,4,0)=Charms!I4641))</f>
        <v>#N/A</v>
      </c>
      <c r="J4641" t="e">
        <f t="shared" ca="1" si="361"/>
        <v>#N/A</v>
      </c>
      <c r="K4641" s="18" t="e">
        <f t="shared" ca="1" si="360"/>
        <v>#N/A</v>
      </c>
      <c r="L4641" t="e">
        <f ca="1">IF(J4641,Charms!B4641,"")</f>
        <v>#N/A</v>
      </c>
      <c r="M4641" t="str">
        <f t="shared" ca="1" si="362"/>
        <v>-</v>
      </c>
      <c r="N4641" s="18" t="str">
        <f t="shared" si="363"/>
        <v>K1622:L5000</v>
      </c>
      <c r="O4641" t="str">
        <f t="shared" si="364"/>
        <v>A1622:A4641</v>
      </c>
    </row>
    <row r="4642" spans="1:15">
      <c r="A4642" s="18">
        <f>Charms!K4642</f>
        <v>0</v>
      </c>
      <c r="B4642">
        <f>Charms!B4642</f>
        <v>0</v>
      </c>
      <c r="C4642" t="b">
        <f ca="1">OR(Values!$S$98&gt;=Charms!M4642,IFERROR(Charms!J4642=OFFSET(Values!$A$24,MATCH("S",Values!$T$25:$T$50,0),0),FALSE))</f>
        <v>1</v>
      </c>
      <c r="D4642" t="e">
        <f>VLOOKUP(Charms!J4642,Values!$A$11:$S$59,19,0)&gt;=Charms!L4642</f>
        <v>#N/A</v>
      </c>
      <c r="E4642" t="e">
        <f>OR(ISBLANK(Charms!I4642),(VLOOKUP(Values!$S$6,Castes!$B$2:$F$25,4,0)=Charms!I4642))</f>
        <v>#N/A</v>
      </c>
      <c r="J4642" t="e">
        <f t="shared" ca="1" si="361"/>
        <v>#N/A</v>
      </c>
      <c r="K4642" s="18" t="e">
        <f t="shared" ca="1" si="360"/>
        <v>#N/A</v>
      </c>
      <c r="L4642" t="e">
        <f ca="1">IF(J4642,Charms!B4642,"")</f>
        <v>#N/A</v>
      </c>
      <c r="M4642" t="str">
        <f t="shared" ca="1" si="362"/>
        <v>-</v>
      </c>
      <c r="N4642" s="18" t="str">
        <f t="shared" si="363"/>
        <v>K1622:L5000</v>
      </c>
      <c r="O4642" t="str">
        <f t="shared" si="364"/>
        <v>A1622:A4642</v>
      </c>
    </row>
    <row r="4643" spans="1:15">
      <c r="A4643" s="18">
        <f>Charms!K4643</f>
        <v>0</v>
      </c>
      <c r="B4643">
        <f>Charms!B4643</f>
        <v>0</v>
      </c>
      <c r="C4643" t="b">
        <f ca="1">OR(Values!$S$98&gt;=Charms!M4643,IFERROR(Charms!J4643=OFFSET(Values!$A$24,MATCH("S",Values!$T$25:$T$50,0),0),FALSE))</f>
        <v>1</v>
      </c>
      <c r="D4643" t="e">
        <f>VLOOKUP(Charms!J4643,Values!$A$11:$S$59,19,0)&gt;=Charms!L4643</f>
        <v>#N/A</v>
      </c>
      <c r="E4643" t="e">
        <f>OR(ISBLANK(Charms!I4643),(VLOOKUP(Values!$S$6,Castes!$B$2:$F$25,4,0)=Charms!I4643))</f>
        <v>#N/A</v>
      </c>
      <c r="J4643" t="e">
        <f t="shared" ca="1" si="361"/>
        <v>#N/A</v>
      </c>
      <c r="K4643" s="18" t="e">
        <f t="shared" ca="1" si="360"/>
        <v>#N/A</v>
      </c>
      <c r="L4643" t="e">
        <f ca="1">IF(J4643,Charms!B4643,"")</f>
        <v>#N/A</v>
      </c>
      <c r="M4643" t="str">
        <f t="shared" ca="1" si="362"/>
        <v>-</v>
      </c>
      <c r="N4643" s="18" t="str">
        <f t="shared" si="363"/>
        <v>K1622:L5000</v>
      </c>
      <c r="O4643" t="str">
        <f t="shared" si="364"/>
        <v>A1622:A4643</v>
      </c>
    </row>
    <row r="4644" spans="1:15">
      <c r="A4644" s="18">
        <f>Charms!K4644</f>
        <v>0</v>
      </c>
      <c r="B4644">
        <f>Charms!B4644</f>
        <v>0</v>
      </c>
      <c r="C4644" t="b">
        <f ca="1">OR(Values!$S$98&gt;=Charms!M4644,IFERROR(Charms!J4644=OFFSET(Values!$A$24,MATCH("S",Values!$T$25:$T$50,0),0),FALSE))</f>
        <v>1</v>
      </c>
      <c r="D4644" t="e">
        <f>VLOOKUP(Charms!J4644,Values!$A$11:$S$59,19,0)&gt;=Charms!L4644</f>
        <v>#N/A</v>
      </c>
      <c r="E4644" t="e">
        <f>OR(ISBLANK(Charms!I4644),(VLOOKUP(Values!$S$6,Castes!$B$2:$F$25,4,0)=Charms!I4644))</f>
        <v>#N/A</v>
      </c>
      <c r="J4644" t="e">
        <f t="shared" ca="1" si="361"/>
        <v>#N/A</v>
      </c>
      <c r="K4644" s="18" t="e">
        <f t="shared" ca="1" si="360"/>
        <v>#N/A</v>
      </c>
      <c r="L4644" t="e">
        <f ca="1">IF(J4644,Charms!B4644,"")</f>
        <v>#N/A</v>
      </c>
      <c r="M4644" t="str">
        <f t="shared" ca="1" si="362"/>
        <v>-</v>
      </c>
      <c r="N4644" s="18" t="str">
        <f t="shared" si="363"/>
        <v>K1622:L5000</v>
      </c>
      <c r="O4644" t="str">
        <f t="shared" si="364"/>
        <v>A1622:A4644</v>
      </c>
    </row>
    <row r="4645" spans="1:15">
      <c r="A4645" s="18">
        <f>Charms!K4645</f>
        <v>0</v>
      </c>
      <c r="B4645">
        <f>Charms!B4645</f>
        <v>0</v>
      </c>
      <c r="C4645" t="b">
        <f ca="1">OR(Values!$S$98&gt;=Charms!M4645,IFERROR(Charms!J4645=OFFSET(Values!$A$24,MATCH("S",Values!$T$25:$T$50,0),0),FALSE))</f>
        <v>1</v>
      </c>
      <c r="D4645" t="e">
        <f>VLOOKUP(Charms!J4645,Values!$A$11:$S$59,19,0)&gt;=Charms!L4645</f>
        <v>#N/A</v>
      </c>
      <c r="E4645" t="e">
        <f>OR(ISBLANK(Charms!I4645),(VLOOKUP(Values!$S$6,Castes!$B$2:$F$25,4,0)=Charms!I4645))</f>
        <v>#N/A</v>
      </c>
      <c r="J4645" t="e">
        <f t="shared" ca="1" si="361"/>
        <v>#N/A</v>
      </c>
      <c r="K4645" s="18" t="e">
        <f t="shared" ca="1" si="360"/>
        <v>#N/A</v>
      </c>
      <c r="L4645" t="e">
        <f ca="1">IF(J4645,Charms!B4645,"")</f>
        <v>#N/A</v>
      </c>
      <c r="M4645" t="str">
        <f t="shared" ca="1" si="362"/>
        <v>-</v>
      </c>
      <c r="N4645" s="18" t="str">
        <f t="shared" si="363"/>
        <v>K1622:L5000</v>
      </c>
      <c r="O4645" t="str">
        <f t="shared" si="364"/>
        <v>A1622:A4645</v>
      </c>
    </row>
    <row r="4646" spans="1:15">
      <c r="A4646" s="18">
        <f>Charms!K4646</f>
        <v>0</v>
      </c>
      <c r="B4646">
        <f>Charms!B4646</f>
        <v>0</v>
      </c>
      <c r="C4646" t="b">
        <f ca="1">OR(Values!$S$98&gt;=Charms!M4646,IFERROR(Charms!J4646=OFFSET(Values!$A$24,MATCH("S",Values!$T$25:$T$50,0),0),FALSE))</f>
        <v>1</v>
      </c>
      <c r="D4646" t="e">
        <f>VLOOKUP(Charms!J4646,Values!$A$11:$S$59,19,0)&gt;=Charms!L4646</f>
        <v>#N/A</v>
      </c>
      <c r="E4646" t="e">
        <f>OR(ISBLANK(Charms!I4646),(VLOOKUP(Values!$S$6,Castes!$B$2:$F$25,4,0)=Charms!I4646))</f>
        <v>#N/A</v>
      </c>
      <c r="J4646" t="e">
        <f t="shared" ca="1" si="361"/>
        <v>#N/A</v>
      </c>
      <c r="K4646" s="18" t="e">
        <f t="shared" ca="1" si="360"/>
        <v>#N/A</v>
      </c>
      <c r="L4646" t="e">
        <f ca="1">IF(J4646,Charms!B4646,"")</f>
        <v>#N/A</v>
      </c>
      <c r="M4646" t="str">
        <f t="shared" ca="1" si="362"/>
        <v>-</v>
      </c>
      <c r="N4646" s="18" t="str">
        <f t="shared" si="363"/>
        <v>K1622:L5000</v>
      </c>
      <c r="O4646" t="str">
        <f t="shared" si="364"/>
        <v>A1622:A4646</v>
      </c>
    </row>
    <row r="4647" spans="1:15">
      <c r="A4647" s="18">
        <f>Charms!K4647</f>
        <v>0</v>
      </c>
      <c r="B4647">
        <f>Charms!B4647</f>
        <v>0</v>
      </c>
      <c r="C4647" t="b">
        <f ca="1">OR(Values!$S$98&gt;=Charms!M4647,IFERROR(Charms!J4647=OFFSET(Values!$A$24,MATCH("S",Values!$T$25:$T$50,0),0),FALSE))</f>
        <v>1</v>
      </c>
      <c r="D4647" t="e">
        <f>VLOOKUP(Charms!J4647,Values!$A$11:$S$59,19,0)&gt;=Charms!L4647</f>
        <v>#N/A</v>
      </c>
      <c r="E4647" t="e">
        <f>OR(ISBLANK(Charms!I4647),(VLOOKUP(Values!$S$6,Castes!$B$2:$F$25,4,0)=Charms!I4647))</f>
        <v>#N/A</v>
      </c>
      <c r="J4647" t="e">
        <f t="shared" ca="1" si="361"/>
        <v>#N/A</v>
      </c>
      <c r="K4647" s="18" t="e">
        <f t="shared" ca="1" si="360"/>
        <v>#N/A</v>
      </c>
      <c r="L4647" t="e">
        <f ca="1">IF(J4647,Charms!B4647,"")</f>
        <v>#N/A</v>
      </c>
      <c r="M4647" t="str">
        <f t="shared" ca="1" si="362"/>
        <v>-</v>
      </c>
      <c r="N4647" s="18" t="str">
        <f t="shared" si="363"/>
        <v>K1622:L5000</v>
      </c>
      <c r="O4647" t="str">
        <f t="shared" si="364"/>
        <v>A1622:A4647</v>
      </c>
    </row>
    <row r="4648" spans="1:15">
      <c r="A4648" s="18">
        <f>Charms!K4648</f>
        <v>0</v>
      </c>
      <c r="B4648">
        <f>Charms!B4648</f>
        <v>0</v>
      </c>
      <c r="C4648" t="b">
        <f ca="1">OR(Values!$S$98&gt;=Charms!M4648,IFERROR(Charms!J4648=OFFSET(Values!$A$24,MATCH("S",Values!$T$25:$T$50,0),0),FALSE))</f>
        <v>1</v>
      </c>
      <c r="D4648" t="e">
        <f>VLOOKUP(Charms!J4648,Values!$A$11:$S$59,19,0)&gt;=Charms!L4648</f>
        <v>#N/A</v>
      </c>
      <c r="E4648" t="e">
        <f>OR(ISBLANK(Charms!I4648),(VLOOKUP(Values!$S$6,Castes!$B$2:$F$25,4,0)=Charms!I4648))</f>
        <v>#N/A</v>
      </c>
      <c r="J4648" t="e">
        <f t="shared" ca="1" si="361"/>
        <v>#N/A</v>
      </c>
      <c r="K4648" s="18" t="e">
        <f t="shared" ca="1" si="360"/>
        <v>#N/A</v>
      </c>
      <c r="L4648" t="e">
        <f ca="1">IF(J4648,Charms!B4648,"")</f>
        <v>#N/A</v>
      </c>
      <c r="M4648" t="str">
        <f t="shared" ca="1" si="362"/>
        <v>-</v>
      </c>
      <c r="N4648" s="18" t="str">
        <f t="shared" si="363"/>
        <v>K1622:L5000</v>
      </c>
      <c r="O4648" t="str">
        <f t="shared" si="364"/>
        <v>A1622:A4648</v>
      </c>
    </row>
    <row r="4649" spans="1:15">
      <c r="A4649" s="18">
        <f>Charms!K4649</f>
        <v>0</v>
      </c>
      <c r="B4649">
        <f>Charms!B4649</f>
        <v>0</v>
      </c>
      <c r="C4649" t="b">
        <f ca="1">OR(Values!$S$98&gt;=Charms!M4649,IFERROR(Charms!J4649=OFFSET(Values!$A$24,MATCH("S",Values!$T$25:$T$50,0),0),FALSE))</f>
        <v>1</v>
      </c>
      <c r="D4649" t="e">
        <f>VLOOKUP(Charms!J4649,Values!$A$11:$S$59,19,0)&gt;=Charms!L4649</f>
        <v>#N/A</v>
      </c>
      <c r="E4649" t="e">
        <f>OR(ISBLANK(Charms!I4649),(VLOOKUP(Values!$S$6,Castes!$B$2:$F$25,4,0)=Charms!I4649))</f>
        <v>#N/A</v>
      </c>
      <c r="J4649" t="e">
        <f t="shared" ca="1" si="361"/>
        <v>#N/A</v>
      </c>
      <c r="K4649" s="18" t="e">
        <f t="shared" ca="1" si="360"/>
        <v>#N/A</v>
      </c>
      <c r="L4649" t="e">
        <f ca="1">IF(J4649,Charms!B4649,"")</f>
        <v>#N/A</v>
      </c>
      <c r="M4649" t="str">
        <f t="shared" ca="1" si="362"/>
        <v>-</v>
      </c>
      <c r="N4649" s="18" t="str">
        <f t="shared" si="363"/>
        <v>K1622:L5000</v>
      </c>
      <c r="O4649" t="str">
        <f t="shared" si="364"/>
        <v>A1622:A4649</v>
      </c>
    </row>
    <row r="4650" spans="1:15">
      <c r="A4650" s="18">
        <f>Charms!K4650</f>
        <v>0</v>
      </c>
      <c r="B4650">
        <f>Charms!B4650</f>
        <v>0</v>
      </c>
      <c r="C4650" t="b">
        <f ca="1">OR(Values!$S$98&gt;=Charms!M4650,IFERROR(Charms!J4650=OFFSET(Values!$A$24,MATCH("S",Values!$T$25:$T$50,0),0),FALSE))</f>
        <v>1</v>
      </c>
      <c r="D4650" t="e">
        <f>VLOOKUP(Charms!J4650,Values!$A$11:$S$59,19,0)&gt;=Charms!L4650</f>
        <v>#N/A</v>
      </c>
      <c r="E4650" t="e">
        <f>OR(ISBLANK(Charms!I4650),(VLOOKUP(Values!$S$6,Castes!$B$2:$F$25,4,0)=Charms!I4650))</f>
        <v>#N/A</v>
      </c>
      <c r="J4650" t="e">
        <f t="shared" ca="1" si="361"/>
        <v>#N/A</v>
      </c>
      <c r="K4650" s="18" t="e">
        <f t="shared" ca="1" si="360"/>
        <v>#N/A</v>
      </c>
      <c r="L4650" t="e">
        <f ca="1">IF(J4650,Charms!B4650,"")</f>
        <v>#N/A</v>
      </c>
      <c r="M4650" t="str">
        <f t="shared" ca="1" si="362"/>
        <v>-</v>
      </c>
      <c r="N4650" s="18" t="str">
        <f t="shared" si="363"/>
        <v>K1622:L5000</v>
      </c>
      <c r="O4650" t="str">
        <f t="shared" si="364"/>
        <v>A1622:A4650</v>
      </c>
    </row>
    <row r="4651" spans="1:15">
      <c r="A4651" s="18">
        <f>Charms!K4651</f>
        <v>0</v>
      </c>
      <c r="B4651">
        <f>Charms!B4651</f>
        <v>0</v>
      </c>
      <c r="C4651" t="b">
        <f ca="1">OR(Values!$S$98&gt;=Charms!M4651,IFERROR(Charms!J4651=OFFSET(Values!$A$24,MATCH("S",Values!$T$25:$T$50,0),0),FALSE))</f>
        <v>1</v>
      </c>
      <c r="D4651" t="e">
        <f>VLOOKUP(Charms!J4651,Values!$A$11:$S$59,19,0)&gt;=Charms!L4651</f>
        <v>#N/A</v>
      </c>
      <c r="E4651" t="e">
        <f>OR(ISBLANK(Charms!I4651),(VLOOKUP(Values!$S$6,Castes!$B$2:$F$25,4,0)=Charms!I4651))</f>
        <v>#N/A</v>
      </c>
      <c r="J4651" t="e">
        <f t="shared" ca="1" si="361"/>
        <v>#N/A</v>
      </c>
      <c r="K4651" s="18" t="e">
        <f t="shared" ca="1" si="360"/>
        <v>#N/A</v>
      </c>
      <c r="L4651" t="e">
        <f ca="1">IF(J4651,Charms!B4651,"")</f>
        <v>#N/A</v>
      </c>
      <c r="M4651" t="str">
        <f t="shared" ca="1" si="362"/>
        <v>-</v>
      </c>
      <c r="N4651" s="18" t="str">
        <f t="shared" si="363"/>
        <v>K1622:L5000</v>
      </c>
      <c r="O4651" t="str">
        <f t="shared" si="364"/>
        <v>A1622:A4651</v>
      </c>
    </row>
    <row r="4652" spans="1:15">
      <c r="A4652" s="18">
        <f>Charms!K4652</f>
        <v>0</v>
      </c>
      <c r="B4652">
        <f>Charms!B4652</f>
        <v>0</v>
      </c>
      <c r="C4652" t="b">
        <f ca="1">OR(Values!$S$98&gt;=Charms!M4652,IFERROR(Charms!J4652=OFFSET(Values!$A$24,MATCH("S",Values!$T$25:$T$50,0),0),FALSE))</f>
        <v>1</v>
      </c>
      <c r="D4652" t="e">
        <f>VLOOKUP(Charms!J4652,Values!$A$11:$S$59,19,0)&gt;=Charms!L4652</f>
        <v>#N/A</v>
      </c>
      <c r="E4652" t="e">
        <f>OR(ISBLANK(Charms!I4652),(VLOOKUP(Values!$S$6,Castes!$B$2:$F$25,4,0)=Charms!I4652))</f>
        <v>#N/A</v>
      </c>
      <c r="J4652" t="e">
        <f t="shared" ca="1" si="361"/>
        <v>#N/A</v>
      </c>
      <c r="K4652" s="18" t="e">
        <f t="shared" ca="1" si="360"/>
        <v>#N/A</v>
      </c>
      <c r="L4652" t="e">
        <f ca="1">IF(J4652,Charms!B4652,"")</f>
        <v>#N/A</v>
      </c>
      <c r="M4652" t="str">
        <f t="shared" ca="1" si="362"/>
        <v>-</v>
      </c>
      <c r="N4652" s="18" t="str">
        <f t="shared" si="363"/>
        <v>K1622:L5000</v>
      </c>
      <c r="O4652" t="str">
        <f t="shared" si="364"/>
        <v>A1622:A4652</v>
      </c>
    </row>
    <row r="4653" spans="1:15">
      <c r="A4653" s="18">
        <f>Charms!K4653</f>
        <v>0</v>
      </c>
      <c r="B4653">
        <f>Charms!B4653</f>
        <v>0</v>
      </c>
      <c r="C4653" t="b">
        <f ca="1">OR(Values!$S$98&gt;=Charms!M4653,IFERROR(Charms!J4653=OFFSET(Values!$A$24,MATCH("S",Values!$T$25:$T$50,0),0),FALSE))</f>
        <v>1</v>
      </c>
      <c r="D4653" t="e">
        <f>VLOOKUP(Charms!J4653,Values!$A$11:$S$59,19,0)&gt;=Charms!L4653</f>
        <v>#N/A</v>
      </c>
      <c r="E4653" t="e">
        <f>OR(ISBLANK(Charms!I4653),(VLOOKUP(Values!$S$6,Castes!$B$2:$F$25,4,0)=Charms!I4653))</f>
        <v>#N/A</v>
      </c>
      <c r="J4653" t="e">
        <f t="shared" ca="1" si="361"/>
        <v>#N/A</v>
      </c>
      <c r="K4653" s="18" t="e">
        <f t="shared" ca="1" si="360"/>
        <v>#N/A</v>
      </c>
      <c r="L4653" t="e">
        <f ca="1">IF(J4653,Charms!B4653,"")</f>
        <v>#N/A</v>
      </c>
      <c r="M4653" t="str">
        <f t="shared" ca="1" si="362"/>
        <v>-</v>
      </c>
      <c r="N4653" s="18" t="str">
        <f t="shared" si="363"/>
        <v>K1622:L5000</v>
      </c>
      <c r="O4653" t="str">
        <f t="shared" si="364"/>
        <v>A1622:A4653</v>
      </c>
    </row>
    <row r="4654" spans="1:15">
      <c r="A4654" s="18">
        <f>Charms!K4654</f>
        <v>0</v>
      </c>
      <c r="B4654">
        <f>Charms!B4654</f>
        <v>0</v>
      </c>
      <c r="C4654" t="b">
        <f ca="1">OR(Values!$S$98&gt;=Charms!M4654,IFERROR(Charms!J4654=OFFSET(Values!$A$24,MATCH("S",Values!$T$25:$T$50,0),0),FALSE))</f>
        <v>1</v>
      </c>
      <c r="D4654" t="e">
        <f>VLOOKUP(Charms!J4654,Values!$A$11:$S$59,19,0)&gt;=Charms!L4654</f>
        <v>#N/A</v>
      </c>
      <c r="E4654" t="e">
        <f>OR(ISBLANK(Charms!I4654),(VLOOKUP(Values!$S$6,Castes!$B$2:$F$25,4,0)=Charms!I4654))</f>
        <v>#N/A</v>
      </c>
      <c r="J4654" t="e">
        <f t="shared" ca="1" si="361"/>
        <v>#N/A</v>
      </c>
      <c r="K4654" s="18" t="e">
        <f t="shared" ca="1" si="360"/>
        <v>#N/A</v>
      </c>
      <c r="L4654" t="e">
        <f ca="1">IF(J4654,Charms!B4654,"")</f>
        <v>#N/A</v>
      </c>
      <c r="M4654" t="str">
        <f t="shared" ca="1" si="362"/>
        <v>-</v>
      </c>
      <c r="N4654" s="18" t="str">
        <f t="shared" si="363"/>
        <v>K1622:L5000</v>
      </c>
      <c r="O4654" t="str">
        <f t="shared" si="364"/>
        <v>A1622:A4654</v>
      </c>
    </row>
    <row r="4655" spans="1:15">
      <c r="A4655" s="18">
        <f>Charms!K4655</f>
        <v>0</v>
      </c>
      <c r="B4655">
        <f>Charms!B4655</f>
        <v>0</v>
      </c>
      <c r="C4655" t="b">
        <f ca="1">OR(Values!$S$98&gt;=Charms!M4655,IFERROR(Charms!J4655=OFFSET(Values!$A$24,MATCH("S",Values!$T$25:$T$50,0),0),FALSE))</f>
        <v>1</v>
      </c>
      <c r="D4655" t="e">
        <f>VLOOKUP(Charms!J4655,Values!$A$11:$S$59,19,0)&gt;=Charms!L4655</f>
        <v>#N/A</v>
      </c>
      <c r="E4655" t="e">
        <f>OR(ISBLANK(Charms!I4655),(VLOOKUP(Values!$S$6,Castes!$B$2:$F$25,4,0)=Charms!I4655))</f>
        <v>#N/A</v>
      </c>
      <c r="J4655" t="e">
        <f t="shared" ca="1" si="361"/>
        <v>#N/A</v>
      </c>
      <c r="K4655" s="18" t="e">
        <f t="shared" ca="1" si="360"/>
        <v>#N/A</v>
      </c>
      <c r="L4655" t="e">
        <f ca="1">IF(J4655,Charms!B4655,"")</f>
        <v>#N/A</v>
      </c>
      <c r="M4655" t="str">
        <f t="shared" ca="1" si="362"/>
        <v>-</v>
      </c>
      <c r="N4655" s="18" t="str">
        <f t="shared" si="363"/>
        <v>K1622:L5000</v>
      </c>
      <c r="O4655" t="str">
        <f t="shared" si="364"/>
        <v>A1622:A4655</v>
      </c>
    </row>
    <row r="4656" spans="1:15">
      <c r="A4656" s="18">
        <f>Charms!K4656</f>
        <v>0</v>
      </c>
      <c r="B4656">
        <f>Charms!B4656</f>
        <v>0</v>
      </c>
      <c r="C4656" t="b">
        <f ca="1">OR(Values!$S$98&gt;=Charms!M4656,IFERROR(Charms!J4656=OFFSET(Values!$A$24,MATCH("S",Values!$T$25:$T$50,0),0),FALSE))</f>
        <v>1</v>
      </c>
      <c r="D4656" t="e">
        <f>VLOOKUP(Charms!J4656,Values!$A$11:$S$59,19,0)&gt;=Charms!L4656</f>
        <v>#N/A</v>
      </c>
      <c r="E4656" t="e">
        <f>OR(ISBLANK(Charms!I4656),(VLOOKUP(Values!$S$6,Castes!$B$2:$F$25,4,0)=Charms!I4656))</f>
        <v>#N/A</v>
      </c>
      <c r="J4656" t="e">
        <f t="shared" ca="1" si="361"/>
        <v>#N/A</v>
      </c>
      <c r="K4656" s="18" t="e">
        <f t="shared" ca="1" si="360"/>
        <v>#N/A</v>
      </c>
      <c r="L4656" t="e">
        <f ca="1">IF(J4656,Charms!B4656,"")</f>
        <v>#N/A</v>
      </c>
      <c r="M4656" t="str">
        <f t="shared" ca="1" si="362"/>
        <v>-</v>
      </c>
      <c r="N4656" s="18" t="str">
        <f t="shared" si="363"/>
        <v>K1622:L5000</v>
      </c>
      <c r="O4656" t="str">
        <f t="shared" si="364"/>
        <v>A1622:A4656</v>
      </c>
    </row>
    <row r="4657" spans="1:15">
      <c r="A4657" s="18">
        <f>Charms!K4657</f>
        <v>0</v>
      </c>
      <c r="B4657">
        <f>Charms!B4657</f>
        <v>0</v>
      </c>
      <c r="C4657" t="b">
        <f ca="1">OR(Values!$S$98&gt;=Charms!M4657,IFERROR(Charms!J4657=OFFSET(Values!$A$24,MATCH("S",Values!$T$25:$T$50,0),0),FALSE))</f>
        <v>1</v>
      </c>
      <c r="D4657" t="e">
        <f>VLOOKUP(Charms!J4657,Values!$A$11:$S$59,19,0)&gt;=Charms!L4657</f>
        <v>#N/A</v>
      </c>
      <c r="E4657" t="e">
        <f>OR(ISBLANK(Charms!I4657),(VLOOKUP(Values!$S$6,Castes!$B$2:$F$25,4,0)=Charms!I4657))</f>
        <v>#N/A</v>
      </c>
      <c r="J4657" t="e">
        <f t="shared" ca="1" si="361"/>
        <v>#N/A</v>
      </c>
      <c r="K4657" s="18" t="e">
        <f t="shared" ca="1" si="360"/>
        <v>#N/A</v>
      </c>
      <c r="L4657" t="e">
        <f ca="1">IF(J4657,Charms!B4657,"")</f>
        <v>#N/A</v>
      </c>
      <c r="M4657" t="str">
        <f t="shared" ca="1" si="362"/>
        <v>-</v>
      </c>
      <c r="N4657" s="18" t="str">
        <f t="shared" si="363"/>
        <v>K1622:L5000</v>
      </c>
      <c r="O4657" t="str">
        <f t="shared" si="364"/>
        <v>A1622:A4657</v>
      </c>
    </row>
    <row r="4658" spans="1:15">
      <c r="A4658" s="18">
        <f>Charms!K4658</f>
        <v>0</v>
      </c>
      <c r="B4658">
        <f>Charms!B4658</f>
        <v>0</v>
      </c>
      <c r="C4658" t="b">
        <f ca="1">OR(Values!$S$98&gt;=Charms!M4658,IFERROR(Charms!J4658=OFFSET(Values!$A$24,MATCH("S",Values!$T$25:$T$50,0),0),FALSE))</f>
        <v>1</v>
      </c>
      <c r="D4658" t="e">
        <f>VLOOKUP(Charms!J4658,Values!$A$11:$S$59,19,0)&gt;=Charms!L4658</f>
        <v>#N/A</v>
      </c>
      <c r="E4658" t="e">
        <f>OR(ISBLANK(Charms!I4658),(VLOOKUP(Values!$S$6,Castes!$B$2:$F$25,4,0)=Charms!I4658))</f>
        <v>#N/A</v>
      </c>
      <c r="J4658" t="e">
        <f t="shared" ca="1" si="361"/>
        <v>#N/A</v>
      </c>
      <c r="K4658" s="18" t="e">
        <f t="shared" ca="1" si="360"/>
        <v>#N/A</v>
      </c>
      <c r="L4658" t="e">
        <f ca="1">IF(J4658,Charms!B4658,"")</f>
        <v>#N/A</v>
      </c>
      <c r="M4658" t="str">
        <f t="shared" ca="1" si="362"/>
        <v>-</v>
      </c>
      <c r="N4658" s="18" t="str">
        <f t="shared" si="363"/>
        <v>K1622:L5000</v>
      </c>
      <c r="O4658" t="str">
        <f t="shared" si="364"/>
        <v>A1622:A4658</v>
      </c>
    </row>
    <row r="4659" spans="1:15">
      <c r="A4659" s="18">
        <f>Charms!K4659</f>
        <v>0</v>
      </c>
      <c r="B4659">
        <f>Charms!B4659</f>
        <v>0</v>
      </c>
      <c r="C4659" t="b">
        <f ca="1">OR(Values!$S$98&gt;=Charms!M4659,IFERROR(Charms!J4659=OFFSET(Values!$A$24,MATCH("S",Values!$T$25:$T$50,0),0),FALSE))</f>
        <v>1</v>
      </c>
      <c r="D4659" t="e">
        <f>VLOOKUP(Charms!J4659,Values!$A$11:$S$59,19,0)&gt;=Charms!L4659</f>
        <v>#N/A</v>
      </c>
      <c r="E4659" t="e">
        <f>OR(ISBLANK(Charms!I4659),(VLOOKUP(Values!$S$6,Castes!$B$2:$F$25,4,0)=Charms!I4659))</f>
        <v>#N/A</v>
      </c>
      <c r="J4659" t="e">
        <f t="shared" ca="1" si="361"/>
        <v>#N/A</v>
      </c>
      <c r="K4659" s="18" t="e">
        <f t="shared" ca="1" si="360"/>
        <v>#N/A</v>
      </c>
      <c r="L4659" t="e">
        <f ca="1">IF(J4659,Charms!B4659,"")</f>
        <v>#N/A</v>
      </c>
      <c r="M4659" t="str">
        <f t="shared" ca="1" si="362"/>
        <v>-</v>
      </c>
      <c r="N4659" s="18" t="str">
        <f t="shared" si="363"/>
        <v>K1622:L5000</v>
      </c>
      <c r="O4659" t="str">
        <f t="shared" si="364"/>
        <v>A1622:A4659</v>
      </c>
    </row>
    <row r="4660" spans="1:15">
      <c r="A4660" s="18">
        <f>Charms!K4660</f>
        <v>0</v>
      </c>
      <c r="B4660">
        <f>Charms!B4660</f>
        <v>0</v>
      </c>
      <c r="C4660" t="b">
        <f ca="1">OR(Values!$S$98&gt;=Charms!M4660,IFERROR(Charms!J4660=OFFSET(Values!$A$24,MATCH("S",Values!$T$25:$T$50,0),0),FALSE))</f>
        <v>1</v>
      </c>
      <c r="D4660" t="e">
        <f>VLOOKUP(Charms!J4660,Values!$A$11:$S$59,19,0)&gt;=Charms!L4660</f>
        <v>#N/A</v>
      </c>
      <c r="E4660" t="e">
        <f>OR(ISBLANK(Charms!I4660),(VLOOKUP(Values!$S$6,Castes!$B$2:$F$25,4,0)=Charms!I4660))</f>
        <v>#N/A</v>
      </c>
      <c r="J4660" t="e">
        <f t="shared" ca="1" si="361"/>
        <v>#N/A</v>
      </c>
      <c r="K4660" s="18" t="e">
        <f t="shared" ca="1" si="360"/>
        <v>#N/A</v>
      </c>
      <c r="L4660" t="e">
        <f ca="1">IF(J4660,Charms!B4660,"")</f>
        <v>#N/A</v>
      </c>
      <c r="M4660" t="str">
        <f t="shared" ca="1" si="362"/>
        <v>-</v>
      </c>
      <c r="N4660" s="18" t="str">
        <f t="shared" si="363"/>
        <v>K1622:L5000</v>
      </c>
      <c r="O4660" t="str">
        <f t="shared" si="364"/>
        <v>A1622:A4660</v>
      </c>
    </row>
    <row r="4661" spans="1:15">
      <c r="A4661" s="18">
        <f>Charms!K4661</f>
        <v>0</v>
      </c>
      <c r="B4661">
        <f>Charms!B4661</f>
        <v>0</v>
      </c>
      <c r="C4661" t="b">
        <f ca="1">OR(Values!$S$98&gt;=Charms!M4661,IFERROR(Charms!J4661=OFFSET(Values!$A$24,MATCH("S",Values!$T$25:$T$50,0),0),FALSE))</f>
        <v>1</v>
      </c>
      <c r="D4661" t="e">
        <f>VLOOKUP(Charms!J4661,Values!$A$11:$S$59,19,0)&gt;=Charms!L4661</f>
        <v>#N/A</v>
      </c>
      <c r="E4661" t="e">
        <f>OR(ISBLANK(Charms!I4661),(VLOOKUP(Values!$S$6,Castes!$B$2:$F$25,4,0)=Charms!I4661))</f>
        <v>#N/A</v>
      </c>
      <c r="J4661" t="e">
        <f t="shared" ca="1" si="361"/>
        <v>#N/A</v>
      </c>
      <c r="K4661" s="18" t="e">
        <f t="shared" ca="1" si="360"/>
        <v>#N/A</v>
      </c>
      <c r="L4661" t="e">
        <f ca="1">IF(J4661,Charms!B4661,"")</f>
        <v>#N/A</v>
      </c>
      <c r="M4661" t="str">
        <f t="shared" ca="1" si="362"/>
        <v>-</v>
      </c>
      <c r="N4661" s="18" t="str">
        <f t="shared" si="363"/>
        <v>K1622:L5000</v>
      </c>
      <c r="O4661" t="str">
        <f t="shared" si="364"/>
        <v>A1622:A4661</v>
      </c>
    </row>
    <row r="4662" spans="1:15">
      <c r="A4662" s="18">
        <f>Charms!K4662</f>
        <v>0</v>
      </c>
      <c r="B4662">
        <f>Charms!B4662</f>
        <v>0</v>
      </c>
      <c r="C4662" t="b">
        <f ca="1">OR(Values!$S$98&gt;=Charms!M4662,IFERROR(Charms!J4662=OFFSET(Values!$A$24,MATCH("S",Values!$T$25:$T$50,0),0),FALSE))</f>
        <v>1</v>
      </c>
      <c r="D4662" t="e">
        <f>VLOOKUP(Charms!J4662,Values!$A$11:$S$59,19,0)&gt;=Charms!L4662</f>
        <v>#N/A</v>
      </c>
      <c r="E4662" t="e">
        <f>OR(ISBLANK(Charms!I4662),(VLOOKUP(Values!$S$6,Castes!$B$2:$F$25,4,0)=Charms!I4662))</f>
        <v>#N/A</v>
      </c>
      <c r="J4662" t="e">
        <f t="shared" ca="1" si="361"/>
        <v>#N/A</v>
      </c>
      <c r="K4662" s="18" t="e">
        <f t="shared" ca="1" si="360"/>
        <v>#N/A</v>
      </c>
      <c r="L4662" t="e">
        <f ca="1">IF(J4662,Charms!B4662,"")</f>
        <v>#N/A</v>
      </c>
      <c r="M4662" t="str">
        <f t="shared" ca="1" si="362"/>
        <v>-</v>
      </c>
      <c r="N4662" s="18" t="str">
        <f t="shared" si="363"/>
        <v>K1622:L5000</v>
      </c>
      <c r="O4662" t="str">
        <f t="shared" si="364"/>
        <v>A1622:A4662</v>
      </c>
    </row>
    <row r="4663" spans="1:15">
      <c r="A4663" s="18">
        <f>Charms!K4663</f>
        <v>0</v>
      </c>
      <c r="B4663">
        <f>Charms!B4663</f>
        <v>0</v>
      </c>
      <c r="C4663" t="b">
        <f ca="1">OR(Values!$S$98&gt;=Charms!M4663,IFERROR(Charms!J4663=OFFSET(Values!$A$24,MATCH("S",Values!$T$25:$T$50,0),0),FALSE))</f>
        <v>1</v>
      </c>
      <c r="D4663" t="e">
        <f>VLOOKUP(Charms!J4663,Values!$A$11:$S$59,19,0)&gt;=Charms!L4663</f>
        <v>#N/A</v>
      </c>
      <c r="E4663" t="e">
        <f>OR(ISBLANK(Charms!I4663),(VLOOKUP(Values!$S$6,Castes!$B$2:$F$25,4,0)=Charms!I4663))</f>
        <v>#N/A</v>
      </c>
      <c r="J4663" t="e">
        <f t="shared" ca="1" si="361"/>
        <v>#N/A</v>
      </c>
      <c r="K4663" s="18" t="e">
        <f t="shared" ca="1" si="360"/>
        <v>#N/A</v>
      </c>
      <c r="L4663" t="e">
        <f ca="1">IF(J4663,Charms!B4663,"")</f>
        <v>#N/A</v>
      </c>
      <c r="M4663" t="str">
        <f t="shared" ca="1" si="362"/>
        <v>-</v>
      </c>
      <c r="N4663" s="18" t="str">
        <f t="shared" si="363"/>
        <v>K1622:L5000</v>
      </c>
      <c r="O4663" t="str">
        <f t="shared" si="364"/>
        <v>A1622:A4663</v>
      </c>
    </row>
    <row r="4664" spans="1:15">
      <c r="A4664" s="18">
        <f>Charms!K4664</f>
        <v>0</v>
      </c>
      <c r="B4664">
        <f>Charms!B4664</f>
        <v>0</v>
      </c>
      <c r="C4664" t="b">
        <f ca="1">OR(Values!$S$98&gt;=Charms!M4664,IFERROR(Charms!J4664=OFFSET(Values!$A$24,MATCH("S",Values!$T$25:$T$50,0),0),FALSE))</f>
        <v>1</v>
      </c>
      <c r="D4664" t="e">
        <f>VLOOKUP(Charms!J4664,Values!$A$11:$S$59,19,0)&gt;=Charms!L4664</f>
        <v>#N/A</v>
      </c>
      <c r="E4664" t="e">
        <f>OR(ISBLANK(Charms!I4664),(VLOOKUP(Values!$S$6,Castes!$B$2:$F$25,4,0)=Charms!I4664))</f>
        <v>#N/A</v>
      </c>
      <c r="J4664" t="e">
        <f t="shared" ca="1" si="361"/>
        <v>#N/A</v>
      </c>
      <c r="K4664" s="18" t="e">
        <f t="shared" ca="1" si="360"/>
        <v>#N/A</v>
      </c>
      <c r="L4664" t="e">
        <f ca="1">IF(J4664,Charms!B4664,"")</f>
        <v>#N/A</v>
      </c>
      <c r="M4664" t="str">
        <f t="shared" ca="1" si="362"/>
        <v>-</v>
      </c>
      <c r="N4664" s="18" t="str">
        <f t="shared" si="363"/>
        <v>K1622:L5000</v>
      </c>
      <c r="O4664" t="str">
        <f t="shared" si="364"/>
        <v>A1622:A4664</v>
      </c>
    </row>
    <row r="4665" spans="1:15">
      <c r="A4665" s="18">
        <f>Charms!K4665</f>
        <v>0</v>
      </c>
      <c r="B4665">
        <f>Charms!B4665</f>
        <v>0</v>
      </c>
      <c r="C4665" t="b">
        <f ca="1">OR(Values!$S$98&gt;=Charms!M4665,IFERROR(Charms!J4665=OFFSET(Values!$A$24,MATCH("S",Values!$T$25:$T$50,0),0),FALSE))</f>
        <v>1</v>
      </c>
      <c r="D4665" t="e">
        <f>VLOOKUP(Charms!J4665,Values!$A$11:$S$59,19,0)&gt;=Charms!L4665</f>
        <v>#N/A</v>
      </c>
      <c r="E4665" t="e">
        <f>OR(ISBLANK(Charms!I4665),(VLOOKUP(Values!$S$6,Castes!$B$2:$F$25,4,0)=Charms!I4665))</f>
        <v>#N/A</v>
      </c>
      <c r="J4665" t="e">
        <f t="shared" ca="1" si="361"/>
        <v>#N/A</v>
      </c>
      <c r="K4665" s="18" t="e">
        <f t="shared" ca="1" si="360"/>
        <v>#N/A</v>
      </c>
      <c r="L4665" t="e">
        <f ca="1">IF(J4665,Charms!B4665,"")</f>
        <v>#N/A</v>
      </c>
      <c r="M4665" t="str">
        <f t="shared" ca="1" si="362"/>
        <v>-</v>
      </c>
      <c r="N4665" s="18" t="str">
        <f t="shared" si="363"/>
        <v>K1622:L5000</v>
      </c>
      <c r="O4665" t="str">
        <f t="shared" si="364"/>
        <v>A1622:A4665</v>
      </c>
    </row>
    <row r="4666" spans="1:15">
      <c r="A4666" s="18">
        <f>Charms!K4666</f>
        <v>0</v>
      </c>
      <c r="B4666">
        <f>Charms!B4666</f>
        <v>0</v>
      </c>
      <c r="C4666" t="b">
        <f ca="1">OR(Values!$S$98&gt;=Charms!M4666,IFERROR(Charms!J4666=OFFSET(Values!$A$24,MATCH("S",Values!$T$25:$T$50,0),0),FALSE))</f>
        <v>1</v>
      </c>
      <c r="D4666" t="e">
        <f>VLOOKUP(Charms!J4666,Values!$A$11:$S$59,19,0)&gt;=Charms!L4666</f>
        <v>#N/A</v>
      </c>
      <c r="E4666" t="e">
        <f>OR(ISBLANK(Charms!I4666),(VLOOKUP(Values!$S$6,Castes!$B$2:$F$25,4,0)=Charms!I4666))</f>
        <v>#N/A</v>
      </c>
      <c r="J4666" t="e">
        <f t="shared" ca="1" si="361"/>
        <v>#N/A</v>
      </c>
      <c r="K4666" s="18" t="e">
        <f t="shared" ca="1" si="360"/>
        <v>#N/A</v>
      </c>
      <c r="L4666" t="e">
        <f ca="1">IF(J4666,Charms!B4666,"")</f>
        <v>#N/A</v>
      </c>
      <c r="M4666" t="str">
        <f t="shared" ca="1" si="362"/>
        <v>-</v>
      </c>
      <c r="N4666" s="18" t="str">
        <f t="shared" si="363"/>
        <v>K1622:L5000</v>
      </c>
      <c r="O4666" t="str">
        <f t="shared" si="364"/>
        <v>A1622:A4666</v>
      </c>
    </row>
    <row r="4667" spans="1:15">
      <c r="A4667" s="18">
        <f>Charms!K4667</f>
        <v>0</v>
      </c>
      <c r="B4667">
        <f>Charms!B4667</f>
        <v>0</v>
      </c>
      <c r="C4667" t="b">
        <f ca="1">OR(Values!$S$98&gt;=Charms!M4667,IFERROR(Charms!J4667=OFFSET(Values!$A$24,MATCH("S",Values!$T$25:$T$50,0),0),FALSE))</f>
        <v>1</v>
      </c>
      <c r="D4667" t="e">
        <f>VLOOKUP(Charms!J4667,Values!$A$11:$S$59,19,0)&gt;=Charms!L4667</f>
        <v>#N/A</v>
      </c>
      <c r="E4667" t="e">
        <f>OR(ISBLANK(Charms!I4667),(VLOOKUP(Values!$S$6,Castes!$B$2:$F$25,4,0)=Charms!I4667))</f>
        <v>#N/A</v>
      </c>
      <c r="J4667" t="e">
        <f t="shared" ca="1" si="361"/>
        <v>#N/A</v>
      </c>
      <c r="K4667" s="18" t="e">
        <f t="shared" ca="1" si="360"/>
        <v>#N/A</v>
      </c>
      <c r="L4667" t="e">
        <f ca="1">IF(J4667,Charms!B4667,"")</f>
        <v>#N/A</v>
      </c>
      <c r="M4667" t="str">
        <f t="shared" ca="1" si="362"/>
        <v>-</v>
      </c>
      <c r="N4667" s="18" t="str">
        <f t="shared" si="363"/>
        <v>K1622:L5000</v>
      </c>
      <c r="O4667" t="str">
        <f t="shared" si="364"/>
        <v>A1622:A4667</v>
      </c>
    </row>
    <row r="4668" spans="1:15">
      <c r="A4668" s="18">
        <f>Charms!K4668</f>
        <v>0</v>
      </c>
      <c r="B4668">
        <f>Charms!B4668</f>
        <v>0</v>
      </c>
      <c r="C4668" t="b">
        <f ca="1">OR(Values!$S$98&gt;=Charms!M4668,IFERROR(Charms!J4668=OFFSET(Values!$A$24,MATCH("S",Values!$T$25:$T$50,0),0),FALSE))</f>
        <v>1</v>
      </c>
      <c r="D4668" t="e">
        <f>VLOOKUP(Charms!J4668,Values!$A$11:$S$59,19,0)&gt;=Charms!L4668</f>
        <v>#N/A</v>
      </c>
      <c r="E4668" t="e">
        <f>OR(ISBLANK(Charms!I4668),(VLOOKUP(Values!$S$6,Castes!$B$2:$F$25,4,0)=Charms!I4668))</f>
        <v>#N/A</v>
      </c>
      <c r="J4668" t="e">
        <f t="shared" ca="1" si="361"/>
        <v>#N/A</v>
      </c>
      <c r="K4668" s="18" t="e">
        <f t="shared" ca="1" si="360"/>
        <v>#N/A</v>
      </c>
      <c r="L4668" t="e">
        <f ca="1">IF(J4668,Charms!B4668,"")</f>
        <v>#N/A</v>
      </c>
      <c r="M4668" t="str">
        <f t="shared" ca="1" si="362"/>
        <v>-</v>
      </c>
      <c r="N4668" s="18" t="str">
        <f t="shared" si="363"/>
        <v>K1622:L5000</v>
      </c>
      <c r="O4668" t="str">
        <f t="shared" si="364"/>
        <v>A1622:A4668</v>
      </c>
    </row>
    <row r="4669" spans="1:15">
      <c r="A4669" s="18">
        <f>Charms!K4669</f>
        <v>0</v>
      </c>
      <c r="B4669">
        <f>Charms!B4669</f>
        <v>0</v>
      </c>
      <c r="C4669" t="b">
        <f ca="1">OR(Values!$S$98&gt;=Charms!M4669,IFERROR(Charms!J4669=OFFSET(Values!$A$24,MATCH("S",Values!$T$25:$T$50,0),0),FALSE))</f>
        <v>1</v>
      </c>
      <c r="D4669" t="e">
        <f>VLOOKUP(Charms!J4669,Values!$A$11:$S$59,19,0)&gt;=Charms!L4669</f>
        <v>#N/A</v>
      </c>
      <c r="E4669" t="e">
        <f>OR(ISBLANK(Charms!I4669),(VLOOKUP(Values!$S$6,Castes!$B$2:$F$25,4,0)=Charms!I4669))</f>
        <v>#N/A</v>
      </c>
      <c r="J4669" t="e">
        <f t="shared" ca="1" si="361"/>
        <v>#N/A</v>
      </c>
      <c r="K4669" s="18" t="e">
        <f t="shared" ca="1" si="360"/>
        <v>#N/A</v>
      </c>
      <c r="L4669" t="e">
        <f ca="1">IF(J4669,Charms!B4669,"")</f>
        <v>#N/A</v>
      </c>
      <c r="M4669" t="str">
        <f t="shared" ca="1" si="362"/>
        <v>-</v>
      </c>
      <c r="N4669" s="18" t="str">
        <f t="shared" si="363"/>
        <v>K1622:L5000</v>
      </c>
      <c r="O4669" t="str">
        <f t="shared" si="364"/>
        <v>A1622:A4669</v>
      </c>
    </row>
    <row r="4670" spans="1:15">
      <c r="A4670" s="18">
        <f>Charms!K4670</f>
        <v>0</v>
      </c>
      <c r="B4670">
        <f>Charms!B4670</f>
        <v>0</v>
      </c>
      <c r="C4670" t="b">
        <f ca="1">OR(Values!$S$98&gt;=Charms!M4670,IFERROR(Charms!J4670=OFFSET(Values!$A$24,MATCH("S",Values!$T$25:$T$50,0),0),FALSE))</f>
        <v>1</v>
      </c>
      <c r="D4670" t="e">
        <f>VLOOKUP(Charms!J4670,Values!$A$11:$S$59,19,0)&gt;=Charms!L4670</f>
        <v>#N/A</v>
      </c>
      <c r="E4670" t="e">
        <f>OR(ISBLANK(Charms!I4670),(VLOOKUP(Values!$S$6,Castes!$B$2:$F$25,4,0)=Charms!I4670))</f>
        <v>#N/A</v>
      </c>
      <c r="J4670" t="e">
        <f t="shared" ca="1" si="361"/>
        <v>#N/A</v>
      </c>
      <c r="K4670" s="18" t="e">
        <f t="shared" ca="1" si="360"/>
        <v>#N/A</v>
      </c>
      <c r="L4670" t="e">
        <f ca="1">IF(J4670,Charms!B4670,"")</f>
        <v>#N/A</v>
      </c>
      <c r="M4670" t="str">
        <f t="shared" ca="1" si="362"/>
        <v>-</v>
      </c>
      <c r="N4670" s="18" t="str">
        <f t="shared" si="363"/>
        <v>K1622:L5000</v>
      </c>
      <c r="O4670" t="str">
        <f t="shared" si="364"/>
        <v>A1622:A4670</v>
      </c>
    </row>
    <row r="4671" spans="1:15">
      <c r="A4671" s="18">
        <f>Charms!K4671</f>
        <v>0</v>
      </c>
      <c r="B4671">
        <f>Charms!B4671</f>
        <v>0</v>
      </c>
      <c r="C4671" t="b">
        <f ca="1">OR(Values!$S$98&gt;=Charms!M4671,IFERROR(Charms!J4671=OFFSET(Values!$A$24,MATCH("S",Values!$T$25:$T$50,0),0),FALSE))</f>
        <v>1</v>
      </c>
      <c r="D4671" t="e">
        <f>VLOOKUP(Charms!J4671,Values!$A$11:$S$59,19,0)&gt;=Charms!L4671</f>
        <v>#N/A</v>
      </c>
      <c r="E4671" t="e">
        <f>OR(ISBLANK(Charms!I4671),(VLOOKUP(Values!$S$6,Castes!$B$2:$F$25,4,0)=Charms!I4671))</f>
        <v>#N/A</v>
      </c>
      <c r="J4671" t="e">
        <f t="shared" ca="1" si="361"/>
        <v>#N/A</v>
      </c>
      <c r="K4671" s="18" t="e">
        <f t="shared" ca="1" si="360"/>
        <v>#N/A</v>
      </c>
      <c r="L4671" t="e">
        <f ca="1">IF(J4671,Charms!B4671,"")</f>
        <v>#N/A</v>
      </c>
      <c r="M4671" t="str">
        <f t="shared" ca="1" si="362"/>
        <v>-</v>
      </c>
      <c r="N4671" s="18" t="str">
        <f t="shared" si="363"/>
        <v>K1622:L5000</v>
      </c>
      <c r="O4671" t="str">
        <f t="shared" si="364"/>
        <v>A1622:A4671</v>
      </c>
    </row>
    <row r="4672" spans="1:15">
      <c r="A4672" s="18">
        <f>Charms!K4672</f>
        <v>0</v>
      </c>
      <c r="B4672">
        <f>Charms!B4672</f>
        <v>0</v>
      </c>
      <c r="C4672" t="b">
        <f ca="1">OR(Values!$S$98&gt;=Charms!M4672,IFERROR(Charms!J4672=OFFSET(Values!$A$24,MATCH("S",Values!$T$25:$T$50,0),0),FALSE))</f>
        <v>1</v>
      </c>
      <c r="D4672" t="e">
        <f>VLOOKUP(Charms!J4672,Values!$A$11:$S$59,19,0)&gt;=Charms!L4672</f>
        <v>#N/A</v>
      </c>
      <c r="E4672" t="e">
        <f>OR(ISBLANK(Charms!I4672),(VLOOKUP(Values!$S$6,Castes!$B$2:$F$25,4,0)=Charms!I4672))</f>
        <v>#N/A</v>
      </c>
      <c r="J4672" t="e">
        <f t="shared" ca="1" si="361"/>
        <v>#N/A</v>
      </c>
      <c r="K4672" s="18" t="e">
        <f t="shared" ca="1" si="360"/>
        <v>#N/A</v>
      </c>
      <c r="L4672" t="e">
        <f ca="1">IF(J4672,Charms!B4672,"")</f>
        <v>#N/A</v>
      </c>
      <c r="M4672" t="str">
        <f t="shared" ca="1" si="362"/>
        <v>-</v>
      </c>
      <c r="N4672" s="18" t="str">
        <f t="shared" si="363"/>
        <v>K1622:L5000</v>
      </c>
      <c r="O4672" t="str">
        <f t="shared" si="364"/>
        <v>A1622:A4672</v>
      </c>
    </row>
    <row r="4673" spans="1:15">
      <c r="A4673" s="18">
        <f>Charms!K4673</f>
        <v>0</v>
      </c>
      <c r="B4673">
        <f>Charms!B4673</f>
        <v>0</v>
      </c>
      <c r="C4673" t="b">
        <f ca="1">OR(Values!$S$98&gt;=Charms!M4673,IFERROR(Charms!J4673=OFFSET(Values!$A$24,MATCH("S",Values!$T$25:$T$50,0),0),FALSE))</f>
        <v>1</v>
      </c>
      <c r="D4673" t="e">
        <f>VLOOKUP(Charms!J4673,Values!$A$11:$S$59,19,0)&gt;=Charms!L4673</f>
        <v>#N/A</v>
      </c>
      <c r="E4673" t="e">
        <f>OR(ISBLANK(Charms!I4673),(VLOOKUP(Values!$S$6,Castes!$B$2:$F$25,4,0)=Charms!I4673))</f>
        <v>#N/A</v>
      </c>
      <c r="J4673" t="e">
        <f t="shared" ca="1" si="361"/>
        <v>#N/A</v>
      </c>
      <c r="K4673" s="18" t="e">
        <f t="shared" ca="1" si="360"/>
        <v>#N/A</v>
      </c>
      <c r="L4673" t="e">
        <f ca="1">IF(J4673,Charms!B4673,"")</f>
        <v>#N/A</v>
      </c>
      <c r="M4673" t="str">
        <f t="shared" ca="1" si="362"/>
        <v>-</v>
      </c>
      <c r="N4673" s="18" t="str">
        <f t="shared" si="363"/>
        <v>K1622:L5000</v>
      </c>
      <c r="O4673" t="str">
        <f t="shared" si="364"/>
        <v>A1622:A4673</v>
      </c>
    </row>
    <row r="4674" spans="1:15">
      <c r="A4674" s="18">
        <f>Charms!K4674</f>
        <v>0</v>
      </c>
      <c r="B4674">
        <f>Charms!B4674</f>
        <v>0</v>
      </c>
      <c r="C4674" t="b">
        <f ca="1">OR(Values!$S$98&gt;=Charms!M4674,IFERROR(Charms!J4674=OFFSET(Values!$A$24,MATCH("S",Values!$T$25:$T$50,0),0),FALSE))</f>
        <v>1</v>
      </c>
      <c r="D4674" t="e">
        <f>VLOOKUP(Charms!J4674,Values!$A$11:$S$59,19,0)&gt;=Charms!L4674</f>
        <v>#N/A</v>
      </c>
      <c r="E4674" t="e">
        <f>OR(ISBLANK(Charms!I4674),(VLOOKUP(Values!$S$6,Castes!$B$2:$F$25,4,0)=Charms!I4674))</f>
        <v>#N/A</v>
      </c>
      <c r="J4674" t="e">
        <f t="shared" ca="1" si="361"/>
        <v>#N/A</v>
      </c>
      <c r="K4674" s="18" t="e">
        <f t="shared" ref="K4674:K4737" ca="1" si="365">IF(L4674="","",COUNTIF(INDIRECT("J"&amp;MATCH(A4674,A:A,0)&amp;":J"&amp;ROW()),J4674))</f>
        <v>#N/A</v>
      </c>
      <c r="L4674" t="e">
        <f ca="1">IF(J4674,Charms!B4674,"")</f>
        <v>#N/A</v>
      </c>
      <c r="M4674" t="str">
        <f t="shared" ca="1" si="362"/>
        <v>-</v>
      </c>
      <c r="N4674" s="18" t="str">
        <f t="shared" si="363"/>
        <v>K1622:L5000</v>
      </c>
      <c r="O4674" t="str">
        <f t="shared" si="364"/>
        <v>A1622:A4674</v>
      </c>
    </row>
    <row r="4675" spans="1:15">
      <c r="A4675" s="18">
        <f>Charms!K4675</f>
        <v>0</v>
      </c>
      <c r="B4675">
        <f>Charms!B4675</f>
        <v>0</v>
      </c>
      <c r="C4675" t="b">
        <f ca="1">OR(Values!$S$98&gt;=Charms!M4675,IFERROR(Charms!J4675=OFFSET(Values!$A$24,MATCH("S",Values!$T$25:$T$50,0),0),FALSE))</f>
        <v>1</v>
      </c>
      <c r="D4675" t="e">
        <f>VLOOKUP(Charms!J4675,Values!$A$11:$S$59,19,0)&gt;=Charms!L4675</f>
        <v>#N/A</v>
      </c>
      <c r="E4675" t="e">
        <f>OR(ISBLANK(Charms!I4675),(VLOOKUP(Values!$S$6,Castes!$B$2:$F$25,4,0)=Charms!I4675))</f>
        <v>#N/A</v>
      </c>
      <c r="J4675" t="e">
        <f t="shared" ref="J4675:J4738" ca="1" si="366">(C4675+D4675+E4675+F4675+G4675+H4675+I4675)=3</f>
        <v>#N/A</v>
      </c>
      <c r="K4675" s="18" t="e">
        <f t="shared" ca="1" si="365"/>
        <v>#N/A</v>
      </c>
      <c r="L4675" t="e">
        <f ca="1">IF(J4675,Charms!B4675,"")</f>
        <v>#N/A</v>
      </c>
      <c r="M4675" t="str">
        <f t="shared" ref="M4675:M4738" ca="1" si="367">IFERROR(VLOOKUP(COUNTIF(INDIRECT(O4675),A4675),INDIRECT(N4675),2,0),"-")</f>
        <v>-</v>
      </c>
      <c r="N4675" s="18" t="str">
        <f t="shared" ref="N4675:N4738" si="368">"K"&amp;MATCH(A4675,A:A,0)&amp;":L"&amp;(MATCH(A4675,A:A,0)+COUNTIF(A:A,A4675)-1)</f>
        <v>K1622:L5000</v>
      </c>
      <c r="O4675" t="str">
        <f t="shared" ref="O4675:O4738" si="369">"A"&amp;MATCH(A4675,A:A,0)&amp;":A"&amp;ROW()</f>
        <v>A1622:A4675</v>
      </c>
    </row>
    <row r="4676" spans="1:15">
      <c r="A4676" s="18">
        <f>Charms!K4676</f>
        <v>0</v>
      </c>
      <c r="B4676">
        <f>Charms!B4676</f>
        <v>0</v>
      </c>
      <c r="C4676" t="b">
        <f ca="1">OR(Values!$S$98&gt;=Charms!M4676,IFERROR(Charms!J4676=OFFSET(Values!$A$24,MATCH("S",Values!$T$25:$T$50,0),0),FALSE))</f>
        <v>1</v>
      </c>
      <c r="D4676" t="e">
        <f>VLOOKUP(Charms!J4676,Values!$A$11:$S$59,19,0)&gt;=Charms!L4676</f>
        <v>#N/A</v>
      </c>
      <c r="E4676" t="e">
        <f>OR(ISBLANK(Charms!I4676),(VLOOKUP(Values!$S$6,Castes!$B$2:$F$25,4,0)=Charms!I4676))</f>
        <v>#N/A</v>
      </c>
      <c r="J4676" t="e">
        <f t="shared" ca="1" si="366"/>
        <v>#N/A</v>
      </c>
      <c r="K4676" s="18" t="e">
        <f t="shared" ca="1" si="365"/>
        <v>#N/A</v>
      </c>
      <c r="L4676" t="e">
        <f ca="1">IF(J4676,Charms!B4676,"")</f>
        <v>#N/A</v>
      </c>
      <c r="M4676" t="str">
        <f t="shared" ca="1" si="367"/>
        <v>-</v>
      </c>
      <c r="N4676" s="18" t="str">
        <f t="shared" si="368"/>
        <v>K1622:L5000</v>
      </c>
      <c r="O4676" t="str">
        <f t="shared" si="369"/>
        <v>A1622:A4676</v>
      </c>
    </row>
    <row r="4677" spans="1:15">
      <c r="A4677" s="18">
        <f>Charms!K4677</f>
        <v>0</v>
      </c>
      <c r="B4677">
        <f>Charms!B4677</f>
        <v>0</v>
      </c>
      <c r="C4677" t="b">
        <f ca="1">OR(Values!$S$98&gt;=Charms!M4677,IFERROR(Charms!J4677=OFFSET(Values!$A$24,MATCH("S",Values!$T$25:$T$50,0),0),FALSE))</f>
        <v>1</v>
      </c>
      <c r="D4677" t="e">
        <f>VLOOKUP(Charms!J4677,Values!$A$11:$S$59,19,0)&gt;=Charms!L4677</f>
        <v>#N/A</v>
      </c>
      <c r="E4677" t="e">
        <f>OR(ISBLANK(Charms!I4677),(VLOOKUP(Values!$S$6,Castes!$B$2:$F$25,4,0)=Charms!I4677))</f>
        <v>#N/A</v>
      </c>
      <c r="J4677" t="e">
        <f t="shared" ca="1" si="366"/>
        <v>#N/A</v>
      </c>
      <c r="K4677" s="18" t="e">
        <f t="shared" ca="1" si="365"/>
        <v>#N/A</v>
      </c>
      <c r="L4677" t="e">
        <f ca="1">IF(J4677,Charms!B4677,"")</f>
        <v>#N/A</v>
      </c>
      <c r="M4677" t="str">
        <f t="shared" ca="1" si="367"/>
        <v>-</v>
      </c>
      <c r="N4677" s="18" t="str">
        <f t="shared" si="368"/>
        <v>K1622:L5000</v>
      </c>
      <c r="O4677" t="str">
        <f t="shared" si="369"/>
        <v>A1622:A4677</v>
      </c>
    </row>
    <row r="4678" spans="1:15">
      <c r="A4678" s="18">
        <f>Charms!K4678</f>
        <v>0</v>
      </c>
      <c r="B4678">
        <f>Charms!B4678</f>
        <v>0</v>
      </c>
      <c r="C4678" t="b">
        <f ca="1">OR(Values!$S$98&gt;=Charms!M4678,IFERROR(Charms!J4678=OFFSET(Values!$A$24,MATCH("S",Values!$T$25:$T$50,0),0),FALSE))</f>
        <v>1</v>
      </c>
      <c r="D4678" t="e">
        <f>VLOOKUP(Charms!J4678,Values!$A$11:$S$59,19,0)&gt;=Charms!L4678</f>
        <v>#N/A</v>
      </c>
      <c r="E4678" t="e">
        <f>OR(ISBLANK(Charms!I4678),(VLOOKUP(Values!$S$6,Castes!$B$2:$F$25,4,0)=Charms!I4678))</f>
        <v>#N/A</v>
      </c>
      <c r="J4678" t="e">
        <f t="shared" ca="1" si="366"/>
        <v>#N/A</v>
      </c>
      <c r="K4678" s="18" t="e">
        <f t="shared" ca="1" si="365"/>
        <v>#N/A</v>
      </c>
      <c r="L4678" t="e">
        <f ca="1">IF(J4678,Charms!B4678,"")</f>
        <v>#N/A</v>
      </c>
      <c r="M4678" t="str">
        <f t="shared" ca="1" si="367"/>
        <v>-</v>
      </c>
      <c r="N4678" s="18" t="str">
        <f t="shared" si="368"/>
        <v>K1622:L5000</v>
      </c>
      <c r="O4678" t="str">
        <f t="shared" si="369"/>
        <v>A1622:A4678</v>
      </c>
    </row>
    <row r="4679" spans="1:15">
      <c r="A4679" s="18">
        <f>Charms!K4679</f>
        <v>0</v>
      </c>
      <c r="B4679">
        <f>Charms!B4679</f>
        <v>0</v>
      </c>
      <c r="C4679" t="b">
        <f ca="1">OR(Values!$S$98&gt;=Charms!M4679,IFERROR(Charms!J4679=OFFSET(Values!$A$24,MATCH("S",Values!$T$25:$T$50,0),0),FALSE))</f>
        <v>1</v>
      </c>
      <c r="D4679" t="e">
        <f>VLOOKUP(Charms!J4679,Values!$A$11:$S$59,19,0)&gt;=Charms!L4679</f>
        <v>#N/A</v>
      </c>
      <c r="E4679" t="e">
        <f>OR(ISBLANK(Charms!I4679),(VLOOKUP(Values!$S$6,Castes!$B$2:$F$25,4,0)=Charms!I4679))</f>
        <v>#N/A</v>
      </c>
      <c r="J4679" t="e">
        <f t="shared" ca="1" si="366"/>
        <v>#N/A</v>
      </c>
      <c r="K4679" s="18" t="e">
        <f t="shared" ca="1" si="365"/>
        <v>#N/A</v>
      </c>
      <c r="L4679" t="e">
        <f ca="1">IF(J4679,Charms!B4679,"")</f>
        <v>#N/A</v>
      </c>
      <c r="M4679" t="str">
        <f t="shared" ca="1" si="367"/>
        <v>-</v>
      </c>
      <c r="N4679" s="18" t="str">
        <f t="shared" si="368"/>
        <v>K1622:L5000</v>
      </c>
      <c r="O4679" t="str">
        <f t="shared" si="369"/>
        <v>A1622:A4679</v>
      </c>
    </row>
    <row r="4680" spans="1:15">
      <c r="A4680" s="18">
        <f>Charms!K4680</f>
        <v>0</v>
      </c>
      <c r="B4680">
        <f>Charms!B4680</f>
        <v>0</v>
      </c>
      <c r="C4680" t="b">
        <f ca="1">OR(Values!$S$98&gt;=Charms!M4680,IFERROR(Charms!J4680=OFFSET(Values!$A$24,MATCH("S",Values!$T$25:$T$50,0),0),FALSE))</f>
        <v>1</v>
      </c>
      <c r="D4680" t="e">
        <f>VLOOKUP(Charms!J4680,Values!$A$11:$S$59,19,0)&gt;=Charms!L4680</f>
        <v>#N/A</v>
      </c>
      <c r="E4680" t="e">
        <f>OR(ISBLANK(Charms!I4680),(VLOOKUP(Values!$S$6,Castes!$B$2:$F$25,4,0)=Charms!I4680))</f>
        <v>#N/A</v>
      </c>
      <c r="J4680" t="e">
        <f t="shared" ca="1" si="366"/>
        <v>#N/A</v>
      </c>
      <c r="K4680" s="18" t="e">
        <f t="shared" ca="1" si="365"/>
        <v>#N/A</v>
      </c>
      <c r="L4680" t="e">
        <f ca="1">IF(J4680,Charms!B4680,"")</f>
        <v>#N/A</v>
      </c>
      <c r="M4680" t="str">
        <f t="shared" ca="1" si="367"/>
        <v>-</v>
      </c>
      <c r="N4680" s="18" t="str">
        <f t="shared" si="368"/>
        <v>K1622:L5000</v>
      </c>
      <c r="O4680" t="str">
        <f t="shared" si="369"/>
        <v>A1622:A4680</v>
      </c>
    </row>
    <row r="4681" spans="1:15">
      <c r="A4681" s="18">
        <f>Charms!K4681</f>
        <v>0</v>
      </c>
      <c r="B4681">
        <f>Charms!B4681</f>
        <v>0</v>
      </c>
      <c r="C4681" t="b">
        <f ca="1">OR(Values!$S$98&gt;=Charms!M4681,IFERROR(Charms!J4681=OFFSET(Values!$A$24,MATCH("S",Values!$T$25:$T$50,0),0),FALSE))</f>
        <v>1</v>
      </c>
      <c r="D4681" t="e">
        <f>VLOOKUP(Charms!J4681,Values!$A$11:$S$59,19,0)&gt;=Charms!L4681</f>
        <v>#N/A</v>
      </c>
      <c r="E4681" t="e">
        <f>OR(ISBLANK(Charms!I4681),(VLOOKUP(Values!$S$6,Castes!$B$2:$F$25,4,0)=Charms!I4681))</f>
        <v>#N/A</v>
      </c>
      <c r="J4681" t="e">
        <f t="shared" ca="1" si="366"/>
        <v>#N/A</v>
      </c>
      <c r="K4681" s="18" t="e">
        <f t="shared" ca="1" si="365"/>
        <v>#N/A</v>
      </c>
      <c r="L4681" t="e">
        <f ca="1">IF(J4681,Charms!B4681,"")</f>
        <v>#N/A</v>
      </c>
      <c r="M4681" t="str">
        <f t="shared" ca="1" si="367"/>
        <v>-</v>
      </c>
      <c r="N4681" s="18" t="str">
        <f t="shared" si="368"/>
        <v>K1622:L5000</v>
      </c>
      <c r="O4681" t="str">
        <f t="shared" si="369"/>
        <v>A1622:A4681</v>
      </c>
    </row>
    <row r="4682" spans="1:15">
      <c r="A4682" s="18">
        <f>Charms!K4682</f>
        <v>0</v>
      </c>
      <c r="B4682">
        <f>Charms!B4682</f>
        <v>0</v>
      </c>
      <c r="C4682" t="b">
        <f ca="1">OR(Values!$S$98&gt;=Charms!M4682,IFERROR(Charms!J4682=OFFSET(Values!$A$24,MATCH("S",Values!$T$25:$T$50,0),0),FALSE))</f>
        <v>1</v>
      </c>
      <c r="D4682" t="e">
        <f>VLOOKUP(Charms!J4682,Values!$A$11:$S$59,19,0)&gt;=Charms!L4682</f>
        <v>#N/A</v>
      </c>
      <c r="E4682" t="e">
        <f>OR(ISBLANK(Charms!I4682),(VLOOKUP(Values!$S$6,Castes!$B$2:$F$25,4,0)=Charms!I4682))</f>
        <v>#N/A</v>
      </c>
      <c r="J4682" t="e">
        <f t="shared" ca="1" si="366"/>
        <v>#N/A</v>
      </c>
      <c r="K4682" s="18" t="e">
        <f t="shared" ca="1" si="365"/>
        <v>#N/A</v>
      </c>
      <c r="L4682" t="e">
        <f ca="1">IF(J4682,Charms!B4682,"")</f>
        <v>#N/A</v>
      </c>
      <c r="M4682" t="str">
        <f t="shared" ca="1" si="367"/>
        <v>-</v>
      </c>
      <c r="N4682" s="18" t="str">
        <f t="shared" si="368"/>
        <v>K1622:L5000</v>
      </c>
      <c r="O4682" t="str">
        <f t="shared" si="369"/>
        <v>A1622:A4682</v>
      </c>
    </row>
    <row r="4683" spans="1:15">
      <c r="A4683" s="18">
        <f>Charms!K4683</f>
        <v>0</v>
      </c>
      <c r="B4683">
        <f>Charms!B4683</f>
        <v>0</v>
      </c>
      <c r="C4683" t="b">
        <f ca="1">OR(Values!$S$98&gt;=Charms!M4683,IFERROR(Charms!J4683=OFFSET(Values!$A$24,MATCH("S",Values!$T$25:$T$50,0),0),FALSE))</f>
        <v>1</v>
      </c>
      <c r="D4683" t="e">
        <f>VLOOKUP(Charms!J4683,Values!$A$11:$S$59,19,0)&gt;=Charms!L4683</f>
        <v>#N/A</v>
      </c>
      <c r="E4683" t="e">
        <f>OR(ISBLANK(Charms!I4683),(VLOOKUP(Values!$S$6,Castes!$B$2:$F$25,4,0)=Charms!I4683))</f>
        <v>#N/A</v>
      </c>
      <c r="J4683" t="e">
        <f t="shared" ca="1" si="366"/>
        <v>#N/A</v>
      </c>
      <c r="K4683" s="18" t="e">
        <f t="shared" ca="1" si="365"/>
        <v>#N/A</v>
      </c>
      <c r="L4683" t="e">
        <f ca="1">IF(J4683,Charms!B4683,"")</f>
        <v>#N/A</v>
      </c>
      <c r="M4683" t="str">
        <f t="shared" ca="1" si="367"/>
        <v>-</v>
      </c>
      <c r="N4683" s="18" t="str">
        <f t="shared" si="368"/>
        <v>K1622:L5000</v>
      </c>
      <c r="O4683" t="str">
        <f t="shared" si="369"/>
        <v>A1622:A4683</v>
      </c>
    </row>
    <row r="4684" spans="1:15">
      <c r="A4684" s="18">
        <f>Charms!K4684</f>
        <v>0</v>
      </c>
      <c r="B4684">
        <f>Charms!B4684</f>
        <v>0</v>
      </c>
      <c r="C4684" t="b">
        <f ca="1">OR(Values!$S$98&gt;=Charms!M4684,IFERROR(Charms!J4684=OFFSET(Values!$A$24,MATCH("S",Values!$T$25:$T$50,0),0),FALSE))</f>
        <v>1</v>
      </c>
      <c r="D4684" t="e">
        <f>VLOOKUP(Charms!J4684,Values!$A$11:$S$59,19,0)&gt;=Charms!L4684</f>
        <v>#N/A</v>
      </c>
      <c r="E4684" t="e">
        <f>OR(ISBLANK(Charms!I4684),(VLOOKUP(Values!$S$6,Castes!$B$2:$F$25,4,0)=Charms!I4684))</f>
        <v>#N/A</v>
      </c>
      <c r="J4684" t="e">
        <f t="shared" ca="1" si="366"/>
        <v>#N/A</v>
      </c>
      <c r="K4684" s="18" t="e">
        <f t="shared" ca="1" si="365"/>
        <v>#N/A</v>
      </c>
      <c r="L4684" t="e">
        <f ca="1">IF(J4684,Charms!B4684,"")</f>
        <v>#N/A</v>
      </c>
      <c r="M4684" t="str">
        <f t="shared" ca="1" si="367"/>
        <v>-</v>
      </c>
      <c r="N4684" s="18" t="str">
        <f t="shared" si="368"/>
        <v>K1622:L5000</v>
      </c>
      <c r="O4684" t="str">
        <f t="shared" si="369"/>
        <v>A1622:A4684</v>
      </c>
    </row>
    <row r="4685" spans="1:15">
      <c r="A4685" s="18">
        <f>Charms!K4685</f>
        <v>0</v>
      </c>
      <c r="B4685">
        <f>Charms!B4685</f>
        <v>0</v>
      </c>
      <c r="C4685" t="b">
        <f ca="1">OR(Values!$S$98&gt;=Charms!M4685,IFERROR(Charms!J4685=OFFSET(Values!$A$24,MATCH("S",Values!$T$25:$T$50,0),0),FALSE))</f>
        <v>1</v>
      </c>
      <c r="D4685" t="e">
        <f>VLOOKUP(Charms!J4685,Values!$A$11:$S$59,19,0)&gt;=Charms!L4685</f>
        <v>#N/A</v>
      </c>
      <c r="E4685" t="e">
        <f>OR(ISBLANK(Charms!I4685),(VLOOKUP(Values!$S$6,Castes!$B$2:$F$25,4,0)=Charms!I4685))</f>
        <v>#N/A</v>
      </c>
      <c r="J4685" t="e">
        <f t="shared" ca="1" si="366"/>
        <v>#N/A</v>
      </c>
      <c r="K4685" s="18" t="e">
        <f t="shared" ca="1" si="365"/>
        <v>#N/A</v>
      </c>
      <c r="L4685" t="e">
        <f ca="1">IF(J4685,Charms!B4685,"")</f>
        <v>#N/A</v>
      </c>
      <c r="M4685" t="str">
        <f t="shared" ca="1" si="367"/>
        <v>-</v>
      </c>
      <c r="N4685" s="18" t="str">
        <f t="shared" si="368"/>
        <v>K1622:L5000</v>
      </c>
      <c r="O4685" t="str">
        <f t="shared" si="369"/>
        <v>A1622:A4685</v>
      </c>
    </row>
    <row r="4686" spans="1:15">
      <c r="A4686" s="18">
        <f>Charms!K4686</f>
        <v>0</v>
      </c>
      <c r="B4686">
        <f>Charms!B4686</f>
        <v>0</v>
      </c>
      <c r="C4686" t="b">
        <f ca="1">OR(Values!$S$98&gt;=Charms!M4686,IFERROR(Charms!J4686=OFFSET(Values!$A$24,MATCH("S",Values!$T$25:$T$50,0),0),FALSE))</f>
        <v>1</v>
      </c>
      <c r="D4686" t="e">
        <f>VLOOKUP(Charms!J4686,Values!$A$11:$S$59,19,0)&gt;=Charms!L4686</f>
        <v>#N/A</v>
      </c>
      <c r="E4686" t="e">
        <f>OR(ISBLANK(Charms!I4686),(VLOOKUP(Values!$S$6,Castes!$B$2:$F$25,4,0)=Charms!I4686))</f>
        <v>#N/A</v>
      </c>
      <c r="J4686" t="e">
        <f t="shared" ca="1" si="366"/>
        <v>#N/A</v>
      </c>
      <c r="K4686" s="18" t="e">
        <f t="shared" ca="1" si="365"/>
        <v>#N/A</v>
      </c>
      <c r="L4686" t="e">
        <f ca="1">IF(J4686,Charms!B4686,"")</f>
        <v>#N/A</v>
      </c>
      <c r="M4686" t="str">
        <f t="shared" ca="1" si="367"/>
        <v>-</v>
      </c>
      <c r="N4686" s="18" t="str">
        <f t="shared" si="368"/>
        <v>K1622:L5000</v>
      </c>
      <c r="O4686" t="str">
        <f t="shared" si="369"/>
        <v>A1622:A4686</v>
      </c>
    </row>
    <row r="4687" spans="1:15">
      <c r="A4687" s="18">
        <f>Charms!K4687</f>
        <v>0</v>
      </c>
      <c r="B4687">
        <f>Charms!B4687</f>
        <v>0</v>
      </c>
      <c r="C4687" t="b">
        <f ca="1">OR(Values!$S$98&gt;=Charms!M4687,IFERROR(Charms!J4687=OFFSET(Values!$A$24,MATCH("S",Values!$T$25:$T$50,0),0),FALSE))</f>
        <v>1</v>
      </c>
      <c r="D4687" t="e">
        <f>VLOOKUP(Charms!J4687,Values!$A$11:$S$59,19,0)&gt;=Charms!L4687</f>
        <v>#N/A</v>
      </c>
      <c r="E4687" t="e">
        <f>OR(ISBLANK(Charms!I4687),(VLOOKUP(Values!$S$6,Castes!$B$2:$F$25,4,0)=Charms!I4687))</f>
        <v>#N/A</v>
      </c>
      <c r="J4687" t="e">
        <f t="shared" ca="1" si="366"/>
        <v>#N/A</v>
      </c>
      <c r="K4687" s="18" t="e">
        <f t="shared" ca="1" si="365"/>
        <v>#N/A</v>
      </c>
      <c r="L4687" t="e">
        <f ca="1">IF(J4687,Charms!B4687,"")</f>
        <v>#N/A</v>
      </c>
      <c r="M4687" t="str">
        <f t="shared" ca="1" si="367"/>
        <v>-</v>
      </c>
      <c r="N4687" s="18" t="str">
        <f t="shared" si="368"/>
        <v>K1622:L5000</v>
      </c>
      <c r="O4687" t="str">
        <f t="shared" si="369"/>
        <v>A1622:A4687</v>
      </c>
    </row>
    <row r="4688" spans="1:15">
      <c r="A4688" s="18">
        <f>Charms!K4688</f>
        <v>0</v>
      </c>
      <c r="B4688">
        <f>Charms!B4688</f>
        <v>0</v>
      </c>
      <c r="C4688" t="b">
        <f ca="1">OR(Values!$S$98&gt;=Charms!M4688,IFERROR(Charms!J4688=OFFSET(Values!$A$24,MATCH("S",Values!$T$25:$T$50,0),0),FALSE))</f>
        <v>1</v>
      </c>
      <c r="D4688" t="e">
        <f>VLOOKUP(Charms!J4688,Values!$A$11:$S$59,19,0)&gt;=Charms!L4688</f>
        <v>#N/A</v>
      </c>
      <c r="E4688" t="e">
        <f>OR(ISBLANK(Charms!I4688),(VLOOKUP(Values!$S$6,Castes!$B$2:$F$25,4,0)=Charms!I4688))</f>
        <v>#N/A</v>
      </c>
      <c r="J4688" t="e">
        <f t="shared" ca="1" si="366"/>
        <v>#N/A</v>
      </c>
      <c r="K4688" s="18" t="e">
        <f t="shared" ca="1" si="365"/>
        <v>#N/A</v>
      </c>
      <c r="L4688" t="e">
        <f ca="1">IF(J4688,Charms!B4688,"")</f>
        <v>#N/A</v>
      </c>
      <c r="M4688" t="str">
        <f t="shared" ca="1" si="367"/>
        <v>-</v>
      </c>
      <c r="N4688" s="18" t="str">
        <f t="shared" si="368"/>
        <v>K1622:L5000</v>
      </c>
      <c r="O4688" t="str">
        <f t="shared" si="369"/>
        <v>A1622:A4688</v>
      </c>
    </row>
    <row r="4689" spans="1:15">
      <c r="A4689" s="18">
        <f>Charms!K4689</f>
        <v>0</v>
      </c>
      <c r="B4689">
        <f>Charms!B4689</f>
        <v>0</v>
      </c>
      <c r="C4689" t="b">
        <f ca="1">OR(Values!$S$98&gt;=Charms!M4689,IFERROR(Charms!J4689=OFFSET(Values!$A$24,MATCH("S",Values!$T$25:$T$50,0),0),FALSE))</f>
        <v>1</v>
      </c>
      <c r="D4689" t="e">
        <f>VLOOKUP(Charms!J4689,Values!$A$11:$S$59,19,0)&gt;=Charms!L4689</f>
        <v>#N/A</v>
      </c>
      <c r="E4689" t="e">
        <f>OR(ISBLANK(Charms!I4689),(VLOOKUP(Values!$S$6,Castes!$B$2:$F$25,4,0)=Charms!I4689))</f>
        <v>#N/A</v>
      </c>
      <c r="J4689" t="e">
        <f t="shared" ca="1" si="366"/>
        <v>#N/A</v>
      </c>
      <c r="K4689" s="18" t="e">
        <f t="shared" ca="1" si="365"/>
        <v>#N/A</v>
      </c>
      <c r="L4689" t="e">
        <f ca="1">IF(J4689,Charms!B4689,"")</f>
        <v>#N/A</v>
      </c>
      <c r="M4689" t="str">
        <f t="shared" ca="1" si="367"/>
        <v>-</v>
      </c>
      <c r="N4689" s="18" t="str">
        <f t="shared" si="368"/>
        <v>K1622:L5000</v>
      </c>
      <c r="O4689" t="str">
        <f t="shared" si="369"/>
        <v>A1622:A4689</v>
      </c>
    </row>
    <row r="4690" spans="1:15">
      <c r="A4690" s="18">
        <f>Charms!K4690</f>
        <v>0</v>
      </c>
      <c r="B4690">
        <f>Charms!B4690</f>
        <v>0</v>
      </c>
      <c r="C4690" t="b">
        <f ca="1">OR(Values!$S$98&gt;=Charms!M4690,IFERROR(Charms!J4690=OFFSET(Values!$A$24,MATCH("S",Values!$T$25:$T$50,0),0),FALSE))</f>
        <v>1</v>
      </c>
      <c r="D4690" t="e">
        <f>VLOOKUP(Charms!J4690,Values!$A$11:$S$59,19,0)&gt;=Charms!L4690</f>
        <v>#N/A</v>
      </c>
      <c r="E4690" t="e">
        <f>OR(ISBLANK(Charms!I4690),(VLOOKUP(Values!$S$6,Castes!$B$2:$F$25,4,0)=Charms!I4690))</f>
        <v>#N/A</v>
      </c>
      <c r="J4690" t="e">
        <f t="shared" ca="1" si="366"/>
        <v>#N/A</v>
      </c>
      <c r="K4690" s="18" t="e">
        <f t="shared" ca="1" si="365"/>
        <v>#N/A</v>
      </c>
      <c r="L4690" t="e">
        <f ca="1">IF(J4690,Charms!B4690,"")</f>
        <v>#N/A</v>
      </c>
      <c r="M4690" t="str">
        <f t="shared" ca="1" si="367"/>
        <v>-</v>
      </c>
      <c r="N4690" s="18" t="str">
        <f t="shared" si="368"/>
        <v>K1622:L5000</v>
      </c>
      <c r="O4690" t="str">
        <f t="shared" si="369"/>
        <v>A1622:A4690</v>
      </c>
    </row>
    <row r="4691" spans="1:15">
      <c r="A4691" s="18">
        <f>Charms!K4691</f>
        <v>0</v>
      </c>
      <c r="B4691">
        <f>Charms!B4691</f>
        <v>0</v>
      </c>
      <c r="C4691" t="b">
        <f ca="1">OR(Values!$S$98&gt;=Charms!M4691,IFERROR(Charms!J4691=OFFSET(Values!$A$24,MATCH("S",Values!$T$25:$T$50,0),0),FALSE))</f>
        <v>1</v>
      </c>
      <c r="D4691" t="e">
        <f>VLOOKUP(Charms!J4691,Values!$A$11:$S$59,19,0)&gt;=Charms!L4691</f>
        <v>#N/A</v>
      </c>
      <c r="E4691" t="e">
        <f>OR(ISBLANK(Charms!I4691),(VLOOKUP(Values!$S$6,Castes!$B$2:$F$25,4,0)=Charms!I4691))</f>
        <v>#N/A</v>
      </c>
      <c r="J4691" t="e">
        <f t="shared" ca="1" si="366"/>
        <v>#N/A</v>
      </c>
      <c r="K4691" s="18" t="e">
        <f t="shared" ca="1" si="365"/>
        <v>#N/A</v>
      </c>
      <c r="L4691" t="e">
        <f ca="1">IF(J4691,Charms!B4691,"")</f>
        <v>#N/A</v>
      </c>
      <c r="M4691" t="str">
        <f t="shared" ca="1" si="367"/>
        <v>-</v>
      </c>
      <c r="N4691" s="18" t="str">
        <f t="shared" si="368"/>
        <v>K1622:L5000</v>
      </c>
      <c r="O4691" t="str">
        <f t="shared" si="369"/>
        <v>A1622:A4691</v>
      </c>
    </row>
    <row r="4692" spans="1:15">
      <c r="A4692" s="18">
        <f>Charms!K4692</f>
        <v>0</v>
      </c>
      <c r="B4692">
        <f>Charms!B4692</f>
        <v>0</v>
      </c>
      <c r="C4692" t="b">
        <f ca="1">OR(Values!$S$98&gt;=Charms!M4692,IFERROR(Charms!J4692=OFFSET(Values!$A$24,MATCH("S",Values!$T$25:$T$50,0),0),FALSE))</f>
        <v>1</v>
      </c>
      <c r="D4692" t="e">
        <f>VLOOKUP(Charms!J4692,Values!$A$11:$S$59,19,0)&gt;=Charms!L4692</f>
        <v>#N/A</v>
      </c>
      <c r="E4692" t="e">
        <f>OR(ISBLANK(Charms!I4692),(VLOOKUP(Values!$S$6,Castes!$B$2:$F$25,4,0)=Charms!I4692))</f>
        <v>#N/A</v>
      </c>
      <c r="J4692" t="e">
        <f t="shared" ca="1" si="366"/>
        <v>#N/A</v>
      </c>
      <c r="K4692" s="18" t="e">
        <f t="shared" ca="1" si="365"/>
        <v>#N/A</v>
      </c>
      <c r="L4692" t="e">
        <f ca="1">IF(J4692,Charms!B4692,"")</f>
        <v>#N/A</v>
      </c>
      <c r="M4692" t="str">
        <f t="shared" ca="1" si="367"/>
        <v>-</v>
      </c>
      <c r="N4692" s="18" t="str">
        <f t="shared" si="368"/>
        <v>K1622:L5000</v>
      </c>
      <c r="O4692" t="str">
        <f t="shared" si="369"/>
        <v>A1622:A4692</v>
      </c>
    </row>
    <row r="4693" spans="1:15">
      <c r="A4693" s="18">
        <f>Charms!K4693</f>
        <v>0</v>
      </c>
      <c r="B4693">
        <f>Charms!B4693</f>
        <v>0</v>
      </c>
      <c r="C4693" t="b">
        <f ca="1">OR(Values!$S$98&gt;=Charms!M4693,IFERROR(Charms!J4693=OFFSET(Values!$A$24,MATCH("S",Values!$T$25:$T$50,0),0),FALSE))</f>
        <v>1</v>
      </c>
      <c r="D4693" t="e">
        <f>VLOOKUP(Charms!J4693,Values!$A$11:$S$59,19,0)&gt;=Charms!L4693</f>
        <v>#N/A</v>
      </c>
      <c r="E4693" t="e">
        <f>OR(ISBLANK(Charms!I4693),(VLOOKUP(Values!$S$6,Castes!$B$2:$F$25,4,0)=Charms!I4693))</f>
        <v>#N/A</v>
      </c>
      <c r="J4693" t="e">
        <f t="shared" ca="1" si="366"/>
        <v>#N/A</v>
      </c>
      <c r="K4693" s="18" t="e">
        <f t="shared" ca="1" si="365"/>
        <v>#N/A</v>
      </c>
      <c r="L4693" t="e">
        <f ca="1">IF(J4693,Charms!B4693,"")</f>
        <v>#N/A</v>
      </c>
      <c r="M4693" t="str">
        <f t="shared" ca="1" si="367"/>
        <v>-</v>
      </c>
      <c r="N4693" s="18" t="str">
        <f t="shared" si="368"/>
        <v>K1622:L5000</v>
      </c>
      <c r="O4693" t="str">
        <f t="shared" si="369"/>
        <v>A1622:A4693</v>
      </c>
    </row>
    <row r="4694" spans="1:15">
      <c r="A4694" s="18">
        <f>Charms!K4694</f>
        <v>0</v>
      </c>
      <c r="B4694">
        <f>Charms!B4694</f>
        <v>0</v>
      </c>
      <c r="C4694" t="b">
        <f ca="1">OR(Values!$S$98&gt;=Charms!M4694,IFERROR(Charms!J4694=OFFSET(Values!$A$24,MATCH("S",Values!$T$25:$T$50,0),0),FALSE))</f>
        <v>1</v>
      </c>
      <c r="D4694" t="e">
        <f>VLOOKUP(Charms!J4694,Values!$A$11:$S$59,19,0)&gt;=Charms!L4694</f>
        <v>#N/A</v>
      </c>
      <c r="E4694" t="e">
        <f>OR(ISBLANK(Charms!I4694),(VLOOKUP(Values!$S$6,Castes!$B$2:$F$25,4,0)=Charms!I4694))</f>
        <v>#N/A</v>
      </c>
      <c r="J4694" t="e">
        <f t="shared" ca="1" si="366"/>
        <v>#N/A</v>
      </c>
      <c r="K4694" s="18" t="e">
        <f t="shared" ca="1" si="365"/>
        <v>#N/A</v>
      </c>
      <c r="L4694" t="e">
        <f ca="1">IF(J4694,Charms!B4694,"")</f>
        <v>#N/A</v>
      </c>
      <c r="M4694" t="str">
        <f t="shared" ca="1" si="367"/>
        <v>-</v>
      </c>
      <c r="N4694" s="18" t="str">
        <f t="shared" si="368"/>
        <v>K1622:L5000</v>
      </c>
      <c r="O4694" t="str">
        <f t="shared" si="369"/>
        <v>A1622:A4694</v>
      </c>
    </row>
    <row r="4695" spans="1:15">
      <c r="A4695" s="18">
        <f>Charms!K4695</f>
        <v>0</v>
      </c>
      <c r="B4695">
        <f>Charms!B4695</f>
        <v>0</v>
      </c>
      <c r="C4695" t="b">
        <f ca="1">OR(Values!$S$98&gt;=Charms!M4695,IFERROR(Charms!J4695=OFFSET(Values!$A$24,MATCH("S",Values!$T$25:$T$50,0),0),FALSE))</f>
        <v>1</v>
      </c>
      <c r="D4695" t="e">
        <f>VLOOKUP(Charms!J4695,Values!$A$11:$S$59,19,0)&gt;=Charms!L4695</f>
        <v>#N/A</v>
      </c>
      <c r="E4695" t="e">
        <f>OR(ISBLANK(Charms!I4695),(VLOOKUP(Values!$S$6,Castes!$B$2:$F$25,4,0)=Charms!I4695))</f>
        <v>#N/A</v>
      </c>
      <c r="J4695" t="e">
        <f t="shared" ca="1" si="366"/>
        <v>#N/A</v>
      </c>
      <c r="K4695" s="18" t="e">
        <f t="shared" ca="1" si="365"/>
        <v>#N/A</v>
      </c>
      <c r="L4695" t="e">
        <f ca="1">IF(J4695,Charms!B4695,"")</f>
        <v>#N/A</v>
      </c>
      <c r="M4695" t="str">
        <f t="shared" ca="1" si="367"/>
        <v>-</v>
      </c>
      <c r="N4695" s="18" t="str">
        <f t="shared" si="368"/>
        <v>K1622:L5000</v>
      </c>
      <c r="O4695" t="str">
        <f t="shared" si="369"/>
        <v>A1622:A4695</v>
      </c>
    </row>
    <row r="4696" spans="1:15">
      <c r="A4696" s="18">
        <f>Charms!K4696</f>
        <v>0</v>
      </c>
      <c r="B4696">
        <f>Charms!B4696</f>
        <v>0</v>
      </c>
      <c r="C4696" t="b">
        <f ca="1">OR(Values!$S$98&gt;=Charms!M4696,IFERROR(Charms!J4696=OFFSET(Values!$A$24,MATCH("S",Values!$T$25:$T$50,0),0),FALSE))</f>
        <v>1</v>
      </c>
      <c r="D4696" t="e">
        <f>VLOOKUP(Charms!J4696,Values!$A$11:$S$59,19,0)&gt;=Charms!L4696</f>
        <v>#N/A</v>
      </c>
      <c r="E4696" t="e">
        <f>OR(ISBLANK(Charms!I4696),(VLOOKUP(Values!$S$6,Castes!$B$2:$F$25,4,0)=Charms!I4696))</f>
        <v>#N/A</v>
      </c>
      <c r="J4696" t="e">
        <f t="shared" ca="1" si="366"/>
        <v>#N/A</v>
      </c>
      <c r="K4696" s="18" t="e">
        <f t="shared" ca="1" si="365"/>
        <v>#N/A</v>
      </c>
      <c r="L4696" t="e">
        <f ca="1">IF(J4696,Charms!B4696,"")</f>
        <v>#N/A</v>
      </c>
      <c r="M4696" t="str">
        <f t="shared" ca="1" si="367"/>
        <v>-</v>
      </c>
      <c r="N4696" s="18" t="str">
        <f t="shared" si="368"/>
        <v>K1622:L5000</v>
      </c>
      <c r="O4696" t="str">
        <f t="shared" si="369"/>
        <v>A1622:A4696</v>
      </c>
    </row>
    <row r="4697" spans="1:15">
      <c r="A4697" s="18">
        <f>Charms!K4697</f>
        <v>0</v>
      </c>
      <c r="B4697">
        <f>Charms!B4697</f>
        <v>0</v>
      </c>
      <c r="C4697" t="b">
        <f ca="1">OR(Values!$S$98&gt;=Charms!M4697,IFERROR(Charms!J4697=OFFSET(Values!$A$24,MATCH("S",Values!$T$25:$T$50,0),0),FALSE))</f>
        <v>1</v>
      </c>
      <c r="D4697" t="e">
        <f>VLOOKUP(Charms!J4697,Values!$A$11:$S$59,19,0)&gt;=Charms!L4697</f>
        <v>#N/A</v>
      </c>
      <c r="E4697" t="e">
        <f>OR(ISBLANK(Charms!I4697),(VLOOKUP(Values!$S$6,Castes!$B$2:$F$25,4,0)=Charms!I4697))</f>
        <v>#N/A</v>
      </c>
      <c r="J4697" t="e">
        <f t="shared" ca="1" si="366"/>
        <v>#N/A</v>
      </c>
      <c r="K4697" s="18" t="e">
        <f t="shared" ca="1" si="365"/>
        <v>#N/A</v>
      </c>
      <c r="L4697" t="e">
        <f ca="1">IF(J4697,Charms!B4697,"")</f>
        <v>#N/A</v>
      </c>
      <c r="M4697" t="str">
        <f t="shared" ca="1" si="367"/>
        <v>-</v>
      </c>
      <c r="N4697" s="18" t="str">
        <f t="shared" si="368"/>
        <v>K1622:L5000</v>
      </c>
      <c r="O4697" t="str">
        <f t="shared" si="369"/>
        <v>A1622:A4697</v>
      </c>
    </row>
    <row r="4698" spans="1:15">
      <c r="A4698" s="18">
        <f>Charms!K4698</f>
        <v>0</v>
      </c>
      <c r="B4698">
        <f>Charms!B4698</f>
        <v>0</v>
      </c>
      <c r="C4698" t="b">
        <f ca="1">OR(Values!$S$98&gt;=Charms!M4698,IFERROR(Charms!J4698=OFFSET(Values!$A$24,MATCH("S",Values!$T$25:$T$50,0),0),FALSE))</f>
        <v>1</v>
      </c>
      <c r="D4698" t="e">
        <f>VLOOKUP(Charms!J4698,Values!$A$11:$S$59,19,0)&gt;=Charms!L4698</f>
        <v>#N/A</v>
      </c>
      <c r="E4698" t="e">
        <f>OR(ISBLANK(Charms!I4698),(VLOOKUP(Values!$S$6,Castes!$B$2:$F$25,4,0)=Charms!I4698))</f>
        <v>#N/A</v>
      </c>
      <c r="J4698" t="e">
        <f t="shared" ca="1" si="366"/>
        <v>#N/A</v>
      </c>
      <c r="K4698" s="18" t="e">
        <f t="shared" ca="1" si="365"/>
        <v>#N/A</v>
      </c>
      <c r="L4698" t="e">
        <f ca="1">IF(J4698,Charms!B4698,"")</f>
        <v>#N/A</v>
      </c>
      <c r="M4698" t="str">
        <f t="shared" ca="1" si="367"/>
        <v>-</v>
      </c>
      <c r="N4698" s="18" t="str">
        <f t="shared" si="368"/>
        <v>K1622:L5000</v>
      </c>
      <c r="O4698" t="str">
        <f t="shared" si="369"/>
        <v>A1622:A4698</v>
      </c>
    </row>
    <row r="4699" spans="1:15">
      <c r="A4699" s="18">
        <f>Charms!K4699</f>
        <v>0</v>
      </c>
      <c r="B4699">
        <f>Charms!B4699</f>
        <v>0</v>
      </c>
      <c r="C4699" t="b">
        <f ca="1">OR(Values!$S$98&gt;=Charms!M4699,IFERROR(Charms!J4699=OFFSET(Values!$A$24,MATCH("S",Values!$T$25:$T$50,0),0),FALSE))</f>
        <v>1</v>
      </c>
      <c r="D4699" t="e">
        <f>VLOOKUP(Charms!J4699,Values!$A$11:$S$59,19,0)&gt;=Charms!L4699</f>
        <v>#N/A</v>
      </c>
      <c r="E4699" t="e">
        <f>OR(ISBLANK(Charms!I4699),(VLOOKUP(Values!$S$6,Castes!$B$2:$F$25,4,0)=Charms!I4699))</f>
        <v>#N/A</v>
      </c>
      <c r="J4699" t="e">
        <f t="shared" ca="1" si="366"/>
        <v>#N/A</v>
      </c>
      <c r="K4699" s="18" t="e">
        <f t="shared" ca="1" si="365"/>
        <v>#N/A</v>
      </c>
      <c r="L4699" t="e">
        <f ca="1">IF(J4699,Charms!B4699,"")</f>
        <v>#N/A</v>
      </c>
      <c r="M4699" t="str">
        <f t="shared" ca="1" si="367"/>
        <v>-</v>
      </c>
      <c r="N4699" s="18" t="str">
        <f t="shared" si="368"/>
        <v>K1622:L5000</v>
      </c>
      <c r="O4699" t="str">
        <f t="shared" si="369"/>
        <v>A1622:A4699</v>
      </c>
    </row>
    <row r="4700" spans="1:15">
      <c r="A4700" s="18">
        <f>Charms!K4700</f>
        <v>0</v>
      </c>
      <c r="B4700">
        <f>Charms!B4700</f>
        <v>0</v>
      </c>
      <c r="C4700" t="b">
        <f ca="1">OR(Values!$S$98&gt;=Charms!M4700,IFERROR(Charms!J4700=OFFSET(Values!$A$24,MATCH("S",Values!$T$25:$T$50,0),0),FALSE))</f>
        <v>1</v>
      </c>
      <c r="D4700" t="e">
        <f>VLOOKUP(Charms!J4700,Values!$A$11:$S$59,19,0)&gt;=Charms!L4700</f>
        <v>#N/A</v>
      </c>
      <c r="E4700" t="e">
        <f>OR(ISBLANK(Charms!I4700),(VLOOKUP(Values!$S$6,Castes!$B$2:$F$25,4,0)=Charms!I4700))</f>
        <v>#N/A</v>
      </c>
      <c r="J4700" t="e">
        <f t="shared" ca="1" si="366"/>
        <v>#N/A</v>
      </c>
      <c r="K4700" s="18" t="e">
        <f t="shared" ca="1" si="365"/>
        <v>#N/A</v>
      </c>
      <c r="L4700" t="e">
        <f ca="1">IF(J4700,Charms!B4700,"")</f>
        <v>#N/A</v>
      </c>
      <c r="M4700" t="str">
        <f t="shared" ca="1" si="367"/>
        <v>-</v>
      </c>
      <c r="N4700" s="18" t="str">
        <f t="shared" si="368"/>
        <v>K1622:L5000</v>
      </c>
      <c r="O4700" t="str">
        <f t="shared" si="369"/>
        <v>A1622:A4700</v>
      </c>
    </row>
    <row r="4701" spans="1:15">
      <c r="A4701" s="18">
        <f>Charms!K4701</f>
        <v>0</v>
      </c>
      <c r="B4701">
        <f>Charms!B4701</f>
        <v>0</v>
      </c>
      <c r="C4701" t="b">
        <f ca="1">OR(Values!$S$98&gt;=Charms!M4701,IFERROR(Charms!J4701=OFFSET(Values!$A$24,MATCH("S",Values!$T$25:$T$50,0),0),FALSE))</f>
        <v>1</v>
      </c>
      <c r="D4701" t="e">
        <f>VLOOKUP(Charms!J4701,Values!$A$11:$S$59,19,0)&gt;=Charms!L4701</f>
        <v>#N/A</v>
      </c>
      <c r="E4701" t="e">
        <f>OR(ISBLANK(Charms!I4701),(VLOOKUP(Values!$S$6,Castes!$B$2:$F$25,4,0)=Charms!I4701))</f>
        <v>#N/A</v>
      </c>
      <c r="J4701" t="e">
        <f t="shared" ca="1" si="366"/>
        <v>#N/A</v>
      </c>
      <c r="K4701" s="18" t="e">
        <f t="shared" ca="1" si="365"/>
        <v>#N/A</v>
      </c>
      <c r="L4701" t="e">
        <f ca="1">IF(J4701,Charms!B4701,"")</f>
        <v>#N/A</v>
      </c>
      <c r="M4701" t="str">
        <f t="shared" ca="1" si="367"/>
        <v>-</v>
      </c>
      <c r="N4701" s="18" t="str">
        <f t="shared" si="368"/>
        <v>K1622:L5000</v>
      </c>
      <c r="O4701" t="str">
        <f t="shared" si="369"/>
        <v>A1622:A4701</v>
      </c>
    </row>
    <row r="4702" spans="1:15">
      <c r="A4702" s="18">
        <f>Charms!K4702</f>
        <v>0</v>
      </c>
      <c r="B4702">
        <f>Charms!B4702</f>
        <v>0</v>
      </c>
      <c r="C4702" t="b">
        <f ca="1">OR(Values!$S$98&gt;=Charms!M4702,IFERROR(Charms!J4702=OFFSET(Values!$A$24,MATCH("S",Values!$T$25:$T$50,0),0),FALSE))</f>
        <v>1</v>
      </c>
      <c r="D4702" t="e">
        <f>VLOOKUP(Charms!J4702,Values!$A$11:$S$59,19,0)&gt;=Charms!L4702</f>
        <v>#N/A</v>
      </c>
      <c r="E4702" t="e">
        <f>OR(ISBLANK(Charms!I4702),(VLOOKUP(Values!$S$6,Castes!$B$2:$F$25,4,0)=Charms!I4702))</f>
        <v>#N/A</v>
      </c>
      <c r="J4702" t="e">
        <f t="shared" ca="1" si="366"/>
        <v>#N/A</v>
      </c>
      <c r="K4702" s="18" t="e">
        <f t="shared" ca="1" si="365"/>
        <v>#N/A</v>
      </c>
      <c r="L4702" t="e">
        <f ca="1">IF(J4702,Charms!B4702,"")</f>
        <v>#N/A</v>
      </c>
      <c r="M4702" t="str">
        <f t="shared" ca="1" si="367"/>
        <v>-</v>
      </c>
      <c r="N4702" s="18" t="str">
        <f t="shared" si="368"/>
        <v>K1622:L5000</v>
      </c>
      <c r="O4702" t="str">
        <f t="shared" si="369"/>
        <v>A1622:A4702</v>
      </c>
    </row>
    <row r="4703" spans="1:15">
      <c r="A4703" s="18">
        <f>Charms!K4703</f>
        <v>0</v>
      </c>
      <c r="B4703">
        <f>Charms!B4703</f>
        <v>0</v>
      </c>
      <c r="C4703" t="b">
        <f ca="1">OR(Values!$S$98&gt;=Charms!M4703,IFERROR(Charms!J4703=OFFSET(Values!$A$24,MATCH("S",Values!$T$25:$T$50,0),0),FALSE))</f>
        <v>1</v>
      </c>
      <c r="D4703" t="e">
        <f>VLOOKUP(Charms!J4703,Values!$A$11:$S$59,19,0)&gt;=Charms!L4703</f>
        <v>#N/A</v>
      </c>
      <c r="E4703" t="e">
        <f>OR(ISBLANK(Charms!I4703),(VLOOKUP(Values!$S$6,Castes!$B$2:$F$25,4,0)=Charms!I4703))</f>
        <v>#N/A</v>
      </c>
      <c r="J4703" t="e">
        <f t="shared" ca="1" si="366"/>
        <v>#N/A</v>
      </c>
      <c r="K4703" s="18" t="e">
        <f t="shared" ca="1" si="365"/>
        <v>#N/A</v>
      </c>
      <c r="L4703" t="e">
        <f ca="1">IF(J4703,Charms!B4703,"")</f>
        <v>#N/A</v>
      </c>
      <c r="M4703" t="str">
        <f t="shared" ca="1" si="367"/>
        <v>-</v>
      </c>
      <c r="N4703" s="18" t="str">
        <f t="shared" si="368"/>
        <v>K1622:L5000</v>
      </c>
      <c r="O4703" t="str">
        <f t="shared" si="369"/>
        <v>A1622:A4703</v>
      </c>
    </row>
    <row r="4704" spans="1:15">
      <c r="A4704" s="18">
        <f>Charms!K4704</f>
        <v>0</v>
      </c>
      <c r="B4704">
        <f>Charms!B4704</f>
        <v>0</v>
      </c>
      <c r="C4704" t="b">
        <f ca="1">OR(Values!$S$98&gt;=Charms!M4704,IFERROR(Charms!J4704=OFFSET(Values!$A$24,MATCH("S",Values!$T$25:$T$50,0),0),FALSE))</f>
        <v>1</v>
      </c>
      <c r="D4704" t="e">
        <f>VLOOKUP(Charms!J4704,Values!$A$11:$S$59,19,0)&gt;=Charms!L4704</f>
        <v>#N/A</v>
      </c>
      <c r="E4704" t="e">
        <f>OR(ISBLANK(Charms!I4704),(VLOOKUP(Values!$S$6,Castes!$B$2:$F$25,4,0)=Charms!I4704))</f>
        <v>#N/A</v>
      </c>
      <c r="J4704" t="e">
        <f t="shared" ca="1" si="366"/>
        <v>#N/A</v>
      </c>
      <c r="K4704" s="18" t="e">
        <f t="shared" ca="1" si="365"/>
        <v>#N/A</v>
      </c>
      <c r="L4704" t="e">
        <f ca="1">IF(J4704,Charms!B4704,"")</f>
        <v>#N/A</v>
      </c>
      <c r="M4704" t="str">
        <f t="shared" ca="1" si="367"/>
        <v>-</v>
      </c>
      <c r="N4704" s="18" t="str">
        <f t="shared" si="368"/>
        <v>K1622:L5000</v>
      </c>
      <c r="O4704" t="str">
        <f t="shared" si="369"/>
        <v>A1622:A4704</v>
      </c>
    </row>
    <row r="4705" spans="1:15">
      <c r="A4705" s="18">
        <f>Charms!K4705</f>
        <v>0</v>
      </c>
      <c r="B4705">
        <f>Charms!B4705</f>
        <v>0</v>
      </c>
      <c r="C4705" t="b">
        <f ca="1">OR(Values!$S$98&gt;=Charms!M4705,IFERROR(Charms!J4705=OFFSET(Values!$A$24,MATCH("S",Values!$T$25:$T$50,0),0),FALSE))</f>
        <v>1</v>
      </c>
      <c r="D4705" t="e">
        <f>VLOOKUP(Charms!J4705,Values!$A$11:$S$59,19,0)&gt;=Charms!L4705</f>
        <v>#N/A</v>
      </c>
      <c r="E4705" t="e">
        <f>OR(ISBLANK(Charms!I4705),(VLOOKUP(Values!$S$6,Castes!$B$2:$F$25,4,0)=Charms!I4705))</f>
        <v>#N/A</v>
      </c>
      <c r="J4705" t="e">
        <f t="shared" ca="1" si="366"/>
        <v>#N/A</v>
      </c>
      <c r="K4705" s="18" t="e">
        <f t="shared" ca="1" si="365"/>
        <v>#N/A</v>
      </c>
      <c r="L4705" t="e">
        <f ca="1">IF(J4705,Charms!B4705,"")</f>
        <v>#N/A</v>
      </c>
      <c r="M4705" t="str">
        <f t="shared" ca="1" si="367"/>
        <v>-</v>
      </c>
      <c r="N4705" s="18" t="str">
        <f t="shared" si="368"/>
        <v>K1622:L5000</v>
      </c>
      <c r="O4705" t="str">
        <f t="shared" si="369"/>
        <v>A1622:A4705</v>
      </c>
    </row>
    <row r="4706" spans="1:15">
      <c r="A4706" s="18">
        <f>Charms!K4706</f>
        <v>0</v>
      </c>
      <c r="B4706">
        <f>Charms!B4706</f>
        <v>0</v>
      </c>
      <c r="C4706" t="b">
        <f ca="1">OR(Values!$S$98&gt;=Charms!M4706,IFERROR(Charms!J4706=OFFSET(Values!$A$24,MATCH("S",Values!$T$25:$T$50,0),0),FALSE))</f>
        <v>1</v>
      </c>
      <c r="D4706" t="e">
        <f>VLOOKUP(Charms!J4706,Values!$A$11:$S$59,19,0)&gt;=Charms!L4706</f>
        <v>#N/A</v>
      </c>
      <c r="E4706" t="e">
        <f>OR(ISBLANK(Charms!I4706),(VLOOKUP(Values!$S$6,Castes!$B$2:$F$25,4,0)=Charms!I4706))</f>
        <v>#N/A</v>
      </c>
      <c r="J4706" t="e">
        <f t="shared" ca="1" si="366"/>
        <v>#N/A</v>
      </c>
      <c r="K4706" s="18" t="e">
        <f t="shared" ca="1" si="365"/>
        <v>#N/A</v>
      </c>
      <c r="L4706" t="e">
        <f ca="1">IF(J4706,Charms!B4706,"")</f>
        <v>#N/A</v>
      </c>
      <c r="M4706" t="str">
        <f t="shared" ca="1" si="367"/>
        <v>-</v>
      </c>
      <c r="N4706" s="18" t="str">
        <f t="shared" si="368"/>
        <v>K1622:L5000</v>
      </c>
      <c r="O4706" t="str">
        <f t="shared" si="369"/>
        <v>A1622:A4706</v>
      </c>
    </row>
    <row r="4707" spans="1:15">
      <c r="A4707" s="18">
        <f>Charms!K4707</f>
        <v>0</v>
      </c>
      <c r="B4707">
        <f>Charms!B4707</f>
        <v>0</v>
      </c>
      <c r="C4707" t="b">
        <f ca="1">OR(Values!$S$98&gt;=Charms!M4707,IFERROR(Charms!J4707=OFFSET(Values!$A$24,MATCH("S",Values!$T$25:$T$50,0),0),FALSE))</f>
        <v>1</v>
      </c>
      <c r="D4707" t="e">
        <f>VLOOKUP(Charms!J4707,Values!$A$11:$S$59,19,0)&gt;=Charms!L4707</f>
        <v>#N/A</v>
      </c>
      <c r="E4707" t="e">
        <f>OR(ISBLANK(Charms!I4707),(VLOOKUP(Values!$S$6,Castes!$B$2:$F$25,4,0)=Charms!I4707))</f>
        <v>#N/A</v>
      </c>
      <c r="J4707" t="e">
        <f t="shared" ca="1" si="366"/>
        <v>#N/A</v>
      </c>
      <c r="K4707" s="18" t="e">
        <f t="shared" ca="1" si="365"/>
        <v>#N/A</v>
      </c>
      <c r="L4707" t="e">
        <f ca="1">IF(J4707,Charms!B4707,"")</f>
        <v>#N/A</v>
      </c>
      <c r="M4707" t="str">
        <f t="shared" ca="1" si="367"/>
        <v>-</v>
      </c>
      <c r="N4707" s="18" t="str">
        <f t="shared" si="368"/>
        <v>K1622:L5000</v>
      </c>
      <c r="O4707" t="str">
        <f t="shared" si="369"/>
        <v>A1622:A4707</v>
      </c>
    </row>
    <row r="4708" spans="1:15">
      <c r="A4708" s="18">
        <f>Charms!K4708</f>
        <v>0</v>
      </c>
      <c r="B4708">
        <f>Charms!B4708</f>
        <v>0</v>
      </c>
      <c r="C4708" t="b">
        <f ca="1">OR(Values!$S$98&gt;=Charms!M4708,IFERROR(Charms!J4708=OFFSET(Values!$A$24,MATCH("S",Values!$T$25:$T$50,0),0),FALSE))</f>
        <v>1</v>
      </c>
      <c r="D4708" t="e">
        <f>VLOOKUP(Charms!J4708,Values!$A$11:$S$59,19,0)&gt;=Charms!L4708</f>
        <v>#N/A</v>
      </c>
      <c r="E4708" t="e">
        <f>OR(ISBLANK(Charms!I4708),(VLOOKUP(Values!$S$6,Castes!$B$2:$F$25,4,0)=Charms!I4708))</f>
        <v>#N/A</v>
      </c>
      <c r="J4708" t="e">
        <f t="shared" ca="1" si="366"/>
        <v>#N/A</v>
      </c>
      <c r="K4708" s="18" t="e">
        <f t="shared" ca="1" si="365"/>
        <v>#N/A</v>
      </c>
      <c r="L4708" t="e">
        <f ca="1">IF(J4708,Charms!B4708,"")</f>
        <v>#N/A</v>
      </c>
      <c r="M4708" t="str">
        <f t="shared" ca="1" si="367"/>
        <v>-</v>
      </c>
      <c r="N4708" s="18" t="str">
        <f t="shared" si="368"/>
        <v>K1622:L5000</v>
      </c>
      <c r="O4708" t="str">
        <f t="shared" si="369"/>
        <v>A1622:A4708</v>
      </c>
    </row>
    <row r="4709" spans="1:15">
      <c r="A4709" s="18">
        <f>Charms!K4709</f>
        <v>0</v>
      </c>
      <c r="B4709">
        <f>Charms!B4709</f>
        <v>0</v>
      </c>
      <c r="C4709" t="b">
        <f ca="1">OR(Values!$S$98&gt;=Charms!M4709,IFERROR(Charms!J4709=OFFSET(Values!$A$24,MATCH("S",Values!$T$25:$T$50,0),0),FALSE))</f>
        <v>1</v>
      </c>
      <c r="D4709" t="e">
        <f>VLOOKUP(Charms!J4709,Values!$A$11:$S$59,19,0)&gt;=Charms!L4709</f>
        <v>#N/A</v>
      </c>
      <c r="E4709" t="e">
        <f>OR(ISBLANK(Charms!I4709),(VLOOKUP(Values!$S$6,Castes!$B$2:$F$25,4,0)=Charms!I4709))</f>
        <v>#N/A</v>
      </c>
      <c r="J4709" t="e">
        <f t="shared" ca="1" si="366"/>
        <v>#N/A</v>
      </c>
      <c r="K4709" s="18" t="e">
        <f t="shared" ca="1" si="365"/>
        <v>#N/A</v>
      </c>
      <c r="L4709" t="e">
        <f ca="1">IF(J4709,Charms!B4709,"")</f>
        <v>#N/A</v>
      </c>
      <c r="M4709" t="str">
        <f t="shared" ca="1" si="367"/>
        <v>-</v>
      </c>
      <c r="N4709" s="18" t="str">
        <f t="shared" si="368"/>
        <v>K1622:L5000</v>
      </c>
      <c r="O4709" t="str">
        <f t="shared" si="369"/>
        <v>A1622:A4709</v>
      </c>
    </row>
    <row r="4710" spans="1:15">
      <c r="A4710" s="18">
        <f>Charms!K4710</f>
        <v>0</v>
      </c>
      <c r="B4710">
        <f>Charms!B4710</f>
        <v>0</v>
      </c>
      <c r="C4710" t="b">
        <f ca="1">OR(Values!$S$98&gt;=Charms!M4710,IFERROR(Charms!J4710=OFFSET(Values!$A$24,MATCH("S",Values!$T$25:$T$50,0),0),FALSE))</f>
        <v>1</v>
      </c>
      <c r="D4710" t="e">
        <f>VLOOKUP(Charms!J4710,Values!$A$11:$S$59,19,0)&gt;=Charms!L4710</f>
        <v>#N/A</v>
      </c>
      <c r="E4710" t="e">
        <f>OR(ISBLANK(Charms!I4710),(VLOOKUP(Values!$S$6,Castes!$B$2:$F$25,4,0)=Charms!I4710))</f>
        <v>#N/A</v>
      </c>
      <c r="J4710" t="e">
        <f t="shared" ca="1" si="366"/>
        <v>#N/A</v>
      </c>
      <c r="K4710" s="18" t="e">
        <f t="shared" ca="1" si="365"/>
        <v>#N/A</v>
      </c>
      <c r="L4710" t="e">
        <f ca="1">IF(J4710,Charms!B4710,"")</f>
        <v>#N/A</v>
      </c>
      <c r="M4710" t="str">
        <f t="shared" ca="1" si="367"/>
        <v>-</v>
      </c>
      <c r="N4710" s="18" t="str">
        <f t="shared" si="368"/>
        <v>K1622:L5000</v>
      </c>
      <c r="O4710" t="str">
        <f t="shared" si="369"/>
        <v>A1622:A4710</v>
      </c>
    </row>
    <row r="4711" spans="1:15">
      <c r="A4711" s="18">
        <f>Charms!K4711</f>
        <v>0</v>
      </c>
      <c r="B4711">
        <f>Charms!B4711</f>
        <v>0</v>
      </c>
      <c r="C4711" t="b">
        <f ca="1">OR(Values!$S$98&gt;=Charms!M4711,IFERROR(Charms!J4711=OFFSET(Values!$A$24,MATCH("S",Values!$T$25:$T$50,0),0),FALSE))</f>
        <v>1</v>
      </c>
      <c r="D4711" t="e">
        <f>VLOOKUP(Charms!J4711,Values!$A$11:$S$59,19,0)&gt;=Charms!L4711</f>
        <v>#N/A</v>
      </c>
      <c r="E4711" t="e">
        <f>OR(ISBLANK(Charms!I4711),(VLOOKUP(Values!$S$6,Castes!$B$2:$F$25,4,0)=Charms!I4711))</f>
        <v>#N/A</v>
      </c>
      <c r="J4711" t="e">
        <f t="shared" ca="1" si="366"/>
        <v>#N/A</v>
      </c>
      <c r="K4711" s="18" t="e">
        <f t="shared" ca="1" si="365"/>
        <v>#N/A</v>
      </c>
      <c r="L4711" t="e">
        <f ca="1">IF(J4711,Charms!B4711,"")</f>
        <v>#N/A</v>
      </c>
      <c r="M4711" t="str">
        <f t="shared" ca="1" si="367"/>
        <v>-</v>
      </c>
      <c r="N4711" s="18" t="str">
        <f t="shared" si="368"/>
        <v>K1622:L5000</v>
      </c>
      <c r="O4711" t="str">
        <f t="shared" si="369"/>
        <v>A1622:A4711</v>
      </c>
    </row>
    <row r="4712" spans="1:15">
      <c r="A4712" s="18">
        <f>Charms!K4712</f>
        <v>0</v>
      </c>
      <c r="B4712">
        <f>Charms!B4712</f>
        <v>0</v>
      </c>
      <c r="C4712" t="b">
        <f ca="1">OR(Values!$S$98&gt;=Charms!M4712,IFERROR(Charms!J4712=OFFSET(Values!$A$24,MATCH("S",Values!$T$25:$T$50,0),0),FALSE))</f>
        <v>1</v>
      </c>
      <c r="D4712" t="e">
        <f>VLOOKUP(Charms!J4712,Values!$A$11:$S$59,19,0)&gt;=Charms!L4712</f>
        <v>#N/A</v>
      </c>
      <c r="E4712" t="e">
        <f>OR(ISBLANK(Charms!I4712),(VLOOKUP(Values!$S$6,Castes!$B$2:$F$25,4,0)=Charms!I4712))</f>
        <v>#N/A</v>
      </c>
      <c r="J4712" t="e">
        <f t="shared" ca="1" si="366"/>
        <v>#N/A</v>
      </c>
      <c r="K4712" s="18" t="e">
        <f t="shared" ca="1" si="365"/>
        <v>#N/A</v>
      </c>
      <c r="L4712" t="e">
        <f ca="1">IF(J4712,Charms!B4712,"")</f>
        <v>#N/A</v>
      </c>
      <c r="M4712" t="str">
        <f t="shared" ca="1" si="367"/>
        <v>-</v>
      </c>
      <c r="N4712" s="18" t="str">
        <f t="shared" si="368"/>
        <v>K1622:L5000</v>
      </c>
      <c r="O4712" t="str">
        <f t="shared" si="369"/>
        <v>A1622:A4712</v>
      </c>
    </row>
    <row r="4713" spans="1:15">
      <c r="A4713" s="18">
        <f>Charms!K4713</f>
        <v>0</v>
      </c>
      <c r="B4713">
        <f>Charms!B4713</f>
        <v>0</v>
      </c>
      <c r="C4713" t="b">
        <f ca="1">OR(Values!$S$98&gt;=Charms!M4713,IFERROR(Charms!J4713=OFFSET(Values!$A$24,MATCH("S",Values!$T$25:$T$50,0),0),FALSE))</f>
        <v>1</v>
      </c>
      <c r="D4713" t="e">
        <f>VLOOKUP(Charms!J4713,Values!$A$11:$S$59,19,0)&gt;=Charms!L4713</f>
        <v>#N/A</v>
      </c>
      <c r="E4713" t="e">
        <f>OR(ISBLANK(Charms!I4713),(VLOOKUP(Values!$S$6,Castes!$B$2:$F$25,4,0)=Charms!I4713))</f>
        <v>#N/A</v>
      </c>
      <c r="J4713" t="e">
        <f t="shared" ca="1" si="366"/>
        <v>#N/A</v>
      </c>
      <c r="K4713" s="18" t="e">
        <f t="shared" ca="1" si="365"/>
        <v>#N/A</v>
      </c>
      <c r="L4713" t="e">
        <f ca="1">IF(J4713,Charms!B4713,"")</f>
        <v>#N/A</v>
      </c>
      <c r="M4713" t="str">
        <f t="shared" ca="1" si="367"/>
        <v>-</v>
      </c>
      <c r="N4713" s="18" t="str">
        <f t="shared" si="368"/>
        <v>K1622:L5000</v>
      </c>
      <c r="O4713" t="str">
        <f t="shared" si="369"/>
        <v>A1622:A4713</v>
      </c>
    </row>
    <row r="4714" spans="1:15">
      <c r="A4714" s="18">
        <f>Charms!K4714</f>
        <v>0</v>
      </c>
      <c r="B4714">
        <f>Charms!B4714</f>
        <v>0</v>
      </c>
      <c r="C4714" t="b">
        <f ca="1">OR(Values!$S$98&gt;=Charms!M4714,IFERROR(Charms!J4714=OFFSET(Values!$A$24,MATCH("S",Values!$T$25:$T$50,0),0),FALSE))</f>
        <v>1</v>
      </c>
      <c r="D4714" t="e">
        <f>VLOOKUP(Charms!J4714,Values!$A$11:$S$59,19,0)&gt;=Charms!L4714</f>
        <v>#N/A</v>
      </c>
      <c r="E4714" t="e">
        <f>OR(ISBLANK(Charms!I4714),(VLOOKUP(Values!$S$6,Castes!$B$2:$F$25,4,0)=Charms!I4714))</f>
        <v>#N/A</v>
      </c>
      <c r="J4714" t="e">
        <f t="shared" ca="1" si="366"/>
        <v>#N/A</v>
      </c>
      <c r="K4714" s="18" t="e">
        <f t="shared" ca="1" si="365"/>
        <v>#N/A</v>
      </c>
      <c r="L4714" t="e">
        <f ca="1">IF(J4714,Charms!B4714,"")</f>
        <v>#N/A</v>
      </c>
      <c r="M4714" t="str">
        <f t="shared" ca="1" si="367"/>
        <v>-</v>
      </c>
      <c r="N4714" s="18" t="str">
        <f t="shared" si="368"/>
        <v>K1622:L5000</v>
      </c>
      <c r="O4714" t="str">
        <f t="shared" si="369"/>
        <v>A1622:A4714</v>
      </c>
    </row>
    <row r="4715" spans="1:15">
      <c r="A4715" s="18">
        <f>Charms!K4715</f>
        <v>0</v>
      </c>
      <c r="B4715">
        <f>Charms!B4715</f>
        <v>0</v>
      </c>
      <c r="C4715" t="b">
        <f ca="1">OR(Values!$S$98&gt;=Charms!M4715,IFERROR(Charms!J4715=OFFSET(Values!$A$24,MATCH("S",Values!$T$25:$T$50,0),0),FALSE))</f>
        <v>1</v>
      </c>
      <c r="D4715" t="e">
        <f>VLOOKUP(Charms!J4715,Values!$A$11:$S$59,19,0)&gt;=Charms!L4715</f>
        <v>#N/A</v>
      </c>
      <c r="E4715" t="e">
        <f>OR(ISBLANK(Charms!I4715),(VLOOKUP(Values!$S$6,Castes!$B$2:$F$25,4,0)=Charms!I4715))</f>
        <v>#N/A</v>
      </c>
      <c r="J4715" t="e">
        <f t="shared" ca="1" si="366"/>
        <v>#N/A</v>
      </c>
      <c r="K4715" s="18" t="e">
        <f t="shared" ca="1" si="365"/>
        <v>#N/A</v>
      </c>
      <c r="L4715" t="e">
        <f ca="1">IF(J4715,Charms!B4715,"")</f>
        <v>#N/A</v>
      </c>
      <c r="M4715" t="str">
        <f t="shared" ca="1" si="367"/>
        <v>-</v>
      </c>
      <c r="N4715" s="18" t="str">
        <f t="shared" si="368"/>
        <v>K1622:L5000</v>
      </c>
      <c r="O4715" t="str">
        <f t="shared" si="369"/>
        <v>A1622:A4715</v>
      </c>
    </row>
    <row r="4716" spans="1:15">
      <c r="A4716" s="18">
        <f>Charms!K4716</f>
        <v>0</v>
      </c>
      <c r="B4716">
        <f>Charms!B4716</f>
        <v>0</v>
      </c>
      <c r="C4716" t="b">
        <f ca="1">OR(Values!$S$98&gt;=Charms!M4716,IFERROR(Charms!J4716=OFFSET(Values!$A$24,MATCH("S",Values!$T$25:$T$50,0),0),FALSE))</f>
        <v>1</v>
      </c>
      <c r="D4716" t="e">
        <f>VLOOKUP(Charms!J4716,Values!$A$11:$S$59,19,0)&gt;=Charms!L4716</f>
        <v>#N/A</v>
      </c>
      <c r="E4716" t="e">
        <f>OR(ISBLANK(Charms!I4716),(VLOOKUP(Values!$S$6,Castes!$B$2:$F$25,4,0)=Charms!I4716))</f>
        <v>#N/A</v>
      </c>
      <c r="J4716" t="e">
        <f t="shared" ca="1" si="366"/>
        <v>#N/A</v>
      </c>
      <c r="K4716" s="18" t="e">
        <f t="shared" ca="1" si="365"/>
        <v>#N/A</v>
      </c>
      <c r="L4716" t="e">
        <f ca="1">IF(J4716,Charms!B4716,"")</f>
        <v>#N/A</v>
      </c>
      <c r="M4716" t="str">
        <f t="shared" ca="1" si="367"/>
        <v>-</v>
      </c>
      <c r="N4716" s="18" t="str">
        <f t="shared" si="368"/>
        <v>K1622:L5000</v>
      </c>
      <c r="O4716" t="str">
        <f t="shared" si="369"/>
        <v>A1622:A4716</v>
      </c>
    </row>
    <row r="4717" spans="1:15">
      <c r="A4717" s="18">
        <f>Charms!K4717</f>
        <v>0</v>
      </c>
      <c r="B4717">
        <f>Charms!B4717</f>
        <v>0</v>
      </c>
      <c r="C4717" t="b">
        <f ca="1">OR(Values!$S$98&gt;=Charms!M4717,IFERROR(Charms!J4717=OFFSET(Values!$A$24,MATCH("S",Values!$T$25:$T$50,0),0),FALSE))</f>
        <v>1</v>
      </c>
      <c r="D4717" t="e">
        <f>VLOOKUP(Charms!J4717,Values!$A$11:$S$59,19,0)&gt;=Charms!L4717</f>
        <v>#N/A</v>
      </c>
      <c r="E4717" t="e">
        <f>OR(ISBLANK(Charms!I4717),(VLOOKUP(Values!$S$6,Castes!$B$2:$F$25,4,0)=Charms!I4717))</f>
        <v>#N/A</v>
      </c>
      <c r="J4717" t="e">
        <f t="shared" ca="1" si="366"/>
        <v>#N/A</v>
      </c>
      <c r="K4717" s="18" t="e">
        <f t="shared" ca="1" si="365"/>
        <v>#N/A</v>
      </c>
      <c r="L4717" t="e">
        <f ca="1">IF(J4717,Charms!B4717,"")</f>
        <v>#N/A</v>
      </c>
      <c r="M4717" t="str">
        <f t="shared" ca="1" si="367"/>
        <v>-</v>
      </c>
      <c r="N4717" s="18" t="str">
        <f t="shared" si="368"/>
        <v>K1622:L5000</v>
      </c>
      <c r="O4717" t="str">
        <f t="shared" si="369"/>
        <v>A1622:A4717</v>
      </c>
    </row>
    <row r="4718" spans="1:15">
      <c r="A4718" s="18">
        <f>Charms!K4718</f>
        <v>0</v>
      </c>
      <c r="B4718">
        <f>Charms!B4718</f>
        <v>0</v>
      </c>
      <c r="C4718" t="b">
        <f ca="1">OR(Values!$S$98&gt;=Charms!M4718,IFERROR(Charms!J4718=OFFSET(Values!$A$24,MATCH("S",Values!$T$25:$T$50,0),0),FALSE))</f>
        <v>1</v>
      </c>
      <c r="D4718" t="e">
        <f>VLOOKUP(Charms!J4718,Values!$A$11:$S$59,19,0)&gt;=Charms!L4718</f>
        <v>#N/A</v>
      </c>
      <c r="E4718" t="e">
        <f>OR(ISBLANK(Charms!I4718),(VLOOKUP(Values!$S$6,Castes!$B$2:$F$25,4,0)=Charms!I4718))</f>
        <v>#N/A</v>
      </c>
      <c r="J4718" t="e">
        <f t="shared" ca="1" si="366"/>
        <v>#N/A</v>
      </c>
      <c r="K4718" s="18" t="e">
        <f t="shared" ca="1" si="365"/>
        <v>#N/A</v>
      </c>
      <c r="L4718" t="e">
        <f ca="1">IF(J4718,Charms!B4718,"")</f>
        <v>#N/A</v>
      </c>
      <c r="M4718" t="str">
        <f t="shared" ca="1" si="367"/>
        <v>-</v>
      </c>
      <c r="N4718" s="18" t="str">
        <f t="shared" si="368"/>
        <v>K1622:L5000</v>
      </c>
      <c r="O4718" t="str">
        <f t="shared" si="369"/>
        <v>A1622:A4718</v>
      </c>
    </row>
    <row r="4719" spans="1:15">
      <c r="A4719" s="18">
        <f>Charms!K4719</f>
        <v>0</v>
      </c>
      <c r="B4719">
        <f>Charms!B4719</f>
        <v>0</v>
      </c>
      <c r="C4719" t="b">
        <f ca="1">OR(Values!$S$98&gt;=Charms!M4719,IFERROR(Charms!J4719=OFFSET(Values!$A$24,MATCH("S",Values!$T$25:$T$50,0),0),FALSE))</f>
        <v>1</v>
      </c>
      <c r="D4719" t="e">
        <f>VLOOKUP(Charms!J4719,Values!$A$11:$S$59,19,0)&gt;=Charms!L4719</f>
        <v>#N/A</v>
      </c>
      <c r="E4719" t="e">
        <f>OR(ISBLANK(Charms!I4719),(VLOOKUP(Values!$S$6,Castes!$B$2:$F$25,4,0)=Charms!I4719))</f>
        <v>#N/A</v>
      </c>
      <c r="J4719" t="e">
        <f t="shared" ca="1" si="366"/>
        <v>#N/A</v>
      </c>
      <c r="K4719" s="18" t="e">
        <f t="shared" ca="1" si="365"/>
        <v>#N/A</v>
      </c>
      <c r="L4719" t="e">
        <f ca="1">IF(J4719,Charms!B4719,"")</f>
        <v>#N/A</v>
      </c>
      <c r="M4719" t="str">
        <f t="shared" ca="1" si="367"/>
        <v>-</v>
      </c>
      <c r="N4719" s="18" t="str">
        <f t="shared" si="368"/>
        <v>K1622:L5000</v>
      </c>
      <c r="O4719" t="str">
        <f t="shared" si="369"/>
        <v>A1622:A4719</v>
      </c>
    </row>
    <row r="4720" spans="1:15">
      <c r="A4720" s="18">
        <f>Charms!K4720</f>
        <v>0</v>
      </c>
      <c r="B4720">
        <f>Charms!B4720</f>
        <v>0</v>
      </c>
      <c r="C4720" t="b">
        <f ca="1">OR(Values!$S$98&gt;=Charms!M4720,IFERROR(Charms!J4720=OFFSET(Values!$A$24,MATCH("S",Values!$T$25:$T$50,0),0),FALSE))</f>
        <v>1</v>
      </c>
      <c r="D4720" t="e">
        <f>VLOOKUP(Charms!J4720,Values!$A$11:$S$59,19,0)&gt;=Charms!L4720</f>
        <v>#N/A</v>
      </c>
      <c r="E4720" t="e">
        <f>OR(ISBLANK(Charms!I4720),(VLOOKUP(Values!$S$6,Castes!$B$2:$F$25,4,0)=Charms!I4720))</f>
        <v>#N/A</v>
      </c>
      <c r="J4720" t="e">
        <f t="shared" ca="1" si="366"/>
        <v>#N/A</v>
      </c>
      <c r="K4720" s="18" t="e">
        <f t="shared" ca="1" si="365"/>
        <v>#N/A</v>
      </c>
      <c r="L4720" t="e">
        <f ca="1">IF(J4720,Charms!B4720,"")</f>
        <v>#N/A</v>
      </c>
      <c r="M4720" t="str">
        <f t="shared" ca="1" si="367"/>
        <v>-</v>
      </c>
      <c r="N4720" s="18" t="str">
        <f t="shared" si="368"/>
        <v>K1622:L5000</v>
      </c>
      <c r="O4720" t="str">
        <f t="shared" si="369"/>
        <v>A1622:A4720</v>
      </c>
    </row>
    <row r="4721" spans="1:15">
      <c r="A4721" s="18">
        <f>Charms!K4721</f>
        <v>0</v>
      </c>
      <c r="B4721">
        <f>Charms!B4721</f>
        <v>0</v>
      </c>
      <c r="C4721" t="b">
        <f ca="1">OR(Values!$S$98&gt;=Charms!M4721,IFERROR(Charms!J4721=OFFSET(Values!$A$24,MATCH("S",Values!$T$25:$T$50,0),0),FALSE))</f>
        <v>1</v>
      </c>
      <c r="D4721" t="e">
        <f>VLOOKUP(Charms!J4721,Values!$A$11:$S$59,19,0)&gt;=Charms!L4721</f>
        <v>#N/A</v>
      </c>
      <c r="E4721" t="e">
        <f>OR(ISBLANK(Charms!I4721),(VLOOKUP(Values!$S$6,Castes!$B$2:$F$25,4,0)=Charms!I4721))</f>
        <v>#N/A</v>
      </c>
      <c r="J4721" t="e">
        <f t="shared" ca="1" si="366"/>
        <v>#N/A</v>
      </c>
      <c r="K4721" s="18" t="e">
        <f t="shared" ca="1" si="365"/>
        <v>#N/A</v>
      </c>
      <c r="L4721" t="e">
        <f ca="1">IF(J4721,Charms!B4721,"")</f>
        <v>#N/A</v>
      </c>
      <c r="M4721" t="str">
        <f t="shared" ca="1" si="367"/>
        <v>-</v>
      </c>
      <c r="N4721" s="18" t="str">
        <f t="shared" si="368"/>
        <v>K1622:L5000</v>
      </c>
      <c r="O4721" t="str">
        <f t="shared" si="369"/>
        <v>A1622:A4721</v>
      </c>
    </row>
    <row r="4722" spans="1:15">
      <c r="A4722" s="18">
        <f>Charms!K4722</f>
        <v>0</v>
      </c>
      <c r="B4722">
        <f>Charms!B4722</f>
        <v>0</v>
      </c>
      <c r="C4722" t="b">
        <f ca="1">OR(Values!$S$98&gt;=Charms!M4722,IFERROR(Charms!J4722=OFFSET(Values!$A$24,MATCH("S",Values!$T$25:$T$50,0),0),FALSE))</f>
        <v>1</v>
      </c>
      <c r="D4722" t="e">
        <f>VLOOKUP(Charms!J4722,Values!$A$11:$S$59,19,0)&gt;=Charms!L4722</f>
        <v>#N/A</v>
      </c>
      <c r="E4722" t="e">
        <f>OR(ISBLANK(Charms!I4722),(VLOOKUP(Values!$S$6,Castes!$B$2:$F$25,4,0)=Charms!I4722))</f>
        <v>#N/A</v>
      </c>
      <c r="J4722" t="e">
        <f t="shared" ca="1" si="366"/>
        <v>#N/A</v>
      </c>
      <c r="K4722" s="18" t="e">
        <f t="shared" ca="1" si="365"/>
        <v>#N/A</v>
      </c>
      <c r="L4722" t="e">
        <f ca="1">IF(J4722,Charms!B4722,"")</f>
        <v>#N/A</v>
      </c>
      <c r="M4722" t="str">
        <f t="shared" ca="1" si="367"/>
        <v>-</v>
      </c>
      <c r="N4722" s="18" t="str">
        <f t="shared" si="368"/>
        <v>K1622:L5000</v>
      </c>
      <c r="O4722" t="str">
        <f t="shared" si="369"/>
        <v>A1622:A4722</v>
      </c>
    </row>
    <row r="4723" spans="1:15">
      <c r="A4723" s="18">
        <f>Charms!K4723</f>
        <v>0</v>
      </c>
      <c r="B4723">
        <f>Charms!B4723</f>
        <v>0</v>
      </c>
      <c r="C4723" t="b">
        <f ca="1">OR(Values!$S$98&gt;=Charms!M4723,IFERROR(Charms!J4723=OFFSET(Values!$A$24,MATCH("S",Values!$T$25:$T$50,0),0),FALSE))</f>
        <v>1</v>
      </c>
      <c r="D4723" t="e">
        <f>VLOOKUP(Charms!J4723,Values!$A$11:$S$59,19,0)&gt;=Charms!L4723</f>
        <v>#N/A</v>
      </c>
      <c r="E4723" t="e">
        <f>OR(ISBLANK(Charms!I4723),(VLOOKUP(Values!$S$6,Castes!$B$2:$F$25,4,0)=Charms!I4723))</f>
        <v>#N/A</v>
      </c>
      <c r="J4723" t="e">
        <f t="shared" ca="1" si="366"/>
        <v>#N/A</v>
      </c>
      <c r="K4723" s="18" t="e">
        <f t="shared" ca="1" si="365"/>
        <v>#N/A</v>
      </c>
      <c r="L4723" t="e">
        <f ca="1">IF(J4723,Charms!B4723,"")</f>
        <v>#N/A</v>
      </c>
      <c r="M4723" t="str">
        <f t="shared" ca="1" si="367"/>
        <v>-</v>
      </c>
      <c r="N4723" s="18" t="str">
        <f t="shared" si="368"/>
        <v>K1622:L5000</v>
      </c>
      <c r="O4723" t="str">
        <f t="shared" si="369"/>
        <v>A1622:A4723</v>
      </c>
    </row>
    <row r="4724" spans="1:15">
      <c r="A4724" s="18">
        <f>Charms!K4724</f>
        <v>0</v>
      </c>
      <c r="B4724">
        <f>Charms!B4724</f>
        <v>0</v>
      </c>
      <c r="C4724" t="b">
        <f ca="1">OR(Values!$S$98&gt;=Charms!M4724,IFERROR(Charms!J4724=OFFSET(Values!$A$24,MATCH("S",Values!$T$25:$T$50,0),0),FALSE))</f>
        <v>1</v>
      </c>
      <c r="D4724" t="e">
        <f>VLOOKUP(Charms!J4724,Values!$A$11:$S$59,19,0)&gt;=Charms!L4724</f>
        <v>#N/A</v>
      </c>
      <c r="E4724" t="e">
        <f>OR(ISBLANK(Charms!I4724),(VLOOKUP(Values!$S$6,Castes!$B$2:$F$25,4,0)=Charms!I4724))</f>
        <v>#N/A</v>
      </c>
      <c r="J4724" t="e">
        <f t="shared" ca="1" si="366"/>
        <v>#N/A</v>
      </c>
      <c r="K4724" s="18" t="e">
        <f t="shared" ca="1" si="365"/>
        <v>#N/A</v>
      </c>
      <c r="L4724" t="e">
        <f ca="1">IF(J4724,Charms!B4724,"")</f>
        <v>#N/A</v>
      </c>
      <c r="M4724" t="str">
        <f t="shared" ca="1" si="367"/>
        <v>-</v>
      </c>
      <c r="N4724" s="18" t="str">
        <f t="shared" si="368"/>
        <v>K1622:L5000</v>
      </c>
      <c r="O4724" t="str">
        <f t="shared" si="369"/>
        <v>A1622:A4724</v>
      </c>
    </row>
    <row r="4725" spans="1:15">
      <c r="A4725" s="18">
        <f>Charms!K4725</f>
        <v>0</v>
      </c>
      <c r="B4725">
        <f>Charms!B4725</f>
        <v>0</v>
      </c>
      <c r="C4725" t="b">
        <f ca="1">OR(Values!$S$98&gt;=Charms!M4725,IFERROR(Charms!J4725=OFFSET(Values!$A$24,MATCH("S",Values!$T$25:$T$50,0),0),FALSE))</f>
        <v>1</v>
      </c>
      <c r="D4725" t="e">
        <f>VLOOKUP(Charms!J4725,Values!$A$11:$S$59,19,0)&gt;=Charms!L4725</f>
        <v>#N/A</v>
      </c>
      <c r="E4725" t="e">
        <f>OR(ISBLANK(Charms!I4725),(VLOOKUP(Values!$S$6,Castes!$B$2:$F$25,4,0)=Charms!I4725))</f>
        <v>#N/A</v>
      </c>
      <c r="J4725" t="e">
        <f t="shared" ca="1" si="366"/>
        <v>#N/A</v>
      </c>
      <c r="K4725" s="18" t="e">
        <f t="shared" ca="1" si="365"/>
        <v>#N/A</v>
      </c>
      <c r="L4725" t="e">
        <f ca="1">IF(J4725,Charms!B4725,"")</f>
        <v>#N/A</v>
      </c>
      <c r="M4725" t="str">
        <f t="shared" ca="1" si="367"/>
        <v>-</v>
      </c>
      <c r="N4725" s="18" t="str">
        <f t="shared" si="368"/>
        <v>K1622:L5000</v>
      </c>
      <c r="O4725" t="str">
        <f t="shared" si="369"/>
        <v>A1622:A4725</v>
      </c>
    </row>
    <row r="4726" spans="1:15">
      <c r="A4726" s="18">
        <f>Charms!K4726</f>
        <v>0</v>
      </c>
      <c r="B4726">
        <f>Charms!B4726</f>
        <v>0</v>
      </c>
      <c r="C4726" t="b">
        <f ca="1">OR(Values!$S$98&gt;=Charms!M4726,IFERROR(Charms!J4726=OFFSET(Values!$A$24,MATCH("S",Values!$T$25:$T$50,0),0),FALSE))</f>
        <v>1</v>
      </c>
      <c r="D4726" t="e">
        <f>VLOOKUP(Charms!J4726,Values!$A$11:$S$59,19,0)&gt;=Charms!L4726</f>
        <v>#N/A</v>
      </c>
      <c r="E4726" t="e">
        <f>OR(ISBLANK(Charms!I4726),(VLOOKUP(Values!$S$6,Castes!$B$2:$F$25,4,0)=Charms!I4726))</f>
        <v>#N/A</v>
      </c>
      <c r="J4726" t="e">
        <f t="shared" ca="1" si="366"/>
        <v>#N/A</v>
      </c>
      <c r="K4726" s="18" t="e">
        <f t="shared" ca="1" si="365"/>
        <v>#N/A</v>
      </c>
      <c r="L4726" t="e">
        <f ca="1">IF(J4726,Charms!B4726,"")</f>
        <v>#N/A</v>
      </c>
      <c r="M4726" t="str">
        <f t="shared" ca="1" si="367"/>
        <v>-</v>
      </c>
      <c r="N4726" s="18" t="str">
        <f t="shared" si="368"/>
        <v>K1622:L5000</v>
      </c>
      <c r="O4726" t="str">
        <f t="shared" si="369"/>
        <v>A1622:A4726</v>
      </c>
    </row>
    <row r="4727" spans="1:15">
      <c r="A4727" s="18">
        <f>Charms!K4727</f>
        <v>0</v>
      </c>
      <c r="B4727">
        <f>Charms!B4727</f>
        <v>0</v>
      </c>
      <c r="C4727" t="b">
        <f ca="1">OR(Values!$S$98&gt;=Charms!M4727,IFERROR(Charms!J4727=OFFSET(Values!$A$24,MATCH("S",Values!$T$25:$T$50,0),0),FALSE))</f>
        <v>1</v>
      </c>
      <c r="D4727" t="e">
        <f>VLOOKUP(Charms!J4727,Values!$A$11:$S$59,19,0)&gt;=Charms!L4727</f>
        <v>#N/A</v>
      </c>
      <c r="E4727" t="e">
        <f>OR(ISBLANK(Charms!I4727),(VLOOKUP(Values!$S$6,Castes!$B$2:$F$25,4,0)=Charms!I4727))</f>
        <v>#N/A</v>
      </c>
      <c r="J4727" t="e">
        <f t="shared" ca="1" si="366"/>
        <v>#N/A</v>
      </c>
      <c r="K4727" s="18" t="e">
        <f t="shared" ca="1" si="365"/>
        <v>#N/A</v>
      </c>
      <c r="L4727" t="e">
        <f ca="1">IF(J4727,Charms!B4727,"")</f>
        <v>#N/A</v>
      </c>
      <c r="M4727" t="str">
        <f t="shared" ca="1" si="367"/>
        <v>-</v>
      </c>
      <c r="N4727" s="18" t="str">
        <f t="shared" si="368"/>
        <v>K1622:L5000</v>
      </c>
      <c r="O4727" t="str">
        <f t="shared" si="369"/>
        <v>A1622:A4727</v>
      </c>
    </row>
    <row r="4728" spans="1:15">
      <c r="A4728" s="18">
        <f>Charms!K4728</f>
        <v>0</v>
      </c>
      <c r="B4728">
        <f>Charms!B4728</f>
        <v>0</v>
      </c>
      <c r="C4728" t="b">
        <f ca="1">OR(Values!$S$98&gt;=Charms!M4728,IFERROR(Charms!J4728=OFFSET(Values!$A$24,MATCH("S",Values!$T$25:$T$50,0),0),FALSE))</f>
        <v>1</v>
      </c>
      <c r="D4728" t="e">
        <f>VLOOKUP(Charms!J4728,Values!$A$11:$S$59,19,0)&gt;=Charms!L4728</f>
        <v>#N/A</v>
      </c>
      <c r="E4728" t="e">
        <f>OR(ISBLANK(Charms!I4728),(VLOOKUP(Values!$S$6,Castes!$B$2:$F$25,4,0)=Charms!I4728))</f>
        <v>#N/A</v>
      </c>
      <c r="J4728" t="e">
        <f t="shared" ca="1" si="366"/>
        <v>#N/A</v>
      </c>
      <c r="K4728" s="18" t="e">
        <f t="shared" ca="1" si="365"/>
        <v>#N/A</v>
      </c>
      <c r="L4728" t="e">
        <f ca="1">IF(J4728,Charms!B4728,"")</f>
        <v>#N/A</v>
      </c>
      <c r="M4728" t="str">
        <f t="shared" ca="1" si="367"/>
        <v>-</v>
      </c>
      <c r="N4728" s="18" t="str">
        <f t="shared" si="368"/>
        <v>K1622:L5000</v>
      </c>
      <c r="O4728" t="str">
        <f t="shared" si="369"/>
        <v>A1622:A4728</v>
      </c>
    </row>
    <row r="4729" spans="1:15">
      <c r="A4729" s="18">
        <f>Charms!K4729</f>
        <v>0</v>
      </c>
      <c r="B4729">
        <f>Charms!B4729</f>
        <v>0</v>
      </c>
      <c r="C4729" t="b">
        <f ca="1">OR(Values!$S$98&gt;=Charms!M4729,IFERROR(Charms!J4729=OFFSET(Values!$A$24,MATCH("S",Values!$T$25:$T$50,0),0),FALSE))</f>
        <v>1</v>
      </c>
      <c r="D4729" t="e">
        <f>VLOOKUP(Charms!J4729,Values!$A$11:$S$59,19,0)&gt;=Charms!L4729</f>
        <v>#N/A</v>
      </c>
      <c r="E4729" t="e">
        <f>OR(ISBLANK(Charms!I4729),(VLOOKUP(Values!$S$6,Castes!$B$2:$F$25,4,0)=Charms!I4729))</f>
        <v>#N/A</v>
      </c>
      <c r="J4729" t="e">
        <f t="shared" ca="1" si="366"/>
        <v>#N/A</v>
      </c>
      <c r="K4729" s="18" t="e">
        <f t="shared" ca="1" si="365"/>
        <v>#N/A</v>
      </c>
      <c r="L4729" t="e">
        <f ca="1">IF(J4729,Charms!B4729,"")</f>
        <v>#N/A</v>
      </c>
      <c r="M4729" t="str">
        <f t="shared" ca="1" si="367"/>
        <v>-</v>
      </c>
      <c r="N4729" s="18" t="str">
        <f t="shared" si="368"/>
        <v>K1622:L5000</v>
      </c>
      <c r="O4729" t="str">
        <f t="shared" si="369"/>
        <v>A1622:A4729</v>
      </c>
    </row>
    <row r="4730" spans="1:15">
      <c r="A4730" s="18">
        <f>Charms!K4730</f>
        <v>0</v>
      </c>
      <c r="B4730">
        <f>Charms!B4730</f>
        <v>0</v>
      </c>
      <c r="C4730" t="b">
        <f ca="1">OR(Values!$S$98&gt;=Charms!M4730,IFERROR(Charms!J4730=OFFSET(Values!$A$24,MATCH("S",Values!$T$25:$T$50,0),0),FALSE))</f>
        <v>1</v>
      </c>
      <c r="D4730" t="e">
        <f>VLOOKUP(Charms!J4730,Values!$A$11:$S$59,19,0)&gt;=Charms!L4730</f>
        <v>#N/A</v>
      </c>
      <c r="E4730" t="e">
        <f>OR(ISBLANK(Charms!I4730),(VLOOKUP(Values!$S$6,Castes!$B$2:$F$25,4,0)=Charms!I4730))</f>
        <v>#N/A</v>
      </c>
      <c r="J4730" t="e">
        <f t="shared" ca="1" si="366"/>
        <v>#N/A</v>
      </c>
      <c r="K4730" s="18" t="e">
        <f t="shared" ca="1" si="365"/>
        <v>#N/A</v>
      </c>
      <c r="L4730" t="e">
        <f ca="1">IF(J4730,Charms!B4730,"")</f>
        <v>#N/A</v>
      </c>
      <c r="M4730" t="str">
        <f t="shared" ca="1" si="367"/>
        <v>-</v>
      </c>
      <c r="N4730" s="18" t="str">
        <f t="shared" si="368"/>
        <v>K1622:L5000</v>
      </c>
      <c r="O4730" t="str">
        <f t="shared" si="369"/>
        <v>A1622:A4730</v>
      </c>
    </row>
    <row r="4731" spans="1:15">
      <c r="A4731" s="18">
        <f>Charms!K4731</f>
        <v>0</v>
      </c>
      <c r="B4731">
        <f>Charms!B4731</f>
        <v>0</v>
      </c>
      <c r="C4731" t="b">
        <f ca="1">OR(Values!$S$98&gt;=Charms!M4731,IFERROR(Charms!J4731=OFFSET(Values!$A$24,MATCH("S",Values!$T$25:$T$50,0),0),FALSE))</f>
        <v>1</v>
      </c>
      <c r="D4731" t="e">
        <f>VLOOKUP(Charms!J4731,Values!$A$11:$S$59,19,0)&gt;=Charms!L4731</f>
        <v>#N/A</v>
      </c>
      <c r="E4731" t="e">
        <f>OR(ISBLANK(Charms!I4731),(VLOOKUP(Values!$S$6,Castes!$B$2:$F$25,4,0)=Charms!I4731))</f>
        <v>#N/A</v>
      </c>
      <c r="J4731" t="e">
        <f t="shared" ca="1" si="366"/>
        <v>#N/A</v>
      </c>
      <c r="K4731" s="18" t="e">
        <f t="shared" ca="1" si="365"/>
        <v>#N/A</v>
      </c>
      <c r="L4731" t="e">
        <f ca="1">IF(J4731,Charms!B4731,"")</f>
        <v>#N/A</v>
      </c>
      <c r="M4731" t="str">
        <f t="shared" ca="1" si="367"/>
        <v>-</v>
      </c>
      <c r="N4731" s="18" t="str">
        <f t="shared" si="368"/>
        <v>K1622:L5000</v>
      </c>
      <c r="O4731" t="str">
        <f t="shared" si="369"/>
        <v>A1622:A4731</v>
      </c>
    </row>
    <row r="4732" spans="1:15">
      <c r="A4732" s="18">
        <f>Charms!K4732</f>
        <v>0</v>
      </c>
      <c r="B4732">
        <f>Charms!B4732</f>
        <v>0</v>
      </c>
      <c r="C4732" t="b">
        <f ca="1">OR(Values!$S$98&gt;=Charms!M4732,IFERROR(Charms!J4732=OFFSET(Values!$A$24,MATCH("S",Values!$T$25:$T$50,0),0),FALSE))</f>
        <v>1</v>
      </c>
      <c r="D4732" t="e">
        <f>VLOOKUP(Charms!J4732,Values!$A$11:$S$59,19,0)&gt;=Charms!L4732</f>
        <v>#N/A</v>
      </c>
      <c r="E4732" t="e">
        <f>OR(ISBLANK(Charms!I4732),(VLOOKUP(Values!$S$6,Castes!$B$2:$F$25,4,0)=Charms!I4732))</f>
        <v>#N/A</v>
      </c>
      <c r="J4732" t="e">
        <f t="shared" ca="1" si="366"/>
        <v>#N/A</v>
      </c>
      <c r="K4732" s="18" t="e">
        <f t="shared" ca="1" si="365"/>
        <v>#N/A</v>
      </c>
      <c r="L4732" t="e">
        <f ca="1">IF(J4732,Charms!B4732,"")</f>
        <v>#N/A</v>
      </c>
      <c r="M4732" t="str">
        <f t="shared" ca="1" si="367"/>
        <v>-</v>
      </c>
      <c r="N4732" s="18" t="str">
        <f t="shared" si="368"/>
        <v>K1622:L5000</v>
      </c>
      <c r="O4732" t="str">
        <f t="shared" si="369"/>
        <v>A1622:A4732</v>
      </c>
    </row>
    <row r="4733" spans="1:15">
      <c r="A4733" s="18">
        <f>Charms!K4733</f>
        <v>0</v>
      </c>
      <c r="B4733">
        <f>Charms!B4733</f>
        <v>0</v>
      </c>
      <c r="C4733" t="b">
        <f ca="1">OR(Values!$S$98&gt;=Charms!M4733,IFERROR(Charms!J4733=OFFSET(Values!$A$24,MATCH("S",Values!$T$25:$T$50,0),0),FALSE))</f>
        <v>1</v>
      </c>
      <c r="D4733" t="e">
        <f>VLOOKUP(Charms!J4733,Values!$A$11:$S$59,19,0)&gt;=Charms!L4733</f>
        <v>#N/A</v>
      </c>
      <c r="E4733" t="e">
        <f>OR(ISBLANK(Charms!I4733),(VLOOKUP(Values!$S$6,Castes!$B$2:$F$25,4,0)=Charms!I4733))</f>
        <v>#N/A</v>
      </c>
      <c r="J4733" t="e">
        <f t="shared" ca="1" si="366"/>
        <v>#N/A</v>
      </c>
      <c r="K4733" s="18" t="e">
        <f t="shared" ca="1" si="365"/>
        <v>#N/A</v>
      </c>
      <c r="L4733" t="e">
        <f ca="1">IF(J4733,Charms!B4733,"")</f>
        <v>#N/A</v>
      </c>
      <c r="M4733" t="str">
        <f t="shared" ca="1" si="367"/>
        <v>-</v>
      </c>
      <c r="N4733" s="18" t="str">
        <f t="shared" si="368"/>
        <v>K1622:L5000</v>
      </c>
      <c r="O4733" t="str">
        <f t="shared" si="369"/>
        <v>A1622:A4733</v>
      </c>
    </row>
    <row r="4734" spans="1:15">
      <c r="A4734" s="18">
        <f>Charms!K4734</f>
        <v>0</v>
      </c>
      <c r="B4734">
        <f>Charms!B4734</f>
        <v>0</v>
      </c>
      <c r="C4734" t="b">
        <f ca="1">OR(Values!$S$98&gt;=Charms!M4734,IFERROR(Charms!J4734=OFFSET(Values!$A$24,MATCH("S",Values!$T$25:$T$50,0),0),FALSE))</f>
        <v>1</v>
      </c>
      <c r="D4734" t="e">
        <f>VLOOKUP(Charms!J4734,Values!$A$11:$S$59,19,0)&gt;=Charms!L4734</f>
        <v>#N/A</v>
      </c>
      <c r="E4734" t="e">
        <f>OR(ISBLANK(Charms!I4734),(VLOOKUP(Values!$S$6,Castes!$B$2:$F$25,4,0)=Charms!I4734))</f>
        <v>#N/A</v>
      </c>
      <c r="J4734" t="e">
        <f t="shared" ca="1" si="366"/>
        <v>#N/A</v>
      </c>
      <c r="K4734" s="18" t="e">
        <f t="shared" ca="1" si="365"/>
        <v>#N/A</v>
      </c>
      <c r="L4734" t="e">
        <f ca="1">IF(J4734,Charms!B4734,"")</f>
        <v>#N/A</v>
      </c>
      <c r="M4734" t="str">
        <f t="shared" ca="1" si="367"/>
        <v>-</v>
      </c>
      <c r="N4734" s="18" t="str">
        <f t="shared" si="368"/>
        <v>K1622:L5000</v>
      </c>
      <c r="O4734" t="str">
        <f t="shared" si="369"/>
        <v>A1622:A4734</v>
      </c>
    </row>
    <row r="4735" spans="1:15">
      <c r="A4735" s="18">
        <f>Charms!K4735</f>
        <v>0</v>
      </c>
      <c r="B4735">
        <f>Charms!B4735</f>
        <v>0</v>
      </c>
      <c r="C4735" t="b">
        <f ca="1">OR(Values!$S$98&gt;=Charms!M4735,IFERROR(Charms!J4735=OFFSET(Values!$A$24,MATCH("S",Values!$T$25:$T$50,0),0),FALSE))</f>
        <v>1</v>
      </c>
      <c r="D4735" t="e">
        <f>VLOOKUP(Charms!J4735,Values!$A$11:$S$59,19,0)&gt;=Charms!L4735</f>
        <v>#N/A</v>
      </c>
      <c r="E4735" t="e">
        <f>OR(ISBLANK(Charms!I4735),(VLOOKUP(Values!$S$6,Castes!$B$2:$F$25,4,0)=Charms!I4735))</f>
        <v>#N/A</v>
      </c>
      <c r="J4735" t="e">
        <f t="shared" ca="1" si="366"/>
        <v>#N/A</v>
      </c>
      <c r="K4735" s="18" t="e">
        <f t="shared" ca="1" si="365"/>
        <v>#N/A</v>
      </c>
      <c r="L4735" t="e">
        <f ca="1">IF(J4735,Charms!B4735,"")</f>
        <v>#N/A</v>
      </c>
      <c r="M4735" t="str">
        <f t="shared" ca="1" si="367"/>
        <v>-</v>
      </c>
      <c r="N4735" s="18" t="str">
        <f t="shared" si="368"/>
        <v>K1622:L5000</v>
      </c>
      <c r="O4735" t="str">
        <f t="shared" si="369"/>
        <v>A1622:A4735</v>
      </c>
    </row>
    <row r="4736" spans="1:15">
      <c r="A4736" s="18">
        <f>Charms!K4736</f>
        <v>0</v>
      </c>
      <c r="B4736">
        <f>Charms!B4736</f>
        <v>0</v>
      </c>
      <c r="C4736" t="b">
        <f ca="1">OR(Values!$S$98&gt;=Charms!M4736,IFERROR(Charms!J4736=OFFSET(Values!$A$24,MATCH("S",Values!$T$25:$T$50,0),0),FALSE))</f>
        <v>1</v>
      </c>
      <c r="D4736" t="e">
        <f>VLOOKUP(Charms!J4736,Values!$A$11:$S$59,19,0)&gt;=Charms!L4736</f>
        <v>#N/A</v>
      </c>
      <c r="E4736" t="e">
        <f>OR(ISBLANK(Charms!I4736),(VLOOKUP(Values!$S$6,Castes!$B$2:$F$25,4,0)=Charms!I4736))</f>
        <v>#N/A</v>
      </c>
      <c r="J4736" t="e">
        <f t="shared" ca="1" si="366"/>
        <v>#N/A</v>
      </c>
      <c r="K4736" s="18" t="e">
        <f t="shared" ca="1" si="365"/>
        <v>#N/A</v>
      </c>
      <c r="L4736" t="e">
        <f ca="1">IF(J4736,Charms!B4736,"")</f>
        <v>#N/A</v>
      </c>
      <c r="M4736" t="str">
        <f t="shared" ca="1" si="367"/>
        <v>-</v>
      </c>
      <c r="N4736" s="18" t="str">
        <f t="shared" si="368"/>
        <v>K1622:L5000</v>
      </c>
      <c r="O4736" t="str">
        <f t="shared" si="369"/>
        <v>A1622:A4736</v>
      </c>
    </row>
    <row r="4737" spans="1:15">
      <c r="A4737" s="18">
        <f>Charms!K4737</f>
        <v>0</v>
      </c>
      <c r="B4737">
        <f>Charms!B4737</f>
        <v>0</v>
      </c>
      <c r="C4737" t="b">
        <f ca="1">OR(Values!$S$98&gt;=Charms!M4737,IFERROR(Charms!J4737=OFFSET(Values!$A$24,MATCH("S",Values!$T$25:$T$50,0),0),FALSE))</f>
        <v>1</v>
      </c>
      <c r="D4737" t="e">
        <f>VLOOKUP(Charms!J4737,Values!$A$11:$S$59,19,0)&gt;=Charms!L4737</f>
        <v>#N/A</v>
      </c>
      <c r="E4737" t="e">
        <f>OR(ISBLANK(Charms!I4737),(VLOOKUP(Values!$S$6,Castes!$B$2:$F$25,4,0)=Charms!I4737))</f>
        <v>#N/A</v>
      </c>
      <c r="J4737" t="e">
        <f t="shared" ca="1" si="366"/>
        <v>#N/A</v>
      </c>
      <c r="K4737" s="18" t="e">
        <f t="shared" ca="1" si="365"/>
        <v>#N/A</v>
      </c>
      <c r="L4737" t="e">
        <f ca="1">IF(J4737,Charms!B4737,"")</f>
        <v>#N/A</v>
      </c>
      <c r="M4737" t="str">
        <f t="shared" ca="1" si="367"/>
        <v>-</v>
      </c>
      <c r="N4737" s="18" t="str">
        <f t="shared" si="368"/>
        <v>K1622:L5000</v>
      </c>
      <c r="O4737" t="str">
        <f t="shared" si="369"/>
        <v>A1622:A4737</v>
      </c>
    </row>
    <row r="4738" spans="1:15">
      <c r="A4738" s="18">
        <f>Charms!K4738</f>
        <v>0</v>
      </c>
      <c r="B4738">
        <f>Charms!B4738</f>
        <v>0</v>
      </c>
      <c r="C4738" t="b">
        <f ca="1">OR(Values!$S$98&gt;=Charms!M4738,IFERROR(Charms!J4738=OFFSET(Values!$A$24,MATCH("S",Values!$T$25:$T$50,0),0),FALSE))</f>
        <v>1</v>
      </c>
      <c r="D4738" t="e">
        <f>VLOOKUP(Charms!J4738,Values!$A$11:$S$59,19,0)&gt;=Charms!L4738</f>
        <v>#N/A</v>
      </c>
      <c r="E4738" t="e">
        <f>OR(ISBLANK(Charms!I4738),(VLOOKUP(Values!$S$6,Castes!$B$2:$F$25,4,0)=Charms!I4738))</f>
        <v>#N/A</v>
      </c>
      <c r="J4738" t="e">
        <f t="shared" ca="1" si="366"/>
        <v>#N/A</v>
      </c>
      <c r="K4738" s="18" t="e">
        <f t="shared" ref="K4738:K4801" ca="1" si="370">IF(L4738="","",COUNTIF(INDIRECT("J"&amp;MATCH(A4738,A:A,0)&amp;":J"&amp;ROW()),J4738))</f>
        <v>#N/A</v>
      </c>
      <c r="L4738" t="e">
        <f ca="1">IF(J4738,Charms!B4738,"")</f>
        <v>#N/A</v>
      </c>
      <c r="M4738" t="str">
        <f t="shared" ca="1" si="367"/>
        <v>-</v>
      </c>
      <c r="N4738" s="18" t="str">
        <f t="shared" si="368"/>
        <v>K1622:L5000</v>
      </c>
      <c r="O4738" t="str">
        <f t="shared" si="369"/>
        <v>A1622:A4738</v>
      </c>
    </row>
    <row r="4739" spans="1:15">
      <c r="A4739" s="18">
        <f>Charms!K4739</f>
        <v>0</v>
      </c>
      <c r="B4739">
        <f>Charms!B4739</f>
        <v>0</v>
      </c>
      <c r="C4739" t="b">
        <f ca="1">OR(Values!$S$98&gt;=Charms!M4739,IFERROR(Charms!J4739=OFFSET(Values!$A$24,MATCH("S",Values!$T$25:$T$50,0),0),FALSE))</f>
        <v>1</v>
      </c>
      <c r="D4739" t="e">
        <f>VLOOKUP(Charms!J4739,Values!$A$11:$S$59,19,0)&gt;=Charms!L4739</f>
        <v>#N/A</v>
      </c>
      <c r="E4739" t="e">
        <f>OR(ISBLANK(Charms!I4739),(VLOOKUP(Values!$S$6,Castes!$B$2:$F$25,4,0)=Charms!I4739))</f>
        <v>#N/A</v>
      </c>
      <c r="J4739" t="e">
        <f t="shared" ref="J4739:J4802" ca="1" si="371">(C4739+D4739+E4739+F4739+G4739+H4739+I4739)=3</f>
        <v>#N/A</v>
      </c>
      <c r="K4739" s="18" t="e">
        <f t="shared" ca="1" si="370"/>
        <v>#N/A</v>
      </c>
      <c r="L4739" t="e">
        <f ca="1">IF(J4739,Charms!B4739,"")</f>
        <v>#N/A</v>
      </c>
      <c r="M4739" t="str">
        <f t="shared" ref="M4739:M4802" ca="1" si="372">IFERROR(VLOOKUP(COUNTIF(INDIRECT(O4739),A4739),INDIRECT(N4739),2,0),"-")</f>
        <v>-</v>
      </c>
      <c r="N4739" s="18" t="str">
        <f t="shared" ref="N4739:N4802" si="373">"K"&amp;MATCH(A4739,A:A,0)&amp;":L"&amp;(MATCH(A4739,A:A,0)+COUNTIF(A:A,A4739)-1)</f>
        <v>K1622:L5000</v>
      </c>
      <c r="O4739" t="str">
        <f t="shared" ref="O4739:O4802" si="374">"A"&amp;MATCH(A4739,A:A,0)&amp;":A"&amp;ROW()</f>
        <v>A1622:A4739</v>
      </c>
    </row>
    <row r="4740" spans="1:15">
      <c r="A4740" s="18">
        <f>Charms!K4740</f>
        <v>0</v>
      </c>
      <c r="B4740">
        <f>Charms!B4740</f>
        <v>0</v>
      </c>
      <c r="C4740" t="b">
        <f ca="1">OR(Values!$S$98&gt;=Charms!M4740,IFERROR(Charms!J4740=OFFSET(Values!$A$24,MATCH("S",Values!$T$25:$T$50,0),0),FALSE))</f>
        <v>1</v>
      </c>
      <c r="D4740" t="e">
        <f>VLOOKUP(Charms!J4740,Values!$A$11:$S$59,19,0)&gt;=Charms!L4740</f>
        <v>#N/A</v>
      </c>
      <c r="E4740" t="e">
        <f>OR(ISBLANK(Charms!I4740),(VLOOKUP(Values!$S$6,Castes!$B$2:$F$25,4,0)=Charms!I4740))</f>
        <v>#N/A</v>
      </c>
      <c r="J4740" t="e">
        <f t="shared" ca="1" si="371"/>
        <v>#N/A</v>
      </c>
      <c r="K4740" s="18" t="e">
        <f t="shared" ca="1" si="370"/>
        <v>#N/A</v>
      </c>
      <c r="L4740" t="e">
        <f ca="1">IF(J4740,Charms!B4740,"")</f>
        <v>#N/A</v>
      </c>
      <c r="M4740" t="str">
        <f t="shared" ca="1" si="372"/>
        <v>-</v>
      </c>
      <c r="N4740" s="18" t="str">
        <f t="shared" si="373"/>
        <v>K1622:L5000</v>
      </c>
      <c r="O4740" t="str">
        <f t="shared" si="374"/>
        <v>A1622:A4740</v>
      </c>
    </row>
    <row r="4741" spans="1:15">
      <c r="A4741" s="18">
        <f>Charms!K4741</f>
        <v>0</v>
      </c>
      <c r="B4741">
        <f>Charms!B4741</f>
        <v>0</v>
      </c>
      <c r="C4741" t="b">
        <f ca="1">OR(Values!$S$98&gt;=Charms!M4741,IFERROR(Charms!J4741=OFFSET(Values!$A$24,MATCH("S",Values!$T$25:$T$50,0),0),FALSE))</f>
        <v>1</v>
      </c>
      <c r="D4741" t="e">
        <f>VLOOKUP(Charms!J4741,Values!$A$11:$S$59,19,0)&gt;=Charms!L4741</f>
        <v>#N/A</v>
      </c>
      <c r="E4741" t="e">
        <f>OR(ISBLANK(Charms!I4741),(VLOOKUP(Values!$S$6,Castes!$B$2:$F$25,4,0)=Charms!I4741))</f>
        <v>#N/A</v>
      </c>
      <c r="J4741" t="e">
        <f t="shared" ca="1" si="371"/>
        <v>#N/A</v>
      </c>
      <c r="K4741" s="18" t="e">
        <f t="shared" ca="1" si="370"/>
        <v>#N/A</v>
      </c>
      <c r="L4741" t="e">
        <f ca="1">IF(J4741,Charms!B4741,"")</f>
        <v>#N/A</v>
      </c>
      <c r="M4741" t="str">
        <f t="shared" ca="1" si="372"/>
        <v>-</v>
      </c>
      <c r="N4741" s="18" t="str">
        <f t="shared" si="373"/>
        <v>K1622:L5000</v>
      </c>
      <c r="O4741" t="str">
        <f t="shared" si="374"/>
        <v>A1622:A4741</v>
      </c>
    </row>
    <row r="4742" spans="1:15">
      <c r="A4742" s="18">
        <f>Charms!K4742</f>
        <v>0</v>
      </c>
      <c r="B4742">
        <f>Charms!B4742</f>
        <v>0</v>
      </c>
      <c r="C4742" t="b">
        <f ca="1">OR(Values!$S$98&gt;=Charms!M4742,IFERROR(Charms!J4742=OFFSET(Values!$A$24,MATCH("S",Values!$T$25:$T$50,0),0),FALSE))</f>
        <v>1</v>
      </c>
      <c r="D4742" t="e">
        <f>VLOOKUP(Charms!J4742,Values!$A$11:$S$59,19,0)&gt;=Charms!L4742</f>
        <v>#N/A</v>
      </c>
      <c r="E4742" t="e">
        <f>OR(ISBLANK(Charms!I4742),(VLOOKUP(Values!$S$6,Castes!$B$2:$F$25,4,0)=Charms!I4742))</f>
        <v>#N/A</v>
      </c>
      <c r="J4742" t="e">
        <f t="shared" ca="1" si="371"/>
        <v>#N/A</v>
      </c>
      <c r="K4742" s="18" t="e">
        <f t="shared" ca="1" si="370"/>
        <v>#N/A</v>
      </c>
      <c r="L4742" t="e">
        <f ca="1">IF(J4742,Charms!B4742,"")</f>
        <v>#N/A</v>
      </c>
      <c r="M4742" t="str">
        <f t="shared" ca="1" si="372"/>
        <v>-</v>
      </c>
      <c r="N4742" s="18" t="str">
        <f t="shared" si="373"/>
        <v>K1622:L5000</v>
      </c>
      <c r="O4742" t="str">
        <f t="shared" si="374"/>
        <v>A1622:A4742</v>
      </c>
    </row>
    <row r="4743" spans="1:15">
      <c r="A4743" s="18">
        <f>Charms!K4743</f>
        <v>0</v>
      </c>
      <c r="B4743">
        <f>Charms!B4743</f>
        <v>0</v>
      </c>
      <c r="C4743" t="b">
        <f ca="1">OR(Values!$S$98&gt;=Charms!M4743,IFERROR(Charms!J4743=OFFSET(Values!$A$24,MATCH("S",Values!$T$25:$T$50,0),0),FALSE))</f>
        <v>1</v>
      </c>
      <c r="D4743" t="e">
        <f>VLOOKUP(Charms!J4743,Values!$A$11:$S$59,19,0)&gt;=Charms!L4743</f>
        <v>#N/A</v>
      </c>
      <c r="E4743" t="e">
        <f>OR(ISBLANK(Charms!I4743),(VLOOKUP(Values!$S$6,Castes!$B$2:$F$25,4,0)=Charms!I4743))</f>
        <v>#N/A</v>
      </c>
      <c r="J4743" t="e">
        <f t="shared" ca="1" si="371"/>
        <v>#N/A</v>
      </c>
      <c r="K4743" s="18" t="e">
        <f t="shared" ca="1" si="370"/>
        <v>#N/A</v>
      </c>
      <c r="L4743" t="e">
        <f ca="1">IF(J4743,Charms!B4743,"")</f>
        <v>#N/A</v>
      </c>
      <c r="M4743" t="str">
        <f t="shared" ca="1" si="372"/>
        <v>-</v>
      </c>
      <c r="N4743" s="18" t="str">
        <f t="shared" si="373"/>
        <v>K1622:L5000</v>
      </c>
      <c r="O4743" t="str">
        <f t="shared" si="374"/>
        <v>A1622:A4743</v>
      </c>
    </row>
    <row r="4744" spans="1:15">
      <c r="A4744" s="18">
        <f>Charms!K4744</f>
        <v>0</v>
      </c>
      <c r="B4744">
        <f>Charms!B4744</f>
        <v>0</v>
      </c>
      <c r="C4744" t="b">
        <f ca="1">OR(Values!$S$98&gt;=Charms!M4744,IFERROR(Charms!J4744=OFFSET(Values!$A$24,MATCH("S",Values!$T$25:$T$50,0),0),FALSE))</f>
        <v>1</v>
      </c>
      <c r="D4744" t="e">
        <f>VLOOKUP(Charms!J4744,Values!$A$11:$S$59,19,0)&gt;=Charms!L4744</f>
        <v>#N/A</v>
      </c>
      <c r="E4744" t="e">
        <f>OR(ISBLANK(Charms!I4744),(VLOOKUP(Values!$S$6,Castes!$B$2:$F$25,4,0)=Charms!I4744))</f>
        <v>#N/A</v>
      </c>
      <c r="J4744" t="e">
        <f t="shared" ca="1" si="371"/>
        <v>#N/A</v>
      </c>
      <c r="K4744" s="18" t="e">
        <f t="shared" ca="1" si="370"/>
        <v>#N/A</v>
      </c>
      <c r="L4744" t="e">
        <f ca="1">IF(J4744,Charms!B4744,"")</f>
        <v>#N/A</v>
      </c>
      <c r="M4744" t="str">
        <f t="shared" ca="1" si="372"/>
        <v>-</v>
      </c>
      <c r="N4744" s="18" t="str">
        <f t="shared" si="373"/>
        <v>K1622:L5000</v>
      </c>
      <c r="O4744" t="str">
        <f t="shared" si="374"/>
        <v>A1622:A4744</v>
      </c>
    </row>
    <row r="4745" spans="1:15">
      <c r="A4745" s="18">
        <f>Charms!K4745</f>
        <v>0</v>
      </c>
      <c r="B4745">
        <f>Charms!B4745</f>
        <v>0</v>
      </c>
      <c r="C4745" t="b">
        <f ca="1">OR(Values!$S$98&gt;=Charms!M4745,IFERROR(Charms!J4745=OFFSET(Values!$A$24,MATCH("S",Values!$T$25:$T$50,0),0),FALSE))</f>
        <v>1</v>
      </c>
      <c r="D4745" t="e">
        <f>VLOOKUP(Charms!J4745,Values!$A$11:$S$59,19,0)&gt;=Charms!L4745</f>
        <v>#N/A</v>
      </c>
      <c r="E4745" t="e">
        <f>OR(ISBLANK(Charms!I4745),(VLOOKUP(Values!$S$6,Castes!$B$2:$F$25,4,0)=Charms!I4745))</f>
        <v>#N/A</v>
      </c>
      <c r="J4745" t="e">
        <f t="shared" ca="1" si="371"/>
        <v>#N/A</v>
      </c>
      <c r="K4745" s="18" t="e">
        <f t="shared" ca="1" si="370"/>
        <v>#N/A</v>
      </c>
      <c r="L4745" t="e">
        <f ca="1">IF(J4745,Charms!B4745,"")</f>
        <v>#N/A</v>
      </c>
      <c r="M4745" t="str">
        <f t="shared" ca="1" si="372"/>
        <v>-</v>
      </c>
      <c r="N4745" s="18" t="str">
        <f t="shared" si="373"/>
        <v>K1622:L5000</v>
      </c>
      <c r="O4745" t="str">
        <f t="shared" si="374"/>
        <v>A1622:A4745</v>
      </c>
    </row>
    <row r="4746" spans="1:15">
      <c r="A4746" s="18">
        <f>Charms!K4746</f>
        <v>0</v>
      </c>
      <c r="B4746">
        <f>Charms!B4746</f>
        <v>0</v>
      </c>
      <c r="C4746" t="b">
        <f ca="1">OR(Values!$S$98&gt;=Charms!M4746,IFERROR(Charms!J4746=OFFSET(Values!$A$24,MATCH("S",Values!$T$25:$T$50,0),0),FALSE))</f>
        <v>1</v>
      </c>
      <c r="D4746" t="e">
        <f>VLOOKUP(Charms!J4746,Values!$A$11:$S$59,19,0)&gt;=Charms!L4746</f>
        <v>#N/A</v>
      </c>
      <c r="E4746" t="e">
        <f>OR(ISBLANK(Charms!I4746),(VLOOKUP(Values!$S$6,Castes!$B$2:$F$25,4,0)=Charms!I4746))</f>
        <v>#N/A</v>
      </c>
      <c r="J4746" t="e">
        <f t="shared" ca="1" si="371"/>
        <v>#N/A</v>
      </c>
      <c r="K4746" s="18" t="e">
        <f t="shared" ca="1" si="370"/>
        <v>#N/A</v>
      </c>
      <c r="L4746" t="e">
        <f ca="1">IF(J4746,Charms!B4746,"")</f>
        <v>#N/A</v>
      </c>
      <c r="M4746" t="str">
        <f t="shared" ca="1" si="372"/>
        <v>-</v>
      </c>
      <c r="N4746" s="18" t="str">
        <f t="shared" si="373"/>
        <v>K1622:L5000</v>
      </c>
      <c r="O4746" t="str">
        <f t="shared" si="374"/>
        <v>A1622:A4746</v>
      </c>
    </row>
    <row r="4747" spans="1:15">
      <c r="A4747" s="18">
        <f>Charms!K4747</f>
        <v>0</v>
      </c>
      <c r="B4747">
        <f>Charms!B4747</f>
        <v>0</v>
      </c>
      <c r="C4747" t="b">
        <f ca="1">OR(Values!$S$98&gt;=Charms!M4747,IFERROR(Charms!J4747=OFFSET(Values!$A$24,MATCH("S",Values!$T$25:$T$50,0),0),FALSE))</f>
        <v>1</v>
      </c>
      <c r="D4747" t="e">
        <f>VLOOKUP(Charms!J4747,Values!$A$11:$S$59,19,0)&gt;=Charms!L4747</f>
        <v>#N/A</v>
      </c>
      <c r="E4747" t="e">
        <f>OR(ISBLANK(Charms!I4747),(VLOOKUP(Values!$S$6,Castes!$B$2:$F$25,4,0)=Charms!I4747))</f>
        <v>#N/A</v>
      </c>
      <c r="J4747" t="e">
        <f t="shared" ca="1" si="371"/>
        <v>#N/A</v>
      </c>
      <c r="K4747" s="18" t="e">
        <f t="shared" ca="1" si="370"/>
        <v>#N/A</v>
      </c>
      <c r="L4747" t="e">
        <f ca="1">IF(J4747,Charms!B4747,"")</f>
        <v>#N/A</v>
      </c>
      <c r="M4747" t="str">
        <f t="shared" ca="1" si="372"/>
        <v>-</v>
      </c>
      <c r="N4747" s="18" t="str">
        <f t="shared" si="373"/>
        <v>K1622:L5000</v>
      </c>
      <c r="O4747" t="str">
        <f t="shared" si="374"/>
        <v>A1622:A4747</v>
      </c>
    </row>
    <row r="4748" spans="1:15">
      <c r="A4748" s="18">
        <f>Charms!K4748</f>
        <v>0</v>
      </c>
      <c r="B4748">
        <f>Charms!B4748</f>
        <v>0</v>
      </c>
      <c r="C4748" t="b">
        <f ca="1">OR(Values!$S$98&gt;=Charms!M4748,IFERROR(Charms!J4748=OFFSET(Values!$A$24,MATCH("S",Values!$T$25:$T$50,0),0),FALSE))</f>
        <v>1</v>
      </c>
      <c r="D4748" t="e">
        <f>VLOOKUP(Charms!J4748,Values!$A$11:$S$59,19,0)&gt;=Charms!L4748</f>
        <v>#N/A</v>
      </c>
      <c r="E4748" t="e">
        <f>OR(ISBLANK(Charms!I4748),(VLOOKUP(Values!$S$6,Castes!$B$2:$F$25,4,0)=Charms!I4748))</f>
        <v>#N/A</v>
      </c>
      <c r="J4748" t="e">
        <f t="shared" ca="1" si="371"/>
        <v>#N/A</v>
      </c>
      <c r="K4748" s="18" t="e">
        <f t="shared" ca="1" si="370"/>
        <v>#N/A</v>
      </c>
      <c r="L4748" t="e">
        <f ca="1">IF(J4748,Charms!B4748,"")</f>
        <v>#N/A</v>
      </c>
      <c r="M4748" t="str">
        <f t="shared" ca="1" si="372"/>
        <v>-</v>
      </c>
      <c r="N4748" s="18" t="str">
        <f t="shared" si="373"/>
        <v>K1622:L5000</v>
      </c>
      <c r="O4748" t="str">
        <f t="shared" si="374"/>
        <v>A1622:A4748</v>
      </c>
    </row>
    <row r="4749" spans="1:15">
      <c r="A4749" s="18">
        <f>Charms!K4749</f>
        <v>0</v>
      </c>
      <c r="B4749">
        <f>Charms!B4749</f>
        <v>0</v>
      </c>
      <c r="C4749" t="b">
        <f ca="1">OR(Values!$S$98&gt;=Charms!M4749,IFERROR(Charms!J4749=OFFSET(Values!$A$24,MATCH("S",Values!$T$25:$T$50,0),0),FALSE))</f>
        <v>1</v>
      </c>
      <c r="D4749" t="e">
        <f>VLOOKUP(Charms!J4749,Values!$A$11:$S$59,19,0)&gt;=Charms!L4749</f>
        <v>#N/A</v>
      </c>
      <c r="E4749" t="e">
        <f>OR(ISBLANK(Charms!I4749),(VLOOKUP(Values!$S$6,Castes!$B$2:$F$25,4,0)=Charms!I4749))</f>
        <v>#N/A</v>
      </c>
      <c r="J4749" t="e">
        <f t="shared" ca="1" si="371"/>
        <v>#N/A</v>
      </c>
      <c r="K4749" s="18" t="e">
        <f t="shared" ca="1" si="370"/>
        <v>#N/A</v>
      </c>
      <c r="L4749" t="e">
        <f ca="1">IF(J4749,Charms!B4749,"")</f>
        <v>#N/A</v>
      </c>
      <c r="M4749" t="str">
        <f t="shared" ca="1" si="372"/>
        <v>-</v>
      </c>
      <c r="N4749" s="18" t="str">
        <f t="shared" si="373"/>
        <v>K1622:L5000</v>
      </c>
      <c r="O4749" t="str">
        <f t="shared" si="374"/>
        <v>A1622:A4749</v>
      </c>
    </row>
    <row r="4750" spans="1:15">
      <c r="A4750" s="18">
        <f>Charms!K4750</f>
        <v>0</v>
      </c>
      <c r="B4750">
        <f>Charms!B4750</f>
        <v>0</v>
      </c>
      <c r="C4750" t="b">
        <f ca="1">OR(Values!$S$98&gt;=Charms!M4750,IFERROR(Charms!J4750=OFFSET(Values!$A$24,MATCH("S",Values!$T$25:$T$50,0),0),FALSE))</f>
        <v>1</v>
      </c>
      <c r="D4750" t="e">
        <f>VLOOKUP(Charms!J4750,Values!$A$11:$S$59,19,0)&gt;=Charms!L4750</f>
        <v>#N/A</v>
      </c>
      <c r="E4750" t="e">
        <f>OR(ISBLANK(Charms!I4750),(VLOOKUP(Values!$S$6,Castes!$B$2:$F$25,4,0)=Charms!I4750))</f>
        <v>#N/A</v>
      </c>
      <c r="J4750" t="e">
        <f t="shared" ca="1" si="371"/>
        <v>#N/A</v>
      </c>
      <c r="K4750" s="18" t="e">
        <f t="shared" ca="1" si="370"/>
        <v>#N/A</v>
      </c>
      <c r="L4750" t="e">
        <f ca="1">IF(J4750,Charms!B4750,"")</f>
        <v>#N/A</v>
      </c>
      <c r="M4750" t="str">
        <f t="shared" ca="1" si="372"/>
        <v>-</v>
      </c>
      <c r="N4750" s="18" t="str">
        <f t="shared" si="373"/>
        <v>K1622:L5000</v>
      </c>
      <c r="O4750" t="str">
        <f t="shared" si="374"/>
        <v>A1622:A4750</v>
      </c>
    </row>
    <row r="4751" spans="1:15">
      <c r="A4751" s="18">
        <f>Charms!K4751</f>
        <v>0</v>
      </c>
      <c r="B4751">
        <f>Charms!B4751</f>
        <v>0</v>
      </c>
      <c r="C4751" t="b">
        <f ca="1">OR(Values!$S$98&gt;=Charms!M4751,IFERROR(Charms!J4751=OFFSET(Values!$A$24,MATCH("S",Values!$T$25:$T$50,0),0),FALSE))</f>
        <v>1</v>
      </c>
      <c r="D4751" t="e">
        <f>VLOOKUP(Charms!J4751,Values!$A$11:$S$59,19,0)&gt;=Charms!L4751</f>
        <v>#N/A</v>
      </c>
      <c r="E4751" t="e">
        <f>OR(ISBLANK(Charms!I4751),(VLOOKUP(Values!$S$6,Castes!$B$2:$F$25,4,0)=Charms!I4751))</f>
        <v>#N/A</v>
      </c>
      <c r="J4751" t="e">
        <f t="shared" ca="1" si="371"/>
        <v>#N/A</v>
      </c>
      <c r="K4751" s="18" t="e">
        <f t="shared" ca="1" si="370"/>
        <v>#N/A</v>
      </c>
      <c r="L4751" t="e">
        <f ca="1">IF(J4751,Charms!B4751,"")</f>
        <v>#N/A</v>
      </c>
      <c r="M4751" t="str">
        <f t="shared" ca="1" si="372"/>
        <v>-</v>
      </c>
      <c r="N4751" s="18" t="str">
        <f t="shared" si="373"/>
        <v>K1622:L5000</v>
      </c>
      <c r="O4751" t="str">
        <f t="shared" si="374"/>
        <v>A1622:A4751</v>
      </c>
    </row>
    <row r="4752" spans="1:15">
      <c r="A4752" s="18">
        <f>Charms!K4752</f>
        <v>0</v>
      </c>
      <c r="B4752">
        <f>Charms!B4752</f>
        <v>0</v>
      </c>
      <c r="C4752" t="b">
        <f ca="1">OR(Values!$S$98&gt;=Charms!M4752,IFERROR(Charms!J4752=OFFSET(Values!$A$24,MATCH("S",Values!$T$25:$T$50,0),0),FALSE))</f>
        <v>1</v>
      </c>
      <c r="D4752" t="e">
        <f>VLOOKUP(Charms!J4752,Values!$A$11:$S$59,19,0)&gt;=Charms!L4752</f>
        <v>#N/A</v>
      </c>
      <c r="E4752" t="e">
        <f>OR(ISBLANK(Charms!I4752),(VLOOKUP(Values!$S$6,Castes!$B$2:$F$25,4,0)=Charms!I4752))</f>
        <v>#N/A</v>
      </c>
      <c r="J4752" t="e">
        <f t="shared" ca="1" si="371"/>
        <v>#N/A</v>
      </c>
      <c r="K4752" s="18" t="e">
        <f t="shared" ca="1" si="370"/>
        <v>#N/A</v>
      </c>
      <c r="L4752" t="e">
        <f ca="1">IF(J4752,Charms!B4752,"")</f>
        <v>#N/A</v>
      </c>
      <c r="M4752" t="str">
        <f t="shared" ca="1" si="372"/>
        <v>-</v>
      </c>
      <c r="N4752" s="18" t="str">
        <f t="shared" si="373"/>
        <v>K1622:L5000</v>
      </c>
      <c r="O4752" t="str">
        <f t="shared" si="374"/>
        <v>A1622:A4752</v>
      </c>
    </row>
    <row r="4753" spans="1:15">
      <c r="A4753" s="18">
        <f>Charms!K4753</f>
        <v>0</v>
      </c>
      <c r="B4753">
        <f>Charms!B4753</f>
        <v>0</v>
      </c>
      <c r="C4753" t="b">
        <f ca="1">OR(Values!$S$98&gt;=Charms!M4753,IFERROR(Charms!J4753=OFFSET(Values!$A$24,MATCH("S",Values!$T$25:$T$50,0),0),FALSE))</f>
        <v>1</v>
      </c>
      <c r="D4753" t="e">
        <f>VLOOKUP(Charms!J4753,Values!$A$11:$S$59,19,0)&gt;=Charms!L4753</f>
        <v>#N/A</v>
      </c>
      <c r="E4753" t="e">
        <f>OR(ISBLANK(Charms!I4753),(VLOOKUP(Values!$S$6,Castes!$B$2:$F$25,4,0)=Charms!I4753))</f>
        <v>#N/A</v>
      </c>
      <c r="J4753" t="e">
        <f t="shared" ca="1" si="371"/>
        <v>#N/A</v>
      </c>
      <c r="K4753" s="18" t="e">
        <f t="shared" ca="1" si="370"/>
        <v>#N/A</v>
      </c>
      <c r="L4753" t="e">
        <f ca="1">IF(J4753,Charms!B4753,"")</f>
        <v>#N/A</v>
      </c>
      <c r="M4753" t="str">
        <f t="shared" ca="1" si="372"/>
        <v>-</v>
      </c>
      <c r="N4753" s="18" t="str">
        <f t="shared" si="373"/>
        <v>K1622:L5000</v>
      </c>
      <c r="O4753" t="str">
        <f t="shared" si="374"/>
        <v>A1622:A4753</v>
      </c>
    </row>
    <row r="4754" spans="1:15">
      <c r="A4754" s="18">
        <f>Charms!K4754</f>
        <v>0</v>
      </c>
      <c r="B4754">
        <f>Charms!B4754</f>
        <v>0</v>
      </c>
      <c r="C4754" t="b">
        <f ca="1">OR(Values!$S$98&gt;=Charms!M4754,IFERROR(Charms!J4754=OFFSET(Values!$A$24,MATCH("S",Values!$T$25:$T$50,0),0),FALSE))</f>
        <v>1</v>
      </c>
      <c r="D4754" t="e">
        <f>VLOOKUP(Charms!J4754,Values!$A$11:$S$59,19,0)&gt;=Charms!L4754</f>
        <v>#N/A</v>
      </c>
      <c r="E4754" t="e">
        <f>OR(ISBLANK(Charms!I4754),(VLOOKUP(Values!$S$6,Castes!$B$2:$F$25,4,0)=Charms!I4754))</f>
        <v>#N/A</v>
      </c>
      <c r="J4754" t="e">
        <f t="shared" ca="1" si="371"/>
        <v>#N/A</v>
      </c>
      <c r="K4754" s="18" t="e">
        <f t="shared" ca="1" si="370"/>
        <v>#N/A</v>
      </c>
      <c r="L4754" t="e">
        <f ca="1">IF(J4754,Charms!B4754,"")</f>
        <v>#N/A</v>
      </c>
      <c r="M4754" t="str">
        <f t="shared" ca="1" si="372"/>
        <v>-</v>
      </c>
      <c r="N4754" s="18" t="str">
        <f t="shared" si="373"/>
        <v>K1622:L5000</v>
      </c>
      <c r="O4754" t="str">
        <f t="shared" si="374"/>
        <v>A1622:A4754</v>
      </c>
    </row>
    <row r="4755" spans="1:15">
      <c r="A4755" s="18">
        <f>Charms!K4755</f>
        <v>0</v>
      </c>
      <c r="B4755">
        <f>Charms!B4755</f>
        <v>0</v>
      </c>
      <c r="C4755" t="b">
        <f ca="1">OR(Values!$S$98&gt;=Charms!M4755,IFERROR(Charms!J4755=OFFSET(Values!$A$24,MATCH("S",Values!$T$25:$T$50,0),0),FALSE))</f>
        <v>1</v>
      </c>
      <c r="D4755" t="e">
        <f>VLOOKUP(Charms!J4755,Values!$A$11:$S$59,19,0)&gt;=Charms!L4755</f>
        <v>#N/A</v>
      </c>
      <c r="E4755" t="e">
        <f>OR(ISBLANK(Charms!I4755),(VLOOKUP(Values!$S$6,Castes!$B$2:$F$25,4,0)=Charms!I4755))</f>
        <v>#N/A</v>
      </c>
      <c r="J4755" t="e">
        <f t="shared" ca="1" si="371"/>
        <v>#N/A</v>
      </c>
      <c r="K4755" s="18" t="e">
        <f t="shared" ca="1" si="370"/>
        <v>#N/A</v>
      </c>
      <c r="L4755" t="e">
        <f ca="1">IF(J4755,Charms!B4755,"")</f>
        <v>#N/A</v>
      </c>
      <c r="M4755" t="str">
        <f t="shared" ca="1" si="372"/>
        <v>-</v>
      </c>
      <c r="N4755" s="18" t="str">
        <f t="shared" si="373"/>
        <v>K1622:L5000</v>
      </c>
      <c r="O4755" t="str">
        <f t="shared" si="374"/>
        <v>A1622:A4755</v>
      </c>
    </row>
    <row r="4756" spans="1:15">
      <c r="A4756" s="18">
        <f>Charms!K4756</f>
        <v>0</v>
      </c>
      <c r="B4756">
        <f>Charms!B4756</f>
        <v>0</v>
      </c>
      <c r="C4756" t="b">
        <f ca="1">OR(Values!$S$98&gt;=Charms!M4756,IFERROR(Charms!J4756=OFFSET(Values!$A$24,MATCH("S",Values!$T$25:$T$50,0),0),FALSE))</f>
        <v>1</v>
      </c>
      <c r="D4756" t="e">
        <f>VLOOKUP(Charms!J4756,Values!$A$11:$S$59,19,0)&gt;=Charms!L4756</f>
        <v>#N/A</v>
      </c>
      <c r="E4756" t="e">
        <f>OR(ISBLANK(Charms!I4756),(VLOOKUP(Values!$S$6,Castes!$B$2:$F$25,4,0)=Charms!I4756))</f>
        <v>#N/A</v>
      </c>
      <c r="J4756" t="e">
        <f t="shared" ca="1" si="371"/>
        <v>#N/A</v>
      </c>
      <c r="K4756" s="18" t="e">
        <f t="shared" ca="1" si="370"/>
        <v>#N/A</v>
      </c>
      <c r="L4756" t="e">
        <f ca="1">IF(J4756,Charms!B4756,"")</f>
        <v>#N/A</v>
      </c>
      <c r="M4756" t="str">
        <f t="shared" ca="1" si="372"/>
        <v>-</v>
      </c>
      <c r="N4756" s="18" t="str">
        <f t="shared" si="373"/>
        <v>K1622:L5000</v>
      </c>
      <c r="O4756" t="str">
        <f t="shared" si="374"/>
        <v>A1622:A4756</v>
      </c>
    </row>
    <row r="4757" spans="1:15">
      <c r="A4757" s="18">
        <f>Charms!K4757</f>
        <v>0</v>
      </c>
      <c r="B4757">
        <f>Charms!B4757</f>
        <v>0</v>
      </c>
      <c r="C4757" t="b">
        <f ca="1">OR(Values!$S$98&gt;=Charms!M4757,IFERROR(Charms!J4757=OFFSET(Values!$A$24,MATCH("S",Values!$T$25:$T$50,0),0),FALSE))</f>
        <v>1</v>
      </c>
      <c r="D4757" t="e">
        <f>VLOOKUP(Charms!J4757,Values!$A$11:$S$59,19,0)&gt;=Charms!L4757</f>
        <v>#N/A</v>
      </c>
      <c r="E4757" t="e">
        <f>OR(ISBLANK(Charms!I4757),(VLOOKUP(Values!$S$6,Castes!$B$2:$F$25,4,0)=Charms!I4757))</f>
        <v>#N/A</v>
      </c>
      <c r="J4757" t="e">
        <f t="shared" ca="1" si="371"/>
        <v>#N/A</v>
      </c>
      <c r="K4757" s="18" t="e">
        <f t="shared" ca="1" si="370"/>
        <v>#N/A</v>
      </c>
      <c r="L4757" t="e">
        <f ca="1">IF(J4757,Charms!B4757,"")</f>
        <v>#N/A</v>
      </c>
      <c r="M4757" t="str">
        <f t="shared" ca="1" si="372"/>
        <v>-</v>
      </c>
      <c r="N4757" s="18" t="str">
        <f t="shared" si="373"/>
        <v>K1622:L5000</v>
      </c>
      <c r="O4757" t="str">
        <f t="shared" si="374"/>
        <v>A1622:A4757</v>
      </c>
    </row>
    <row r="4758" spans="1:15">
      <c r="A4758" s="18">
        <f>Charms!K4758</f>
        <v>0</v>
      </c>
      <c r="B4758">
        <f>Charms!B4758</f>
        <v>0</v>
      </c>
      <c r="C4758" t="b">
        <f ca="1">OR(Values!$S$98&gt;=Charms!M4758,IFERROR(Charms!J4758=OFFSET(Values!$A$24,MATCH("S",Values!$T$25:$T$50,0),0),FALSE))</f>
        <v>1</v>
      </c>
      <c r="D4758" t="e">
        <f>VLOOKUP(Charms!J4758,Values!$A$11:$S$59,19,0)&gt;=Charms!L4758</f>
        <v>#N/A</v>
      </c>
      <c r="E4758" t="e">
        <f>OR(ISBLANK(Charms!I4758),(VLOOKUP(Values!$S$6,Castes!$B$2:$F$25,4,0)=Charms!I4758))</f>
        <v>#N/A</v>
      </c>
      <c r="J4758" t="e">
        <f t="shared" ca="1" si="371"/>
        <v>#N/A</v>
      </c>
      <c r="K4758" s="18" t="e">
        <f t="shared" ca="1" si="370"/>
        <v>#N/A</v>
      </c>
      <c r="L4758" t="e">
        <f ca="1">IF(J4758,Charms!B4758,"")</f>
        <v>#N/A</v>
      </c>
      <c r="M4758" t="str">
        <f t="shared" ca="1" si="372"/>
        <v>-</v>
      </c>
      <c r="N4758" s="18" t="str">
        <f t="shared" si="373"/>
        <v>K1622:L5000</v>
      </c>
      <c r="O4758" t="str">
        <f t="shared" si="374"/>
        <v>A1622:A4758</v>
      </c>
    </row>
    <row r="4759" spans="1:15">
      <c r="A4759" s="18">
        <f>Charms!K4759</f>
        <v>0</v>
      </c>
      <c r="B4759">
        <f>Charms!B4759</f>
        <v>0</v>
      </c>
      <c r="C4759" t="b">
        <f ca="1">OR(Values!$S$98&gt;=Charms!M4759,IFERROR(Charms!J4759=OFFSET(Values!$A$24,MATCH("S",Values!$T$25:$T$50,0),0),FALSE))</f>
        <v>1</v>
      </c>
      <c r="D4759" t="e">
        <f>VLOOKUP(Charms!J4759,Values!$A$11:$S$59,19,0)&gt;=Charms!L4759</f>
        <v>#N/A</v>
      </c>
      <c r="E4759" t="e">
        <f>OR(ISBLANK(Charms!I4759),(VLOOKUP(Values!$S$6,Castes!$B$2:$F$25,4,0)=Charms!I4759))</f>
        <v>#N/A</v>
      </c>
      <c r="J4759" t="e">
        <f t="shared" ca="1" si="371"/>
        <v>#N/A</v>
      </c>
      <c r="K4759" s="18" t="e">
        <f t="shared" ca="1" si="370"/>
        <v>#N/A</v>
      </c>
      <c r="L4759" t="e">
        <f ca="1">IF(J4759,Charms!B4759,"")</f>
        <v>#N/A</v>
      </c>
      <c r="M4759" t="str">
        <f t="shared" ca="1" si="372"/>
        <v>-</v>
      </c>
      <c r="N4759" s="18" t="str">
        <f t="shared" si="373"/>
        <v>K1622:L5000</v>
      </c>
      <c r="O4759" t="str">
        <f t="shared" si="374"/>
        <v>A1622:A4759</v>
      </c>
    </row>
    <row r="4760" spans="1:15">
      <c r="A4760" s="18">
        <f>Charms!K4760</f>
        <v>0</v>
      </c>
      <c r="B4760">
        <f>Charms!B4760</f>
        <v>0</v>
      </c>
      <c r="C4760" t="b">
        <f ca="1">OR(Values!$S$98&gt;=Charms!M4760,IFERROR(Charms!J4760=OFFSET(Values!$A$24,MATCH("S",Values!$T$25:$T$50,0),0),FALSE))</f>
        <v>1</v>
      </c>
      <c r="D4760" t="e">
        <f>VLOOKUP(Charms!J4760,Values!$A$11:$S$59,19,0)&gt;=Charms!L4760</f>
        <v>#N/A</v>
      </c>
      <c r="E4760" t="e">
        <f>OR(ISBLANK(Charms!I4760),(VLOOKUP(Values!$S$6,Castes!$B$2:$F$25,4,0)=Charms!I4760))</f>
        <v>#N/A</v>
      </c>
      <c r="J4760" t="e">
        <f t="shared" ca="1" si="371"/>
        <v>#N/A</v>
      </c>
      <c r="K4760" s="18" t="e">
        <f t="shared" ca="1" si="370"/>
        <v>#N/A</v>
      </c>
      <c r="L4760" t="e">
        <f ca="1">IF(J4760,Charms!B4760,"")</f>
        <v>#N/A</v>
      </c>
      <c r="M4760" t="str">
        <f t="shared" ca="1" si="372"/>
        <v>-</v>
      </c>
      <c r="N4760" s="18" t="str">
        <f t="shared" si="373"/>
        <v>K1622:L5000</v>
      </c>
      <c r="O4760" t="str">
        <f t="shared" si="374"/>
        <v>A1622:A4760</v>
      </c>
    </row>
    <row r="4761" spans="1:15">
      <c r="A4761" s="18">
        <f>Charms!K4761</f>
        <v>0</v>
      </c>
      <c r="B4761">
        <f>Charms!B4761</f>
        <v>0</v>
      </c>
      <c r="C4761" t="b">
        <f ca="1">OR(Values!$S$98&gt;=Charms!M4761,IFERROR(Charms!J4761=OFFSET(Values!$A$24,MATCH("S",Values!$T$25:$T$50,0),0),FALSE))</f>
        <v>1</v>
      </c>
      <c r="D4761" t="e">
        <f>VLOOKUP(Charms!J4761,Values!$A$11:$S$59,19,0)&gt;=Charms!L4761</f>
        <v>#N/A</v>
      </c>
      <c r="E4761" t="e">
        <f>OR(ISBLANK(Charms!I4761),(VLOOKUP(Values!$S$6,Castes!$B$2:$F$25,4,0)=Charms!I4761))</f>
        <v>#N/A</v>
      </c>
      <c r="J4761" t="e">
        <f t="shared" ca="1" si="371"/>
        <v>#N/A</v>
      </c>
      <c r="K4761" s="18" t="e">
        <f t="shared" ca="1" si="370"/>
        <v>#N/A</v>
      </c>
      <c r="L4761" t="e">
        <f ca="1">IF(J4761,Charms!B4761,"")</f>
        <v>#N/A</v>
      </c>
      <c r="M4761" t="str">
        <f t="shared" ca="1" si="372"/>
        <v>-</v>
      </c>
      <c r="N4761" s="18" t="str">
        <f t="shared" si="373"/>
        <v>K1622:L5000</v>
      </c>
      <c r="O4761" t="str">
        <f t="shared" si="374"/>
        <v>A1622:A4761</v>
      </c>
    </row>
    <row r="4762" spans="1:15">
      <c r="A4762" s="18">
        <f>Charms!K4762</f>
        <v>0</v>
      </c>
      <c r="B4762">
        <f>Charms!B4762</f>
        <v>0</v>
      </c>
      <c r="C4762" t="b">
        <f ca="1">OR(Values!$S$98&gt;=Charms!M4762,IFERROR(Charms!J4762=OFFSET(Values!$A$24,MATCH("S",Values!$T$25:$T$50,0),0),FALSE))</f>
        <v>1</v>
      </c>
      <c r="D4762" t="e">
        <f>VLOOKUP(Charms!J4762,Values!$A$11:$S$59,19,0)&gt;=Charms!L4762</f>
        <v>#N/A</v>
      </c>
      <c r="E4762" t="e">
        <f>OR(ISBLANK(Charms!I4762),(VLOOKUP(Values!$S$6,Castes!$B$2:$F$25,4,0)=Charms!I4762))</f>
        <v>#N/A</v>
      </c>
      <c r="J4762" t="e">
        <f t="shared" ca="1" si="371"/>
        <v>#N/A</v>
      </c>
      <c r="K4762" s="18" t="e">
        <f t="shared" ca="1" si="370"/>
        <v>#N/A</v>
      </c>
      <c r="L4762" t="e">
        <f ca="1">IF(J4762,Charms!B4762,"")</f>
        <v>#N/A</v>
      </c>
      <c r="M4762" t="str">
        <f t="shared" ca="1" si="372"/>
        <v>-</v>
      </c>
      <c r="N4762" s="18" t="str">
        <f t="shared" si="373"/>
        <v>K1622:L5000</v>
      </c>
      <c r="O4762" t="str">
        <f t="shared" si="374"/>
        <v>A1622:A4762</v>
      </c>
    </row>
    <row r="4763" spans="1:15">
      <c r="A4763" s="18">
        <f>Charms!K4763</f>
        <v>0</v>
      </c>
      <c r="B4763">
        <f>Charms!B4763</f>
        <v>0</v>
      </c>
      <c r="C4763" t="b">
        <f ca="1">OR(Values!$S$98&gt;=Charms!M4763,IFERROR(Charms!J4763=OFFSET(Values!$A$24,MATCH("S",Values!$T$25:$T$50,0),0),FALSE))</f>
        <v>1</v>
      </c>
      <c r="D4763" t="e">
        <f>VLOOKUP(Charms!J4763,Values!$A$11:$S$59,19,0)&gt;=Charms!L4763</f>
        <v>#N/A</v>
      </c>
      <c r="E4763" t="e">
        <f>OR(ISBLANK(Charms!I4763),(VLOOKUP(Values!$S$6,Castes!$B$2:$F$25,4,0)=Charms!I4763))</f>
        <v>#N/A</v>
      </c>
      <c r="J4763" t="e">
        <f t="shared" ca="1" si="371"/>
        <v>#N/A</v>
      </c>
      <c r="K4763" s="18" t="e">
        <f t="shared" ca="1" si="370"/>
        <v>#N/A</v>
      </c>
      <c r="L4763" t="e">
        <f ca="1">IF(J4763,Charms!B4763,"")</f>
        <v>#N/A</v>
      </c>
      <c r="M4763" t="str">
        <f t="shared" ca="1" si="372"/>
        <v>-</v>
      </c>
      <c r="N4763" s="18" t="str">
        <f t="shared" si="373"/>
        <v>K1622:L5000</v>
      </c>
      <c r="O4763" t="str">
        <f t="shared" si="374"/>
        <v>A1622:A4763</v>
      </c>
    </row>
    <row r="4764" spans="1:15">
      <c r="A4764" s="18">
        <f>Charms!K4764</f>
        <v>0</v>
      </c>
      <c r="B4764">
        <f>Charms!B4764</f>
        <v>0</v>
      </c>
      <c r="C4764" t="b">
        <f ca="1">OR(Values!$S$98&gt;=Charms!M4764,IFERROR(Charms!J4764=OFFSET(Values!$A$24,MATCH("S",Values!$T$25:$T$50,0),0),FALSE))</f>
        <v>1</v>
      </c>
      <c r="D4764" t="e">
        <f>VLOOKUP(Charms!J4764,Values!$A$11:$S$59,19,0)&gt;=Charms!L4764</f>
        <v>#N/A</v>
      </c>
      <c r="E4764" t="e">
        <f>OR(ISBLANK(Charms!I4764),(VLOOKUP(Values!$S$6,Castes!$B$2:$F$25,4,0)=Charms!I4764))</f>
        <v>#N/A</v>
      </c>
      <c r="J4764" t="e">
        <f t="shared" ca="1" si="371"/>
        <v>#N/A</v>
      </c>
      <c r="K4764" s="18" t="e">
        <f t="shared" ca="1" si="370"/>
        <v>#N/A</v>
      </c>
      <c r="L4764" t="e">
        <f ca="1">IF(J4764,Charms!B4764,"")</f>
        <v>#N/A</v>
      </c>
      <c r="M4764" t="str">
        <f t="shared" ca="1" si="372"/>
        <v>-</v>
      </c>
      <c r="N4764" s="18" t="str">
        <f t="shared" si="373"/>
        <v>K1622:L5000</v>
      </c>
      <c r="O4764" t="str">
        <f t="shared" si="374"/>
        <v>A1622:A4764</v>
      </c>
    </row>
    <row r="4765" spans="1:15">
      <c r="A4765" s="18">
        <f>Charms!K4765</f>
        <v>0</v>
      </c>
      <c r="B4765">
        <f>Charms!B4765</f>
        <v>0</v>
      </c>
      <c r="C4765" t="b">
        <f ca="1">OR(Values!$S$98&gt;=Charms!M4765,IFERROR(Charms!J4765=OFFSET(Values!$A$24,MATCH("S",Values!$T$25:$T$50,0),0),FALSE))</f>
        <v>1</v>
      </c>
      <c r="D4765" t="e">
        <f>VLOOKUP(Charms!J4765,Values!$A$11:$S$59,19,0)&gt;=Charms!L4765</f>
        <v>#N/A</v>
      </c>
      <c r="E4765" t="e">
        <f>OR(ISBLANK(Charms!I4765),(VLOOKUP(Values!$S$6,Castes!$B$2:$F$25,4,0)=Charms!I4765))</f>
        <v>#N/A</v>
      </c>
      <c r="J4765" t="e">
        <f t="shared" ca="1" si="371"/>
        <v>#N/A</v>
      </c>
      <c r="K4765" s="18" t="e">
        <f t="shared" ca="1" si="370"/>
        <v>#N/A</v>
      </c>
      <c r="L4765" t="e">
        <f ca="1">IF(J4765,Charms!B4765,"")</f>
        <v>#N/A</v>
      </c>
      <c r="M4765" t="str">
        <f t="shared" ca="1" si="372"/>
        <v>-</v>
      </c>
      <c r="N4765" s="18" t="str">
        <f t="shared" si="373"/>
        <v>K1622:L5000</v>
      </c>
      <c r="O4765" t="str">
        <f t="shared" si="374"/>
        <v>A1622:A4765</v>
      </c>
    </row>
    <row r="4766" spans="1:15">
      <c r="A4766" s="18">
        <f>Charms!K4766</f>
        <v>0</v>
      </c>
      <c r="B4766">
        <f>Charms!B4766</f>
        <v>0</v>
      </c>
      <c r="C4766" t="b">
        <f ca="1">OR(Values!$S$98&gt;=Charms!M4766,IFERROR(Charms!J4766=OFFSET(Values!$A$24,MATCH("S",Values!$T$25:$T$50,0),0),FALSE))</f>
        <v>1</v>
      </c>
      <c r="D4766" t="e">
        <f>VLOOKUP(Charms!J4766,Values!$A$11:$S$59,19,0)&gt;=Charms!L4766</f>
        <v>#N/A</v>
      </c>
      <c r="E4766" t="e">
        <f>OR(ISBLANK(Charms!I4766),(VLOOKUP(Values!$S$6,Castes!$B$2:$F$25,4,0)=Charms!I4766))</f>
        <v>#N/A</v>
      </c>
      <c r="J4766" t="e">
        <f t="shared" ca="1" si="371"/>
        <v>#N/A</v>
      </c>
      <c r="K4766" s="18" t="e">
        <f t="shared" ca="1" si="370"/>
        <v>#N/A</v>
      </c>
      <c r="L4766" t="e">
        <f ca="1">IF(J4766,Charms!B4766,"")</f>
        <v>#N/A</v>
      </c>
      <c r="M4766" t="str">
        <f t="shared" ca="1" si="372"/>
        <v>-</v>
      </c>
      <c r="N4766" s="18" t="str">
        <f t="shared" si="373"/>
        <v>K1622:L5000</v>
      </c>
      <c r="O4766" t="str">
        <f t="shared" si="374"/>
        <v>A1622:A4766</v>
      </c>
    </row>
    <row r="4767" spans="1:15">
      <c r="A4767" s="18">
        <f>Charms!K4767</f>
        <v>0</v>
      </c>
      <c r="B4767">
        <f>Charms!B4767</f>
        <v>0</v>
      </c>
      <c r="C4767" t="b">
        <f ca="1">OR(Values!$S$98&gt;=Charms!M4767,IFERROR(Charms!J4767=OFFSET(Values!$A$24,MATCH("S",Values!$T$25:$T$50,0),0),FALSE))</f>
        <v>1</v>
      </c>
      <c r="D4767" t="e">
        <f>VLOOKUP(Charms!J4767,Values!$A$11:$S$59,19,0)&gt;=Charms!L4767</f>
        <v>#N/A</v>
      </c>
      <c r="E4767" t="e">
        <f>OR(ISBLANK(Charms!I4767),(VLOOKUP(Values!$S$6,Castes!$B$2:$F$25,4,0)=Charms!I4767))</f>
        <v>#N/A</v>
      </c>
      <c r="J4767" t="e">
        <f t="shared" ca="1" si="371"/>
        <v>#N/A</v>
      </c>
      <c r="K4767" s="18" t="e">
        <f t="shared" ca="1" si="370"/>
        <v>#N/A</v>
      </c>
      <c r="L4767" t="e">
        <f ca="1">IF(J4767,Charms!B4767,"")</f>
        <v>#N/A</v>
      </c>
      <c r="M4767" t="str">
        <f t="shared" ca="1" si="372"/>
        <v>-</v>
      </c>
      <c r="N4767" s="18" t="str">
        <f t="shared" si="373"/>
        <v>K1622:L5000</v>
      </c>
      <c r="O4767" t="str">
        <f t="shared" si="374"/>
        <v>A1622:A4767</v>
      </c>
    </row>
    <row r="4768" spans="1:15">
      <c r="A4768" s="18">
        <f>Charms!K4768</f>
        <v>0</v>
      </c>
      <c r="B4768">
        <f>Charms!B4768</f>
        <v>0</v>
      </c>
      <c r="C4768" t="b">
        <f ca="1">OR(Values!$S$98&gt;=Charms!M4768,IFERROR(Charms!J4768=OFFSET(Values!$A$24,MATCH("S",Values!$T$25:$T$50,0),0),FALSE))</f>
        <v>1</v>
      </c>
      <c r="D4768" t="e">
        <f>VLOOKUP(Charms!J4768,Values!$A$11:$S$59,19,0)&gt;=Charms!L4768</f>
        <v>#N/A</v>
      </c>
      <c r="E4768" t="e">
        <f>OR(ISBLANK(Charms!I4768),(VLOOKUP(Values!$S$6,Castes!$B$2:$F$25,4,0)=Charms!I4768))</f>
        <v>#N/A</v>
      </c>
      <c r="J4768" t="e">
        <f t="shared" ca="1" si="371"/>
        <v>#N/A</v>
      </c>
      <c r="K4768" s="18" t="e">
        <f t="shared" ca="1" si="370"/>
        <v>#N/A</v>
      </c>
      <c r="L4768" t="e">
        <f ca="1">IF(J4768,Charms!B4768,"")</f>
        <v>#N/A</v>
      </c>
      <c r="M4768" t="str">
        <f t="shared" ca="1" si="372"/>
        <v>-</v>
      </c>
      <c r="N4768" s="18" t="str">
        <f t="shared" si="373"/>
        <v>K1622:L5000</v>
      </c>
      <c r="O4768" t="str">
        <f t="shared" si="374"/>
        <v>A1622:A4768</v>
      </c>
    </row>
    <row r="4769" spans="1:15">
      <c r="A4769" s="18">
        <f>Charms!K4769</f>
        <v>0</v>
      </c>
      <c r="B4769">
        <f>Charms!B4769</f>
        <v>0</v>
      </c>
      <c r="C4769" t="b">
        <f ca="1">OR(Values!$S$98&gt;=Charms!M4769,IFERROR(Charms!J4769=OFFSET(Values!$A$24,MATCH("S",Values!$T$25:$T$50,0),0),FALSE))</f>
        <v>1</v>
      </c>
      <c r="D4769" t="e">
        <f>VLOOKUP(Charms!J4769,Values!$A$11:$S$59,19,0)&gt;=Charms!L4769</f>
        <v>#N/A</v>
      </c>
      <c r="E4769" t="e">
        <f>OR(ISBLANK(Charms!I4769),(VLOOKUP(Values!$S$6,Castes!$B$2:$F$25,4,0)=Charms!I4769))</f>
        <v>#N/A</v>
      </c>
      <c r="J4769" t="e">
        <f t="shared" ca="1" si="371"/>
        <v>#N/A</v>
      </c>
      <c r="K4769" s="18" t="e">
        <f t="shared" ca="1" si="370"/>
        <v>#N/A</v>
      </c>
      <c r="L4769" t="e">
        <f ca="1">IF(J4769,Charms!B4769,"")</f>
        <v>#N/A</v>
      </c>
      <c r="M4769" t="str">
        <f t="shared" ca="1" si="372"/>
        <v>-</v>
      </c>
      <c r="N4769" s="18" t="str">
        <f t="shared" si="373"/>
        <v>K1622:L5000</v>
      </c>
      <c r="O4769" t="str">
        <f t="shared" si="374"/>
        <v>A1622:A4769</v>
      </c>
    </row>
    <row r="4770" spans="1:15">
      <c r="A4770" s="18">
        <f>Charms!K4770</f>
        <v>0</v>
      </c>
      <c r="B4770">
        <f>Charms!B4770</f>
        <v>0</v>
      </c>
      <c r="C4770" t="b">
        <f ca="1">OR(Values!$S$98&gt;=Charms!M4770,IFERROR(Charms!J4770=OFFSET(Values!$A$24,MATCH("S",Values!$T$25:$T$50,0),0),FALSE))</f>
        <v>1</v>
      </c>
      <c r="D4770" t="e">
        <f>VLOOKUP(Charms!J4770,Values!$A$11:$S$59,19,0)&gt;=Charms!L4770</f>
        <v>#N/A</v>
      </c>
      <c r="E4770" t="e">
        <f>OR(ISBLANK(Charms!I4770),(VLOOKUP(Values!$S$6,Castes!$B$2:$F$25,4,0)=Charms!I4770))</f>
        <v>#N/A</v>
      </c>
      <c r="J4770" t="e">
        <f t="shared" ca="1" si="371"/>
        <v>#N/A</v>
      </c>
      <c r="K4770" s="18" t="e">
        <f t="shared" ca="1" si="370"/>
        <v>#N/A</v>
      </c>
      <c r="L4770" t="e">
        <f ca="1">IF(J4770,Charms!B4770,"")</f>
        <v>#N/A</v>
      </c>
      <c r="M4770" t="str">
        <f t="shared" ca="1" si="372"/>
        <v>-</v>
      </c>
      <c r="N4770" s="18" t="str">
        <f t="shared" si="373"/>
        <v>K1622:L5000</v>
      </c>
      <c r="O4770" t="str">
        <f t="shared" si="374"/>
        <v>A1622:A4770</v>
      </c>
    </row>
    <row r="4771" spans="1:15">
      <c r="A4771" s="18">
        <f>Charms!K4771</f>
        <v>0</v>
      </c>
      <c r="B4771">
        <f>Charms!B4771</f>
        <v>0</v>
      </c>
      <c r="C4771" t="b">
        <f ca="1">OR(Values!$S$98&gt;=Charms!M4771,IFERROR(Charms!J4771=OFFSET(Values!$A$24,MATCH("S",Values!$T$25:$T$50,0),0),FALSE))</f>
        <v>1</v>
      </c>
      <c r="D4771" t="e">
        <f>VLOOKUP(Charms!J4771,Values!$A$11:$S$59,19,0)&gt;=Charms!L4771</f>
        <v>#N/A</v>
      </c>
      <c r="E4771" t="e">
        <f>OR(ISBLANK(Charms!I4771),(VLOOKUP(Values!$S$6,Castes!$B$2:$F$25,4,0)=Charms!I4771))</f>
        <v>#N/A</v>
      </c>
      <c r="J4771" t="e">
        <f t="shared" ca="1" si="371"/>
        <v>#N/A</v>
      </c>
      <c r="K4771" s="18" t="e">
        <f t="shared" ca="1" si="370"/>
        <v>#N/A</v>
      </c>
      <c r="L4771" t="e">
        <f ca="1">IF(J4771,Charms!B4771,"")</f>
        <v>#N/A</v>
      </c>
      <c r="M4771" t="str">
        <f t="shared" ca="1" si="372"/>
        <v>-</v>
      </c>
      <c r="N4771" s="18" t="str">
        <f t="shared" si="373"/>
        <v>K1622:L5000</v>
      </c>
      <c r="O4771" t="str">
        <f t="shared" si="374"/>
        <v>A1622:A4771</v>
      </c>
    </row>
    <row r="4772" spans="1:15">
      <c r="A4772" s="18">
        <f>Charms!K4772</f>
        <v>0</v>
      </c>
      <c r="B4772">
        <f>Charms!B4772</f>
        <v>0</v>
      </c>
      <c r="C4772" t="b">
        <f ca="1">OR(Values!$S$98&gt;=Charms!M4772,IFERROR(Charms!J4772=OFFSET(Values!$A$24,MATCH("S",Values!$T$25:$T$50,0),0),FALSE))</f>
        <v>1</v>
      </c>
      <c r="D4772" t="e">
        <f>VLOOKUP(Charms!J4772,Values!$A$11:$S$59,19,0)&gt;=Charms!L4772</f>
        <v>#N/A</v>
      </c>
      <c r="E4772" t="e">
        <f>OR(ISBLANK(Charms!I4772),(VLOOKUP(Values!$S$6,Castes!$B$2:$F$25,4,0)=Charms!I4772))</f>
        <v>#N/A</v>
      </c>
      <c r="J4772" t="e">
        <f t="shared" ca="1" si="371"/>
        <v>#N/A</v>
      </c>
      <c r="K4772" s="18" t="e">
        <f t="shared" ca="1" si="370"/>
        <v>#N/A</v>
      </c>
      <c r="L4772" t="e">
        <f ca="1">IF(J4772,Charms!B4772,"")</f>
        <v>#N/A</v>
      </c>
      <c r="M4772" t="str">
        <f t="shared" ca="1" si="372"/>
        <v>-</v>
      </c>
      <c r="N4772" s="18" t="str">
        <f t="shared" si="373"/>
        <v>K1622:L5000</v>
      </c>
      <c r="O4772" t="str">
        <f t="shared" si="374"/>
        <v>A1622:A4772</v>
      </c>
    </row>
    <row r="4773" spans="1:15">
      <c r="A4773" s="18">
        <f>Charms!K4773</f>
        <v>0</v>
      </c>
      <c r="B4773">
        <f>Charms!B4773</f>
        <v>0</v>
      </c>
      <c r="C4773" t="b">
        <f ca="1">OR(Values!$S$98&gt;=Charms!M4773,IFERROR(Charms!J4773=OFFSET(Values!$A$24,MATCH("S",Values!$T$25:$T$50,0),0),FALSE))</f>
        <v>1</v>
      </c>
      <c r="D4773" t="e">
        <f>VLOOKUP(Charms!J4773,Values!$A$11:$S$59,19,0)&gt;=Charms!L4773</f>
        <v>#N/A</v>
      </c>
      <c r="E4773" t="e">
        <f>OR(ISBLANK(Charms!I4773),(VLOOKUP(Values!$S$6,Castes!$B$2:$F$25,4,0)=Charms!I4773))</f>
        <v>#N/A</v>
      </c>
      <c r="J4773" t="e">
        <f t="shared" ca="1" si="371"/>
        <v>#N/A</v>
      </c>
      <c r="K4773" s="18" t="e">
        <f t="shared" ca="1" si="370"/>
        <v>#N/A</v>
      </c>
      <c r="L4773" t="e">
        <f ca="1">IF(J4773,Charms!B4773,"")</f>
        <v>#N/A</v>
      </c>
      <c r="M4773" t="str">
        <f t="shared" ca="1" si="372"/>
        <v>-</v>
      </c>
      <c r="N4773" s="18" t="str">
        <f t="shared" si="373"/>
        <v>K1622:L5000</v>
      </c>
      <c r="O4773" t="str">
        <f t="shared" si="374"/>
        <v>A1622:A4773</v>
      </c>
    </row>
    <row r="4774" spans="1:15">
      <c r="A4774" s="18">
        <f>Charms!K4774</f>
        <v>0</v>
      </c>
      <c r="B4774">
        <f>Charms!B4774</f>
        <v>0</v>
      </c>
      <c r="C4774" t="b">
        <f ca="1">OR(Values!$S$98&gt;=Charms!M4774,IFERROR(Charms!J4774=OFFSET(Values!$A$24,MATCH("S",Values!$T$25:$T$50,0),0),FALSE))</f>
        <v>1</v>
      </c>
      <c r="D4774" t="e">
        <f>VLOOKUP(Charms!J4774,Values!$A$11:$S$59,19,0)&gt;=Charms!L4774</f>
        <v>#N/A</v>
      </c>
      <c r="E4774" t="e">
        <f>OR(ISBLANK(Charms!I4774),(VLOOKUP(Values!$S$6,Castes!$B$2:$F$25,4,0)=Charms!I4774))</f>
        <v>#N/A</v>
      </c>
      <c r="J4774" t="e">
        <f t="shared" ca="1" si="371"/>
        <v>#N/A</v>
      </c>
      <c r="K4774" s="18" t="e">
        <f t="shared" ca="1" si="370"/>
        <v>#N/A</v>
      </c>
      <c r="L4774" t="e">
        <f ca="1">IF(J4774,Charms!B4774,"")</f>
        <v>#N/A</v>
      </c>
      <c r="M4774" t="str">
        <f t="shared" ca="1" si="372"/>
        <v>-</v>
      </c>
      <c r="N4774" s="18" t="str">
        <f t="shared" si="373"/>
        <v>K1622:L5000</v>
      </c>
      <c r="O4774" t="str">
        <f t="shared" si="374"/>
        <v>A1622:A4774</v>
      </c>
    </row>
    <row r="4775" spans="1:15">
      <c r="A4775" s="18">
        <f>Charms!K4775</f>
        <v>0</v>
      </c>
      <c r="B4775">
        <f>Charms!B4775</f>
        <v>0</v>
      </c>
      <c r="C4775" t="b">
        <f ca="1">OR(Values!$S$98&gt;=Charms!M4775,IFERROR(Charms!J4775=OFFSET(Values!$A$24,MATCH("S",Values!$T$25:$T$50,0),0),FALSE))</f>
        <v>1</v>
      </c>
      <c r="D4775" t="e">
        <f>VLOOKUP(Charms!J4775,Values!$A$11:$S$59,19,0)&gt;=Charms!L4775</f>
        <v>#N/A</v>
      </c>
      <c r="E4775" t="e">
        <f>OR(ISBLANK(Charms!I4775),(VLOOKUP(Values!$S$6,Castes!$B$2:$F$25,4,0)=Charms!I4775))</f>
        <v>#N/A</v>
      </c>
      <c r="J4775" t="e">
        <f t="shared" ca="1" si="371"/>
        <v>#N/A</v>
      </c>
      <c r="K4775" s="18" t="e">
        <f t="shared" ca="1" si="370"/>
        <v>#N/A</v>
      </c>
      <c r="L4775" t="e">
        <f ca="1">IF(J4775,Charms!B4775,"")</f>
        <v>#N/A</v>
      </c>
      <c r="M4775" t="str">
        <f t="shared" ca="1" si="372"/>
        <v>-</v>
      </c>
      <c r="N4775" s="18" t="str">
        <f t="shared" si="373"/>
        <v>K1622:L5000</v>
      </c>
      <c r="O4775" t="str">
        <f t="shared" si="374"/>
        <v>A1622:A4775</v>
      </c>
    </row>
    <row r="4776" spans="1:15">
      <c r="A4776" s="18">
        <f>Charms!K4776</f>
        <v>0</v>
      </c>
      <c r="B4776">
        <f>Charms!B4776</f>
        <v>0</v>
      </c>
      <c r="C4776" t="b">
        <f ca="1">OR(Values!$S$98&gt;=Charms!M4776,IFERROR(Charms!J4776=OFFSET(Values!$A$24,MATCH("S",Values!$T$25:$T$50,0),0),FALSE))</f>
        <v>1</v>
      </c>
      <c r="D4776" t="e">
        <f>VLOOKUP(Charms!J4776,Values!$A$11:$S$59,19,0)&gt;=Charms!L4776</f>
        <v>#N/A</v>
      </c>
      <c r="E4776" t="e">
        <f>OR(ISBLANK(Charms!I4776),(VLOOKUP(Values!$S$6,Castes!$B$2:$F$25,4,0)=Charms!I4776))</f>
        <v>#N/A</v>
      </c>
      <c r="J4776" t="e">
        <f t="shared" ca="1" si="371"/>
        <v>#N/A</v>
      </c>
      <c r="K4776" s="18" t="e">
        <f t="shared" ca="1" si="370"/>
        <v>#N/A</v>
      </c>
      <c r="L4776" t="e">
        <f ca="1">IF(J4776,Charms!B4776,"")</f>
        <v>#N/A</v>
      </c>
      <c r="M4776" t="str">
        <f t="shared" ca="1" si="372"/>
        <v>-</v>
      </c>
      <c r="N4776" s="18" t="str">
        <f t="shared" si="373"/>
        <v>K1622:L5000</v>
      </c>
      <c r="O4776" t="str">
        <f t="shared" si="374"/>
        <v>A1622:A4776</v>
      </c>
    </row>
    <row r="4777" spans="1:15">
      <c r="A4777" s="18">
        <f>Charms!K4777</f>
        <v>0</v>
      </c>
      <c r="B4777">
        <f>Charms!B4777</f>
        <v>0</v>
      </c>
      <c r="C4777" t="b">
        <f ca="1">OR(Values!$S$98&gt;=Charms!M4777,IFERROR(Charms!J4777=OFFSET(Values!$A$24,MATCH("S",Values!$T$25:$T$50,0),0),FALSE))</f>
        <v>1</v>
      </c>
      <c r="D4777" t="e">
        <f>VLOOKUP(Charms!J4777,Values!$A$11:$S$59,19,0)&gt;=Charms!L4777</f>
        <v>#N/A</v>
      </c>
      <c r="E4777" t="e">
        <f>OR(ISBLANK(Charms!I4777),(VLOOKUP(Values!$S$6,Castes!$B$2:$F$25,4,0)=Charms!I4777))</f>
        <v>#N/A</v>
      </c>
      <c r="J4777" t="e">
        <f t="shared" ca="1" si="371"/>
        <v>#N/A</v>
      </c>
      <c r="K4777" s="18" t="e">
        <f t="shared" ca="1" si="370"/>
        <v>#N/A</v>
      </c>
      <c r="L4777" t="e">
        <f ca="1">IF(J4777,Charms!B4777,"")</f>
        <v>#N/A</v>
      </c>
      <c r="M4777" t="str">
        <f t="shared" ca="1" si="372"/>
        <v>-</v>
      </c>
      <c r="N4777" s="18" t="str">
        <f t="shared" si="373"/>
        <v>K1622:L5000</v>
      </c>
      <c r="O4777" t="str">
        <f t="shared" si="374"/>
        <v>A1622:A4777</v>
      </c>
    </row>
    <row r="4778" spans="1:15">
      <c r="A4778" s="18">
        <f>Charms!K4778</f>
        <v>0</v>
      </c>
      <c r="B4778">
        <f>Charms!B4778</f>
        <v>0</v>
      </c>
      <c r="C4778" t="b">
        <f ca="1">OR(Values!$S$98&gt;=Charms!M4778,IFERROR(Charms!J4778=OFFSET(Values!$A$24,MATCH("S",Values!$T$25:$T$50,0),0),FALSE))</f>
        <v>1</v>
      </c>
      <c r="D4778" t="e">
        <f>VLOOKUP(Charms!J4778,Values!$A$11:$S$59,19,0)&gt;=Charms!L4778</f>
        <v>#N/A</v>
      </c>
      <c r="E4778" t="e">
        <f>OR(ISBLANK(Charms!I4778),(VLOOKUP(Values!$S$6,Castes!$B$2:$F$25,4,0)=Charms!I4778))</f>
        <v>#N/A</v>
      </c>
      <c r="J4778" t="e">
        <f t="shared" ca="1" si="371"/>
        <v>#N/A</v>
      </c>
      <c r="K4778" s="18" t="e">
        <f t="shared" ca="1" si="370"/>
        <v>#N/A</v>
      </c>
      <c r="L4778" t="e">
        <f ca="1">IF(J4778,Charms!B4778,"")</f>
        <v>#N/A</v>
      </c>
      <c r="M4778" t="str">
        <f t="shared" ca="1" si="372"/>
        <v>-</v>
      </c>
      <c r="N4778" s="18" t="str">
        <f t="shared" si="373"/>
        <v>K1622:L5000</v>
      </c>
      <c r="O4778" t="str">
        <f t="shared" si="374"/>
        <v>A1622:A4778</v>
      </c>
    </row>
    <row r="4779" spans="1:15">
      <c r="A4779" s="18">
        <f>Charms!K4779</f>
        <v>0</v>
      </c>
      <c r="B4779">
        <f>Charms!B4779</f>
        <v>0</v>
      </c>
      <c r="C4779" t="b">
        <f ca="1">OR(Values!$S$98&gt;=Charms!M4779,IFERROR(Charms!J4779=OFFSET(Values!$A$24,MATCH("S",Values!$T$25:$T$50,0),0),FALSE))</f>
        <v>1</v>
      </c>
      <c r="D4779" t="e">
        <f>VLOOKUP(Charms!J4779,Values!$A$11:$S$59,19,0)&gt;=Charms!L4779</f>
        <v>#N/A</v>
      </c>
      <c r="E4779" t="e">
        <f>OR(ISBLANK(Charms!I4779),(VLOOKUP(Values!$S$6,Castes!$B$2:$F$25,4,0)=Charms!I4779))</f>
        <v>#N/A</v>
      </c>
      <c r="J4779" t="e">
        <f t="shared" ca="1" si="371"/>
        <v>#N/A</v>
      </c>
      <c r="K4779" s="18" t="e">
        <f t="shared" ca="1" si="370"/>
        <v>#N/A</v>
      </c>
      <c r="L4779" t="e">
        <f ca="1">IF(J4779,Charms!B4779,"")</f>
        <v>#N/A</v>
      </c>
      <c r="M4779" t="str">
        <f t="shared" ca="1" si="372"/>
        <v>-</v>
      </c>
      <c r="N4779" s="18" t="str">
        <f t="shared" si="373"/>
        <v>K1622:L5000</v>
      </c>
      <c r="O4779" t="str">
        <f t="shared" si="374"/>
        <v>A1622:A4779</v>
      </c>
    </row>
    <row r="4780" spans="1:15">
      <c r="A4780" s="18">
        <f>Charms!K4780</f>
        <v>0</v>
      </c>
      <c r="B4780">
        <f>Charms!B4780</f>
        <v>0</v>
      </c>
      <c r="C4780" t="b">
        <f ca="1">OR(Values!$S$98&gt;=Charms!M4780,IFERROR(Charms!J4780=OFFSET(Values!$A$24,MATCH("S",Values!$T$25:$T$50,0),0),FALSE))</f>
        <v>1</v>
      </c>
      <c r="D4780" t="e">
        <f>VLOOKUP(Charms!J4780,Values!$A$11:$S$59,19,0)&gt;=Charms!L4780</f>
        <v>#N/A</v>
      </c>
      <c r="E4780" t="e">
        <f>OR(ISBLANK(Charms!I4780),(VLOOKUP(Values!$S$6,Castes!$B$2:$F$25,4,0)=Charms!I4780))</f>
        <v>#N/A</v>
      </c>
      <c r="J4780" t="e">
        <f t="shared" ca="1" si="371"/>
        <v>#N/A</v>
      </c>
      <c r="K4780" s="18" t="e">
        <f t="shared" ca="1" si="370"/>
        <v>#N/A</v>
      </c>
      <c r="L4780" t="e">
        <f ca="1">IF(J4780,Charms!B4780,"")</f>
        <v>#N/A</v>
      </c>
      <c r="M4780" t="str">
        <f t="shared" ca="1" si="372"/>
        <v>-</v>
      </c>
      <c r="N4780" s="18" t="str">
        <f t="shared" si="373"/>
        <v>K1622:L5000</v>
      </c>
      <c r="O4780" t="str">
        <f t="shared" si="374"/>
        <v>A1622:A4780</v>
      </c>
    </row>
    <row r="4781" spans="1:15">
      <c r="A4781" s="18">
        <f>Charms!K4781</f>
        <v>0</v>
      </c>
      <c r="B4781">
        <f>Charms!B4781</f>
        <v>0</v>
      </c>
      <c r="C4781" t="b">
        <f ca="1">OR(Values!$S$98&gt;=Charms!M4781,IFERROR(Charms!J4781=OFFSET(Values!$A$24,MATCH("S",Values!$T$25:$T$50,0),0),FALSE))</f>
        <v>1</v>
      </c>
      <c r="D4781" t="e">
        <f>VLOOKUP(Charms!J4781,Values!$A$11:$S$59,19,0)&gt;=Charms!L4781</f>
        <v>#N/A</v>
      </c>
      <c r="E4781" t="e">
        <f>OR(ISBLANK(Charms!I4781),(VLOOKUP(Values!$S$6,Castes!$B$2:$F$25,4,0)=Charms!I4781))</f>
        <v>#N/A</v>
      </c>
      <c r="J4781" t="e">
        <f t="shared" ca="1" si="371"/>
        <v>#N/A</v>
      </c>
      <c r="K4781" s="18" t="e">
        <f t="shared" ca="1" si="370"/>
        <v>#N/A</v>
      </c>
      <c r="L4781" t="e">
        <f ca="1">IF(J4781,Charms!B4781,"")</f>
        <v>#N/A</v>
      </c>
      <c r="M4781" t="str">
        <f t="shared" ca="1" si="372"/>
        <v>-</v>
      </c>
      <c r="N4781" s="18" t="str">
        <f t="shared" si="373"/>
        <v>K1622:L5000</v>
      </c>
      <c r="O4781" t="str">
        <f t="shared" si="374"/>
        <v>A1622:A4781</v>
      </c>
    </row>
    <row r="4782" spans="1:15">
      <c r="A4782" s="18">
        <f>Charms!K4782</f>
        <v>0</v>
      </c>
      <c r="B4782">
        <f>Charms!B4782</f>
        <v>0</v>
      </c>
      <c r="C4782" t="b">
        <f ca="1">OR(Values!$S$98&gt;=Charms!M4782,IFERROR(Charms!J4782=OFFSET(Values!$A$24,MATCH("S",Values!$T$25:$T$50,0),0),FALSE))</f>
        <v>1</v>
      </c>
      <c r="D4782" t="e">
        <f>VLOOKUP(Charms!J4782,Values!$A$11:$S$59,19,0)&gt;=Charms!L4782</f>
        <v>#N/A</v>
      </c>
      <c r="E4782" t="e">
        <f>OR(ISBLANK(Charms!I4782),(VLOOKUP(Values!$S$6,Castes!$B$2:$F$25,4,0)=Charms!I4782))</f>
        <v>#N/A</v>
      </c>
      <c r="J4782" t="e">
        <f t="shared" ca="1" si="371"/>
        <v>#N/A</v>
      </c>
      <c r="K4782" s="18" t="e">
        <f t="shared" ca="1" si="370"/>
        <v>#N/A</v>
      </c>
      <c r="L4782" t="e">
        <f ca="1">IF(J4782,Charms!B4782,"")</f>
        <v>#N/A</v>
      </c>
      <c r="M4782" t="str">
        <f t="shared" ca="1" si="372"/>
        <v>-</v>
      </c>
      <c r="N4782" s="18" t="str">
        <f t="shared" si="373"/>
        <v>K1622:L5000</v>
      </c>
      <c r="O4782" t="str">
        <f t="shared" si="374"/>
        <v>A1622:A4782</v>
      </c>
    </row>
    <row r="4783" spans="1:15">
      <c r="A4783" s="18">
        <f>Charms!K4783</f>
        <v>0</v>
      </c>
      <c r="B4783">
        <f>Charms!B4783</f>
        <v>0</v>
      </c>
      <c r="C4783" t="b">
        <f ca="1">OR(Values!$S$98&gt;=Charms!M4783,IFERROR(Charms!J4783=OFFSET(Values!$A$24,MATCH("S",Values!$T$25:$T$50,0),0),FALSE))</f>
        <v>1</v>
      </c>
      <c r="D4783" t="e">
        <f>VLOOKUP(Charms!J4783,Values!$A$11:$S$59,19,0)&gt;=Charms!L4783</f>
        <v>#N/A</v>
      </c>
      <c r="E4783" t="e">
        <f>OR(ISBLANK(Charms!I4783),(VLOOKUP(Values!$S$6,Castes!$B$2:$F$25,4,0)=Charms!I4783))</f>
        <v>#N/A</v>
      </c>
      <c r="J4783" t="e">
        <f t="shared" ca="1" si="371"/>
        <v>#N/A</v>
      </c>
      <c r="K4783" s="18" t="e">
        <f t="shared" ca="1" si="370"/>
        <v>#N/A</v>
      </c>
      <c r="L4783" t="e">
        <f ca="1">IF(J4783,Charms!B4783,"")</f>
        <v>#N/A</v>
      </c>
      <c r="M4783" t="str">
        <f t="shared" ca="1" si="372"/>
        <v>-</v>
      </c>
      <c r="N4783" s="18" t="str">
        <f t="shared" si="373"/>
        <v>K1622:L5000</v>
      </c>
      <c r="O4783" t="str">
        <f t="shared" si="374"/>
        <v>A1622:A4783</v>
      </c>
    </row>
    <row r="4784" spans="1:15">
      <c r="A4784" s="18">
        <f>Charms!K4784</f>
        <v>0</v>
      </c>
      <c r="B4784">
        <f>Charms!B4784</f>
        <v>0</v>
      </c>
      <c r="C4784" t="b">
        <f ca="1">OR(Values!$S$98&gt;=Charms!M4784,IFERROR(Charms!J4784=OFFSET(Values!$A$24,MATCH("S",Values!$T$25:$T$50,0),0),FALSE))</f>
        <v>1</v>
      </c>
      <c r="D4784" t="e">
        <f>VLOOKUP(Charms!J4784,Values!$A$11:$S$59,19,0)&gt;=Charms!L4784</f>
        <v>#N/A</v>
      </c>
      <c r="E4784" t="e">
        <f>OR(ISBLANK(Charms!I4784),(VLOOKUP(Values!$S$6,Castes!$B$2:$F$25,4,0)=Charms!I4784))</f>
        <v>#N/A</v>
      </c>
      <c r="J4784" t="e">
        <f t="shared" ca="1" si="371"/>
        <v>#N/A</v>
      </c>
      <c r="K4784" s="18" t="e">
        <f t="shared" ca="1" si="370"/>
        <v>#N/A</v>
      </c>
      <c r="L4784" t="e">
        <f ca="1">IF(J4784,Charms!B4784,"")</f>
        <v>#N/A</v>
      </c>
      <c r="M4784" t="str">
        <f t="shared" ca="1" si="372"/>
        <v>-</v>
      </c>
      <c r="N4784" s="18" t="str">
        <f t="shared" si="373"/>
        <v>K1622:L5000</v>
      </c>
      <c r="O4784" t="str">
        <f t="shared" si="374"/>
        <v>A1622:A4784</v>
      </c>
    </row>
    <row r="4785" spans="1:15">
      <c r="A4785" s="18">
        <f>Charms!K4785</f>
        <v>0</v>
      </c>
      <c r="B4785">
        <f>Charms!B4785</f>
        <v>0</v>
      </c>
      <c r="C4785" t="b">
        <f ca="1">OR(Values!$S$98&gt;=Charms!M4785,IFERROR(Charms!J4785=OFFSET(Values!$A$24,MATCH("S",Values!$T$25:$T$50,0),0),FALSE))</f>
        <v>1</v>
      </c>
      <c r="D4785" t="e">
        <f>VLOOKUP(Charms!J4785,Values!$A$11:$S$59,19,0)&gt;=Charms!L4785</f>
        <v>#N/A</v>
      </c>
      <c r="E4785" t="e">
        <f>OR(ISBLANK(Charms!I4785),(VLOOKUP(Values!$S$6,Castes!$B$2:$F$25,4,0)=Charms!I4785))</f>
        <v>#N/A</v>
      </c>
      <c r="J4785" t="e">
        <f t="shared" ca="1" si="371"/>
        <v>#N/A</v>
      </c>
      <c r="K4785" s="18" t="e">
        <f t="shared" ca="1" si="370"/>
        <v>#N/A</v>
      </c>
      <c r="L4785" t="e">
        <f ca="1">IF(J4785,Charms!B4785,"")</f>
        <v>#N/A</v>
      </c>
      <c r="M4785" t="str">
        <f t="shared" ca="1" si="372"/>
        <v>-</v>
      </c>
      <c r="N4785" s="18" t="str">
        <f t="shared" si="373"/>
        <v>K1622:L5000</v>
      </c>
      <c r="O4785" t="str">
        <f t="shared" si="374"/>
        <v>A1622:A4785</v>
      </c>
    </row>
    <row r="4786" spans="1:15">
      <c r="A4786" s="18">
        <f>Charms!K4786</f>
        <v>0</v>
      </c>
      <c r="B4786">
        <f>Charms!B4786</f>
        <v>0</v>
      </c>
      <c r="C4786" t="b">
        <f ca="1">OR(Values!$S$98&gt;=Charms!M4786,IFERROR(Charms!J4786=OFFSET(Values!$A$24,MATCH("S",Values!$T$25:$T$50,0),0),FALSE))</f>
        <v>1</v>
      </c>
      <c r="D4786" t="e">
        <f>VLOOKUP(Charms!J4786,Values!$A$11:$S$59,19,0)&gt;=Charms!L4786</f>
        <v>#N/A</v>
      </c>
      <c r="E4786" t="e">
        <f>OR(ISBLANK(Charms!I4786),(VLOOKUP(Values!$S$6,Castes!$B$2:$F$25,4,0)=Charms!I4786))</f>
        <v>#N/A</v>
      </c>
      <c r="J4786" t="e">
        <f t="shared" ca="1" si="371"/>
        <v>#N/A</v>
      </c>
      <c r="K4786" s="18" t="e">
        <f t="shared" ca="1" si="370"/>
        <v>#N/A</v>
      </c>
      <c r="L4786" t="e">
        <f ca="1">IF(J4786,Charms!B4786,"")</f>
        <v>#N/A</v>
      </c>
      <c r="M4786" t="str">
        <f t="shared" ca="1" si="372"/>
        <v>-</v>
      </c>
      <c r="N4786" s="18" t="str">
        <f t="shared" si="373"/>
        <v>K1622:L5000</v>
      </c>
      <c r="O4786" t="str">
        <f t="shared" si="374"/>
        <v>A1622:A4786</v>
      </c>
    </row>
    <row r="4787" spans="1:15">
      <c r="A4787" s="18">
        <f>Charms!K4787</f>
        <v>0</v>
      </c>
      <c r="B4787">
        <f>Charms!B4787</f>
        <v>0</v>
      </c>
      <c r="C4787" t="b">
        <f ca="1">OR(Values!$S$98&gt;=Charms!M4787,IFERROR(Charms!J4787=OFFSET(Values!$A$24,MATCH("S",Values!$T$25:$T$50,0),0),FALSE))</f>
        <v>1</v>
      </c>
      <c r="D4787" t="e">
        <f>VLOOKUP(Charms!J4787,Values!$A$11:$S$59,19,0)&gt;=Charms!L4787</f>
        <v>#N/A</v>
      </c>
      <c r="E4787" t="e">
        <f>OR(ISBLANK(Charms!I4787),(VLOOKUP(Values!$S$6,Castes!$B$2:$F$25,4,0)=Charms!I4787))</f>
        <v>#N/A</v>
      </c>
      <c r="J4787" t="e">
        <f t="shared" ca="1" si="371"/>
        <v>#N/A</v>
      </c>
      <c r="K4787" s="18" t="e">
        <f t="shared" ca="1" si="370"/>
        <v>#N/A</v>
      </c>
      <c r="L4787" t="e">
        <f ca="1">IF(J4787,Charms!B4787,"")</f>
        <v>#N/A</v>
      </c>
      <c r="M4787" t="str">
        <f t="shared" ca="1" si="372"/>
        <v>-</v>
      </c>
      <c r="N4787" s="18" t="str">
        <f t="shared" si="373"/>
        <v>K1622:L5000</v>
      </c>
      <c r="O4787" t="str">
        <f t="shared" si="374"/>
        <v>A1622:A4787</v>
      </c>
    </row>
    <row r="4788" spans="1:15">
      <c r="A4788" s="18">
        <f>Charms!K4788</f>
        <v>0</v>
      </c>
      <c r="B4788">
        <f>Charms!B4788</f>
        <v>0</v>
      </c>
      <c r="C4788" t="b">
        <f ca="1">OR(Values!$S$98&gt;=Charms!M4788,IFERROR(Charms!J4788=OFFSET(Values!$A$24,MATCH("S",Values!$T$25:$T$50,0),0),FALSE))</f>
        <v>1</v>
      </c>
      <c r="D4788" t="e">
        <f>VLOOKUP(Charms!J4788,Values!$A$11:$S$59,19,0)&gt;=Charms!L4788</f>
        <v>#N/A</v>
      </c>
      <c r="E4788" t="e">
        <f>OR(ISBLANK(Charms!I4788),(VLOOKUP(Values!$S$6,Castes!$B$2:$F$25,4,0)=Charms!I4788))</f>
        <v>#N/A</v>
      </c>
      <c r="J4788" t="e">
        <f t="shared" ca="1" si="371"/>
        <v>#N/A</v>
      </c>
      <c r="K4788" s="18" t="e">
        <f t="shared" ca="1" si="370"/>
        <v>#N/A</v>
      </c>
      <c r="L4788" t="e">
        <f ca="1">IF(J4788,Charms!B4788,"")</f>
        <v>#N/A</v>
      </c>
      <c r="M4788" t="str">
        <f t="shared" ca="1" si="372"/>
        <v>-</v>
      </c>
      <c r="N4788" s="18" t="str">
        <f t="shared" si="373"/>
        <v>K1622:L5000</v>
      </c>
      <c r="O4788" t="str">
        <f t="shared" si="374"/>
        <v>A1622:A4788</v>
      </c>
    </row>
    <row r="4789" spans="1:15">
      <c r="A4789" s="18">
        <f>Charms!K4789</f>
        <v>0</v>
      </c>
      <c r="B4789">
        <f>Charms!B4789</f>
        <v>0</v>
      </c>
      <c r="C4789" t="b">
        <f ca="1">OR(Values!$S$98&gt;=Charms!M4789,IFERROR(Charms!J4789=OFFSET(Values!$A$24,MATCH("S",Values!$T$25:$T$50,0),0),FALSE))</f>
        <v>1</v>
      </c>
      <c r="D4789" t="e">
        <f>VLOOKUP(Charms!J4789,Values!$A$11:$S$59,19,0)&gt;=Charms!L4789</f>
        <v>#N/A</v>
      </c>
      <c r="E4789" t="e">
        <f>OR(ISBLANK(Charms!I4789),(VLOOKUP(Values!$S$6,Castes!$B$2:$F$25,4,0)=Charms!I4789))</f>
        <v>#N/A</v>
      </c>
      <c r="J4789" t="e">
        <f t="shared" ca="1" si="371"/>
        <v>#N/A</v>
      </c>
      <c r="K4789" s="18" t="e">
        <f t="shared" ca="1" si="370"/>
        <v>#N/A</v>
      </c>
      <c r="L4789" t="e">
        <f ca="1">IF(J4789,Charms!B4789,"")</f>
        <v>#N/A</v>
      </c>
      <c r="M4789" t="str">
        <f t="shared" ca="1" si="372"/>
        <v>-</v>
      </c>
      <c r="N4789" s="18" t="str">
        <f t="shared" si="373"/>
        <v>K1622:L5000</v>
      </c>
      <c r="O4789" t="str">
        <f t="shared" si="374"/>
        <v>A1622:A4789</v>
      </c>
    </row>
    <row r="4790" spans="1:15">
      <c r="A4790" s="18">
        <f>Charms!K4790</f>
        <v>0</v>
      </c>
      <c r="B4790">
        <f>Charms!B4790</f>
        <v>0</v>
      </c>
      <c r="C4790" t="b">
        <f ca="1">OR(Values!$S$98&gt;=Charms!M4790,IFERROR(Charms!J4790=OFFSET(Values!$A$24,MATCH("S",Values!$T$25:$T$50,0),0),FALSE))</f>
        <v>1</v>
      </c>
      <c r="D4790" t="e">
        <f>VLOOKUP(Charms!J4790,Values!$A$11:$S$59,19,0)&gt;=Charms!L4790</f>
        <v>#N/A</v>
      </c>
      <c r="E4790" t="e">
        <f>OR(ISBLANK(Charms!I4790),(VLOOKUP(Values!$S$6,Castes!$B$2:$F$25,4,0)=Charms!I4790))</f>
        <v>#N/A</v>
      </c>
      <c r="J4790" t="e">
        <f t="shared" ca="1" si="371"/>
        <v>#N/A</v>
      </c>
      <c r="K4790" s="18" t="e">
        <f t="shared" ca="1" si="370"/>
        <v>#N/A</v>
      </c>
      <c r="L4790" t="e">
        <f ca="1">IF(J4790,Charms!B4790,"")</f>
        <v>#N/A</v>
      </c>
      <c r="M4790" t="str">
        <f t="shared" ca="1" si="372"/>
        <v>-</v>
      </c>
      <c r="N4790" s="18" t="str">
        <f t="shared" si="373"/>
        <v>K1622:L5000</v>
      </c>
      <c r="O4790" t="str">
        <f t="shared" si="374"/>
        <v>A1622:A4790</v>
      </c>
    </row>
    <row r="4791" spans="1:15">
      <c r="A4791" s="18">
        <f>Charms!K4791</f>
        <v>0</v>
      </c>
      <c r="B4791">
        <f>Charms!B4791</f>
        <v>0</v>
      </c>
      <c r="C4791" t="b">
        <f ca="1">OR(Values!$S$98&gt;=Charms!M4791,IFERROR(Charms!J4791=OFFSET(Values!$A$24,MATCH("S",Values!$T$25:$T$50,0),0),FALSE))</f>
        <v>1</v>
      </c>
      <c r="D4791" t="e">
        <f>VLOOKUP(Charms!J4791,Values!$A$11:$S$59,19,0)&gt;=Charms!L4791</f>
        <v>#N/A</v>
      </c>
      <c r="E4791" t="e">
        <f>OR(ISBLANK(Charms!I4791),(VLOOKUP(Values!$S$6,Castes!$B$2:$F$25,4,0)=Charms!I4791))</f>
        <v>#N/A</v>
      </c>
      <c r="J4791" t="e">
        <f t="shared" ca="1" si="371"/>
        <v>#N/A</v>
      </c>
      <c r="K4791" s="18" t="e">
        <f t="shared" ca="1" si="370"/>
        <v>#N/A</v>
      </c>
      <c r="L4791" t="e">
        <f ca="1">IF(J4791,Charms!B4791,"")</f>
        <v>#N/A</v>
      </c>
      <c r="M4791" t="str">
        <f t="shared" ca="1" si="372"/>
        <v>-</v>
      </c>
      <c r="N4791" s="18" t="str">
        <f t="shared" si="373"/>
        <v>K1622:L5000</v>
      </c>
      <c r="O4791" t="str">
        <f t="shared" si="374"/>
        <v>A1622:A4791</v>
      </c>
    </row>
    <row r="4792" spans="1:15">
      <c r="A4792" s="18">
        <f>Charms!K4792</f>
        <v>0</v>
      </c>
      <c r="B4792">
        <f>Charms!B4792</f>
        <v>0</v>
      </c>
      <c r="C4792" t="b">
        <f ca="1">OR(Values!$S$98&gt;=Charms!M4792,IFERROR(Charms!J4792=OFFSET(Values!$A$24,MATCH("S",Values!$T$25:$T$50,0),0),FALSE))</f>
        <v>1</v>
      </c>
      <c r="D4792" t="e">
        <f>VLOOKUP(Charms!J4792,Values!$A$11:$S$59,19,0)&gt;=Charms!L4792</f>
        <v>#N/A</v>
      </c>
      <c r="E4792" t="e">
        <f>OR(ISBLANK(Charms!I4792),(VLOOKUP(Values!$S$6,Castes!$B$2:$F$25,4,0)=Charms!I4792))</f>
        <v>#N/A</v>
      </c>
      <c r="J4792" t="e">
        <f t="shared" ca="1" si="371"/>
        <v>#N/A</v>
      </c>
      <c r="K4792" s="18" t="e">
        <f t="shared" ca="1" si="370"/>
        <v>#N/A</v>
      </c>
      <c r="L4792" t="e">
        <f ca="1">IF(J4792,Charms!B4792,"")</f>
        <v>#N/A</v>
      </c>
      <c r="M4792" t="str">
        <f t="shared" ca="1" si="372"/>
        <v>-</v>
      </c>
      <c r="N4792" s="18" t="str">
        <f t="shared" si="373"/>
        <v>K1622:L5000</v>
      </c>
      <c r="O4792" t="str">
        <f t="shared" si="374"/>
        <v>A1622:A4792</v>
      </c>
    </row>
    <row r="4793" spans="1:15">
      <c r="A4793" s="18">
        <f>Charms!K4793</f>
        <v>0</v>
      </c>
      <c r="B4793">
        <f>Charms!B4793</f>
        <v>0</v>
      </c>
      <c r="C4793" t="b">
        <f ca="1">OR(Values!$S$98&gt;=Charms!M4793,IFERROR(Charms!J4793=OFFSET(Values!$A$24,MATCH("S",Values!$T$25:$T$50,0),0),FALSE))</f>
        <v>1</v>
      </c>
      <c r="D4793" t="e">
        <f>VLOOKUP(Charms!J4793,Values!$A$11:$S$59,19,0)&gt;=Charms!L4793</f>
        <v>#N/A</v>
      </c>
      <c r="E4793" t="e">
        <f>OR(ISBLANK(Charms!I4793),(VLOOKUP(Values!$S$6,Castes!$B$2:$F$25,4,0)=Charms!I4793))</f>
        <v>#N/A</v>
      </c>
      <c r="J4793" t="e">
        <f t="shared" ca="1" si="371"/>
        <v>#N/A</v>
      </c>
      <c r="K4793" s="18" t="e">
        <f t="shared" ca="1" si="370"/>
        <v>#N/A</v>
      </c>
      <c r="L4793" t="e">
        <f ca="1">IF(J4793,Charms!B4793,"")</f>
        <v>#N/A</v>
      </c>
      <c r="M4793" t="str">
        <f t="shared" ca="1" si="372"/>
        <v>-</v>
      </c>
      <c r="N4793" s="18" t="str">
        <f t="shared" si="373"/>
        <v>K1622:L5000</v>
      </c>
      <c r="O4793" t="str">
        <f t="shared" si="374"/>
        <v>A1622:A4793</v>
      </c>
    </row>
    <row r="4794" spans="1:15">
      <c r="A4794" s="18">
        <f>Charms!K4794</f>
        <v>0</v>
      </c>
      <c r="B4794">
        <f>Charms!B4794</f>
        <v>0</v>
      </c>
      <c r="C4794" t="b">
        <f ca="1">OR(Values!$S$98&gt;=Charms!M4794,IFERROR(Charms!J4794=OFFSET(Values!$A$24,MATCH("S",Values!$T$25:$T$50,0),0),FALSE))</f>
        <v>1</v>
      </c>
      <c r="D4794" t="e">
        <f>VLOOKUP(Charms!J4794,Values!$A$11:$S$59,19,0)&gt;=Charms!L4794</f>
        <v>#N/A</v>
      </c>
      <c r="E4794" t="e">
        <f>OR(ISBLANK(Charms!I4794),(VLOOKUP(Values!$S$6,Castes!$B$2:$F$25,4,0)=Charms!I4794))</f>
        <v>#N/A</v>
      </c>
      <c r="J4794" t="e">
        <f t="shared" ca="1" si="371"/>
        <v>#N/A</v>
      </c>
      <c r="K4794" s="18" t="e">
        <f t="shared" ca="1" si="370"/>
        <v>#N/A</v>
      </c>
      <c r="L4794" t="e">
        <f ca="1">IF(J4794,Charms!B4794,"")</f>
        <v>#N/A</v>
      </c>
      <c r="M4794" t="str">
        <f t="shared" ca="1" si="372"/>
        <v>-</v>
      </c>
      <c r="N4794" s="18" t="str">
        <f t="shared" si="373"/>
        <v>K1622:L5000</v>
      </c>
      <c r="O4794" t="str">
        <f t="shared" si="374"/>
        <v>A1622:A4794</v>
      </c>
    </row>
    <row r="4795" spans="1:15">
      <c r="A4795" s="18">
        <f>Charms!K4795</f>
        <v>0</v>
      </c>
      <c r="B4795">
        <f>Charms!B4795</f>
        <v>0</v>
      </c>
      <c r="C4795" t="b">
        <f ca="1">OR(Values!$S$98&gt;=Charms!M4795,IFERROR(Charms!J4795=OFFSET(Values!$A$24,MATCH("S",Values!$T$25:$T$50,0),0),FALSE))</f>
        <v>1</v>
      </c>
      <c r="D4795" t="e">
        <f>VLOOKUP(Charms!J4795,Values!$A$11:$S$59,19,0)&gt;=Charms!L4795</f>
        <v>#N/A</v>
      </c>
      <c r="E4795" t="e">
        <f>OR(ISBLANK(Charms!I4795),(VLOOKUP(Values!$S$6,Castes!$B$2:$F$25,4,0)=Charms!I4795))</f>
        <v>#N/A</v>
      </c>
      <c r="J4795" t="e">
        <f t="shared" ca="1" si="371"/>
        <v>#N/A</v>
      </c>
      <c r="K4795" s="18" t="e">
        <f t="shared" ca="1" si="370"/>
        <v>#N/A</v>
      </c>
      <c r="L4795" t="e">
        <f ca="1">IF(J4795,Charms!B4795,"")</f>
        <v>#N/A</v>
      </c>
      <c r="M4795" t="str">
        <f t="shared" ca="1" si="372"/>
        <v>-</v>
      </c>
      <c r="N4795" s="18" t="str">
        <f t="shared" si="373"/>
        <v>K1622:L5000</v>
      </c>
      <c r="O4795" t="str">
        <f t="shared" si="374"/>
        <v>A1622:A4795</v>
      </c>
    </row>
    <row r="4796" spans="1:15">
      <c r="A4796" s="18">
        <f>Charms!K4796</f>
        <v>0</v>
      </c>
      <c r="B4796">
        <f>Charms!B4796</f>
        <v>0</v>
      </c>
      <c r="C4796" t="b">
        <f ca="1">OR(Values!$S$98&gt;=Charms!M4796,IFERROR(Charms!J4796=OFFSET(Values!$A$24,MATCH("S",Values!$T$25:$T$50,0),0),FALSE))</f>
        <v>1</v>
      </c>
      <c r="D4796" t="e">
        <f>VLOOKUP(Charms!J4796,Values!$A$11:$S$59,19,0)&gt;=Charms!L4796</f>
        <v>#N/A</v>
      </c>
      <c r="E4796" t="e">
        <f>OR(ISBLANK(Charms!I4796),(VLOOKUP(Values!$S$6,Castes!$B$2:$F$25,4,0)=Charms!I4796))</f>
        <v>#N/A</v>
      </c>
      <c r="J4796" t="e">
        <f t="shared" ca="1" si="371"/>
        <v>#N/A</v>
      </c>
      <c r="K4796" s="18" t="e">
        <f t="shared" ca="1" si="370"/>
        <v>#N/A</v>
      </c>
      <c r="L4796" t="e">
        <f ca="1">IF(J4796,Charms!B4796,"")</f>
        <v>#N/A</v>
      </c>
      <c r="M4796" t="str">
        <f t="shared" ca="1" si="372"/>
        <v>-</v>
      </c>
      <c r="N4796" s="18" t="str">
        <f t="shared" si="373"/>
        <v>K1622:L5000</v>
      </c>
      <c r="O4796" t="str">
        <f t="shared" si="374"/>
        <v>A1622:A4796</v>
      </c>
    </row>
    <row r="4797" spans="1:15">
      <c r="A4797" s="18">
        <f>Charms!K4797</f>
        <v>0</v>
      </c>
      <c r="B4797">
        <f>Charms!B4797</f>
        <v>0</v>
      </c>
      <c r="C4797" t="b">
        <f ca="1">OR(Values!$S$98&gt;=Charms!M4797,IFERROR(Charms!J4797=OFFSET(Values!$A$24,MATCH("S",Values!$T$25:$T$50,0),0),FALSE))</f>
        <v>1</v>
      </c>
      <c r="D4797" t="e">
        <f>VLOOKUP(Charms!J4797,Values!$A$11:$S$59,19,0)&gt;=Charms!L4797</f>
        <v>#N/A</v>
      </c>
      <c r="E4797" t="e">
        <f>OR(ISBLANK(Charms!I4797),(VLOOKUP(Values!$S$6,Castes!$B$2:$F$25,4,0)=Charms!I4797))</f>
        <v>#N/A</v>
      </c>
      <c r="J4797" t="e">
        <f t="shared" ca="1" si="371"/>
        <v>#N/A</v>
      </c>
      <c r="K4797" s="18" t="e">
        <f t="shared" ca="1" si="370"/>
        <v>#N/A</v>
      </c>
      <c r="L4797" t="e">
        <f ca="1">IF(J4797,Charms!B4797,"")</f>
        <v>#N/A</v>
      </c>
      <c r="M4797" t="str">
        <f t="shared" ca="1" si="372"/>
        <v>-</v>
      </c>
      <c r="N4797" s="18" t="str">
        <f t="shared" si="373"/>
        <v>K1622:L5000</v>
      </c>
      <c r="O4797" t="str">
        <f t="shared" si="374"/>
        <v>A1622:A4797</v>
      </c>
    </row>
    <row r="4798" spans="1:15">
      <c r="A4798" s="18">
        <f>Charms!K4798</f>
        <v>0</v>
      </c>
      <c r="B4798">
        <f>Charms!B4798</f>
        <v>0</v>
      </c>
      <c r="C4798" t="b">
        <f ca="1">OR(Values!$S$98&gt;=Charms!M4798,IFERROR(Charms!J4798=OFFSET(Values!$A$24,MATCH("S",Values!$T$25:$T$50,0),0),FALSE))</f>
        <v>1</v>
      </c>
      <c r="D4798" t="e">
        <f>VLOOKUP(Charms!J4798,Values!$A$11:$S$59,19,0)&gt;=Charms!L4798</f>
        <v>#N/A</v>
      </c>
      <c r="E4798" t="e">
        <f>OR(ISBLANK(Charms!I4798),(VLOOKUP(Values!$S$6,Castes!$B$2:$F$25,4,0)=Charms!I4798))</f>
        <v>#N/A</v>
      </c>
      <c r="J4798" t="e">
        <f t="shared" ca="1" si="371"/>
        <v>#N/A</v>
      </c>
      <c r="K4798" s="18" t="e">
        <f t="shared" ca="1" si="370"/>
        <v>#N/A</v>
      </c>
      <c r="L4798" t="e">
        <f ca="1">IF(J4798,Charms!B4798,"")</f>
        <v>#N/A</v>
      </c>
      <c r="M4798" t="str">
        <f t="shared" ca="1" si="372"/>
        <v>-</v>
      </c>
      <c r="N4798" s="18" t="str">
        <f t="shared" si="373"/>
        <v>K1622:L5000</v>
      </c>
      <c r="O4798" t="str">
        <f t="shared" si="374"/>
        <v>A1622:A4798</v>
      </c>
    </row>
    <row r="4799" spans="1:15">
      <c r="A4799" s="18">
        <f>Charms!K4799</f>
        <v>0</v>
      </c>
      <c r="B4799">
        <f>Charms!B4799</f>
        <v>0</v>
      </c>
      <c r="C4799" t="b">
        <f ca="1">OR(Values!$S$98&gt;=Charms!M4799,IFERROR(Charms!J4799=OFFSET(Values!$A$24,MATCH("S",Values!$T$25:$T$50,0),0),FALSE))</f>
        <v>1</v>
      </c>
      <c r="D4799" t="e">
        <f>VLOOKUP(Charms!J4799,Values!$A$11:$S$59,19,0)&gt;=Charms!L4799</f>
        <v>#N/A</v>
      </c>
      <c r="E4799" t="e">
        <f>OR(ISBLANK(Charms!I4799),(VLOOKUP(Values!$S$6,Castes!$B$2:$F$25,4,0)=Charms!I4799))</f>
        <v>#N/A</v>
      </c>
      <c r="J4799" t="e">
        <f t="shared" ca="1" si="371"/>
        <v>#N/A</v>
      </c>
      <c r="K4799" s="18" t="e">
        <f t="shared" ca="1" si="370"/>
        <v>#N/A</v>
      </c>
      <c r="L4799" t="e">
        <f ca="1">IF(J4799,Charms!B4799,"")</f>
        <v>#N/A</v>
      </c>
      <c r="M4799" t="str">
        <f t="shared" ca="1" si="372"/>
        <v>-</v>
      </c>
      <c r="N4799" s="18" t="str">
        <f t="shared" si="373"/>
        <v>K1622:L5000</v>
      </c>
      <c r="O4799" t="str">
        <f t="shared" si="374"/>
        <v>A1622:A4799</v>
      </c>
    </row>
    <row r="4800" spans="1:15">
      <c r="A4800" s="18">
        <f>Charms!K4800</f>
        <v>0</v>
      </c>
      <c r="B4800">
        <f>Charms!B4800</f>
        <v>0</v>
      </c>
      <c r="C4800" t="b">
        <f ca="1">OR(Values!$S$98&gt;=Charms!M4800,IFERROR(Charms!J4800=OFFSET(Values!$A$24,MATCH("S",Values!$T$25:$T$50,0),0),FALSE))</f>
        <v>1</v>
      </c>
      <c r="D4800" t="e">
        <f>VLOOKUP(Charms!J4800,Values!$A$11:$S$59,19,0)&gt;=Charms!L4800</f>
        <v>#N/A</v>
      </c>
      <c r="E4800" t="e">
        <f>OR(ISBLANK(Charms!I4800),(VLOOKUP(Values!$S$6,Castes!$B$2:$F$25,4,0)=Charms!I4800))</f>
        <v>#N/A</v>
      </c>
      <c r="J4800" t="e">
        <f t="shared" ca="1" si="371"/>
        <v>#N/A</v>
      </c>
      <c r="K4800" s="18" t="e">
        <f t="shared" ca="1" si="370"/>
        <v>#N/A</v>
      </c>
      <c r="L4800" t="e">
        <f ca="1">IF(J4800,Charms!B4800,"")</f>
        <v>#N/A</v>
      </c>
      <c r="M4800" t="str">
        <f t="shared" ca="1" si="372"/>
        <v>-</v>
      </c>
      <c r="N4800" s="18" t="str">
        <f t="shared" si="373"/>
        <v>K1622:L5000</v>
      </c>
      <c r="O4800" t="str">
        <f t="shared" si="374"/>
        <v>A1622:A4800</v>
      </c>
    </row>
    <row r="4801" spans="1:15">
      <c r="A4801" s="18">
        <f>Charms!K4801</f>
        <v>0</v>
      </c>
      <c r="B4801">
        <f>Charms!B4801</f>
        <v>0</v>
      </c>
      <c r="C4801" t="b">
        <f ca="1">OR(Values!$S$98&gt;=Charms!M4801,IFERROR(Charms!J4801=OFFSET(Values!$A$24,MATCH("S",Values!$T$25:$T$50,0),0),FALSE))</f>
        <v>1</v>
      </c>
      <c r="D4801" t="e">
        <f>VLOOKUP(Charms!J4801,Values!$A$11:$S$59,19,0)&gt;=Charms!L4801</f>
        <v>#N/A</v>
      </c>
      <c r="E4801" t="e">
        <f>OR(ISBLANK(Charms!I4801),(VLOOKUP(Values!$S$6,Castes!$B$2:$F$25,4,0)=Charms!I4801))</f>
        <v>#N/A</v>
      </c>
      <c r="J4801" t="e">
        <f t="shared" ca="1" si="371"/>
        <v>#N/A</v>
      </c>
      <c r="K4801" s="18" t="e">
        <f t="shared" ca="1" si="370"/>
        <v>#N/A</v>
      </c>
      <c r="L4801" t="e">
        <f ca="1">IF(J4801,Charms!B4801,"")</f>
        <v>#N/A</v>
      </c>
      <c r="M4801" t="str">
        <f t="shared" ca="1" si="372"/>
        <v>-</v>
      </c>
      <c r="N4801" s="18" t="str">
        <f t="shared" si="373"/>
        <v>K1622:L5000</v>
      </c>
      <c r="O4801" t="str">
        <f t="shared" si="374"/>
        <v>A1622:A4801</v>
      </c>
    </row>
    <row r="4802" spans="1:15">
      <c r="A4802" s="18">
        <f>Charms!K4802</f>
        <v>0</v>
      </c>
      <c r="B4802">
        <f>Charms!B4802</f>
        <v>0</v>
      </c>
      <c r="C4802" t="b">
        <f ca="1">OR(Values!$S$98&gt;=Charms!M4802,IFERROR(Charms!J4802=OFFSET(Values!$A$24,MATCH("S",Values!$T$25:$T$50,0),0),FALSE))</f>
        <v>1</v>
      </c>
      <c r="D4802" t="e">
        <f>VLOOKUP(Charms!J4802,Values!$A$11:$S$59,19,0)&gt;=Charms!L4802</f>
        <v>#N/A</v>
      </c>
      <c r="E4802" t="e">
        <f>OR(ISBLANK(Charms!I4802),(VLOOKUP(Values!$S$6,Castes!$B$2:$F$25,4,0)=Charms!I4802))</f>
        <v>#N/A</v>
      </c>
      <c r="J4802" t="e">
        <f t="shared" ca="1" si="371"/>
        <v>#N/A</v>
      </c>
      <c r="K4802" s="18" t="e">
        <f t="shared" ref="K4802:K4865" ca="1" si="375">IF(L4802="","",COUNTIF(INDIRECT("J"&amp;MATCH(A4802,A:A,0)&amp;":J"&amp;ROW()),J4802))</f>
        <v>#N/A</v>
      </c>
      <c r="L4802" t="e">
        <f ca="1">IF(J4802,Charms!B4802,"")</f>
        <v>#N/A</v>
      </c>
      <c r="M4802" t="str">
        <f t="shared" ca="1" si="372"/>
        <v>-</v>
      </c>
      <c r="N4802" s="18" t="str">
        <f t="shared" si="373"/>
        <v>K1622:L5000</v>
      </c>
      <c r="O4802" t="str">
        <f t="shared" si="374"/>
        <v>A1622:A4802</v>
      </c>
    </row>
    <row r="4803" spans="1:15">
      <c r="A4803" s="18">
        <f>Charms!K4803</f>
        <v>0</v>
      </c>
      <c r="B4803">
        <f>Charms!B4803</f>
        <v>0</v>
      </c>
      <c r="C4803" t="b">
        <f ca="1">OR(Values!$S$98&gt;=Charms!M4803,IFERROR(Charms!J4803=OFFSET(Values!$A$24,MATCH("S",Values!$T$25:$T$50,0),0),FALSE))</f>
        <v>1</v>
      </c>
      <c r="D4803" t="e">
        <f>VLOOKUP(Charms!J4803,Values!$A$11:$S$59,19,0)&gt;=Charms!L4803</f>
        <v>#N/A</v>
      </c>
      <c r="E4803" t="e">
        <f>OR(ISBLANK(Charms!I4803),(VLOOKUP(Values!$S$6,Castes!$B$2:$F$25,4,0)=Charms!I4803))</f>
        <v>#N/A</v>
      </c>
      <c r="J4803" t="e">
        <f t="shared" ref="J4803:J4866" ca="1" si="376">(C4803+D4803+E4803+F4803+G4803+H4803+I4803)=3</f>
        <v>#N/A</v>
      </c>
      <c r="K4803" s="18" t="e">
        <f t="shared" ca="1" si="375"/>
        <v>#N/A</v>
      </c>
      <c r="L4803" t="e">
        <f ca="1">IF(J4803,Charms!B4803,"")</f>
        <v>#N/A</v>
      </c>
      <c r="M4803" t="str">
        <f t="shared" ref="M4803:M4866" ca="1" si="377">IFERROR(VLOOKUP(COUNTIF(INDIRECT(O4803),A4803),INDIRECT(N4803),2,0),"-")</f>
        <v>-</v>
      </c>
      <c r="N4803" s="18" t="str">
        <f t="shared" ref="N4803:N4866" si="378">"K"&amp;MATCH(A4803,A:A,0)&amp;":L"&amp;(MATCH(A4803,A:A,0)+COUNTIF(A:A,A4803)-1)</f>
        <v>K1622:L5000</v>
      </c>
      <c r="O4803" t="str">
        <f t="shared" ref="O4803:O4866" si="379">"A"&amp;MATCH(A4803,A:A,0)&amp;":A"&amp;ROW()</f>
        <v>A1622:A4803</v>
      </c>
    </row>
    <row r="4804" spans="1:15">
      <c r="A4804" s="18">
        <f>Charms!K4804</f>
        <v>0</v>
      </c>
      <c r="B4804">
        <f>Charms!B4804</f>
        <v>0</v>
      </c>
      <c r="C4804" t="b">
        <f ca="1">OR(Values!$S$98&gt;=Charms!M4804,IFERROR(Charms!J4804=OFFSET(Values!$A$24,MATCH("S",Values!$T$25:$T$50,0),0),FALSE))</f>
        <v>1</v>
      </c>
      <c r="D4804" t="e">
        <f>VLOOKUP(Charms!J4804,Values!$A$11:$S$59,19,0)&gt;=Charms!L4804</f>
        <v>#N/A</v>
      </c>
      <c r="E4804" t="e">
        <f>OR(ISBLANK(Charms!I4804),(VLOOKUP(Values!$S$6,Castes!$B$2:$F$25,4,0)=Charms!I4804))</f>
        <v>#N/A</v>
      </c>
      <c r="J4804" t="e">
        <f t="shared" ca="1" si="376"/>
        <v>#N/A</v>
      </c>
      <c r="K4804" s="18" t="e">
        <f t="shared" ca="1" si="375"/>
        <v>#N/A</v>
      </c>
      <c r="L4804" t="e">
        <f ca="1">IF(J4804,Charms!B4804,"")</f>
        <v>#N/A</v>
      </c>
      <c r="M4804" t="str">
        <f t="shared" ca="1" si="377"/>
        <v>-</v>
      </c>
      <c r="N4804" s="18" t="str">
        <f t="shared" si="378"/>
        <v>K1622:L5000</v>
      </c>
      <c r="O4804" t="str">
        <f t="shared" si="379"/>
        <v>A1622:A4804</v>
      </c>
    </row>
    <row r="4805" spans="1:15">
      <c r="A4805" s="18">
        <f>Charms!K4805</f>
        <v>0</v>
      </c>
      <c r="B4805">
        <f>Charms!B4805</f>
        <v>0</v>
      </c>
      <c r="C4805" t="b">
        <f ca="1">OR(Values!$S$98&gt;=Charms!M4805,IFERROR(Charms!J4805=OFFSET(Values!$A$24,MATCH("S",Values!$T$25:$T$50,0),0),FALSE))</f>
        <v>1</v>
      </c>
      <c r="D4805" t="e">
        <f>VLOOKUP(Charms!J4805,Values!$A$11:$S$59,19,0)&gt;=Charms!L4805</f>
        <v>#N/A</v>
      </c>
      <c r="E4805" t="e">
        <f>OR(ISBLANK(Charms!I4805),(VLOOKUP(Values!$S$6,Castes!$B$2:$F$25,4,0)=Charms!I4805))</f>
        <v>#N/A</v>
      </c>
      <c r="J4805" t="e">
        <f t="shared" ca="1" si="376"/>
        <v>#N/A</v>
      </c>
      <c r="K4805" s="18" t="e">
        <f t="shared" ca="1" si="375"/>
        <v>#N/A</v>
      </c>
      <c r="L4805" t="e">
        <f ca="1">IF(J4805,Charms!B4805,"")</f>
        <v>#N/A</v>
      </c>
      <c r="M4805" t="str">
        <f t="shared" ca="1" si="377"/>
        <v>-</v>
      </c>
      <c r="N4805" s="18" t="str">
        <f t="shared" si="378"/>
        <v>K1622:L5000</v>
      </c>
      <c r="O4805" t="str">
        <f t="shared" si="379"/>
        <v>A1622:A4805</v>
      </c>
    </row>
    <row r="4806" spans="1:15">
      <c r="A4806" s="18">
        <f>Charms!K4806</f>
        <v>0</v>
      </c>
      <c r="B4806">
        <f>Charms!B4806</f>
        <v>0</v>
      </c>
      <c r="C4806" t="b">
        <f ca="1">OR(Values!$S$98&gt;=Charms!M4806,IFERROR(Charms!J4806=OFFSET(Values!$A$24,MATCH("S",Values!$T$25:$T$50,0),0),FALSE))</f>
        <v>1</v>
      </c>
      <c r="D4806" t="e">
        <f>VLOOKUP(Charms!J4806,Values!$A$11:$S$59,19,0)&gt;=Charms!L4806</f>
        <v>#N/A</v>
      </c>
      <c r="E4806" t="e">
        <f>OR(ISBLANK(Charms!I4806),(VLOOKUP(Values!$S$6,Castes!$B$2:$F$25,4,0)=Charms!I4806))</f>
        <v>#N/A</v>
      </c>
      <c r="J4806" t="e">
        <f t="shared" ca="1" si="376"/>
        <v>#N/A</v>
      </c>
      <c r="K4806" s="18" t="e">
        <f t="shared" ca="1" si="375"/>
        <v>#N/A</v>
      </c>
      <c r="L4806" t="e">
        <f ca="1">IF(J4806,Charms!B4806,"")</f>
        <v>#N/A</v>
      </c>
      <c r="M4806" t="str">
        <f t="shared" ca="1" si="377"/>
        <v>-</v>
      </c>
      <c r="N4806" s="18" t="str">
        <f t="shared" si="378"/>
        <v>K1622:L5000</v>
      </c>
      <c r="O4806" t="str">
        <f t="shared" si="379"/>
        <v>A1622:A4806</v>
      </c>
    </row>
    <row r="4807" spans="1:15">
      <c r="A4807" s="18">
        <f>Charms!K4807</f>
        <v>0</v>
      </c>
      <c r="B4807">
        <f>Charms!B4807</f>
        <v>0</v>
      </c>
      <c r="C4807" t="b">
        <f ca="1">OR(Values!$S$98&gt;=Charms!M4807,IFERROR(Charms!J4807=OFFSET(Values!$A$24,MATCH("S",Values!$T$25:$T$50,0),0),FALSE))</f>
        <v>1</v>
      </c>
      <c r="D4807" t="e">
        <f>VLOOKUP(Charms!J4807,Values!$A$11:$S$59,19,0)&gt;=Charms!L4807</f>
        <v>#N/A</v>
      </c>
      <c r="E4807" t="e">
        <f>OR(ISBLANK(Charms!I4807),(VLOOKUP(Values!$S$6,Castes!$B$2:$F$25,4,0)=Charms!I4807))</f>
        <v>#N/A</v>
      </c>
      <c r="J4807" t="e">
        <f t="shared" ca="1" si="376"/>
        <v>#N/A</v>
      </c>
      <c r="K4807" s="18" t="e">
        <f t="shared" ca="1" si="375"/>
        <v>#N/A</v>
      </c>
      <c r="L4807" t="e">
        <f ca="1">IF(J4807,Charms!B4807,"")</f>
        <v>#N/A</v>
      </c>
      <c r="M4807" t="str">
        <f t="shared" ca="1" si="377"/>
        <v>-</v>
      </c>
      <c r="N4807" s="18" t="str">
        <f t="shared" si="378"/>
        <v>K1622:L5000</v>
      </c>
      <c r="O4807" t="str">
        <f t="shared" si="379"/>
        <v>A1622:A4807</v>
      </c>
    </row>
    <row r="4808" spans="1:15">
      <c r="A4808" s="18">
        <f>Charms!K4808</f>
        <v>0</v>
      </c>
      <c r="B4808">
        <f>Charms!B4808</f>
        <v>0</v>
      </c>
      <c r="C4808" t="b">
        <f ca="1">OR(Values!$S$98&gt;=Charms!M4808,IFERROR(Charms!J4808=OFFSET(Values!$A$24,MATCH("S",Values!$T$25:$T$50,0),0),FALSE))</f>
        <v>1</v>
      </c>
      <c r="D4808" t="e">
        <f>VLOOKUP(Charms!J4808,Values!$A$11:$S$59,19,0)&gt;=Charms!L4808</f>
        <v>#N/A</v>
      </c>
      <c r="E4808" t="e">
        <f>OR(ISBLANK(Charms!I4808),(VLOOKUP(Values!$S$6,Castes!$B$2:$F$25,4,0)=Charms!I4808))</f>
        <v>#N/A</v>
      </c>
      <c r="J4808" t="e">
        <f t="shared" ca="1" si="376"/>
        <v>#N/A</v>
      </c>
      <c r="K4808" s="18" t="e">
        <f t="shared" ca="1" si="375"/>
        <v>#N/A</v>
      </c>
      <c r="L4808" t="e">
        <f ca="1">IF(J4808,Charms!B4808,"")</f>
        <v>#N/A</v>
      </c>
      <c r="M4808" t="str">
        <f t="shared" ca="1" si="377"/>
        <v>-</v>
      </c>
      <c r="N4808" s="18" t="str">
        <f t="shared" si="378"/>
        <v>K1622:L5000</v>
      </c>
      <c r="O4808" t="str">
        <f t="shared" si="379"/>
        <v>A1622:A4808</v>
      </c>
    </row>
    <row r="4809" spans="1:15">
      <c r="A4809" s="18">
        <f>Charms!K4809</f>
        <v>0</v>
      </c>
      <c r="B4809">
        <f>Charms!B4809</f>
        <v>0</v>
      </c>
      <c r="C4809" t="b">
        <f ca="1">OR(Values!$S$98&gt;=Charms!M4809,IFERROR(Charms!J4809=OFFSET(Values!$A$24,MATCH("S",Values!$T$25:$T$50,0),0),FALSE))</f>
        <v>1</v>
      </c>
      <c r="D4809" t="e">
        <f>VLOOKUP(Charms!J4809,Values!$A$11:$S$59,19,0)&gt;=Charms!L4809</f>
        <v>#N/A</v>
      </c>
      <c r="E4809" t="e">
        <f>OR(ISBLANK(Charms!I4809),(VLOOKUP(Values!$S$6,Castes!$B$2:$F$25,4,0)=Charms!I4809))</f>
        <v>#N/A</v>
      </c>
      <c r="J4809" t="e">
        <f t="shared" ca="1" si="376"/>
        <v>#N/A</v>
      </c>
      <c r="K4809" s="18" t="e">
        <f t="shared" ca="1" si="375"/>
        <v>#N/A</v>
      </c>
      <c r="L4809" t="e">
        <f ca="1">IF(J4809,Charms!B4809,"")</f>
        <v>#N/A</v>
      </c>
      <c r="M4809" t="str">
        <f t="shared" ca="1" si="377"/>
        <v>-</v>
      </c>
      <c r="N4809" s="18" t="str">
        <f t="shared" si="378"/>
        <v>K1622:L5000</v>
      </c>
      <c r="O4809" t="str">
        <f t="shared" si="379"/>
        <v>A1622:A4809</v>
      </c>
    </row>
    <row r="4810" spans="1:15">
      <c r="A4810" s="18">
        <f>Charms!K4810</f>
        <v>0</v>
      </c>
      <c r="B4810">
        <f>Charms!B4810</f>
        <v>0</v>
      </c>
      <c r="C4810" t="b">
        <f ca="1">OR(Values!$S$98&gt;=Charms!M4810,IFERROR(Charms!J4810=OFFSET(Values!$A$24,MATCH("S",Values!$T$25:$T$50,0),0),FALSE))</f>
        <v>1</v>
      </c>
      <c r="D4810" t="e">
        <f>VLOOKUP(Charms!J4810,Values!$A$11:$S$59,19,0)&gt;=Charms!L4810</f>
        <v>#N/A</v>
      </c>
      <c r="E4810" t="e">
        <f>OR(ISBLANK(Charms!I4810),(VLOOKUP(Values!$S$6,Castes!$B$2:$F$25,4,0)=Charms!I4810))</f>
        <v>#N/A</v>
      </c>
      <c r="J4810" t="e">
        <f t="shared" ca="1" si="376"/>
        <v>#N/A</v>
      </c>
      <c r="K4810" s="18" t="e">
        <f t="shared" ca="1" si="375"/>
        <v>#N/A</v>
      </c>
      <c r="L4810" t="e">
        <f ca="1">IF(J4810,Charms!B4810,"")</f>
        <v>#N/A</v>
      </c>
      <c r="M4810" t="str">
        <f t="shared" ca="1" si="377"/>
        <v>-</v>
      </c>
      <c r="N4810" s="18" t="str">
        <f t="shared" si="378"/>
        <v>K1622:L5000</v>
      </c>
      <c r="O4810" t="str">
        <f t="shared" si="379"/>
        <v>A1622:A4810</v>
      </c>
    </row>
    <row r="4811" spans="1:15">
      <c r="A4811" s="18">
        <f>Charms!K4811</f>
        <v>0</v>
      </c>
      <c r="B4811">
        <f>Charms!B4811</f>
        <v>0</v>
      </c>
      <c r="C4811" t="b">
        <f ca="1">OR(Values!$S$98&gt;=Charms!M4811,IFERROR(Charms!J4811=OFFSET(Values!$A$24,MATCH("S",Values!$T$25:$T$50,0),0),FALSE))</f>
        <v>1</v>
      </c>
      <c r="D4811" t="e">
        <f>VLOOKUP(Charms!J4811,Values!$A$11:$S$59,19,0)&gt;=Charms!L4811</f>
        <v>#N/A</v>
      </c>
      <c r="E4811" t="e">
        <f>OR(ISBLANK(Charms!I4811),(VLOOKUP(Values!$S$6,Castes!$B$2:$F$25,4,0)=Charms!I4811))</f>
        <v>#N/A</v>
      </c>
      <c r="J4811" t="e">
        <f t="shared" ca="1" si="376"/>
        <v>#N/A</v>
      </c>
      <c r="K4811" s="18" t="e">
        <f t="shared" ca="1" si="375"/>
        <v>#N/A</v>
      </c>
      <c r="L4811" t="e">
        <f ca="1">IF(J4811,Charms!B4811,"")</f>
        <v>#N/A</v>
      </c>
      <c r="M4811" t="str">
        <f t="shared" ca="1" si="377"/>
        <v>-</v>
      </c>
      <c r="N4811" s="18" t="str">
        <f t="shared" si="378"/>
        <v>K1622:L5000</v>
      </c>
      <c r="O4811" t="str">
        <f t="shared" si="379"/>
        <v>A1622:A4811</v>
      </c>
    </row>
    <row r="4812" spans="1:15">
      <c r="A4812" s="18">
        <f>Charms!K4812</f>
        <v>0</v>
      </c>
      <c r="B4812">
        <f>Charms!B4812</f>
        <v>0</v>
      </c>
      <c r="C4812" t="b">
        <f ca="1">OR(Values!$S$98&gt;=Charms!M4812,IFERROR(Charms!J4812=OFFSET(Values!$A$24,MATCH("S",Values!$T$25:$T$50,0),0),FALSE))</f>
        <v>1</v>
      </c>
      <c r="D4812" t="e">
        <f>VLOOKUP(Charms!J4812,Values!$A$11:$S$59,19,0)&gt;=Charms!L4812</f>
        <v>#N/A</v>
      </c>
      <c r="E4812" t="e">
        <f>OR(ISBLANK(Charms!I4812),(VLOOKUP(Values!$S$6,Castes!$B$2:$F$25,4,0)=Charms!I4812))</f>
        <v>#N/A</v>
      </c>
      <c r="J4812" t="e">
        <f t="shared" ca="1" si="376"/>
        <v>#N/A</v>
      </c>
      <c r="K4812" s="18" t="e">
        <f t="shared" ca="1" si="375"/>
        <v>#N/A</v>
      </c>
      <c r="L4812" t="e">
        <f ca="1">IF(J4812,Charms!B4812,"")</f>
        <v>#N/A</v>
      </c>
      <c r="M4812" t="str">
        <f t="shared" ca="1" si="377"/>
        <v>-</v>
      </c>
      <c r="N4812" s="18" t="str">
        <f t="shared" si="378"/>
        <v>K1622:L5000</v>
      </c>
      <c r="O4812" t="str">
        <f t="shared" si="379"/>
        <v>A1622:A4812</v>
      </c>
    </row>
    <row r="4813" spans="1:15">
      <c r="A4813" s="18">
        <f>Charms!K4813</f>
        <v>0</v>
      </c>
      <c r="B4813">
        <f>Charms!B4813</f>
        <v>0</v>
      </c>
      <c r="C4813" t="b">
        <f ca="1">OR(Values!$S$98&gt;=Charms!M4813,IFERROR(Charms!J4813=OFFSET(Values!$A$24,MATCH("S",Values!$T$25:$T$50,0),0),FALSE))</f>
        <v>1</v>
      </c>
      <c r="D4813" t="e">
        <f>VLOOKUP(Charms!J4813,Values!$A$11:$S$59,19,0)&gt;=Charms!L4813</f>
        <v>#N/A</v>
      </c>
      <c r="E4813" t="e">
        <f>OR(ISBLANK(Charms!I4813),(VLOOKUP(Values!$S$6,Castes!$B$2:$F$25,4,0)=Charms!I4813))</f>
        <v>#N/A</v>
      </c>
      <c r="J4813" t="e">
        <f t="shared" ca="1" si="376"/>
        <v>#N/A</v>
      </c>
      <c r="K4813" s="18" t="e">
        <f t="shared" ca="1" si="375"/>
        <v>#N/A</v>
      </c>
      <c r="L4813" t="e">
        <f ca="1">IF(J4813,Charms!B4813,"")</f>
        <v>#N/A</v>
      </c>
      <c r="M4813" t="str">
        <f t="shared" ca="1" si="377"/>
        <v>-</v>
      </c>
      <c r="N4813" s="18" t="str">
        <f t="shared" si="378"/>
        <v>K1622:L5000</v>
      </c>
      <c r="O4813" t="str">
        <f t="shared" si="379"/>
        <v>A1622:A4813</v>
      </c>
    </row>
    <row r="4814" spans="1:15">
      <c r="A4814" s="18">
        <f>Charms!K4814</f>
        <v>0</v>
      </c>
      <c r="B4814">
        <f>Charms!B4814</f>
        <v>0</v>
      </c>
      <c r="C4814" t="b">
        <f ca="1">OR(Values!$S$98&gt;=Charms!M4814,IFERROR(Charms!J4814=OFFSET(Values!$A$24,MATCH("S",Values!$T$25:$T$50,0),0),FALSE))</f>
        <v>1</v>
      </c>
      <c r="D4814" t="e">
        <f>VLOOKUP(Charms!J4814,Values!$A$11:$S$59,19,0)&gt;=Charms!L4814</f>
        <v>#N/A</v>
      </c>
      <c r="E4814" t="e">
        <f>OR(ISBLANK(Charms!I4814),(VLOOKUP(Values!$S$6,Castes!$B$2:$F$25,4,0)=Charms!I4814))</f>
        <v>#N/A</v>
      </c>
      <c r="J4814" t="e">
        <f t="shared" ca="1" si="376"/>
        <v>#N/A</v>
      </c>
      <c r="K4814" s="18" t="e">
        <f t="shared" ca="1" si="375"/>
        <v>#N/A</v>
      </c>
      <c r="L4814" t="e">
        <f ca="1">IF(J4814,Charms!B4814,"")</f>
        <v>#N/A</v>
      </c>
      <c r="M4814" t="str">
        <f t="shared" ca="1" si="377"/>
        <v>-</v>
      </c>
      <c r="N4814" s="18" t="str">
        <f t="shared" si="378"/>
        <v>K1622:L5000</v>
      </c>
      <c r="O4814" t="str">
        <f t="shared" si="379"/>
        <v>A1622:A4814</v>
      </c>
    </row>
    <row r="4815" spans="1:15">
      <c r="A4815" s="18">
        <f>Charms!K4815</f>
        <v>0</v>
      </c>
      <c r="B4815">
        <f>Charms!B4815</f>
        <v>0</v>
      </c>
      <c r="C4815" t="b">
        <f ca="1">OR(Values!$S$98&gt;=Charms!M4815,IFERROR(Charms!J4815=OFFSET(Values!$A$24,MATCH("S",Values!$T$25:$T$50,0),0),FALSE))</f>
        <v>1</v>
      </c>
      <c r="D4815" t="e">
        <f>VLOOKUP(Charms!J4815,Values!$A$11:$S$59,19,0)&gt;=Charms!L4815</f>
        <v>#N/A</v>
      </c>
      <c r="E4815" t="e">
        <f>OR(ISBLANK(Charms!I4815),(VLOOKUP(Values!$S$6,Castes!$B$2:$F$25,4,0)=Charms!I4815))</f>
        <v>#N/A</v>
      </c>
      <c r="J4815" t="e">
        <f t="shared" ca="1" si="376"/>
        <v>#N/A</v>
      </c>
      <c r="K4815" s="18" t="e">
        <f t="shared" ca="1" si="375"/>
        <v>#N/A</v>
      </c>
      <c r="L4815" t="e">
        <f ca="1">IF(J4815,Charms!B4815,"")</f>
        <v>#N/A</v>
      </c>
      <c r="M4815" t="str">
        <f t="shared" ca="1" si="377"/>
        <v>-</v>
      </c>
      <c r="N4815" s="18" t="str">
        <f t="shared" si="378"/>
        <v>K1622:L5000</v>
      </c>
      <c r="O4815" t="str">
        <f t="shared" si="379"/>
        <v>A1622:A4815</v>
      </c>
    </row>
    <row r="4816" spans="1:15">
      <c r="A4816" s="18">
        <f>Charms!K4816</f>
        <v>0</v>
      </c>
      <c r="B4816">
        <f>Charms!B4816</f>
        <v>0</v>
      </c>
      <c r="C4816" t="b">
        <f ca="1">OR(Values!$S$98&gt;=Charms!M4816,IFERROR(Charms!J4816=OFFSET(Values!$A$24,MATCH("S",Values!$T$25:$T$50,0),0),FALSE))</f>
        <v>1</v>
      </c>
      <c r="D4816" t="e">
        <f>VLOOKUP(Charms!J4816,Values!$A$11:$S$59,19,0)&gt;=Charms!L4816</f>
        <v>#N/A</v>
      </c>
      <c r="E4816" t="e">
        <f>OR(ISBLANK(Charms!I4816),(VLOOKUP(Values!$S$6,Castes!$B$2:$F$25,4,0)=Charms!I4816))</f>
        <v>#N/A</v>
      </c>
      <c r="J4816" t="e">
        <f t="shared" ca="1" si="376"/>
        <v>#N/A</v>
      </c>
      <c r="K4816" s="18" t="e">
        <f t="shared" ca="1" si="375"/>
        <v>#N/A</v>
      </c>
      <c r="L4816" t="e">
        <f ca="1">IF(J4816,Charms!B4816,"")</f>
        <v>#N/A</v>
      </c>
      <c r="M4816" t="str">
        <f t="shared" ca="1" si="377"/>
        <v>-</v>
      </c>
      <c r="N4816" s="18" t="str">
        <f t="shared" si="378"/>
        <v>K1622:L5000</v>
      </c>
      <c r="O4816" t="str">
        <f t="shared" si="379"/>
        <v>A1622:A4816</v>
      </c>
    </row>
    <row r="4817" spans="1:15">
      <c r="A4817" s="18">
        <f>Charms!K4817</f>
        <v>0</v>
      </c>
      <c r="B4817">
        <f>Charms!B4817</f>
        <v>0</v>
      </c>
      <c r="C4817" t="b">
        <f ca="1">OR(Values!$S$98&gt;=Charms!M4817,IFERROR(Charms!J4817=OFFSET(Values!$A$24,MATCH("S",Values!$T$25:$T$50,0),0),FALSE))</f>
        <v>1</v>
      </c>
      <c r="D4817" t="e">
        <f>VLOOKUP(Charms!J4817,Values!$A$11:$S$59,19,0)&gt;=Charms!L4817</f>
        <v>#N/A</v>
      </c>
      <c r="E4817" t="e">
        <f>OR(ISBLANK(Charms!I4817),(VLOOKUP(Values!$S$6,Castes!$B$2:$F$25,4,0)=Charms!I4817))</f>
        <v>#N/A</v>
      </c>
      <c r="J4817" t="e">
        <f t="shared" ca="1" si="376"/>
        <v>#N/A</v>
      </c>
      <c r="K4817" s="18" t="e">
        <f t="shared" ca="1" si="375"/>
        <v>#N/A</v>
      </c>
      <c r="L4817" t="e">
        <f ca="1">IF(J4817,Charms!B4817,"")</f>
        <v>#N/A</v>
      </c>
      <c r="M4817" t="str">
        <f t="shared" ca="1" si="377"/>
        <v>-</v>
      </c>
      <c r="N4817" s="18" t="str">
        <f t="shared" si="378"/>
        <v>K1622:L5000</v>
      </c>
      <c r="O4817" t="str">
        <f t="shared" si="379"/>
        <v>A1622:A4817</v>
      </c>
    </row>
    <row r="4818" spans="1:15">
      <c r="A4818" s="18">
        <f>Charms!K4818</f>
        <v>0</v>
      </c>
      <c r="B4818">
        <f>Charms!B4818</f>
        <v>0</v>
      </c>
      <c r="C4818" t="b">
        <f ca="1">OR(Values!$S$98&gt;=Charms!M4818,IFERROR(Charms!J4818=OFFSET(Values!$A$24,MATCH("S",Values!$T$25:$T$50,0),0),FALSE))</f>
        <v>1</v>
      </c>
      <c r="D4818" t="e">
        <f>VLOOKUP(Charms!J4818,Values!$A$11:$S$59,19,0)&gt;=Charms!L4818</f>
        <v>#N/A</v>
      </c>
      <c r="E4818" t="e">
        <f>OR(ISBLANK(Charms!I4818),(VLOOKUP(Values!$S$6,Castes!$B$2:$F$25,4,0)=Charms!I4818))</f>
        <v>#N/A</v>
      </c>
      <c r="J4818" t="e">
        <f t="shared" ca="1" si="376"/>
        <v>#N/A</v>
      </c>
      <c r="K4818" s="18" t="e">
        <f t="shared" ca="1" si="375"/>
        <v>#N/A</v>
      </c>
      <c r="L4818" t="e">
        <f ca="1">IF(J4818,Charms!B4818,"")</f>
        <v>#N/A</v>
      </c>
      <c r="M4818" t="str">
        <f t="shared" ca="1" si="377"/>
        <v>-</v>
      </c>
      <c r="N4818" s="18" t="str">
        <f t="shared" si="378"/>
        <v>K1622:L5000</v>
      </c>
      <c r="O4818" t="str">
        <f t="shared" si="379"/>
        <v>A1622:A4818</v>
      </c>
    </row>
    <row r="4819" spans="1:15">
      <c r="A4819" s="18">
        <f>Charms!K4819</f>
        <v>0</v>
      </c>
      <c r="B4819">
        <f>Charms!B4819</f>
        <v>0</v>
      </c>
      <c r="C4819" t="b">
        <f ca="1">OR(Values!$S$98&gt;=Charms!M4819,IFERROR(Charms!J4819=OFFSET(Values!$A$24,MATCH("S",Values!$T$25:$T$50,0),0),FALSE))</f>
        <v>1</v>
      </c>
      <c r="D4819" t="e">
        <f>VLOOKUP(Charms!J4819,Values!$A$11:$S$59,19,0)&gt;=Charms!L4819</f>
        <v>#N/A</v>
      </c>
      <c r="E4819" t="e">
        <f>OR(ISBLANK(Charms!I4819),(VLOOKUP(Values!$S$6,Castes!$B$2:$F$25,4,0)=Charms!I4819))</f>
        <v>#N/A</v>
      </c>
      <c r="J4819" t="e">
        <f t="shared" ca="1" si="376"/>
        <v>#N/A</v>
      </c>
      <c r="K4819" s="18" t="e">
        <f t="shared" ca="1" si="375"/>
        <v>#N/A</v>
      </c>
      <c r="L4819" t="e">
        <f ca="1">IF(J4819,Charms!B4819,"")</f>
        <v>#N/A</v>
      </c>
      <c r="M4819" t="str">
        <f t="shared" ca="1" si="377"/>
        <v>-</v>
      </c>
      <c r="N4819" s="18" t="str">
        <f t="shared" si="378"/>
        <v>K1622:L5000</v>
      </c>
      <c r="O4819" t="str">
        <f t="shared" si="379"/>
        <v>A1622:A4819</v>
      </c>
    </row>
    <row r="4820" spans="1:15">
      <c r="A4820" s="18">
        <f>Charms!K4820</f>
        <v>0</v>
      </c>
      <c r="B4820">
        <f>Charms!B4820</f>
        <v>0</v>
      </c>
      <c r="C4820" t="b">
        <f ca="1">OR(Values!$S$98&gt;=Charms!M4820,IFERROR(Charms!J4820=OFFSET(Values!$A$24,MATCH("S",Values!$T$25:$T$50,0),0),FALSE))</f>
        <v>1</v>
      </c>
      <c r="D4820" t="e">
        <f>VLOOKUP(Charms!J4820,Values!$A$11:$S$59,19,0)&gt;=Charms!L4820</f>
        <v>#N/A</v>
      </c>
      <c r="E4820" t="e">
        <f>OR(ISBLANK(Charms!I4820),(VLOOKUP(Values!$S$6,Castes!$B$2:$F$25,4,0)=Charms!I4820))</f>
        <v>#N/A</v>
      </c>
      <c r="J4820" t="e">
        <f t="shared" ca="1" si="376"/>
        <v>#N/A</v>
      </c>
      <c r="K4820" s="18" t="e">
        <f t="shared" ca="1" si="375"/>
        <v>#N/A</v>
      </c>
      <c r="L4820" t="e">
        <f ca="1">IF(J4820,Charms!B4820,"")</f>
        <v>#N/A</v>
      </c>
      <c r="M4820" t="str">
        <f t="shared" ca="1" si="377"/>
        <v>-</v>
      </c>
      <c r="N4820" s="18" t="str">
        <f t="shared" si="378"/>
        <v>K1622:L5000</v>
      </c>
      <c r="O4820" t="str">
        <f t="shared" si="379"/>
        <v>A1622:A4820</v>
      </c>
    </row>
    <row r="4821" spans="1:15">
      <c r="A4821" s="18">
        <f>Charms!K4821</f>
        <v>0</v>
      </c>
      <c r="B4821">
        <f>Charms!B4821</f>
        <v>0</v>
      </c>
      <c r="C4821" t="b">
        <f ca="1">OR(Values!$S$98&gt;=Charms!M4821,IFERROR(Charms!J4821=OFFSET(Values!$A$24,MATCH("S",Values!$T$25:$T$50,0),0),FALSE))</f>
        <v>1</v>
      </c>
      <c r="D4821" t="e">
        <f>VLOOKUP(Charms!J4821,Values!$A$11:$S$59,19,0)&gt;=Charms!L4821</f>
        <v>#N/A</v>
      </c>
      <c r="E4821" t="e">
        <f>OR(ISBLANK(Charms!I4821),(VLOOKUP(Values!$S$6,Castes!$B$2:$F$25,4,0)=Charms!I4821))</f>
        <v>#N/A</v>
      </c>
      <c r="J4821" t="e">
        <f t="shared" ca="1" si="376"/>
        <v>#N/A</v>
      </c>
      <c r="K4821" s="18" t="e">
        <f t="shared" ca="1" si="375"/>
        <v>#N/A</v>
      </c>
      <c r="L4821" t="e">
        <f ca="1">IF(J4821,Charms!B4821,"")</f>
        <v>#N/A</v>
      </c>
      <c r="M4821" t="str">
        <f t="shared" ca="1" si="377"/>
        <v>-</v>
      </c>
      <c r="N4821" s="18" t="str">
        <f t="shared" si="378"/>
        <v>K1622:L5000</v>
      </c>
      <c r="O4821" t="str">
        <f t="shared" si="379"/>
        <v>A1622:A4821</v>
      </c>
    </row>
    <row r="4822" spans="1:15">
      <c r="A4822" s="18">
        <f>Charms!K4822</f>
        <v>0</v>
      </c>
      <c r="B4822">
        <f>Charms!B4822</f>
        <v>0</v>
      </c>
      <c r="C4822" t="b">
        <f ca="1">OR(Values!$S$98&gt;=Charms!M4822,IFERROR(Charms!J4822=OFFSET(Values!$A$24,MATCH("S",Values!$T$25:$T$50,0),0),FALSE))</f>
        <v>1</v>
      </c>
      <c r="D4822" t="e">
        <f>VLOOKUP(Charms!J4822,Values!$A$11:$S$59,19,0)&gt;=Charms!L4822</f>
        <v>#N/A</v>
      </c>
      <c r="E4822" t="e">
        <f>OR(ISBLANK(Charms!I4822),(VLOOKUP(Values!$S$6,Castes!$B$2:$F$25,4,0)=Charms!I4822))</f>
        <v>#N/A</v>
      </c>
      <c r="J4822" t="e">
        <f t="shared" ca="1" si="376"/>
        <v>#N/A</v>
      </c>
      <c r="K4822" s="18" t="e">
        <f t="shared" ca="1" si="375"/>
        <v>#N/A</v>
      </c>
      <c r="L4822" t="e">
        <f ca="1">IF(J4822,Charms!B4822,"")</f>
        <v>#N/A</v>
      </c>
      <c r="M4822" t="str">
        <f t="shared" ca="1" si="377"/>
        <v>-</v>
      </c>
      <c r="N4822" s="18" t="str">
        <f t="shared" si="378"/>
        <v>K1622:L5000</v>
      </c>
      <c r="O4822" t="str">
        <f t="shared" si="379"/>
        <v>A1622:A4822</v>
      </c>
    </row>
    <row r="4823" spans="1:15">
      <c r="A4823" s="18">
        <f>Charms!K4823</f>
        <v>0</v>
      </c>
      <c r="B4823">
        <f>Charms!B4823</f>
        <v>0</v>
      </c>
      <c r="C4823" t="b">
        <f ca="1">OR(Values!$S$98&gt;=Charms!M4823,IFERROR(Charms!J4823=OFFSET(Values!$A$24,MATCH("S",Values!$T$25:$T$50,0),0),FALSE))</f>
        <v>1</v>
      </c>
      <c r="D4823" t="e">
        <f>VLOOKUP(Charms!J4823,Values!$A$11:$S$59,19,0)&gt;=Charms!L4823</f>
        <v>#N/A</v>
      </c>
      <c r="E4823" t="e">
        <f>OR(ISBLANK(Charms!I4823),(VLOOKUP(Values!$S$6,Castes!$B$2:$F$25,4,0)=Charms!I4823))</f>
        <v>#N/A</v>
      </c>
      <c r="J4823" t="e">
        <f t="shared" ca="1" si="376"/>
        <v>#N/A</v>
      </c>
      <c r="K4823" s="18" t="e">
        <f t="shared" ca="1" si="375"/>
        <v>#N/A</v>
      </c>
      <c r="L4823" t="e">
        <f ca="1">IF(J4823,Charms!B4823,"")</f>
        <v>#N/A</v>
      </c>
      <c r="M4823" t="str">
        <f t="shared" ca="1" si="377"/>
        <v>-</v>
      </c>
      <c r="N4823" s="18" t="str">
        <f t="shared" si="378"/>
        <v>K1622:L5000</v>
      </c>
      <c r="O4823" t="str">
        <f t="shared" si="379"/>
        <v>A1622:A4823</v>
      </c>
    </row>
    <row r="4824" spans="1:15">
      <c r="A4824" s="18">
        <f>Charms!K4824</f>
        <v>0</v>
      </c>
      <c r="B4824">
        <f>Charms!B4824</f>
        <v>0</v>
      </c>
      <c r="C4824" t="b">
        <f ca="1">OR(Values!$S$98&gt;=Charms!M4824,IFERROR(Charms!J4824=OFFSET(Values!$A$24,MATCH("S",Values!$T$25:$T$50,0),0),FALSE))</f>
        <v>1</v>
      </c>
      <c r="D4824" t="e">
        <f>VLOOKUP(Charms!J4824,Values!$A$11:$S$59,19,0)&gt;=Charms!L4824</f>
        <v>#N/A</v>
      </c>
      <c r="E4824" t="e">
        <f>OR(ISBLANK(Charms!I4824),(VLOOKUP(Values!$S$6,Castes!$B$2:$F$25,4,0)=Charms!I4824))</f>
        <v>#N/A</v>
      </c>
      <c r="J4824" t="e">
        <f t="shared" ca="1" si="376"/>
        <v>#N/A</v>
      </c>
      <c r="K4824" s="18" t="e">
        <f t="shared" ca="1" si="375"/>
        <v>#N/A</v>
      </c>
      <c r="L4824" t="e">
        <f ca="1">IF(J4824,Charms!B4824,"")</f>
        <v>#N/A</v>
      </c>
      <c r="M4824" t="str">
        <f t="shared" ca="1" si="377"/>
        <v>-</v>
      </c>
      <c r="N4824" s="18" t="str">
        <f t="shared" si="378"/>
        <v>K1622:L5000</v>
      </c>
      <c r="O4824" t="str">
        <f t="shared" si="379"/>
        <v>A1622:A4824</v>
      </c>
    </row>
    <row r="4825" spans="1:15">
      <c r="A4825" s="18">
        <f>Charms!K4825</f>
        <v>0</v>
      </c>
      <c r="B4825">
        <f>Charms!B4825</f>
        <v>0</v>
      </c>
      <c r="C4825" t="b">
        <f ca="1">OR(Values!$S$98&gt;=Charms!M4825,IFERROR(Charms!J4825=OFFSET(Values!$A$24,MATCH("S",Values!$T$25:$T$50,0),0),FALSE))</f>
        <v>1</v>
      </c>
      <c r="D4825" t="e">
        <f>VLOOKUP(Charms!J4825,Values!$A$11:$S$59,19,0)&gt;=Charms!L4825</f>
        <v>#N/A</v>
      </c>
      <c r="E4825" t="e">
        <f>OR(ISBLANK(Charms!I4825),(VLOOKUP(Values!$S$6,Castes!$B$2:$F$25,4,0)=Charms!I4825))</f>
        <v>#N/A</v>
      </c>
      <c r="J4825" t="e">
        <f t="shared" ca="1" si="376"/>
        <v>#N/A</v>
      </c>
      <c r="K4825" s="18" t="e">
        <f t="shared" ca="1" si="375"/>
        <v>#N/A</v>
      </c>
      <c r="L4825" t="e">
        <f ca="1">IF(J4825,Charms!B4825,"")</f>
        <v>#N/A</v>
      </c>
      <c r="M4825" t="str">
        <f t="shared" ca="1" si="377"/>
        <v>-</v>
      </c>
      <c r="N4825" s="18" t="str">
        <f t="shared" si="378"/>
        <v>K1622:L5000</v>
      </c>
      <c r="O4825" t="str">
        <f t="shared" si="379"/>
        <v>A1622:A4825</v>
      </c>
    </row>
    <row r="4826" spans="1:15">
      <c r="A4826" s="18">
        <f>Charms!K4826</f>
        <v>0</v>
      </c>
      <c r="B4826">
        <f>Charms!B4826</f>
        <v>0</v>
      </c>
      <c r="C4826" t="b">
        <f ca="1">OR(Values!$S$98&gt;=Charms!M4826,IFERROR(Charms!J4826=OFFSET(Values!$A$24,MATCH("S",Values!$T$25:$T$50,0),0),FALSE))</f>
        <v>1</v>
      </c>
      <c r="D4826" t="e">
        <f>VLOOKUP(Charms!J4826,Values!$A$11:$S$59,19,0)&gt;=Charms!L4826</f>
        <v>#N/A</v>
      </c>
      <c r="E4826" t="e">
        <f>OR(ISBLANK(Charms!I4826),(VLOOKUP(Values!$S$6,Castes!$B$2:$F$25,4,0)=Charms!I4826))</f>
        <v>#N/A</v>
      </c>
      <c r="J4826" t="e">
        <f t="shared" ca="1" si="376"/>
        <v>#N/A</v>
      </c>
      <c r="K4826" s="18" t="e">
        <f t="shared" ca="1" si="375"/>
        <v>#N/A</v>
      </c>
      <c r="L4826" t="e">
        <f ca="1">IF(J4826,Charms!B4826,"")</f>
        <v>#N/A</v>
      </c>
      <c r="M4826" t="str">
        <f t="shared" ca="1" si="377"/>
        <v>-</v>
      </c>
      <c r="N4826" s="18" t="str">
        <f t="shared" si="378"/>
        <v>K1622:L5000</v>
      </c>
      <c r="O4826" t="str">
        <f t="shared" si="379"/>
        <v>A1622:A4826</v>
      </c>
    </row>
    <row r="4827" spans="1:15">
      <c r="A4827" s="18">
        <f>Charms!K4827</f>
        <v>0</v>
      </c>
      <c r="B4827">
        <f>Charms!B4827</f>
        <v>0</v>
      </c>
      <c r="C4827" t="b">
        <f ca="1">OR(Values!$S$98&gt;=Charms!M4827,IFERROR(Charms!J4827=OFFSET(Values!$A$24,MATCH("S",Values!$T$25:$T$50,0),0),FALSE))</f>
        <v>1</v>
      </c>
      <c r="D4827" t="e">
        <f>VLOOKUP(Charms!J4827,Values!$A$11:$S$59,19,0)&gt;=Charms!L4827</f>
        <v>#N/A</v>
      </c>
      <c r="E4827" t="e">
        <f>OR(ISBLANK(Charms!I4827),(VLOOKUP(Values!$S$6,Castes!$B$2:$F$25,4,0)=Charms!I4827))</f>
        <v>#N/A</v>
      </c>
      <c r="J4827" t="e">
        <f t="shared" ca="1" si="376"/>
        <v>#N/A</v>
      </c>
      <c r="K4827" s="18" t="e">
        <f t="shared" ca="1" si="375"/>
        <v>#N/A</v>
      </c>
      <c r="L4827" t="e">
        <f ca="1">IF(J4827,Charms!B4827,"")</f>
        <v>#N/A</v>
      </c>
      <c r="M4827" t="str">
        <f t="shared" ca="1" si="377"/>
        <v>-</v>
      </c>
      <c r="N4827" s="18" t="str">
        <f t="shared" si="378"/>
        <v>K1622:L5000</v>
      </c>
      <c r="O4827" t="str">
        <f t="shared" si="379"/>
        <v>A1622:A4827</v>
      </c>
    </row>
    <row r="4828" spans="1:15">
      <c r="A4828" s="18">
        <f>Charms!K4828</f>
        <v>0</v>
      </c>
      <c r="B4828">
        <f>Charms!B4828</f>
        <v>0</v>
      </c>
      <c r="C4828" t="b">
        <f ca="1">OR(Values!$S$98&gt;=Charms!M4828,IFERROR(Charms!J4828=OFFSET(Values!$A$24,MATCH("S",Values!$T$25:$T$50,0),0),FALSE))</f>
        <v>1</v>
      </c>
      <c r="D4828" t="e">
        <f>VLOOKUP(Charms!J4828,Values!$A$11:$S$59,19,0)&gt;=Charms!L4828</f>
        <v>#N/A</v>
      </c>
      <c r="E4828" t="e">
        <f>OR(ISBLANK(Charms!I4828),(VLOOKUP(Values!$S$6,Castes!$B$2:$F$25,4,0)=Charms!I4828))</f>
        <v>#N/A</v>
      </c>
      <c r="J4828" t="e">
        <f t="shared" ca="1" si="376"/>
        <v>#N/A</v>
      </c>
      <c r="K4828" s="18" t="e">
        <f t="shared" ca="1" si="375"/>
        <v>#N/A</v>
      </c>
      <c r="L4828" t="e">
        <f ca="1">IF(J4828,Charms!B4828,"")</f>
        <v>#N/A</v>
      </c>
      <c r="M4828" t="str">
        <f t="shared" ca="1" si="377"/>
        <v>-</v>
      </c>
      <c r="N4828" s="18" t="str">
        <f t="shared" si="378"/>
        <v>K1622:L5000</v>
      </c>
      <c r="O4828" t="str">
        <f t="shared" si="379"/>
        <v>A1622:A4828</v>
      </c>
    </row>
    <row r="4829" spans="1:15">
      <c r="A4829" s="18">
        <f>Charms!K4829</f>
        <v>0</v>
      </c>
      <c r="B4829">
        <f>Charms!B4829</f>
        <v>0</v>
      </c>
      <c r="C4829" t="b">
        <f ca="1">OR(Values!$S$98&gt;=Charms!M4829,IFERROR(Charms!J4829=OFFSET(Values!$A$24,MATCH("S",Values!$T$25:$T$50,0),0),FALSE))</f>
        <v>1</v>
      </c>
      <c r="D4829" t="e">
        <f>VLOOKUP(Charms!J4829,Values!$A$11:$S$59,19,0)&gt;=Charms!L4829</f>
        <v>#N/A</v>
      </c>
      <c r="E4829" t="e">
        <f>OR(ISBLANK(Charms!I4829),(VLOOKUP(Values!$S$6,Castes!$B$2:$F$25,4,0)=Charms!I4829))</f>
        <v>#N/A</v>
      </c>
      <c r="J4829" t="e">
        <f t="shared" ca="1" si="376"/>
        <v>#N/A</v>
      </c>
      <c r="K4829" s="18" t="e">
        <f t="shared" ca="1" si="375"/>
        <v>#N/A</v>
      </c>
      <c r="L4829" t="e">
        <f ca="1">IF(J4829,Charms!B4829,"")</f>
        <v>#N/A</v>
      </c>
      <c r="M4829" t="str">
        <f t="shared" ca="1" si="377"/>
        <v>-</v>
      </c>
      <c r="N4829" s="18" t="str">
        <f t="shared" si="378"/>
        <v>K1622:L5000</v>
      </c>
      <c r="O4829" t="str">
        <f t="shared" si="379"/>
        <v>A1622:A4829</v>
      </c>
    </row>
    <row r="4830" spans="1:15">
      <c r="A4830" s="18">
        <f>Charms!K4830</f>
        <v>0</v>
      </c>
      <c r="B4830">
        <f>Charms!B4830</f>
        <v>0</v>
      </c>
      <c r="C4830" t="b">
        <f ca="1">OR(Values!$S$98&gt;=Charms!M4830,IFERROR(Charms!J4830=OFFSET(Values!$A$24,MATCH("S",Values!$T$25:$T$50,0),0),FALSE))</f>
        <v>1</v>
      </c>
      <c r="D4830" t="e">
        <f>VLOOKUP(Charms!J4830,Values!$A$11:$S$59,19,0)&gt;=Charms!L4830</f>
        <v>#N/A</v>
      </c>
      <c r="E4830" t="e">
        <f>OR(ISBLANK(Charms!I4830),(VLOOKUP(Values!$S$6,Castes!$B$2:$F$25,4,0)=Charms!I4830))</f>
        <v>#N/A</v>
      </c>
      <c r="J4830" t="e">
        <f t="shared" ca="1" si="376"/>
        <v>#N/A</v>
      </c>
      <c r="K4830" s="18" t="e">
        <f t="shared" ca="1" si="375"/>
        <v>#N/A</v>
      </c>
      <c r="L4830" t="e">
        <f ca="1">IF(J4830,Charms!B4830,"")</f>
        <v>#N/A</v>
      </c>
      <c r="M4830" t="str">
        <f t="shared" ca="1" si="377"/>
        <v>-</v>
      </c>
      <c r="N4830" s="18" t="str">
        <f t="shared" si="378"/>
        <v>K1622:L5000</v>
      </c>
      <c r="O4830" t="str">
        <f t="shared" si="379"/>
        <v>A1622:A4830</v>
      </c>
    </row>
    <row r="4831" spans="1:15">
      <c r="A4831" s="18">
        <f>Charms!K4831</f>
        <v>0</v>
      </c>
      <c r="B4831">
        <f>Charms!B4831</f>
        <v>0</v>
      </c>
      <c r="C4831" t="b">
        <f ca="1">OR(Values!$S$98&gt;=Charms!M4831,IFERROR(Charms!J4831=OFFSET(Values!$A$24,MATCH("S",Values!$T$25:$T$50,0),0),FALSE))</f>
        <v>1</v>
      </c>
      <c r="D4831" t="e">
        <f>VLOOKUP(Charms!J4831,Values!$A$11:$S$59,19,0)&gt;=Charms!L4831</f>
        <v>#N/A</v>
      </c>
      <c r="E4831" t="e">
        <f>OR(ISBLANK(Charms!I4831),(VLOOKUP(Values!$S$6,Castes!$B$2:$F$25,4,0)=Charms!I4831))</f>
        <v>#N/A</v>
      </c>
      <c r="J4831" t="e">
        <f t="shared" ca="1" si="376"/>
        <v>#N/A</v>
      </c>
      <c r="K4831" s="18" t="e">
        <f t="shared" ca="1" si="375"/>
        <v>#N/A</v>
      </c>
      <c r="L4831" t="e">
        <f ca="1">IF(J4831,Charms!B4831,"")</f>
        <v>#N/A</v>
      </c>
      <c r="M4831" t="str">
        <f t="shared" ca="1" si="377"/>
        <v>-</v>
      </c>
      <c r="N4831" s="18" t="str">
        <f t="shared" si="378"/>
        <v>K1622:L5000</v>
      </c>
      <c r="O4831" t="str">
        <f t="shared" si="379"/>
        <v>A1622:A4831</v>
      </c>
    </row>
    <row r="4832" spans="1:15">
      <c r="A4832" s="18">
        <f>Charms!K4832</f>
        <v>0</v>
      </c>
      <c r="B4832">
        <f>Charms!B4832</f>
        <v>0</v>
      </c>
      <c r="C4832" t="b">
        <f ca="1">OR(Values!$S$98&gt;=Charms!M4832,IFERROR(Charms!J4832=OFFSET(Values!$A$24,MATCH("S",Values!$T$25:$T$50,0),0),FALSE))</f>
        <v>1</v>
      </c>
      <c r="D4832" t="e">
        <f>VLOOKUP(Charms!J4832,Values!$A$11:$S$59,19,0)&gt;=Charms!L4832</f>
        <v>#N/A</v>
      </c>
      <c r="E4832" t="e">
        <f>OR(ISBLANK(Charms!I4832),(VLOOKUP(Values!$S$6,Castes!$B$2:$F$25,4,0)=Charms!I4832))</f>
        <v>#N/A</v>
      </c>
      <c r="J4832" t="e">
        <f t="shared" ca="1" si="376"/>
        <v>#N/A</v>
      </c>
      <c r="K4832" s="18" t="e">
        <f t="shared" ca="1" si="375"/>
        <v>#N/A</v>
      </c>
      <c r="L4832" t="e">
        <f ca="1">IF(J4832,Charms!B4832,"")</f>
        <v>#N/A</v>
      </c>
      <c r="M4832" t="str">
        <f t="shared" ca="1" si="377"/>
        <v>-</v>
      </c>
      <c r="N4832" s="18" t="str">
        <f t="shared" si="378"/>
        <v>K1622:L5000</v>
      </c>
      <c r="O4832" t="str">
        <f t="shared" si="379"/>
        <v>A1622:A4832</v>
      </c>
    </row>
    <row r="4833" spans="1:15">
      <c r="A4833" s="18">
        <f>Charms!K4833</f>
        <v>0</v>
      </c>
      <c r="B4833">
        <f>Charms!B4833</f>
        <v>0</v>
      </c>
      <c r="C4833" t="b">
        <f ca="1">OR(Values!$S$98&gt;=Charms!M4833,IFERROR(Charms!J4833=OFFSET(Values!$A$24,MATCH("S",Values!$T$25:$T$50,0),0),FALSE))</f>
        <v>1</v>
      </c>
      <c r="D4833" t="e">
        <f>VLOOKUP(Charms!J4833,Values!$A$11:$S$59,19,0)&gt;=Charms!L4833</f>
        <v>#N/A</v>
      </c>
      <c r="E4833" t="e">
        <f>OR(ISBLANK(Charms!I4833),(VLOOKUP(Values!$S$6,Castes!$B$2:$F$25,4,0)=Charms!I4833))</f>
        <v>#N/A</v>
      </c>
      <c r="J4833" t="e">
        <f t="shared" ca="1" si="376"/>
        <v>#N/A</v>
      </c>
      <c r="K4833" s="18" t="e">
        <f t="shared" ca="1" si="375"/>
        <v>#N/A</v>
      </c>
      <c r="L4833" t="e">
        <f ca="1">IF(J4833,Charms!B4833,"")</f>
        <v>#N/A</v>
      </c>
      <c r="M4833" t="str">
        <f t="shared" ca="1" si="377"/>
        <v>-</v>
      </c>
      <c r="N4833" s="18" t="str">
        <f t="shared" si="378"/>
        <v>K1622:L5000</v>
      </c>
      <c r="O4833" t="str">
        <f t="shared" si="379"/>
        <v>A1622:A4833</v>
      </c>
    </row>
    <row r="4834" spans="1:15">
      <c r="A4834" s="18">
        <f>Charms!K4834</f>
        <v>0</v>
      </c>
      <c r="B4834">
        <f>Charms!B4834</f>
        <v>0</v>
      </c>
      <c r="C4834" t="b">
        <f ca="1">OR(Values!$S$98&gt;=Charms!M4834,IFERROR(Charms!J4834=OFFSET(Values!$A$24,MATCH("S",Values!$T$25:$T$50,0),0),FALSE))</f>
        <v>1</v>
      </c>
      <c r="D4834" t="e">
        <f>VLOOKUP(Charms!J4834,Values!$A$11:$S$59,19,0)&gt;=Charms!L4834</f>
        <v>#N/A</v>
      </c>
      <c r="E4834" t="e">
        <f>OR(ISBLANK(Charms!I4834),(VLOOKUP(Values!$S$6,Castes!$B$2:$F$25,4,0)=Charms!I4834))</f>
        <v>#N/A</v>
      </c>
      <c r="J4834" t="e">
        <f t="shared" ca="1" si="376"/>
        <v>#N/A</v>
      </c>
      <c r="K4834" s="18" t="e">
        <f t="shared" ca="1" si="375"/>
        <v>#N/A</v>
      </c>
      <c r="L4834" t="e">
        <f ca="1">IF(J4834,Charms!B4834,"")</f>
        <v>#N/A</v>
      </c>
      <c r="M4834" t="str">
        <f t="shared" ca="1" si="377"/>
        <v>-</v>
      </c>
      <c r="N4834" s="18" t="str">
        <f t="shared" si="378"/>
        <v>K1622:L5000</v>
      </c>
      <c r="O4834" t="str">
        <f t="shared" si="379"/>
        <v>A1622:A4834</v>
      </c>
    </row>
    <row r="4835" spans="1:15">
      <c r="A4835" s="18">
        <f>Charms!K4835</f>
        <v>0</v>
      </c>
      <c r="B4835">
        <f>Charms!B4835</f>
        <v>0</v>
      </c>
      <c r="C4835" t="b">
        <f ca="1">OR(Values!$S$98&gt;=Charms!M4835,IFERROR(Charms!J4835=OFFSET(Values!$A$24,MATCH("S",Values!$T$25:$T$50,0),0),FALSE))</f>
        <v>1</v>
      </c>
      <c r="D4835" t="e">
        <f>VLOOKUP(Charms!J4835,Values!$A$11:$S$59,19,0)&gt;=Charms!L4835</f>
        <v>#N/A</v>
      </c>
      <c r="E4835" t="e">
        <f>OR(ISBLANK(Charms!I4835),(VLOOKUP(Values!$S$6,Castes!$B$2:$F$25,4,0)=Charms!I4835))</f>
        <v>#N/A</v>
      </c>
      <c r="J4835" t="e">
        <f t="shared" ca="1" si="376"/>
        <v>#N/A</v>
      </c>
      <c r="K4835" s="18" t="e">
        <f t="shared" ca="1" si="375"/>
        <v>#N/A</v>
      </c>
      <c r="L4835" t="e">
        <f ca="1">IF(J4835,Charms!B4835,"")</f>
        <v>#N/A</v>
      </c>
      <c r="M4835" t="str">
        <f t="shared" ca="1" si="377"/>
        <v>-</v>
      </c>
      <c r="N4835" s="18" t="str">
        <f t="shared" si="378"/>
        <v>K1622:L5000</v>
      </c>
      <c r="O4835" t="str">
        <f t="shared" si="379"/>
        <v>A1622:A4835</v>
      </c>
    </row>
    <row r="4836" spans="1:15">
      <c r="A4836" s="18">
        <f>Charms!K4836</f>
        <v>0</v>
      </c>
      <c r="B4836">
        <f>Charms!B4836</f>
        <v>0</v>
      </c>
      <c r="C4836" t="b">
        <f ca="1">OR(Values!$S$98&gt;=Charms!M4836,IFERROR(Charms!J4836=OFFSET(Values!$A$24,MATCH("S",Values!$T$25:$T$50,0),0),FALSE))</f>
        <v>1</v>
      </c>
      <c r="D4836" t="e">
        <f>VLOOKUP(Charms!J4836,Values!$A$11:$S$59,19,0)&gt;=Charms!L4836</f>
        <v>#N/A</v>
      </c>
      <c r="E4836" t="e">
        <f>OR(ISBLANK(Charms!I4836),(VLOOKUP(Values!$S$6,Castes!$B$2:$F$25,4,0)=Charms!I4836))</f>
        <v>#N/A</v>
      </c>
      <c r="J4836" t="e">
        <f t="shared" ca="1" si="376"/>
        <v>#N/A</v>
      </c>
      <c r="K4836" s="18" t="e">
        <f t="shared" ca="1" si="375"/>
        <v>#N/A</v>
      </c>
      <c r="L4836" t="e">
        <f ca="1">IF(J4836,Charms!B4836,"")</f>
        <v>#N/A</v>
      </c>
      <c r="M4836" t="str">
        <f t="shared" ca="1" si="377"/>
        <v>-</v>
      </c>
      <c r="N4836" s="18" t="str">
        <f t="shared" si="378"/>
        <v>K1622:L5000</v>
      </c>
      <c r="O4836" t="str">
        <f t="shared" si="379"/>
        <v>A1622:A4836</v>
      </c>
    </row>
    <row r="4837" spans="1:15">
      <c r="A4837" s="18">
        <f>Charms!K4837</f>
        <v>0</v>
      </c>
      <c r="B4837">
        <f>Charms!B4837</f>
        <v>0</v>
      </c>
      <c r="C4837" t="b">
        <f ca="1">OR(Values!$S$98&gt;=Charms!M4837,IFERROR(Charms!J4837=OFFSET(Values!$A$24,MATCH("S",Values!$T$25:$T$50,0),0),FALSE))</f>
        <v>1</v>
      </c>
      <c r="D4837" t="e">
        <f>VLOOKUP(Charms!J4837,Values!$A$11:$S$59,19,0)&gt;=Charms!L4837</f>
        <v>#N/A</v>
      </c>
      <c r="E4837" t="e">
        <f>OR(ISBLANK(Charms!I4837),(VLOOKUP(Values!$S$6,Castes!$B$2:$F$25,4,0)=Charms!I4837))</f>
        <v>#N/A</v>
      </c>
      <c r="J4837" t="e">
        <f t="shared" ca="1" si="376"/>
        <v>#N/A</v>
      </c>
      <c r="K4837" s="18" t="e">
        <f t="shared" ca="1" si="375"/>
        <v>#N/A</v>
      </c>
      <c r="L4837" t="e">
        <f ca="1">IF(J4837,Charms!B4837,"")</f>
        <v>#N/A</v>
      </c>
      <c r="M4837" t="str">
        <f t="shared" ca="1" si="377"/>
        <v>-</v>
      </c>
      <c r="N4837" s="18" t="str">
        <f t="shared" si="378"/>
        <v>K1622:L5000</v>
      </c>
      <c r="O4837" t="str">
        <f t="shared" si="379"/>
        <v>A1622:A4837</v>
      </c>
    </row>
    <row r="4838" spans="1:15">
      <c r="A4838" s="18">
        <f>Charms!K4838</f>
        <v>0</v>
      </c>
      <c r="B4838">
        <f>Charms!B4838</f>
        <v>0</v>
      </c>
      <c r="C4838" t="b">
        <f ca="1">OR(Values!$S$98&gt;=Charms!M4838,IFERROR(Charms!J4838=OFFSET(Values!$A$24,MATCH("S",Values!$T$25:$T$50,0),0),FALSE))</f>
        <v>1</v>
      </c>
      <c r="D4838" t="e">
        <f>VLOOKUP(Charms!J4838,Values!$A$11:$S$59,19,0)&gt;=Charms!L4838</f>
        <v>#N/A</v>
      </c>
      <c r="E4838" t="e">
        <f>OR(ISBLANK(Charms!I4838),(VLOOKUP(Values!$S$6,Castes!$B$2:$F$25,4,0)=Charms!I4838))</f>
        <v>#N/A</v>
      </c>
      <c r="J4838" t="e">
        <f t="shared" ca="1" si="376"/>
        <v>#N/A</v>
      </c>
      <c r="K4838" s="18" t="e">
        <f t="shared" ca="1" si="375"/>
        <v>#N/A</v>
      </c>
      <c r="L4838" t="e">
        <f ca="1">IF(J4838,Charms!B4838,"")</f>
        <v>#N/A</v>
      </c>
      <c r="M4838" t="str">
        <f t="shared" ca="1" si="377"/>
        <v>-</v>
      </c>
      <c r="N4838" s="18" t="str">
        <f t="shared" si="378"/>
        <v>K1622:L5000</v>
      </c>
      <c r="O4838" t="str">
        <f t="shared" si="379"/>
        <v>A1622:A4838</v>
      </c>
    </row>
    <row r="4839" spans="1:15">
      <c r="A4839" s="18">
        <f>Charms!K4839</f>
        <v>0</v>
      </c>
      <c r="B4839">
        <f>Charms!B4839</f>
        <v>0</v>
      </c>
      <c r="C4839" t="b">
        <f ca="1">OR(Values!$S$98&gt;=Charms!M4839,IFERROR(Charms!J4839=OFFSET(Values!$A$24,MATCH("S",Values!$T$25:$T$50,0),0),FALSE))</f>
        <v>1</v>
      </c>
      <c r="D4839" t="e">
        <f>VLOOKUP(Charms!J4839,Values!$A$11:$S$59,19,0)&gt;=Charms!L4839</f>
        <v>#N/A</v>
      </c>
      <c r="E4839" t="e">
        <f>OR(ISBLANK(Charms!I4839),(VLOOKUP(Values!$S$6,Castes!$B$2:$F$25,4,0)=Charms!I4839))</f>
        <v>#N/A</v>
      </c>
      <c r="J4839" t="e">
        <f t="shared" ca="1" si="376"/>
        <v>#N/A</v>
      </c>
      <c r="K4839" s="18" t="e">
        <f t="shared" ca="1" si="375"/>
        <v>#N/A</v>
      </c>
      <c r="L4839" t="e">
        <f ca="1">IF(J4839,Charms!B4839,"")</f>
        <v>#N/A</v>
      </c>
      <c r="M4839" t="str">
        <f t="shared" ca="1" si="377"/>
        <v>-</v>
      </c>
      <c r="N4839" s="18" t="str">
        <f t="shared" si="378"/>
        <v>K1622:L5000</v>
      </c>
      <c r="O4839" t="str">
        <f t="shared" si="379"/>
        <v>A1622:A4839</v>
      </c>
    </row>
    <row r="4840" spans="1:15">
      <c r="A4840" s="18">
        <f>Charms!K4840</f>
        <v>0</v>
      </c>
      <c r="B4840">
        <f>Charms!B4840</f>
        <v>0</v>
      </c>
      <c r="C4840" t="b">
        <f ca="1">OR(Values!$S$98&gt;=Charms!M4840,IFERROR(Charms!J4840=OFFSET(Values!$A$24,MATCH("S",Values!$T$25:$T$50,0),0),FALSE))</f>
        <v>1</v>
      </c>
      <c r="D4840" t="e">
        <f>VLOOKUP(Charms!J4840,Values!$A$11:$S$59,19,0)&gt;=Charms!L4840</f>
        <v>#N/A</v>
      </c>
      <c r="E4840" t="e">
        <f>OR(ISBLANK(Charms!I4840),(VLOOKUP(Values!$S$6,Castes!$B$2:$F$25,4,0)=Charms!I4840))</f>
        <v>#N/A</v>
      </c>
      <c r="J4840" t="e">
        <f t="shared" ca="1" si="376"/>
        <v>#N/A</v>
      </c>
      <c r="K4840" s="18" t="e">
        <f t="shared" ca="1" si="375"/>
        <v>#N/A</v>
      </c>
      <c r="L4840" t="e">
        <f ca="1">IF(J4840,Charms!B4840,"")</f>
        <v>#N/A</v>
      </c>
      <c r="M4840" t="str">
        <f t="shared" ca="1" si="377"/>
        <v>-</v>
      </c>
      <c r="N4840" s="18" t="str">
        <f t="shared" si="378"/>
        <v>K1622:L5000</v>
      </c>
      <c r="O4840" t="str">
        <f t="shared" si="379"/>
        <v>A1622:A4840</v>
      </c>
    </row>
    <row r="4841" spans="1:15">
      <c r="A4841" s="18">
        <f>Charms!K4841</f>
        <v>0</v>
      </c>
      <c r="B4841">
        <f>Charms!B4841</f>
        <v>0</v>
      </c>
      <c r="C4841" t="b">
        <f ca="1">OR(Values!$S$98&gt;=Charms!M4841,IFERROR(Charms!J4841=OFFSET(Values!$A$24,MATCH("S",Values!$T$25:$T$50,0),0),FALSE))</f>
        <v>1</v>
      </c>
      <c r="D4841" t="e">
        <f>VLOOKUP(Charms!J4841,Values!$A$11:$S$59,19,0)&gt;=Charms!L4841</f>
        <v>#N/A</v>
      </c>
      <c r="E4841" t="e">
        <f>OR(ISBLANK(Charms!I4841),(VLOOKUP(Values!$S$6,Castes!$B$2:$F$25,4,0)=Charms!I4841))</f>
        <v>#N/A</v>
      </c>
      <c r="J4841" t="e">
        <f t="shared" ca="1" si="376"/>
        <v>#N/A</v>
      </c>
      <c r="K4841" s="18" t="e">
        <f t="shared" ca="1" si="375"/>
        <v>#N/A</v>
      </c>
      <c r="L4841" t="e">
        <f ca="1">IF(J4841,Charms!B4841,"")</f>
        <v>#N/A</v>
      </c>
      <c r="M4841" t="str">
        <f t="shared" ca="1" si="377"/>
        <v>-</v>
      </c>
      <c r="N4841" s="18" t="str">
        <f t="shared" si="378"/>
        <v>K1622:L5000</v>
      </c>
      <c r="O4841" t="str">
        <f t="shared" si="379"/>
        <v>A1622:A4841</v>
      </c>
    </row>
    <row r="4842" spans="1:15">
      <c r="A4842" s="18">
        <f>Charms!K4842</f>
        <v>0</v>
      </c>
      <c r="B4842">
        <f>Charms!B4842</f>
        <v>0</v>
      </c>
      <c r="C4842" t="b">
        <f ca="1">OR(Values!$S$98&gt;=Charms!M4842,IFERROR(Charms!J4842=OFFSET(Values!$A$24,MATCH("S",Values!$T$25:$T$50,0),0),FALSE))</f>
        <v>1</v>
      </c>
      <c r="D4842" t="e">
        <f>VLOOKUP(Charms!J4842,Values!$A$11:$S$59,19,0)&gt;=Charms!L4842</f>
        <v>#N/A</v>
      </c>
      <c r="E4842" t="e">
        <f>OR(ISBLANK(Charms!I4842),(VLOOKUP(Values!$S$6,Castes!$B$2:$F$25,4,0)=Charms!I4842))</f>
        <v>#N/A</v>
      </c>
      <c r="J4842" t="e">
        <f t="shared" ca="1" si="376"/>
        <v>#N/A</v>
      </c>
      <c r="K4842" s="18" t="e">
        <f t="shared" ca="1" si="375"/>
        <v>#N/A</v>
      </c>
      <c r="L4842" t="e">
        <f ca="1">IF(J4842,Charms!B4842,"")</f>
        <v>#N/A</v>
      </c>
      <c r="M4842" t="str">
        <f t="shared" ca="1" si="377"/>
        <v>-</v>
      </c>
      <c r="N4842" s="18" t="str">
        <f t="shared" si="378"/>
        <v>K1622:L5000</v>
      </c>
      <c r="O4842" t="str">
        <f t="shared" si="379"/>
        <v>A1622:A4842</v>
      </c>
    </row>
    <row r="4843" spans="1:15">
      <c r="A4843" s="18">
        <f>Charms!K4843</f>
        <v>0</v>
      </c>
      <c r="B4843">
        <f>Charms!B4843</f>
        <v>0</v>
      </c>
      <c r="C4843" t="b">
        <f ca="1">OR(Values!$S$98&gt;=Charms!M4843,IFERROR(Charms!J4843=OFFSET(Values!$A$24,MATCH("S",Values!$T$25:$T$50,0),0),FALSE))</f>
        <v>1</v>
      </c>
      <c r="D4843" t="e">
        <f>VLOOKUP(Charms!J4843,Values!$A$11:$S$59,19,0)&gt;=Charms!L4843</f>
        <v>#N/A</v>
      </c>
      <c r="E4843" t="e">
        <f>OR(ISBLANK(Charms!I4843),(VLOOKUP(Values!$S$6,Castes!$B$2:$F$25,4,0)=Charms!I4843))</f>
        <v>#N/A</v>
      </c>
      <c r="J4843" t="e">
        <f t="shared" ca="1" si="376"/>
        <v>#N/A</v>
      </c>
      <c r="K4843" s="18" t="e">
        <f t="shared" ca="1" si="375"/>
        <v>#N/A</v>
      </c>
      <c r="L4843" t="e">
        <f ca="1">IF(J4843,Charms!B4843,"")</f>
        <v>#N/A</v>
      </c>
      <c r="M4843" t="str">
        <f t="shared" ca="1" si="377"/>
        <v>-</v>
      </c>
      <c r="N4843" s="18" t="str">
        <f t="shared" si="378"/>
        <v>K1622:L5000</v>
      </c>
      <c r="O4843" t="str">
        <f t="shared" si="379"/>
        <v>A1622:A4843</v>
      </c>
    </row>
    <row r="4844" spans="1:15">
      <c r="A4844" s="18">
        <f>Charms!K4844</f>
        <v>0</v>
      </c>
      <c r="B4844">
        <f>Charms!B4844</f>
        <v>0</v>
      </c>
      <c r="C4844" t="b">
        <f ca="1">OR(Values!$S$98&gt;=Charms!M4844,IFERROR(Charms!J4844=OFFSET(Values!$A$24,MATCH("S",Values!$T$25:$T$50,0),0),FALSE))</f>
        <v>1</v>
      </c>
      <c r="D4844" t="e">
        <f>VLOOKUP(Charms!J4844,Values!$A$11:$S$59,19,0)&gt;=Charms!L4844</f>
        <v>#N/A</v>
      </c>
      <c r="E4844" t="e">
        <f>OR(ISBLANK(Charms!I4844),(VLOOKUP(Values!$S$6,Castes!$B$2:$F$25,4,0)=Charms!I4844))</f>
        <v>#N/A</v>
      </c>
      <c r="J4844" t="e">
        <f t="shared" ca="1" si="376"/>
        <v>#N/A</v>
      </c>
      <c r="K4844" s="18" t="e">
        <f t="shared" ca="1" si="375"/>
        <v>#N/A</v>
      </c>
      <c r="L4844" t="e">
        <f ca="1">IF(J4844,Charms!B4844,"")</f>
        <v>#N/A</v>
      </c>
      <c r="M4844" t="str">
        <f t="shared" ca="1" si="377"/>
        <v>-</v>
      </c>
      <c r="N4844" s="18" t="str">
        <f t="shared" si="378"/>
        <v>K1622:L5000</v>
      </c>
      <c r="O4844" t="str">
        <f t="shared" si="379"/>
        <v>A1622:A4844</v>
      </c>
    </row>
    <row r="4845" spans="1:15">
      <c r="A4845" s="18">
        <f>Charms!K4845</f>
        <v>0</v>
      </c>
      <c r="B4845">
        <f>Charms!B4845</f>
        <v>0</v>
      </c>
      <c r="C4845" t="b">
        <f ca="1">OR(Values!$S$98&gt;=Charms!M4845,IFERROR(Charms!J4845=OFFSET(Values!$A$24,MATCH("S",Values!$T$25:$T$50,0),0),FALSE))</f>
        <v>1</v>
      </c>
      <c r="D4845" t="e">
        <f>VLOOKUP(Charms!J4845,Values!$A$11:$S$59,19,0)&gt;=Charms!L4845</f>
        <v>#N/A</v>
      </c>
      <c r="E4845" t="e">
        <f>OR(ISBLANK(Charms!I4845),(VLOOKUP(Values!$S$6,Castes!$B$2:$F$25,4,0)=Charms!I4845))</f>
        <v>#N/A</v>
      </c>
      <c r="J4845" t="e">
        <f t="shared" ca="1" si="376"/>
        <v>#N/A</v>
      </c>
      <c r="K4845" s="18" t="e">
        <f t="shared" ca="1" si="375"/>
        <v>#N/A</v>
      </c>
      <c r="L4845" t="e">
        <f ca="1">IF(J4845,Charms!B4845,"")</f>
        <v>#N/A</v>
      </c>
      <c r="M4845" t="str">
        <f t="shared" ca="1" si="377"/>
        <v>-</v>
      </c>
      <c r="N4845" s="18" t="str">
        <f t="shared" si="378"/>
        <v>K1622:L5000</v>
      </c>
      <c r="O4845" t="str">
        <f t="shared" si="379"/>
        <v>A1622:A4845</v>
      </c>
    </row>
    <row r="4846" spans="1:15">
      <c r="A4846" s="18">
        <f>Charms!K4846</f>
        <v>0</v>
      </c>
      <c r="B4846">
        <f>Charms!B4846</f>
        <v>0</v>
      </c>
      <c r="C4846" t="b">
        <f ca="1">OR(Values!$S$98&gt;=Charms!M4846,IFERROR(Charms!J4846=OFFSET(Values!$A$24,MATCH("S",Values!$T$25:$T$50,0),0),FALSE))</f>
        <v>1</v>
      </c>
      <c r="D4846" t="e">
        <f>VLOOKUP(Charms!J4846,Values!$A$11:$S$59,19,0)&gt;=Charms!L4846</f>
        <v>#N/A</v>
      </c>
      <c r="E4846" t="e">
        <f>OR(ISBLANK(Charms!I4846),(VLOOKUP(Values!$S$6,Castes!$B$2:$F$25,4,0)=Charms!I4846))</f>
        <v>#N/A</v>
      </c>
      <c r="J4846" t="e">
        <f t="shared" ca="1" si="376"/>
        <v>#N/A</v>
      </c>
      <c r="K4846" s="18" t="e">
        <f t="shared" ca="1" si="375"/>
        <v>#N/A</v>
      </c>
      <c r="L4846" t="e">
        <f ca="1">IF(J4846,Charms!B4846,"")</f>
        <v>#N/A</v>
      </c>
      <c r="M4846" t="str">
        <f t="shared" ca="1" si="377"/>
        <v>-</v>
      </c>
      <c r="N4846" s="18" t="str">
        <f t="shared" si="378"/>
        <v>K1622:L5000</v>
      </c>
      <c r="O4846" t="str">
        <f t="shared" si="379"/>
        <v>A1622:A4846</v>
      </c>
    </row>
    <row r="4847" spans="1:15">
      <c r="A4847" s="18">
        <f>Charms!K4847</f>
        <v>0</v>
      </c>
      <c r="B4847">
        <f>Charms!B4847</f>
        <v>0</v>
      </c>
      <c r="C4847" t="b">
        <f ca="1">OR(Values!$S$98&gt;=Charms!M4847,IFERROR(Charms!J4847=OFFSET(Values!$A$24,MATCH("S",Values!$T$25:$T$50,0),0),FALSE))</f>
        <v>1</v>
      </c>
      <c r="D4847" t="e">
        <f>VLOOKUP(Charms!J4847,Values!$A$11:$S$59,19,0)&gt;=Charms!L4847</f>
        <v>#N/A</v>
      </c>
      <c r="E4847" t="e">
        <f>OR(ISBLANK(Charms!I4847),(VLOOKUP(Values!$S$6,Castes!$B$2:$F$25,4,0)=Charms!I4847))</f>
        <v>#N/A</v>
      </c>
      <c r="J4847" t="e">
        <f t="shared" ca="1" si="376"/>
        <v>#N/A</v>
      </c>
      <c r="K4847" s="18" t="e">
        <f t="shared" ca="1" si="375"/>
        <v>#N/A</v>
      </c>
      <c r="L4847" t="e">
        <f ca="1">IF(J4847,Charms!B4847,"")</f>
        <v>#N/A</v>
      </c>
      <c r="M4847" t="str">
        <f t="shared" ca="1" si="377"/>
        <v>-</v>
      </c>
      <c r="N4847" s="18" t="str">
        <f t="shared" si="378"/>
        <v>K1622:L5000</v>
      </c>
      <c r="O4847" t="str">
        <f t="shared" si="379"/>
        <v>A1622:A4847</v>
      </c>
    </row>
    <row r="4848" spans="1:15">
      <c r="A4848" s="18">
        <f>Charms!K4848</f>
        <v>0</v>
      </c>
      <c r="B4848">
        <f>Charms!B4848</f>
        <v>0</v>
      </c>
      <c r="C4848" t="b">
        <f ca="1">OR(Values!$S$98&gt;=Charms!M4848,IFERROR(Charms!J4848=OFFSET(Values!$A$24,MATCH("S",Values!$T$25:$T$50,0),0),FALSE))</f>
        <v>1</v>
      </c>
      <c r="D4848" t="e">
        <f>VLOOKUP(Charms!J4848,Values!$A$11:$S$59,19,0)&gt;=Charms!L4848</f>
        <v>#N/A</v>
      </c>
      <c r="E4848" t="e">
        <f>OR(ISBLANK(Charms!I4848),(VLOOKUP(Values!$S$6,Castes!$B$2:$F$25,4,0)=Charms!I4848))</f>
        <v>#N/A</v>
      </c>
      <c r="J4848" t="e">
        <f t="shared" ca="1" si="376"/>
        <v>#N/A</v>
      </c>
      <c r="K4848" s="18" t="e">
        <f t="shared" ca="1" si="375"/>
        <v>#N/A</v>
      </c>
      <c r="L4848" t="e">
        <f ca="1">IF(J4848,Charms!B4848,"")</f>
        <v>#N/A</v>
      </c>
      <c r="M4848" t="str">
        <f t="shared" ca="1" si="377"/>
        <v>-</v>
      </c>
      <c r="N4848" s="18" t="str">
        <f t="shared" si="378"/>
        <v>K1622:L5000</v>
      </c>
      <c r="O4848" t="str">
        <f t="shared" si="379"/>
        <v>A1622:A4848</v>
      </c>
    </row>
    <row r="4849" spans="1:15">
      <c r="A4849" s="18">
        <f>Charms!K4849</f>
        <v>0</v>
      </c>
      <c r="B4849">
        <f>Charms!B4849</f>
        <v>0</v>
      </c>
      <c r="C4849" t="b">
        <f ca="1">OR(Values!$S$98&gt;=Charms!M4849,IFERROR(Charms!J4849=OFFSET(Values!$A$24,MATCH("S",Values!$T$25:$T$50,0),0),FALSE))</f>
        <v>1</v>
      </c>
      <c r="D4849" t="e">
        <f>VLOOKUP(Charms!J4849,Values!$A$11:$S$59,19,0)&gt;=Charms!L4849</f>
        <v>#N/A</v>
      </c>
      <c r="E4849" t="e">
        <f>OR(ISBLANK(Charms!I4849),(VLOOKUP(Values!$S$6,Castes!$B$2:$F$25,4,0)=Charms!I4849))</f>
        <v>#N/A</v>
      </c>
      <c r="J4849" t="e">
        <f t="shared" ca="1" si="376"/>
        <v>#N/A</v>
      </c>
      <c r="K4849" s="18" t="e">
        <f t="shared" ca="1" si="375"/>
        <v>#N/A</v>
      </c>
      <c r="L4849" t="e">
        <f ca="1">IF(J4849,Charms!B4849,"")</f>
        <v>#N/A</v>
      </c>
      <c r="M4849" t="str">
        <f t="shared" ca="1" si="377"/>
        <v>-</v>
      </c>
      <c r="N4849" s="18" t="str">
        <f t="shared" si="378"/>
        <v>K1622:L5000</v>
      </c>
      <c r="O4849" t="str">
        <f t="shared" si="379"/>
        <v>A1622:A4849</v>
      </c>
    </row>
    <row r="4850" spans="1:15">
      <c r="A4850" s="18">
        <f>Charms!K4850</f>
        <v>0</v>
      </c>
      <c r="B4850">
        <f>Charms!B4850</f>
        <v>0</v>
      </c>
      <c r="C4850" t="b">
        <f ca="1">OR(Values!$S$98&gt;=Charms!M4850,IFERROR(Charms!J4850=OFFSET(Values!$A$24,MATCH("S",Values!$T$25:$T$50,0),0),FALSE))</f>
        <v>1</v>
      </c>
      <c r="D4850" t="e">
        <f>VLOOKUP(Charms!J4850,Values!$A$11:$S$59,19,0)&gt;=Charms!L4850</f>
        <v>#N/A</v>
      </c>
      <c r="E4850" t="e">
        <f>OR(ISBLANK(Charms!I4850),(VLOOKUP(Values!$S$6,Castes!$B$2:$F$25,4,0)=Charms!I4850))</f>
        <v>#N/A</v>
      </c>
      <c r="J4850" t="e">
        <f t="shared" ca="1" si="376"/>
        <v>#N/A</v>
      </c>
      <c r="K4850" s="18" t="e">
        <f t="shared" ca="1" si="375"/>
        <v>#N/A</v>
      </c>
      <c r="L4850" t="e">
        <f ca="1">IF(J4850,Charms!B4850,"")</f>
        <v>#N/A</v>
      </c>
      <c r="M4850" t="str">
        <f t="shared" ca="1" si="377"/>
        <v>-</v>
      </c>
      <c r="N4850" s="18" t="str">
        <f t="shared" si="378"/>
        <v>K1622:L5000</v>
      </c>
      <c r="O4850" t="str">
        <f t="shared" si="379"/>
        <v>A1622:A4850</v>
      </c>
    </row>
    <row r="4851" spans="1:15">
      <c r="A4851" s="18">
        <f>Charms!K4851</f>
        <v>0</v>
      </c>
      <c r="B4851">
        <f>Charms!B4851</f>
        <v>0</v>
      </c>
      <c r="C4851" t="b">
        <f ca="1">OR(Values!$S$98&gt;=Charms!M4851,IFERROR(Charms!J4851=OFFSET(Values!$A$24,MATCH("S",Values!$T$25:$T$50,0),0),FALSE))</f>
        <v>1</v>
      </c>
      <c r="D4851" t="e">
        <f>VLOOKUP(Charms!J4851,Values!$A$11:$S$59,19,0)&gt;=Charms!L4851</f>
        <v>#N/A</v>
      </c>
      <c r="E4851" t="e">
        <f>OR(ISBLANK(Charms!I4851),(VLOOKUP(Values!$S$6,Castes!$B$2:$F$25,4,0)=Charms!I4851))</f>
        <v>#N/A</v>
      </c>
      <c r="J4851" t="e">
        <f t="shared" ca="1" si="376"/>
        <v>#N/A</v>
      </c>
      <c r="K4851" s="18" t="e">
        <f t="shared" ca="1" si="375"/>
        <v>#N/A</v>
      </c>
      <c r="L4851" t="e">
        <f ca="1">IF(J4851,Charms!B4851,"")</f>
        <v>#N/A</v>
      </c>
      <c r="M4851" t="str">
        <f t="shared" ca="1" si="377"/>
        <v>-</v>
      </c>
      <c r="N4851" s="18" t="str">
        <f t="shared" si="378"/>
        <v>K1622:L5000</v>
      </c>
      <c r="O4851" t="str">
        <f t="shared" si="379"/>
        <v>A1622:A4851</v>
      </c>
    </row>
    <row r="4852" spans="1:15">
      <c r="A4852" s="18">
        <f>Charms!K4852</f>
        <v>0</v>
      </c>
      <c r="B4852">
        <f>Charms!B4852</f>
        <v>0</v>
      </c>
      <c r="C4852" t="b">
        <f ca="1">OR(Values!$S$98&gt;=Charms!M4852,IFERROR(Charms!J4852=OFFSET(Values!$A$24,MATCH("S",Values!$T$25:$T$50,0),0),FALSE))</f>
        <v>1</v>
      </c>
      <c r="D4852" t="e">
        <f>VLOOKUP(Charms!J4852,Values!$A$11:$S$59,19,0)&gt;=Charms!L4852</f>
        <v>#N/A</v>
      </c>
      <c r="E4852" t="e">
        <f>OR(ISBLANK(Charms!I4852),(VLOOKUP(Values!$S$6,Castes!$B$2:$F$25,4,0)=Charms!I4852))</f>
        <v>#N/A</v>
      </c>
      <c r="J4852" t="e">
        <f t="shared" ca="1" si="376"/>
        <v>#N/A</v>
      </c>
      <c r="K4852" s="18" t="e">
        <f t="shared" ca="1" si="375"/>
        <v>#N/A</v>
      </c>
      <c r="L4852" t="e">
        <f ca="1">IF(J4852,Charms!B4852,"")</f>
        <v>#N/A</v>
      </c>
      <c r="M4852" t="str">
        <f t="shared" ca="1" si="377"/>
        <v>-</v>
      </c>
      <c r="N4852" s="18" t="str">
        <f t="shared" si="378"/>
        <v>K1622:L5000</v>
      </c>
      <c r="O4852" t="str">
        <f t="shared" si="379"/>
        <v>A1622:A4852</v>
      </c>
    </row>
    <row r="4853" spans="1:15">
      <c r="A4853" s="18">
        <f>Charms!K4853</f>
        <v>0</v>
      </c>
      <c r="B4853">
        <f>Charms!B4853</f>
        <v>0</v>
      </c>
      <c r="C4853" t="b">
        <f ca="1">OR(Values!$S$98&gt;=Charms!M4853,IFERROR(Charms!J4853=OFFSET(Values!$A$24,MATCH("S",Values!$T$25:$T$50,0),0),FALSE))</f>
        <v>1</v>
      </c>
      <c r="D4853" t="e">
        <f>VLOOKUP(Charms!J4853,Values!$A$11:$S$59,19,0)&gt;=Charms!L4853</f>
        <v>#N/A</v>
      </c>
      <c r="E4853" t="e">
        <f>OR(ISBLANK(Charms!I4853),(VLOOKUP(Values!$S$6,Castes!$B$2:$F$25,4,0)=Charms!I4853))</f>
        <v>#N/A</v>
      </c>
      <c r="J4853" t="e">
        <f t="shared" ca="1" si="376"/>
        <v>#N/A</v>
      </c>
      <c r="K4853" s="18" t="e">
        <f t="shared" ca="1" si="375"/>
        <v>#N/A</v>
      </c>
      <c r="L4853" t="e">
        <f ca="1">IF(J4853,Charms!B4853,"")</f>
        <v>#N/A</v>
      </c>
      <c r="M4853" t="str">
        <f t="shared" ca="1" si="377"/>
        <v>-</v>
      </c>
      <c r="N4853" s="18" t="str">
        <f t="shared" si="378"/>
        <v>K1622:L5000</v>
      </c>
      <c r="O4853" t="str">
        <f t="shared" si="379"/>
        <v>A1622:A4853</v>
      </c>
    </row>
    <row r="4854" spans="1:15">
      <c r="A4854" s="18">
        <f>Charms!K4854</f>
        <v>0</v>
      </c>
      <c r="B4854">
        <f>Charms!B4854</f>
        <v>0</v>
      </c>
      <c r="C4854" t="b">
        <f ca="1">OR(Values!$S$98&gt;=Charms!M4854,IFERROR(Charms!J4854=OFFSET(Values!$A$24,MATCH("S",Values!$T$25:$T$50,0),0),FALSE))</f>
        <v>1</v>
      </c>
      <c r="D4854" t="e">
        <f>VLOOKUP(Charms!J4854,Values!$A$11:$S$59,19,0)&gt;=Charms!L4854</f>
        <v>#N/A</v>
      </c>
      <c r="E4854" t="e">
        <f>OR(ISBLANK(Charms!I4854),(VLOOKUP(Values!$S$6,Castes!$B$2:$F$25,4,0)=Charms!I4854))</f>
        <v>#N/A</v>
      </c>
      <c r="J4854" t="e">
        <f t="shared" ca="1" si="376"/>
        <v>#N/A</v>
      </c>
      <c r="K4854" s="18" t="e">
        <f t="shared" ca="1" si="375"/>
        <v>#N/A</v>
      </c>
      <c r="L4854" t="e">
        <f ca="1">IF(J4854,Charms!B4854,"")</f>
        <v>#N/A</v>
      </c>
      <c r="M4854" t="str">
        <f t="shared" ca="1" si="377"/>
        <v>-</v>
      </c>
      <c r="N4854" s="18" t="str">
        <f t="shared" si="378"/>
        <v>K1622:L5000</v>
      </c>
      <c r="O4854" t="str">
        <f t="shared" si="379"/>
        <v>A1622:A4854</v>
      </c>
    </row>
    <row r="4855" spans="1:15">
      <c r="A4855" s="18">
        <f>Charms!K4855</f>
        <v>0</v>
      </c>
      <c r="B4855">
        <f>Charms!B4855</f>
        <v>0</v>
      </c>
      <c r="C4855" t="b">
        <f ca="1">OR(Values!$S$98&gt;=Charms!M4855,IFERROR(Charms!J4855=OFFSET(Values!$A$24,MATCH("S",Values!$T$25:$T$50,0),0),FALSE))</f>
        <v>1</v>
      </c>
      <c r="D4855" t="e">
        <f>VLOOKUP(Charms!J4855,Values!$A$11:$S$59,19,0)&gt;=Charms!L4855</f>
        <v>#N/A</v>
      </c>
      <c r="E4855" t="e">
        <f>OR(ISBLANK(Charms!I4855),(VLOOKUP(Values!$S$6,Castes!$B$2:$F$25,4,0)=Charms!I4855))</f>
        <v>#N/A</v>
      </c>
      <c r="J4855" t="e">
        <f t="shared" ca="1" si="376"/>
        <v>#N/A</v>
      </c>
      <c r="K4855" s="18" t="e">
        <f t="shared" ca="1" si="375"/>
        <v>#N/A</v>
      </c>
      <c r="L4855" t="e">
        <f ca="1">IF(J4855,Charms!B4855,"")</f>
        <v>#N/A</v>
      </c>
      <c r="M4855" t="str">
        <f t="shared" ca="1" si="377"/>
        <v>-</v>
      </c>
      <c r="N4855" s="18" t="str">
        <f t="shared" si="378"/>
        <v>K1622:L5000</v>
      </c>
      <c r="O4855" t="str">
        <f t="shared" si="379"/>
        <v>A1622:A4855</v>
      </c>
    </row>
    <row r="4856" spans="1:15">
      <c r="A4856" s="18">
        <f>Charms!K4856</f>
        <v>0</v>
      </c>
      <c r="B4856">
        <f>Charms!B4856</f>
        <v>0</v>
      </c>
      <c r="C4856" t="b">
        <f ca="1">OR(Values!$S$98&gt;=Charms!M4856,IFERROR(Charms!J4856=OFFSET(Values!$A$24,MATCH("S",Values!$T$25:$T$50,0),0),FALSE))</f>
        <v>1</v>
      </c>
      <c r="D4856" t="e">
        <f>VLOOKUP(Charms!J4856,Values!$A$11:$S$59,19,0)&gt;=Charms!L4856</f>
        <v>#N/A</v>
      </c>
      <c r="E4856" t="e">
        <f>OR(ISBLANK(Charms!I4856),(VLOOKUP(Values!$S$6,Castes!$B$2:$F$25,4,0)=Charms!I4856))</f>
        <v>#N/A</v>
      </c>
      <c r="J4856" t="e">
        <f t="shared" ca="1" si="376"/>
        <v>#N/A</v>
      </c>
      <c r="K4856" s="18" t="e">
        <f t="shared" ca="1" si="375"/>
        <v>#N/A</v>
      </c>
      <c r="L4856" t="e">
        <f ca="1">IF(J4856,Charms!B4856,"")</f>
        <v>#N/A</v>
      </c>
      <c r="M4856" t="str">
        <f t="shared" ca="1" si="377"/>
        <v>-</v>
      </c>
      <c r="N4856" s="18" t="str">
        <f t="shared" si="378"/>
        <v>K1622:L5000</v>
      </c>
      <c r="O4856" t="str">
        <f t="shared" si="379"/>
        <v>A1622:A4856</v>
      </c>
    </row>
    <row r="4857" spans="1:15">
      <c r="A4857" s="18">
        <f>Charms!K4857</f>
        <v>0</v>
      </c>
      <c r="B4857">
        <f>Charms!B4857</f>
        <v>0</v>
      </c>
      <c r="C4857" t="b">
        <f ca="1">OR(Values!$S$98&gt;=Charms!M4857,IFERROR(Charms!J4857=OFFSET(Values!$A$24,MATCH("S",Values!$T$25:$T$50,0),0),FALSE))</f>
        <v>1</v>
      </c>
      <c r="D4857" t="e">
        <f>VLOOKUP(Charms!J4857,Values!$A$11:$S$59,19,0)&gt;=Charms!L4857</f>
        <v>#N/A</v>
      </c>
      <c r="E4857" t="e">
        <f>OR(ISBLANK(Charms!I4857),(VLOOKUP(Values!$S$6,Castes!$B$2:$F$25,4,0)=Charms!I4857))</f>
        <v>#N/A</v>
      </c>
      <c r="J4857" t="e">
        <f t="shared" ca="1" si="376"/>
        <v>#N/A</v>
      </c>
      <c r="K4857" s="18" t="e">
        <f t="shared" ca="1" si="375"/>
        <v>#N/A</v>
      </c>
      <c r="L4857" t="e">
        <f ca="1">IF(J4857,Charms!B4857,"")</f>
        <v>#N/A</v>
      </c>
      <c r="M4857" t="str">
        <f t="shared" ca="1" si="377"/>
        <v>-</v>
      </c>
      <c r="N4857" s="18" t="str">
        <f t="shared" si="378"/>
        <v>K1622:L5000</v>
      </c>
      <c r="O4857" t="str">
        <f t="shared" si="379"/>
        <v>A1622:A4857</v>
      </c>
    </row>
    <row r="4858" spans="1:15">
      <c r="A4858" s="18">
        <f>Charms!K4858</f>
        <v>0</v>
      </c>
      <c r="B4858">
        <f>Charms!B4858</f>
        <v>0</v>
      </c>
      <c r="C4858" t="b">
        <f ca="1">OR(Values!$S$98&gt;=Charms!M4858,IFERROR(Charms!J4858=OFFSET(Values!$A$24,MATCH("S",Values!$T$25:$T$50,0),0),FALSE))</f>
        <v>1</v>
      </c>
      <c r="D4858" t="e">
        <f>VLOOKUP(Charms!J4858,Values!$A$11:$S$59,19,0)&gt;=Charms!L4858</f>
        <v>#N/A</v>
      </c>
      <c r="E4858" t="e">
        <f>OR(ISBLANK(Charms!I4858),(VLOOKUP(Values!$S$6,Castes!$B$2:$F$25,4,0)=Charms!I4858))</f>
        <v>#N/A</v>
      </c>
      <c r="J4858" t="e">
        <f t="shared" ca="1" si="376"/>
        <v>#N/A</v>
      </c>
      <c r="K4858" s="18" t="e">
        <f t="shared" ca="1" si="375"/>
        <v>#N/A</v>
      </c>
      <c r="L4858" t="e">
        <f ca="1">IF(J4858,Charms!B4858,"")</f>
        <v>#N/A</v>
      </c>
      <c r="M4858" t="str">
        <f t="shared" ca="1" si="377"/>
        <v>-</v>
      </c>
      <c r="N4858" s="18" t="str">
        <f t="shared" si="378"/>
        <v>K1622:L5000</v>
      </c>
      <c r="O4858" t="str">
        <f t="shared" si="379"/>
        <v>A1622:A4858</v>
      </c>
    </row>
    <row r="4859" spans="1:15">
      <c r="A4859" s="18">
        <f>Charms!K4859</f>
        <v>0</v>
      </c>
      <c r="B4859">
        <f>Charms!B4859</f>
        <v>0</v>
      </c>
      <c r="C4859" t="b">
        <f ca="1">OR(Values!$S$98&gt;=Charms!M4859,IFERROR(Charms!J4859=OFFSET(Values!$A$24,MATCH("S",Values!$T$25:$T$50,0),0),FALSE))</f>
        <v>1</v>
      </c>
      <c r="D4859" t="e">
        <f>VLOOKUP(Charms!J4859,Values!$A$11:$S$59,19,0)&gt;=Charms!L4859</f>
        <v>#N/A</v>
      </c>
      <c r="E4859" t="e">
        <f>OR(ISBLANK(Charms!I4859),(VLOOKUP(Values!$S$6,Castes!$B$2:$F$25,4,0)=Charms!I4859))</f>
        <v>#N/A</v>
      </c>
      <c r="J4859" t="e">
        <f t="shared" ca="1" si="376"/>
        <v>#N/A</v>
      </c>
      <c r="K4859" s="18" t="e">
        <f t="shared" ca="1" si="375"/>
        <v>#N/A</v>
      </c>
      <c r="L4859" t="e">
        <f ca="1">IF(J4859,Charms!B4859,"")</f>
        <v>#N/A</v>
      </c>
      <c r="M4859" t="str">
        <f t="shared" ca="1" si="377"/>
        <v>-</v>
      </c>
      <c r="N4859" s="18" t="str">
        <f t="shared" si="378"/>
        <v>K1622:L5000</v>
      </c>
      <c r="O4859" t="str">
        <f t="shared" si="379"/>
        <v>A1622:A4859</v>
      </c>
    </row>
    <row r="4860" spans="1:15">
      <c r="A4860" s="18">
        <f>Charms!K4860</f>
        <v>0</v>
      </c>
      <c r="B4860">
        <f>Charms!B4860</f>
        <v>0</v>
      </c>
      <c r="C4860" t="b">
        <f ca="1">OR(Values!$S$98&gt;=Charms!M4860,IFERROR(Charms!J4860=OFFSET(Values!$A$24,MATCH("S",Values!$T$25:$T$50,0),0),FALSE))</f>
        <v>1</v>
      </c>
      <c r="D4860" t="e">
        <f>VLOOKUP(Charms!J4860,Values!$A$11:$S$59,19,0)&gt;=Charms!L4860</f>
        <v>#N/A</v>
      </c>
      <c r="E4860" t="e">
        <f>OR(ISBLANK(Charms!I4860),(VLOOKUP(Values!$S$6,Castes!$B$2:$F$25,4,0)=Charms!I4860))</f>
        <v>#N/A</v>
      </c>
      <c r="J4860" t="e">
        <f t="shared" ca="1" si="376"/>
        <v>#N/A</v>
      </c>
      <c r="K4860" s="18" t="e">
        <f t="shared" ca="1" si="375"/>
        <v>#N/A</v>
      </c>
      <c r="L4860" t="e">
        <f ca="1">IF(J4860,Charms!B4860,"")</f>
        <v>#N/A</v>
      </c>
      <c r="M4860" t="str">
        <f t="shared" ca="1" si="377"/>
        <v>-</v>
      </c>
      <c r="N4860" s="18" t="str">
        <f t="shared" si="378"/>
        <v>K1622:L5000</v>
      </c>
      <c r="O4860" t="str">
        <f t="shared" si="379"/>
        <v>A1622:A4860</v>
      </c>
    </row>
    <row r="4861" spans="1:15">
      <c r="A4861" s="18">
        <f>Charms!K4861</f>
        <v>0</v>
      </c>
      <c r="B4861">
        <f>Charms!B4861</f>
        <v>0</v>
      </c>
      <c r="C4861" t="b">
        <f ca="1">OR(Values!$S$98&gt;=Charms!M4861,IFERROR(Charms!J4861=OFFSET(Values!$A$24,MATCH("S",Values!$T$25:$T$50,0),0),FALSE))</f>
        <v>1</v>
      </c>
      <c r="D4861" t="e">
        <f>VLOOKUP(Charms!J4861,Values!$A$11:$S$59,19,0)&gt;=Charms!L4861</f>
        <v>#N/A</v>
      </c>
      <c r="E4861" t="e">
        <f>OR(ISBLANK(Charms!I4861),(VLOOKUP(Values!$S$6,Castes!$B$2:$F$25,4,0)=Charms!I4861))</f>
        <v>#N/A</v>
      </c>
      <c r="J4861" t="e">
        <f t="shared" ca="1" si="376"/>
        <v>#N/A</v>
      </c>
      <c r="K4861" s="18" t="e">
        <f t="shared" ca="1" si="375"/>
        <v>#N/A</v>
      </c>
      <c r="L4861" t="e">
        <f ca="1">IF(J4861,Charms!B4861,"")</f>
        <v>#N/A</v>
      </c>
      <c r="M4861" t="str">
        <f t="shared" ca="1" si="377"/>
        <v>-</v>
      </c>
      <c r="N4861" s="18" t="str">
        <f t="shared" si="378"/>
        <v>K1622:L5000</v>
      </c>
      <c r="O4861" t="str">
        <f t="shared" si="379"/>
        <v>A1622:A4861</v>
      </c>
    </row>
    <row r="4862" spans="1:15">
      <c r="A4862" s="18">
        <f>Charms!K4862</f>
        <v>0</v>
      </c>
      <c r="B4862">
        <f>Charms!B4862</f>
        <v>0</v>
      </c>
      <c r="C4862" t="b">
        <f ca="1">OR(Values!$S$98&gt;=Charms!M4862,IFERROR(Charms!J4862=OFFSET(Values!$A$24,MATCH("S",Values!$T$25:$T$50,0),0),FALSE))</f>
        <v>1</v>
      </c>
      <c r="D4862" t="e">
        <f>VLOOKUP(Charms!J4862,Values!$A$11:$S$59,19,0)&gt;=Charms!L4862</f>
        <v>#N/A</v>
      </c>
      <c r="E4862" t="e">
        <f>OR(ISBLANK(Charms!I4862),(VLOOKUP(Values!$S$6,Castes!$B$2:$F$25,4,0)=Charms!I4862))</f>
        <v>#N/A</v>
      </c>
      <c r="J4862" t="e">
        <f t="shared" ca="1" si="376"/>
        <v>#N/A</v>
      </c>
      <c r="K4862" s="18" t="e">
        <f t="shared" ca="1" si="375"/>
        <v>#N/A</v>
      </c>
      <c r="L4862" t="e">
        <f ca="1">IF(J4862,Charms!B4862,"")</f>
        <v>#N/A</v>
      </c>
      <c r="M4862" t="str">
        <f t="shared" ca="1" si="377"/>
        <v>-</v>
      </c>
      <c r="N4862" s="18" t="str">
        <f t="shared" si="378"/>
        <v>K1622:L5000</v>
      </c>
      <c r="O4862" t="str">
        <f t="shared" si="379"/>
        <v>A1622:A4862</v>
      </c>
    </row>
    <row r="4863" spans="1:15">
      <c r="A4863" s="18">
        <f>Charms!K4863</f>
        <v>0</v>
      </c>
      <c r="B4863">
        <f>Charms!B4863</f>
        <v>0</v>
      </c>
      <c r="C4863" t="b">
        <f ca="1">OR(Values!$S$98&gt;=Charms!M4863,IFERROR(Charms!J4863=OFFSET(Values!$A$24,MATCH("S",Values!$T$25:$T$50,0),0),FALSE))</f>
        <v>1</v>
      </c>
      <c r="D4863" t="e">
        <f>VLOOKUP(Charms!J4863,Values!$A$11:$S$59,19,0)&gt;=Charms!L4863</f>
        <v>#N/A</v>
      </c>
      <c r="E4863" t="e">
        <f>OR(ISBLANK(Charms!I4863),(VLOOKUP(Values!$S$6,Castes!$B$2:$F$25,4,0)=Charms!I4863))</f>
        <v>#N/A</v>
      </c>
      <c r="J4863" t="e">
        <f t="shared" ca="1" si="376"/>
        <v>#N/A</v>
      </c>
      <c r="K4863" s="18" t="e">
        <f t="shared" ca="1" si="375"/>
        <v>#N/A</v>
      </c>
      <c r="L4863" t="e">
        <f ca="1">IF(J4863,Charms!B4863,"")</f>
        <v>#N/A</v>
      </c>
      <c r="M4863" t="str">
        <f t="shared" ca="1" si="377"/>
        <v>-</v>
      </c>
      <c r="N4863" s="18" t="str">
        <f t="shared" si="378"/>
        <v>K1622:L5000</v>
      </c>
      <c r="O4863" t="str">
        <f t="shared" si="379"/>
        <v>A1622:A4863</v>
      </c>
    </row>
    <row r="4864" spans="1:15">
      <c r="A4864" s="18">
        <f>Charms!K4864</f>
        <v>0</v>
      </c>
      <c r="B4864">
        <f>Charms!B4864</f>
        <v>0</v>
      </c>
      <c r="C4864" t="b">
        <f ca="1">OR(Values!$S$98&gt;=Charms!M4864,IFERROR(Charms!J4864=OFFSET(Values!$A$24,MATCH("S",Values!$T$25:$T$50,0),0),FALSE))</f>
        <v>1</v>
      </c>
      <c r="D4864" t="e">
        <f>VLOOKUP(Charms!J4864,Values!$A$11:$S$59,19,0)&gt;=Charms!L4864</f>
        <v>#N/A</v>
      </c>
      <c r="E4864" t="e">
        <f>OR(ISBLANK(Charms!I4864),(VLOOKUP(Values!$S$6,Castes!$B$2:$F$25,4,0)=Charms!I4864))</f>
        <v>#N/A</v>
      </c>
      <c r="J4864" t="e">
        <f t="shared" ca="1" si="376"/>
        <v>#N/A</v>
      </c>
      <c r="K4864" s="18" t="e">
        <f t="shared" ca="1" si="375"/>
        <v>#N/A</v>
      </c>
      <c r="L4864" t="e">
        <f ca="1">IF(J4864,Charms!B4864,"")</f>
        <v>#N/A</v>
      </c>
      <c r="M4864" t="str">
        <f t="shared" ca="1" si="377"/>
        <v>-</v>
      </c>
      <c r="N4864" s="18" t="str">
        <f t="shared" si="378"/>
        <v>K1622:L5000</v>
      </c>
      <c r="O4864" t="str">
        <f t="shared" si="379"/>
        <v>A1622:A4864</v>
      </c>
    </row>
    <row r="4865" spans="1:15">
      <c r="A4865" s="18">
        <f>Charms!K4865</f>
        <v>0</v>
      </c>
      <c r="B4865">
        <f>Charms!B4865</f>
        <v>0</v>
      </c>
      <c r="C4865" t="b">
        <f ca="1">OR(Values!$S$98&gt;=Charms!M4865,IFERROR(Charms!J4865=OFFSET(Values!$A$24,MATCH("S",Values!$T$25:$T$50,0),0),FALSE))</f>
        <v>1</v>
      </c>
      <c r="D4865" t="e">
        <f>VLOOKUP(Charms!J4865,Values!$A$11:$S$59,19,0)&gt;=Charms!L4865</f>
        <v>#N/A</v>
      </c>
      <c r="E4865" t="e">
        <f>OR(ISBLANK(Charms!I4865),(VLOOKUP(Values!$S$6,Castes!$B$2:$F$25,4,0)=Charms!I4865))</f>
        <v>#N/A</v>
      </c>
      <c r="J4865" t="e">
        <f t="shared" ca="1" si="376"/>
        <v>#N/A</v>
      </c>
      <c r="K4865" s="18" t="e">
        <f t="shared" ca="1" si="375"/>
        <v>#N/A</v>
      </c>
      <c r="L4865" t="e">
        <f ca="1">IF(J4865,Charms!B4865,"")</f>
        <v>#N/A</v>
      </c>
      <c r="M4865" t="str">
        <f t="shared" ca="1" si="377"/>
        <v>-</v>
      </c>
      <c r="N4865" s="18" t="str">
        <f t="shared" si="378"/>
        <v>K1622:L5000</v>
      </c>
      <c r="O4865" t="str">
        <f t="shared" si="379"/>
        <v>A1622:A4865</v>
      </c>
    </row>
    <row r="4866" spans="1:15">
      <c r="A4866" s="18">
        <f>Charms!K4866</f>
        <v>0</v>
      </c>
      <c r="B4866">
        <f>Charms!B4866</f>
        <v>0</v>
      </c>
      <c r="C4866" t="b">
        <f ca="1">OR(Values!$S$98&gt;=Charms!M4866,IFERROR(Charms!J4866=OFFSET(Values!$A$24,MATCH("S",Values!$T$25:$T$50,0),0),FALSE))</f>
        <v>1</v>
      </c>
      <c r="D4866" t="e">
        <f>VLOOKUP(Charms!J4866,Values!$A$11:$S$59,19,0)&gt;=Charms!L4866</f>
        <v>#N/A</v>
      </c>
      <c r="E4866" t="e">
        <f>OR(ISBLANK(Charms!I4866),(VLOOKUP(Values!$S$6,Castes!$B$2:$F$25,4,0)=Charms!I4866))</f>
        <v>#N/A</v>
      </c>
      <c r="J4866" t="e">
        <f t="shared" ca="1" si="376"/>
        <v>#N/A</v>
      </c>
      <c r="K4866" s="18" t="e">
        <f t="shared" ref="K4866:K4929" ca="1" si="380">IF(L4866="","",COUNTIF(INDIRECT("J"&amp;MATCH(A4866,A:A,0)&amp;":J"&amp;ROW()),J4866))</f>
        <v>#N/A</v>
      </c>
      <c r="L4866" t="e">
        <f ca="1">IF(J4866,Charms!B4866,"")</f>
        <v>#N/A</v>
      </c>
      <c r="M4866" t="str">
        <f t="shared" ca="1" si="377"/>
        <v>-</v>
      </c>
      <c r="N4866" s="18" t="str">
        <f t="shared" si="378"/>
        <v>K1622:L5000</v>
      </c>
      <c r="O4866" t="str">
        <f t="shared" si="379"/>
        <v>A1622:A4866</v>
      </c>
    </row>
    <row r="4867" spans="1:15">
      <c r="A4867" s="18">
        <f>Charms!K4867</f>
        <v>0</v>
      </c>
      <c r="B4867">
        <f>Charms!B4867</f>
        <v>0</v>
      </c>
      <c r="C4867" t="b">
        <f ca="1">OR(Values!$S$98&gt;=Charms!M4867,IFERROR(Charms!J4867=OFFSET(Values!$A$24,MATCH("S",Values!$T$25:$T$50,0),0),FALSE))</f>
        <v>1</v>
      </c>
      <c r="D4867" t="e">
        <f>VLOOKUP(Charms!J4867,Values!$A$11:$S$59,19,0)&gt;=Charms!L4867</f>
        <v>#N/A</v>
      </c>
      <c r="E4867" t="e">
        <f>OR(ISBLANK(Charms!I4867),(VLOOKUP(Values!$S$6,Castes!$B$2:$F$25,4,0)=Charms!I4867))</f>
        <v>#N/A</v>
      </c>
      <c r="J4867" t="e">
        <f t="shared" ref="J4867:J4930" ca="1" si="381">(C4867+D4867+E4867+F4867+G4867+H4867+I4867)=3</f>
        <v>#N/A</v>
      </c>
      <c r="K4867" s="18" t="e">
        <f t="shared" ca="1" si="380"/>
        <v>#N/A</v>
      </c>
      <c r="L4867" t="e">
        <f ca="1">IF(J4867,Charms!B4867,"")</f>
        <v>#N/A</v>
      </c>
      <c r="M4867" t="str">
        <f t="shared" ref="M4867:M4930" ca="1" si="382">IFERROR(VLOOKUP(COUNTIF(INDIRECT(O4867),A4867),INDIRECT(N4867),2,0),"-")</f>
        <v>-</v>
      </c>
      <c r="N4867" s="18" t="str">
        <f t="shared" ref="N4867:N4930" si="383">"K"&amp;MATCH(A4867,A:A,0)&amp;":L"&amp;(MATCH(A4867,A:A,0)+COUNTIF(A:A,A4867)-1)</f>
        <v>K1622:L5000</v>
      </c>
      <c r="O4867" t="str">
        <f t="shared" ref="O4867:O4930" si="384">"A"&amp;MATCH(A4867,A:A,0)&amp;":A"&amp;ROW()</f>
        <v>A1622:A4867</v>
      </c>
    </row>
    <row r="4868" spans="1:15">
      <c r="A4868" s="18">
        <f>Charms!K4868</f>
        <v>0</v>
      </c>
      <c r="B4868">
        <f>Charms!B4868</f>
        <v>0</v>
      </c>
      <c r="C4868" t="b">
        <f ca="1">OR(Values!$S$98&gt;=Charms!M4868,IFERROR(Charms!J4868=OFFSET(Values!$A$24,MATCH("S",Values!$T$25:$T$50,0),0),FALSE))</f>
        <v>1</v>
      </c>
      <c r="D4868" t="e">
        <f>VLOOKUP(Charms!J4868,Values!$A$11:$S$59,19,0)&gt;=Charms!L4868</f>
        <v>#N/A</v>
      </c>
      <c r="E4868" t="e">
        <f>OR(ISBLANK(Charms!I4868),(VLOOKUP(Values!$S$6,Castes!$B$2:$F$25,4,0)=Charms!I4868))</f>
        <v>#N/A</v>
      </c>
      <c r="J4868" t="e">
        <f t="shared" ca="1" si="381"/>
        <v>#N/A</v>
      </c>
      <c r="K4868" s="18" t="e">
        <f t="shared" ca="1" si="380"/>
        <v>#N/A</v>
      </c>
      <c r="L4868" t="e">
        <f ca="1">IF(J4868,Charms!B4868,"")</f>
        <v>#N/A</v>
      </c>
      <c r="M4868" t="str">
        <f t="shared" ca="1" si="382"/>
        <v>-</v>
      </c>
      <c r="N4868" s="18" t="str">
        <f t="shared" si="383"/>
        <v>K1622:L5000</v>
      </c>
      <c r="O4868" t="str">
        <f t="shared" si="384"/>
        <v>A1622:A4868</v>
      </c>
    </row>
    <row r="4869" spans="1:15">
      <c r="A4869" s="18">
        <f>Charms!K4869</f>
        <v>0</v>
      </c>
      <c r="B4869">
        <f>Charms!B4869</f>
        <v>0</v>
      </c>
      <c r="C4869" t="b">
        <f ca="1">OR(Values!$S$98&gt;=Charms!M4869,IFERROR(Charms!J4869=OFFSET(Values!$A$24,MATCH("S",Values!$T$25:$T$50,0),0),FALSE))</f>
        <v>1</v>
      </c>
      <c r="D4869" t="e">
        <f>VLOOKUP(Charms!J4869,Values!$A$11:$S$59,19,0)&gt;=Charms!L4869</f>
        <v>#N/A</v>
      </c>
      <c r="E4869" t="e">
        <f>OR(ISBLANK(Charms!I4869),(VLOOKUP(Values!$S$6,Castes!$B$2:$F$25,4,0)=Charms!I4869))</f>
        <v>#N/A</v>
      </c>
      <c r="J4869" t="e">
        <f t="shared" ca="1" si="381"/>
        <v>#N/A</v>
      </c>
      <c r="K4869" s="18" t="e">
        <f t="shared" ca="1" si="380"/>
        <v>#N/A</v>
      </c>
      <c r="L4869" t="e">
        <f ca="1">IF(J4869,Charms!B4869,"")</f>
        <v>#N/A</v>
      </c>
      <c r="M4869" t="str">
        <f t="shared" ca="1" si="382"/>
        <v>-</v>
      </c>
      <c r="N4869" s="18" t="str">
        <f t="shared" si="383"/>
        <v>K1622:L5000</v>
      </c>
      <c r="O4869" t="str">
        <f t="shared" si="384"/>
        <v>A1622:A4869</v>
      </c>
    </row>
    <row r="4870" spans="1:15">
      <c r="A4870" s="18">
        <f>Charms!K4870</f>
        <v>0</v>
      </c>
      <c r="B4870">
        <f>Charms!B4870</f>
        <v>0</v>
      </c>
      <c r="C4870" t="b">
        <f ca="1">OR(Values!$S$98&gt;=Charms!M4870,IFERROR(Charms!J4870=OFFSET(Values!$A$24,MATCH("S",Values!$T$25:$T$50,0),0),FALSE))</f>
        <v>1</v>
      </c>
      <c r="D4870" t="e">
        <f>VLOOKUP(Charms!J4870,Values!$A$11:$S$59,19,0)&gt;=Charms!L4870</f>
        <v>#N/A</v>
      </c>
      <c r="E4870" t="e">
        <f>OR(ISBLANK(Charms!I4870),(VLOOKUP(Values!$S$6,Castes!$B$2:$F$25,4,0)=Charms!I4870))</f>
        <v>#N/A</v>
      </c>
      <c r="J4870" t="e">
        <f t="shared" ca="1" si="381"/>
        <v>#N/A</v>
      </c>
      <c r="K4870" s="18" t="e">
        <f t="shared" ca="1" si="380"/>
        <v>#N/A</v>
      </c>
      <c r="L4870" t="e">
        <f ca="1">IF(J4870,Charms!B4870,"")</f>
        <v>#N/A</v>
      </c>
      <c r="M4870" t="str">
        <f t="shared" ca="1" si="382"/>
        <v>-</v>
      </c>
      <c r="N4870" s="18" t="str">
        <f t="shared" si="383"/>
        <v>K1622:L5000</v>
      </c>
      <c r="O4870" t="str">
        <f t="shared" si="384"/>
        <v>A1622:A4870</v>
      </c>
    </row>
    <row r="4871" spans="1:15">
      <c r="A4871" s="18">
        <f>Charms!K4871</f>
        <v>0</v>
      </c>
      <c r="B4871">
        <f>Charms!B4871</f>
        <v>0</v>
      </c>
      <c r="C4871" t="b">
        <f ca="1">OR(Values!$S$98&gt;=Charms!M4871,IFERROR(Charms!J4871=OFFSET(Values!$A$24,MATCH("S",Values!$T$25:$T$50,0),0),FALSE))</f>
        <v>1</v>
      </c>
      <c r="D4871" t="e">
        <f>VLOOKUP(Charms!J4871,Values!$A$11:$S$59,19,0)&gt;=Charms!L4871</f>
        <v>#N/A</v>
      </c>
      <c r="E4871" t="e">
        <f>OR(ISBLANK(Charms!I4871),(VLOOKUP(Values!$S$6,Castes!$B$2:$F$25,4,0)=Charms!I4871))</f>
        <v>#N/A</v>
      </c>
      <c r="J4871" t="e">
        <f t="shared" ca="1" si="381"/>
        <v>#N/A</v>
      </c>
      <c r="K4871" s="18" t="e">
        <f t="shared" ca="1" si="380"/>
        <v>#N/A</v>
      </c>
      <c r="L4871" t="e">
        <f ca="1">IF(J4871,Charms!B4871,"")</f>
        <v>#N/A</v>
      </c>
      <c r="M4871" t="str">
        <f t="shared" ca="1" si="382"/>
        <v>-</v>
      </c>
      <c r="N4871" s="18" t="str">
        <f t="shared" si="383"/>
        <v>K1622:L5000</v>
      </c>
      <c r="O4871" t="str">
        <f t="shared" si="384"/>
        <v>A1622:A4871</v>
      </c>
    </row>
    <row r="4872" spans="1:15">
      <c r="A4872" s="18">
        <f>Charms!K4872</f>
        <v>0</v>
      </c>
      <c r="B4872">
        <f>Charms!B4872</f>
        <v>0</v>
      </c>
      <c r="C4872" t="b">
        <f ca="1">OR(Values!$S$98&gt;=Charms!M4872,IFERROR(Charms!J4872=OFFSET(Values!$A$24,MATCH("S",Values!$T$25:$T$50,0),0),FALSE))</f>
        <v>1</v>
      </c>
      <c r="D4872" t="e">
        <f>VLOOKUP(Charms!J4872,Values!$A$11:$S$59,19,0)&gt;=Charms!L4872</f>
        <v>#N/A</v>
      </c>
      <c r="E4872" t="e">
        <f>OR(ISBLANK(Charms!I4872),(VLOOKUP(Values!$S$6,Castes!$B$2:$F$25,4,0)=Charms!I4872))</f>
        <v>#N/A</v>
      </c>
      <c r="J4872" t="e">
        <f t="shared" ca="1" si="381"/>
        <v>#N/A</v>
      </c>
      <c r="K4872" s="18" t="e">
        <f t="shared" ca="1" si="380"/>
        <v>#N/A</v>
      </c>
      <c r="L4872" t="e">
        <f ca="1">IF(J4872,Charms!B4872,"")</f>
        <v>#N/A</v>
      </c>
      <c r="M4872" t="str">
        <f t="shared" ca="1" si="382"/>
        <v>-</v>
      </c>
      <c r="N4872" s="18" t="str">
        <f t="shared" si="383"/>
        <v>K1622:L5000</v>
      </c>
      <c r="O4872" t="str">
        <f t="shared" si="384"/>
        <v>A1622:A4872</v>
      </c>
    </row>
    <row r="4873" spans="1:15">
      <c r="A4873" s="18">
        <f>Charms!K4873</f>
        <v>0</v>
      </c>
      <c r="B4873">
        <f>Charms!B4873</f>
        <v>0</v>
      </c>
      <c r="C4873" t="b">
        <f ca="1">OR(Values!$S$98&gt;=Charms!M4873,IFERROR(Charms!J4873=OFFSET(Values!$A$24,MATCH("S",Values!$T$25:$T$50,0),0),FALSE))</f>
        <v>1</v>
      </c>
      <c r="D4873" t="e">
        <f>VLOOKUP(Charms!J4873,Values!$A$11:$S$59,19,0)&gt;=Charms!L4873</f>
        <v>#N/A</v>
      </c>
      <c r="E4873" t="e">
        <f>OR(ISBLANK(Charms!I4873),(VLOOKUP(Values!$S$6,Castes!$B$2:$F$25,4,0)=Charms!I4873))</f>
        <v>#N/A</v>
      </c>
      <c r="J4873" t="e">
        <f t="shared" ca="1" si="381"/>
        <v>#N/A</v>
      </c>
      <c r="K4873" s="18" t="e">
        <f t="shared" ca="1" si="380"/>
        <v>#N/A</v>
      </c>
      <c r="L4873" t="e">
        <f ca="1">IF(J4873,Charms!B4873,"")</f>
        <v>#N/A</v>
      </c>
      <c r="M4873" t="str">
        <f t="shared" ca="1" si="382"/>
        <v>-</v>
      </c>
      <c r="N4873" s="18" t="str">
        <f t="shared" si="383"/>
        <v>K1622:L5000</v>
      </c>
      <c r="O4873" t="str">
        <f t="shared" si="384"/>
        <v>A1622:A4873</v>
      </c>
    </row>
    <row r="4874" spans="1:15">
      <c r="A4874" s="18">
        <f>Charms!K4874</f>
        <v>0</v>
      </c>
      <c r="B4874">
        <f>Charms!B4874</f>
        <v>0</v>
      </c>
      <c r="C4874" t="b">
        <f ca="1">OR(Values!$S$98&gt;=Charms!M4874,IFERROR(Charms!J4874=OFFSET(Values!$A$24,MATCH("S",Values!$T$25:$T$50,0),0),FALSE))</f>
        <v>1</v>
      </c>
      <c r="D4874" t="e">
        <f>VLOOKUP(Charms!J4874,Values!$A$11:$S$59,19,0)&gt;=Charms!L4874</f>
        <v>#N/A</v>
      </c>
      <c r="E4874" t="e">
        <f>OR(ISBLANK(Charms!I4874),(VLOOKUP(Values!$S$6,Castes!$B$2:$F$25,4,0)=Charms!I4874))</f>
        <v>#N/A</v>
      </c>
      <c r="J4874" t="e">
        <f t="shared" ca="1" si="381"/>
        <v>#N/A</v>
      </c>
      <c r="K4874" s="18" t="e">
        <f t="shared" ca="1" si="380"/>
        <v>#N/A</v>
      </c>
      <c r="L4874" t="e">
        <f ca="1">IF(J4874,Charms!B4874,"")</f>
        <v>#N/A</v>
      </c>
      <c r="M4874" t="str">
        <f t="shared" ca="1" si="382"/>
        <v>-</v>
      </c>
      <c r="N4874" s="18" t="str">
        <f t="shared" si="383"/>
        <v>K1622:L5000</v>
      </c>
      <c r="O4874" t="str">
        <f t="shared" si="384"/>
        <v>A1622:A4874</v>
      </c>
    </row>
    <row r="4875" spans="1:15">
      <c r="A4875" s="18">
        <f>Charms!K4875</f>
        <v>0</v>
      </c>
      <c r="B4875">
        <f>Charms!B4875</f>
        <v>0</v>
      </c>
      <c r="C4875" t="b">
        <f ca="1">OR(Values!$S$98&gt;=Charms!M4875,IFERROR(Charms!J4875=OFFSET(Values!$A$24,MATCH("S",Values!$T$25:$T$50,0),0),FALSE))</f>
        <v>1</v>
      </c>
      <c r="D4875" t="e">
        <f>VLOOKUP(Charms!J4875,Values!$A$11:$S$59,19,0)&gt;=Charms!L4875</f>
        <v>#N/A</v>
      </c>
      <c r="E4875" t="e">
        <f>OR(ISBLANK(Charms!I4875),(VLOOKUP(Values!$S$6,Castes!$B$2:$F$25,4,0)=Charms!I4875))</f>
        <v>#N/A</v>
      </c>
      <c r="J4875" t="e">
        <f t="shared" ca="1" si="381"/>
        <v>#N/A</v>
      </c>
      <c r="K4875" s="18" t="e">
        <f t="shared" ca="1" si="380"/>
        <v>#N/A</v>
      </c>
      <c r="L4875" t="e">
        <f ca="1">IF(J4875,Charms!B4875,"")</f>
        <v>#N/A</v>
      </c>
      <c r="M4875" t="str">
        <f t="shared" ca="1" si="382"/>
        <v>-</v>
      </c>
      <c r="N4875" s="18" t="str">
        <f t="shared" si="383"/>
        <v>K1622:L5000</v>
      </c>
      <c r="O4875" t="str">
        <f t="shared" si="384"/>
        <v>A1622:A4875</v>
      </c>
    </row>
    <row r="4876" spans="1:15">
      <c r="A4876" s="18">
        <f>Charms!K4876</f>
        <v>0</v>
      </c>
      <c r="B4876">
        <f>Charms!B4876</f>
        <v>0</v>
      </c>
      <c r="C4876" t="b">
        <f ca="1">OR(Values!$S$98&gt;=Charms!M4876,IFERROR(Charms!J4876=OFFSET(Values!$A$24,MATCH("S",Values!$T$25:$T$50,0),0),FALSE))</f>
        <v>1</v>
      </c>
      <c r="D4876" t="e">
        <f>VLOOKUP(Charms!J4876,Values!$A$11:$S$59,19,0)&gt;=Charms!L4876</f>
        <v>#N/A</v>
      </c>
      <c r="E4876" t="e">
        <f>OR(ISBLANK(Charms!I4876),(VLOOKUP(Values!$S$6,Castes!$B$2:$F$25,4,0)=Charms!I4876))</f>
        <v>#N/A</v>
      </c>
      <c r="J4876" t="e">
        <f t="shared" ca="1" si="381"/>
        <v>#N/A</v>
      </c>
      <c r="K4876" s="18" t="e">
        <f t="shared" ca="1" si="380"/>
        <v>#N/A</v>
      </c>
      <c r="L4876" t="e">
        <f ca="1">IF(J4876,Charms!B4876,"")</f>
        <v>#N/A</v>
      </c>
      <c r="M4876" t="str">
        <f t="shared" ca="1" si="382"/>
        <v>-</v>
      </c>
      <c r="N4876" s="18" t="str">
        <f t="shared" si="383"/>
        <v>K1622:L5000</v>
      </c>
      <c r="O4876" t="str">
        <f t="shared" si="384"/>
        <v>A1622:A4876</v>
      </c>
    </row>
    <row r="4877" spans="1:15">
      <c r="A4877" s="18">
        <f>Charms!K4877</f>
        <v>0</v>
      </c>
      <c r="B4877">
        <f>Charms!B4877</f>
        <v>0</v>
      </c>
      <c r="C4877" t="b">
        <f ca="1">OR(Values!$S$98&gt;=Charms!M4877,IFERROR(Charms!J4877=OFFSET(Values!$A$24,MATCH("S",Values!$T$25:$T$50,0),0),FALSE))</f>
        <v>1</v>
      </c>
      <c r="D4877" t="e">
        <f>VLOOKUP(Charms!J4877,Values!$A$11:$S$59,19,0)&gt;=Charms!L4877</f>
        <v>#N/A</v>
      </c>
      <c r="E4877" t="e">
        <f>OR(ISBLANK(Charms!I4877),(VLOOKUP(Values!$S$6,Castes!$B$2:$F$25,4,0)=Charms!I4877))</f>
        <v>#N/A</v>
      </c>
      <c r="J4877" t="e">
        <f t="shared" ca="1" si="381"/>
        <v>#N/A</v>
      </c>
      <c r="K4877" s="18" t="e">
        <f t="shared" ca="1" si="380"/>
        <v>#N/A</v>
      </c>
      <c r="L4877" t="e">
        <f ca="1">IF(J4877,Charms!B4877,"")</f>
        <v>#N/A</v>
      </c>
      <c r="M4877" t="str">
        <f t="shared" ca="1" si="382"/>
        <v>-</v>
      </c>
      <c r="N4877" s="18" t="str">
        <f t="shared" si="383"/>
        <v>K1622:L5000</v>
      </c>
      <c r="O4877" t="str">
        <f t="shared" si="384"/>
        <v>A1622:A4877</v>
      </c>
    </row>
    <row r="4878" spans="1:15">
      <c r="A4878" s="18">
        <f>Charms!K4878</f>
        <v>0</v>
      </c>
      <c r="B4878">
        <f>Charms!B4878</f>
        <v>0</v>
      </c>
      <c r="C4878" t="b">
        <f ca="1">OR(Values!$S$98&gt;=Charms!M4878,IFERROR(Charms!J4878=OFFSET(Values!$A$24,MATCH("S",Values!$T$25:$T$50,0),0),FALSE))</f>
        <v>1</v>
      </c>
      <c r="D4878" t="e">
        <f>VLOOKUP(Charms!J4878,Values!$A$11:$S$59,19,0)&gt;=Charms!L4878</f>
        <v>#N/A</v>
      </c>
      <c r="E4878" t="e">
        <f>OR(ISBLANK(Charms!I4878),(VLOOKUP(Values!$S$6,Castes!$B$2:$F$25,4,0)=Charms!I4878))</f>
        <v>#N/A</v>
      </c>
      <c r="J4878" t="e">
        <f t="shared" ca="1" si="381"/>
        <v>#N/A</v>
      </c>
      <c r="K4878" s="18" t="e">
        <f t="shared" ca="1" si="380"/>
        <v>#N/A</v>
      </c>
      <c r="L4878" t="e">
        <f ca="1">IF(J4878,Charms!B4878,"")</f>
        <v>#N/A</v>
      </c>
      <c r="M4878" t="str">
        <f t="shared" ca="1" si="382"/>
        <v>-</v>
      </c>
      <c r="N4878" s="18" t="str">
        <f t="shared" si="383"/>
        <v>K1622:L5000</v>
      </c>
      <c r="O4878" t="str">
        <f t="shared" si="384"/>
        <v>A1622:A4878</v>
      </c>
    </row>
    <row r="4879" spans="1:15">
      <c r="A4879" s="18">
        <f>Charms!K4879</f>
        <v>0</v>
      </c>
      <c r="B4879">
        <f>Charms!B4879</f>
        <v>0</v>
      </c>
      <c r="C4879" t="b">
        <f ca="1">OR(Values!$S$98&gt;=Charms!M4879,IFERROR(Charms!J4879=OFFSET(Values!$A$24,MATCH("S",Values!$T$25:$T$50,0),0),FALSE))</f>
        <v>1</v>
      </c>
      <c r="D4879" t="e">
        <f>VLOOKUP(Charms!J4879,Values!$A$11:$S$59,19,0)&gt;=Charms!L4879</f>
        <v>#N/A</v>
      </c>
      <c r="E4879" t="e">
        <f>OR(ISBLANK(Charms!I4879),(VLOOKUP(Values!$S$6,Castes!$B$2:$F$25,4,0)=Charms!I4879))</f>
        <v>#N/A</v>
      </c>
      <c r="J4879" t="e">
        <f t="shared" ca="1" si="381"/>
        <v>#N/A</v>
      </c>
      <c r="K4879" s="18" t="e">
        <f t="shared" ca="1" si="380"/>
        <v>#N/A</v>
      </c>
      <c r="L4879" t="e">
        <f ca="1">IF(J4879,Charms!B4879,"")</f>
        <v>#N/A</v>
      </c>
      <c r="M4879" t="str">
        <f t="shared" ca="1" si="382"/>
        <v>-</v>
      </c>
      <c r="N4879" s="18" t="str">
        <f t="shared" si="383"/>
        <v>K1622:L5000</v>
      </c>
      <c r="O4879" t="str">
        <f t="shared" si="384"/>
        <v>A1622:A4879</v>
      </c>
    </row>
    <row r="4880" spans="1:15">
      <c r="A4880" s="18">
        <f>Charms!K4880</f>
        <v>0</v>
      </c>
      <c r="B4880">
        <f>Charms!B4880</f>
        <v>0</v>
      </c>
      <c r="C4880" t="b">
        <f ca="1">OR(Values!$S$98&gt;=Charms!M4880,IFERROR(Charms!J4880=OFFSET(Values!$A$24,MATCH("S",Values!$T$25:$T$50,0),0),FALSE))</f>
        <v>1</v>
      </c>
      <c r="D4880" t="e">
        <f>VLOOKUP(Charms!J4880,Values!$A$11:$S$59,19,0)&gt;=Charms!L4880</f>
        <v>#N/A</v>
      </c>
      <c r="E4880" t="e">
        <f>OR(ISBLANK(Charms!I4880),(VLOOKUP(Values!$S$6,Castes!$B$2:$F$25,4,0)=Charms!I4880))</f>
        <v>#N/A</v>
      </c>
      <c r="J4880" t="e">
        <f t="shared" ca="1" si="381"/>
        <v>#N/A</v>
      </c>
      <c r="K4880" s="18" t="e">
        <f t="shared" ca="1" si="380"/>
        <v>#N/A</v>
      </c>
      <c r="L4880" t="e">
        <f ca="1">IF(J4880,Charms!B4880,"")</f>
        <v>#N/A</v>
      </c>
      <c r="M4880" t="str">
        <f t="shared" ca="1" si="382"/>
        <v>-</v>
      </c>
      <c r="N4880" s="18" t="str">
        <f t="shared" si="383"/>
        <v>K1622:L5000</v>
      </c>
      <c r="O4880" t="str">
        <f t="shared" si="384"/>
        <v>A1622:A4880</v>
      </c>
    </row>
    <row r="4881" spans="1:15">
      <c r="A4881" s="18">
        <f>Charms!K4881</f>
        <v>0</v>
      </c>
      <c r="B4881">
        <f>Charms!B4881</f>
        <v>0</v>
      </c>
      <c r="C4881" t="b">
        <f ca="1">OR(Values!$S$98&gt;=Charms!M4881,IFERROR(Charms!J4881=OFFSET(Values!$A$24,MATCH("S",Values!$T$25:$T$50,0),0),FALSE))</f>
        <v>1</v>
      </c>
      <c r="D4881" t="e">
        <f>VLOOKUP(Charms!J4881,Values!$A$11:$S$59,19,0)&gt;=Charms!L4881</f>
        <v>#N/A</v>
      </c>
      <c r="E4881" t="e">
        <f>OR(ISBLANK(Charms!I4881),(VLOOKUP(Values!$S$6,Castes!$B$2:$F$25,4,0)=Charms!I4881))</f>
        <v>#N/A</v>
      </c>
      <c r="J4881" t="e">
        <f t="shared" ca="1" si="381"/>
        <v>#N/A</v>
      </c>
      <c r="K4881" s="18" t="e">
        <f t="shared" ca="1" si="380"/>
        <v>#N/A</v>
      </c>
      <c r="L4881" t="e">
        <f ca="1">IF(J4881,Charms!B4881,"")</f>
        <v>#N/A</v>
      </c>
      <c r="M4881" t="str">
        <f t="shared" ca="1" si="382"/>
        <v>-</v>
      </c>
      <c r="N4881" s="18" t="str">
        <f t="shared" si="383"/>
        <v>K1622:L5000</v>
      </c>
      <c r="O4881" t="str">
        <f t="shared" si="384"/>
        <v>A1622:A4881</v>
      </c>
    </row>
    <row r="4882" spans="1:15">
      <c r="A4882" s="18">
        <f>Charms!K4882</f>
        <v>0</v>
      </c>
      <c r="B4882">
        <f>Charms!B4882</f>
        <v>0</v>
      </c>
      <c r="C4882" t="b">
        <f ca="1">OR(Values!$S$98&gt;=Charms!M4882,IFERROR(Charms!J4882=OFFSET(Values!$A$24,MATCH("S",Values!$T$25:$T$50,0),0),FALSE))</f>
        <v>1</v>
      </c>
      <c r="D4882" t="e">
        <f>VLOOKUP(Charms!J4882,Values!$A$11:$S$59,19,0)&gt;=Charms!L4882</f>
        <v>#N/A</v>
      </c>
      <c r="E4882" t="e">
        <f>OR(ISBLANK(Charms!I4882),(VLOOKUP(Values!$S$6,Castes!$B$2:$F$25,4,0)=Charms!I4882))</f>
        <v>#N/A</v>
      </c>
      <c r="J4882" t="e">
        <f t="shared" ca="1" si="381"/>
        <v>#N/A</v>
      </c>
      <c r="K4882" s="18" t="e">
        <f t="shared" ca="1" si="380"/>
        <v>#N/A</v>
      </c>
      <c r="L4882" t="e">
        <f ca="1">IF(J4882,Charms!B4882,"")</f>
        <v>#N/A</v>
      </c>
      <c r="M4882" t="str">
        <f t="shared" ca="1" si="382"/>
        <v>-</v>
      </c>
      <c r="N4882" s="18" t="str">
        <f t="shared" si="383"/>
        <v>K1622:L5000</v>
      </c>
      <c r="O4882" t="str">
        <f t="shared" si="384"/>
        <v>A1622:A4882</v>
      </c>
    </row>
    <row r="4883" spans="1:15">
      <c r="A4883" s="18">
        <f>Charms!K4883</f>
        <v>0</v>
      </c>
      <c r="B4883">
        <f>Charms!B4883</f>
        <v>0</v>
      </c>
      <c r="C4883" t="b">
        <f ca="1">OR(Values!$S$98&gt;=Charms!M4883,IFERROR(Charms!J4883=OFFSET(Values!$A$24,MATCH("S",Values!$T$25:$T$50,0),0),FALSE))</f>
        <v>1</v>
      </c>
      <c r="D4883" t="e">
        <f>VLOOKUP(Charms!J4883,Values!$A$11:$S$59,19,0)&gt;=Charms!L4883</f>
        <v>#N/A</v>
      </c>
      <c r="E4883" t="e">
        <f>OR(ISBLANK(Charms!I4883),(VLOOKUP(Values!$S$6,Castes!$B$2:$F$25,4,0)=Charms!I4883))</f>
        <v>#N/A</v>
      </c>
      <c r="J4883" t="e">
        <f t="shared" ca="1" si="381"/>
        <v>#N/A</v>
      </c>
      <c r="K4883" s="18" t="e">
        <f t="shared" ca="1" si="380"/>
        <v>#N/A</v>
      </c>
      <c r="L4883" t="e">
        <f ca="1">IF(J4883,Charms!B4883,"")</f>
        <v>#N/A</v>
      </c>
      <c r="M4883" t="str">
        <f t="shared" ca="1" si="382"/>
        <v>-</v>
      </c>
      <c r="N4883" s="18" t="str">
        <f t="shared" si="383"/>
        <v>K1622:L5000</v>
      </c>
      <c r="O4883" t="str">
        <f t="shared" si="384"/>
        <v>A1622:A4883</v>
      </c>
    </row>
    <row r="4884" spans="1:15">
      <c r="A4884" s="18">
        <f>Charms!K4884</f>
        <v>0</v>
      </c>
      <c r="B4884">
        <f>Charms!B4884</f>
        <v>0</v>
      </c>
      <c r="C4884" t="b">
        <f ca="1">OR(Values!$S$98&gt;=Charms!M4884,IFERROR(Charms!J4884=OFFSET(Values!$A$24,MATCH("S",Values!$T$25:$T$50,0),0),FALSE))</f>
        <v>1</v>
      </c>
      <c r="D4884" t="e">
        <f>VLOOKUP(Charms!J4884,Values!$A$11:$S$59,19,0)&gt;=Charms!L4884</f>
        <v>#N/A</v>
      </c>
      <c r="E4884" t="e">
        <f>OR(ISBLANK(Charms!I4884),(VLOOKUP(Values!$S$6,Castes!$B$2:$F$25,4,0)=Charms!I4884))</f>
        <v>#N/A</v>
      </c>
      <c r="J4884" t="e">
        <f t="shared" ca="1" si="381"/>
        <v>#N/A</v>
      </c>
      <c r="K4884" s="18" t="e">
        <f t="shared" ca="1" si="380"/>
        <v>#N/A</v>
      </c>
      <c r="L4884" t="e">
        <f ca="1">IF(J4884,Charms!B4884,"")</f>
        <v>#N/A</v>
      </c>
      <c r="M4884" t="str">
        <f t="shared" ca="1" si="382"/>
        <v>-</v>
      </c>
      <c r="N4884" s="18" t="str">
        <f t="shared" si="383"/>
        <v>K1622:L5000</v>
      </c>
      <c r="O4884" t="str">
        <f t="shared" si="384"/>
        <v>A1622:A4884</v>
      </c>
    </row>
    <row r="4885" spans="1:15">
      <c r="A4885" s="18">
        <f>Charms!K4885</f>
        <v>0</v>
      </c>
      <c r="B4885">
        <f>Charms!B4885</f>
        <v>0</v>
      </c>
      <c r="C4885" t="b">
        <f ca="1">OR(Values!$S$98&gt;=Charms!M4885,IFERROR(Charms!J4885=OFFSET(Values!$A$24,MATCH("S",Values!$T$25:$T$50,0),0),FALSE))</f>
        <v>1</v>
      </c>
      <c r="D4885" t="e">
        <f>VLOOKUP(Charms!J4885,Values!$A$11:$S$59,19,0)&gt;=Charms!L4885</f>
        <v>#N/A</v>
      </c>
      <c r="E4885" t="e">
        <f>OR(ISBLANK(Charms!I4885),(VLOOKUP(Values!$S$6,Castes!$B$2:$F$25,4,0)=Charms!I4885))</f>
        <v>#N/A</v>
      </c>
      <c r="J4885" t="e">
        <f t="shared" ca="1" si="381"/>
        <v>#N/A</v>
      </c>
      <c r="K4885" s="18" t="e">
        <f t="shared" ca="1" si="380"/>
        <v>#N/A</v>
      </c>
      <c r="L4885" t="e">
        <f ca="1">IF(J4885,Charms!B4885,"")</f>
        <v>#N/A</v>
      </c>
      <c r="M4885" t="str">
        <f t="shared" ca="1" si="382"/>
        <v>-</v>
      </c>
      <c r="N4885" s="18" t="str">
        <f t="shared" si="383"/>
        <v>K1622:L5000</v>
      </c>
      <c r="O4885" t="str">
        <f t="shared" si="384"/>
        <v>A1622:A4885</v>
      </c>
    </row>
    <row r="4886" spans="1:15">
      <c r="A4886" s="18">
        <f>Charms!K4886</f>
        <v>0</v>
      </c>
      <c r="B4886">
        <f>Charms!B4886</f>
        <v>0</v>
      </c>
      <c r="C4886" t="b">
        <f ca="1">OR(Values!$S$98&gt;=Charms!M4886,IFERROR(Charms!J4886=OFFSET(Values!$A$24,MATCH("S",Values!$T$25:$T$50,0),0),FALSE))</f>
        <v>1</v>
      </c>
      <c r="D4886" t="e">
        <f>VLOOKUP(Charms!J4886,Values!$A$11:$S$59,19,0)&gt;=Charms!L4886</f>
        <v>#N/A</v>
      </c>
      <c r="E4886" t="e">
        <f>OR(ISBLANK(Charms!I4886),(VLOOKUP(Values!$S$6,Castes!$B$2:$F$25,4,0)=Charms!I4886))</f>
        <v>#N/A</v>
      </c>
      <c r="J4886" t="e">
        <f t="shared" ca="1" si="381"/>
        <v>#N/A</v>
      </c>
      <c r="K4886" s="18" t="e">
        <f t="shared" ca="1" si="380"/>
        <v>#N/A</v>
      </c>
      <c r="L4886" t="e">
        <f ca="1">IF(J4886,Charms!B4886,"")</f>
        <v>#N/A</v>
      </c>
      <c r="M4886" t="str">
        <f t="shared" ca="1" si="382"/>
        <v>-</v>
      </c>
      <c r="N4886" s="18" t="str">
        <f t="shared" si="383"/>
        <v>K1622:L5000</v>
      </c>
      <c r="O4886" t="str">
        <f t="shared" si="384"/>
        <v>A1622:A4886</v>
      </c>
    </row>
    <row r="4887" spans="1:15">
      <c r="A4887" s="18">
        <f>Charms!K4887</f>
        <v>0</v>
      </c>
      <c r="B4887">
        <f>Charms!B4887</f>
        <v>0</v>
      </c>
      <c r="C4887" t="b">
        <f ca="1">OR(Values!$S$98&gt;=Charms!M4887,IFERROR(Charms!J4887=OFFSET(Values!$A$24,MATCH("S",Values!$T$25:$T$50,0),0),FALSE))</f>
        <v>1</v>
      </c>
      <c r="D4887" t="e">
        <f>VLOOKUP(Charms!J4887,Values!$A$11:$S$59,19,0)&gt;=Charms!L4887</f>
        <v>#N/A</v>
      </c>
      <c r="E4887" t="e">
        <f>OR(ISBLANK(Charms!I4887),(VLOOKUP(Values!$S$6,Castes!$B$2:$F$25,4,0)=Charms!I4887))</f>
        <v>#N/A</v>
      </c>
      <c r="J4887" t="e">
        <f t="shared" ca="1" si="381"/>
        <v>#N/A</v>
      </c>
      <c r="K4887" s="18" t="e">
        <f t="shared" ca="1" si="380"/>
        <v>#N/A</v>
      </c>
      <c r="L4887" t="e">
        <f ca="1">IF(J4887,Charms!B4887,"")</f>
        <v>#N/A</v>
      </c>
      <c r="M4887" t="str">
        <f t="shared" ca="1" si="382"/>
        <v>-</v>
      </c>
      <c r="N4887" s="18" t="str">
        <f t="shared" si="383"/>
        <v>K1622:L5000</v>
      </c>
      <c r="O4887" t="str">
        <f t="shared" si="384"/>
        <v>A1622:A4887</v>
      </c>
    </row>
    <row r="4888" spans="1:15">
      <c r="A4888" s="18">
        <f>Charms!K4888</f>
        <v>0</v>
      </c>
      <c r="B4888">
        <f>Charms!B4888</f>
        <v>0</v>
      </c>
      <c r="C4888" t="b">
        <f ca="1">OR(Values!$S$98&gt;=Charms!M4888,IFERROR(Charms!J4888=OFFSET(Values!$A$24,MATCH("S",Values!$T$25:$T$50,0),0),FALSE))</f>
        <v>1</v>
      </c>
      <c r="D4888" t="e">
        <f>VLOOKUP(Charms!J4888,Values!$A$11:$S$59,19,0)&gt;=Charms!L4888</f>
        <v>#N/A</v>
      </c>
      <c r="E4888" t="e">
        <f>OR(ISBLANK(Charms!I4888),(VLOOKUP(Values!$S$6,Castes!$B$2:$F$25,4,0)=Charms!I4888))</f>
        <v>#N/A</v>
      </c>
      <c r="J4888" t="e">
        <f t="shared" ca="1" si="381"/>
        <v>#N/A</v>
      </c>
      <c r="K4888" s="18" t="e">
        <f t="shared" ca="1" si="380"/>
        <v>#N/A</v>
      </c>
      <c r="L4888" t="e">
        <f ca="1">IF(J4888,Charms!B4888,"")</f>
        <v>#N/A</v>
      </c>
      <c r="M4888" t="str">
        <f t="shared" ca="1" si="382"/>
        <v>-</v>
      </c>
      <c r="N4888" s="18" t="str">
        <f t="shared" si="383"/>
        <v>K1622:L5000</v>
      </c>
      <c r="O4888" t="str">
        <f t="shared" si="384"/>
        <v>A1622:A4888</v>
      </c>
    </row>
    <row r="4889" spans="1:15">
      <c r="A4889" s="18">
        <f>Charms!K4889</f>
        <v>0</v>
      </c>
      <c r="B4889">
        <f>Charms!B4889</f>
        <v>0</v>
      </c>
      <c r="C4889" t="b">
        <f ca="1">OR(Values!$S$98&gt;=Charms!M4889,IFERROR(Charms!J4889=OFFSET(Values!$A$24,MATCH("S",Values!$T$25:$T$50,0),0),FALSE))</f>
        <v>1</v>
      </c>
      <c r="D4889" t="e">
        <f>VLOOKUP(Charms!J4889,Values!$A$11:$S$59,19,0)&gt;=Charms!L4889</f>
        <v>#N/A</v>
      </c>
      <c r="E4889" t="e">
        <f>OR(ISBLANK(Charms!I4889),(VLOOKUP(Values!$S$6,Castes!$B$2:$F$25,4,0)=Charms!I4889))</f>
        <v>#N/A</v>
      </c>
      <c r="J4889" t="e">
        <f t="shared" ca="1" si="381"/>
        <v>#N/A</v>
      </c>
      <c r="K4889" s="18" t="e">
        <f t="shared" ca="1" si="380"/>
        <v>#N/A</v>
      </c>
      <c r="L4889" t="e">
        <f ca="1">IF(J4889,Charms!B4889,"")</f>
        <v>#N/A</v>
      </c>
      <c r="M4889" t="str">
        <f t="shared" ca="1" si="382"/>
        <v>-</v>
      </c>
      <c r="N4889" s="18" t="str">
        <f t="shared" si="383"/>
        <v>K1622:L5000</v>
      </c>
      <c r="O4889" t="str">
        <f t="shared" si="384"/>
        <v>A1622:A4889</v>
      </c>
    </row>
    <row r="4890" spans="1:15">
      <c r="A4890" s="18">
        <f>Charms!K4890</f>
        <v>0</v>
      </c>
      <c r="B4890">
        <f>Charms!B4890</f>
        <v>0</v>
      </c>
      <c r="C4890" t="b">
        <f ca="1">OR(Values!$S$98&gt;=Charms!M4890,IFERROR(Charms!J4890=OFFSET(Values!$A$24,MATCH("S",Values!$T$25:$T$50,0),0),FALSE))</f>
        <v>1</v>
      </c>
      <c r="D4890" t="e">
        <f>VLOOKUP(Charms!J4890,Values!$A$11:$S$59,19,0)&gt;=Charms!L4890</f>
        <v>#N/A</v>
      </c>
      <c r="E4890" t="e">
        <f>OR(ISBLANK(Charms!I4890),(VLOOKUP(Values!$S$6,Castes!$B$2:$F$25,4,0)=Charms!I4890))</f>
        <v>#N/A</v>
      </c>
      <c r="J4890" t="e">
        <f t="shared" ca="1" si="381"/>
        <v>#N/A</v>
      </c>
      <c r="K4890" s="18" t="e">
        <f t="shared" ca="1" si="380"/>
        <v>#N/A</v>
      </c>
      <c r="L4890" t="e">
        <f ca="1">IF(J4890,Charms!B4890,"")</f>
        <v>#N/A</v>
      </c>
      <c r="M4890" t="str">
        <f t="shared" ca="1" si="382"/>
        <v>-</v>
      </c>
      <c r="N4890" s="18" t="str">
        <f t="shared" si="383"/>
        <v>K1622:L5000</v>
      </c>
      <c r="O4890" t="str">
        <f t="shared" si="384"/>
        <v>A1622:A4890</v>
      </c>
    </row>
    <row r="4891" spans="1:15">
      <c r="A4891" s="18">
        <f>Charms!K4891</f>
        <v>0</v>
      </c>
      <c r="B4891">
        <f>Charms!B4891</f>
        <v>0</v>
      </c>
      <c r="C4891" t="b">
        <f ca="1">OR(Values!$S$98&gt;=Charms!M4891,IFERROR(Charms!J4891=OFFSET(Values!$A$24,MATCH("S",Values!$T$25:$T$50,0),0),FALSE))</f>
        <v>1</v>
      </c>
      <c r="D4891" t="e">
        <f>VLOOKUP(Charms!J4891,Values!$A$11:$S$59,19,0)&gt;=Charms!L4891</f>
        <v>#N/A</v>
      </c>
      <c r="E4891" t="e">
        <f>OR(ISBLANK(Charms!I4891),(VLOOKUP(Values!$S$6,Castes!$B$2:$F$25,4,0)=Charms!I4891))</f>
        <v>#N/A</v>
      </c>
      <c r="J4891" t="e">
        <f t="shared" ca="1" si="381"/>
        <v>#N/A</v>
      </c>
      <c r="K4891" s="18" t="e">
        <f t="shared" ca="1" si="380"/>
        <v>#N/A</v>
      </c>
      <c r="L4891" t="e">
        <f ca="1">IF(J4891,Charms!B4891,"")</f>
        <v>#N/A</v>
      </c>
      <c r="M4891" t="str">
        <f t="shared" ca="1" si="382"/>
        <v>-</v>
      </c>
      <c r="N4891" s="18" t="str">
        <f t="shared" si="383"/>
        <v>K1622:L5000</v>
      </c>
      <c r="O4891" t="str">
        <f t="shared" si="384"/>
        <v>A1622:A4891</v>
      </c>
    </row>
    <row r="4892" spans="1:15">
      <c r="A4892" s="18">
        <f>Charms!K4892</f>
        <v>0</v>
      </c>
      <c r="B4892">
        <f>Charms!B4892</f>
        <v>0</v>
      </c>
      <c r="C4892" t="b">
        <f ca="1">OR(Values!$S$98&gt;=Charms!M4892,IFERROR(Charms!J4892=OFFSET(Values!$A$24,MATCH("S",Values!$T$25:$T$50,0),0),FALSE))</f>
        <v>1</v>
      </c>
      <c r="D4892" t="e">
        <f>VLOOKUP(Charms!J4892,Values!$A$11:$S$59,19,0)&gt;=Charms!L4892</f>
        <v>#N/A</v>
      </c>
      <c r="E4892" t="e">
        <f>OR(ISBLANK(Charms!I4892),(VLOOKUP(Values!$S$6,Castes!$B$2:$F$25,4,0)=Charms!I4892))</f>
        <v>#N/A</v>
      </c>
      <c r="J4892" t="e">
        <f t="shared" ca="1" si="381"/>
        <v>#N/A</v>
      </c>
      <c r="K4892" s="18" t="e">
        <f t="shared" ca="1" si="380"/>
        <v>#N/A</v>
      </c>
      <c r="L4892" t="e">
        <f ca="1">IF(J4892,Charms!B4892,"")</f>
        <v>#N/A</v>
      </c>
      <c r="M4892" t="str">
        <f t="shared" ca="1" si="382"/>
        <v>-</v>
      </c>
      <c r="N4892" s="18" t="str">
        <f t="shared" si="383"/>
        <v>K1622:L5000</v>
      </c>
      <c r="O4892" t="str">
        <f t="shared" si="384"/>
        <v>A1622:A4892</v>
      </c>
    </row>
    <row r="4893" spans="1:15">
      <c r="A4893" s="18">
        <f>Charms!K4893</f>
        <v>0</v>
      </c>
      <c r="B4893">
        <f>Charms!B4893</f>
        <v>0</v>
      </c>
      <c r="C4893" t="b">
        <f ca="1">OR(Values!$S$98&gt;=Charms!M4893,IFERROR(Charms!J4893=OFFSET(Values!$A$24,MATCH("S",Values!$T$25:$T$50,0),0),FALSE))</f>
        <v>1</v>
      </c>
      <c r="D4893" t="e">
        <f>VLOOKUP(Charms!J4893,Values!$A$11:$S$59,19,0)&gt;=Charms!L4893</f>
        <v>#N/A</v>
      </c>
      <c r="E4893" t="e">
        <f>OR(ISBLANK(Charms!I4893),(VLOOKUP(Values!$S$6,Castes!$B$2:$F$25,4,0)=Charms!I4893))</f>
        <v>#N/A</v>
      </c>
      <c r="J4893" t="e">
        <f t="shared" ca="1" si="381"/>
        <v>#N/A</v>
      </c>
      <c r="K4893" s="18" t="e">
        <f t="shared" ca="1" si="380"/>
        <v>#N/A</v>
      </c>
      <c r="L4893" t="e">
        <f ca="1">IF(J4893,Charms!B4893,"")</f>
        <v>#N/A</v>
      </c>
      <c r="M4893" t="str">
        <f t="shared" ca="1" si="382"/>
        <v>-</v>
      </c>
      <c r="N4893" s="18" t="str">
        <f t="shared" si="383"/>
        <v>K1622:L5000</v>
      </c>
      <c r="O4893" t="str">
        <f t="shared" si="384"/>
        <v>A1622:A4893</v>
      </c>
    </row>
    <row r="4894" spans="1:15">
      <c r="A4894" s="18">
        <f>Charms!K4894</f>
        <v>0</v>
      </c>
      <c r="B4894">
        <f>Charms!B4894</f>
        <v>0</v>
      </c>
      <c r="C4894" t="b">
        <f ca="1">OR(Values!$S$98&gt;=Charms!M4894,IFERROR(Charms!J4894=OFFSET(Values!$A$24,MATCH("S",Values!$T$25:$T$50,0),0),FALSE))</f>
        <v>1</v>
      </c>
      <c r="D4894" t="e">
        <f>VLOOKUP(Charms!J4894,Values!$A$11:$S$59,19,0)&gt;=Charms!L4894</f>
        <v>#N/A</v>
      </c>
      <c r="E4894" t="e">
        <f>OR(ISBLANK(Charms!I4894),(VLOOKUP(Values!$S$6,Castes!$B$2:$F$25,4,0)=Charms!I4894))</f>
        <v>#N/A</v>
      </c>
      <c r="J4894" t="e">
        <f t="shared" ca="1" si="381"/>
        <v>#N/A</v>
      </c>
      <c r="K4894" s="18" t="e">
        <f t="shared" ca="1" si="380"/>
        <v>#N/A</v>
      </c>
      <c r="L4894" t="e">
        <f ca="1">IF(J4894,Charms!B4894,"")</f>
        <v>#N/A</v>
      </c>
      <c r="M4894" t="str">
        <f t="shared" ca="1" si="382"/>
        <v>-</v>
      </c>
      <c r="N4894" s="18" t="str">
        <f t="shared" si="383"/>
        <v>K1622:L5000</v>
      </c>
      <c r="O4894" t="str">
        <f t="shared" si="384"/>
        <v>A1622:A4894</v>
      </c>
    </row>
    <row r="4895" spans="1:15">
      <c r="A4895" s="18">
        <f>Charms!K4895</f>
        <v>0</v>
      </c>
      <c r="B4895">
        <f>Charms!B4895</f>
        <v>0</v>
      </c>
      <c r="C4895" t="b">
        <f ca="1">OR(Values!$S$98&gt;=Charms!M4895,IFERROR(Charms!J4895=OFFSET(Values!$A$24,MATCH("S",Values!$T$25:$T$50,0),0),FALSE))</f>
        <v>1</v>
      </c>
      <c r="D4895" t="e">
        <f>VLOOKUP(Charms!J4895,Values!$A$11:$S$59,19,0)&gt;=Charms!L4895</f>
        <v>#N/A</v>
      </c>
      <c r="E4895" t="e">
        <f>OR(ISBLANK(Charms!I4895),(VLOOKUP(Values!$S$6,Castes!$B$2:$F$25,4,0)=Charms!I4895))</f>
        <v>#N/A</v>
      </c>
      <c r="J4895" t="e">
        <f t="shared" ca="1" si="381"/>
        <v>#N/A</v>
      </c>
      <c r="K4895" s="18" t="e">
        <f t="shared" ca="1" si="380"/>
        <v>#N/A</v>
      </c>
      <c r="L4895" t="e">
        <f ca="1">IF(J4895,Charms!B4895,"")</f>
        <v>#N/A</v>
      </c>
      <c r="M4895" t="str">
        <f t="shared" ca="1" si="382"/>
        <v>-</v>
      </c>
      <c r="N4895" s="18" t="str">
        <f t="shared" si="383"/>
        <v>K1622:L5000</v>
      </c>
      <c r="O4895" t="str">
        <f t="shared" si="384"/>
        <v>A1622:A4895</v>
      </c>
    </row>
    <row r="4896" spans="1:15">
      <c r="A4896" s="18">
        <f>Charms!K4896</f>
        <v>0</v>
      </c>
      <c r="B4896">
        <f>Charms!B4896</f>
        <v>0</v>
      </c>
      <c r="C4896" t="b">
        <f ca="1">OR(Values!$S$98&gt;=Charms!M4896,IFERROR(Charms!J4896=OFFSET(Values!$A$24,MATCH("S",Values!$T$25:$T$50,0),0),FALSE))</f>
        <v>1</v>
      </c>
      <c r="D4896" t="e">
        <f>VLOOKUP(Charms!J4896,Values!$A$11:$S$59,19,0)&gt;=Charms!L4896</f>
        <v>#N/A</v>
      </c>
      <c r="E4896" t="e">
        <f>OR(ISBLANK(Charms!I4896),(VLOOKUP(Values!$S$6,Castes!$B$2:$F$25,4,0)=Charms!I4896))</f>
        <v>#N/A</v>
      </c>
      <c r="J4896" t="e">
        <f t="shared" ca="1" si="381"/>
        <v>#N/A</v>
      </c>
      <c r="K4896" s="18" t="e">
        <f t="shared" ca="1" si="380"/>
        <v>#N/A</v>
      </c>
      <c r="L4896" t="e">
        <f ca="1">IF(J4896,Charms!B4896,"")</f>
        <v>#N/A</v>
      </c>
      <c r="M4896" t="str">
        <f t="shared" ca="1" si="382"/>
        <v>-</v>
      </c>
      <c r="N4896" s="18" t="str">
        <f t="shared" si="383"/>
        <v>K1622:L5000</v>
      </c>
      <c r="O4896" t="str">
        <f t="shared" si="384"/>
        <v>A1622:A4896</v>
      </c>
    </row>
    <row r="4897" spans="1:15">
      <c r="A4897" s="18">
        <f>Charms!K4897</f>
        <v>0</v>
      </c>
      <c r="B4897">
        <f>Charms!B4897</f>
        <v>0</v>
      </c>
      <c r="C4897" t="b">
        <f ca="1">OR(Values!$S$98&gt;=Charms!M4897,IFERROR(Charms!J4897=OFFSET(Values!$A$24,MATCH("S",Values!$T$25:$T$50,0),0),FALSE))</f>
        <v>1</v>
      </c>
      <c r="D4897" t="e">
        <f>VLOOKUP(Charms!J4897,Values!$A$11:$S$59,19,0)&gt;=Charms!L4897</f>
        <v>#N/A</v>
      </c>
      <c r="E4897" t="e">
        <f>OR(ISBLANK(Charms!I4897),(VLOOKUP(Values!$S$6,Castes!$B$2:$F$25,4,0)=Charms!I4897))</f>
        <v>#N/A</v>
      </c>
      <c r="J4897" t="e">
        <f t="shared" ca="1" si="381"/>
        <v>#N/A</v>
      </c>
      <c r="K4897" s="18" t="e">
        <f t="shared" ca="1" si="380"/>
        <v>#N/A</v>
      </c>
      <c r="L4897" t="e">
        <f ca="1">IF(J4897,Charms!B4897,"")</f>
        <v>#N/A</v>
      </c>
      <c r="M4897" t="str">
        <f t="shared" ca="1" si="382"/>
        <v>-</v>
      </c>
      <c r="N4897" s="18" t="str">
        <f t="shared" si="383"/>
        <v>K1622:L5000</v>
      </c>
      <c r="O4897" t="str">
        <f t="shared" si="384"/>
        <v>A1622:A4897</v>
      </c>
    </row>
    <row r="4898" spans="1:15">
      <c r="A4898" s="18">
        <f>Charms!K4898</f>
        <v>0</v>
      </c>
      <c r="B4898">
        <f>Charms!B4898</f>
        <v>0</v>
      </c>
      <c r="C4898" t="b">
        <f ca="1">OR(Values!$S$98&gt;=Charms!M4898,IFERROR(Charms!J4898=OFFSET(Values!$A$24,MATCH("S",Values!$T$25:$T$50,0),0),FALSE))</f>
        <v>1</v>
      </c>
      <c r="D4898" t="e">
        <f>VLOOKUP(Charms!J4898,Values!$A$11:$S$59,19,0)&gt;=Charms!L4898</f>
        <v>#N/A</v>
      </c>
      <c r="E4898" t="e">
        <f>OR(ISBLANK(Charms!I4898),(VLOOKUP(Values!$S$6,Castes!$B$2:$F$25,4,0)=Charms!I4898))</f>
        <v>#N/A</v>
      </c>
      <c r="J4898" t="e">
        <f t="shared" ca="1" si="381"/>
        <v>#N/A</v>
      </c>
      <c r="K4898" s="18" t="e">
        <f t="shared" ca="1" si="380"/>
        <v>#N/A</v>
      </c>
      <c r="L4898" t="e">
        <f ca="1">IF(J4898,Charms!B4898,"")</f>
        <v>#N/A</v>
      </c>
      <c r="M4898" t="str">
        <f t="shared" ca="1" si="382"/>
        <v>-</v>
      </c>
      <c r="N4898" s="18" t="str">
        <f t="shared" si="383"/>
        <v>K1622:L5000</v>
      </c>
      <c r="O4898" t="str">
        <f t="shared" si="384"/>
        <v>A1622:A4898</v>
      </c>
    </row>
    <row r="4899" spans="1:15">
      <c r="A4899" s="18">
        <f>Charms!K4899</f>
        <v>0</v>
      </c>
      <c r="B4899">
        <f>Charms!B4899</f>
        <v>0</v>
      </c>
      <c r="C4899" t="b">
        <f ca="1">OR(Values!$S$98&gt;=Charms!M4899,IFERROR(Charms!J4899=OFFSET(Values!$A$24,MATCH("S",Values!$T$25:$T$50,0),0),FALSE))</f>
        <v>1</v>
      </c>
      <c r="D4899" t="e">
        <f>VLOOKUP(Charms!J4899,Values!$A$11:$S$59,19,0)&gt;=Charms!L4899</f>
        <v>#N/A</v>
      </c>
      <c r="E4899" t="e">
        <f>OR(ISBLANK(Charms!I4899),(VLOOKUP(Values!$S$6,Castes!$B$2:$F$25,4,0)=Charms!I4899))</f>
        <v>#N/A</v>
      </c>
      <c r="J4899" t="e">
        <f t="shared" ca="1" si="381"/>
        <v>#N/A</v>
      </c>
      <c r="K4899" s="18" t="e">
        <f t="shared" ca="1" si="380"/>
        <v>#N/A</v>
      </c>
      <c r="L4899" t="e">
        <f ca="1">IF(J4899,Charms!B4899,"")</f>
        <v>#N/A</v>
      </c>
      <c r="M4899" t="str">
        <f t="shared" ca="1" si="382"/>
        <v>-</v>
      </c>
      <c r="N4899" s="18" t="str">
        <f t="shared" si="383"/>
        <v>K1622:L5000</v>
      </c>
      <c r="O4899" t="str">
        <f t="shared" si="384"/>
        <v>A1622:A4899</v>
      </c>
    </row>
    <row r="4900" spans="1:15">
      <c r="A4900" s="18">
        <f>Charms!K4900</f>
        <v>0</v>
      </c>
      <c r="B4900">
        <f>Charms!B4900</f>
        <v>0</v>
      </c>
      <c r="C4900" t="b">
        <f ca="1">OR(Values!$S$98&gt;=Charms!M4900,IFERROR(Charms!J4900=OFFSET(Values!$A$24,MATCH("S",Values!$T$25:$T$50,0),0),FALSE))</f>
        <v>1</v>
      </c>
      <c r="D4900" t="e">
        <f>VLOOKUP(Charms!J4900,Values!$A$11:$S$59,19,0)&gt;=Charms!L4900</f>
        <v>#N/A</v>
      </c>
      <c r="E4900" t="e">
        <f>OR(ISBLANK(Charms!I4900),(VLOOKUP(Values!$S$6,Castes!$B$2:$F$25,4,0)=Charms!I4900))</f>
        <v>#N/A</v>
      </c>
      <c r="J4900" t="e">
        <f t="shared" ca="1" si="381"/>
        <v>#N/A</v>
      </c>
      <c r="K4900" s="18" t="e">
        <f t="shared" ca="1" si="380"/>
        <v>#N/A</v>
      </c>
      <c r="L4900" t="e">
        <f ca="1">IF(J4900,Charms!B4900,"")</f>
        <v>#N/A</v>
      </c>
      <c r="M4900" t="str">
        <f t="shared" ca="1" si="382"/>
        <v>-</v>
      </c>
      <c r="N4900" s="18" t="str">
        <f t="shared" si="383"/>
        <v>K1622:L5000</v>
      </c>
      <c r="O4900" t="str">
        <f t="shared" si="384"/>
        <v>A1622:A4900</v>
      </c>
    </row>
    <row r="4901" spans="1:15">
      <c r="A4901" s="18">
        <f>Charms!K4901</f>
        <v>0</v>
      </c>
      <c r="B4901">
        <f>Charms!B4901</f>
        <v>0</v>
      </c>
      <c r="C4901" t="b">
        <f ca="1">OR(Values!$S$98&gt;=Charms!M4901,IFERROR(Charms!J4901=OFFSET(Values!$A$24,MATCH("S",Values!$T$25:$T$50,0),0),FALSE))</f>
        <v>1</v>
      </c>
      <c r="D4901" t="e">
        <f>VLOOKUP(Charms!J4901,Values!$A$11:$S$59,19,0)&gt;=Charms!L4901</f>
        <v>#N/A</v>
      </c>
      <c r="E4901" t="e">
        <f>OR(ISBLANK(Charms!I4901),(VLOOKUP(Values!$S$6,Castes!$B$2:$F$25,4,0)=Charms!I4901))</f>
        <v>#N/A</v>
      </c>
      <c r="J4901" t="e">
        <f t="shared" ca="1" si="381"/>
        <v>#N/A</v>
      </c>
      <c r="K4901" s="18" t="e">
        <f t="shared" ca="1" si="380"/>
        <v>#N/A</v>
      </c>
      <c r="L4901" t="e">
        <f ca="1">IF(J4901,Charms!B4901,"")</f>
        <v>#N/A</v>
      </c>
      <c r="M4901" t="str">
        <f t="shared" ca="1" si="382"/>
        <v>-</v>
      </c>
      <c r="N4901" s="18" t="str">
        <f t="shared" si="383"/>
        <v>K1622:L5000</v>
      </c>
      <c r="O4901" t="str">
        <f t="shared" si="384"/>
        <v>A1622:A4901</v>
      </c>
    </row>
    <row r="4902" spans="1:15">
      <c r="A4902" s="18">
        <f>Charms!K4902</f>
        <v>0</v>
      </c>
      <c r="B4902">
        <f>Charms!B4902</f>
        <v>0</v>
      </c>
      <c r="C4902" t="b">
        <f ca="1">OR(Values!$S$98&gt;=Charms!M4902,IFERROR(Charms!J4902=OFFSET(Values!$A$24,MATCH("S",Values!$T$25:$T$50,0),0),FALSE))</f>
        <v>1</v>
      </c>
      <c r="D4902" t="e">
        <f>VLOOKUP(Charms!J4902,Values!$A$11:$S$59,19,0)&gt;=Charms!L4902</f>
        <v>#N/A</v>
      </c>
      <c r="E4902" t="e">
        <f>OR(ISBLANK(Charms!I4902),(VLOOKUP(Values!$S$6,Castes!$B$2:$F$25,4,0)=Charms!I4902))</f>
        <v>#N/A</v>
      </c>
      <c r="J4902" t="e">
        <f t="shared" ca="1" si="381"/>
        <v>#N/A</v>
      </c>
      <c r="K4902" s="18" t="e">
        <f t="shared" ca="1" si="380"/>
        <v>#N/A</v>
      </c>
      <c r="L4902" t="e">
        <f ca="1">IF(J4902,Charms!B4902,"")</f>
        <v>#N/A</v>
      </c>
      <c r="M4902" t="str">
        <f t="shared" ca="1" si="382"/>
        <v>-</v>
      </c>
      <c r="N4902" s="18" t="str">
        <f t="shared" si="383"/>
        <v>K1622:L5000</v>
      </c>
      <c r="O4902" t="str">
        <f t="shared" si="384"/>
        <v>A1622:A4902</v>
      </c>
    </row>
    <row r="4903" spans="1:15">
      <c r="A4903" s="18">
        <f>Charms!K4903</f>
        <v>0</v>
      </c>
      <c r="B4903">
        <f>Charms!B4903</f>
        <v>0</v>
      </c>
      <c r="C4903" t="b">
        <f ca="1">OR(Values!$S$98&gt;=Charms!M4903,IFERROR(Charms!J4903=OFFSET(Values!$A$24,MATCH("S",Values!$T$25:$T$50,0),0),FALSE))</f>
        <v>1</v>
      </c>
      <c r="D4903" t="e">
        <f>VLOOKUP(Charms!J4903,Values!$A$11:$S$59,19,0)&gt;=Charms!L4903</f>
        <v>#N/A</v>
      </c>
      <c r="E4903" t="e">
        <f>OR(ISBLANK(Charms!I4903),(VLOOKUP(Values!$S$6,Castes!$B$2:$F$25,4,0)=Charms!I4903))</f>
        <v>#N/A</v>
      </c>
      <c r="J4903" t="e">
        <f t="shared" ca="1" si="381"/>
        <v>#N/A</v>
      </c>
      <c r="K4903" s="18" t="e">
        <f t="shared" ca="1" si="380"/>
        <v>#N/A</v>
      </c>
      <c r="L4903" t="e">
        <f ca="1">IF(J4903,Charms!B4903,"")</f>
        <v>#N/A</v>
      </c>
      <c r="M4903" t="str">
        <f t="shared" ca="1" si="382"/>
        <v>-</v>
      </c>
      <c r="N4903" s="18" t="str">
        <f t="shared" si="383"/>
        <v>K1622:L5000</v>
      </c>
      <c r="O4903" t="str">
        <f t="shared" si="384"/>
        <v>A1622:A4903</v>
      </c>
    </row>
    <row r="4904" spans="1:15">
      <c r="A4904" s="18">
        <f>Charms!K4904</f>
        <v>0</v>
      </c>
      <c r="B4904">
        <f>Charms!B4904</f>
        <v>0</v>
      </c>
      <c r="C4904" t="b">
        <f ca="1">OR(Values!$S$98&gt;=Charms!M4904,IFERROR(Charms!J4904=OFFSET(Values!$A$24,MATCH("S",Values!$T$25:$T$50,0),0),FALSE))</f>
        <v>1</v>
      </c>
      <c r="D4904" t="e">
        <f>VLOOKUP(Charms!J4904,Values!$A$11:$S$59,19,0)&gt;=Charms!L4904</f>
        <v>#N/A</v>
      </c>
      <c r="E4904" t="e">
        <f>OR(ISBLANK(Charms!I4904),(VLOOKUP(Values!$S$6,Castes!$B$2:$F$25,4,0)=Charms!I4904))</f>
        <v>#N/A</v>
      </c>
      <c r="J4904" t="e">
        <f t="shared" ca="1" si="381"/>
        <v>#N/A</v>
      </c>
      <c r="K4904" s="18" t="e">
        <f t="shared" ca="1" si="380"/>
        <v>#N/A</v>
      </c>
      <c r="L4904" t="e">
        <f ca="1">IF(J4904,Charms!B4904,"")</f>
        <v>#N/A</v>
      </c>
      <c r="M4904" t="str">
        <f t="shared" ca="1" si="382"/>
        <v>-</v>
      </c>
      <c r="N4904" s="18" t="str">
        <f t="shared" si="383"/>
        <v>K1622:L5000</v>
      </c>
      <c r="O4904" t="str">
        <f t="shared" si="384"/>
        <v>A1622:A4904</v>
      </c>
    </row>
    <row r="4905" spans="1:15">
      <c r="A4905" s="18">
        <f>Charms!K4905</f>
        <v>0</v>
      </c>
      <c r="B4905">
        <f>Charms!B4905</f>
        <v>0</v>
      </c>
      <c r="C4905" t="b">
        <f ca="1">OR(Values!$S$98&gt;=Charms!M4905,IFERROR(Charms!J4905=OFFSET(Values!$A$24,MATCH("S",Values!$T$25:$T$50,0),0),FALSE))</f>
        <v>1</v>
      </c>
      <c r="D4905" t="e">
        <f>VLOOKUP(Charms!J4905,Values!$A$11:$S$59,19,0)&gt;=Charms!L4905</f>
        <v>#N/A</v>
      </c>
      <c r="E4905" t="e">
        <f>OR(ISBLANK(Charms!I4905),(VLOOKUP(Values!$S$6,Castes!$B$2:$F$25,4,0)=Charms!I4905))</f>
        <v>#N/A</v>
      </c>
      <c r="J4905" t="e">
        <f t="shared" ca="1" si="381"/>
        <v>#N/A</v>
      </c>
      <c r="K4905" s="18" t="e">
        <f t="shared" ca="1" si="380"/>
        <v>#N/A</v>
      </c>
      <c r="L4905" t="e">
        <f ca="1">IF(J4905,Charms!B4905,"")</f>
        <v>#N/A</v>
      </c>
      <c r="M4905" t="str">
        <f t="shared" ca="1" si="382"/>
        <v>-</v>
      </c>
      <c r="N4905" s="18" t="str">
        <f t="shared" si="383"/>
        <v>K1622:L5000</v>
      </c>
      <c r="O4905" t="str">
        <f t="shared" si="384"/>
        <v>A1622:A4905</v>
      </c>
    </row>
    <row r="4906" spans="1:15">
      <c r="A4906" s="18">
        <f>Charms!K4906</f>
        <v>0</v>
      </c>
      <c r="B4906">
        <f>Charms!B4906</f>
        <v>0</v>
      </c>
      <c r="C4906" t="b">
        <f ca="1">OR(Values!$S$98&gt;=Charms!M4906,IFERROR(Charms!J4906=OFFSET(Values!$A$24,MATCH("S",Values!$T$25:$T$50,0),0),FALSE))</f>
        <v>1</v>
      </c>
      <c r="D4906" t="e">
        <f>VLOOKUP(Charms!J4906,Values!$A$11:$S$59,19,0)&gt;=Charms!L4906</f>
        <v>#N/A</v>
      </c>
      <c r="E4906" t="e">
        <f>OR(ISBLANK(Charms!I4906),(VLOOKUP(Values!$S$6,Castes!$B$2:$F$25,4,0)=Charms!I4906))</f>
        <v>#N/A</v>
      </c>
      <c r="J4906" t="e">
        <f t="shared" ca="1" si="381"/>
        <v>#N/A</v>
      </c>
      <c r="K4906" s="18" t="e">
        <f t="shared" ca="1" si="380"/>
        <v>#N/A</v>
      </c>
      <c r="L4906" t="e">
        <f ca="1">IF(J4906,Charms!B4906,"")</f>
        <v>#N/A</v>
      </c>
      <c r="M4906" t="str">
        <f t="shared" ca="1" si="382"/>
        <v>-</v>
      </c>
      <c r="N4906" s="18" t="str">
        <f t="shared" si="383"/>
        <v>K1622:L5000</v>
      </c>
      <c r="O4906" t="str">
        <f t="shared" si="384"/>
        <v>A1622:A4906</v>
      </c>
    </row>
    <row r="4907" spans="1:15">
      <c r="A4907" s="18">
        <f>Charms!K4907</f>
        <v>0</v>
      </c>
      <c r="B4907">
        <f>Charms!B4907</f>
        <v>0</v>
      </c>
      <c r="C4907" t="b">
        <f ca="1">OR(Values!$S$98&gt;=Charms!M4907,IFERROR(Charms!J4907=OFFSET(Values!$A$24,MATCH("S",Values!$T$25:$T$50,0),0),FALSE))</f>
        <v>1</v>
      </c>
      <c r="D4907" t="e">
        <f>VLOOKUP(Charms!J4907,Values!$A$11:$S$59,19,0)&gt;=Charms!L4907</f>
        <v>#N/A</v>
      </c>
      <c r="E4907" t="e">
        <f>OR(ISBLANK(Charms!I4907),(VLOOKUP(Values!$S$6,Castes!$B$2:$F$25,4,0)=Charms!I4907))</f>
        <v>#N/A</v>
      </c>
      <c r="J4907" t="e">
        <f t="shared" ca="1" si="381"/>
        <v>#N/A</v>
      </c>
      <c r="K4907" s="18" t="e">
        <f t="shared" ca="1" si="380"/>
        <v>#N/A</v>
      </c>
      <c r="L4907" t="e">
        <f ca="1">IF(J4907,Charms!B4907,"")</f>
        <v>#N/A</v>
      </c>
      <c r="M4907" t="str">
        <f t="shared" ca="1" si="382"/>
        <v>-</v>
      </c>
      <c r="N4907" s="18" t="str">
        <f t="shared" si="383"/>
        <v>K1622:L5000</v>
      </c>
      <c r="O4907" t="str">
        <f t="shared" si="384"/>
        <v>A1622:A4907</v>
      </c>
    </row>
    <row r="4908" spans="1:15">
      <c r="A4908" s="18">
        <f>Charms!K4908</f>
        <v>0</v>
      </c>
      <c r="B4908">
        <f>Charms!B4908</f>
        <v>0</v>
      </c>
      <c r="C4908" t="b">
        <f ca="1">OR(Values!$S$98&gt;=Charms!M4908,IFERROR(Charms!J4908=OFFSET(Values!$A$24,MATCH("S",Values!$T$25:$T$50,0),0),FALSE))</f>
        <v>1</v>
      </c>
      <c r="D4908" t="e">
        <f>VLOOKUP(Charms!J4908,Values!$A$11:$S$59,19,0)&gt;=Charms!L4908</f>
        <v>#N/A</v>
      </c>
      <c r="E4908" t="e">
        <f>OR(ISBLANK(Charms!I4908),(VLOOKUP(Values!$S$6,Castes!$B$2:$F$25,4,0)=Charms!I4908))</f>
        <v>#N/A</v>
      </c>
      <c r="J4908" t="e">
        <f t="shared" ca="1" si="381"/>
        <v>#N/A</v>
      </c>
      <c r="K4908" s="18" t="e">
        <f t="shared" ca="1" si="380"/>
        <v>#N/A</v>
      </c>
      <c r="L4908" t="e">
        <f ca="1">IF(J4908,Charms!B4908,"")</f>
        <v>#N/A</v>
      </c>
      <c r="M4908" t="str">
        <f t="shared" ca="1" si="382"/>
        <v>-</v>
      </c>
      <c r="N4908" s="18" t="str">
        <f t="shared" si="383"/>
        <v>K1622:L5000</v>
      </c>
      <c r="O4908" t="str">
        <f t="shared" si="384"/>
        <v>A1622:A4908</v>
      </c>
    </row>
    <row r="4909" spans="1:15">
      <c r="A4909" s="18">
        <f>Charms!K4909</f>
        <v>0</v>
      </c>
      <c r="B4909">
        <f>Charms!B4909</f>
        <v>0</v>
      </c>
      <c r="C4909" t="b">
        <f ca="1">OR(Values!$S$98&gt;=Charms!M4909,IFERROR(Charms!J4909=OFFSET(Values!$A$24,MATCH("S",Values!$T$25:$T$50,0),0),FALSE))</f>
        <v>1</v>
      </c>
      <c r="D4909" t="e">
        <f>VLOOKUP(Charms!J4909,Values!$A$11:$S$59,19,0)&gt;=Charms!L4909</f>
        <v>#N/A</v>
      </c>
      <c r="E4909" t="e">
        <f>OR(ISBLANK(Charms!I4909),(VLOOKUP(Values!$S$6,Castes!$B$2:$F$25,4,0)=Charms!I4909))</f>
        <v>#N/A</v>
      </c>
      <c r="J4909" t="e">
        <f t="shared" ca="1" si="381"/>
        <v>#N/A</v>
      </c>
      <c r="K4909" s="18" t="e">
        <f t="shared" ca="1" si="380"/>
        <v>#N/A</v>
      </c>
      <c r="L4909" t="e">
        <f ca="1">IF(J4909,Charms!B4909,"")</f>
        <v>#N/A</v>
      </c>
      <c r="M4909" t="str">
        <f t="shared" ca="1" si="382"/>
        <v>-</v>
      </c>
      <c r="N4909" s="18" t="str">
        <f t="shared" si="383"/>
        <v>K1622:L5000</v>
      </c>
      <c r="O4909" t="str">
        <f t="shared" si="384"/>
        <v>A1622:A4909</v>
      </c>
    </row>
    <row r="4910" spans="1:15">
      <c r="A4910" s="18">
        <f>Charms!K4910</f>
        <v>0</v>
      </c>
      <c r="B4910">
        <f>Charms!B4910</f>
        <v>0</v>
      </c>
      <c r="C4910" t="b">
        <f ca="1">OR(Values!$S$98&gt;=Charms!M4910,IFERROR(Charms!J4910=OFFSET(Values!$A$24,MATCH("S",Values!$T$25:$T$50,0),0),FALSE))</f>
        <v>1</v>
      </c>
      <c r="D4910" t="e">
        <f>VLOOKUP(Charms!J4910,Values!$A$11:$S$59,19,0)&gt;=Charms!L4910</f>
        <v>#N/A</v>
      </c>
      <c r="E4910" t="e">
        <f>OR(ISBLANK(Charms!I4910),(VLOOKUP(Values!$S$6,Castes!$B$2:$F$25,4,0)=Charms!I4910))</f>
        <v>#N/A</v>
      </c>
      <c r="J4910" t="e">
        <f t="shared" ca="1" si="381"/>
        <v>#N/A</v>
      </c>
      <c r="K4910" s="18" t="e">
        <f t="shared" ca="1" si="380"/>
        <v>#N/A</v>
      </c>
      <c r="L4910" t="e">
        <f ca="1">IF(J4910,Charms!B4910,"")</f>
        <v>#N/A</v>
      </c>
      <c r="M4910" t="str">
        <f t="shared" ca="1" si="382"/>
        <v>-</v>
      </c>
      <c r="N4910" s="18" t="str">
        <f t="shared" si="383"/>
        <v>K1622:L5000</v>
      </c>
      <c r="O4910" t="str">
        <f t="shared" si="384"/>
        <v>A1622:A4910</v>
      </c>
    </row>
    <row r="4911" spans="1:15">
      <c r="A4911" s="18">
        <f>Charms!K4911</f>
        <v>0</v>
      </c>
      <c r="B4911">
        <f>Charms!B4911</f>
        <v>0</v>
      </c>
      <c r="C4911" t="b">
        <f ca="1">OR(Values!$S$98&gt;=Charms!M4911,IFERROR(Charms!J4911=OFFSET(Values!$A$24,MATCH("S",Values!$T$25:$T$50,0),0),FALSE))</f>
        <v>1</v>
      </c>
      <c r="D4911" t="e">
        <f>VLOOKUP(Charms!J4911,Values!$A$11:$S$59,19,0)&gt;=Charms!L4911</f>
        <v>#N/A</v>
      </c>
      <c r="E4911" t="e">
        <f>OR(ISBLANK(Charms!I4911),(VLOOKUP(Values!$S$6,Castes!$B$2:$F$25,4,0)=Charms!I4911))</f>
        <v>#N/A</v>
      </c>
      <c r="J4911" t="e">
        <f t="shared" ca="1" si="381"/>
        <v>#N/A</v>
      </c>
      <c r="K4911" s="18" t="e">
        <f t="shared" ca="1" si="380"/>
        <v>#N/A</v>
      </c>
      <c r="L4911" t="e">
        <f ca="1">IF(J4911,Charms!B4911,"")</f>
        <v>#N/A</v>
      </c>
      <c r="M4911" t="str">
        <f t="shared" ca="1" si="382"/>
        <v>-</v>
      </c>
      <c r="N4911" s="18" t="str">
        <f t="shared" si="383"/>
        <v>K1622:L5000</v>
      </c>
      <c r="O4911" t="str">
        <f t="shared" si="384"/>
        <v>A1622:A4911</v>
      </c>
    </row>
    <row r="4912" spans="1:15">
      <c r="A4912" s="18">
        <f>Charms!K4912</f>
        <v>0</v>
      </c>
      <c r="B4912">
        <f>Charms!B4912</f>
        <v>0</v>
      </c>
      <c r="C4912" t="b">
        <f ca="1">OR(Values!$S$98&gt;=Charms!M4912,IFERROR(Charms!J4912=OFFSET(Values!$A$24,MATCH("S",Values!$T$25:$T$50,0),0),FALSE))</f>
        <v>1</v>
      </c>
      <c r="D4912" t="e">
        <f>VLOOKUP(Charms!J4912,Values!$A$11:$S$59,19,0)&gt;=Charms!L4912</f>
        <v>#N/A</v>
      </c>
      <c r="E4912" t="e">
        <f>OR(ISBLANK(Charms!I4912),(VLOOKUP(Values!$S$6,Castes!$B$2:$F$25,4,0)=Charms!I4912))</f>
        <v>#N/A</v>
      </c>
      <c r="J4912" t="e">
        <f t="shared" ca="1" si="381"/>
        <v>#N/A</v>
      </c>
      <c r="K4912" s="18" t="e">
        <f t="shared" ca="1" si="380"/>
        <v>#N/A</v>
      </c>
      <c r="L4912" t="e">
        <f ca="1">IF(J4912,Charms!B4912,"")</f>
        <v>#N/A</v>
      </c>
      <c r="M4912" t="str">
        <f t="shared" ca="1" si="382"/>
        <v>-</v>
      </c>
      <c r="N4912" s="18" t="str">
        <f t="shared" si="383"/>
        <v>K1622:L5000</v>
      </c>
      <c r="O4912" t="str">
        <f t="shared" si="384"/>
        <v>A1622:A4912</v>
      </c>
    </row>
    <row r="4913" spans="1:15">
      <c r="A4913" s="18">
        <f>Charms!K4913</f>
        <v>0</v>
      </c>
      <c r="B4913">
        <f>Charms!B4913</f>
        <v>0</v>
      </c>
      <c r="C4913" t="b">
        <f ca="1">OR(Values!$S$98&gt;=Charms!M4913,IFERROR(Charms!J4913=OFFSET(Values!$A$24,MATCH("S",Values!$T$25:$T$50,0),0),FALSE))</f>
        <v>1</v>
      </c>
      <c r="D4913" t="e">
        <f>VLOOKUP(Charms!J4913,Values!$A$11:$S$59,19,0)&gt;=Charms!L4913</f>
        <v>#N/A</v>
      </c>
      <c r="E4913" t="e">
        <f>OR(ISBLANK(Charms!I4913),(VLOOKUP(Values!$S$6,Castes!$B$2:$F$25,4,0)=Charms!I4913))</f>
        <v>#N/A</v>
      </c>
      <c r="J4913" t="e">
        <f t="shared" ca="1" si="381"/>
        <v>#N/A</v>
      </c>
      <c r="K4913" s="18" t="e">
        <f t="shared" ca="1" si="380"/>
        <v>#N/A</v>
      </c>
      <c r="L4913" t="e">
        <f ca="1">IF(J4913,Charms!B4913,"")</f>
        <v>#N/A</v>
      </c>
      <c r="M4913" t="str">
        <f t="shared" ca="1" si="382"/>
        <v>-</v>
      </c>
      <c r="N4913" s="18" t="str">
        <f t="shared" si="383"/>
        <v>K1622:L5000</v>
      </c>
      <c r="O4913" t="str">
        <f t="shared" si="384"/>
        <v>A1622:A4913</v>
      </c>
    </row>
    <row r="4914" spans="1:15">
      <c r="A4914" s="18">
        <f>Charms!K4914</f>
        <v>0</v>
      </c>
      <c r="B4914">
        <f>Charms!B4914</f>
        <v>0</v>
      </c>
      <c r="C4914" t="b">
        <f ca="1">OR(Values!$S$98&gt;=Charms!M4914,IFERROR(Charms!J4914=OFFSET(Values!$A$24,MATCH("S",Values!$T$25:$T$50,0),0),FALSE))</f>
        <v>1</v>
      </c>
      <c r="D4914" t="e">
        <f>VLOOKUP(Charms!J4914,Values!$A$11:$S$59,19,0)&gt;=Charms!L4914</f>
        <v>#N/A</v>
      </c>
      <c r="E4914" t="e">
        <f>OR(ISBLANK(Charms!I4914),(VLOOKUP(Values!$S$6,Castes!$B$2:$F$25,4,0)=Charms!I4914))</f>
        <v>#N/A</v>
      </c>
      <c r="J4914" t="e">
        <f t="shared" ca="1" si="381"/>
        <v>#N/A</v>
      </c>
      <c r="K4914" s="18" t="e">
        <f t="shared" ca="1" si="380"/>
        <v>#N/A</v>
      </c>
      <c r="L4914" t="e">
        <f ca="1">IF(J4914,Charms!B4914,"")</f>
        <v>#N/A</v>
      </c>
      <c r="M4914" t="str">
        <f t="shared" ca="1" si="382"/>
        <v>-</v>
      </c>
      <c r="N4914" s="18" t="str">
        <f t="shared" si="383"/>
        <v>K1622:L5000</v>
      </c>
      <c r="O4914" t="str">
        <f t="shared" si="384"/>
        <v>A1622:A4914</v>
      </c>
    </row>
    <row r="4915" spans="1:15">
      <c r="A4915" s="18">
        <f>Charms!K4915</f>
        <v>0</v>
      </c>
      <c r="B4915">
        <f>Charms!B4915</f>
        <v>0</v>
      </c>
      <c r="C4915" t="b">
        <f ca="1">OR(Values!$S$98&gt;=Charms!M4915,IFERROR(Charms!J4915=OFFSET(Values!$A$24,MATCH("S",Values!$T$25:$T$50,0),0),FALSE))</f>
        <v>1</v>
      </c>
      <c r="D4915" t="e">
        <f>VLOOKUP(Charms!J4915,Values!$A$11:$S$59,19,0)&gt;=Charms!L4915</f>
        <v>#N/A</v>
      </c>
      <c r="E4915" t="e">
        <f>OR(ISBLANK(Charms!I4915),(VLOOKUP(Values!$S$6,Castes!$B$2:$F$25,4,0)=Charms!I4915))</f>
        <v>#N/A</v>
      </c>
      <c r="J4915" t="e">
        <f t="shared" ca="1" si="381"/>
        <v>#N/A</v>
      </c>
      <c r="K4915" s="18" t="e">
        <f t="shared" ca="1" si="380"/>
        <v>#N/A</v>
      </c>
      <c r="L4915" t="e">
        <f ca="1">IF(J4915,Charms!B4915,"")</f>
        <v>#N/A</v>
      </c>
      <c r="M4915" t="str">
        <f t="shared" ca="1" si="382"/>
        <v>-</v>
      </c>
      <c r="N4915" s="18" t="str">
        <f t="shared" si="383"/>
        <v>K1622:L5000</v>
      </c>
      <c r="O4915" t="str">
        <f t="shared" si="384"/>
        <v>A1622:A4915</v>
      </c>
    </row>
    <row r="4916" spans="1:15">
      <c r="A4916" s="18">
        <f>Charms!K4916</f>
        <v>0</v>
      </c>
      <c r="B4916">
        <f>Charms!B4916</f>
        <v>0</v>
      </c>
      <c r="C4916" t="b">
        <f ca="1">OR(Values!$S$98&gt;=Charms!M4916,IFERROR(Charms!J4916=OFFSET(Values!$A$24,MATCH("S",Values!$T$25:$T$50,0),0),FALSE))</f>
        <v>1</v>
      </c>
      <c r="D4916" t="e">
        <f>VLOOKUP(Charms!J4916,Values!$A$11:$S$59,19,0)&gt;=Charms!L4916</f>
        <v>#N/A</v>
      </c>
      <c r="E4916" t="e">
        <f>OR(ISBLANK(Charms!I4916),(VLOOKUP(Values!$S$6,Castes!$B$2:$F$25,4,0)=Charms!I4916))</f>
        <v>#N/A</v>
      </c>
      <c r="J4916" t="e">
        <f t="shared" ca="1" si="381"/>
        <v>#N/A</v>
      </c>
      <c r="K4916" s="18" t="e">
        <f t="shared" ca="1" si="380"/>
        <v>#N/A</v>
      </c>
      <c r="L4916" t="e">
        <f ca="1">IF(J4916,Charms!B4916,"")</f>
        <v>#N/A</v>
      </c>
      <c r="M4916" t="str">
        <f t="shared" ca="1" si="382"/>
        <v>-</v>
      </c>
      <c r="N4916" s="18" t="str">
        <f t="shared" si="383"/>
        <v>K1622:L5000</v>
      </c>
      <c r="O4916" t="str">
        <f t="shared" si="384"/>
        <v>A1622:A4916</v>
      </c>
    </row>
    <row r="4917" spans="1:15">
      <c r="A4917" s="18">
        <f>Charms!K4917</f>
        <v>0</v>
      </c>
      <c r="B4917">
        <f>Charms!B4917</f>
        <v>0</v>
      </c>
      <c r="C4917" t="b">
        <f ca="1">OR(Values!$S$98&gt;=Charms!M4917,IFERROR(Charms!J4917=OFFSET(Values!$A$24,MATCH("S",Values!$T$25:$T$50,0),0),FALSE))</f>
        <v>1</v>
      </c>
      <c r="D4917" t="e">
        <f>VLOOKUP(Charms!J4917,Values!$A$11:$S$59,19,0)&gt;=Charms!L4917</f>
        <v>#N/A</v>
      </c>
      <c r="E4917" t="e">
        <f>OR(ISBLANK(Charms!I4917),(VLOOKUP(Values!$S$6,Castes!$B$2:$F$25,4,0)=Charms!I4917))</f>
        <v>#N/A</v>
      </c>
      <c r="J4917" t="e">
        <f t="shared" ca="1" si="381"/>
        <v>#N/A</v>
      </c>
      <c r="K4917" s="18" t="e">
        <f t="shared" ca="1" si="380"/>
        <v>#N/A</v>
      </c>
      <c r="L4917" t="e">
        <f ca="1">IF(J4917,Charms!B4917,"")</f>
        <v>#N/A</v>
      </c>
      <c r="M4917" t="str">
        <f t="shared" ca="1" si="382"/>
        <v>-</v>
      </c>
      <c r="N4917" s="18" t="str">
        <f t="shared" si="383"/>
        <v>K1622:L5000</v>
      </c>
      <c r="O4917" t="str">
        <f t="shared" si="384"/>
        <v>A1622:A4917</v>
      </c>
    </row>
    <row r="4918" spans="1:15">
      <c r="A4918" s="18">
        <f>Charms!K4918</f>
        <v>0</v>
      </c>
      <c r="B4918">
        <f>Charms!B4918</f>
        <v>0</v>
      </c>
      <c r="C4918" t="b">
        <f ca="1">OR(Values!$S$98&gt;=Charms!M4918,IFERROR(Charms!J4918=OFFSET(Values!$A$24,MATCH("S",Values!$T$25:$T$50,0),0),FALSE))</f>
        <v>1</v>
      </c>
      <c r="D4918" t="e">
        <f>VLOOKUP(Charms!J4918,Values!$A$11:$S$59,19,0)&gt;=Charms!L4918</f>
        <v>#N/A</v>
      </c>
      <c r="E4918" t="e">
        <f>OR(ISBLANK(Charms!I4918),(VLOOKUP(Values!$S$6,Castes!$B$2:$F$25,4,0)=Charms!I4918))</f>
        <v>#N/A</v>
      </c>
      <c r="J4918" t="e">
        <f t="shared" ca="1" si="381"/>
        <v>#N/A</v>
      </c>
      <c r="K4918" s="18" t="e">
        <f t="shared" ca="1" si="380"/>
        <v>#N/A</v>
      </c>
      <c r="L4918" t="e">
        <f ca="1">IF(J4918,Charms!B4918,"")</f>
        <v>#N/A</v>
      </c>
      <c r="M4918" t="str">
        <f t="shared" ca="1" si="382"/>
        <v>-</v>
      </c>
      <c r="N4918" s="18" t="str">
        <f t="shared" si="383"/>
        <v>K1622:L5000</v>
      </c>
      <c r="O4918" t="str">
        <f t="shared" si="384"/>
        <v>A1622:A4918</v>
      </c>
    </row>
    <row r="4919" spans="1:15">
      <c r="A4919" s="18">
        <f>Charms!K4919</f>
        <v>0</v>
      </c>
      <c r="B4919">
        <f>Charms!B4919</f>
        <v>0</v>
      </c>
      <c r="C4919" t="b">
        <f ca="1">OR(Values!$S$98&gt;=Charms!M4919,IFERROR(Charms!J4919=OFFSET(Values!$A$24,MATCH("S",Values!$T$25:$T$50,0),0),FALSE))</f>
        <v>1</v>
      </c>
      <c r="D4919" t="e">
        <f>VLOOKUP(Charms!J4919,Values!$A$11:$S$59,19,0)&gt;=Charms!L4919</f>
        <v>#N/A</v>
      </c>
      <c r="E4919" t="e">
        <f>OR(ISBLANK(Charms!I4919),(VLOOKUP(Values!$S$6,Castes!$B$2:$F$25,4,0)=Charms!I4919))</f>
        <v>#N/A</v>
      </c>
      <c r="J4919" t="e">
        <f t="shared" ca="1" si="381"/>
        <v>#N/A</v>
      </c>
      <c r="K4919" s="18" t="e">
        <f t="shared" ca="1" si="380"/>
        <v>#N/A</v>
      </c>
      <c r="L4919" t="e">
        <f ca="1">IF(J4919,Charms!B4919,"")</f>
        <v>#N/A</v>
      </c>
      <c r="M4919" t="str">
        <f t="shared" ca="1" si="382"/>
        <v>-</v>
      </c>
      <c r="N4919" s="18" t="str">
        <f t="shared" si="383"/>
        <v>K1622:L5000</v>
      </c>
      <c r="O4919" t="str">
        <f t="shared" si="384"/>
        <v>A1622:A4919</v>
      </c>
    </row>
    <row r="4920" spans="1:15">
      <c r="A4920" s="18">
        <f>Charms!K4920</f>
        <v>0</v>
      </c>
      <c r="B4920">
        <f>Charms!B4920</f>
        <v>0</v>
      </c>
      <c r="C4920" t="b">
        <f ca="1">OR(Values!$S$98&gt;=Charms!M4920,IFERROR(Charms!J4920=OFFSET(Values!$A$24,MATCH("S",Values!$T$25:$T$50,0),0),FALSE))</f>
        <v>1</v>
      </c>
      <c r="D4920" t="e">
        <f>VLOOKUP(Charms!J4920,Values!$A$11:$S$59,19,0)&gt;=Charms!L4920</f>
        <v>#N/A</v>
      </c>
      <c r="E4920" t="e">
        <f>OR(ISBLANK(Charms!I4920),(VLOOKUP(Values!$S$6,Castes!$B$2:$F$25,4,0)=Charms!I4920))</f>
        <v>#N/A</v>
      </c>
      <c r="J4920" t="e">
        <f t="shared" ca="1" si="381"/>
        <v>#N/A</v>
      </c>
      <c r="K4920" s="18" t="e">
        <f t="shared" ca="1" si="380"/>
        <v>#N/A</v>
      </c>
      <c r="L4920" t="e">
        <f ca="1">IF(J4920,Charms!B4920,"")</f>
        <v>#N/A</v>
      </c>
      <c r="M4920" t="str">
        <f t="shared" ca="1" si="382"/>
        <v>-</v>
      </c>
      <c r="N4920" s="18" t="str">
        <f t="shared" si="383"/>
        <v>K1622:L5000</v>
      </c>
      <c r="O4920" t="str">
        <f t="shared" si="384"/>
        <v>A1622:A4920</v>
      </c>
    </row>
    <row r="4921" spans="1:15">
      <c r="A4921" s="18">
        <f>Charms!K4921</f>
        <v>0</v>
      </c>
      <c r="B4921">
        <f>Charms!B4921</f>
        <v>0</v>
      </c>
      <c r="C4921" t="b">
        <f ca="1">OR(Values!$S$98&gt;=Charms!M4921,IFERROR(Charms!J4921=OFFSET(Values!$A$24,MATCH("S",Values!$T$25:$T$50,0),0),FALSE))</f>
        <v>1</v>
      </c>
      <c r="D4921" t="e">
        <f>VLOOKUP(Charms!J4921,Values!$A$11:$S$59,19,0)&gt;=Charms!L4921</f>
        <v>#N/A</v>
      </c>
      <c r="E4921" t="e">
        <f>OR(ISBLANK(Charms!I4921),(VLOOKUP(Values!$S$6,Castes!$B$2:$F$25,4,0)=Charms!I4921))</f>
        <v>#N/A</v>
      </c>
      <c r="J4921" t="e">
        <f t="shared" ca="1" si="381"/>
        <v>#N/A</v>
      </c>
      <c r="K4921" s="18" t="e">
        <f t="shared" ca="1" si="380"/>
        <v>#N/A</v>
      </c>
      <c r="L4921" t="e">
        <f ca="1">IF(J4921,Charms!B4921,"")</f>
        <v>#N/A</v>
      </c>
      <c r="M4921" t="str">
        <f t="shared" ca="1" si="382"/>
        <v>-</v>
      </c>
      <c r="N4921" s="18" t="str">
        <f t="shared" si="383"/>
        <v>K1622:L5000</v>
      </c>
      <c r="O4921" t="str">
        <f t="shared" si="384"/>
        <v>A1622:A4921</v>
      </c>
    </row>
    <row r="4922" spans="1:15">
      <c r="A4922" s="18">
        <f>Charms!K4922</f>
        <v>0</v>
      </c>
      <c r="B4922">
        <f>Charms!B4922</f>
        <v>0</v>
      </c>
      <c r="C4922" t="b">
        <f ca="1">OR(Values!$S$98&gt;=Charms!M4922,IFERROR(Charms!J4922=OFFSET(Values!$A$24,MATCH("S",Values!$T$25:$T$50,0),0),FALSE))</f>
        <v>1</v>
      </c>
      <c r="D4922" t="e">
        <f>VLOOKUP(Charms!J4922,Values!$A$11:$S$59,19,0)&gt;=Charms!L4922</f>
        <v>#N/A</v>
      </c>
      <c r="E4922" t="e">
        <f>OR(ISBLANK(Charms!I4922),(VLOOKUP(Values!$S$6,Castes!$B$2:$F$25,4,0)=Charms!I4922))</f>
        <v>#N/A</v>
      </c>
      <c r="J4922" t="e">
        <f t="shared" ca="1" si="381"/>
        <v>#N/A</v>
      </c>
      <c r="K4922" s="18" t="e">
        <f t="shared" ca="1" si="380"/>
        <v>#N/A</v>
      </c>
      <c r="L4922" t="e">
        <f ca="1">IF(J4922,Charms!B4922,"")</f>
        <v>#N/A</v>
      </c>
      <c r="M4922" t="str">
        <f t="shared" ca="1" si="382"/>
        <v>-</v>
      </c>
      <c r="N4922" s="18" t="str">
        <f t="shared" si="383"/>
        <v>K1622:L5000</v>
      </c>
      <c r="O4922" t="str">
        <f t="shared" si="384"/>
        <v>A1622:A4922</v>
      </c>
    </row>
    <row r="4923" spans="1:15">
      <c r="A4923" s="18">
        <f>Charms!K4923</f>
        <v>0</v>
      </c>
      <c r="B4923">
        <f>Charms!B4923</f>
        <v>0</v>
      </c>
      <c r="C4923" t="b">
        <f ca="1">OR(Values!$S$98&gt;=Charms!M4923,IFERROR(Charms!J4923=OFFSET(Values!$A$24,MATCH("S",Values!$T$25:$T$50,0),0),FALSE))</f>
        <v>1</v>
      </c>
      <c r="D4923" t="e">
        <f>VLOOKUP(Charms!J4923,Values!$A$11:$S$59,19,0)&gt;=Charms!L4923</f>
        <v>#N/A</v>
      </c>
      <c r="E4923" t="e">
        <f>OR(ISBLANK(Charms!I4923),(VLOOKUP(Values!$S$6,Castes!$B$2:$F$25,4,0)=Charms!I4923))</f>
        <v>#N/A</v>
      </c>
      <c r="J4923" t="e">
        <f t="shared" ca="1" si="381"/>
        <v>#N/A</v>
      </c>
      <c r="K4923" s="18" t="e">
        <f t="shared" ca="1" si="380"/>
        <v>#N/A</v>
      </c>
      <c r="L4923" t="e">
        <f ca="1">IF(J4923,Charms!B4923,"")</f>
        <v>#N/A</v>
      </c>
      <c r="M4923" t="str">
        <f t="shared" ca="1" si="382"/>
        <v>-</v>
      </c>
      <c r="N4923" s="18" t="str">
        <f t="shared" si="383"/>
        <v>K1622:L5000</v>
      </c>
      <c r="O4923" t="str">
        <f t="shared" si="384"/>
        <v>A1622:A4923</v>
      </c>
    </row>
    <row r="4924" spans="1:15">
      <c r="A4924" s="18">
        <f>Charms!K4924</f>
        <v>0</v>
      </c>
      <c r="B4924">
        <f>Charms!B4924</f>
        <v>0</v>
      </c>
      <c r="C4924" t="b">
        <f ca="1">OR(Values!$S$98&gt;=Charms!M4924,IFERROR(Charms!J4924=OFFSET(Values!$A$24,MATCH("S",Values!$T$25:$T$50,0),0),FALSE))</f>
        <v>1</v>
      </c>
      <c r="D4924" t="e">
        <f>VLOOKUP(Charms!J4924,Values!$A$11:$S$59,19,0)&gt;=Charms!L4924</f>
        <v>#N/A</v>
      </c>
      <c r="E4924" t="e">
        <f>OR(ISBLANK(Charms!I4924),(VLOOKUP(Values!$S$6,Castes!$B$2:$F$25,4,0)=Charms!I4924))</f>
        <v>#N/A</v>
      </c>
      <c r="J4924" t="e">
        <f t="shared" ca="1" si="381"/>
        <v>#N/A</v>
      </c>
      <c r="K4924" s="18" t="e">
        <f t="shared" ca="1" si="380"/>
        <v>#N/A</v>
      </c>
      <c r="L4924" t="e">
        <f ca="1">IF(J4924,Charms!B4924,"")</f>
        <v>#N/A</v>
      </c>
      <c r="M4924" t="str">
        <f t="shared" ca="1" si="382"/>
        <v>-</v>
      </c>
      <c r="N4924" s="18" t="str">
        <f t="shared" si="383"/>
        <v>K1622:L5000</v>
      </c>
      <c r="O4924" t="str">
        <f t="shared" si="384"/>
        <v>A1622:A4924</v>
      </c>
    </row>
    <row r="4925" spans="1:15">
      <c r="A4925" s="18">
        <f>Charms!K4925</f>
        <v>0</v>
      </c>
      <c r="B4925">
        <f>Charms!B4925</f>
        <v>0</v>
      </c>
      <c r="C4925" t="b">
        <f ca="1">OR(Values!$S$98&gt;=Charms!M4925,IFERROR(Charms!J4925=OFFSET(Values!$A$24,MATCH("S",Values!$T$25:$T$50,0),0),FALSE))</f>
        <v>1</v>
      </c>
      <c r="D4925" t="e">
        <f>VLOOKUP(Charms!J4925,Values!$A$11:$S$59,19,0)&gt;=Charms!L4925</f>
        <v>#N/A</v>
      </c>
      <c r="E4925" t="e">
        <f>OR(ISBLANK(Charms!I4925),(VLOOKUP(Values!$S$6,Castes!$B$2:$F$25,4,0)=Charms!I4925))</f>
        <v>#N/A</v>
      </c>
      <c r="J4925" t="e">
        <f t="shared" ca="1" si="381"/>
        <v>#N/A</v>
      </c>
      <c r="K4925" s="18" t="e">
        <f t="shared" ca="1" si="380"/>
        <v>#N/A</v>
      </c>
      <c r="L4925" t="e">
        <f ca="1">IF(J4925,Charms!B4925,"")</f>
        <v>#N/A</v>
      </c>
      <c r="M4925" t="str">
        <f t="shared" ca="1" si="382"/>
        <v>-</v>
      </c>
      <c r="N4925" s="18" t="str">
        <f t="shared" si="383"/>
        <v>K1622:L5000</v>
      </c>
      <c r="O4925" t="str">
        <f t="shared" si="384"/>
        <v>A1622:A4925</v>
      </c>
    </row>
    <row r="4926" spans="1:15">
      <c r="A4926" s="18">
        <f>Charms!K4926</f>
        <v>0</v>
      </c>
      <c r="B4926">
        <f>Charms!B4926</f>
        <v>0</v>
      </c>
      <c r="C4926" t="b">
        <f ca="1">OR(Values!$S$98&gt;=Charms!M4926,IFERROR(Charms!J4926=OFFSET(Values!$A$24,MATCH("S",Values!$T$25:$T$50,0),0),FALSE))</f>
        <v>1</v>
      </c>
      <c r="D4926" t="e">
        <f>VLOOKUP(Charms!J4926,Values!$A$11:$S$59,19,0)&gt;=Charms!L4926</f>
        <v>#N/A</v>
      </c>
      <c r="E4926" t="e">
        <f>OR(ISBLANK(Charms!I4926),(VLOOKUP(Values!$S$6,Castes!$B$2:$F$25,4,0)=Charms!I4926))</f>
        <v>#N/A</v>
      </c>
      <c r="J4926" t="e">
        <f t="shared" ca="1" si="381"/>
        <v>#N/A</v>
      </c>
      <c r="K4926" s="18" t="e">
        <f t="shared" ca="1" si="380"/>
        <v>#N/A</v>
      </c>
      <c r="L4926" t="e">
        <f ca="1">IF(J4926,Charms!B4926,"")</f>
        <v>#N/A</v>
      </c>
      <c r="M4926" t="str">
        <f t="shared" ca="1" si="382"/>
        <v>-</v>
      </c>
      <c r="N4926" s="18" t="str">
        <f t="shared" si="383"/>
        <v>K1622:L5000</v>
      </c>
      <c r="O4926" t="str">
        <f t="shared" si="384"/>
        <v>A1622:A4926</v>
      </c>
    </row>
    <row r="4927" spans="1:15">
      <c r="A4927" s="18">
        <f>Charms!K4927</f>
        <v>0</v>
      </c>
      <c r="B4927">
        <f>Charms!B4927</f>
        <v>0</v>
      </c>
      <c r="C4927" t="b">
        <f ca="1">OR(Values!$S$98&gt;=Charms!M4927,IFERROR(Charms!J4927=OFFSET(Values!$A$24,MATCH("S",Values!$T$25:$T$50,0),0),FALSE))</f>
        <v>1</v>
      </c>
      <c r="D4927" t="e">
        <f>VLOOKUP(Charms!J4927,Values!$A$11:$S$59,19,0)&gt;=Charms!L4927</f>
        <v>#N/A</v>
      </c>
      <c r="E4927" t="e">
        <f>OR(ISBLANK(Charms!I4927),(VLOOKUP(Values!$S$6,Castes!$B$2:$F$25,4,0)=Charms!I4927))</f>
        <v>#N/A</v>
      </c>
      <c r="J4927" t="e">
        <f t="shared" ca="1" si="381"/>
        <v>#N/A</v>
      </c>
      <c r="K4927" s="18" t="e">
        <f t="shared" ca="1" si="380"/>
        <v>#N/A</v>
      </c>
      <c r="L4927" t="e">
        <f ca="1">IF(J4927,Charms!B4927,"")</f>
        <v>#N/A</v>
      </c>
      <c r="M4927" t="str">
        <f t="shared" ca="1" si="382"/>
        <v>-</v>
      </c>
      <c r="N4927" s="18" t="str">
        <f t="shared" si="383"/>
        <v>K1622:L5000</v>
      </c>
      <c r="O4927" t="str">
        <f t="shared" si="384"/>
        <v>A1622:A4927</v>
      </c>
    </row>
    <row r="4928" spans="1:15">
      <c r="A4928" s="18">
        <f>Charms!K4928</f>
        <v>0</v>
      </c>
      <c r="B4928">
        <f>Charms!B4928</f>
        <v>0</v>
      </c>
      <c r="C4928" t="b">
        <f ca="1">OR(Values!$S$98&gt;=Charms!M4928,IFERROR(Charms!J4928=OFFSET(Values!$A$24,MATCH("S",Values!$T$25:$T$50,0),0),FALSE))</f>
        <v>1</v>
      </c>
      <c r="D4928" t="e">
        <f>VLOOKUP(Charms!J4928,Values!$A$11:$S$59,19,0)&gt;=Charms!L4928</f>
        <v>#N/A</v>
      </c>
      <c r="E4928" t="e">
        <f>OR(ISBLANK(Charms!I4928),(VLOOKUP(Values!$S$6,Castes!$B$2:$F$25,4,0)=Charms!I4928))</f>
        <v>#N/A</v>
      </c>
      <c r="J4928" t="e">
        <f t="shared" ca="1" si="381"/>
        <v>#N/A</v>
      </c>
      <c r="K4928" s="18" t="e">
        <f t="shared" ca="1" si="380"/>
        <v>#N/A</v>
      </c>
      <c r="L4928" t="e">
        <f ca="1">IF(J4928,Charms!B4928,"")</f>
        <v>#N/A</v>
      </c>
      <c r="M4928" t="str">
        <f t="shared" ca="1" si="382"/>
        <v>-</v>
      </c>
      <c r="N4928" s="18" t="str">
        <f t="shared" si="383"/>
        <v>K1622:L5000</v>
      </c>
      <c r="O4928" t="str">
        <f t="shared" si="384"/>
        <v>A1622:A4928</v>
      </c>
    </row>
    <row r="4929" spans="1:15">
      <c r="A4929" s="18">
        <f>Charms!K4929</f>
        <v>0</v>
      </c>
      <c r="B4929">
        <f>Charms!B4929</f>
        <v>0</v>
      </c>
      <c r="C4929" t="b">
        <f ca="1">OR(Values!$S$98&gt;=Charms!M4929,IFERROR(Charms!J4929=OFFSET(Values!$A$24,MATCH("S",Values!$T$25:$T$50,0),0),FALSE))</f>
        <v>1</v>
      </c>
      <c r="D4929" t="e">
        <f>VLOOKUP(Charms!J4929,Values!$A$11:$S$59,19,0)&gt;=Charms!L4929</f>
        <v>#N/A</v>
      </c>
      <c r="E4929" t="e">
        <f>OR(ISBLANK(Charms!I4929),(VLOOKUP(Values!$S$6,Castes!$B$2:$F$25,4,0)=Charms!I4929))</f>
        <v>#N/A</v>
      </c>
      <c r="J4929" t="e">
        <f t="shared" ca="1" si="381"/>
        <v>#N/A</v>
      </c>
      <c r="K4929" s="18" t="e">
        <f t="shared" ca="1" si="380"/>
        <v>#N/A</v>
      </c>
      <c r="L4929" t="e">
        <f ca="1">IF(J4929,Charms!B4929,"")</f>
        <v>#N/A</v>
      </c>
      <c r="M4929" t="str">
        <f t="shared" ca="1" si="382"/>
        <v>-</v>
      </c>
      <c r="N4929" s="18" t="str">
        <f t="shared" si="383"/>
        <v>K1622:L5000</v>
      </c>
      <c r="O4929" t="str">
        <f t="shared" si="384"/>
        <v>A1622:A4929</v>
      </c>
    </row>
    <row r="4930" spans="1:15">
      <c r="A4930" s="18">
        <f>Charms!K4930</f>
        <v>0</v>
      </c>
      <c r="B4930">
        <f>Charms!B4930</f>
        <v>0</v>
      </c>
      <c r="C4930" t="b">
        <f ca="1">OR(Values!$S$98&gt;=Charms!M4930,IFERROR(Charms!J4930=OFFSET(Values!$A$24,MATCH("S",Values!$T$25:$T$50,0),0),FALSE))</f>
        <v>1</v>
      </c>
      <c r="D4930" t="e">
        <f>VLOOKUP(Charms!J4930,Values!$A$11:$S$59,19,0)&gt;=Charms!L4930</f>
        <v>#N/A</v>
      </c>
      <c r="E4930" t="e">
        <f>OR(ISBLANK(Charms!I4930),(VLOOKUP(Values!$S$6,Castes!$B$2:$F$25,4,0)=Charms!I4930))</f>
        <v>#N/A</v>
      </c>
      <c r="J4930" t="e">
        <f t="shared" ca="1" si="381"/>
        <v>#N/A</v>
      </c>
      <c r="K4930" s="18" t="e">
        <f t="shared" ref="K4930:K4993" ca="1" si="385">IF(L4930="","",COUNTIF(INDIRECT("J"&amp;MATCH(A4930,A:A,0)&amp;":J"&amp;ROW()),J4930))</f>
        <v>#N/A</v>
      </c>
      <c r="L4930" t="e">
        <f ca="1">IF(J4930,Charms!B4930,"")</f>
        <v>#N/A</v>
      </c>
      <c r="M4930" t="str">
        <f t="shared" ca="1" si="382"/>
        <v>-</v>
      </c>
      <c r="N4930" s="18" t="str">
        <f t="shared" si="383"/>
        <v>K1622:L5000</v>
      </c>
      <c r="O4930" t="str">
        <f t="shared" si="384"/>
        <v>A1622:A4930</v>
      </c>
    </row>
    <row r="4931" spans="1:15">
      <c r="A4931" s="18">
        <f>Charms!K4931</f>
        <v>0</v>
      </c>
      <c r="B4931">
        <f>Charms!B4931</f>
        <v>0</v>
      </c>
      <c r="C4931" t="b">
        <f ca="1">OR(Values!$S$98&gt;=Charms!M4931,IFERROR(Charms!J4931=OFFSET(Values!$A$24,MATCH("S",Values!$T$25:$T$50,0),0),FALSE))</f>
        <v>1</v>
      </c>
      <c r="D4931" t="e">
        <f>VLOOKUP(Charms!J4931,Values!$A$11:$S$59,19,0)&gt;=Charms!L4931</f>
        <v>#N/A</v>
      </c>
      <c r="E4931" t="e">
        <f>OR(ISBLANK(Charms!I4931),(VLOOKUP(Values!$S$6,Castes!$B$2:$F$25,4,0)=Charms!I4931))</f>
        <v>#N/A</v>
      </c>
      <c r="J4931" t="e">
        <f t="shared" ref="J4931:J4994" ca="1" si="386">(C4931+D4931+E4931+F4931+G4931+H4931+I4931)=3</f>
        <v>#N/A</v>
      </c>
      <c r="K4931" s="18" t="e">
        <f t="shared" ca="1" si="385"/>
        <v>#N/A</v>
      </c>
      <c r="L4931" t="e">
        <f ca="1">IF(J4931,Charms!B4931,"")</f>
        <v>#N/A</v>
      </c>
      <c r="M4931" t="str">
        <f t="shared" ref="M4931:M4994" ca="1" si="387">IFERROR(VLOOKUP(COUNTIF(INDIRECT(O4931),A4931),INDIRECT(N4931),2,0),"-")</f>
        <v>-</v>
      </c>
      <c r="N4931" s="18" t="str">
        <f t="shared" ref="N4931:N4994" si="388">"K"&amp;MATCH(A4931,A:A,0)&amp;":L"&amp;(MATCH(A4931,A:A,0)+COUNTIF(A:A,A4931)-1)</f>
        <v>K1622:L5000</v>
      </c>
      <c r="O4931" t="str">
        <f t="shared" ref="O4931:O4994" si="389">"A"&amp;MATCH(A4931,A:A,0)&amp;":A"&amp;ROW()</f>
        <v>A1622:A4931</v>
      </c>
    </row>
    <row r="4932" spans="1:15">
      <c r="A4932" s="18">
        <f>Charms!K4932</f>
        <v>0</v>
      </c>
      <c r="B4932">
        <f>Charms!B4932</f>
        <v>0</v>
      </c>
      <c r="C4932" t="b">
        <f ca="1">OR(Values!$S$98&gt;=Charms!M4932,IFERROR(Charms!J4932=OFFSET(Values!$A$24,MATCH("S",Values!$T$25:$T$50,0),0),FALSE))</f>
        <v>1</v>
      </c>
      <c r="D4932" t="e">
        <f>VLOOKUP(Charms!J4932,Values!$A$11:$S$59,19,0)&gt;=Charms!L4932</f>
        <v>#N/A</v>
      </c>
      <c r="E4932" t="e">
        <f>OR(ISBLANK(Charms!I4932),(VLOOKUP(Values!$S$6,Castes!$B$2:$F$25,4,0)=Charms!I4932))</f>
        <v>#N/A</v>
      </c>
      <c r="J4932" t="e">
        <f t="shared" ca="1" si="386"/>
        <v>#N/A</v>
      </c>
      <c r="K4932" s="18" t="e">
        <f t="shared" ca="1" si="385"/>
        <v>#N/A</v>
      </c>
      <c r="L4932" t="e">
        <f ca="1">IF(J4932,Charms!B4932,"")</f>
        <v>#N/A</v>
      </c>
      <c r="M4932" t="str">
        <f t="shared" ca="1" si="387"/>
        <v>-</v>
      </c>
      <c r="N4932" s="18" t="str">
        <f t="shared" si="388"/>
        <v>K1622:L5000</v>
      </c>
      <c r="O4932" t="str">
        <f t="shared" si="389"/>
        <v>A1622:A4932</v>
      </c>
    </row>
    <row r="4933" spans="1:15">
      <c r="A4933" s="18">
        <f>Charms!K4933</f>
        <v>0</v>
      </c>
      <c r="B4933">
        <f>Charms!B4933</f>
        <v>0</v>
      </c>
      <c r="C4933" t="b">
        <f ca="1">OR(Values!$S$98&gt;=Charms!M4933,IFERROR(Charms!J4933=OFFSET(Values!$A$24,MATCH("S",Values!$T$25:$T$50,0),0),FALSE))</f>
        <v>1</v>
      </c>
      <c r="D4933" t="e">
        <f>VLOOKUP(Charms!J4933,Values!$A$11:$S$59,19,0)&gt;=Charms!L4933</f>
        <v>#N/A</v>
      </c>
      <c r="E4933" t="e">
        <f>OR(ISBLANK(Charms!I4933),(VLOOKUP(Values!$S$6,Castes!$B$2:$F$25,4,0)=Charms!I4933))</f>
        <v>#N/A</v>
      </c>
      <c r="J4933" t="e">
        <f t="shared" ca="1" si="386"/>
        <v>#N/A</v>
      </c>
      <c r="K4933" s="18" t="e">
        <f t="shared" ca="1" si="385"/>
        <v>#N/A</v>
      </c>
      <c r="L4933" t="e">
        <f ca="1">IF(J4933,Charms!B4933,"")</f>
        <v>#N/A</v>
      </c>
      <c r="M4933" t="str">
        <f t="shared" ca="1" si="387"/>
        <v>-</v>
      </c>
      <c r="N4933" s="18" t="str">
        <f t="shared" si="388"/>
        <v>K1622:L5000</v>
      </c>
      <c r="O4933" t="str">
        <f t="shared" si="389"/>
        <v>A1622:A4933</v>
      </c>
    </row>
    <row r="4934" spans="1:15">
      <c r="A4934" s="18">
        <f>Charms!K4934</f>
        <v>0</v>
      </c>
      <c r="B4934">
        <f>Charms!B4934</f>
        <v>0</v>
      </c>
      <c r="C4934" t="b">
        <f ca="1">OR(Values!$S$98&gt;=Charms!M4934,IFERROR(Charms!J4934=OFFSET(Values!$A$24,MATCH("S",Values!$T$25:$T$50,0),0),FALSE))</f>
        <v>1</v>
      </c>
      <c r="D4934" t="e">
        <f>VLOOKUP(Charms!J4934,Values!$A$11:$S$59,19,0)&gt;=Charms!L4934</f>
        <v>#N/A</v>
      </c>
      <c r="E4934" t="e">
        <f>OR(ISBLANK(Charms!I4934),(VLOOKUP(Values!$S$6,Castes!$B$2:$F$25,4,0)=Charms!I4934))</f>
        <v>#N/A</v>
      </c>
      <c r="J4934" t="e">
        <f t="shared" ca="1" si="386"/>
        <v>#N/A</v>
      </c>
      <c r="K4934" s="18" t="e">
        <f t="shared" ca="1" si="385"/>
        <v>#N/A</v>
      </c>
      <c r="L4934" t="e">
        <f ca="1">IF(J4934,Charms!B4934,"")</f>
        <v>#N/A</v>
      </c>
      <c r="M4934" t="str">
        <f t="shared" ca="1" si="387"/>
        <v>-</v>
      </c>
      <c r="N4934" s="18" t="str">
        <f t="shared" si="388"/>
        <v>K1622:L5000</v>
      </c>
      <c r="O4934" t="str">
        <f t="shared" si="389"/>
        <v>A1622:A4934</v>
      </c>
    </row>
    <row r="4935" spans="1:15">
      <c r="A4935" s="18">
        <f>Charms!K4935</f>
        <v>0</v>
      </c>
      <c r="B4935">
        <f>Charms!B4935</f>
        <v>0</v>
      </c>
      <c r="C4935" t="b">
        <f ca="1">OR(Values!$S$98&gt;=Charms!M4935,IFERROR(Charms!J4935=OFFSET(Values!$A$24,MATCH("S",Values!$T$25:$T$50,0),0),FALSE))</f>
        <v>1</v>
      </c>
      <c r="D4935" t="e">
        <f>VLOOKUP(Charms!J4935,Values!$A$11:$S$59,19,0)&gt;=Charms!L4935</f>
        <v>#N/A</v>
      </c>
      <c r="E4935" t="e">
        <f>OR(ISBLANK(Charms!I4935),(VLOOKUP(Values!$S$6,Castes!$B$2:$F$25,4,0)=Charms!I4935))</f>
        <v>#N/A</v>
      </c>
      <c r="J4935" t="e">
        <f t="shared" ca="1" si="386"/>
        <v>#N/A</v>
      </c>
      <c r="K4935" s="18" t="e">
        <f t="shared" ca="1" si="385"/>
        <v>#N/A</v>
      </c>
      <c r="L4935" t="e">
        <f ca="1">IF(J4935,Charms!B4935,"")</f>
        <v>#N/A</v>
      </c>
      <c r="M4935" t="str">
        <f t="shared" ca="1" si="387"/>
        <v>-</v>
      </c>
      <c r="N4935" s="18" t="str">
        <f t="shared" si="388"/>
        <v>K1622:L5000</v>
      </c>
      <c r="O4935" t="str">
        <f t="shared" si="389"/>
        <v>A1622:A4935</v>
      </c>
    </row>
    <row r="4936" spans="1:15">
      <c r="A4936" s="18">
        <f>Charms!K4936</f>
        <v>0</v>
      </c>
      <c r="B4936">
        <f>Charms!B4936</f>
        <v>0</v>
      </c>
      <c r="C4936" t="b">
        <f ca="1">OR(Values!$S$98&gt;=Charms!M4936,IFERROR(Charms!J4936=OFFSET(Values!$A$24,MATCH("S",Values!$T$25:$T$50,0),0),FALSE))</f>
        <v>1</v>
      </c>
      <c r="D4936" t="e">
        <f>VLOOKUP(Charms!J4936,Values!$A$11:$S$59,19,0)&gt;=Charms!L4936</f>
        <v>#N/A</v>
      </c>
      <c r="E4936" t="e">
        <f>OR(ISBLANK(Charms!I4936),(VLOOKUP(Values!$S$6,Castes!$B$2:$F$25,4,0)=Charms!I4936))</f>
        <v>#N/A</v>
      </c>
      <c r="J4936" t="e">
        <f t="shared" ca="1" si="386"/>
        <v>#N/A</v>
      </c>
      <c r="K4936" s="18" t="e">
        <f t="shared" ca="1" si="385"/>
        <v>#N/A</v>
      </c>
      <c r="L4936" t="e">
        <f ca="1">IF(J4936,Charms!B4936,"")</f>
        <v>#N/A</v>
      </c>
      <c r="M4936" t="str">
        <f t="shared" ca="1" si="387"/>
        <v>-</v>
      </c>
      <c r="N4936" s="18" t="str">
        <f t="shared" si="388"/>
        <v>K1622:L5000</v>
      </c>
      <c r="O4936" t="str">
        <f t="shared" si="389"/>
        <v>A1622:A4936</v>
      </c>
    </row>
    <row r="4937" spans="1:15">
      <c r="A4937" s="18">
        <f>Charms!K4937</f>
        <v>0</v>
      </c>
      <c r="B4937">
        <f>Charms!B4937</f>
        <v>0</v>
      </c>
      <c r="C4937" t="b">
        <f ca="1">OR(Values!$S$98&gt;=Charms!M4937,IFERROR(Charms!J4937=OFFSET(Values!$A$24,MATCH("S",Values!$T$25:$T$50,0),0),FALSE))</f>
        <v>1</v>
      </c>
      <c r="D4937" t="e">
        <f>VLOOKUP(Charms!J4937,Values!$A$11:$S$59,19,0)&gt;=Charms!L4937</f>
        <v>#N/A</v>
      </c>
      <c r="E4937" t="e">
        <f>OR(ISBLANK(Charms!I4937),(VLOOKUP(Values!$S$6,Castes!$B$2:$F$25,4,0)=Charms!I4937))</f>
        <v>#N/A</v>
      </c>
      <c r="J4937" t="e">
        <f t="shared" ca="1" si="386"/>
        <v>#N/A</v>
      </c>
      <c r="K4937" s="18" t="e">
        <f t="shared" ca="1" si="385"/>
        <v>#N/A</v>
      </c>
      <c r="L4937" t="e">
        <f ca="1">IF(J4937,Charms!B4937,"")</f>
        <v>#N/A</v>
      </c>
      <c r="M4937" t="str">
        <f t="shared" ca="1" si="387"/>
        <v>-</v>
      </c>
      <c r="N4937" s="18" t="str">
        <f t="shared" si="388"/>
        <v>K1622:L5000</v>
      </c>
      <c r="O4937" t="str">
        <f t="shared" si="389"/>
        <v>A1622:A4937</v>
      </c>
    </row>
    <row r="4938" spans="1:15">
      <c r="A4938" s="18">
        <f>Charms!K4938</f>
        <v>0</v>
      </c>
      <c r="B4938">
        <f>Charms!B4938</f>
        <v>0</v>
      </c>
      <c r="C4938" t="b">
        <f ca="1">OR(Values!$S$98&gt;=Charms!M4938,IFERROR(Charms!J4938=OFFSET(Values!$A$24,MATCH("S",Values!$T$25:$T$50,0),0),FALSE))</f>
        <v>1</v>
      </c>
      <c r="D4938" t="e">
        <f>VLOOKUP(Charms!J4938,Values!$A$11:$S$59,19,0)&gt;=Charms!L4938</f>
        <v>#N/A</v>
      </c>
      <c r="E4938" t="e">
        <f>OR(ISBLANK(Charms!I4938),(VLOOKUP(Values!$S$6,Castes!$B$2:$F$25,4,0)=Charms!I4938))</f>
        <v>#N/A</v>
      </c>
      <c r="J4938" t="e">
        <f t="shared" ca="1" si="386"/>
        <v>#N/A</v>
      </c>
      <c r="K4938" s="18" t="e">
        <f t="shared" ca="1" si="385"/>
        <v>#N/A</v>
      </c>
      <c r="L4938" t="e">
        <f ca="1">IF(J4938,Charms!B4938,"")</f>
        <v>#N/A</v>
      </c>
      <c r="M4938" t="str">
        <f t="shared" ca="1" si="387"/>
        <v>-</v>
      </c>
      <c r="N4938" s="18" t="str">
        <f t="shared" si="388"/>
        <v>K1622:L5000</v>
      </c>
      <c r="O4938" t="str">
        <f t="shared" si="389"/>
        <v>A1622:A4938</v>
      </c>
    </row>
    <row r="4939" spans="1:15">
      <c r="A4939" s="18">
        <f>Charms!K4939</f>
        <v>0</v>
      </c>
      <c r="B4939">
        <f>Charms!B4939</f>
        <v>0</v>
      </c>
      <c r="C4939" t="b">
        <f ca="1">OR(Values!$S$98&gt;=Charms!M4939,IFERROR(Charms!J4939=OFFSET(Values!$A$24,MATCH("S",Values!$T$25:$T$50,0),0),FALSE))</f>
        <v>1</v>
      </c>
      <c r="D4939" t="e">
        <f>VLOOKUP(Charms!J4939,Values!$A$11:$S$59,19,0)&gt;=Charms!L4939</f>
        <v>#N/A</v>
      </c>
      <c r="E4939" t="e">
        <f>OR(ISBLANK(Charms!I4939),(VLOOKUP(Values!$S$6,Castes!$B$2:$F$25,4,0)=Charms!I4939))</f>
        <v>#N/A</v>
      </c>
      <c r="J4939" t="e">
        <f t="shared" ca="1" si="386"/>
        <v>#N/A</v>
      </c>
      <c r="K4939" s="18" t="e">
        <f t="shared" ca="1" si="385"/>
        <v>#N/A</v>
      </c>
      <c r="L4939" t="e">
        <f ca="1">IF(J4939,Charms!B4939,"")</f>
        <v>#N/A</v>
      </c>
      <c r="M4939" t="str">
        <f t="shared" ca="1" si="387"/>
        <v>-</v>
      </c>
      <c r="N4939" s="18" t="str">
        <f t="shared" si="388"/>
        <v>K1622:L5000</v>
      </c>
      <c r="O4939" t="str">
        <f t="shared" si="389"/>
        <v>A1622:A4939</v>
      </c>
    </row>
    <row r="4940" spans="1:15">
      <c r="A4940" s="18">
        <f>Charms!K4940</f>
        <v>0</v>
      </c>
      <c r="B4940">
        <f>Charms!B4940</f>
        <v>0</v>
      </c>
      <c r="C4940" t="b">
        <f ca="1">OR(Values!$S$98&gt;=Charms!M4940,IFERROR(Charms!J4940=OFFSET(Values!$A$24,MATCH("S",Values!$T$25:$T$50,0),0),FALSE))</f>
        <v>1</v>
      </c>
      <c r="D4940" t="e">
        <f>VLOOKUP(Charms!J4940,Values!$A$11:$S$59,19,0)&gt;=Charms!L4940</f>
        <v>#N/A</v>
      </c>
      <c r="E4940" t="e">
        <f>OR(ISBLANK(Charms!I4940),(VLOOKUP(Values!$S$6,Castes!$B$2:$F$25,4,0)=Charms!I4940))</f>
        <v>#N/A</v>
      </c>
      <c r="J4940" t="e">
        <f t="shared" ca="1" si="386"/>
        <v>#N/A</v>
      </c>
      <c r="K4940" s="18" t="e">
        <f t="shared" ca="1" si="385"/>
        <v>#N/A</v>
      </c>
      <c r="L4940" t="e">
        <f ca="1">IF(J4940,Charms!B4940,"")</f>
        <v>#N/A</v>
      </c>
      <c r="M4940" t="str">
        <f t="shared" ca="1" si="387"/>
        <v>-</v>
      </c>
      <c r="N4940" s="18" t="str">
        <f t="shared" si="388"/>
        <v>K1622:L5000</v>
      </c>
      <c r="O4940" t="str">
        <f t="shared" si="389"/>
        <v>A1622:A4940</v>
      </c>
    </row>
    <row r="4941" spans="1:15">
      <c r="A4941" s="18">
        <f>Charms!K4941</f>
        <v>0</v>
      </c>
      <c r="B4941">
        <f>Charms!B4941</f>
        <v>0</v>
      </c>
      <c r="C4941" t="b">
        <f ca="1">OR(Values!$S$98&gt;=Charms!M4941,IFERROR(Charms!J4941=OFFSET(Values!$A$24,MATCH("S",Values!$T$25:$T$50,0),0),FALSE))</f>
        <v>1</v>
      </c>
      <c r="D4941" t="e">
        <f>VLOOKUP(Charms!J4941,Values!$A$11:$S$59,19,0)&gt;=Charms!L4941</f>
        <v>#N/A</v>
      </c>
      <c r="E4941" t="e">
        <f>OR(ISBLANK(Charms!I4941),(VLOOKUP(Values!$S$6,Castes!$B$2:$F$25,4,0)=Charms!I4941))</f>
        <v>#N/A</v>
      </c>
      <c r="J4941" t="e">
        <f t="shared" ca="1" si="386"/>
        <v>#N/A</v>
      </c>
      <c r="K4941" s="18" t="e">
        <f t="shared" ca="1" si="385"/>
        <v>#N/A</v>
      </c>
      <c r="L4941" t="e">
        <f ca="1">IF(J4941,Charms!B4941,"")</f>
        <v>#N/A</v>
      </c>
      <c r="M4941" t="str">
        <f t="shared" ca="1" si="387"/>
        <v>-</v>
      </c>
      <c r="N4941" s="18" t="str">
        <f t="shared" si="388"/>
        <v>K1622:L5000</v>
      </c>
      <c r="O4941" t="str">
        <f t="shared" si="389"/>
        <v>A1622:A4941</v>
      </c>
    </row>
    <row r="4942" spans="1:15">
      <c r="A4942" s="18">
        <f>Charms!K4942</f>
        <v>0</v>
      </c>
      <c r="B4942">
        <f>Charms!B4942</f>
        <v>0</v>
      </c>
      <c r="C4942" t="b">
        <f ca="1">OR(Values!$S$98&gt;=Charms!M4942,IFERROR(Charms!J4942=OFFSET(Values!$A$24,MATCH("S",Values!$T$25:$T$50,0),0),FALSE))</f>
        <v>1</v>
      </c>
      <c r="D4942" t="e">
        <f>VLOOKUP(Charms!J4942,Values!$A$11:$S$59,19,0)&gt;=Charms!L4942</f>
        <v>#N/A</v>
      </c>
      <c r="E4942" t="e">
        <f>OR(ISBLANK(Charms!I4942),(VLOOKUP(Values!$S$6,Castes!$B$2:$F$25,4,0)=Charms!I4942))</f>
        <v>#N/A</v>
      </c>
      <c r="J4942" t="e">
        <f t="shared" ca="1" si="386"/>
        <v>#N/A</v>
      </c>
      <c r="K4942" s="18" t="e">
        <f t="shared" ca="1" si="385"/>
        <v>#N/A</v>
      </c>
      <c r="L4942" t="e">
        <f ca="1">IF(J4942,Charms!B4942,"")</f>
        <v>#N/A</v>
      </c>
      <c r="M4942" t="str">
        <f t="shared" ca="1" si="387"/>
        <v>-</v>
      </c>
      <c r="N4942" s="18" t="str">
        <f t="shared" si="388"/>
        <v>K1622:L5000</v>
      </c>
      <c r="O4942" t="str">
        <f t="shared" si="389"/>
        <v>A1622:A4942</v>
      </c>
    </row>
    <row r="4943" spans="1:15">
      <c r="A4943" s="18">
        <f>Charms!K4943</f>
        <v>0</v>
      </c>
      <c r="B4943">
        <f>Charms!B4943</f>
        <v>0</v>
      </c>
      <c r="C4943" t="b">
        <f ca="1">OR(Values!$S$98&gt;=Charms!M4943,IFERROR(Charms!J4943=OFFSET(Values!$A$24,MATCH("S",Values!$T$25:$T$50,0),0),FALSE))</f>
        <v>1</v>
      </c>
      <c r="D4943" t="e">
        <f>VLOOKUP(Charms!J4943,Values!$A$11:$S$59,19,0)&gt;=Charms!L4943</f>
        <v>#N/A</v>
      </c>
      <c r="E4943" t="e">
        <f>OR(ISBLANK(Charms!I4943),(VLOOKUP(Values!$S$6,Castes!$B$2:$F$25,4,0)=Charms!I4943))</f>
        <v>#N/A</v>
      </c>
      <c r="J4943" t="e">
        <f t="shared" ca="1" si="386"/>
        <v>#N/A</v>
      </c>
      <c r="K4943" s="18" t="e">
        <f t="shared" ca="1" si="385"/>
        <v>#N/A</v>
      </c>
      <c r="L4943" t="e">
        <f ca="1">IF(J4943,Charms!B4943,"")</f>
        <v>#N/A</v>
      </c>
      <c r="M4943" t="str">
        <f t="shared" ca="1" si="387"/>
        <v>-</v>
      </c>
      <c r="N4943" s="18" t="str">
        <f t="shared" si="388"/>
        <v>K1622:L5000</v>
      </c>
      <c r="O4943" t="str">
        <f t="shared" si="389"/>
        <v>A1622:A4943</v>
      </c>
    </row>
    <row r="4944" spans="1:15">
      <c r="A4944" s="18">
        <f>Charms!K4944</f>
        <v>0</v>
      </c>
      <c r="B4944">
        <f>Charms!B4944</f>
        <v>0</v>
      </c>
      <c r="C4944" t="b">
        <f ca="1">OR(Values!$S$98&gt;=Charms!M4944,IFERROR(Charms!J4944=OFFSET(Values!$A$24,MATCH("S",Values!$T$25:$T$50,0),0),FALSE))</f>
        <v>1</v>
      </c>
      <c r="D4944" t="e">
        <f>VLOOKUP(Charms!J4944,Values!$A$11:$S$59,19,0)&gt;=Charms!L4944</f>
        <v>#N/A</v>
      </c>
      <c r="E4944" t="e">
        <f>OR(ISBLANK(Charms!I4944),(VLOOKUP(Values!$S$6,Castes!$B$2:$F$25,4,0)=Charms!I4944))</f>
        <v>#N/A</v>
      </c>
      <c r="J4944" t="e">
        <f t="shared" ca="1" si="386"/>
        <v>#N/A</v>
      </c>
      <c r="K4944" s="18" t="e">
        <f t="shared" ca="1" si="385"/>
        <v>#N/A</v>
      </c>
      <c r="L4944" t="e">
        <f ca="1">IF(J4944,Charms!B4944,"")</f>
        <v>#N/A</v>
      </c>
      <c r="M4944" t="str">
        <f t="shared" ca="1" si="387"/>
        <v>-</v>
      </c>
      <c r="N4944" s="18" t="str">
        <f t="shared" si="388"/>
        <v>K1622:L5000</v>
      </c>
      <c r="O4944" t="str">
        <f t="shared" si="389"/>
        <v>A1622:A4944</v>
      </c>
    </row>
    <row r="4945" spans="1:15">
      <c r="A4945" s="18">
        <f>Charms!K4945</f>
        <v>0</v>
      </c>
      <c r="B4945">
        <f>Charms!B4945</f>
        <v>0</v>
      </c>
      <c r="C4945" t="b">
        <f ca="1">OR(Values!$S$98&gt;=Charms!M4945,IFERROR(Charms!J4945=OFFSET(Values!$A$24,MATCH("S",Values!$T$25:$T$50,0),0),FALSE))</f>
        <v>1</v>
      </c>
      <c r="D4945" t="e">
        <f>VLOOKUP(Charms!J4945,Values!$A$11:$S$59,19,0)&gt;=Charms!L4945</f>
        <v>#N/A</v>
      </c>
      <c r="E4945" t="e">
        <f>OR(ISBLANK(Charms!I4945),(VLOOKUP(Values!$S$6,Castes!$B$2:$F$25,4,0)=Charms!I4945))</f>
        <v>#N/A</v>
      </c>
      <c r="J4945" t="e">
        <f t="shared" ca="1" si="386"/>
        <v>#N/A</v>
      </c>
      <c r="K4945" s="18" t="e">
        <f t="shared" ca="1" si="385"/>
        <v>#N/A</v>
      </c>
      <c r="L4945" t="e">
        <f ca="1">IF(J4945,Charms!B4945,"")</f>
        <v>#N/A</v>
      </c>
      <c r="M4945" t="str">
        <f t="shared" ca="1" si="387"/>
        <v>-</v>
      </c>
      <c r="N4945" s="18" t="str">
        <f t="shared" si="388"/>
        <v>K1622:L5000</v>
      </c>
      <c r="O4945" t="str">
        <f t="shared" si="389"/>
        <v>A1622:A4945</v>
      </c>
    </row>
    <row r="4946" spans="1:15">
      <c r="A4946" s="18">
        <f>Charms!K4946</f>
        <v>0</v>
      </c>
      <c r="B4946">
        <f>Charms!B4946</f>
        <v>0</v>
      </c>
      <c r="C4946" t="b">
        <f ca="1">OR(Values!$S$98&gt;=Charms!M4946,IFERROR(Charms!J4946=OFFSET(Values!$A$24,MATCH("S",Values!$T$25:$T$50,0),0),FALSE))</f>
        <v>1</v>
      </c>
      <c r="D4946" t="e">
        <f>VLOOKUP(Charms!J4946,Values!$A$11:$S$59,19,0)&gt;=Charms!L4946</f>
        <v>#N/A</v>
      </c>
      <c r="E4946" t="e">
        <f>OR(ISBLANK(Charms!I4946),(VLOOKUP(Values!$S$6,Castes!$B$2:$F$25,4,0)=Charms!I4946))</f>
        <v>#N/A</v>
      </c>
      <c r="J4946" t="e">
        <f t="shared" ca="1" si="386"/>
        <v>#N/A</v>
      </c>
      <c r="K4946" s="18" t="e">
        <f t="shared" ca="1" si="385"/>
        <v>#N/A</v>
      </c>
      <c r="L4946" t="e">
        <f ca="1">IF(J4946,Charms!B4946,"")</f>
        <v>#N/A</v>
      </c>
      <c r="M4946" t="str">
        <f t="shared" ca="1" si="387"/>
        <v>-</v>
      </c>
      <c r="N4946" s="18" t="str">
        <f t="shared" si="388"/>
        <v>K1622:L5000</v>
      </c>
      <c r="O4946" t="str">
        <f t="shared" si="389"/>
        <v>A1622:A4946</v>
      </c>
    </row>
    <row r="4947" spans="1:15">
      <c r="A4947" s="18">
        <f>Charms!K4947</f>
        <v>0</v>
      </c>
      <c r="B4947">
        <f>Charms!B4947</f>
        <v>0</v>
      </c>
      <c r="C4947" t="b">
        <f ca="1">OR(Values!$S$98&gt;=Charms!M4947,IFERROR(Charms!J4947=OFFSET(Values!$A$24,MATCH("S",Values!$T$25:$T$50,0),0),FALSE))</f>
        <v>1</v>
      </c>
      <c r="D4947" t="e">
        <f>VLOOKUP(Charms!J4947,Values!$A$11:$S$59,19,0)&gt;=Charms!L4947</f>
        <v>#N/A</v>
      </c>
      <c r="E4947" t="e">
        <f>OR(ISBLANK(Charms!I4947),(VLOOKUP(Values!$S$6,Castes!$B$2:$F$25,4,0)=Charms!I4947))</f>
        <v>#N/A</v>
      </c>
      <c r="J4947" t="e">
        <f t="shared" ca="1" si="386"/>
        <v>#N/A</v>
      </c>
      <c r="K4947" s="18" t="e">
        <f t="shared" ca="1" si="385"/>
        <v>#N/A</v>
      </c>
      <c r="L4947" t="e">
        <f ca="1">IF(J4947,Charms!B4947,"")</f>
        <v>#N/A</v>
      </c>
      <c r="M4947" t="str">
        <f t="shared" ca="1" si="387"/>
        <v>-</v>
      </c>
      <c r="N4947" s="18" t="str">
        <f t="shared" si="388"/>
        <v>K1622:L5000</v>
      </c>
      <c r="O4947" t="str">
        <f t="shared" si="389"/>
        <v>A1622:A4947</v>
      </c>
    </row>
    <row r="4948" spans="1:15">
      <c r="A4948" s="18">
        <f>Charms!K4948</f>
        <v>0</v>
      </c>
      <c r="B4948">
        <f>Charms!B4948</f>
        <v>0</v>
      </c>
      <c r="C4948" t="b">
        <f ca="1">OR(Values!$S$98&gt;=Charms!M4948,IFERROR(Charms!J4948=OFFSET(Values!$A$24,MATCH("S",Values!$T$25:$T$50,0),0),FALSE))</f>
        <v>1</v>
      </c>
      <c r="D4948" t="e">
        <f>VLOOKUP(Charms!J4948,Values!$A$11:$S$59,19,0)&gt;=Charms!L4948</f>
        <v>#N/A</v>
      </c>
      <c r="E4948" t="e">
        <f>OR(ISBLANK(Charms!I4948),(VLOOKUP(Values!$S$6,Castes!$B$2:$F$25,4,0)=Charms!I4948))</f>
        <v>#N/A</v>
      </c>
      <c r="J4948" t="e">
        <f t="shared" ca="1" si="386"/>
        <v>#N/A</v>
      </c>
      <c r="K4948" s="18" t="e">
        <f t="shared" ca="1" si="385"/>
        <v>#N/A</v>
      </c>
      <c r="L4948" t="e">
        <f ca="1">IF(J4948,Charms!B4948,"")</f>
        <v>#N/A</v>
      </c>
      <c r="M4948" t="str">
        <f t="shared" ca="1" si="387"/>
        <v>-</v>
      </c>
      <c r="N4948" s="18" t="str">
        <f t="shared" si="388"/>
        <v>K1622:L5000</v>
      </c>
      <c r="O4948" t="str">
        <f t="shared" si="389"/>
        <v>A1622:A4948</v>
      </c>
    </row>
    <row r="4949" spans="1:15">
      <c r="A4949" s="18">
        <f>Charms!K4949</f>
        <v>0</v>
      </c>
      <c r="B4949">
        <f>Charms!B4949</f>
        <v>0</v>
      </c>
      <c r="C4949" t="b">
        <f ca="1">OR(Values!$S$98&gt;=Charms!M4949,IFERROR(Charms!J4949=OFFSET(Values!$A$24,MATCH("S",Values!$T$25:$T$50,0),0),FALSE))</f>
        <v>1</v>
      </c>
      <c r="D4949" t="e">
        <f>VLOOKUP(Charms!J4949,Values!$A$11:$S$59,19,0)&gt;=Charms!L4949</f>
        <v>#N/A</v>
      </c>
      <c r="E4949" t="e">
        <f>OR(ISBLANK(Charms!I4949),(VLOOKUP(Values!$S$6,Castes!$B$2:$F$25,4,0)=Charms!I4949))</f>
        <v>#N/A</v>
      </c>
      <c r="J4949" t="e">
        <f t="shared" ca="1" si="386"/>
        <v>#N/A</v>
      </c>
      <c r="K4949" s="18" t="e">
        <f t="shared" ca="1" si="385"/>
        <v>#N/A</v>
      </c>
      <c r="L4949" t="e">
        <f ca="1">IF(J4949,Charms!B4949,"")</f>
        <v>#N/A</v>
      </c>
      <c r="M4949" t="str">
        <f t="shared" ca="1" si="387"/>
        <v>-</v>
      </c>
      <c r="N4949" s="18" t="str">
        <f t="shared" si="388"/>
        <v>K1622:L5000</v>
      </c>
      <c r="O4949" t="str">
        <f t="shared" si="389"/>
        <v>A1622:A4949</v>
      </c>
    </row>
    <row r="4950" spans="1:15">
      <c r="A4950" s="18">
        <f>Charms!K4950</f>
        <v>0</v>
      </c>
      <c r="B4950">
        <f>Charms!B4950</f>
        <v>0</v>
      </c>
      <c r="C4950" t="b">
        <f ca="1">OR(Values!$S$98&gt;=Charms!M4950,IFERROR(Charms!J4950=OFFSET(Values!$A$24,MATCH("S",Values!$T$25:$T$50,0),0),FALSE))</f>
        <v>1</v>
      </c>
      <c r="D4950" t="e">
        <f>VLOOKUP(Charms!J4950,Values!$A$11:$S$59,19,0)&gt;=Charms!L4950</f>
        <v>#N/A</v>
      </c>
      <c r="E4950" t="e">
        <f>OR(ISBLANK(Charms!I4950),(VLOOKUP(Values!$S$6,Castes!$B$2:$F$25,4,0)=Charms!I4950))</f>
        <v>#N/A</v>
      </c>
      <c r="J4950" t="e">
        <f t="shared" ca="1" si="386"/>
        <v>#N/A</v>
      </c>
      <c r="K4950" s="18" t="e">
        <f t="shared" ca="1" si="385"/>
        <v>#N/A</v>
      </c>
      <c r="L4950" t="e">
        <f ca="1">IF(J4950,Charms!B4950,"")</f>
        <v>#N/A</v>
      </c>
      <c r="M4950" t="str">
        <f t="shared" ca="1" si="387"/>
        <v>-</v>
      </c>
      <c r="N4950" s="18" t="str">
        <f t="shared" si="388"/>
        <v>K1622:L5000</v>
      </c>
      <c r="O4950" t="str">
        <f t="shared" si="389"/>
        <v>A1622:A4950</v>
      </c>
    </row>
    <row r="4951" spans="1:15">
      <c r="A4951" s="18">
        <f>Charms!K4951</f>
        <v>0</v>
      </c>
      <c r="B4951">
        <f>Charms!B4951</f>
        <v>0</v>
      </c>
      <c r="C4951" t="b">
        <f ca="1">OR(Values!$S$98&gt;=Charms!M4951,IFERROR(Charms!J4951=OFFSET(Values!$A$24,MATCH("S",Values!$T$25:$T$50,0),0),FALSE))</f>
        <v>1</v>
      </c>
      <c r="D4951" t="e">
        <f>VLOOKUP(Charms!J4951,Values!$A$11:$S$59,19,0)&gt;=Charms!L4951</f>
        <v>#N/A</v>
      </c>
      <c r="E4951" t="e">
        <f>OR(ISBLANK(Charms!I4951),(VLOOKUP(Values!$S$6,Castes!$B$2:$F$25,4,0)=Charms!I4951))</f>
        <v>#N/A</v>
      </c>
      <c r="J4951" t="e">
        <f t="shared" ca="1" si="386"/>
        <v>#N/A</v>
      </c>
      <c r="K4951" s="18" t="e">
        <f t="shared" ca="1" si="385"/>
        <v>#N/A</v>
      </c>
      <c r="L4951" t="e">
        <f ca="1">IF(J4951,Charms!B4951,"")</f>
        <v>#N/A</v>
      </c>
      <c r="M4951" t="str">
        <f t="shared" ca="1" si="387"/>
        <v>-</v>
      </c>
      <c r="N4951" s="18" t="str">
        <f t="shared" si="388"/>
        <v>K1622:L5000</v>
      </c>
      <c r="O4951" t="str">
        <f t="shared" si="389"/>
        <v>A1622:A4951</v>
      </c>
    </row>
    <row r="4952" spans="1:15">
      <c r="A4952" s="18">
        <f>Charms!K4952</f>
        <v>0</v>
      </c>
      <c r="B4952">
        <f>Charms!B4952</f>
        <v>0</v>
      </c>
      <c r="C4952" t="b">
        <f ca="1">OR(Values!$S$98&gt;=Charms!M4952,IFERROR(Charms!J4952=OFFSET(Values!$A$24,MATCH("S",Values!$T$25:$T$50,0),0),FALSE))</f>
        <v>1</v>
      </c>
      <c r="D4952" t="e">
        <f>VLOOKUP(Charms!J4952,Values!$A$11:$S$59,19,0)&gt;=Charms!L4952</f>
        <v>#N/A</v>
      </c>
      <c r="E4952" t="e">
        <f>OR(ISBLANK(Charms!I4952),(VLOOKUP(Values!$S$6,Castes!$B$2:$F$25,4,0)=Charms!I4952))</f>
        <v>#N/A</v>
      </c>
      <c r="J4952" t="e">
        <f t="shared" ca="1" si="386"/>
        <v>#N/A</v>
      </c>
      <c r="K4952" s="18" t="e">
        <f t="shared" ca="1" si="385"/>
        <v>#N/A</v>
      </c>
      <c r="L4952" t="e">
        <f ca="1">IF(J4952,Charms!B4952,"")</f>
        <v>#N/A</v>
      </c>
      <c r="M4952" t="str">
        <f t="shared" ca="1" si="387"/>
        <v>-</v>
      </c>
      <c r="N4952" s="18" t="str">
        <f t="shared" si="388"/>
        <v>K1622:L5000</v>
      </c>
      <c r="O4952" t="str">
        <f t="shared" si="389"/>
        <v>A1622:A4952</v>
      </c>
    </row>
    <row r="4953" spans="1:15">
      <c r="A4953" s="18">
        <f>Charms!K4953</f>
        <v>0</v>
      </c>
      <c r="B4953">
        <f>Charms!B4953</f>
        <v>0</v>
      </c>
      <c r="C4953" t="b">
        <f ca="1">OR(Values!$S$98&gt;=Charms!M4953,IFERROR(Charms!J4953=OFFSET(Values!$A$24,MATCH("S",Values!$T$25:$T$50,0),0),FALSE))</f>
        <v>1</v>
      </c>
      <c r="D4953" t="e">
        <f>VLOOKUP(Charms!J4953,Values!$A$11:$S$59,19,0)&gt;=Charms!L4953</f>
        <v>#N/A</v>
      </c>
      <c r="E4953" t="e">
        <f>OR(ISBLANK(Charms!I4953),(VLOOKUP(Values!$S$6,Castes!$B$2:$F$25,4,0)=Charms!I4953))</f>
        <v>#N/A</v>
      </c>
      <c r="J4953" t="e">
        <f t="shared" ca="1" si="386"/>
        <v>#N/A</v>
      </c>
      <c r="K4953" s="18" t="e">
        <f t="shared" ca="1" si="385"/>
        <v>#N/A</v>
      </c>
      <c r="L4953" t="e">
        <f ca="1">IF(J4953,Charms!B4953,"")</f>
        <v>#N/A</v>
      </c>
      <c r="M4953" t="str">
        <f t="shared" ca="1" si="387"/>
        <v>-</v>
      </c>
      <c r="N4953" s="18" t="str">
        <f t="shared" si="388"/>
        <v>K1622:L5000</v>
      </c>
      <c r="O4953" t="str">
        <f t="shared" si="389"/>
        <v>A1622:A4953</v>
      </c>
    </row>
    <row r="4954" spans="1:15">
      <c r="A4954" s="18">
        <f>Charms!K4954</f>
        <v>0</v>
      </c>
      <c r="B4954">
        <f>Charms!B4954</f>
        <v>0</v>
      </c>
      <c r="C4954" t="b">
        <f ca="1">OR(Values!$S$98&gt;=Charms!M4954,IFERROR(Charms!J4954=OFFSET(Values!$A$24,MATCH("S",Values!$T$25:$T$50,0),0),FALSE))</f>
        <v>1</v>
      </c>
      <c r="D4954" t="e">
        <f>VLOOKUP(Charms!J4954,Values!$A$11:$S$59,19,0)&gt;=Charms!L4954</f>
        <v>#N/A</v>
      </c>
      <c r="E4954" t="e">
        <f>OR(ISBLANK(Charms!I4954),(VLOOKUP(Values!$S$6,Castes!$B$2:$F$25,4,0)=Charms!I4954))</f>
        <v>#N/A</v>
      </c>
      <c r="J4954" t="e">
        <f t="shared" ca="1" si="386"/>
        <v>#N/A</v>
      </c>
      <c r="K4954" s="18" t="e">
        <f t="shared" ca="1" si="385"/>
        <v>#N/A</v>
      </c>
      <c r="L4954" t="e">
        <f ca="1">IF(J4954,Charms!B4954,"")</f>
        <v>#N/A</v>
      </c>
      <c r="M4954" t="str">
        <f t="shared" ca="1" si="387"/>
        <v>-</v>
      </c>
      <c r="N4954" s="18" t="str">
        <f t="shared" si="388"/>
        <v>K1622:L5000</v>
      </c>
      <c r="O4954" t="str">
        <f t="shared" si="389"/>
        <v>A1622:A4954</v>
      </c>
    </row>
    <row r="4955" spans="1:15">
      <c r="A4955" s="18">
        <f>Charms!K4955</f>
        <v>0</v>
      </c>
      <c r="B4955">
        <f>Charms!B4955</f>
        <v>0</v>
      </c>
      <c r="C4955" t="b">
        <f ca="1">OR(Values!$S$98&gt;=Charms!M4955,IFERROR(Charms!J4955=OFFSET(Values!$A$24,MATCH("S",Values!$T$25:$T$50,0),0),FALSE))</f>
        <v>1</v>
      </c>
      <c r="D4955" t="e">
        <f>VLOOKUP(Charms!J4955,Values!$A$11:$S$59,19,0)&gt;=Charms!L4955</f>
        <v>#N/A</v>
      </c>
      <c r="E4955" t="e">
        <f>OR(ISBLANK(Charms!I4955),(VLOOKUP(Values!$S$6,Castes!$B$2:$F$25,4,0)=Charms!I4955))</f>
        <v>#N/A</v>
      </c>
      <c r="J4955" t="e">
        <f t="shared" ca="1" si="386"/>
        <v>#N/A</v>
      </c>
      <c r="K4955" s="18" t="e">
        <f t="shared" ca="1" si="385"/>
        <v>#N/A</v>
      </c>
      <c r="L4955" t="e">
        <f ca="1">IF(J4955,Charms!B4955,"")</f>
        <v>#N/A</v>
      </c>
      <c r="M4955" t="str">
        <f t="shared" ca="1" si="387"/>
        <v>-</v>
      </c>
      <c r="N4955" s="18" t="str">
        <f t="shared" si="388"/>
        <v>K1622:L5000</v>
      </c>
      <c r="O4955" t="str">
        <f t="shared" si="389"/>
        <v>A1622:A4955</v>
      </c>
    </row>
    <row r="4956" spans="1:15">
      <c r="A4956" s="18">
        <f>Charms!K4956</f>
        <v>0</v>
      </c>
      <c r="B4956">
        <f>Charms!B4956</f>
        <v>0</v>
      </c>
      <c r="C4956" t="b">
        <f ca="1">OR(Values!$S$98&gt;=Charms!M4956,IFERROR(Charms!J4956=OFFSET(Values!$A$24,MATCH("S",Values!$T$25:$T$50,0),0),FALSE))</f>
        <v>1</v>
      </c>
      <c r="D4956" t="e">
        <f>VLOOKUP(Charms!J4956,Values!$A$11:$S$59,19,0)&gt;=Charms!L4956</f>
        <v>#N/A</v>
      </c>
      <c r="E4956" t="e">
        <f>OR(ISBLANK(Charms!I4956),(VLOOKUP(Values!$S$6,Castes!$B$2:$F$25,4,0)=Charms!I4956))</f>
        <v>#N/A</v>
      </c>
      <c r="J4956" t="e">
        <f t="shared" ca="1" si="386"/>
        <v>#N/A</v>
      </c>
      <c r="K4956" s="18" t="e">
        <f t="shared" ca="1" si="385"/>
        <v>#N/A</v>
      </c>
      <c r="L4956" t="e">
        <f ca="1">IF(J4956,Charms!B4956,"")</f>
        <v>#N/A</v>
      </c>
      <c r="M4956" t="str">
        <f t="shared" ca="1" si="387"/>
        <v>-</v>
      </c>
      <c r="N4956" s="18" t="str">
        <f t="shared" si="388"/>
        <v>K1622:L5000</v>
      </c>
      <c r="O4956" t="str">
        <f t="shared" si="389"/>
        <v>A1622:A4956</v>
      </c>
    </row>
    <row r="4957" spans="1:15">
      <c r="A4957" s="18">
        <f>Charms!K4957</f>
        <v>0</v>
      </c>
      <c r="B4957">
        <f>Charms!B4957</f>
        <v>0</v>
      </c>
      <c r="C4957" t="b">
        <f ca="1">OR(Values!$S$98&gt;=Charms!M4957,IFERROR(Charms!J4957=OFFSET(Values!$A$24,MATCH("S",Values!$T$25:$T$50,0),0),FALSE))</f>
        <v>1</v>
      </c>
      <c r="D4957" t="e">
        <f>VLOOKUP(Charms!J4957,Values!$A$11:$S$59,19,0)&gt;=Charms!L4957</f>
        <v>#N/A</v>
      </c>
      <c r="E4957" t="e">
        <f>OR(ISBLANK(Charms!I4957),(VLOOKUP(Values!$S$6,Castes!$B$2:$F$25,4,0)=Charms!I4957))</f>
        <v>#N/A</v>
      </c>
      <c r="J4957" t="e">
        <f t="shared" ca="1" si="386"/>
        <v>#N/A</v>
      </c>
      <c r="K4957" s="18" t="e">
        <f t="shared" ca="1" si="385"/>
        <v>#N/A</v>
      </c>
      <c r="L4957" t="e">
        <f ca="1">IF(J4957,Charms!B4957,"")</f>
        <v>#N/A</v>
      </c>
      <c r="M4957" t="str">
        <f t="shared" ca="1" si="387"/>
        <v>-</v>
      </c>
      <c r="N4957" s="18" t="str">
        <f t="shared" si="388"/>
        <v>K1622:L5000</v>
      </c>
      <c r="O4957" t="str">
        <f t="shared" si="389"/>
        <v>A1622:A4957</v>
      </c>
    </row>
    <row r="4958" spans="1:15">
      <c r="A4958" s="18">
        <f>Charms!K4958</f>
        <v>0</v>
      </c>
      <c r="B4958">
        <f>Charms!B4958</f>
        <v>0</v>
      </c>
      <c r="C4958" t="b">
        <f ca="1">OR(Values!$S$98&gt;=Charms!M4958,IFERROR(Charms!J4958=OFFSET(Values!$A$24,MATCH("S",Values!$T$25:$T$50,0),0),FALSE))</f>
        <v>1</v>
      </c>
      <c r="D4958" t="e">
        <f>VLOOKUP(Charms!J4958,Values!$A$11:$S$59,19,0)&gt;=Charms!L4958</f>
        <v>#N/A</v>
      </c>
      <c r="E4958" t="e">
        <f>OR(ISBLANK(Charms!I4958),(VLOOKUP(Values!$S$6,Castes!$B$2:$F$25,4,0)=Charms!I4958))</f>
        <v>#N/A</v>
      </c>
      <c r="J4958" t="e">
        <f t="shared" ca="1" si="386"/>
        <v>#N/A</v>
      </c>
      <c r="K4958" s="18" t="e">
        <f t="shared" ca="1" si="385"/>
        <v>#N/A</v>
      </c>
      <c r="L4958" t="e">
        <f ca="1">IF(J4958,Charms!B4958,"")</f>
        <v>#N/A</v>
      </c>
      <c r="M4958" t="str">
        <f t="shared" ca="1" si="387"/>
        <v>-</v>
      </c>
      <c r="N4958" s="18" t="str">
        <f t="shared" si="388"/>
        <v>K1622:L5000</v>
      </c>
      <c r="O4958" t="str">
        <f t="shared" si="389"/>
        <v>A1622:A4958</v>
      </c>
    </row>
    <row r="4959" spans="1:15">
      <c r="A4959" s="18">
        <f>Charms!K4959</f>
        <v>0</v>
      </c>
      <c r="B4959">
        <f>Charms!B4959</f>
        <v>0</v>
      </c>
      <c r="C4959" t="b">
        <f ca="1">OR(Values!$S$98&gt;=Charms!M4959,IFERROR(Charms!J4959=OFFSET(Values!$A$24,MATCH("S",Values!$T$25:$T$50,0),0),FALSE))</f>
        <v>1</v>
      </c>
      <c r="D4959" t="e">
        <f>VLOOKUP(Charms!J4959,Values!$A$11:$S$59,19,0)&gt;=Charms!L4959</f>
        <v>#N/A</v>
      </c>
      <c r="E4959" t="e">
        <f>OR(ISBLANK(Charms!I4959),(VLOOKUP(Values!$S$6,Castes!$B$2:$F$25,4,0)=Charms!I4959))</f>
        <v>#N/A</v>
      </c>
      <c r="J4959" t="e">
        <f t="shared" ca="1" si="386"/>
        <v>#N/A</v>
      </c>
      <c r="K4959" s="18" t="e">
        <f t="shared" ca="1" si="385"/>
        <v>#N/A</v>
      </c>
      <c r="L4959" t="e">
        <f ca="1">IF(J4959,Charms!B4959,"")</f>
        <v>#N/A</v>
      </c>
      <c r="M4959" t="str">
        <f t="shared" ca="1" si="387"/>
        <v>-</v>
      </c>
      <c r="N4959" s="18" t="str">
        <f t="shared" si="388"/>
        <v>K1622:L5000</v>
      </c>
      <c r="O4959" t="str">
        <f t="shared" si="389"/>
        <v>A1622:A4959</v>
      </c>
    </row>
    <row r="4960" spans="1:15">
      <c r="A4960" s="18">
        <f>Charms!K4960</f>
        <v>0</v>
      </c>
      <c r="B4960">
        <f>Charms!B4960</f>
        <v>0</v>
      </c>
      <c r="C4960" t="b">
        <f ca="1">OR(Values!$S$98&gt;=Charms!M4960,IFERROR(Charms!J4960=OFFSET(Values!$A$24,MATCH("S",Values!$T$25:$T$50,0),0),FALSE))</f>
        <v>1</v>
      </c>
      <c r="D4960" t="e">
        <f>VLOOKUP(Charms!J4960,Values!$A$11:$S$59,19,0)&gt;=Charms!L4960</f>
        <v>#N/A</v>
      </c>
      <c r="E4960" t="e">
        <f>OR(ISBLANK(Charms!I4960),(VLOOKUP(Values!$S$6,Castes!$B$2:$F$25,4,0)=Charms!I4960))</f>
        <v>#N/A</v>
      </c>
      <c r="J4960" t="e">
        <f t="shared" ca="1" si="386"/>
        <v>#N/A</v>
      </c>
      <c r="K4960" s="18" t="e">
        <f t="shared" ca="1" si="385"/>
        <v>#N/A</v>
      </c>
      <c r="L4960" t="e">
        <f ca="1">IF(J4960,Charms!B4960,"")</f>
        <v>#N/A</v>
      </c>
      <c r="M4960" t="str">
        <f t="shared" ca="1" si="387"/>
        <v>-</v>
      </c>
      <c r="N4960" s="18" t="str">
        <f t="shared" si="388"/>
        <v>K1622:L5000</v>
      </c>
      <c r="O4960" t="str">
        <f t="shared" si="389"/>
        <v>A1622:A4960</v>
      </c>
    </row>
    <row r="4961" spans="1:15">
      <c r="A4961" s="18">
        <f>Charms!K4961</f>
        <v>0</v>
      </c>
      <c r="B4961">
        <f>Charms!B4961</f>
        <v>0</v>
      </c>
      <c r="C4961" t="b">
        <f ca="1">OR(Values!$S$98&gt;=Charms!M4961,IFERROR(Charms!J4961=OFFSET(Values!$A$24,MATCH("S",Values!$T$25:$T$50,0),0),FALSE))</f>
        <v>1</v>
      </c>
      <c r="D4961" t="e">
        <f>VLOOKUP(Charms!J4961,Values!$A$11:$S$59,19,0)&gt;=Charms!L4961</f>
        <v>#N/A</v>
      </c>
      <c r="E4961" t="e">
        <f>OR(ISBLANK(Charms!I4961),(VLOOKUP(Values!$S$6,Castes!$B$2:$F$25,4,0)=Charms!I4961))</f>
        <v>#N/A</v>
      </c>
      <c r="J4961" t="e">
        <f t="shared" ca="1" si="386"/>
        <v>#N/A</v>
      </c>
      <c r="K4961" s="18" t="e">
        <f t="shared" ca="1" si="385"/>
        <v>#N/A</v>
      </c>
      <c r="L4961" t="e">
        <f ca="1">IF(J4961,Charms!B4961,"")</f>
        <v>#N/A</v>
      </c>
      <c r="M4961" t="str">
        <f t="shared" ca="1" si="387"/>
        <v>-</v>
      </c>
      <c r="N4961" s="18" t="str">
        <f t="shared" si="388"/>
        <v>K1622:L5000</v>
      </c>
      <c r="O4961" t="str">
        <f t="shared" si="389"/>
        <v>A1622:A4961</v>
      </c>
    </row>
    <row r="4962" spans="1:15">
      <c r="A4962" s="18">
        <f>Charms!K4962</f>
        <v>0</v>
      </c>
      <c r="B4962">
        <f>Charms!B4962</f>
        <v>0</v>
      </c>
      <c r="C4962" t="b">
        <f ca="1">OR(Values!$S$98&gt;=Charms!M4962,IFERROR(Charms!J4962=OFFSET(Values!$A$24,MATCH("S",Values!$T$25:$T$50,0),0),FALSE))</f>
        <v>1</v>
      </c>
      <c r="D4962" t="e">
        <f>VLOOKUP(Charms!J4962,Values!$A$11:$S$59,19,0)&gt;=Charms!L4962</f>
        <v>#N/A</v>
      </c>
      <c r="E4962" t="e">
        <f>OR(ISBLANK(Charms!I4962),(VLOOKUP(Values!$S$6,Castes!$B$2:$F$25,4,0)=Charms!I4962))</f>
        <v>#N/A</v>
      </c>
      <c r="J4962" t="e">
        <f t="shared" ca="1" si="386"/>
        <v>#N/A</v>
      </c>
      <c r="K4962" s="18" t="e">
        <f t="shared" ca="1" si="385"/>
        <v>#N/A</v>
      </c>
      <c r="L4962" t="e">
        <f ca="1">IF(J4962,Charms!B4962,"")</f>
        <v>#N/A</v>
      </c>
      <c r="M4962" t="str">
        <f t="shared" ca="1" si="387"/>
        <v>-</v>
      </c>
      <c r="N4962" s="18" t="str">
        <f t="shared" si="388"/>
        <v>K1622:L5000</v>
      </c>
      <c r="O4962" t="str">
        <f t="shared" si="389"/>
        <v>A1622:A4962</v>
      </c>
    </row>
    <row r="4963" spans="1:15">
      <c r="A4963" s="18">
        <f>Charms!K4963</f>
        <v>0</v>
      </c>
      <c r="B4963">
        <f>Charms!B4963</f>
        <v>0</v>
      </c>
      <c r="C4963" t="b">
        <f ca="1">OR(Values!$S$98&gt;=Charms!M4963,IFERROR(Charms!J4963=OFFSET(Values!$A$24,MATCH("S",Values!$T$25:$T$50,0),0),FALSE))</f>
        <v>1</v>
      </c>
      <c r="D4963" t="e">
        <f>VLOOKUP(Charms!J4963,Values!$A$11:$S$59,19,0)&gt;=Charms!L4963</f>
        <v>#N/A</v>
      </c>
      <c r="E4963" t="e">
        <f>OR(ISBLANK(Charms!I4963),(VLOOKUP(Values!$S$6,Castes!$B$2:$F$25,4,0)=Charms!I4963))</f>
        <v>#N/A</v>
      </c>
      <c r="J4963" t="e">
        <f t="shared" ca="1" si="386"/>
        <v>#N/A</v>
      </c>
      <c r="K4963" s="18" t="e">
        <f t="shared" ca="1" si="385"/>
        <v>#N/A</v>
      </c>
      <c r="L4963" t="e">
        <f ca="1">IF(J4963,Charms!B4963,"")</f>
        <v>#N/A</v>
      </c>
      <c r="M4963" t="str">
        <f t="shared" ca="1" si="387"/>
        <v>-</v>
      </c>
      <c r="N4963" s="18" t="str">
        <f t="shared" si="388"/>
        <v>K1622:L5000</v>
      </c>
      <c r="O4963" t="str">
        <f t="shared" si="389"/>
        <v>A1622:A4963</v>
      </c>
    </row>
    <row r="4964" spans="1:15">
      <c r="A4964" s="18">
        <f>Charms!K4964</f>
        <v>0</v>
      </c>
      <c r="B4964">
        <f>Charms!B4964</f>
        <v>0</v>
      </c>
      <c r="C4964" t="b">
        <f ca="1">OR(Values!$S$98&gt;=Charms!M4964,IFERROR(Charms!J4964=OFFSET(Values!$A$24,MATCH("S",Values!$T$25:$T$50,0),0),FALSE))</f>
        <v>1</v>
      </c>
      <c r="D4964" t="e">
        <f>VLOOKUP(Charms!J4964,Values!$A$11:$S$59,19,0)&gt;=Charms!L4964</f>
        <v>#N/A</v>
      </c>
      <c r="E4964" t="e">
        <f>OR(ISBLANK(Charms!I4964),(VLOOKUP(Values!$S$6,Castes!$B$2:$F$25,4,0)=Charms!I4964))</f>
        <v>#N/A</v>
      </c>
      <c r="J4964" t="e">
        <f t="shared" ca="1" si="386"/>
        <v>#N/A</v>
      </c>
      <c r="K4964" s="18" t="e">
        <f t="shared" ca="1" si="385"/>
        <v>#N/A</v>
      </c>
      <c r="L4964" t="e">
        <f ca="1">IF(J4964,Charms!B4964,"")</f>
        <v>#N/A</v>
      </c>
      <c r="M4964" t="str">
        <f t="shared" ca="1" si="387"/>
        <v>-</v>
      </c>
      <c r="N4964" s="18" t="str">
        <f t="shared" si="388"/>
        <v>K1622:L5000</v>
      </c>
      <c r="O4964" t="str">
        <f t="shared" si="389"/>
        <v>A1622:A4964</v>
      </c>
    </row>
    <row r="4965" spans="1:15">
      <c r="A4965" s="18">
        <f>Charms!K4965</f>
        <v>0</v>
      </c>
      <c r="B4965">
        <f>Charms!B4965</f>
        <v>0</v>
      </c>
      <c r="C4965" t="b">
        <f ca="1">OR(Values!$S$98&gt;=Charms!M4965,IFERROR(Charms!J4965=OFFSET(Values!$A$24,MATCH("S",Values!$T$25:$T$50,0),0),FALSE))</f>
        <v>1</v>
      </c>
      <c r="D4965" t="e">
        <f>VLOOKUP(Charms!J4965,Values!$A$11:$S$59,19,0)&gt;=Charms!L4965</f>
        <v>#N/A</v>
      </c>
      <c r="E4965" t="e">
        <f>OR(ISBLANK(Charms!I4965),(VLOOKUP(Values!$S$6,Castes!$B$2:$F$25,4,0)=Charms!I4965))</f>
        <v>#N/A</v>
      </c>
      <c r="J4965" t="e">
        <f t="shared" ca="1" si="386"/>
        <v>#N/A</v>
      </c>
      <c r="K4965" s="18" t="e">
        <f t="shared" ca="1" si="385"/>
        <v>#N/A</v>
      </c>
      <c r="L4965" t="e">
        <f ca="1">IF(J4965,Charms!B4965,"")</f>
        <v>#N/A</v>
      </c>
      <c r="M4965" t="str">
        <f t="shared" ca="1" si="387"/>
        <v>-</v>
      </c>
      <c r="N4965" s="18" t="str">
        <f t="shared" si="388"/>
        <v>K1622:L5000</v>
      </c>
      <c r="O4965" t="str">
        <f t="shared" si="389"/>
        <v>A1622:A4965</v>
      </c>
    </row>
    <row r="4966" spans="1:15">
      <c r="A4966" s="18">
        <f>Charms!K4966</f>
        <v>0</v>
      </c>
      <c r="B4966">
        <f>Charms!B4966</f>
        <v>0</v>
      </c>
      <c r="C4966" t="b">
        <f ca="1">OR(Values!$S$98&gt;=Charms!M4966,IFERROR(Charms!J4966=OFFSET(Values!$A$24,MATCH("S",Values!$T$25:$T$50,0),0),FALSE))</f>
        <v>1</v>
      </c>
      <c r="D4966" t="e">
        <f>VLOOKUP(Charms!J4966,Values!$A$11:$S$59,19,0)&gt;=Charms!L4966</f>
        <v>#N/A</v>
      </c>
      <c r="E4966" t="e">
        <f>OR(ISBLANK(Charms!I4966),(VLOOKUP(Values!$S$6,Castes!$B$2:$F$25,4,0)=Charms!I4966))</f>
        <v>#N/A</v>
      </c>
      <c r="J4966" t="e">
        <f t="shared" ca="1" si="386"/>
        <v>#N/A</v>
      </c>
      <c r="K4966" s="18" t="e">
        <f t="shared" ca="1" si="385"/>
        <v>#N/A</v>
      </c>
      <c r="L4966" t="e">
        <f ca="1">IF(J4966,Charms!B4966,"")</f>
        <v>#N/A</v>
      </c>
      <c r="M4966" t="str">
        <f t="shared" ca="1" si="387"/>
        <v>-</v>
      </c>
      <c r="N4966" s="18" t="str">
        <f t="shared" si="388"/>
        <v>K1622:L5000</v>
      </c>
      <c r="O4966" t="str">
        <f t="shared" si="389"/>
        <v>A1622:A4966</v>
      </c>
    </row>
    <row r="4967" spans="1:15">
      <c r="A4967" s="18">
        <f>Charms!K4967</f>
        <v>0</v>
      </c>
      <c r="B4967">
        <f>Charms!B4967</f>
        <v>0</v>
      </c>
      <c r="C4967" t="b">
        <f ca="1">OR(Values!$S$98&gt;=Charms!M4967,IFERROR(Charms!J4967=OFFSET(Values!$A$24,MATCH("S",Values!$T$25:$T$50,0),0),FALSE))</f>
        <v>1</v>
      </c>
      <c r="D4967" t="e">
        <f>VLOOKUP(Charms!J4967,Values!$A$11:$S$59,19,0)&gt;=Charms!L4967</f>
        <v>#N/A</v>
      </c>
      <c r="E4967" t="e">
        <f>OR(ISBLANK(Charms!I4967),(VLOOKUP(Values!$S$6,Castes!$B$2:$F$25,4,0)=Charms!I4967))</f>
        <v>#N/A</v>
      </c>
      <c r="J4967" t="e">
        <f t="shared" ca="1" si="386"/>
        <v>#N/A</v>
      </c>
      <c r="K4967" s="18" t="e">
        <f t="shared" ca="1" si="385"/>
        <v>#N/A</v>
      </c>
      <c r="L4967" t="e">
        <f ca="1">IF(J4967,Charms!B4967,"")</f>
        <v>#N/A</v>
      </c>
      <c r="M4967" t="str">
        <f t="shared" ca="1" si="387"/>
        <v>-</v>
      </c>
      <c r="N4967" s="18" t="str">
        <f t="shared" si="388"/>
        <v>K1622:L5000</v>
      </c>
      <c r="O4967" t="str">
        <f t="shared" si="389"/>
        <v>A1622:A4967</v>
      </c>
    </row>
    <row r="4968" spans="1:15">
      <c r="A4968" s="18">
        <f>Charms!K4968</f>
        <v>0</v>
      </c>
      <c r="B4968">
        <f>Charms!B4968</f>
        <v>0</v>
      </c>
      <c r="C4968" t="b">
        <f ca="1">OR(Values!$S$98&gt;=Charms!M4968,IFERROR(Charms!J4968=OFFSET(Values!$A$24,MATCH("S",Values!$T$25:$T$50,0),0),FALSE))</f>
        <v>1</v>
      </c>
      <c r="D4968" t="e">
        <f>VLOOKUP(Charms!J4968,Values!$A$11:$S$59,19,0)&gt;=Charms!L4968</f>
        <v>#N/A</v>
      </c>
      <c r="E4968" t="e">
        <f>OR(ISBLANK(Charms!I4968),(VLOOKUP(Values!$S$6,Castes!$B$2:$F$25,4,0)=Charms!I4968))</f>
        <v>#N/A</v>
      </c>
      <c r="J4968" t="e">
        <f t="shared" ca="1" si="386"/>
        <v>#N/A</v>
      </c>
      <c r="K4968" s="18" t="e">
        <f t="shared" ca="1" si="385"/>
        <v>#N/A</v>
      </c>
      <c r="L4968" t="e">
        <f ca="1">IF(J4968,Charms!B4968,"")</f>
        <v>#N/A</v>
      </c>
      <c r="M4968" t="str">
        <f t="shared" ca="1" si="387"/>
        <v>-</v>
      </c>
      <c r="N4968" s="18" t="str">
        <f t="shared" si="388"/>
        <v>K1622:L5000</v>
      </c>
      <c r="O4968" t="str">
        <f t="shared" si="389"/>
        <v>A1622:A4968</v>
      </c>
    </row>
    <row r="4969" spans="1:15">
      <c r="A4969" s="18">
        <f>Charms!K4969</f>
        <v>0</v>
      </c>
      <c r="B4969">
        <f>Charms!B4969</f>
        <v>0</v>
      </c>
      <c r="C4969" t="b">
        <f ca="1">OR(Values!$S$98&gt;=Charms!M4969,IFERROR(Charms!J4969=OFFSET(Values!$A$24,MATCH("S",Values!$T$25:$T$50,0),0),FALSE))</f>
        <v>1</v>
      </c>
      <c r="D4969" t="e">
        <f>VLOOKUP(Charms!J4969,Values!$A$11:$S$59,19,0)&gt;=Charms!L4969</f>
        <v>#N/A</v>
      </c>
      <c r="E4969" t="e">
        <f>OR(ISBLANK(Charms!I4969),(VLOOKUP(Values!$S$6,Castes!$B$2:$F$25,4,0)=Charms!I4969))</f>
        <v>#N/A</v>
      </c>
      <c r="J4969" t="e">
        <f t="shared" ca="1" si="386"/>
        <v>#N/A</v>
      </c>
      <c r="K4969" s="18" t="e">
        <f t="shared" ca="1" si="385"/>
        <v>#N/A</v>
      </c>
      <c r="L4969" t="e">
        <f ca="1">IF(J4969,Charms!B4969,"")</f>
        <v>#N/A</v>
      </c>
      <c r="M4969" t="str">
        <f t="shared" ca="1" si="387"/>
        <v>-</v>
      </c>
      <c r="N4969" s="18" t="str">
        <f t="shared" si="388"/>
        <v>K1622:L5000</v>
      </c>
      <c r="O4969" t="str">
        <f t="shared" si="389"/>
        <v>A1622:A4969</v>
      </c>
    </row>
    <row r="4970" spans="1:15">
      <c r="A4970" s="18">
        <f>Charms!K4970</f>
        <v>0</v>
      </c>
      <c r="B4970">
        <f>Charms!B4970</f>
        <v>0</v>
      </c>
      <c r="C4970" t="b">
        <f ca="1">OR(Values!$S$98&gt;=Charms!M4970,IFERROR(Charms!J4970=OFFSET(Values!$A$24,MATCH("S",Values!$T$25:$T$50,0),0),FALSE))</f>
        <v>1</v>
      </c>
      <c r="D4970" t="e">
        <f>VLOOKUP(Charms!J4970,Values!$A$11:$S$59,19,0)&gt;=Charms!L4970</f>
        <v>#N/A</v>
      </c>
      <c r="E4970" t="e">
        <f>OR(ISBLANK(Charms!I4970),(VLOOKUP(Values!$S$6,Castes!$B$2:$F$25,4,0)=Charms!I4970))</f>
        <v>#N/A</v>
      </c>
      <c r="J4970" t="e">
        <f t="shared" ca="1" si="386"/>
        <v>#N/A</v>
      </c>
      <c r="K4970" s="18" t="e">
        <f t="shared" ca="1" si="385"/>
        <v>#N/A</v>
      </c>
      <c r="L4970" t="e">
        <f ca="1">IF(J4970,Charms!B4970,"")</f>
        <v>#N/A</v>
      </c>
      <c r="M4970" t="str">
        <f t="shared" ca="1" si="387"/>
        <v>-</v>
      </c>
      <c r="N4970" s="18" t="str">
        <f t="shared" si="388"/>
        <v>K1622:L5000</v>
      </c>
      <c r="O4970" t="str">
        <f t="shared" si="389"/>
        <v>A1622:A4970</v>
      </c>
    </row>
    <row r="4971" spans="1:15">
      <c r="A4971" s="18">
        <f>Charms!K4971</f>
        <v>0</v>
      </c>
      <c r="B4971">
        <f>Charms!B4971</f>
        <v>0</v>
      </c>
      <c r="C4971" t="b">
        <f ca="1">OR(Values!$S$98&gt;=Charms!M4971,IFERROR(Charms!J4971=OFFSET(Values!$A$24,MATCH("S",Values!$T$25:$T$50,0),0),FALSE))</f>
        <v>1</v>
      </c>
      <c r="D4971" t="e">
        <f>VLOOKUP(Charms!J4971,Values!$A$11:$S$59,19,0)&gt;=Charms!L4971</f>
        <v>#N/A</v>
      </c>
      <c r="E4971" t="e">
        <f>OR(ISBLANK(Charms!I4971),(VLOOKUP(Values!$S$6,Castes!$B$2:$F$25,4,0)=Charms!I4971))</f>
        <v>#N/A</v>
      </c>
      <c r="J4971" t="e">
        <f t="shared" ca="1" si="386"/>
        <v>#N/A</v>
      </c>
      <c r="K4971" s="18" t="e">
        <f t="shared" ca="1" si="385"/>
        <v>#N/A</v>
      </c>
      <c r="L4971" t="e">
        <f ca="1">IF(J4971,Charms!B4971,"")</f>
        <v>#N/A</v>
      </c>
      <c r="M4971" t="str">
        <f t="shared" ca="1" si="387"/>
        <v>-</v>
      </c>
      <c r="N4971" s="18" t="str">
        <f t="shared" si="388"/>
        <v>K1622:L5000</v>
      </c>
      <c r="O4971" t="str">
        <f t="shared" si="389"/>
        <v>A1622:A4971</v>
      </c>
    </row>
    <row r="4972" spans="1:15">
      <c r="A4972" s="18">
        <f>Charms!K4972</f>
        <v>0</v>
      </c>
      <c r="B4972">
        <f>Charms!B4972</f>
        <v>0</v>
      </c>
      <c r="C4972" t="b">
        <f ca="1">OR(Values!$S$98&gt;=Charms!M4972,IFERROR(Charms!J4972=OFFSET(Values!$A$24,MATCH("S",Values!$T$25:$T$50,0),0),FALSE))</f>
        <v>1</v>
      </c>
      <c r="D4972" t="e">
        <f>VLOOKUP(Charms!J4972,Values!$A$11:$S$59,19,0)&gt;=Charms!L4972</f>
        <v>#N/A</v>
      </c>
      <c r="E4972" t="e">
        <f>OR(ISBLANK(Charms!I4972),(VLOOKUP(Values!$S$6,Castes!$B$2:$F$25,4,0)=Charms!I4972))</f>
        <v>#N/A</v>
      </c>
      <c r="J4972" t="e">
        <f t="shared" ca="1" si="386"/>
        <v>#N/A</v>
      </c>
      <c r="K4972" s="18" t="e">
        <f t="shared" ca="1" si="385"/>
        <v>#N/A</v>
      </c>
      <c r="L4972" t="e">
        <f ca="1">IF(J4972,Charms!B4972,"")</f>
        <v>#N/A</v>
      </c>
      <c r="M4972" t="str">
        <f t="shared" ca="1" si="387"/>
        <v>-</v>
      </c>
      <c r="N4972" s="18" t="str">
        <f t="shared" si="388"/>
        <v>K1622:L5000</v>
      </c>
      <c r="O4972" t="str">
        <f t="shared" si="389"/>
        <v>A1622:A4972</v>
      </c>
    </row>
    <row r="4973" spans="1:15">
      <c r="A4973" s="18">
        <f>Charms!K4973</f>
        <v>0</v>
      </c>
      <c r="B4973">
        <f>Charms!B4973</f>
        <v>0</v>
      </c>
      <c r="C4973" t="b">
        <f ca="1">OR(Values!$S$98&gt;=Charms!M4973,IFERROR(Charms!J4973=OFFSET(Values!$A$24,MATCH("S",Values!$T$25:$T$50,0),0),FALSE))</f>
        <v>1</v>
      </c>
      <c r="D4973" t="e">
        <f>VLOOKUP(Charms!J4973,Values!$A$11:$S$59,19,0)&gt;=Charms!L4973</f>
        <v>#N/A</v>
      </c>
      <c r="E4973" t="e">
        <f>OR(ISBLANK(Charms!I4973),(VLOOKUP(Values!$S$6,Castes!$B$2:$F$25,4,0)=Charms!I4973))</f>
        <v>#N/A</v>
      </c>
      <c r="J4973" t="e">
        <f t="shared" ca="1" si="386"/>
        <v>#N/A</v>
      </c>
      <c r="K4973" s="18" t="e">
        <f t="shared" ca="1" si="385"/>
        <v>#N/A</v>
      </c>
      <c r="L4973" t="e">
        <f ca="1">IF(J4973,Charms!B4973,"")</f>
        <v>#N/A</v>
      </c>
      <c r="M4973" t="str">
        <f t="shared" ca="1" si="387"/>
        <v>-</v>
      </c>
      <c r="N4973" s="18" t="str">
        <f t="shared" si="388"/>
        <v>K1622:L5000</v>
      </c>
      <c r="O4973" t="str">
        <f t="shared" si="389"/>
        <v>A1622:A4973</v>
      </c>
    </row>
    <row r="4974" spans="1:15">
      <c r="A4974" s="18">
        <f>Charms!K4974</f>
        <v>0</v>
      </c>
      <c r="B4974">
        <f>Charms!B4974</f>
        <v>0</v>
      </c>
      <c r="C4974" t="b">
        <f ca="1">OR(Values!$S$98&gt;=Charms!M4974,IFERROR(Charms!J4974=OFFSET(Values!$A$24,MATCH("S",Values!$T$25:$T$50,0),0),FALSE))</f>
        <v>1</v>
      </c>
      <c r="D4974" t="e">
        <f>VLOOKUP(Charms!J4974,Values!$A$11:$S$59,19,0)&gt;=Charms!L4974</f>
        <v>#N/A</v>
      </c>
      <c r="E4974" t="e">
        <f>OR(ISBLANK(Charms!I4974),(VLOOKUP(Values!$S$6,Castes!$B$2:$F$25,4,0)=Charms!I4974))</f>
        <v>#N/A</v>
      </c>
      <c r="J4974" t="e">
        <f t="shared" ca="1" si="386"/>
        <v>#N/A</v>
      </c>
      <c r="K4974" s="18" t="e">
        <f t="shared" ca="1" si="385"/>
        <v>#N/A</v>
      </c>
      <c r="L4974" t="e">
        <f ca="1">IF(J4974,Charms!B4974,"")</f>
        <v>#N/A</v>
      </c>
      <c r="M4974" t="str">
        <f t="shared" ca="1" si="387"/>
        <v>-</v>
      </c>
      <c r="N4974" s="18" t="str">
        <f t="shared" si="388"/>
        <v>K1622:L5000</v>
      </c>
      <c r="O4974" t="str">
        <f t="shared" si="389"/>
        <v>A1622:A4974</v>
      </c>
    </row>
    <row r="4975" spans="1:15">
      <c r="A4975" s="18">
        <f>Charms!K4975</f>
        <v>0</v>
      </c>
      <c r="B4975">
        <f>Charms!B4975</f>
        <v>0</v>
      </c>
      <c r="C4975" t="b">
        <f ca="1">OR(Values!$S$98&gt;=Charms!M4975,IFERROR(Charms!J4975=OFFSET(Values!$A$24,MATCH("S",Values!$T$25:$T$50,0),0),FALSE))</f>
        <v>1</v>
      </c>
      <c r="D4975" t="e">
        <f>VLOOKUP(Charms!J4975,Values!$A$11:$S$59,19,0)&gt;=Charms!L4975</f>
        <v>#N/A</v>
      </c>
      <c r="E4975" t="e">
        <f>OR(ISBLANK(Charms!I4975),(VLOOKUP(Values!$S$6,Castes!$B$2:$F$25,4,0)=Charms!I4975))</f>
        <v>#N/A</v>
      </c>
      <c r="J4975" t="e">
        <f t="shared" ca="1" si="386"/>
        <v>#N/A</v>
      </c>
      <c r="K4975" s="18" t="e">
        <f t="shared" ca="1" si="385"/>
        <v>#N/A</v>
      </c>
      <c r="L4975" t="e">
        <f ca="1">IF(J4975,Charms!B4975,"")</f>
        <v>#N/A</v>
      </c>
      <c r="M4975" t="str">
        <f t="shared" ca="1" si="387"/>
        <v>-</v>
      </c>
      <c r="N4975" s="18" t="str">
        <f t="shared" si="388"/>
        <v>K1622:L5000</v>
      </c>
      <c r="O4975" t="str">
        <f t="shared" si="389"/>
        <v>A1622:A4975</v>
      </c>
    </row>
    <row r="4976" spans="1:15">
      <c r="A4976" s="18">
        <f>Charms!K4976</f>
        <v>0</v>
      </c>
      <c r="B4976">
        <f>Charms!B4976</f>
        <v>0</v>
      </c>
      <c r="C4976" t="b">
        <f ca="1">OR(Values!$S$98&gt;=Charms!M4976,IFERROR(Charms!J4976=OFFSET(Values!$A$24,MATCH("S",Values!$T$25:$T$50,0),0),FALSE))</f>
        <v>1</v>
      </c>
      <c r="D4976" t="e">
        <f>VLOOKUP(Charms!J4976,Values!$A$11:$S$59,19,0)&gt;=Charms!L4976</f>
        <v>#N/A</v>
      </c>
      <c r="E4976" t="e">
        <f>OR(ISBLANK(Charms!I4976),(VLOOKUP(Values!$S$6,Castes!$B$2:$F$25,4,0)=Charms!I4976))</f>
        <v>#N/A</v>
      </c>
      <c r="J4976" t="e">
        <f t="shared" ca="1" si="386"/>
        <v>#N/A</v>
      </c>
      <c r="K4976" s="18" t="e">
        <f t="shared" ca="1" si="385"/>
        <v>#N/A</v>
      </c>
      <c r="L4976" t="e">
        <f ca="1">IF(J4976,Charms!B4976,"")</f>
        <v>#N/A</v>
      </c>
      <c r="M4976" t="str">
        <f t="shared" ca="1" si="387"/>
        <v>-</v>
      </c>
      <c r="N4976" s="18" t="str">
        <f t="shared" si="388"/>
        <v>K1622:L5000</v>
      </c>
      <c r="O4976" t="str">
        <f t="shared" si="389"/>
        <v>A1622:A4976</v>
      </c>
    </row>
    <row r="4977" spans="1:15">
      <c r="A4977" s="18">
        <f>Charms!K4977</f>
        <v>0</v>
      </c>
      <c r="B4977">
        <f>Charms!B4977</f>
        <v>0</v>
      </c>
      <c r="C4977" t="b">
        <f ca="1">OR(Values!$S$98&gt;=Charms!M4977,IFERROR(Charms!J4977=OFFSET(Values!$A$24,MATCH("S",Values!$T$25:$T$50,0),0),FALSE))</f>
        <v>1</v>
      </c>
      <c r="D4977" t="e">
        <f>VLOOKUP(Charms!J4977,Values!$A$11:$S$59,19,0)&gt;=Charms!L4977</f>
        <v>#N/A</v>
      </c>
      <c r="E4977" t="e">
        <f>OR(ISBLANK(Charms!I4977),(VLOOKUP(Values!$S$6,Castes!$B$2:$F$25,4,0)=Charms!I4977))</f>
        <v>#N/A</v>
      </c>
      <c r="J4977" t="e">
        <f t="shared" ca="1" si="386"/>
        <v>#N/A</v>
      </c>
      <c r="K4977" s="18" t="e">
        <f t="shared" ca="1" si="385"/>
        <v>#N/A</v>
      </c>
      <c r="L4977" t="e">
        <f ca="1">IF(J4977,Charms!B4977,"")</f>
        <v>#N/A</v>
      </c>
      <c r="M4977" t="str">
        <f t="shared" ca="1" si="387"/>
        <v>-</v>
      </c>
      <c r="N4977" s="18" t="str">
        <f t="shared" si="388"/>
        <v>K1622:L5000</v>
      </c>
      <c r="O4977" t="str">
        <f t="shared" si="389"/>
        <v>A1622:A4977</v>
      </c>
    </row>
    <row r="4978" spans="1:15">
      <c r="A4978" s="18">
        <f>Charms!K4978</f>
        <v>0</v>
      </c>
      <c r="B4978">
        <f>Charms!B4978</f>
        <v>0</v>
      </c>
      <c r="C4978" t="b">
        <f ca="1">OR(Values!$S$98&gt;=Charms!M4978,IFERROR(Charms!J4978=OFFSET(Values!$A$24,MATCH("S",Values!$T$25:$T$50,0),0),FALSE))</f>
        <v>1</v>
      </c>
      <c r="D4978" t="e">
        <f>VLOOKUP(Charms!J4978,Values!$A$11:$S$59,19,0)&gt;=Charms!L4978</f>
        <v>#N/A</v>
      </c>
      <c r="E4978" t="e">
        <f>OR(ISBLANK(Charms!I4978),(VLOOKUP(Values!$S$6,Castes!$B$2:$F$25,4,0)=Charms!I4978))</f>
        <v>#N/A</v>
      </c>
      <c r="J4978" t="e">
        <f t="shared" ca="1" si="386"/>
        <v>#N/A</v>
      </c>
      <c r="K4978" s="18" t="e">
        <f t="shared" ca="1" si="385"/>
        <v>#N/A</v>
      </c>
      <c r="L4978" t="e">
        <f ca="1">IF(J4978,Charms!B4978,"")</f>
        <v>#N/A</v>
      </c>
      <c r="M4978" t="str">
        <f t="shared" ca="1" si="387"/>
        <v>-</v>
      </c>
      <c r="N4978" s="18" t="str">
        <f t="shared" si="388"/>
        <v>K1622:L5000</v>
      </c>
      <c r="O4978" t="str">
        <f t="shared" si="389"/>
        <v>A1622:A4978</v>
      </c>
    </row>
    <row r="4979" spans="1:15">
      <c r="A4979" s="18">
        <f>Charms!K4979</f>
        <v>0</v>
      </c>
      <c r="B4979">
        <f>Charms!B4979</f>
        <v>0</v>
      </c>
      <c r="C4979" t="b">
        <f ca="1">OR(Values!$S$98&gt;=Charms!M4979,IFERROR(Charms!J4979=OFFSET(Values!$A$24,MATCH("S",Values!$T$25:$T$50,0),0),FALSE))</f>
        <v>1</v>
      </c>
      <c r="D4979" t="e">
        <f>VLOOKUP(Charms!J4979,Values!$A$11:$S$59,19,0)&gt;=Charms!L4979</f>
        <v>#N/A</v>
      </c>
      <c r="E4979" t="e">
        <f>OR(ISBLANK(Charms!I4979),(VLOOKUP(Values!$S$6,Castes!$B$2:$F$25,4,0)=Charms!I4979))</f>
        <v>#N/A</v>
      </c>
      <c r="J4979" t="e">
        <f t="shared" ca="1" si="386"/>
        <v>#N/A</v>
      </c>
      <c r="K4979" s="18" t="e">
        <f t="shared" ca="1" si="385"/>
        <v>#N/A</v>
      </c>
      <c r="L4979" t="e">
        <f ca="1">IF(J4979,Charms!B4979,"")</f>
        <v>#N/A</v>
      </c>
      <c r="M4979" t="str">
        <f t="shared" ca="1" si="387"/>
        <v>-</v>
      </c>
      <c r="N4979" s="18" t="str">
        <f t="shared" si="388"/>
        <v>K1622:L5000</v>
      </c>
      <c r="O4979" t="str">
        <f t="shared" si="389"/>
        <v>A1622:A4979</v>
      </c>
    </row>
    <row r="4980" spans="1:15">
      <c r="A4980" s="18">
        <f>Charms!K4980</f>
        <v>0</v>
      </c>
      <c r="B4980">
        <f>Charms!B4980</f>
        <v>0</v>
      </c>
      <c r="C4980" t="b">
        <f ca="1">OR(Values!$S$98&gt;=Charms!M4980,IFERROR(Charms!J4980=OFFSET(Values!$A$24,MATCH("S",Values!$T$25:$T$50,0),0),FALSE))</f>
        <v>1</v>
      </c>
      <c r="D4980" t="e">
        <f>VLOOKUP(Charms!J4980,Values!$A$11:$S$59,19,0)&gt;=Charms!L4980</f>
        <v>#N/A</v>
      </c>
      <c r="E4980" t="e">
        <f>OR(ISBLANK(Charms!I4980),(VLOOKUP(Values!$S$6,Castes!$B$2:$F$25,4,0)=Charms!I4980))</f>
        <v>#N/A</v>
      </c>
      <c r="J4980" t="e">
        <f t="shared" ca="1" si="386"/>
        <v>#N/A</v>
      </c>
      <c r="K4980" s="18" t="e">
        <f t="shared" ca="1" si="385"/>
        <v>#N/A</v>
      </c>
      <c r="L4980" t="e">
        <f ca="1">IF(J4980,Charms!B4980,"")</f>
        <v>#N/A</v>
      </c>
      <c r="M4980" t="str">
        <f t="shared" ca="1" si="387"/>
        <v>-</v>
      </c>
      <c r="N4980" s="18" t="str">
        <f t="shared" si="388"/>
        <v>K1622:L5000</v>
      </c>
      <c r="O4980" t="str">
        <f t="shared" si="389"/>
        <v>A1622:A4980</v>
      </c>
    </row>
    <row r="4981" spans="1:15">
      <c r="A4981" s="18">
        <f>Charms!K4981</f>
        <v>0</v>
      </c>
      <c r="B4981">
        <f>Charms!B4981</f>
        <v>0</v>
      </c>
      <c r="C4981" t="b">
        <f ca="1">OR(Values!$S$98&gt;=Charms!M4981,IFERROR(Charms!J4981=OFFSET(Values!$A$24,MATCH("S",Values!$T$25:$T$50,0),0),FALSE))</f>
        <v>1</v>
      </c>
      <c r="D4981" t="e">
        <f>VLOOKUP(Charms!J4981,Values!$A$11:$S$59,19,0)&gt;=Charms!L4981</f>
        <v>#N/A</v>
      </c>
      <c r="E4981" t="e">
        <f>OR(ISBLANK(Charms!I4981),(VLOOKUP(Values!$S$6,Castes!$B$2:$F$25,4,0)=Charms!I4981))</f>
        <v>#N/A</v>
      </c>
      <c r="J4981" t="e">
        <f t="shared" ca="1" si="386"/>
        <v>#N/A</v>
      </c>
      <c r="K4981" s="18" t="e">
        <f t="shared" ca="1" si="385"/>
        <v>#N/A</v>
      </c>
      <c r="L4981" t="e">
        <f ca="1">IF(J4981,Charms!B4981,"")</f>
        <v>#N/A</v>
      </c>
      <c r="M4981" t="str">
        <f t="shared" ca="1" si="387"/>
        <v>-</v>
      </c>
      <c r="N4981" s="18" t="str">
        <f t="shared" si="388"/>
        <v>K1622:L5000</v>
      </c>
      <c r="O4981" t="str">
        <f t="shared" si="389"/>
        <v>A1622:A4981</v>
      </c>
    </row>
    <row r="4982" spans="1:15">
      <c r="A4982" s="18">
        <f>Charms!K4982</f>
        <v>0</v>
      </c>
      <c r="B4982">
        <f>Charms!B4982</f>
        <v>0</v>
      </c>
      <c r="C4982" t="b">
        <f ca="1">OR(Values!$S$98&gt;=Charms!M4982,IFERROR(Charms!J4982=OFFSET(Values!$A$24,MATCH("S",Values!$T$25:$T$50,0),0),FALSE))</f>
        <v>1</v>
      </c>
      <c r="D4982" t="e">
        <f>VLOOKUP(Charms!J4982,Values!$A$11:$S$59,19,0)&gt;=Charms!L4982</f>
        <v>#N/A</v>
      </c>
      <c r="E4982" t="e">
        <f>OR(ISBLANK(Charms!I4982),(VLOOKUP(Values!$S$6,Castes!$B$2:$F$25,4,0)=Charms!I4982))</f>
        <v>#N/A</v>
      </c>
      <c r="J4982" t="e">
        <f t="shared" ca="1" si="386"/>
        <v>#N/A</v>
      </c>
      <c r="K4982" s="18" t="e">
        <f t="shared" ca="1" si="385"/>
        <v>#N/A</v>
      </c>
      <c r="L4982" t="e">
        <f ca="1">IF(J4982,Charms!B4982,"")</f>
        <v>#N/A</v>
      </c>
      <c r="M4982" t="str">
        <f t="shared" ca="1" si="387"/>
        <v>-</v>
      </c>
      <c r="N4982" s="18" t="str">
        <f t="shared" si="388"/>
        <v>K1622:L5000</v>
      </c>
      <c r="O4982" t="str">
        <f t="shared" si="389"/>
        <v>A1622:A4982</v>
      </c>
    </row>
    <row r="4983" spans="1:15">
      <c r="A4983" s="18">
        <f>Charms!K4983</f>
        <v>0</v>
      </c>
      <c r="B4983">
        <f>Charms!B4983</f>
        <v>0</v>
      </c>
      <c r="C4983" t="b">
        <f ca="1">OR(Values!$S$98&gt;=Charms!M4983,IFERROR(Charms!J4983=OFFSET(Values!$A$24,MATCH("S",Values!$T$25:$T$50,0),0),FALSE))</f>
        <v>1</v>
      </c>
      <c r="D4983" t="e">
        <f>VLOOKUP(Charms!J4983,Values!$A$11:$S$59,19,0)&gt;=Charms!L4983</f>
        <v>#N/A</v>
      </c>
      <c r="E4983" t="e">
        <f>OR(ISBLANK(Charms!I4983),(VLOOKUP(Values!$S$6,Castes!$B$2:$F$25,4,0)=Charms!I4983))</f>
        <v>#N/A</v>
      </c>
      <c r="J4983" t="e">
        <f t="shared" ca="1" si="386"/>
        <v>#N/A</v>
      </c>
      <c r="K4983" s="18" t="e">
        <f t="shared" ca="1" si="385"/>
        <v>#N/A</v>
      </c>
      <c r="L4983" t="e">
        <f ca="1">IF(J4983,Charms!B4983,"")</f>
        <v>#N/A</v>
      </c>
      <c r="M4983" t="str">
        <f t="shared" ca="1" si="387"/>
        <v>-</v>
      </c>
      <c r="N4983" s="18" t="str">
        <f t="shared" si="388"/>
        <v>K1622:L5000</v>
      </c>
      <c r="O4983" t="str">
        <f t="shared" si="389"/>
        <v>A1622:A4983</v>
      </c>
    </row>
    <row r="4984" spans="1:15">
      <c r="A4984" s="18">
        <f>Charms!K4984</f>
        <v>0</v>
      </c>
      <c r="B4984">
        <f>Charms!B4984</f>
        <v>0</v>
      </c>
      <c r="C4984" t="b">
        <f ca="1">OR(Values!$S$98&gt;=Charms!M4984,IFERROR(Charms!J4984=OFFSET(Values!$A$24,MATCH("S",Values!$T$25:$T$50,0),0),FALSE))</f>
        <v>1</v>
      </c>
      <c r="D4984" t="e">
        <f>VLOOKUP(Charms!J4984,Values!$A$11:$S$59,19,0)&gt;=Charms!L4984</f>
        <v>#N/A</v>
      </c>
      <c r="E4984" t="e">
        <f>OR(ISBLANK(Charms!I4984),(VLOOKUP(Values!$S$6,Castes!$B$2:$F$25,4,0)=Charms!I4984))</f>
        <v>#N/A</v>
      </c>
      <c r="J4984" t="e">
        <f t="shared" ca="1" si="386"/>
        <v>#N/A</v>
      </c>
      <c r="K4984" s="18" t="e">
        <f t="shared" ca="1" si="385"/>
        <v>#N/A</v>
      </c>
      <c r="L4984" t="e">
        <f ca="1">IF(J4984,Charms!B4984,"")</f>
        <v>#N/A</v>
      </c>
      <c r="M4984" t="str">
        <f t="shared" ca="1" si="387"/>
        <v>-</v>
      </c>
      <c r="N4984" s="18" t="str">
        <f t="shared" si="388"/>
        <v>K1622:L5000</v>
      </c>
      <c r="O4984" t="str">
        <f t="shared" si="389"/>
        <v>A1622:A4984</v>
      </c>
    </row>
    <row r="4985" spans="1:15">
      <c r="A4985" s="18">
        <f>Charms!K4985</f>
        <v>0</v>
      </c>
      <c r="B4985">
        <f>Charms!B4985</f>
        <v>0</v>
      </c>
      <c r="C4985" t="b">
        <f ca="1">OR(Values!$S$98&gt;=Charms!M4985,IFERROR(Charms!J4985=OFFSET(Values!$A$24,MATCH("S",Values!$T$25:$T$50,0),0),FALSE))</f>
        <v>1</v>
      </c>
      <c r="D4985" t="e">
        <f>VLOOKUP(Charms!J4985,Values!$A$11:$S$59,19,0)&gt;=Charms!L4985</f>
        <v>#N/A</v>
      </c>
      <c r="E4985" t="e">
        <f>OR(ISBLANK(Charms!I4985),(VLOOKUP(Values!$S$6,Castes!$B$2:$F$25,4,0)=Charms!I4985))</f>
        <v>#N/A</v>
      </c>
      <c r="J4985" t="e">
        <f t="shared" ca="1" si="386"/>
        <v>#N/A</v>
      </c>
      <c r="K4985" s="18" t="e">
        <f t="shared" ca="1" si="385"/>
        <v>#N/A</v>
      </c>
      <c r="L4985" t="e">
        <f ca="1">IF(J4985,Charms!B4985,"")</f>
        <v>#N/A</v>
      </c>
      <c r="M4985" t="str">
        <f t="shared" ca="1" si="387"/>
        <v>-</v>
      </c>
      <c r="N4985" s="18" t="str">
        <f t="shared" si="388"/>
        <v>K1622:L5000</v>
      </c>
      <c r="O4985" t="str">
        <f t="shared" si="389"/>
        <v>A1622:A4985</v>
      </c>
    </row>
    <row r="4986" spans="1:15">
      <c r="A4986" s="18">
        <f>Charms!K4986</f>
        <v>0</v>
      </c>
      <c r="B4986">
        <f>Charms!B4986</f>
        <v>0</v>
      </c>
      <c r="C4986" t="b">
        <f ca="1">OR(Values!$S$98&gt;=Charms!M4986,IFERROR(Charms!J4986=OFFSET(Values!$A$24,MATCH("S",Values!$T$25:$T$50,0),0),FALSE))</f>
        <v>1</v>
      </c>
      <c r="D4986" t="e">
        <f>VLOOKUP(Charms!J4986,Values!$A$11:$S$59,19,0)&gt;=Charms!L4986</f>
        <v>#N/A</v>
      </c>
      <c r="E4986" t="e">
        <f>OR(ISBLANK(Charms!I4986),(VLOOKUP(Values!$S$6,Castes!$B$2:$F$25,4,0)=Charms!I4986))</f>
        <v>#N/A</v>
      </c>
      <c r="J4986" t="e">
        <f t="shared" ca="1" si="386"/>
        <v>#N/A</v>
      </c>
      <c r="K4986" s="18" t="e">
        <f t="shared" ca="1" si="385"/>
        <v>#N/A</v>
      </c>
      <c r="L4986" t="e">
        <f ca="1">IF(J4986,Charms!B4986,"")</f>
        <v>#N/A</v>
      </c>
      <c r="M4986" t="str">
        <f t="shared" ca="1" si="387"/>
        <v>-</v>
      </c>
      <c r="N4986" s="18" t="str">
        <f t="shared" si="388"/>
        <v>K1622:L5000</v>
      </c>
      <c r="O4986" t="str">
        <f t="shared" si="389"/>
        <v>A1622:A4986</v>
      </c>
    </row>
    <row r="4987" spans="1:15">
      <c r="A4987" s="18">
        <f>Charms!K4987</f>
        <v>0</v>
      </c>
      <c r="B4987">
        <f>Charms!B4987</f>
        <v>0</v>
      </c>
      <c r="C4987" t="b">
        <f ca="1">OR(Values!$S$98&gt;=Charms!M4987,IFERROR(Charms!J4987=OFFSET(Values!$A$24,MATCH("S",Values!$T$25:$T$50,0),0),FALSE))</f>
        <v>1</v>
      </c>
      <c r="D4987" t="e">
        <f>VLOOKUP(Charms!J4987,Values!$A$11:$S$59,19,0)&gt;=Charms!L4987</f>
        <v>#N/A</v>
      </c>
      <c r="E4987" t="e">
        <f>OR(ISBLANK(Charms!I4987),(VLOOKUP(Values!$S$6,Castes!$B$2:$F$25,4,0)=Charms!I4987))</f>
        <v>#N/A</v>
      </c>
      <c r="J4987" t="e">
        <f t="shared" ca="1" si="386"/>
        <v>#N/A</v>
      </c>
      <c r="K4987" s="18" t="e">
        <f t="shared" ca="1" si="385"/>
        <v>#N/A</v>
      </c>
      <c r="L4987" t="e">
        <f ca="1">IF(J4987,Charms!B4987,"")</f>
        <v>#N/A</v>
      </c>
      <c r="M4987" t="str">
        <f t="shared" ca="1" si="387"/>
        <v>-</v>
      </c>
      <c r="N4987" s="18" t="str">
        <f t="shared" si="388"/>
        <v>K1622:L5000</v>
      </c>
      <c r="O4987" t="str">
        <f t="shared" si="389"/>
        <v>A1622:A4987</v>
      </c>
    </row>
    <row r="4988" spans="1:15">
      <c r="A4988" s="18">
        <f>Charms!K4988</f>
        <v>0</v>
      </c>
      <c r="B4988">
        <f>Charms!B4988</f>
        <v>0</v>
      </c>
      <c r="C4988" t="b">
        <f ca="1">OR(Values!$S$98&gt;=Charms!M4988,IFERROR(Charms!J4988=OFFSET(Values!$A$24,MATCH("S",Values!$T$25:$T$50,0),0),FALSE))</f>
        <v>1</v>
      </c>
      <c r="D4988" t="e">
        <f>VLOOKUP(Charms!J4988,Values!$A$11:$S$59,19,0)&gt;=Charms!L4988</f>
        <v>#N/A</v>
      </c>
      <c r="E4988" t="e">
        <f>OR(ISBLANK(Charms!I4988),(VLOOKUP(Values!$S$6,Castes!$B$2:$F$25,4,0)=Charms!I4988))</f>
        <v>#N/A</v>
      </c>
      <c r="J4988" t="e">
        <f t="shared" ca="1" si="386"/>
        <v>#N/A</v>
      </c>
      <c r="K4988" s="18" t="e">
        <f t="shared" ca="1" si="385"/>
        <v>#N/A</v>
      </c>
      <c r="L4988" t="e">
        <f ca="1">IF(J4988,Charms!B4988,"")</f>
        <v>#N/A</v>
      </c>
      <c r="M4988" t="str">
        <f t="shared" ca="1" si="387"/>
        <v>-</v>
      </c>
      <c r="N4988" s="18" t="str">
        <f t="shared" si="388"/>
        <v>K1622:L5000</v>
      </c>
      <c r="O4988" t="str">
        <f t="shared" si="389"/>
        <v>A1622:A4988</v>
      </c>
    </row>
    <row r="4989" spans="1:15">
      <c r="A4989" s="18">
        <f>Charms!K4989</f>
        <v>0</v>
      </c>
      <c r="B4989">
        <f>Charms!B4989</f>
        <v>0</v>
      </c>
      <c r="C4989" t="b">
        <f ca="1">OR(Values!$S$98&gt;=Charms!M4989,IFERROR(Charms!J4989=OFFSET(Values!$A$24,MATCH("S",Values!$T$25:$T$50,0),0),FALSE))</f>
        <v>1</v>
      </c>
      <c r="D4989" t="e">
        <f>VLOOKUP(Charms!J4989,Values!$A$11:$S$59,19,0)&gt;=Charms!L4989</f>
        <v>#N/A</v>
      </c>
      <c r="E4989" t="e">
        <f>OR(ISBLANK(Charms!I4989),(VLOOKUP(Values!$S$6,Castes!$B$2:$F$25,4,0)=Charms!I4989))</f>
        <v>#N/A</v>
      </c>
      <c r="J4989" t="e">
        <f t="shared" ca="1" si="386"/>
        <v>#N/A</v>
      </c>
      <c r="K4989" s="18" t="e">
        <f t="shared" ca="1" si="385"/>
        <v>#N/A</v>
      </c>
      <c r="L4989" t="e">
        <f ca="1">IF(J4989,Charms!B4989,"")</f>
        <v>#N/A</v>
      </c>
      <c r="M4989" t="str">
        <f t="shared" ca="1" si="387"/>
        <v>-</v>
      </c>
      <c r="N4989" s="18" t="str">
        <f t="shared" si="388"/>
        <v>K1622:L5000</v>
      </c>
      <c r="O4989" t="str">
        <f t="shared" si="389"/>
        <v>A1622:A4989</v>
      </c>
    </row>
    <row r="4990" spans="1:15">
      <c r="A4990" s="18">
        <f>Charms!K4990</f>
        <v>0</v>
      </c>
      <c r="B4990">
        <f>Charms!B4990</f>
        <v>0</v>
      </c>
      <c r="C4990" t="b">
        <f ca="1">OR(Values!$S$98&gt;=Charms!M4990,IFERROR(Charms!J4990=OFFSET(Values!$A$24,MATCH("S",Values!$T$25:$T$50,0),0),FALSE))</f>
        <v>1</v>
      </c>
      <c r="D4990" t="e">
        <f>VLOOKUP(Charms!J4990,Values!$A$11:$S$59,19,0)&gt;=Charms!L4990</f>
        <v>#N/A</v>
      </c>
      <c r="E4990" t="e">
        <f>OR(ISBLANK(Charms!I4990),(VLOOKUP(Values!$S$6,Castes!$B$2:$F$25,4,0)=Charms!I4990))</f>
        <v>#N/A</v>
      </c>
      <c r="J4990" t="e">
        <f t="shared" ca="1" si="386"/>
        <v>#N/A</v>
      </c>
      <c r="K4990" s="18" t="e">
        <f t="shared" ca="1" si="385"/>
        <v>#N/A</v>
      </c>
      <c r="L4990" t="e">
        <f ca="1">IF(J4990,Charms!B4990,"")</f>
        <v>#N/A</v>
      </c>
      <c r="M4990" t="str">
        <f t="shared" ca="1" si="387"/>
        <v>-</v>
      </c>
      <c r="N4990" s="18" t="str">
        <f t="shared" si="388"/>
        <v>K1622:L5000</v>
      </c>
      <c r="O4990" t="str">
        <f t="shared" si="389"/>
        <v>A1622:A4990</v>
      </c>
    </row>
    <row r="4991" spans="1:15">
      <c r="A4991" s="18">
        <f>Charms!K4991</f>
        <v>0</v>
      </c>
      <c r="B4991">
        <f>Charms!B4991</f>
        <v>0</v>
      </c>
      <c r="C4991" t="b">
        <f ca="1">OR(Values!$S$98&gt;=Charms!M4991,IFERROR(Charms!J4991=OFFSET(Values!$A$24,MATCH("S",Values!$T$25:$T$50,0),0),FALSE))</f>
        <v>1</v>
      </c>
      <c r="D4991" t="e">
        <f>VLOOKUP(Charms!J4991,Values!$A$11:$S$59,19,0)&gt;=Charms!L4991</f>
        <v>#N/A</v>
      </c>
      <c r="E4991" t="e">
        <f>OR(ISBLANK(Charms!I4991),(VLOOKUP(Values!$S$6,Castes!$B$2:$F$25,4,0)=Charms!I4991))</f>
        <v>#N/A</v>
      </c>
      <c r="J4991" t="e">
        <f t="shared" ca="1" si="386"/>
        <v>#N/A</v>
      </c>
      <c r="K4991" s="18" t="e">
        <f t="shared" ca="1" si="385"/>
        <v>#N/A</v>
      </c>
      <c r="L4991" t="e">
        <f ca="1">IF(J4991,Charms!B4991,"")</f>
        <v>#N/A</v>
      </c>
      <c r="M4991" t="str">
        <f t="shared" ca="1" si="387"/>
        <v>-</v>
      </c>
      <c r="N4991" s="18" t="str">
        <f t="shared" si="388"/>
        <v>K1622:L5000</v>
      </c>
      <c r="O4991" t="str">
        <f t="shared" si="389"/>
        <v>A1622:A4991</v>
      </c>
    </row>
    <row r="4992" spans="1:15">
      <c r="A4992" s="18">
        <f>Charms!K4992</f>
        <v>0</v>
      </c>
      <c r="B4992">
        <f>Charms!B4992</f>
        <v>0</v>
      </c>
      <c r="C4992" t="b">
        <f ca="1">OR(Values!$S$98&gt;=Charms!M4992,IFERROR(Charms!J4992=OFFSET(Values!$A$24,MATCH("S",Values!$T$25:$T$50,0),0),FALSE))</f>
        <v>1</v>
      </c>
      <c r="D4992" t="e">
        <f>VLOOKUP(Charms!J4992,Values!$A$11:$S$59,19,0)&gt;=Charms!L4992</f>
        <v>#N/A</v>
      </c>
      <c r="E4992" t="e">
        <f>OR(ISBLANK(Charms!I4992),(VLOOKUP(Values!$S$6,Castes!$B$2:$F$25,4,0)=Charms!I4992))</f>
        <v>#N/A</v>
      </c>
      <c r="J4992" t="e">
        <f t="shared" ca="1" si="386"/>
        <v>#N/A</v>
      </c>
      <c r="K4992" s="18" t="e">
        <f t="shared" ca="1" si="385"/>
        <v>#N/A</v>
      </c>
      <c r="L4992" t="e">
        <f ca="1">IF(J4992,Charms!B4992,"")</f>
        <v>#N/A</v>
      </c>
      <c r="M4992" t="str">
        <f t="shared" ca="1" si="387"/>
        <v>-</v>
      </c>
      <c r="N4992" s="18" t="str">
        <f t="shared" si="388"/>
        <v>K1622:L5000</v>
      </c>
      <c r="O4992" t="str">
        <f t="shared" si="389"/>
        <v>A1622:A4992</v>
      </c>
    </row>
    <row r="4993" spans="1:15">
      <c r="A4993" s="18">
        <f>Charms!K4993</f>
        <v>0</v>
      </c>
      <c r="B4993">
        <f>Charms!B4993</f>
        <v>0</v>
      </c>
      <c r="C4993" t="b">
        <f ca="1">OR(Values!$S$98&gt;=Charms!M4993,IFERROR(Charms!J4993=OFFSET(Values!$A$24,MATCH("S",Values!$T$25:$T$50,0),0),FALSE))</f>
        <v>1</v>
      </c>
      <c r="D4993" t="e">
        <f>VLOOKUP(Charms!J4993,Values!$A$11:$S$59,19,0)&gt;=Charms!L4993</f>
        <v>#N/A</v>
      </c>
      <c r="E4993" t="e">
        <f>OR(ISBLANK(Charms!I4993),(VLOOKUP(Values!$S$6,Castes!$B$2:$F$25,4,0)=Charms!I4993))</f>
        <v>#N/A</v>
      </c>
      <c r="J4993" t="e">
        <f t="shared" ca="1" si="386"/>
        <v>#N/A</v>
      </c>
      <c r="K4993" s="18" t="e">
        <f t="shared" ca="1" si="385"/>
        <v>#N/A</v>
      </c>
      <c r="L4993" t="e">
        <f ca="1">IF(J4993,Charms!B4993,"")</f>
        <v>#N/A</v>
      </c>
      <c r="M4993" t="str">
        <f t="shared" ca="1" si="387"/>
        <v>-</v>
      </c>
      <c r="N4993" s="18" t="str">
        <f t="shared" si="388"/>
        <v>K1622:L5000</v>
      </c>
      <c r="O4993" t="str">
        <f t="shared" si="389"/>
        <v>A1622:A4993</v>
      </c>
    </row>
    <row r="4994" spans="1:15">
      <c r="A4994" s="18">
        <f>Charms!K4994</f>
        <v>0</v>
      </c>
      <c r="B4994">
        <f>Charms!B4994</f>
        <v>0</v>
      </c>
      <c r="C4994" t="b">
        <f ca="1">OR(Values!$S$98&gt;=Charms!M4994,IFERROR(Charms!J4994=OFFSET(Values!$A$24,MATCH("S",Values!$T$25:$T$50,0),0),FALSE))</f>
        <v>1</v>
      </c>
      <c r="D4994" t="e">
        <f>VLOOKUP(Charms!J4994,Values!$A$11:$S$59,19,0)&gt;=Charms!L4994</f>
        <v>#N/A</v>
      </c>
      <c r="E4994" t="e">
        <f>OR(ISBLANK(Charms!I4994),(VLOOKUP(Values!$S$6,Castes!$B$2:$F$25,4,0)=Charms!I4994))</f>
        <v>#N/A</v>
      </c>
      <c r="J4994" t="e">
        <f t="shared" ca="1" si="386"/>
        <v>#N/A</v>
      </c>
      <c r="K4994" s="18" t="e">
        <f t="shared" ref="K4994:K5000" ca="1" si="390">IF(L4994="","",COUNTIF(INDIRECT("J"&amp;MATCH(A4994,A:A,0)&amp;":J"&amp;ROW()),J4994))</f>
        <v>#N/A</v>
      </c>
      <c r="L4994" t="e">
        <f ca="1">IF(J4994,Charms!B4994,"")</f>
        <v>#N/A</v>
      </c>
      <c r="M4994" t="str">
        <f t="shared" ca="1" si="387"/>
        <v>-</v>
      </c>
      <c r="N4994" s="18" t="str">
        <f t="shared" si="388"/>
        <v>K1622:L5000</v>
      </c>
      <c r="O4994" t="str">
        <f t="shared" si="389"/>
        <v>A1622:A4994</v>
      </c>
    </row>
    <row r="4995" spans="1:15">
      <c r="A4995" s="18">
        <f>Charms!K4995</f>
        <v>0</v>
      </c>
      <c r="B4995">
        <f>Charms!B4995</f>
        <v>0</v>
      </c>
      <c r="C4995" t="b">
        <f ca="1">OR(Values!$S$98&gt;=Charms!M4995,IFERROR(Charms!J4995=OFFSET(Values!$A$24,MATCH("S",Values!$T$25:$T$50,0),0),FALSE))</f>
        <v>1</v>
      </c>
      <c r="D4995" t="e">
        <f>VLOOKUP(Charms!J4995,Values!$A$11:$S$59,19,0)&gt;=Charms!L4995</f>
        <v>#N/A</v>
      </c>
      <c r="E4995" t="e">
        <f>OR(ISBLANK(Charms!I4995),(VLOOKUP(Values!$S$6,Castes!$B$2:$F$25,4,0)=Charms!I4995))</f>
        <v>#N/A</v>
      </c>
      <c r="J4995" t="e">
        <f t="shared" ref="J4995:J5000" ca="1" si="391">(C4995+D4995+E4995+F4995+G4995+H4995+I4995)=3</f>
        <v>#N/A</v>
      </c>
      <c r="K4995" s="18" t="e">
        <f t="shared" ca="1" si="390"/>
        <v>#N/A</v>
      </c>
      <c r="L4995" t="e">
        <f ca="1">IF(J4995,Charms!B4995,"")</f>
        <v>#N/A</v>
      </c>
      <c r="M4995" t="str">
        <f t="shared" ref="M4995:M5000" ca="1" si="392">IFERROR(VLOOKUP(COUNTIF(INDIRECT(O4995),A4995),INDIRECT(N4995),2,0),"-")</f>
        <v>-</v>
      </c>
      <c r="N4995" s="18" t="str">
        <f t="shared" ref="N4995:N5000" si="393">"K"&amp;MATCH(A4995,A:A,0)&amp;":L"&amp;(MATCH(A4995,A:A,0)+COUNTIF(A:A,A4995)-1)</f>
        <v>K1622:L5000</v>
      </c>
      <c r="O4995" t="str">
        <f t="shared" ref="O4995:O5000" si="394">"A"&amp;MATCH(A4995,A:A,0)&amp;":A"&amp;ROW()</f>
        <v>A1622:A4995</v>
      </c>
    </row>
    <row r="4996" spans="1:15">
      <c r="A4996" s="18">
        <f>Charms!K4996</f>
        <v>0</v>
      </c>
      <c r="B4996">
        <f>Charms!B4996</f>
        <v>0</v>
      </c>
      <c r="C4996" t="b">
        <f ca="1">OR(Values!$S$98&gt;=Charms!M4996,IFERROR(Charms!J4996=OFFSET(Values!$A$24,MATCH("S",Values!$T$25:$T$50,0),0),FALSE))</f>
        <v>1</v>
      </c>
      <c r="D4996" t="e">
        <f>VLOOKUP(Charms!J4996,Values!$A$11:$S$59,19,0)&gt;=Charms!L4996</f>
        <v>#N/A</v>
      </c>
      <c r="E4996" t="e">
        <f>OR(ISBLANK(Charms!I4996),(VLOOKUP(Values!$S$6,Castes!$B$2:$F$25,4,0)=Charms!I4996))</f>
        <v>#N/A</v>
      </c>
      <c r="J4996" t="e">
        <f t="shared" ca="1" si="391"/>
        <v>#N/A</v>
      </c>
      <c r="K4996" s="18" t="e">
        <f t="shared" ca="1" si="390"/>
        <v>#N/A</v>
      </c>
      <c r="L4996" t="e">
        <f ca="1">IF(J4996,Charms!B4996,"")</f>
        <v>#N/A</v>
      </c>
      <c r="M4996" t="str">
        <f t="shared" ca="1" si="392"/>
        <v>-</v>
      </c>
      <c r="N4996" s="18" t="str">
        <f t="shared" si="393"/>
        <v>K1622:L5000</v>
      </c>
      <c r="O4996" t="str">
        <f t="shared" si="394"/>
        <v>A1622:A4996</v>
      </c>
    </row>
    <row r="4997" spans="1:15">
      <c r="A4997" s="18">
        <f>Charms!K4997</f>
        <v>0</v>
      </c>
      <c r="B4997">
        <f>Charms!B4997</f>
        <v>0</v>
      </c>
      <c r="C4997" t="b">
        <f ca="1">OR(Values!$S$98&gt;=Charms!M4997,IFERROR(Charms!J4997=OFFSET(Values!$A$24,MATCH("S",Values!$T$25:$T$50,0),0),FALSE))</f>
        <v>1</v>
      </c>
      <c r="D4997" t="e">
        <f>VLOOKUP(Charms!J4997,Values!$A$11:$S$59,19,0)&gt;=Charms!L4997</f>
        <v>#N/A</v>
      </c>
      <c r="E4997" t="e">
        <f>OR(ISBLANK(Charms!I4997),(VLOOKUP(Values!$S$6,Castes!$B$2:$F$25,4,0)=Charms!I4997))</f>
        <v>#N/A</v>
      </c>
      <c r="J4997" t="e">
        <f t="shared" ca="1" si="391"/>
        <v>#N/A</v>
      </c>
      <c r="K4997" s="18" t="e">
        <f t="shared" ca="1" si="390"/>
        <v>#N/A</v>
      </c>
      <c r="L4997" t="e">
        <f ca="1">IF(J4997,Charms!B4997,"")</f>
        <v>#N/A</v>
      </c>
      <c r="M4997" t="str">
        <f t="shared" ca="1" si="392"/>
        <v>-</v>
      </c>
      <c r="N4997" s="18" t="str">
        <f t="shared" si="393"/>
        <v>K1622:L5000</v>
      </c>
      <c r="O4997" t="str">
        <f t="shared" si="394"/>
        <v>A1622:A4997</v>
      </c>
    </row>
    <row r="4998" spans="1:15">
      <c r="A4998" s="18">
        <f>Charms!K4998</f>
        <v>0</v>
      </c>
      <c r="B4998">
        <f>Charms!B4998</f>
        <v>0</v>
      </c>
      <c r="C4998" t="b">
        <f ca="1">OR(Values!$S$98&gt;=Charms!M4998,IFERROR(Charms!J4998=OFFSET(Values!$A$24,MATCH("S",Values!$T$25:$T$50,0),0),FALSE))</f>
        <v>1</v>
      </c>
      <c r="D4998" t="e">
        <f>VLOOKUP(Charms!J4998,Values!$A$11:$S$59,19,0)&gt;=Charms!L4998</f>
        <v>#N/A</v>
      </c>
      <c r="E4998" t="e">
        <f>OR(ISBLANK(Charms!I4998),(VLOOKUP(Values!$S$6,Castes!$B$2:$F$25,4,0)=Charms!I4998))</f>
        <v>#N/A</v>
      </c>
      <c r="J4998" t="e">
        <f t="shared" ca="1" si="391"/>
        <v>#N/A</v>
      </c>
      <c r="K4998" s="18" t="e">
        <f t="shared" ca="1" si="390"/>
        <v>#N/A</v>
      </c>
      <c r="L4998" t="e">
        <f ca="1">IF(J4998,Charms!B4998,"")</f>
        <v>#N/A</v>
      </c>
      <c r="M4998" t="str">
        <f t="shared" ca="1" si="392"/>
        <v>-</v>
      </c>
      <c r="N4998" s="18" t="str">
        <f t="shared" si="393"/>
        <v>K1622:L5000</v>
      </c>
      <c r="O4998" t="str">
        <f t="shared" si="394"/>
        <v>A1622:A4998</v>
      </c>
    </row>
    <row r="4999" spans="1:15">
      <c r="A4999" s="18">
        <f>Charms!K4999</f>
        <v>0</v>
      </c>
      <c r="B4999">
        <f>Charms!B4999</f>
        <v>0</v>
      </c>
      <c r="C4999" t="b">
        <f ca="1">OR(Values!$S$98&gt;=Charms!M4999,IFERROR(Charms!J4999=OFFSET(Values!$A$24,MATCH("S",Values!$T$25:$T$50,0),0),FALSE))</f>
        <v>1</v>
      </c>
      <c r="D4999" t="e">
        <f>VLOOKUP(Charms!J4999,Values!$A$11:$S$59,19,0)&gt;=Charms!L4999</f>
        <v>#N/A</v>
      </c>
      <c r="E4999" t="e">
        <f>OR(ISBLANK(Charms!I4999),(VLOOKUP(Values!$S$6,Castes!$B$2:$F$25,4,0)=Charms!I4999))</f>
        <v>#N/A</v>
      </c>
      <c r="J4999" t="e">
        <f t="shared" ca="1" si="391"/>
        <v>#N/A</v>
      </c>
      <c r="K4999" s="18" t="e">
        <f t="shared" ca="1" si="390"/>
        <v>#N/A</v>
      </c>
      <c r="L4999" t="e">
        <f ca="1">IF(J4999,Charms!B4999,"")</f>
        <v>#N/A</v>
      </c>
      <c r="M4999" t="str">
        <f t="shared" ca="1" si="392"/>
        <v>-</v>
      </c>
      <c r="N4999" s="18" t="str">
        <f t="shared" si="393"/>
        <v>K1622:L5000</v>
      </c>
      <c r="O4999" t="str">
        <f t="shared" si="394"/>
        <v>A1622:A4999</v>
      </c>
    </row>
    <row r="5000" spans="1:15">
      <c r="A5000" s="18">
        <f>Charms!K5000</f>
        <v>0</v>
      </c>
      <c r="B5000">
        <f>Charms!B5000</f>
        <v>0</v>
      </c>
      <c r="C5000" t="b">
        <f ca="1">OR(Values!$S$98&gt;=Charms!M5000,IFERROR(Charms!J5000=OFFSET(Values!$A$24,MATCH("S",Values!$T$25:$T$50,0),0),FALSE))</f>
        <v>1</v>
      </c>
      <c r="D5000" t="e">
        <f>VLOOKUP(Charms!J5000,Values!$A$11:$S$59,19,0)&gt;=Charms!L5000</f>
        <v>#N/A</v>
      </c>
      <c r="E5000" t="e">
        <f>OR(ISBLANK(Charms!I5000),(VLOOKUP(Values!$S$6,Castes!$B$2:$F$25,4,0)=Charms!I5000))</f>
        <v>#N/A</v>
      </c>
      <c r="J5000" t="e">
        <f t="shared" ca="1" si="391"/>
        <v>#N/A</v>
      </c>
      <c r="K5000" s="18" t="e">
        <f t="shared" ca="1" si="390"/>
        <v>#N/A</v>
      </c>
      <c r="L5000" t="e">
        <f ca="1">IF(J5000,Charms!B5000,"")</f>
        <v>#N/A</v>
      </c>
      <c r="M5000" t="str">
        <f t="shared" ca="1" si="392"/>
        <v>-</v>
      </c>
      <c r="N5000" s="18" t="str">
        <f t="shared" si="393"/>
        <v>K1622:L5000</v>
      </c>
      <c r="O5000" t="str">
        <f t="shared" si="394"/>
        <v>A1622:A5000</v>
      </c>
    </row>
  </sheetData>
  <pageMargins left="0.7" right="0.7" top="0.75" bottom="0.75" header="0.3" footer="0.3"/>
  <legacy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Feuil15"/>
  <dimension ref="A1:D5"/>
  <sheetViews>
    <sheetView workbookViewId="0">
      <selection activeCell="B6" sqref="B6"/>
    </sheetView>
  </sheetViews>
  <sheetFormatPr baseColWidth="10" defaultRowHeight="14.25"/>
  <sheetData>
    <row r="1" spans="1:4">
      <c r="A1" t="s">
        <v>3147</v>
      </c>
      <c r="C1">
        <v>2</v>
      </c>
    </row>
    <row r="2" spans="1:4">
      <c r="A2" t="s">
        <v>3148</v>
      </c>
      <c r="C2">
        <v>0</v>
      </c>
      <c r="D2" t="str">
        <f>""</f>
        <v/>
      </c>
    </row>
    <row r="3" spans="1:4">
      <c r="C3">
        <v>1</v>
      </c>
      <c r="D3" t="s">
        <v>3149</v>
      </c>
    </row>
    <row r="4" spans="1:4">
      <c r="C4">
        <v>2</v>
      </c>
      <c r="D4" t="s">
        <v>3150</v>
      </c>
    </row>
    <row r="5" spans="1:4">
      <c r="C5">
        <v>3</v>
      </c>
      <c r="D5" t="s">
        <v>3151</v>
      </c>
    </row>
  </sheetData>
  <pageMargins left="0.7" right="0.7" top="0.75" bottom="0.75" header="0.3" footer="0.3"/>
  <pageSetup paperSize="9"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A1F544-532C-4D61-96F7-A12AD98064C4}">
  <dimension ref="A1:B47"/>
  <sheetViews>
    <sheetView topLeftCell="A27" workbookViewId="0">
      <selection activeCell="A40" sqref="A40"/>
    </sheetView>
  </sheetViews>
  <sheetFormatPr baseColWidth="10" defaultRowHeight="14.25"/>
  <sheetData>
    <row r="1" spans="1:2">
      <c r="A1" s="18" t="s">
        <v>3964</v>
      </c>
    </row>
    <row r="2" spans="1:2">
      <c r="A2" t="s">
        <v>20</v>
      </c>
      <c r="B2" s="19" t="s">
        <v>3965</v>
      </c>
    </row>
    <row r="3" spans="1:2">
      <c r="A3" t="s">
        <v>22</v>
      </c>
      <c r="B3" s="19" t="s">
        <v>3966</v>
      </c>
    </row>
    <row r="4" spans="1:2">
      <c r="A4" t="s">
        <v>23</v>
      </c>
      <c r="B4" s="19" t="s">
        <v>3967</v>
      </c>
    </row>
    <row r="5" spans="1:2">
      <c r="A5" t="s">
        <v>24</v>
      </c>
      <c r="B5" s="19" t="s">
        <v>3970</v>
      </c>
    </row>
    <row r="6" spans="1:2">
      <c r="A6" t="s">
        <v>25</v>
      </c>
      <c r="B6" s="19" t="s">
        <v>3971</v>
      </c>
    </row>
    <row r="7" spans="1:2">
      <c r="A7" t="s">
        <v>26</v>
      </c>
      <c r="B7" s="19" t="s">
        <v>3972</v>
      </c>
    </row>
    <row r="8" spans="1:2">
      <c r="A8" t="s">
        <v>27</v>
      </c>
      <c r="B8" s="19" t="s">
        <v>3973</v>
      </c>
    </row>
    <row r="9" spans="1:2">
      <c r="A9" t="s">
        <v>28</v>
      </c>
      <c r="B9" s="19" t="s">
        <v>3974</v>
      </c>
    </row>
    <row r="10" spans="1:2">
      <c r="A10" t="s">
        <v>29</v>
      </c>
      <c r="B10" s="19" t="s">
        <v>3975</v>
      </c>
    </row>
    <row r="11" spans="1:2">
      <c r="A11" t="s">
        <v>30</v>
      </c>
      <c r="B11" s="19" t="s">
        <v>3976</v>
      </c>
    </row>
    <row r="12" spans="1:2">
      <c r="A12" t="s">
        <v>31</v>
      </c>
      <c r="B12" s="19" t="s">
        <v>3377</v>
      </c>
    </row>
    <row r="13" spans="1:2">
      <c r="A13" t="s">
        <v>34</v>
      </c>
      <c r="B13" s="19" t="s">
        <v>3977</v>
      </c>
    </row>
    <row r="14" spans="1:2">
      <c r="A14" t="s">
        <v>37</v>
      </c>
      <c r="B14" s="19" t="s">
        <v>3374</v>
      </c>
    </row>
    <row r="15" spans="1:2">
      <c r="A15" t="s">
        <v>38</v>
      </c>
      <c r="B15" s="19" t="s">
        <v>3978</v>
      </c>
    </row>
    <row r="16" spans="1:2">
      <c r="A16" t="s">
        <v>39</v>
      </c>
      <c r="B16" s="19" t="s">
        <v>3375</v>
      </c>
    </row>
    <row r="17" spans="1:2">
      <c r="A17" t="s">
        <v>42</v>
      </c>
      <c r="B17" s="19" t="s">
        <v>3979</v>
      </c>
    </row>
    <row r="18" spans="1:2">
      <c r="A18" t="s">
        <v>43</v>
      </c>
      <c r="B18" s="19" t="s">
        <v>3980</v>
      </c>
    </row>
    <row r="19" spans="1:2">
      <c r="A19" t="s">
        <v>44</v>
      </c>
      <c r="B19" s="19" t="s">
        <v>3405</v>
      </c>
    </row>
    <row r="20" spans="1:2">
      <c r="A20" t="s">
        <v>45</v>
      </c>
      <c r="B20" s="19" t="s">
        <v>3981</v>
      </c>
    </row>
    <row r="21" spans="1:2">
      <c r="A21" t="s">
        <v>46</v>
      </c>
      <c r="B21" s="19" t="s">
        <v>3982</v>
      </c>
    </row>
    <row r="22" spans="1:2">
      <c r="A22" t="s">
        <v>47</v>
      </c>
      <c r="B22" s="19" t="s">
        <v>3983</v>
      </c>
    </row>
    <row r="23" spans="1:2">
      <c r="A23" t="s">
        <v>50</v>
      </c>
      <c r="B23" s="19" t="s">
        <v>3984</v>
      </c>
    </row>
    <row r="24" spans="1:2">
      <c r="A24" t="s">
        <v>51</v>
      </c>
      <c r="B24" s="19" t="s">
        <v>3985</v>
      </c>
    </row>
    <row r="25" spans="1:2">
      <c r="A25" t="s">
        <v>56</v>
      </c>
      <c r="B25" s="19" t="s">
        <v>3986</v>
      </c>
    </row>
    <row r="26" spans="1:2">
      <c r="A26" t="s">
        <v>57</v>
      </c>
      <c r="B26" s="19" t="s">
        <v>3987</v>
      </c>
    </row>
    <row r="27" spans="1:2">
      <c r="A27" t="s">
        <v>59</v>
      </c>
      <c r="B27" s="19" t="s">
        <v>3988</v>
      </c>
    </row>
    <row r="28" spans="1:2">
      <c r="A28" t="s">
        <v>2984</v>
      </c>
      <c r="B28" s="19" t="s">
        <v>3989</v>
      </c>
    </row>
    <row r="29" spans="1:2">
      <c r="A29" t="s">
        <v>3198</v>
      </c>
      <c r="B29" s="19" t="s">
        <v>3990</v>
      </c>
    </row>
    <row r="30" spans="1:2">
      <c r="A30" t="s">
        <v>97</v>
      </c>
      <c r="B30" s="19" t="s">
        <v>3991</v>
      </c>
    </row>
    <row r="31" spans="1:2">
      <c r="A31" t="s">
        <v>98</v>
      </c>
      <c r="B31" s="19" t="s">
        <v>3992</v>
      </c>
    </row>
    <row r="32" spans="1:2">
      <c r="A32" t="s">
        <v>99</v>
      </c>
      <c r="B32" s="19" t="s">
        <v>3993</v>
      </c>
    </row>
    <row r="33" spans="1:2">
      <c r="A33" t="s">
        <v>100</v>
      </c>
      <c r="B33" s="19" t="s">
        <v>3994</v>
      </c>
    </row>
    <row r="34" spans="1:2">
      <c r="A34" t="s">
        <v>101</v>
      </c>
      <c r="B34" s="19" t="s">
        <v>3995</v>
      </c>
    </row>
    <row r="35" spans="1:2">
      <c r="A35" t="s">
        <v>102</v>
      </c>
      <c r="B35" s="19" t="s">
        <v>3996</v>
      </c>
    </row>
    <row r="36" spans="1:2">
      <c r="A36" t="s">
        <v>103</v>
      </c>
      <c r="B36" s="19" t="s">
        <v>3997</v>
      </c>
    </row>
    <row r="37" spans="1:2">
      <c r="A37" t="s">
        <v>104</v>
      </c>
      <c r="B37" s="19" t="s">
        <v>3998</v>
      </c>
    </row>
    <row r="38" spans="1:2">
      <c r="A38" t="s">
        <v>105</v>
      </c>
      <c r="B38" s="19" t="s">
        <v>3999</v>
      </c>
    </row>
    <row r="39" spans="1:2">
      <c r="A39" s="18" t="s">
        <v>7347</v>
      </c>
      <c r="B39" s="19" t="s">
        <v>4000</v>
      </c>
    </row>
    <row r="43" spans="1:2">
      <c r="A43" s="18" t="s">
        <v>3607</v>
      </c>
      <c r="B43" s="19" t="s">
        <v>3965</v>
      </c>
    </row>
    <row r="44" spans="1:2">
      <c r="A44" s="18" t="s">
        <v>3602</v>
      </c>
      <c r="B44" s="19" t="s">
        <v>3966</v>
      </c>
    </row>
    <row r="45" spans="1:2">
      <c r="A45" s="18" t="s">
        <v>3542</v>
      </c>
      <c r="B45" s="19" t="s">
        <v>3967</v>
      </c>
    </row>
    <row r="46" spans="1:2">
      <c r="A46" s="18" t="s">
        <v>3968</v>
      </c>
      <c r="B46" s="19" t="s">
        <v>3970</v>
      </c>
    </row>
    <row r="47" spans="1:2">
      <c r="A47" s="18" t="s">
        <v>3969</v>
      </c>
      <c r="B47" s="19" t="s">
        <v>3971</v>
      </c>
    </row>
  </sheetData>
  <pageMargins left="0.7" right="0.7" top="0.75" bottom="0.75" header="0.3" footer="0.3"/>
  <ignoredErrors>
    <ignoredError sqref="B2:B39 B43:B44" numberStoredAsText="1"/>
  </ignoredErrors>
</worksheet>
</file>

<file path=docProps/app.xml><?xml version="1.0" encoding="utf-8"?>
<Properties xmlns="http://schemas.openxmlformats.org/officeDocument/2006/extended-properties" xmlns:vt="http://schemas.openxmlformats.org/officeDocument/2006/docPropsVTypes">
  <TotalTime>603</TotalTime>
  <Application>Microsoft Excel</Application>
  <DocSecurity>0</DocSecurity>
  <ScaleCrop>false</ScaleCrop>
  <HeadingPairs>
    <vt:vector size="4" baseType="variant">
      <vt:variant>
        <vt:lpstr>Feuilles de calcul</vt:lpstr>
      </vt:variant>
      <vt:variant>
        <vt:i4>18</vt:i4>
      </vt:variant>
      <vt:variant>
        <vt:lpstr>Plages nommées</vt:lpstr>
      </vt:variant>
      <vt:variant>
        <vt:i4>30</vt:i4>
      </vt:variant>
    </vt:vector>
  </HeadingPairs>
  <TitlesOfParts>
    <vt:vector size="48" baseType="lpstr">
      <vt:lpstr>Welcome</vt:lpstr>
      <vt:lpstr>Creation_1</vt:lpstr>
      <vt:lpstr>Creation_BP</vt:lpstr>
      <vt:lpstr>Creation_XP</vt:lpstr>
      <vt:lpstr>Values</vt:lpstr>
      <vt:lpstr>Weapons</vt:lpstr>
      <vt:lpstr>Castes</vt:lpstr>
      <vt:lpstr>Points</vt:lpstr>
      <vt:lpstr>Armor</vt:lpstr>
      <vt:lpstr>Crea_Pts_xp</vt:lpstr>
      <vt:lpstr>Cast_Spe</vt:lpstr>
      <vt:lpstr>Health</vt:lpstr>
      <vt:lpstr>Merits</vt:lpstr>
      <vt:lpstr>Charms</vt:lpstr>
      <vt:lpstr>CharmAb</vt:lpstr>
      <vt:lpstr>CharmPrerequisites</vt:lpstr>
      <vt:lpstr>Intimacies</vt:lpstr>
      <vt:lpstr>CharmsId</vt:lpstr>
      <vt:lpstr>AvAbWOMA</vt:lpstr>
      <vt:lpstr>Database_Charms</vt:lpstr>
      <vt:lpstr>Database_Charms_Names</vt:lpstr>
      <vt:lpstr>Database_Charms_Values</vt:lpstr>
      <vt:lpstr>Exalt_Base_Values</vt:lpstr>
      <vt:lpstr>Exalt_DB</vt:lpstr>
      <vt:lpstr>Exalt_DBJH</vt:lpstr>
      <vt:lpstr>Exalt_Lunar</vt:lpstr>
      <vt:lpstr>Exalt_Mortal</vt:lpstr>
      <vt:lpstr>Exalt_Solar</vt:lpstr>
      <vt:lpstr>Exalt_Type_Table</vt:lpstr>
      <vt:lpstr>FavAb</vt:lpstr>
      <vt:lpstr>Creation_XP!Impression_des_titres</vt:lpstr>
      <vt:lpstr>List_abilities</vt:lpstr>
      <vt:lpstr>list_merits</vt:lpstr>
      <vt:lpstr>MeritHead</vt:lpstr>
      <vt:lpstr>MeritList</vt:lpstr>
      <vt:lpstr>MeritsMatrice</vt:lpstr>
      <vt:lpstr>spe_abilities</vt:lpstr>
      <vt:lpstr>Table_Essence_DB</vt:lpstr>
      <vt:lpstr>Table_Essence_DBJH</vt:lpstr>
      <vt:lpstr>Table_Essence_Regular</vt:lpstr>
      <vt:lpstr>weapons_types</vt:lpstr>
      <vt:lpstr>Xp_Cost</vt:lpstr>
      <vt:lpstr>Xp_Cost_Number</vt:lpstr>
      <vt:lpstr>Xp_Cost_Type</vt:lpstr>
      <vt:lpstr>Creation_1!Zone_d_impression</vt:lpstr>
      <vt:lpstr>Creation_BP!Zone_d_impression</vt:lpstr>
      <vt:lpstr>Creation_XP!Zone_d_impression</vt:lpstr>
      <vt:lpstr>Welcome!Zone_d_impression</vt:lpstr>
    </vt:vector>
  </TitlesOfParts>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Sandra Seigneur</dc:creator>
  <cp:lastModifiedBy>Refhi</cp:lastModifiedBy>
  <cp:revision>56</cp:revision>
  <cp:lastPrinted>2018-06-16T17:45:52Z</cp:lastPrinted>
  <dcterms:created xsi:type="dcterms:W3CDTF">2017-03-26T10:33:47Z</dcterms:created>
  <dcterms:modified xsi:type="dcterms:W3CDTF">2019-04-13T19:56:26Z</dcterms:modified>
</cp:coreProperties>
</file>